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28"/>
  <workbookPr defaultThemeVersion="124226"/>
  <mc:AlternateContent xmlns:mc="http://schemas.openxmlformats.org/markup-compatibility/2006">
    <mc:Choice Requires="x15">
      <x15ac:absPath xmlns:x15ac="http://schemas.microsoft.com/office/spreadsheetml/2010/11/ac" url="https://floridaswater.sharepoint.com/sites/nfrwsp/Shared Documents/Regional Water Supply Planning/2020 - 2045 NF Regional Water Supply Plan/Data/Projections &amp; Geodatabase/"/>
    </mc:Choice>
  </mc:AlternateContent>
  <xr:revisionPtr revIDLastSave="2304" documentId="8_{D846E3BE-0BC0-488A-BD16-BB0E2E45B3EC}" xr6:coauthVersionLast="47" xr6:coauthVersionMax="47" xr10:uidLastSave="{7803BA8E-0FAA-4D7E-8F37-64EAF322D558}"/>
  <bookViews>
    <workbookView xWindow="-120" yWindow="-120" windowWidth="29040" windowHeight="15840" tabRatio="808" activeTab="9" xr2:uid="{00000000-000D-0000-FFFF-FFFF00000000}"/>
  </bookViews>
  <sheets>
    <sheet name="Table 1" sheetId="3" r:id="rId1"/>
    <sheet name="Table 2" sheetId="4" r:id="rId2"/>
    <sheet name="Table 3" sheetId="6" r:id="rId3"/>
    <sheet name="Table 4" sheetId="7" r:id="rId4"/>
    <sheet name="Table 5" sheetId="18" r:id="rId5"/>
    <sheet name="Table 5a" sheetId="20" r:id="rId6"/>
    <sheet name="Table 6" sheetId="8" r:id="rId7"/>
    <sheet name="Table 6a" sheetId="24" r:id="rId8"/>
    <sheet name="Table 6b" sheetId="23" r:id="rId9"/>
    <sheet name="Table 6c" sheetId="22" r:id="rId10"/>
    <sheet name="Table 7" sheetId="11" r:id="rId11"/>
    <sheet name="Table 7a " sheetId="31" r:id="rId12"/>
    <sheet name="Table 7b" sheetId="30" r:id="rId13"/>
    <sheet name="Table 8" sheetId="12" r:id="rId14"/>
    <sheet name="Table 8a" sheetId="26" r:id="rId15"/>
    <sheet name="Table 9" sheetId="13" r:id="rId16"/>
    <sheet name="Table 9a" sheetId="28" r:id="rId17"/>
    <sheet name="Table 10" sheetId="14" r:id="rId18"/>
    <sheet name="Table 10a" sheetId="15" r:id="rId19"/>
    <sheet name="Table 10b" sheetId="29" r:id="rId20"/>
    <sheet name="Table 11" sheetId="9" r:id="rId21"/>
    <sheet name="Table 12" sheetId="32" r:id="rId22"/>
  </sheets>
  <definedNames>
    <definedName name="_xlnm._FilterDatabase" localSheetId="5" hidden="1">'Table 5a'!#REF!</definedName>
    <definedName name="_xlnm.Print_Titles" localSheetId="10">'Table 7'!$A:$A</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3" i="22" l="1"/>
  <c r="N73" i="22"/>
  <c r="M73" i="22"/>
  <c r="L73" i="22"/>
  <c r="K73" i="22"/>
  <c r="J73" i="22"/>
  <c r="I73" i="22"/>
  <c r="H73" i="22"/>
  <c r="G73" i="22"/>
  <c r="F73" i="22"/>
  <c r="AK22" i="7"/>
  <c r="AK20" i="7"/>
  <c r="AK14" i="7"/>
  <c r="AA22" i="6"/>
  <c r="AA20" i="6"/>
  <c r="AA14" i="6"/>
  <c r="W22" i="6"/>
  <c r="W20" i="6"/>
  <c r="W14" i="6"/>
  <c r="T22" i="6"/>
  <c r="T20" i="6"/>
  <c r="T14" i="6"/>
  <c r="Q22" i="6"/>
  <c r="Q20" i="6"/>
  <c r="Q14" i="6"/>
  <c r="N22" i="6"/>
  <c r="N20" i="6"/>
  <c r="N14" i="6"/>
  <c r="K22" i="6"/>
  <c r="H22" i="6"/>
  <c r="H20" i="6"/>
  <c r="K20" i="6"/>
  <c r="K14" i="6"/>
  <c r="H14" i="6"/>
  <c r="AA7" i="4"/>
  <c r="AA5" i="4"/>
  <c r="W7" i="4"/>
  <c r="W5" i="4"/>
  <c r="T7" i="4"/>
  <c r="T5" i="4"/>
  <c r="Q7" i="4"/>
  <c r="Q5" i="4"/>
  <c r="N7" i="4"/>
  <c r="N5" i="4"/>
  <c r="K7" i="4"/>
  <c r="K5" i="4"/>
  <c r="H7" i="4"/>
  <c r="H5" i="4"/>
  <c r="AA214" i="32"/>
  <c r="W214" i="32"/>
  <c r="T214" i="32"/>
  <c r="Q214" i="32"/>
  <c r="N214" i="32"/>
  <c r="K214" i="32"/>
  <c r="H214" i="32"/>
  <c r="AA183" i="32"/>
  <c r="W183" i="32"/>
  <c r="T183" i="32"/>
  <c r="Q183" i="32"/>
  <c r="N183" i="32"/>
  <c r="K183" i="32"/>
  <c r="H183" i="32"/>
  <c r="AA92" i="32"/>
  <c r="W92" i="32"/>
  <c r="T92" i="32"/>
  <c r="Q92" i="32"/>
  <c r="N92" i="32"/>
  <c r="K92" i="32"/>
  <c r="H92" i="32"/>
  <c r="AA40" i="9"/>
  <c r="AA39" i="9"/>
  <c r="AA38" i="9"/>
  <c r="AA37" i="9"/>
  <c r="AA36" i="9"/>
  <c r="AA35" i="9"/>
  <c r="U40" i="9"/>
  <c r="U39" i="9"/>
  <c r="U38" i="9"/>
  <c r="U37" i="9"/>
  <c r="U36" i="9"/>
  <c r="U35" i="9"/>
  <c r="R40" i="9"/>
  <c r="R39" i="9"/>
  <c r="R38" i="9"/>
  <c r="R37" i="9"/>
  <c r="R36" i="9"/>
  <c r="R35" i="9"/>
  <c r="O40" i="9"/>
  <c r="O39" i="9"/>
  <c r="O38" i="9"/>
  <c r="O37" i="9"/>
  <c r="O36" i="9"/>
  <c r="O35" i="9"/>
  <c r="L40" i="9"/>
  <c r="L39" i="9"/>
  <c r="L38" i="9"/>
  <c r="L37" i="9"/>
  <c r="L36" i="9"/>
  <c r="L35" i="9"/>
  <c r="I40" i="9"/>
  <c r="I39" i="9"/>
  <c r="I38" i="9"/>
  <c r="I37" i="9"/>
  <c r="I36" i="9"/>
  <c r="I35" i="9"/>
  <c r="F40" i="9"/>
  <c r="F39" i="9"/>
  <c r="F38" i="9"/>
  <c r="F37" i="9"/>
  <c r="F36" i="9"/>
  <c r="F35" i="9"/>
  <c r="AA23" i="9"/>
  <c r="AA22" i="9"/>
  <c r="AA21" i="9"/>
  <c r="AA20" i="9"/>
  <c r="AA19" i="9"/>
  <c r="AA18" i="9"/>
  <c r="AA17" i="9"/>
  <c r="AA16" i="9"/>
  <c r="AA15" i="9"/>
  <c r="AA14" i="9"/>
  <c r="AA13" i="9"/>
  <c r="AA11" i="9"/>
  <c r="AA10" i="9"/>
  <c r="AA8" i="9"/>
  <c r="AA7" i="9"/>
  <c r="AA5" i="9"/>
  <c r="AA4" i="9"/>
  <c r="U23" i="9"/>
  <c r="U22" i="9"/>
  <c r="U21" i="9"/>
  <c r="U20" i="9"/>
  <c r="U19" i="9"/>
  <c r="U18" i="9"/>
  <c r="U17" i="9"/>
  <c r="U16" i="9"/>
  <c r="U15" i="9"/>
  <c r="U14" i="9"/>
  <c r="U13" i="9"/>
  <c r="U11" i="9"/>
  <c r="U10" i="9"/>
  <c r="U8" i="9"/>
  <c r="U7" i="9"/>
  <c r="U5" i="9"/>
  <c r="U4" i="9"/>
  <c r="R23" i="9"/>
  <c r="R22" i="9"/>
  <c r="R21" i="9"/>
  <c r="R20" i="9"/>
  <c r="R19" i="9"/>
  <c r="R18" i="9"/>
  <c r="R17" i="9"/>
  <c r="R16" i="9"/>
  <c r="R15" i="9"/>
  <c r="R14" i="9"/>
  <c r="R13" i="9"/>
  <c r="R11" i="9"/>
  <c r="R10" i="9"/>
  <c r="R8" i="9"/>
  <c r="R7" i="9"/>
  <c r="R5" i="9"/>
  <c r="R4" i="9"/>
  <c r="O23" i="9"/>
  <c r="O22" i="9"/>
  <c r="O21" i="9"/>
  <c r="O20" i="9"/>
  <c r="O19" i="9"/>
  <c r="O18" i="9"/>
  <c r="O17" i="9"/>
  <c r="O16" i="9"/>
  <c r="O15" i="9"/>
  <c r="O14" i="9"/>
  <c r="O13" i="9"/>
  <c r="O11" i="9"/>
  <c r="O10" i="9"/>
  <c r="O8" i="9"/>
  <c r="O7" i="9"/>
  <c r="O5" i="9"/>
  <c r="O4" i="9"/>
  <c r="L23" i="9"/>
  <c r="L22" i="9"/>
  <c r="L21" i="9"/>
  <c r="L20" i="9"/>
  <c r="L19" i="9"/>
  <c r="L18" i="9"/>
  <c r="L17" i="9"/>
  <c r="L16" i="9"/>
  <c r="L15" i="9"/>
  <c r="L14" i="9"/>
  <c r="L13" i="9"/>
  <c r="L11" i="9"/>
  <c r="L10" i="9"/>
  <c r="L8" i="9"/>
  <c r="L7" i="9"/>
  <c r="L5" i="9"/>
  <c r="L4" i="9"/>
  <c r="F23" i="9"/>
  <c r="F22" i="9"/>
  <c r="F21" i="9"/>
  <c r="F20" i="9"/>
  <c r="F19" i="9"/>
  <c r="F18" i="9"/>
  <c r="F17" i="9"/>
  <c r="F16" i="9"/>
  <c r="F15" i="9"/>
  <c r="F14" i="9"/>
  <c r="F13" i="9"/>
  <c r="F11" i="9"/>
  <c r="F10" i="9"/>
  <c r="F8" i="9"/>
  <c r="F7" i="9"/>
  <c r="F5" i="9"/>
  <c r="F4" i="9"/>
  <c r="F12" i="9"/>
  <c r="F9" i="9"/>
  <c r="F6" i="9"/>
  <c r="I23" i="9"/>
  <c r="I22" i="9"/>
  <c r="I21" i="9"/>
  <c r="I20" i="9"/>
  <c r="I19" i="9"/>
  <c r="I18" i="9"/>
  <c r="I17" i="9"/>
  <c r="I16" i="9"/>
  <c r="I15" i="9"/>
  <c r="I14" i="9"/>
  <c r="I13" i="9"/>
  <c r="I11" i="9"/>
  <c r="I10" i="9"/>
  <c r="I8" i="9"/>
  <c r="I7" i="9"/>
  <c r="I5" i="9"/>
  <c r="I4" i="9"/>
  <c r="AO42" i="7"/>
  <c r="AO41" i="7"/>
  <c r="AO40" i="7"/>
  <c r="AO39" i="7"/>
  <c r="AO38" i="7"/>
  <c r="AO37" i="7"/>
  <c r="AO43" i="7" s="1"/>
  <c r="AJ42" i="7"/>
  <c r="AJ41" i="7"/>
  <c r="AJ40" i="7"/>
  <c r="AJ39" i="7"/>
  <c r="AJ38" i="7"/>
  <c r="AJ37" i="7"/>
  <c r="AJ43" i="7" s="1"/>
  <c r="AF42" i="7"/>
  <c r="AF41" i="7"/>
  <c r="AF40" i="7"/>
  <c r="AF39" i="7"/>
  <c r="AF38" i="7"/>
  <c r="AF37" i="7"/>
  <c r="AF43" i="7" s="1"/>
  <c r="AB42" i="7"/>
  <c r="AB41" i="7"/>
  <c r="AB40" i="7"/>
  <c r="AB39" i="7"/>
  <c r="AB38" i="7"/>
  <c r="AB37" i="7"/>
  <c r="AB43" i="7" s="1"/>
  <c r="X42" i="7"/>
  <c r="X41" i="7"/>
  <c r="X40" i="7"/>
  <c r="X39" i="7"/>
  <c r="X38" i="7"/>
  <c r="X37" i="7"/>
  <c r="X43" i="7" s="1"/>
  <c r="T42" i="7"/>
  <c r="T41" i="7"/>
  <c r="T40" i="7"/>
  <c r="T39" i="7"/>
  <c r="T38" i="7"/>
  <c r="T37" i="7"/>
  <c r="T43" i="7" s="1"/>
  <c r="P42" i="7"/>
  <c r="P41" i="7"/>
  <c r="P40" i="7"/>
  <c r="P39" i="7"/>
  <c r="P38" i="7"/>
  <c r="P37" i="7"/>
  <c r="P43" i="7" s="1"/>
  <c r="AO24" i="7"/>
  <c r="AO23" i="7"/>
  <c r="AO22" i="7"/>
  <c r="AO21" i="7"/>
  <c r="AO20" i="7"/>
  <c r="AO19" i="7"/>
  <c r="AO18" i="7"/>
  <c r="AO17" i="7"/>
  <c r="AO16" i="7"/>
  <c r="AO15" i="7"/>
  <c r="AO14" i="7"/>
  <c r="AO12" i="7"/>
  <c r="AO13" i="7" s="1"/>
  <c r="AO11" i="7"/>
  <c r="AO8" i="7"/>
  <c r="AO10" i="7" s="1"/>
  <c r="AO6" i="7"/>
  <c r="AO26" i="7" s="1"/>
  <c r="AO5" i="7"/>
  <c r="AO7" i="7" s="1"/>
  <c r="AJ24" i="7"/>
  <c r="AJ23" i="7"/>
  <c r="AJ22" i="7"/>
  <c r="AJ21" i="7"/>
  <c r="AJ20" i="7"/>
  <c r="AJ19" i="7"/>
  <c r="AJ18" i="7"/>
  <c r="AJ17" i="7"/>
  <c r="AJ16" i="7"/>
  <c r="AJ15" i="7"/>
  <c r="AJ14" i="7"/>
  <c r="AJ13" i="7"/>
  <c r="AJ12" i="7"/>
  <c r="AJ11" i="7"/>
  <c r="AJ8" i="7"/>
  <c r="AJ10" i="7" s="1"/>
  <c r="AJ6" i="7"/>
  <c r="AJ26" i="7" s="1"/>
  <c r="AJ5" i="7"/>
  <c r="AJ25" i="7" s="1"/>
  <c r="AF24" i="7"/>
  <c r="AF23" i="7"/>
  <c r="AF22" i="7"/>
  <c r="AF21" i="7"/>
  <c r="AF20" i="7"/>
  <c r="AF19" i="7"/>
  <c r="AF18" i="7"/>
  <c r="AF17" i="7"/>
  <c r="AF16" i="7"/>
  <c r="AF15" i="7"/>
  <c r="AF14" i="7"/>
  <c r="AF12" i="7"/>
  <c r="AF13" i="7" s="1"/>
  <c r="AF11" i="7"/>
  <c r="AF8" i="7"/>
  <c r="AF10" i="7" s="1"/>
  <c r="AF6" i="7"/>
  <c r="AF26" i="7" s="1"/>
  <c r="AF5" i="7"/>
  <c r="AF25" i="7" s="1"/>
  <c r="AF27" i="7" s="1"/>
  <c r="AB24" i="7"/>
  <c r="AB23" i="7"/>
  <c r="AB22" i="7"/>
  <c r="AB21" i="7"/>
  <c r="AB20" i="7"/>
  <c r="AB19" i="7"/>
  <c r="AB18" i="7"/>
  <c r="AB17" i="7"/>
  <c r="AB16" i="7"/>
  <c r="AB15" i="7"/>
  <c r="AB14" i="7"/>
  <c r="AB12" i="7"/>
  <c r="AB13" i="7" s="1"/>
  <c r="AB11" i="7"/>
  <c r="AB8" i="7"/>
  <c r="AB10" i="7" s="1"/>
  <c r="AB6" i="7"/>
  <c r="AB26" i="7" s="1"/>
  <c r="AB5" i="7"/>
  <c r="AB25" i="7" s="1"/>
  <c r="X24" i="7"/>
  <c r="X23" i="7"/>
  <c r="X22" i="7"/>
  <c r="X21" i="7"/>
  <c r="X20" i="7"/>
  <c r="X19" i="7"/>
  <c r="X18" i="7"/>
  <c r="X17" i="7"/>
  <c r="X16" i="7"/>
  <c r="X15" i="7"/>
  <c r="X14" i="7"/>
  <c r="X12" i="7"/>
  <c r="X13" i="7" s="1"/>
  <c r="X11" i="7"/>
  <c r="X8" i="7"/>
  <c r="X10" i="7" s="1"/>
  <c r="X6" i="7"/>
  <c r="X26" i="7" s="1"/>
  <c r="X5" i="7"/>
  <c r="X25" i="7" s="1"/>
  <c r="T24" i="7"/>
  <c r="T23" i="7"/>
  <c r="T22" i="7"/>
  <c r="T21" i="7"/>
  <c r="T20" i="7"/>
  <c r="T19" i="7"/>
  <c r="T18" i="7"/>
  <c r="T17" i="7"/>
  <c r="T16" i="7"/>
  <c r="T15" i="7"/>
  <c r="T14" i="7"/>
  <c r="T12" i="7"/>
  <c r="T13" i="7" s="1"/>
  <c r="T11" i="7"/>
  <c r="T8" i="7"/>
  <c r="T10" i="7" s="1"/>
  <c r="T6" i="7"/>
  <c r="T26" i="7" s="1"/>
  <c r="T5" i="7"/>
  <c r="T25" i="7" s="1"/>
  <c r="T27" i="7" s="1"/>
  <c r="P24" i="7"/>
  <c r="P23" i="7"/>
  <c r="P22" i="7"/>
  <c r="P21" i="7"/>
  <c r="P20" i="7"/>
  <c r="P19" i="7"/>
  <c r="P18" i="7"/>
  <c r="P17" i="7"/>
  <c r="P16" i="7"/>
  <c r="P15" i="7"/>
  <c r="P14" i="7"/>
  <c r="P12" i="7"/>
  <c r="P13" i="7" s="1"/>
  <c r="P11" i="7"/>
  <c r="P8" i="7"/>
  <c r="P10" i="7" s="1"/>
  <c r="P6" i="7"/>
  <c r="P26" i="7" s="1"/>
  <c r="P5" i="7"/>
  <c r="P25" i="7" s="1"/>
  <c r="P27" i="7" s="1"/>
  <c r="AR29" i="18"/>
  <c r="AS130" i="18"/>
  <c r="AS129" i="18"/>
  <c r="AS125" i="18"/>
  <c r="AS120" i="18"/>
  <c r="AS115" i="18"/>
  <c r="AS113" i="18"/>
  <c r="AS111" i="18"/>
  <c r="AS90" i="18"/>
  <c r="AS88" i="18"/>
  <c r="AS86" i="18"/>
  <c r="AS81" i="18"/>
  <c r="AR80" i="18"/>
  <c r="AR77" i="18"/>
  <c r="AS73" i="18"/>
  <c r="AS65" i="18"/>
  <c r="AS59" i="18"/>
  <c r="AS54" i="18"/>
  <c r="AS51" i="18"/>
  <c r="AS42" i="18"/>
  <c r="AS33" i="18"/>
  <c r="AS30" i="18"/>
  <c r="AS89" i="18" s="1"/>
  <c r="AS91" i="18" s="1"/>
  <c r="AS24" i="18"/>
  <c r="AS21" i="18"/>
  <c r="AS19" i="18"/>
  <c r="AS16" i="18"/>
  <c r="AS10" i="18"/>
  <c r="AM129" i="18"/>
  <c r="AM125" i="18"/>
  <c r="AM120" i="18"/>
  <c r="AM115" i="18"/>
  <c r="AM113" i="18"/>
  <c r="AM111" i="18"/>
  <c r="AI129" i="18"/>
  <c r="AI125" i="18"/>
  <c r="AI120" i="18"/>
  <c r="AI115" i="18"/>
  <c r="AI113" i="18"/>
  <c r="AI111" i="18"/>
  <c r="AE129" i="18"/>
  <c r="AE125" i="18"/>
  <c r="AE120" i="18"/>
  <c r="AE115" i="18"/>
  <c r="AE113" i="18"/>
  <c r="AE111" i="18"/>
  <c r="AA129" i="18"/>
  <c r="AA125" i="18"/>
  <c r="AA120" i="18"/>
  <c r="AA115" i="18"/>
  <c r="AA113" i="18"/>
  <c r="AA111" i="18"/>
  <c r="W129" i="18"/>
  <c r="W125" i="18"/>
  <c r="W120" i="18"/>
  <c r="W115" i="18"/>
  <c r="W113" i="18"/>
  <c r="W111" i="18"/>
  <c r="S129" i="18"/>
  <c r="S125" i="18"/>
  <c r="S120" i="18"/>
  <c r="S115" i="18"/>
  <c r="S113" i="18"/>
  <c r="S111" i="18"/>
  <c r="AM88" i="18"/>
  <c r="AI88" i="18"/>
  <c r="AM86" i="18"/>
  <c r="AI86" i="18"/>
  <c r="AM81" i="18"/>
  <c r="AI81" i="18"/>
  <c r="AM73" i="18"/>
  <c r="AI73" i="18"/>
  <c r="AM65" i="18"/>
  <c r="AI65" i="18"/>
  <c r="AM59" i="18"/>
  <c r="AI59" i="18"/>
  <c r="AM54" i="18"/>
  <c r="AI54" i="18"/>
  <c r="AM51" i="18"/>
  <c r="AI51" i="18"/>
  <c r="AM42" i="18"/>
  <c r="AI42" i="18"/>
  <c r="AM33" i="18"/>
  <c r="AI33" i="18"/>
  <c r="AI90" i="18" s="1"/>
  <c r="AM30" i="18"/>
  <c r="AI30" i="18"/>
  <c r="AM24" i="18"/>
  <c r="AI24" i="18"/>
  <c r="AM21" i="18"/>
  <c r="AI21" i="18"/>
  <c r="AM19" i="18"/>
  <c r="AI19" i="18"/>
  <c r="AM16" i="18"/>
  <c r="AM90" i="18" s="1"/>
  <c r="AI16" i="18"/>
  <c r="AM10" i="18"/>
  <c r="AI10" i="18"/>
  <c r="AE88" i="18"/>
  <c r="AE86" i="18"/>
  <c r="AE90" i="18" s="1"/>
  <c r="AE81" i="18"/>
  <c r="AE73" i="18"/>
  <c r="AE65" i="18"/>
  <c r="AE59" i="18"/>
  <c r="AE54" i="18"/>
  <c r="AE51" i="18"/>
  <c r="AE42" i="18"/>
  <c r="AE33" i="18"/>
  <c r="AE30" i="18"/>
  <c r="AE24" i="18"/>
  <c r="AE21" i="18"/>
  <c r="AE19" i="18"/>
  <c r="AE16" i="18"/>
  <c r="AE10" i="18"/>
  <c r="AA88" i="18"/>
  <c r="AA86" i="18"/>
  <c r="AA81" i="18"/>
  <c r="W88" i="18"/>
  <c r="W86" i="18"/>
  <c r="W81" i="18"/>
  <c r="AA73" i="18"/>
  <c r="AA65" i="18"/>
  <c r="AA59" i="18"/>
  <c r="AA54" i="18"/>
  <c r="AA51" i="18"/>
  <c r="AA42" i="18"/>
  <c r="AA33" i="18"/>
  <c r="AA30" i="18"/>
  <c r="AA24" i="18"/>
  <c r="AA90" i="18" s="1"/>
  <c r="AA21" i="18"/>
  <c r="AA19" i="18"/>
  <c r="AA16" i="18"/>
  <c r="AA10" i="18"/>
  <c r="W73" i="18"/>
  <c r="W65" i="18"/>
  <c r="W59" i="18"/>
  <c r="W54" i="18"/>
  <c r="W51" i="18"/>
  <c r="W42" i="18"/>
  <c r="W33" i="18"/>
  <c r="W30" i="18"/>
  <c r="W24" i="18"/>
  <c r="W21" i="18"/>
  <c r="W19" i="18"/>
  <c r="W16" i="18"/>
  <c r="W90" i="18" s="1"/>
  <c r="W10" i="18"/>
  <c r="S90" i="18"/>
  <c r="S88" i="18"/>
  <c r="S86" i="18"/>
  <c r="S81" i="18"/>
  <c r="S73" i="18"/>
  <c r="S65" i="18"/>
  <c r="S59" i="18"/>
  <c r="S54" i="18"/>
  <c r="S51" i="18"/>
  <c r="S42" i="18"/>
  <c r="S33" i="18"/>
  <c r="S30" i="18"/>
  <c r="S24" i="18"/>
  <c r="S21" i="18"/>
  <c r="S19" i="18"/>
  <c r="S16" i="18"/>
  <c r="S10" i="18"/>
  <c r="K44" i="23"/>
  <c r="J44" i="23"/>
  <c r="I44" i="23"/>
  <c r="H44" i="23"/>
  <c r="G44" i="23"/>
  <c r="F44" i="23"/>
  <c r="E44" i="23"/>
  <c r="D44" i="23"/>
  <c r="AG44" i="23"/>
  <c r="AD44" i="23"/>
  <c r="AA44" i="23"/>
  <c r="X44" i="23"/>
  <c r="U44" i="23"/>
  <c r="R44" i="23"/>
  <c r="O44" i="23"/>
  <c r="AO25" i="7" l="1"/>
  <c r="AO27" i="7" s="1"/>
  <c r="AJ27" i="7"/>
  <c r="AJ7" i="7"/>
  <c r="AF7" i="7"/>
  <c r="AB27" i="7"/>
  <c r="AB7" i="7"/>
  <c r="X27" i="7"/>
  <c r="X7" i="7"/>
  <c r="T7" i="7"/>
  <c r="P7" i="7"/>
  <c r="AA130" i="18"/>
  <c r="AM130" i="18"/>
  <c r="S89" i="18"/>
  <c r="S91" i="18" s="1"/>
  <c r="W89" i="18"/>
  <c r="W91" i="18" s="1"/>
  <c r="AE89" i="18"/>
  <c r="AE91" i="18" s="1"/>
  <c r="AE130" i="18"/>
  <c r="S130" i="18"/>
  <c r="W130" i="18"/>
  <c r="AI89" i="18"/>
  <c r="AI91" i="18" s="1"/>
  <c r="AI130" i="18"/>
  <c r="AA89" i="18"/>
  <c r="AA91" i="18" s="1"/>
  <c r="AM89" i="18"/>
  <c r="AM91" i="18" s="1"/>
  <c r="AN43" i="23"/>
  <c r="AI43" i="23"/>
  <c r="AL43" i="23"/>
  <c r="AJ43" i="23" s="1"/>
  <c r="AE43" i="23"/>
  <c r="AB43" i="23"/>
  <c r="Y43" i="23"/>
  <c r="V43" i="23"/>
  <c r="S43" i="23"/>
  <c r="P43" i="23"/>
  <c r="R42" i="23"/>
  <c r="M43" i="23"/>
  <c r="O43" i="23"/>
  <c r="D43" i="23"/>
  <c r="L42" i="22"/>
  <c r="M42" i="22"/>
  <c r="N42" i="22"/>
  <c r="O42" i="22"/>
  <c r="K42" i="22"/>
  <c r="G42" i="22"/>
  <c r="H42" i="22"/>
  <c r="I42" i="22"/>
  <c r="J42" i="22"/>
  <c r="F42" i="22"/>
  <c r="P15" i="24" l="1"/>
  <c r="N15" i="24" s="1"/>
  <c r="Q15" i="24"/>
  <c r="O33" i="23"/>
  <c r="M33" i="23" s="1"/>
  <c r="D33" i="23"/>
  <c r="P31" i="22"/>
  <c r="AI33" i="23" s="1"/>
  <c r="AG33" i="23" l="1"/>
  <c r="AL33" i="23" s="1"/>
  <c r="AJ33" i="23" s="1"/>
  <c r="X33" i="23"/>
  <c r="V33" i="23" s="1"/>
  <c r="U33" i="23"/>
  <c r="S33" i="23" s="1"/>
  <c r="R33" i="23"/>
  <c r="P33" i="23" s="1"/>
  <c r="L33" i="23"/>
  <c r="AN33" i="23"/>
  <c r="AH33" i="23"/>
  <c r="AE33" i="23"/>
  <c r="AA33" i="23"/>
  <c r="Y33" i="23" s="1"/>
  <c r="AD33" i="23"/>
  <c r="AB33" i="23" s="1"/>
  <c r="O89" i="23" l="1"/>
  <c r="M89" i="23" s="1"/>
  <c r="D89" i="23"/>
  <c r="L89" i="23" s="1"/>
  <c r="P85" i="22"/>
  <c r="AI89" i="23" s="1"/>
  <c r="AD89" i="23" s="1"/>
  <c r="AB89" i="23" s="1"/>
  <c r="AG89" i="23" l="1"/>
  <c r="AL89" i="23" s="1"/>
  <c r="AJ89" i="23" s="1"/>
  <c r="AA89" i="23"/>
  <c r="Y89" i="23" s="1"/>
  <c r="R89" i="23"/>
  <c r="P89" i="23" s="1"/>
  <c r="U89" i="23"/>
  <c r="S89" i="23" s="1"/>
  <c r="X89" i="23"/>
  <c r="V89" i="23" s="1"/>
  <c r="AH89" i="23" l="1"/>
  <c r="AE89" i="23"/>
  <c r="AR57" i="18" l="1"/>
  <c r="AP57" i="18" s="1"/>
  <c r="AO57" i="18"/>
  <c r="AJ57" i="18"/>
  <c r="AF57" i="18"/>
  <c r="AB57" i="18"/>
  <c r="X57" i="18"/>
  <c r="T57" i="18"/>
  <c r="P57" i="18"/>
  <c r="O57" i="18"/>
  <c r="AN57" i="18" s="1"/>
  <c r="G33" i="22"/>
  <c r="H33" i="22"/>
  <c r="I33" i="22"/>
  <c r="J33" i="22"/>
  <c r="K33" i="22"/>
  <c r="L33" i="22"/>
  <c r="M33" i="22"/>
  <c r="N33" i="22"/>
  <c r="O33" i="22"/>
  <c r="F33" i="22"/>
  <c r="N35" i="23"/>
  <c r="Q35" i="23"/>
  <c r="T35" i="23"/>
  <c r="W35" i="23"/>
  <c r="Z35" i="23"/>
  <c r="AC35" i="23"/>
  <c r="AF35" i="23"/>
  <c r="J35" i="23"/>
  <c r="I35" i="23"/>
  <c r="H35" i="23"/>
  <c r="G35" i="23"/>
  <c r="O34" i="23"/>
  <c r="M34" i="23" s="1"/>
  <c r="AK35" i="23"/>
  <c r="K35" i="23"/>
  <c r="F35" i="23"/>
  <c r="E35" i="23"/>
  <c r="D34" i="23"/>
  <c r="L34" i="23" s="1"/>
  <c r="P32" i="22"/>
  <c r="AI34" i="23" s="1"/>
  <c r="R34" i="23" s="1"/>
  <c r="P34" i="23" s="1"/>
  <c r="O28" i="23"/>
  <c r="M28" i="23" s="1"/>
  <c r="D28" i="23"/>
  <c r="L28" i="23" s="1"/>
  <c r="P26" i="22"/>
  <c r="AI28" i="23" s="1"/>
  <c r="X28" i="23" s="1"/>
  <c r="V28" i="23" s="1"/>
  <c r="P21" i="22"/>
  <c r="AI23" i="23" s="1"/>
  <c r="R23" i="23" s="1"/>
  <c r="P23" i="23" s="1"/>
  <c r="O23" i="23"/>
  <c r="M23" i="23" s="1"/>
  <c r="D23" i="23"/>
  <c r="L23" i="23" s="1"/>
  <c r="D22" i="23"/>
  <c r="L22" i="23" s="1"/>
  <c r="O22" i="23"/>
  <c r="M22" i="23" s="1"/>
  <c r="P20" i="22"/>
  <c r="AI22" i="23" s="1"/>
  <c r="X22" i="23" s="1"/>
  <c r="V22" i="23" s="1"/>
  <c r="AQ26" i="18"/>
  <c r="AR26" i="18"/>
  <c r="AO26" i="18"/>
  <c r="AN26" i="18"/>
  <c r="AJ26" i="18"/>
  <c r="AF26" i="18"/>
  <c r="AB26" i="18"/>
  <c r="X26" i="18"/>
  <c r="T26" i="18"/>
  <c r="P26" i="18"/>
  <c r="M26" i="18"/>
  <c r="AP26" i="18" l="1"/>
  <c r="M57" i="18"/>
  <c r="AG34" i="23"/>
  <c r="AD34" i="23"/>
  <c r="AB34" i="23" s="1"/>
  <c r="AA34" i="23"/>
  <c r="Y34" i="23" s="1"/>
  <c r="X34" i="23"/>
  <c r="V34" i="23" s="1"/>
  <c r="U34" i="23"/>
  <c r="S34" i="23" s="1"/>
  <c r="U28" i="23"/>
  <c r="S28" i="23" s="1"/>
  <c r="R28" i="23"/>
  <c r="P28" i="23" s="1"/>
  <c r="AG28" i="23"/>
  <c r="AA28" i="23"/>
  <c r="Y28" i="23" s="1"/>
  <c r="AD28" i="23"/>
  <c r="AB28" i="23" s="1"/>
  <c r="AA23" i="23"/>
  <c r="Y23" i="23" s="1"/>
  <c r="AD23" i="23"/>
  <c r="AB23" i="23" s="1"/>
  <c r="X23" i="23"/>
  <c r="V23" i="23" s="1"/>
  <c r="AG23" i="23"/>
  <c r="U23" i="23"/>
  <c r="S23" i="23" s="1"/>
  <c r="R22" i="23"/>
  <c r="P22" i="23" s="1"/>
  <c r="AG22" i="23"/>
  <c r="AE22" i="23" s="1"/>
  <c r="AD22" i="23"/>
  <c r="AB22" i="23" s="1"/>
  <c r="U22" i="23"/>
  <c r="S22" i="23" s="1"/>
  <c r="AA22" i="23"/>
  <c r="Y22" i="23" s="1"/>
  <c r="AE34" i="23" l="1"/>
  <c r="AL34" i="23"/>
  <c r="AJ34" i="23" s="1"/>
  <c r="AE28" i="23"/>
  <c r="AL28" i="23"/>
  <c r="AJ28" i="23" s="1"/>
  <c r="AL22" i="23"/>
  <c r="AJ22" i="23" s="1"/>
  <c r="AH22" i="23"/>
  <c r="AL23" i="23"/>
  <c r="AJ23" i="23" s="1"/>
  <c r="AH23" i="23"/>
  <c r="AE23" i="23"/>
  <c r="AA4" i="29" l="1"/>
  <c r="AB4" i="29"/>
  <c r="AC4" i="29"/>
  <c r="AD4" i="29"/>
  <c r="Z4" i="29"/>
  <c r="Z19" i="29" l="1"/>
  <c r="AA19" i="29"/>
  <c r="AB19" i="29"/>
  <c r="AC19" i="29"/>
  <c r="AD19" i="29"/>
  <c r="Y19" i="29"/>
  <c r="S19" i="29"/>
  <c r="T19" i="29"/>
  <c r="U19" i="29"/>
  <c r="V19" i="29"/>
  <c r="R19" i="29"/>
  <c r="J19" i="29"/>
  <c r="K19" i="29"/>
  <c r="L19" i="29"/>
  <c r="M19" i="29"/>
  <c r="I19" i="29"/>
  <c r="E19" i="29"/>
  <c r="F19" i="29"/>
  <c r="G19" i="29"/>
  <c r="H19" i="29"/>
  <c r="D19" i="29"/>
  <c r="Y6" i="14" l="1"/>
  <c r="C6" i="14"/>
  <c r="D6" i="15"/>
  <c r="E6" i="15"/>
  <c r="F6" i="15"/>
  <c r="Z6" i="15"/>
  <c r="W5" i="29"/>
  <c r="X5" i="29"/>
  <c r="P27" i="20"/>
  <c r="AC21" i="3"/>
  <c r="AC20" i="3"/>
  <c r="AC19" i="3"/>
  <c r="AC16" i="3"/>
  <c r="AC15" i="3"/>
  <c r="AC13" i="3"/>
  <c r="AH21" i="3"/>
  <c r="AH20" i="3"/>
  <c r="AH19" i="3"/>
  <c r="AH16" i="3"/>
  <c r="AH15" i="3"/>
  <c r="AH13" i="3"/>
  <c r="X21" i="3"/>
  <c r="X20" i="3"/>
  <c r="X19" i="3"/>
  <c r="X16" i="3"/>
  <c r="X15" i="3"/>
  <c r="X13" i="3"/>
  <c r="S21" i="3"/>
  <c r="S20" i="3"/>
  <c r="S19" i="3"/>
  <c r="S16" i="3"/>
  <c r="S15" i="3"/>
  <c r="S13" i="3"/>
  <c r="N21" i="3"/>
  <c r="N20" i="3"/>
  <c r="N19" i="3"/>
  <c r="N16" i="3"/>
  <c r="N15" i="3"/>
  <c r="N13" i="3"/>
  <c r="I26" i="3"/>
  <c r="I21" i="3"/>
  <c r="I20" i="3"/>
  <c r="I19" i="3"/>
  <c r="I16" i="3"/>
  <c r="I15" i="3"/>
  <c r="I13" i="3"/>
  <c r="D21" i="3"/>
  <c r="D20" i="3"/>
  <c r="D19" i="3"/>
  <c r="D16" i="3"/>
  <c r="D15" i="3"/>
  <c r="D13" i="3"/>
  <c r="AO5" i="29" l="1"/>
  <c r="AP5" i="29"/>
  <c r="AQ5" i="29"/>
  <c r="AN5" i="29"/>
  <c r="AR5" i="29"/>
  <c r="AS5" i="29"/>
  <c r="AJ5" i="29"/>
  <c r="AL5" i="29"/>
  <c r="AI5" i="29"/>
  <c r="AK5" i="29"/>
  <c r="AH5" i="29"/>
  <c r="AM5" i="29"/>
  <c r="D26" i="3"/>
  <c r="K6" i="24" l="1"/>
  <c r="U45" i="11" l="1"/>
  <c r="U22" i="11" l="1"/>
  <c r="U21" i="11"/>
  <c r="U20" i="11"/>
  <c r="U19" i="11"/>
  <c r="U17" i="11"/>
  <c r="U16" i="11"/>
  <c r="U14" i="11"/>
  <c r="U8" i="11"/>
  <c r="U10" i="11" s="1"/>
  <c r="U5" i="11"/>
  <c r="U25" i="11" s="1"/>
  <c r="R22" i="11"/>
  <c r="R21" i="11"/>
  <c r="R20" i="11"/>
  <c r="R19" i="11"/>
  <c r="R17" i="11"/>
  <c r="R16" i="11"/>
  <c r="R14" i="11"/>
  <c r="R8" i="11"/>
  <c r="R10" i="11" s="1"/>
  <c r="R5" i="11"/>
  <c r="R25" i="11" s="1"/>
  <c r="O22" i="11"/>
  <c r="O21" i="11"/>
  <c r="O20" i="11"/>
  <c r="O19" i="11"/>
  <c r="O17" i="11"/>
  <c r="O16" i="11"/>
  <c r="O14" i="11"/>
  <c r="O8" i="11"/>
  <c r="O10" i="11" s="1"/>
  <c r="O5" i="11"/>
  <c r="O25" i="11" s="1"/>
  <c r="L22" i="11"/>
  <c r="L21" i="11"/>
  <c r="L20" i="11"/>
  <c r="L19" i="11"/>
  <c r="L17" i="11"/>
  <c r="L16" i="11"/>
  <c r="L14" i="11"/>
  <c r="L8" i="11"/>
  <c r="L10" i="11" s="1"/>
  <c r="L5" i="11"/>
  <c r="L25" i="11" s="1"/>
  <c r="I22" i="11"/>
  <c r="I21" i="11"/>
  <c r="I20" i="11"/>
  <c r="I19" i="11"/>
  <c r="I17" i="11"/>
  <c r="I16" i="11"/>
  <c r="I14" i="11"/>
  <c r="I8" i="11"/>
  <c r="I10" i="11" s="1"/>
  <c r="I5" i="11"/>
  <c r="I25" i="11" s="1"/>
  <c r="F22" i="11"/>
  <c r="F21" i="11"/>
  <c r="F20" i="11"/>
  <c r="F19" i="11"/>
  <c r="F17" i="11"/>
  <c r="F16" i="11"/>
  <c r="F14" i="11"/>
  <c r="O92" i="23" l="1"/>
  <c r="C40" i="8"/>
  <c r="C18" i="8"/>
  <c r="C9" i="8"/>
  <c r="E40" i="8"/>
  <c r="F40" i="8"/>
  <c r="G40" i="8"/>
  <c r="H40" i="8"/>
  <c r="I40" i="8"/>
  <c r="D40" i="8"/>
  <c r="I18" i="8"/>
  <c r="H9" i="8" l="1"/>
  <c r="G9" i="8"/>
  <c r="F9" i="8"/>
  <c r="E9" i="8"/>
  <c r="D9" i="8"/>
  <c r="E18" i="8"/>
  <c r="F18" i="8"/>
  <c r="G18" i="8"/>
  <c r="H18" i="8"/>
  <c r="D18" i="8"/>
  <c r="R46" i="3"/>
  <c r="H46" i="3"/>
  <c r="AH45" i="3"/>
  <c r="AH44" i="3"/>
  <c r="AH42" i="3"/>
  <c r="AH40" i="3"/>
  <c r="AC45" i="3"/>
  <c r="AC44" i="3"/>
  <c r="AC42" i="3"/>
  <c r="AC40" i="3"/>
  <c r="X45" i="3"/>
  <c r="X44" i="3"/>
  <c r="X42" i="3"/>
  <c r="X40" i="3"/>
  <c r="S45" i="3"/>
  <c r="S44" i="3"/>
  <c r="S42" i="3"/>
  <c r="S40" i="3"/>
  <c r="N45" i="3"/>
  <c r="N44" i="3"/>
  <c r="N42" i="3"/>
  <c r="N40" i="3"/>
  <c r="I42" i="3"/>
  <c r="I45" i="3"/>
  <c r="I44" i="3"/>
  <c r="I40" i="3"/>
  <c r="I46" i="3" s="1"/>
  <c r="AH23" i="3"/>
  <c r="AH22" i="3"/>
  <c r="AH18" i="3"/>
  <c r="AH17" i="3"/>
  <c r="AH14" i="3"/>
  <c r="AC23" i="3"/>
  <c r="AC22" i="3"/>
  <c r="AC18" i="3"/>
  <c r="AC17" i="3"/>
  <c r="AC14" i="3"/>
  <c r="X23" i="3"/>
  <c r="X22" i="3"/>
  <c r="X18" i="3"/>
  <c r="X17" i="3"/>
  <c r="X14" i="3"/>
  <c r="S23" i="3"/>
  <c r="S22" i="3"/>
  <c r="S18" i="3"/>
  <c r="S17" i="3"/>
  <c r="S14" i="3"/>
  <c r="N23" i="3"/>
  <c r="N22" i="3"/>
  <c r="N18" i="3"/>
  <c r="N17" i="3"/>
  <c r="N14" i="3"/>
  <c r="I23" i="3"/>
  <c r="I22" i="3"/>
  <c r="I18" i="3"/>
  <c r="I17" i="3"/>
  <c r="I14" i="3"/>
  <c r="C46" i="3" l="1"/>
  <c r="D53" i="18"/>
  <c r="E120" i="18"/>
  <c r="O112" i="18" l="1"/>
  <c r="D112" i="18"/>
  <c r="E113" i="18"/>
  <c r="D94" i="23" l="1"/>
  <c r="D95" i="23"/>
  <c r="D96" i="23"/>
  <c r="D97" i="23"/>
  <c r="D98" i="23"/>
  <c r="D99" i="23"/>
  <c r="D92" i="23" l="1"/>
  <c r="D93" i="23" s="1"/>
  <c r="C39" i="8" s="1"/>
  <c r="AF93" i="23"/>
  <c r="K93" i="23"/>
  <c r="J93" i="23"/>
  <c r="I39" i="8" s="1"/>
  <c r="I93" i="23"/>
  <c r="H39" i="8" s="1"/>
  <c r="H93" i="23"/>
  <c r="G39" i="8" s="1"/>
  <c r="G93" i="23"/>
  <c r="F39" i="8" s="1"/>
  <c r="F93" i="23"/>
  <c r="E39" i="8" s="1"/>
  <c r="E93" i="23"/>
  <c r="D39" i="8" s="1"/>
  <c r="M92" i="23"/>
  <c r="P88" i="22"/>
  <c r="AI92" i="23" s="1"/>
  <c r="G89" i="22"/>
  <c r="H89" i="22"/>
  <c r="I89" i="22"/>
  <c r="J89" i="22"/>
  <c r="K89" i="22"/>
  <c r="L89" i="22"/>
  <c r="M89" i="22"/>
  <c r="N89" i="22"/>
  <c r="O89" i="22"/>
  <c r="F89" i="22"/>
  <c r="P108" i="20"/>
  <c r="P89" i="22" l="1"/>
  <c r="L93" i="23"/>
  <c r="AN92" i="23"/>
  <c r="O93" i="23"/>
  <c r="L92" i="23"/>
  <c r="AO92" i="23"/>
  <c r="AN93" i="23"/>
  <c r="K102" i="20"/>
  <c r="K38" i="26" s="1"/>
  <c r="L102" i="20"/>
  <c r="M102" i="20"/>
  <c r="N102" i="20"/>
  <c r="O102" i="20"/>
  <c r="R113" i="18"/>
  <c r="M38" i="26" l="1"/>
  <c r="N38" i="26"/>
  <c r="O38" i="26"/>
  <c r="AO93" i="23"/>
  <c r="M93" i="23"/>
  <c r="AH12" i="3"/>
  <c r="AC12" i="3"/>
  <c r="X12" i="3"/>
  <c r="S12" i="3"/>
  <c r="N12" i="3"/>
  <c r="I12" i="3"/>
  <c r="AH9" i="3"/>
  <c r="AC9" i="3"/>
  <c r="X9" i="3"/>
  <c r="S9" i="3"/>
  <c r="N9" i="3"/>
  <c r="I9" i="3"/>
  <c r="S46" i="3"/>
  <c r="AH46" i="3"/>
  <c r="AC46" i="3"/>
  <c r="X46" i="3"/>
  <c r="N46" i="3"/>
  <c r="D46" i="3"/>
  <c r="P5" i="24"/>
  <c r="E12" i="23" l="1"/>
  <c r="D12" i="8" s="1"/>
  <c r="E24" i="18"/>
  <c r="E111" i="18"/>
  <c r="F120" i="18"/>
  <c r="F100" i="23"/>
  <c r="E100" i="23"/>
  <c r="D41" i="8" l="1"/>
  <c r="E41" i="8"/>
  <c r="Z17" i="15"/>
  <c r="Z15" i="15"/>
  <c r="Z14" i="15"/>
  <c r="Z12" i="15"/>
  <c r="Z11" i="15"/>
  <c r="Z10" i="15"/>
  <c r="Z9" i="15"/>
  <c r="Z7" i="15"/>
  <c r="Z5" i="15"/>
  <c r="O94" i="23"/>
  <c r="O99" i="23"/>
  <c r="M99" i="23" s="1"/>
  <c r="O97" i="23"/>
  <c r="M97" i="23" s="1"/>
  <c r="O96" i="23"/>
  <c r="M96" i="23" s="1"/>
  <c r="P93" i="22"/>
  <c r="AI97" i="23" s="1"/>
  <c r="AG97" i="23" s="1"/>
  <c r="P92" i="22"/>
  <c r="AI96" i="23" s="1"/>
  <c r="AG96" i="23" s="1"/>
  <c r="L99" i="23"/>
  <c r="L94" i="23"/>
  <c r="L97" i="23"/>
  <c r="K100" i="23"/>
  <c r="J100" i="23"/>
  <c r="I100" i="23"/>
  <c r="H100" i="23"/>
  <c r="G100" i="23"/>
  <c r="L96" i="23"/>
  <c r="K81" i="20"/>
  <c r="F41" i="8" l="1"/>
  <c r="G41" i="8"/>
  <c r="H41" i="8"/>
  <c r="I41" i="8"/>
  <c r="AL96" i="23"/>
  <c r="AH96" i="23"/>
  <c r="AL97" i="23"/>
  <c r="AH97" i="23"/>
  <c r="AA96" i="23"/>
  <c r="Y96" i="23" s="1"/>
  <c r="AA97" i="23"/>
  <c r="Y97" i="23" s="1"/>
  <c r="M94" i="23"/>
  <c r="U96" i="23"/>
  <c r="S96" i="23" s="1"/>
  <c r="AE96" i="23"/>
  <c r="X96" i="23"/>
  <c r="V96" i="23" s="1"/>
  <c r="R97" i="23"/>
  <c r="P97" i="23" s="1"/>
  <c r="AD97" i="23"/>
  <c r="AE97" i="23"/>
  <c r="R96" i="23"/>
  <c r="P96" i="23" s="1"/>
  <c r="AD96" i="23"/>
  <c r="X97" i="23"/>
  <c r="V97" i="23" s="1"/>
  <c r="U97" i="23"/>
  <c r="S97" i="23" s="1"/>
  <c r="AJ96" i="23" l="1"/>
  <c r="AB97" i="23"/>
  <c r="AJ97" i="23"/>
  <c r="AB96" i="23"/>
  <c r="V142" i="32" l="1"/>
  <c r="S142" i="32"/>
  <c r="P142" i="32"/>
  <c r="M142" i="32"/>
  <c r="J142" i="32"/>
  <c r="G142" i="32"/>
  <c r="D142" i="32"/>
  <c r="V10" i="9"/>
  <c r="S10" i="9"/>
  <c r="P10" i="9"/>
  <c r="M10" i="9"/>
  <c r="J10" i="9"/>
  <c r="G10" i="9"/>
  <c r="D10" i="9"/>
  <c r="AF10" i="9" s="1"/>
  <c r="C8" i="9"/>
  <c r="AE8" i="9" s="1"/>
  <c r="V7" i="9"/>
  <c r="S7" i="9"/>
  <c r="P7" i="9"/>
  <c r="M7" i="9"/>
  <c r="J7" i="9"/>
  <c r="G7" i="9"/>
  <c r="D7" i="9"/>
  <c r="C25" i="26"/>
  <c r="S44" i="30"/>
  <c r="M40" i="30"/>
  <c r="M42" i="30"/>
  <c r="N42" i="30"/>
  <c r="R42" i="30" s="1"/>
  <c r="O42" i="30"/>
  <c r="M44" i="30"/>
  <c r="N44" i="30"/>
  <c r="O44" i="30"/>
  <c r="P44" i="30"/>
  <c r="R44" i="30"/>
  <c r="M39" i="30"/>
  <c r="K44" i="30"/>
  <c r="R25" i="30"/>
  <c r="P25" i="30"/>
  <c r="O25" i="30"/>
  <c r="S25" i="30" s="1"/>
  <c r="N25" i="30"/>
  <c r="M25" i="30"/>
  <c r="Q25" i="30" s="1"/>
  <c r="O24" i="30"/>
  <c r="N24" i="30"/>
  <c r="R24" i="30" s="1"/>
  <c r="M24" i="30"/>
  <c r="R22" i="30"/>
  <c r="P22" i="30"/>
  <c r="O22" i="30"/>
  <c r="S22" i="30" s="1"/>
  <c r="N22" i="30"/>
  <c r="M22" i="30"/>
  <c r="S21" i="30"/>
  <c r="Q21" i="30"/>
  <c r="P21" i="30"/>
  <c r="O21" i="30"/>
  <c r="N21" i="30"/>
  <c r="R21" i="30" s="1"/>
  <c r="M21" i="30"/>
  <c r="R20" i="30"/>
  <c r="P20" i="30"/>
  <c r="O20" i="30"/>
  <c r="S20" i="30" s="1"/>
  <c r="N20" i="30"/>
  <c r="M20" i="30"/>
  <c r="Q20" i="30" s="1"/>
  <c r="P19" i="30"/>
  <c r="O19" i="30"/>
  <c r="N19" i="30"/>
  <c r="R19" i="30" s="1"/>
  <c r="M19" i="30"/>
  <c r="O18" i="30"/>
  <c r="R17" i="30"/>
  <c r="P17" i="30"/>
  <c r="O17" i="30"/>
  <c r="N17" i="30"/>
  <c r="M17" i="30"/>
  <c r="S16" i="30"/>
  <c r="P16" i="30"/>
  <c r="O16" i="30"/>
  <c r="N16" i="30"/>
  <c r="R16" i="30" s="1"/>
  <c r="M16" i="30"/>
  <c r="M15" i="30"/>
  <c r="R14" i="30"/>
  <c r="P14" i="30"/>
  <c r="O14" i="30"/>
  <c r="N14" i="30"/>
  <c r="M14" i="30"/>
  <c r="M13" i="30"/>
  <c r="M12" i="30"/>
  <c r="P11" i="30"/>
  <c r="O11" i="30"/>
  <c r="N11" i="30"/>
  <c r="M11" i="30"/>
  <c r="S10" i="30"/>
  <c r="P10" i="30"/>
  <c r="O10" i="30"/>
  <c r="N10" i="30"/>
  <c r="R10" i="30" s="1"/>
  <c r="M10" i="30"/>
  <c r="P9" i="30"/>
  <c r="O9" i="30"/>
  <c r="N9" i="30"/>
  <c r="M9" i="30"/>
  <c r="S8" i="30"/>
  <c r="P8" i="30"/>
  <c r="O8" i="30"/>
  <c r="N8" i="30"/>
  <c r="R8" i="30" s="1"/>
  <c r="M8" i="30"/>
  <c r="R5" i="30"/>
  <c r="Q5" i="30"/>
  <c r="P5" i="30"/>
  <c r="O5" i="30"/>
  <c r="N5" i="30"/>
  <c r="M5" i="30"/>
  <c r="U280" i="31"/>
  <c r="U281" i="31"/>
  <c r="U282" i="31"/>
  <c r="U283" i="31"/>
  <c r="U284" i="31"/>
  <c r="U285" i="31"/>
  <c r="U286" i="31"/>
  <c r="U287" i="31"/>
  <c r="U288" i="31"/>
  <c r="U289" i="31"/>
  <c r="U290" i="31"/>
  <c r="U291" i="31"/>
  <c r="U292" i="31"/>
  <c r="U293" i="31"/>
  <c r="U294" i="31"/>
  <c r="U295" i="31"/>
  <c r="U296" i="31"/>
  <c r="U297" i="31"/>
  <c r="U298" i="31"/>
  <c r="U299" i="31"/>
  <c r="U300" i="31"/>
  <c r="U301" i="31"/>
  <c r="U302" i="31"/>
  <c r="U303" i="31"/>
  <c r="U304" i="31"/>
  <c r="U305" i="31"/>
  <c r="U306" i="31"/>
  <c r="U307" i="31"/>
  <c r="U308" i="31"/>
  <c r="U309" i="31"/>
  <c r="U310" i="31"/>
  <c r="U311" i="31"/>
  <c r="U312" i="31"/>
  <c r="U313" i="31"/>
  <c r="U314" i="31"/>
  <c r="U315" i="31"/>
  <c r="U316" i="31"/>
  <c r="U317" i="31"/>
  <c r="U318" i="31"/>
  <c r="U319" i="31"/>
  <c r="U320" i="31"/>
  <c r="U321" i="31"/>
  <c r="U322" i="31"/>
  <c r="U326" i="31"/>
  <c r="U327" i="31"/>
  <c r="U328" i="31"/>
  <c r="U329" i="31"/>
  <c r="U330" i="31"/>
  <c r="U331" i="31"/>
  <c r="U332" i="31"/>
  <c r="U333" i="31"/>
  <c r="U334" i="31"/>
  <c r="U335" i="31"/>
  <c r="U336" i="31"/>
  <c r="U337" i="31"/>
  <c r="U338" i="31"/>
  <c r="U339" i="31"/>
  <c r="U340" i="31"/>
  <c r="U341" i="31"/>
  <c r="U342" i="31"/>
  <c r="U343" i="31"/>
  <c r="U344" i="31"/>
  <c r="U345" i="31"/>
  <c r="U346" i="31"/>
  <c r="U347" i="31"/>
  <c r="U348" i="31"/>
  <c r="U279" i="31"/>
  <c r="U237" i="31"/>
  <c r="U238" i="31"/>
  <c r="U239" i="31"/>
  <c r="U240" i="31"/>
  <c r="U241" i="31"/>
  <c r="U242" i="31"/>
  <c r="U243" i="31"/>
  <c r="U244" i="31"/>
  <c r="U245" i="31"/>
  <c r="U246" i="31"/>
  <c r="U247" i="31"/>
  <c r="U248" i="31"/>
  <c r="U249" i="31"/>
  <c r="U250" i="31"/>
  <c r="U251" i="31"/>
  <c r="U252" i="31"/>
  <c r="U253" i="31"/>
  <c r="U254" i="31"/>
  <c r="U255" i="31"/>
  <c r="U256" i="31"/>
  <c r="U257" i="31"/>
  <c r="U236" i="31"/>
  <c r="U190" i="31"/>
  <c r="U191" i="31"/>
  <c r="U192" i="31"/>
  <c r="U193" i="31"/>
  <c r="U194" i="31"/>
  <c r="U195" i="31"/>
  <c r="U196" i="31"/>
  <c r="U197" i="31"/>
  <c r="U198" i="31"/>
  <c r="U199" i="31"/>
  <c r="U200" i="31"/>
  <c r="U201" i="31"/>
  <c r="U202" i="31"/>
  <c r="U203" i="31"/>
  <c r="U204" i="31"/>
  <c r="U205" i="31"/>
  <c r="U206" i="31"/>
  <c r="U207" i="31"/>
  <c r="U208" i="31"/>
  <c r="U209" i="31"/>
  <c r="U210" i="31"/>
  <c r="U211" i="31"/>
  <c r="U212" i="31"/>
  <c r="U213" i="31"/>
  <c r="U214" i="31"/>
  <c r="U215" i="31"/>
  <c r="U216" i="31"/>
  <c r="U217" i="31"/>
  <c r="U218" i="31"/>
  <c r="U219" i="31"/>
  <c r="U220" i="31"/>
  <c r="U221" i="31"/>
  <c r="U222" i="31"/>
  <c r="U223" i="31"/>
  <c r="U224" i="31"/>
  <c r="U225" i="31"/>
  <c r="U226" i="31"/>
  <c r="U227" i="31"/>
  <c r="U228" i="31"/>
  <c r="U229" i="31"/>
  <c r="U230" i="31"/>
  <c r="U231" i="31"/>
  <c r="U232" i="31"/>
  <c r="U189" i="31"/>
  <c r="U132" i="31"/>
  <c r="U133" i="31"/>
  <c r="U134" i="31"/>
  <c r="U135" i="31"/>
  <c r="U136" i="31"/>
  <c r="U137" i="31"/>
  <c r="U138" i="31"/>
  <c r="U139" i="31"/>
  <c r="U140" i="31"/>
  <c r="U141" i="31"/>
  <c r="U142" i="31"/>
  <c r="U143" i="31"/>
  <c r="U144" i="31"/>
  <c r="U145" i="31"/>
  <c r="U146" i="31"/>
  <c r="U147" i="31"/>
  <c r="U148" i="31"/>
  <c r="U149" i="31"/>
  <c r="U150" i="31"/>
  <c r="U151" i="31"/>
  <c r="U152" i="31"/>
  <c r="U153" i="31"/>
  <c r="U154" i="31"/>
  <c r="U155" i="31"/>
  <c r="U156" i="31"/>
  <c r="U157" i="31"/>
  <c r="U158" i="31"/>
  <c r="U159" i="31"/>
  <c r="U160" i="31"/>
  <c r="U161" i="31"/>
  <c r="U162" i="31"/>
  <c r="U163" i="31"/>
  <c r="U164" i="31"/>
  <c r="U165" i="31"/>
  <c r="U166" i="31"/>
  <c r="U167" i="31"/>
  <c r="U168" i="31"/>
  <c r="U169" i="31"/>
  <c r="U170" i="31"/>
  <c r="U171" i="31"/>
  <c r="U172" i="31"/>
  <c r="U173" i="31"/>
  <c r="U174" i="31"/>
  <c r="U175" i="31"/>
  <c r="U176" i="31"/>
  <c r="U177" i="31"/>
  <c r="U178" i="31"/>
  <c r="U179" i="31"/>
  <c r="U180" i="31"/>
  <c r="U181" i="31"/>
  <c r="U182" i="31"/>
  <c r="U183" i="31"/>
  <c r="U184" i="31"/>
  <c r="U185" i="31"/>
  <c r="U131" i="31"/>
  <c r="U74" i="31"/>
  <c r="V74" i="31"/>
  <c r="U75" i="31"/>
  <c r="V75" i="31"/>
  <c r="U76" i="31"/>
  <c r="V76" i="31"/>
  <c r="U77" i="31"/>
  <c r="V77" i="31"/>
  <c r="U78" i="31"/>
  <c r="V78" i="31"/>
  <c r="U79" i="31"/>
  <c r="V79" i="31"/>
  <c r="U80" i="31"/>
  <c r="V80" i="31"/>
  <c r="U81" i="31"/>
  <c r="V81" i="31"/>
  <c r="U82" i="31"/>
  <c r="V82" i="31"/>
  <c r="U83" i="31"/>
  <c r="U84" i="31"/>
  <c r="U85" i="31"/>
  <c r="U86" i="31"/>
  <c r="U87" i="31"/>
  <c r="U88" i="31"/>
  <c r="U89" i="31"/>
  <c r="U90" i="31"/>
  <c r="U91" i="31"/>
  <c r="U92" i="31"/>
  <c r="U93" i="31"/>
  <c r="U94" i="31"/>
  <c r="U95" i="31"/>
  <c r="U98" i="31"/>
  <c r="U99" i="31"/>
  <c r="U102" i="31"/>
  <c r="U103" i="31"/>
  <c r="U104" i="31"/>
  <c r="U105" i="31"/>
  <c r="U106" i="31"/>
  <c r="U107" i="31"/>
  <c r="U108" i="31"/>
  <c r="U109" i="31"/>
  <c r="U110" i="31"/>
  <c r="U111" i="31"/>
  <c r="U112" i="31"/>
  <c r="U113" i="31"/>
  <c r="U114" i="31"/>
  <c r="U115" i="31"/>
  <c r="U116" i="31"/>
  <c r="U117" i="31"/>
  <c r="U118" i="31"/>
  <c r="U119" i="31"/>
  <c r="U120" i="31"/>
  <c r="U121" i="31"/>
  <c r="U122" i="31"/>
  <c r="U123" i="31"/>
  <c r="U124" i="31"/>
  <c r="U125" i="31"/>
  <c r="U126" i="31"/>
  <c r="U127" i="31"/>
  <c r="V73" i="31"/>
  <c r="U73" i="31"/>
  <c r="U5" i="31"/>
  <c r="U6" i="31"/>
  <c r="U7" i="31"/>
  <c r="U8" i="31"/>
  <c r="U9" i="31"/>
  <c r="U10" i="31"/>
  <c r="U11" i="31"/>
  <c r="U12" i="31"/>
  <c r="U13" i="31"/>
  <c r="U14" i="31"/>
  <c r="U15" i="31"/>
  <c r="U16" i="31"/>
  <c r="U17" i="31"/>
  <c r="U18" i="31"/>
  <c r="U19" i="31"/>
  <c r="U20" i="31"/>
  <c r="U21" i="31"/>
  <c r="U22" i="31"/>
  <c r="U23" i="31"/>
  <c r="U24" i="31"/>
  <c r="U25" i="31"/>
  <c r="U37" i="31"/>
  <c r="U38" i="31"/>
  <c r="U39" i="31"/>
  <c r="U40" i="31"/>
  <c r="U41" i="31"/>
  <c r="U42" i="31"/>
  <c r="U43" i="31"/>
  <c r="U44" i="31"/>
  <c r="U45" i="31"/>
  <c r="U46" i="31"/>
  <c r="U47" i="31"/>
  <c r="U48" i="31"/>
  <c r="V48" i="31"/>
  <c r="U49" i="31"/>
  <c r="V49" i="31"/>
  <c r="U50" i="31"/>
  <c r="V50" i="31"/>
  <c r="U51" i="31"/>
  <c r="V51" i="31"/>
  <c r="U52" i="31"/>
  <c r="V52" i="31"/>
  <c r="U53" i="31"/>
  <c r="V53" i="31"/>
  <c r="U54" i="31"/>
  <c r="V54" i="31"/>
  <c r="U55" i="31"/>
  <c r="V55" i="31"/>
  <c r="U56" i="31"/>
  <c r="V56" i="31"/>
  <c r="U57" i="31"/>
  <c r="V57" i="31"/>
  <c r="U58" i="31"/>
  <c r="U59" i="31"/>
  <c r="U62" i="31"/>
  <c r="U63" i="31"/>
  <c r="U66" i="31"/>
  <c r="U67" i="31"/>
  <c r="U68" i="31"/>
  <c r="U69" i="31"/>
  <c r="H162" i="31"/>
  <c r="J162" i="31" s="1"/>
  <c r="L162" i="31" s="1"/>
  <c r="N162" i="31" s="1"/>
  <c r="U4" i="31"/>
  <c r="AN13" i="23"/>
  <c r="AL44" i="24"/>
  <c r="AL45" i="24"/>
  <c r="AL46" i="24"/>
  <c r="AL47" i="24"/>
  <c r="AL48" i="24"/>
  <c r="AL43" i="24"/>
  <c r="AL6" i="24"/>
  <c r="AL8" i="24"/>
  <c r="AM8" i="24"/>
  <c r="AL9" i="24"/>
  <c r="AL11" i="24"/>
  <c r="AM11" i="24"/>
  <c r="AL12" i="24"/>
  <c r="AL14" i="24"/>
  <c r="AM14" i="24"/>
  <c r="AL15" i="24"/>
  <c r="AL16" i="24"/>
  <c r="AM16" i="24"/>
  <c r="AL17" i="24"/>
  <c r="AM17" i="24"/>
  <c r="AL18" i="24"/>
  <c r="AL19" i="24"/>
  <c r="AL20" i="24"/>
  <c r="AM20" i="24"/>
  <c r="AL21" i="24"/>
  <c r="AM21" i="24"/>
  <c r="AL22" i="24"/>
  <c r="AM22" i="24"/>
  <c r="AL23" i="24"/>
  <c r="AL24" i="24"/>
  <c r="AL25" i="24"/>
  <c r="AM5" i="24"/>
  <c r="AL5" i="24"/>
  <c r="AF7" i="9" l="1"/>
  <c r="AL11" i="8"/>
  <c r="AK11" i="8"/>
  <c r="AL8" i="8"/>
  <c r="AK8" i="8"/>
  <c r="AK5" i="8"/>
  <c r="AU20" i="18"/>
  <c r="AU25" i="18"/>
  <c r="AU29" i="18"/>
  <c r="AU39" i="18"/>
  <c r="AV39" i="18"/>
  <c r="AU41" i="18"/>
  <c r="AU45" i="18"/>
  <c r="AU48" i="18"/>
  <c r="AV48" i="18"/>
  <c r="AU49" i="18"/>
  <c r="AV49" i="18"/>
  <c r="AU53" i="18"/>
  <c r="AU64" i="18"/>
  <c r="AU76" i="18"/>
  <c r="AU80" i="18"/>
  <c r="AU84" i="18"/>
  <c r="O79" i="18"/>
  <c r="O78" i="18"/>
  <c r="O77" i="18"/>
  <c r="AQ9" i="7" l="1"/>
  <c r="AS9" i="7"/>
  <c r="E17" i="15" l="1"/>
  <c r="E15" i="15"/>
  <c r="E14" i="15"/>
  <c r="E12" i="15"/>
  <c r="E11" i="15"/>
  <c r="E10" i="15"/>
  <c r="E9" i="15"/>
  <c r="E5" i="15"/>
  <c r="E7" i="15"/>
  <c r="W340" i="32" l="1"/>
  <c r="V340" i="32"/>
  <c r="Z340" i="32" s="1"/>
  <c r="U340" i="32"/>
  <c r="Y340" i="32" s="1"/>
  <c r="S340" i="32"/>
  <c r="R340" i="32"/>
  <c r="P340" i="32"/>
  <c r="O340" i="32"/>
  <c r="M340" i="32"/>
  <c r="L340" i="32"/>
  <c r="J340" i="32"/>
  <c r="I340" i="32"/>
  <c r="G340" i="32"/>
  <c r="F340" i="32"/>
  <c r="D340" i="32"/>
  <c r="D339" i="32"/>
  <c r="E338" i="32"/>
  <c r="E337" i="32"/>
  <c r="D337" i="32"/>
  <c r="C340" i="32"/>
  <c r="C338" i="32"/>
  <c r="C337" i="32"/>
  <c r="W325" i="32"/>
  <c r="V325" i="32"/>
  <c r="Z325" i="32" s="1"/>
  <c r="U325" i="32"/>
  <c r="S325" i="32"/>
  <c r="R325" i="32"/>
  <c r="P325" i="32"/>
  <c r="O325" i="32"/>
  <c r="M325" i="32"/>
  <c r="L325" i="32"/>
  <c r="J325" i="32"/>
  <c r="I325" i="32"/>
  <c r="G325" i="32"/>
  <c r="F325" i="32"/>
  <c r="D325" i="32"/>
  <c r="D324" i="32"/>
  <c r="E323" i="32"/>
  <c r="D323" i="32"/>
  <c r="D322" i="32"/>
  <c r="W310" i="32"/>
  <c r="V310" i="32"/>
  <c r="U310" i="32"/>
  <c r="S310" i="32"/>
  <c r="R310" i="32"/>
  <c r="P310" i="32"/>
  <c r="O310" i="32"/>
  <c r="M310" i="32"/>
  <c r="L310" i="32"/>
  <c r="J310" i="32"/>
  <c r="I310" i="32"/>
  <c r="G310" i="32"/>
  <c r="F310" i="32"/>
  <c r="D310" i="32"/>
  <c r="D309" i="32"/>
  <c r="E308" i="32"/>
  <c r="D308" i="32"/>
  <c r="D307" i="32"/>
  <c r="C325" i="32"/>
  <c r="C310" i="32"/>
  <c r="C323" i="32"/>
  <c r="C308" i="32"/>
  <c r="C322" i="32"/>
  <c r="C307" i="32"/>
  <c r="Z293" i="32"/>
  <c r="W295" i="32"/>
  <c r="V295" i="32"/>
  <c r="U295" i="32"/>
  <c r="S295" i="32"/>
  <c r="R295" i="32"/>
  <c r="P295" i="32"/>
  <c r="O295" i="32"/>
  <c r="M295" i="32"/>
  <c r="L295" i="32"/>
  <c r="J295" i="32"/>
  <c r="I295" i="32"/>
  <c r="G295" i="32"/>
  <c r="F295" i="32"/>
  <c r="D295" i="32"/>
  <c r="D294" i="32"/>
  <c r="V293" i="32"/>
  <c r="S293" i="32"/>
  <c r="P293" i="32"/>
  <c r="M293" i="32"/>
  <c r="J293" i="32"/>
  <c r="G293" i="32"/>
  <c r="F293" i="32"/>
  <c r="E293" i="32"/>
  <c r="D293" i="32"/>
  <c r="D292" i="32"/>
  <c r="W280" i="32"/>
  <c r="V280" i="32"/>
  <c r="Z280" i="32" s="1"/>
  <c r="U280" i="32"/>
  <c r="Y280" i="32" s="1"/>
  <c r="S280" i="32"/>
  <c r="R280" i="32"/>
  <c r="P280" i="32"/>
  <c r="O280" i="32"/>
  <c r="M280" i="32"/>
  <c r="L280" i="32"/>
  <c r="J280" i="32"/>
  <c r="I280" i="32"/>
  <c r="G280" i="32"/>
  <c r="F280" i="32"/>
  <c r="D280" i="32"/>
  <c r="D279" i="32"/>
  <c r="E278" i="32"/>
  <c r="D278" i="32"/>
  <c r="E277" i="32"/>
  <c r="D277" i="32"/>
  <c r="C295" i="32"/>
  <c r="C280" i="32"/>
  <c r="C293" i="32"/>
  <c r="C278" i="32"/>
  <c r="C292" i="32"/>
  <c r="C277" i="32"/>
  <c r="Z263" i="32"/>
  <c r="Z248" i="32"/>
  <c r="W265" i="32"/>
  <c r="V265" i="32"/>
  <c r="Z265" i="32" s="1"/>
  <c r="U265" i="32"/>
  <c r="Y265" i="32" s="1"/>
  <c r="S265" i="32"/>
  <c r="R265" i="32"/>
  <c r="P265" i="32"/>
  <c r="O265" i="32"/>
  <c r="M265" i="32"/>
  <c r="L265" i="32"/>
  <c r="J265" i="32"/>
  <c r="I265" i="32"/>
  <c r="G265" i="32"/>
  <c r="F265" i="32"/>
  <c r="D265" i="32"/>
  <c r="V264" i="32"/>
  <c r="Z264" i="32" s="1"/>
  <c r="S264" i="32"/>
  <c r="P264" i="32"/>
  <c r="M264" i="32"/>
  <c r="J264" i="32"/>
  <c r="G264" i="32"/>
  <c r="D264" i="32"/>
  <c r="V263" i="32"/>
  <c r="S263" i="32"/>
  <c r="P263" i="32"/>
  <c r="M263" i="32"/>
  <c r="J263" i="32"/>
  <c r="G263" i="32"/>
  <c r="F263" i="32"/>
  <c r="E262" i="32"/>
  <c r="D262" i="32"/>
  <c r="V250" i="32"/>
  <c r="Z250" i="32" s="1"/>
  <c r="U250" i="32"/>
  <c r="Y250" i="32" s="1"/>
  <c r="S250" i="32"/>
  <c r="R250" i="32"/>
  <c r="P250" i="32"/>
  <c r="O250" i="32"/>
  <c r="M250" i="32"/>
  <c r="L250" i="32"/>
  <c r="J250" i="32"/>
  <c r="I250" i="32"/>
  <c r="G250" i="32"/>
  <c r="F250" i="32"/>
  <c r="D250" i="32"/>
  <c r="D249" i="32"/>
  <c r="V248" i="32"/>
  <c r="S248" i="32"/>
  <c r="P248" i="32"/>
  <c r="M248" i="32"/>
  <c r="J248" i="32"/>
  <c r="G248" i="32"/>
  <c r="F248" i="32"/>
  <c r="D247" i="32"/>
  <c r="C265" i="32"/>
  <c r="C250" i="32"/>
  <c r="C263" i="32"/>
  <c r="C248" i="32"/>
  <c r="C262" i="32"/>
  <c r="C247" i="32"/>
  <c r="D234" i="32"/>
  <c r="E233" i="32"/>
  <c r="D233" i="32"/>
  <c r="D232" i="32"/>
  <c r="V219" i="32"/>
  <c r="Z219" i="32" s="1"/>
  <c r="U219" i="32"/>
  <c r="S219" i="32"/>
  <c r="R219" i="32"/>
  <c r="P219" i="32"/>
  <c r="O219" i="32"/>
  <c r="M219" i="32"/>
  <c r="L219" i="32"/>
  <c r="J219" i="32"/>
  <c r="I219" i="32"/>
  <c r="G219" i="32"/>
  <c r="F219" i="32"/>
  <c r="D219" i="32"/>
  <c r="D218" i="32"/>
  <c r="E217" i="32"/>
  <c r="D217" i="32"/>
  <c r="E216" i="32"/>
  <c r="D216" i="32"/>
  <c r="C219" i="32"/>
  <c r="C233" i="32"/>
  <c r="C217" i="32"/>
  <c r="C232" i="32"/>
  <c r="C216" i="32"/>
  <c r="E203" i="32"/>
  <c r="D203" i="32"/>
  <c r="E202" i="32"/>
  <c r="D202" i="32"/>
  <c r="E201" i="32"/>
  <c r="D201" i="32"/>
  <c r="V188" i="32"/>
  <c r="Z188" i="32" s="1"/>
  <c r="U188" i="32"/>
  <c r="S188" i="32"/>
  <c r="R188" i="32"/>
  <c r="P188" i="32"/>
  <c r="O188" i="32"/>
  <c r="M188" i="32"/>
  <c r="L188" i="32"/>
  <c r="J188" i="32"/>
  <c r="I188" i="32"/>
  <c r="G188" i="32"/>
  <c r="F188" i="32"/>
  <c r="D188" i="32"/>
  <c r="E187" i="32"/>
  <c r="D187" i="32"/>
  <c r="E185" i="32"/>
  <c r="D185" i="32"/>
  <c r="C188" i="32"/>
  <c r="C202" i="32"/>
  <c r="C186" i="32"/>
  <c r="C201" i="32"/>
  <c r="C185" i="32"/>
  <c r="Z171" i="32"/>
  <c r="Z156" i="32"/>
  <c r="V173" i="32"/>
  <c r="Z173" i="32" s="1"/>
  <c r="U173" i="32"/>
  <c r="S173" i="32"/>
  <c r="R173" i="32"/>
  <c r="P173" i="32"/>
  <c r="O173" i="32"/>
  <c r="M173" i="32"/>
  <c r="L173" i="32"/>
  <c r="J173" i="32"/>
  <c r="I173" i="32"/>
  <c r="G173" i="32"/>
  <c r="F173" i="32"/>
  <c r="D173" i="32"/>
  <c r="D172" i="32"/>
  <c r="V171" i="32"/>
  <c r="S171" i="32"/>
  <c r="P171" i="32"/>
  <c r="M171" i="32"/>
  <c r="J171" i="32"/>
  <c r="G171" i="32"/>
  <c r="F171" i="32"/>
  <c r="E170" i="32"/>
  <c r="D170" i="32"/>
  <c r="V158" i="32"/>
  <c r="Z158" i="32" s="1"/>
  <c r="U158" i="32"/>
  <c r="Y158" i="32" s="1"/>
  <c r="S158" i="32"/>
  <c r="R158" i="32"/>
  <c r="P158" i="32"/>
  <c r="O158" i="32"/>
  <c r="M158" i="32"/>
  <c r="L158" i="32"/>
  <c r="J158" i="32"/>
  <c r="I158" i="32"/>
  <c r="G158" i="32"/>
  <c r="F158" i="32"/>
  <c r="D158" i="32"/>
  <c r="D157" i="32"/>
  <c r="V156" i="32"/>
  <c r="S156" i="32"/>
  <c r="P156" i="32"/>
  <c r="M156" i="32"/>
  <c r="J156" i="32"/>
  <c r="G156" i="32"/>
  <c r="F156" i="32"/>
  <c r="E155" i="32"/>
  <c r="D155" i="32"/>
  <c r="C173" i="32"/>
  <c r="C158" i="32"/>
  <c r="C171" i="32"/>
  <c r="C156" i="32"/>
  <c r="C170" i="32"/>
  <c r="C155" i="32"/>
  <c r="V143" i="32"/>
  <c r="Z143" i="32" s="1"/>
  <c r="U143" i="32"/>
  <c r="Y143" i="32" s="1"/>
  <c r="S143" i="32"/>
  <c r="R143" i="32"/>
  <c r="P143" i="32"/>
  <c r="O143" i="32"/>
  <c r="M143" i="32"/>
  <c r="L143" i="32"/>
  <c r="J143" i="32"/>
  <c r="I143" i="32"/>
  <c r="G143" i="32"/>
  <c r="F143" i="32"/>
  <c r="D143" i="32"/>
  <c r="E141" i="32"/>
  <c r="D141" i="32"/>
  <c r="E140" i="32"/>
  <c r="D140" i="32"/>
  <c r="D127" i="32"/>
  <c r="E126" i="32"/>
  <c r="D126" i="32"/>
  <c r="E125" i="32"/>
  <c r="D125" i="32"/>
  <c r="C143" i="32"/>
  <c r="C141" i="32"/>
  <c r="C126" i="32"/>
  <c r="C140" i="32"/>
  <c r="C125" i="32"/>
  <c r="E110" i="32"/>
  <c r="D110" i="32"/>
  <c r="C110" i="32"/>
  <c r="E94" i="32"/>
  <c r="D94" i="32"/>
  <c r="C94" i="32"/>
  <c r="V113" i="32"/>
  <c r="Z113" i="32" s="1"/>
  <c r="U113" i="32"/>
  <c r="Y113" i="32" s="1"/>
  <c r="S113" i="32"/>
  <c r="R113" i="32"/>
  <c r="P113" i="32"/>
  <c r="O113" i="32"/>
  <c r="M113" i="32"/>
  <c r="L113" i="32"/>
  <c r="J113" i="32"/>
  <c r="I113" i="32"/>
  <c r="G113" i="32"/>
  <c r="F113" i="32"/>
  <c r="D113" i="32"/>
  <c r="D112" i="32"/>
  <c r="V97" i="32"/>
  <c r="Z97" i="32" s="1"/>
  <c r="U97" i="32"/>
  <c r="S97" i="32"/>
  <c r="R97" i="32"/>
  <c r="P97" i="32"/>
  <c r="O97" i="32"/>
  <c r="M97" i="32"/>
  <c r="L97" i="32"/>
  <c r="J97" i="32"/>
  <c r="I97" i="32"/>
  <c r="G97" i="32"/>
  <c r="F97" i="32"/>
  <c r="D97" i="32"/>
  <c r="D96" i="32"/>
  <c r="C113" i="32"/>
  <c r="C97" i="32"/>
  <c r="C95" i="32"/>
  <c r="C111" i="32"/>
  <c r="Z72" i="32"/>
  <c r="V79" i="32"/>
  <c r="Z79" i="32" s="1"/>
  <c r="U79" i="32"/>
  <c r="Y79" i="32" s="1"/>
  <c r="S79" i="32"/>
  <c r="R79" i="32"/>
  <c r="P79" i="32"/>
  <c r="O79" i="32"/>
  <c r="M79" i="32"/>
  <c r="L79" i="32"/>
  <c r="J79" i="32"/>
  <c r="I79" i="32"/>
  <c r="G79" i="32"/>
  <c r="F79" i="32"/>
  <c r="D79" i="32"/>
  <c r="V78" i="32"/>
  <c r="Z78" i="32" s="1"/>
  <c r="U78" i="32"/>
  <c r="Y78" i="32" s="1"/>
  <c r="S78" i="32"/>
  <c r="R78" i="32"/>
  <c r="P78" i="32"/>
  <c r="O78" i="32"/>
  <c r="M78" i="32"/>
  <c r="L78" i="32"/>
  <c r="J78" i="32"/>
  <c r="I78" i="32"/>
  <c r="G78" i="32"/>
  <c r="F78" i="32"/>
  <c r="D78" i="32"/>
  <c r="D76" i="32"/>
  <c r="V75" i="32"/>
  <c r="S75" i="32"/>
  <c r="P75" i="32"/>
  <c r="M75" i="32"/>
  <c r="J75" i="32"/>
  <c r="G75" i="32"/>
  <c r="D75" i="32"/>
  <c r="E73" i="32"/>
  <c r="D73" i="32"/>
  <c r="V72" i="32"/>
  <c r="S72" i="32"/>
  <c r="P72" i="32"/>
  <c r="M72" i="32"/>
  <c r="J72" i="32"/>
  <c r="G72" i="32"/>
  <c r="F72" i="32"/>
  <c r="E72" i="32"/>
  <c r="D72" i="32"/>
  <c r="D70" i="32"/>
  <c r="E69" i="32"/>
  <c r="D69" i="32"/>
  <c r="AA66" i="32"/>
  <c r="Z66" i="32"/>
  <c r="Y66" i="32"/>
  <c r="W66" i="32"/>
  <c r="V66" i="32"/>
  <c r="U66" i="32"/>
  <c r="T66" i="32"/>
  <c r="S66" i="32"/>
  <c r="R66" i="32"/>
  <c r="Q66" i="32"/>
  <c r="P66" i="32"/>
  <c r="O66" i="32"/>
  <c r="N66" i="32"/>
  <c r="M66" i="32"/>
  <c r="L66" i="32"/>
  <c r="K66" i="32"/>
  <c r="J66" i="32"/>
  <c r="I66" i="32"/>
  <c r="H66" i="32"/>
  <c r="G66" i="32"/>
  <c r="F66" i="32"/>
  <c r="E66" i="32"/>
  <c r="D66" i="32"/>
  <c r="C79" i="32"/>
  <c r="C73" i="32"/>
  <c r="C70" i="32"/>
  <c r="C78" i="32"/>
  <c r="C72" i="32"/>
  <c r="C69" i="32"/>
  <c r="C66" i="32"/>
  <c r="Z41" i="32"/>
  <c r="Z44" i="32"/>
  <c r="Z43" i="32"/>
  <c r="V50" i="32"/>
  <c r="Z50" i="32" s="1"/>
  <c r="U50" i="32"/>
  <c r="Y50" i="32" s="1"/>
  <c r="S50" i="32"/>
  <c r="R50" i="32"/>
  <c r="P50" i="32"/>
  <c r="O50" i="32"/>
  <c r="M50" i="32"/>
  <c r="L50" i="32"/>
  <c r="J50" i="32"/>
  <c r="I50" i="32"/>
  <c r="G50" i="32"/>
  <c r="F50" i="32"/>
  <c r="D50" i="32"/>
  <c r="V49" i="32"/>
  <c r="Z49" i="32" s="1"/>
  <c r="U49" i="32"/>
  <c r="Y49" i="32" s="1"/>
  <c r="S49" i="32"/>
  <c r="R49" i="32"/>
  <c r="P49" i="32"/>
  <c r="O49" i="32"/>
  <c r="M49" i="32"/>
  <c r="L49" i="32"/>
  <c r="J49" i="32"/>
  <c r="I49" i="32"/>
  <c r="G49" i="32"/>
  <c r="F49" i="32"/>
  <c r="D49" i="32"/>
  <c r="D47" i="32"/>
  <c r="D46" i="32"/>
  <c r="V44" i="32"/>
  <c r="S44" i="32"/>
  <c r="P44" i="32"/>
  <c r="M44" i="32"/>
  <c r="J44" i="32"/>
  <c r="G44" i="32"/>
  <c r="F44" i="32"/>
  <c r="E44" i="32"/>
  <c r="D44" i="32"/>
  <c r="V43" i="32"/>
  <c r="S43" i="32"/>
  <c r="P43" i="32"/>
  <c r="M43" i="32"/>
  <c r="J43" i="32"/>
  <c r="G43" i="32"/>
  <c r="F43" i="32"/>
  <c r="E43" i="32"/>
  <c r="D43" i="32"/>
  <c r="V41" i="32"/>
  <c r="S41" i="32"/>
  <c r="P41" i="32"/>
  <c r="M41" i="32"/>
  <c r="J41" i="32"/>
  <c r="G41" i="32"/>
  <c r="E41" i="32"/>
  <c r="D41" i="32"/>
  <c r="E40" i="32"/>
  <c r="D40" i="32"/>
  <c r="Z38" i="32"/>
  <c r="AA37" i="32"/>
  <c r="Z37" i="32"/>
  <c r="Y37" i="32"/>
  <c r="V38" i="32"/>
  <c r="S38" i="32"/>
  <c r="P38" i="32"/>
  <c r="M38" i="32"/>
  <c r="J38" i="32"/>
  <c r="G38" i="32"/>
  <c r="D38" i="32"/>
  <c r="W37" i="32"/>
  <c r="V37" i="32"/>
  <c r="U37" i="32"/>
  <c r="T37" i="32"/>
  <c r="S37" i="32"/>
  <c r="R37" i="32"/>
  <c r="Q37" i="32"/>
  <c r="P37" i="32"/>
  <c r="O37" i="32"/>
  <c r="N37" i="32"/>
  <c r="M37" i="32"/>
  <c r="L37" i="32"/>
  <c r="K37" i="32"/>
  <c r="J37" i="32"/>
  <c r="I37" i="32"/>
  <c r="H37" i="32"/>
  <c r="G37" i="32"/>
  <c r="F37" i="32"/>
  <c r="E37" i="32"/>
  <c r="D37" i="32"/>
  <c r="AA35" i="32"/>
  <c r="Z35" i="32"/>
  <c r="Y35" i="32"/>
  <c r="W35" i="32"/>
  <c r="V35" i="32"/>
  <c r="U35" i="32"/>
  <c r="T35" i="32"/>
  <c r="S35" i="32"/>
  <c r="R35" i="32"/>
  <c r="Q35" i="32"/>
  <c r="P35" i="32"/>
  <c r="O35" i="32"/>
  <c r="N35" i="32"/>
  <c r="M35" i="32"/>
  <c r="L35" i="32"/>
  <c r="K35" i="32"/>
  <c r="J35" i="32"/>
  <c r="I35" i="32"/>
  <c r="H35" i="32"/>
  <c r="G35" i="32"/>
  <c r="F35" i="32"/>
  <c r="E35" i="32"/>
  <c r="D35" i="32"/>
  <c r="C50" i="32"/>
  <c r="C44" i="32"/>
  <c r="C41" i="32"/>
  <c r="C35" i="32"/>
  <c r="C49" i="32"/>
  <c r="C43" i="32"/>
  <c r="C40" i="32"/>
  <c r="C37" i="32"/>
  <c r="AA340" i="32"/>
  <c r="Y325" i="32"/>
  <c r="AA310" i="32"/>
  <c r="Z310" i="32"/>
  <c r="Y310" i="32"/>
  <c r="Z295" i="32"/>
  <c r="Y295" i="32"/>
  <c r="AA280" i="32"/>
  <c r="AA265" i="32"/>
  <c r="Y219" i="32"/>
  <c r="Y188" i="32"/>
  <c r="Y173" i="32"/>
  <c r="Y97" i="32"/>
  <c r="Z75" i="32"/>
  <c r="D18" i="32"/>
  <c r="D17" i="32"/>
  <c r="E15" i="32"/>
  <c r="D15" i="32"/>
  <c r="E14" i="32"/>
  <c r="C15" i="32"/>
  <c r="C14" i="32"/>
  <c r="D12" i="32"/>
  <c r="E11" i="32"/>
  <c r="D11" i="32"/>
  <c r="C12" i="32"/>
  <c r="C11" i="32"/>
  <c r="AA8" i="32"/>
  <c r="Z8" i="32"/>
  <c r="Y8" i="32"/>
  <c r="W8" i="32"/>
  <c r="V8" i="32"/>
  <c r="U8" i="32"/>
  <c r="T8" i="32"/>
  <c r="S8" i="32"/>
  <c r="R8" i="32"/>
  <c r="Q8" i="32"/>
  <c r="P8" i="32"/>
  <c r="O8" i="32"/>
  <c r="N8" i="32"/>
  <c r="M8" i="32"/>
  <c r="L8" i="32"/>
  <c r="K8" i="32"/>
  <c r="J8" i="32"/>
  <c r="I8" i="32"/>
  <c r="H8" i="32"/>
  <c r="G8" i="32"/>
  <c r="F8" i="32"/>
  <c r="D8" i="32"/>
  <c r="AA325" i="32" l="1"/>
  <c r="AC37" i="32"/>
  <c r="AC66" i="32"/>
  <c r="AA295" i="32"/>
  <c r="AC35" i="32"/>
  <c r="Z80" i="32"/>
  <c r="Y80" i="32"/>
  <c r="V80" i="32"/>
  <c r="U80" i="32"/>
  <c r="S80" i="32"/>
  <c r="R80" i="32"/>
  <c r="P80" i="32"/>
  <c r="O80" i="32"/>
  <c r="M80" i="32"/>
  <c r="L80" i="32"/>
  <c r="J80" i="32"/>
  <c r="I80" i="32"/>
  <c r="G80" i="32"/>
  <c r="F80" i="32"/>
  <c r="D80" i="32"/>
  <c r="C80" i="32"/>
  <c r="D77" i="32"/>
  <c r="E74" i="32"/>
  <c r="D74" i="32"/>
  <c r="C74" i="32"/>
  <c r="D71" i="32"/>
  <c r="C71" i="32"/>
  <c r="X66" i="32"/>
  <c r="D53" i="32"/>
  <c r="Z51" i="32"/>
  <c r="Y51" i="32"/>
  <c r="V51" i="32"/>
  <c r="U51" i="32"/>
  <c r="S51" i="32"/>
  <c r="R51" i="32"/>
  <c r="P51" i="32"/>
  <c r="O51" i="32"/>
  <c r="M51" i="32"/>
  <c r="L51" i="32"/>
  <c r="J51" i="32"/>
  <c r="I51" i="32"/>
  <c r="G51" i="32"/>
  <c r="F51" i="32"/>
  <c r="D51" i="32"/>
  <c r="C51" i="32"/>
  <c r="D48" i="32"/>
  <c r="Z45" i="32"/>
  <c r="V45" i="32"/>
  <c r="S45" i="32"/>
  <c r="P45" i="32"/>
  <c r="M45" i="32"/>
  <c r="J45" i="32"/>
  <c r="G45" i="32"/>
  <c r="F45" i="32"/>
  <c r="E45" i="32"/>
  <c r="D45" i="32"/>
  <c r="C45" i="32"/>
  <c r="E42" i="32"/>
  <c r="D42" i="32"/>
  <c r="C42" i="32"/>
  <c r="Z39" i="32"/>
  <c r="V39" i="32"/>
  <c r="S39" i="32"/>
  <c r="P39" i="32"/>
  <c r="M39" i="32"/>
  <c r="J39" i="32"/>
  <c r="G39" i="32"/>
  <c r="D39" i="32"/>
  <c r="X37" i="32"/>
  <c r="D19" i="32" l="1"/>
  <c r="E16" i="32"/>
  <c r="C16" i="32"/>
  <c r="D13" i="32"/>
  <c r="C13" i="32"/>
  <c r="AC17" i="29" l="1"/>
  <c r="AB17" i="29"/>
  <c r="AA17" i="29"/>
  <c r="Z17" i="29"/>
  <c r="Y17" i="29"/>
  <c r="AD17" i="29" l="1"/>
  <c r="AD15" i="29"/>
  <c r="AD12" i="29"/>
  <c r="Y7" i="29" l="1"/>
  <c r="V7" i="29"/>
  <c r="U7" i="29"/>
  <c r="T7" i="29"/>
  <c r="S7" i="29"/>
  <c r="R7" i="29"/>
  <c r="AN16" i="29" l="1"/>
  <c r="AO16" i="29" s="1"/>
  <c r="AP16" i="29" s="1"/>
  <c r="AQ16" i="29" s="1"/>
  <c r="AR16" i="29" s="1"/>
  <c r="AS16" i="29" s="1"/>
  <c r="AI16" i="29"/>
  <c r="AJ16" i="29" s="1"/>
  <c r="AK16" i="29" s="1"/>
  <c r="AL16" i="29" s="1"/>
  <c r="AM16" i="29" s="1"/>
  <c r="AH16" i="29"/>
  <c r="AE13" i="14" l="1"/>
  <c r="AE10" i="14"/>
  <c r="W24" i="14"/>
  <c r="W22" i="14"/>
  <c r="W20" i="14"/>
  <c r="W19" i="14"/>
  <c r="W18" i="14"/>
  <c r="W17" i="14"/>
  <c r="W15" i="14"/>
  <c r="W14" i="14"/>
  <c r="W13" i="14"/>
  <c r="V13" i="14"/>
  <c r="U13" i="14"/>
  <c r="W12" i="14"/>
  <c r="W11" i="14"/>
  <c r="V10" i="14"/>
  <c r="U10" i="14"/>
  <c r="W9" i="14"/>
  <c r="W8" i="14"/>
  <c r="V17" i="15"/>
  <c r="V18" i="15" s="1"/>
  <c r="U23" i="14" s="1"/>
  <c r="U235" i="32" s="1"/>
  <c r="Y235" i="32" s="1"/>
  <c r="AM17" i="29"/>
  <c r="AD18" i="29"/>
  <c r="X14" i="29"/>
  <c r="AS14" i="29" s="1"/>
  <c r="AF15" i="15" s="1"/>
  <c r="W15" i="15" s="1"/>
  <c r="X13" i="29"/>
  <c r="AS13" i="29" s="1"/>
  <c r="X11" i="29"/>
  <c r="AN11" i="29" s="1"/>
  <c r="X10" i="29"/>
  <c r="AS10" i="29" s="1"/>
  <c r="AF11" i="15" s="1"/>
  <c r="X9" i="29"/>
  <c r="AS9" i="29" s="1"/>
  <c r="AF10" i="15" s="1"/>
  <c r="W10" i="15" s="1"/>
  <c r="X8" i="29"/>
  <c r="AS8" i="29" s="1"/>
  <c r="AF9" i="15" s="1"/>
  <c r="W9" i="15" s="1"/>
  <c r="W14" i="29"/>
  <c r="AM14" i="29" s="1"/>
  <c r="W13" i="29"/>
  <c r="AM13" i="29" s="1"/>
  <c r="V14" i="15" s="1"/>
  <c r="W11" i="29"/>
  <c r="AM11" i="29" s="1"/>
  <c r="V12" i="15" s="1"/>
  <c r="W10" i="29"/>
  <c r="AM10" i="29" s="1"/>
  <c r="V11" i="15" s="1"/>
  <c r="W9" i="29"/>
  <c r="AM9" i="29" s="1"/>
  <c r="V10" i="15" s="1"/>
  <c r="W8" i="29"/>
  <c r="AM8" i="29" s="1"/>
  <c r="E18" i="15"/>
  <c r="D17" i="15"/>
  <c r="F17" i="15" s="1"/>
  <c r="F18" i="15" s="1"/>
  <c r="D15" i="15"/>
  <c r="F15" i="15" s="1"/>
  <c r="D14" i="15"/>
  <c r="F14" i="15" s="1"/>
  <c r="F16" i="15" s="1"/>
  <c r="D12" i="15"/>
  <c r="F12" i="15" s="1"/>
  <c r="D11" i="15"/>
  <c r="F11" i="15" s="1"/>
  <c r="D10" i="15"/>
  <c r="F10" i="15" s="1"/>
  <c r="D9" i="15"/>
  <c r="F9" i="15" s="1"/>
  <c r="D7" i="15"/>
  <c r="F7" i="15" s="1"/>
  <c r="F20" i="15" s="1"/>
  <c r="D5" i="15"/>
  <c r="F5" i="15" s="1"/>
  <c r="AE44" i="14"/>
  <c r="AD44" i="14"/>
  <c r="AC44" i="14"/>
  <c r="AB44" i="14"/>
  <c r="AA44" i="14"/>
  <c r="Z44" i="14"/>
  <c r="Y44" i="14"/>
  <c r="D44" i="14"/>
  <c r="D40" i="4" s="1"/>
  <c r="F44" i="14"/>
  <c r="G44" i="14"/>
  <c r="I44" i="14"/>
  <c r="J44" i="14"/>
  <c r="L44" i="14"/>
  <c r="L40" i="4" s="1"/>
  <c r="M44" i="14"/>
  <c r="M40" i="4" s="1"/>
  <c r="O44" i="14"/>
  <c r="O40" i="4" s="1"/>
  <c r="P44" i="14"/>
  <c r="R44" i="14"/>
  <c r="S44" i="14"/>
  <c r="S40" i="4" s="1"/>
  <c r="U44" i="14"/>
  <c r="U40" i="4" s="1"/>
  <c r="Y40" i="4" s="1"/>
  <c r="V44" i="14"/>
  <c r="V40" i="4" s="1"/>
  <c r="Z40" i="4" s="1"/>
  <c r="W44" i="14"/>
  <c r="C44" i="14"/>
  <c r="C40" i="4" s="1"/>
  <c r="R40" i="4"/>
  <c r="P40" i="4"/>
  <c r="J40" i="4"/>
  <c r="I40" i="4"/>
  <c r="G40" i="4"/>
  <c r="F40" i="4"/>
  <c r="D37" i="4"/>
  <c r="C11" i="4"/>
  <c r="F13" i="15" l="1"/>
  <c r="F19" i="15" s="1"/>
  <c r="F21" i="15" s="1"/>
  <c r="F8" i="15"/>
  <c r="W49" i="32"/>
  <c r="W40" i="4"/>
  <c r="AA40" i="4" s="1"/>
  <c r="W78" i="32"/>
  <c r="W79" i="32"/>
  <c r="W50" i="32"/>
  <c r="W113" i="32"/>
  <c r="W143" i="32"/>
  <c r="W158" i="32"/>
  <c r="W173" i="32"/>
  <c r="W188" i="32"/>
  <c r="W219" i="32"/>
  <c r="W250" i="32"/>
  <c r="W97" i="32"/>
  <c r="AQ9" i="29"/>
  <c r="AO11" i="29"/>
  <c r="AS11" i="29"/>
  <c r="AF12" i="15" s="1"/>
  <c r="W12" i="15" s="1"/>
  <c r="X12" i="15" s="1"/>
  <c r="AH12" i="15" s="1"/>
  <c r="AD20" i="29"/>
  <c r="AN9" i="29"/>
  <c r="AP11" i="29"/>
  <c r="AO9" i="29"/>
  <c r="AQ11" i="29"/>
  <c r="AP9" i="29"/>
  <c r="AR11" i="29"/>
  <c r="AR9" i="29"/>
  <c r="AS17" i="29"/>
  <c r="AF17" i="15"/>
  <c r="AS15" i="29"/>
  <c r="AF14" i="15"/>
  <c r="AF16" i="15" s="1"/>
  <c r="AE21" i="14" s="1"/>
  <c r="AF13" i="15"/>
  <c r="AE16" i="14" s="1"/>
  <c r="AM15" i="29"/>
  <c r="V15" i="15"/>
  <c r="V16" i="15" s="1"/>
  <c r="U21" i="14" s="1"/>
  <c r="U204" i="32" s="1"/>
  <c r="Y204" i="32" s="1"/>
  <c r="E16" i="15"/>
  <c r="X10" i="15"/>
  <c r="AH10" i="15" s="1"/>
  <c r="AM12" i="29"/>
  <c r="V9" i="15"/>
  <c r="V13" i="15" s="1"/>
  <c r="U16" i="14" s="1"/>
  <c r="U128" i="32" s="1"/>
  <c r="Y128" i="32" s="1"/>
  <c r="W11" i="15"/>
  <c r="X11" i="15" s="1"/>
  <c r="AH11" i="15" s="1"/>
  <c r="W10" i="14"/>
  <c r="E13" i="15"/>
  <c r="E8" i="15"/>
  <c r="AS12" i="29"/>
  <c r="E20" i="15"/>
  <c r="AA173" i="32" l="1"/>
  <c r="AA50" i="32"/>
  <c r="AA188" i="32"/>
  <c r="AA113" i="32"/>
  <c r="AA97" i="32"/>
  <c r="AA158" i="32"/>
  <c r="AA250" i="32"/>
  <c r="AA143" i="32"/>
  <c r="AA79" i="32"/>
  <c r="AA219" i="32"/>
  <c r="AA49" i="32"/>
  <c r="AA51" i="32" s="1"/>
  <c r="W51" i="32"/>
  <c r="AA78" i="32"/>
  <c r="AA80" i="32" s="1"/>
  <c r="W80" i="32"/>
  <c r="AF18" i="15"/>
  <c r="AE23" i="14" s="1"/>
  <c r="W17" i="15"/>
  <c r="W14" i="15"/>
  <c r="X14" i="15" s="1"/>
  <c r="AH14" i="15" s="1"/>
  <c r="X15" i="15"/>
  <c r="AH15" i="15" s="1"/>
  <c r="E19" i="15"/>
  <c r="E21" i="15" s="1"/>
  <c r="X9" i="15"/>
  <c r="W13" i="15"/>
  <c r="V16" i="14" s="1"/>
  <c r="X13" i="15" l="1"/>
  <c r="AH13" i="15" s="1"/>
  <c r="AH9" i="15"/>
  <c r="W16" i="14"/>
  <c r="V128" i="32"/>
  <c r="Z128" i="32" s="1"/>
  <c r="X17" i="15"/>
  <c r="W18" i="15"/>
  <c r="V23" i="14" s="1"/>
  <c r="V235" i="32" s="1"/>
  <c r="Z235" i="32" s="1"/>
  <c r="W16" i="15"/>
  <c r="V21" i="14" s="1"/>
  <c r="V204" i="32" s="1"/>
  <c r="Z204" i="32" s="1"/>
  <c r="X16" i="15"/>
  <c r="AH16" i="15" s="1"/>
  <c r="G44" i="28"/>
  <c r="F44" i="28"/>
  <c r="E44" i="28"/>
  <c r="D44" i="28"/>
  <c r="C44" i="28"/>
  <c r="E43" i="13"/>
  <c r="E42" i="13"/>
  <c r="E41" i="13"/>
  <c r="E40" i="13"/>
  <c r="E39" i="13"/>
  <c r="E24" i="13"/>
  <c r="E23" i="13"/>
  <c r="E22" i="13"/>
  <c r="E218" i="32" s="1"/>
  <c r="C21" i="13"/>
  <c r="C203" i="32" s="1"/>
  <c r="C20" i="13"/>
  <c r="C187" i="32" s="1"/>
  <c r="E18" i="13"/>
  <c r="E17" i="13"/>
  <c r="E16" i="13"/>
  <c r="E15" i="13"/>
  <c r="E14" i="13"/>
  <c r="E12" i="13"/>
  <c r="E11" i="13"/>
  <c r="E9" i="13"/>
  <c r="E8" i="13"/>
  <c r="E6" i="13"/>
  <c r="E5" i="13"/>
  <c r="X18" i="15" l="1"/>
  <c r="AH18" i="15" s="1"/>
  <c r="AH17" i="15"/>
  <c r="C17" i="13"/>
  <c r="C142" i="32" s="1"/>
  <c r="E142" i="32"/>
  <c r="W128" i="32"/>
  <c r="C15" i="13"/>
  <c r="C112" i="32" s="1"/>
  <c r="E112" i="32"/>
  <c r="C5" i="13"/>
  <c r="C17" i="32" s="1"/>
  <c r="E17" i="32"/>
  <c r="C16" i="13"/>
  <c r="E127" i="32"/>
  <c r="C6" i="13"/>
  <c r="E18" i="32"/>
  <c r="C39" i="13"/>
  <c r="C264" i="32" s="1"/>
  <c r="E264" i="32"/>
  <c r="C14" i="13"/>
  <c r="C96" i="32" s="1"/>
  <c r="E96" i="32"/>
  <c r="C23" i="13"/>
  <c r="C234" i="32" s="1"/>
  <c r="E234" i="32"/>
  <c r="C22" i="13"/>
  <c r="C218" i="32" s="1"/>
  <c r="C24" i="13"/>
  <c r="C249" i="32" s="1"/>
  <c r="E249" i="32"/>
  <c r="C8" i="13"/>
  <c r="C46" i="32" s="1"/>
  <c r="E46" i="32"/>
  <c r="C18" i="13"/>
  <c r="C157" i="32" s="1"/>
  <c r="E157" i="32"/>
  <c r="C40" i="13"/>
  <c r="C279" i="32" s="1"/>
  <c r="E279" i="32"/>
  <c r="C41" i="13"/>
  <c r="C294" i="32" s="1"/>
  <c r="E294" i="32"/>
  <c r="C19" i="13"/>
  <c r="C172" i="32" s="1"/>
  <c r="E172" i="32"/>
  <c r="C11" i="13"/>
  <c r="C75" i="32" s="1"/>
  <c r="E75" i="32"/>
  <c r="C42" i="13"/>
  <c r="C309" i="32" s="1"/>
  <c r="E309" i="32"/>
  <c r="C44" i="13"/>
  <c r="C339" i="32" s="1"/>
  <c r="E339" i="32"/>
  <c r="C9" i="13"/>
  <c r="C47" i="32" s="1"/>
  <c r="E47" i="32"/>
  <c r="C12" i="13"/>
  <c r="C76" i="32" s="1"/>
  <c r="E76" i="32"/>
  <c r="C43" i="13"/>
  <c r="C324" i="32" s="1"/>
  <c r="E324" i="32"/>
  <c r="W23" i="14"/>
  <c r="W21" i="14"/>
  <c r="E19" i="32" l="1"/>
  <c r="AA128" i="32"/>
  <c r="W204" i="32"/>
  <c r="W235" i="32"/>
  <c r="C127" i="32"/>
  <c r="C26" i="13"/>
  <c r="C18" i="32"/>
  <c r="C19" i="32" s="1"/>
  <c r="E48" i="32"/>
  <c r="C77" i="32"/>
  <c r="C48" i="32"/>
  <c r="E77" i="32"/>
  <c r="G25" i="28"/>
  <c r="F25" i="28"/>
  <c r="E25" i="28"/>
  <c r="D25" i="28"/>
  <c r="C25" i="28"/>
  <c r="G24" i="28"/>
  <c r="F24" i="28"/>
  <c r="E24" i="28"/>
  <c r="D24" i="28"/>
  <c r="C24" i="28"/>
  <c r="AA204" i="32" l="1"/>
  <c r="AA235" i="32"/>
  <c r="O9" i="26" l="1"/>
  <c r="N9" i="26"/>
  <c r="M9" i="26"/>
  <c r="K9" i="26"/>
  <c r="AG26" i="3"/>
  <c r="AF10" i="3"/>
  <c r="AJ8" i="3"/>
  <c r="AE8" i="3"/>
  <c r="AF7" i="3"/>
  <c r="AF4" i="3"/>
  <c r="Z8" i="3"/>
  <c r="AA7" i="3"/>
  <c r="U8" i="3"/>
  <c r="P8" i="3"/>
  <c r="C26" i="3"/>
  <c r="K8" i="3"/>
  <c r="F8" i="3"/>
  <c r="E40" i="7"/>
  <c r="P43" i="3" s="1"/>
  <c r="D40" i="7"/>
  <c r="K43" i="3" s="1"/>
  <c r="D38" i="7"/>
  <c r="K41" i="3" s="1"/>
  <c r="D12" i="7"/>
  <c r="K11" i="3" s="1"/>
  <c r="AR49" i="18"/>
  <c r="AR48" i="18"/>
  <c r="AR39" i="18"/>
  <c r="AH41" i="8"/>
  <c r="Z306" i="32" s="1"/>
  <c r="AH40" i="8"/>
  <c r="Z291" i="32" s="1"/>
  <c r="AH39" i="8"/>
  <c r="Z276" i="32" s="1"/>
  <c r="AD41" i="8"/>
  <c r="V306" i="32" s="1"/>
  <c r="AA41" i="8"/>
  <c r="S306" i="32" s="1"/>
  <c r="X41" i="8"/>
  <c r="P306" i="32" s="1"/>
  <c r="U41" i="8"/>
  <c r="M306" i="32" s="1"/>
  <c r="R41" i="8"/>
  <c r="J306" i="32" s="1"/>
  <c r="O41" i="8"/>
  <c r="G306" i="32" s="1"/>
  <c r="L41" i="8"/>
  <c r="D306" i="32" s="1"/>
  <c r="AD40" i="8"/>
  <c r="V291" i="32" s="1"/>
  <c r="AA40" i="8"/>
  <c r="S291" i="32" s="1"/>
  <c r="X40" i="8"/>
  <c r="P291" i="32" s="1"/>
  <c r="U40" i="8"/>
  <c r="M291" i="32" s="1"/>
  <c r="R40" i="8"/>
  <c r="J291" i="32" s="1"/>
  <c r="O40" i="8"/>
  <c r="G291" i="32" s="1"/>
  <c r="M40" i="8"/>
  <c r="E291" i="32" s="1"/>
  <c r="L40" i="8"/>
  <c r="D291" i="32" s="1"/>
  <c r="AD39" i="8"/>
  <c r="V276" i="32" s="1"/>
  <c r="AA39" i="8"/>
  <c r="S276" i="32" s="1"/>
  <c r="X39" i="8"/>
  <c r="P276" i="32" s="1"/>
  <c r="U39" i="8"/>
  <c r="M276" i="32" s="1"/>
  <c r="R39" i="8"/>
  <c r="J276" i="32" s="1"/>
  <c r="O39" i="8"/>
  <c r="G276" i="32" s="1"/>
  <c r="M39" i="8"/>
  <c r="E276" i="32" s="1"/>
  <c r="L39" i="8"/>
  <c r="D276" i="32" s="1"/>
  <c r="K40" i="8"/>
  <c r="C291" i="32" s="1"/>
  <c r="AF42" i="3"/>
  <c r="AA42" i="3"/>
  <c r="V42" i="3"/>
  <c r="Q42" i="3"/>
  <c r="L42" i="3"/>
  <c r="AF41" i="3"/>
  <c r="AA41" i="3"/>
  <c r="V41" i="3"/>
  <c r="Q41" i="3"/>
  <c r="L41" i="3"/>
  <c r="G42" i="3"/>
  <c r="G41" i="3"/>
  <c r="AH21" i="8"/>
  <c r="Z200" i="32" s="1"/>
  <c r="AH20" i="8"/>
  <c r="Z184" i="32" s="1"/>
  <c r="AH18" i="8"/>
  <c r="Z154" i="32" s="1"/>
  <c r="AH17" i="8"/>
  <c r="Z139" i="32" s="1"/>
  <c r="AH16" i="8"/>
  <c r="Z124" i="32" s="1"/>
  <c r="AH14" i="8"/>
  <c r="Z93" i="32" s="1"/>
  <c r="AA21" i="8"/>
  <c r="S200" i="32" s="1"/>
  <c r="X21" i="8"/>
  <c r="P200" i="32" s="1"/>
  <c r="U21" i="8"/>
  <c r="M200" i="32" s="1"/>
  <c r="R21" i="8"/>
  <c r="J200" i="32" s="1"/>
  <c r="O21" i="8"/>
  <c r="G200" i="32" s="1"/>
  <c r="L21" i="8"/>
  <c r="D200" i="32" s="1"/>
  <c r="AA20" i="8"/>
  <c r="S184" i="32" s="1"/>
  <c r="X20" i="8"/>
  <c r="P184" i="32" s="1"/>
  <c r="U20" i="8"/>
  <c r="M184" i="32" s="1"/>
  <c r="R20" i="8"/>
  <c r="J184" i="32" s="1"/>
  <c r="O20" i="8"/>
  <c r="G184" i="32" s="1"/>
  <c r="L20" i="8"/>
  <c r="D184" i="32" s="1"/>
  <c r="AD18" i="8"/>
  <c r="V154" i="32" s="1"/>
  <c r="AA18" i="8"/>
  <c r="S154" i="32" s="1"/>
  <c r="X18" i="8"/>
  <c r="P154" i="32" s="1"/>
  <c r="U18" i="8"/>
  <c r="M154" i="32" s="1"/>
  <c r="R18" i="8"/>
  <c r="J154" i="32" s="1"/>
  <c r="O18" i="8"/>
  <c r="G154" i="32" s="1"/>
  <c r="M18" i="8"/>
  <c r="L18" i="8"/>
  <c r="D154" i="32" s="1"/>
  <c r="AA17" i="8"/>
  <c r="S139" i="32" s="1"/>
  <c r="X17" i="8"/>
  <c r="P139" i="32" s="1"/>
  <c r="U17" i="8"/>
  <c r="M139" i="32" s="1"/>
  <c r="R17" i="8"/>
  <c r="J139" i="32" s="1"/>
  <c r="O17" i="8"/>
  <c r="G139" i="32" s="1"/>
  <c r="L17" i="8"/>
  <c r="D139" i="32" s="1"/>
  <c r="AD16" i="8"/>
  <c r="V124" i="32" s="1"/>
  <c r="AA16" i="8"/>
  <c r="S124" i="32" s="1"/>
  <c r="X16" i="8"/>
  <c r="P124" i="32" s="1"/>
  <c r="U16" i="8"/>
  <c r="M124" i="32" s="1"/>
  <c r="R16" i="8"/>
  <c r="J124" i="32" s="1"/>
  <c r="O16" i="8"/>
  <c r="G124" i="32" s="1"/>
  <c r="M16" i="8"/>
  <c r="L16" i="8"/>
  <c r="D124" i="32" s="1"/>
  <c r="AA14" i="8"/>
  <c r="S93" i="32" s="1"/>
  <c r="X14" i="8"/>
  <c r="P93" i="32" s="1"/>
  <c r="U14" i="8"/>
  <c r="M93" i="32" s="1"/>
  <c r="R14" i="8"/>
  <c r="J93" i="32" s="1"/>
  <c r="O14" i="8"/>
  <c r="G93" i="32" s="1"/>
  <c r="L14" i="8"/>
  <c r="D93" i="32" s="1"/>
  <c r="K16" i="8"/>
  <c r="C124" i="32" s="1"/>
  <c r="AK17" i="3"/>
  <c r="AF17" i="3"/>
  <c r="AA17" i="3"/>
  <c r="V17" i="3"/>
  <c r="Q17" i="3"/>
  <c r="L17" i="3"/>
  <c r="I16" i="8"/>
  <c r="H16" i="8"/>
  <c r="AF15" i="3" s="1"/>
  <c r="G16" i="8"/>
  <c r="AA15" i="3" s="1"/>
  <c r="F16" i="8"/>
  <c r="V15" i="3" s="1"/>
  <c r="E16" i="8"/>
  <c r="Q15" i="3" s="1"/>
  <c r="D16" i="8"/>
  <c r="L15" i="3" s="1"/>
  <c r="G17" i="3"/>
  <c r="AH12" i="8"/>
  <c r="Z67" i="32" s="1"/>
  <c r="Z68" i="32" s="1"/>
  <c r="AH11" i="8"/>
  <c r="AD12" i="8"/>
  <c r="V67" i="32" s="1"/>
  <c r="V68" i="32" s="1"/>
  <c r="AA12" i="8"/>
  <c r="S67" i="32" s="1"/>
  <c r="S68" i="32" s="1"/>
  <c r="X12" i="8"/>
  <c r="P67" i="32" s="1"/>
  <c r="P68" i="32" s="1"/>
  <c r="U12" i="8"/>
  <c r="M67" i="32" s="1"/>
  <c r="M68" i="32" s="1"/>
  <c r="R12" i="8"/>
  <c r="J67" i="32" s="1"/>
  <c r="J68" i="32" s="1"/>
  <c r="O12" i="8"/>
  <c r="G67" i="32" s="1"/>
  <c r="G68" i="32" s="1"/>
  <c r="L12" i="8"/>
  <c r="D67" i="32" s="1"/>
  <c r="AD11" i="8"/>
  <c r="AA11" i="8"/>
  <c r="X11" i="8"/>
  <c r="U11" i="8"/>
  <c r="R11" i="8"/>
  <c r="O11" i="8"/>
  <c r="M11" i="8"/>
  <c r="L11" i="8"/>
  <c r="K11" i="8"/>
  <c r="L11" i="3"/>
  <c r="I11" i="8"/>
  <c r="AK10" i="3" s="1"/>
  <c r="H11" i="8"/>
  <c r="G11" i="8"/>
  <c r="AA10" i="3" s="1"/>
  <c r="F11" i="8"/>
  <c r="V10" i="3" s="1"/>
  <c r="E11" i="8"/>
  <c r="Q10" i="3" s="1"/>
  <c r="D11" i="8"/>
  <c r="L10" i="3" s="1"/>
  <c r="C11" i="8"/>
  <c r="G10" i="3" s="1"/>
  <c r="AD10" i="8"/>
  <c r="AH9" i="8"/>
  <c r="AH8" i="8"/>
  <c r="AD9" i="8"/>
  <c r="AA9" i="8"/>
  <c r="X9" i="8"/>
  <c r="U9" i="8"/>
  <c r="R9" i="8"/>
  <c r="O9" i="8"/>
  <c r="M9" i="8"/>
  <c r="L9" i="8"/>
  <c r="AD8" i="8"/>
  <c r="AA8" i="8"/>
  <c r="X8" i="8"/>
  <c r="U8" i="8"/>
  <c r="R8" i="8"/>
  <c r="O8" i="8"/>
  <c r="M8" i="8"/>
  <c r="L8" i="8"/>
  <c r="K8" i="8"/>
  <c r="AK8" i="3"/>
  <c r="AF8" i="3"/>
  <c r="AA8" i="3"/>
  <c r="V8" i="3"/>
  <c r="Q8" i="3"/>
  <c r="L8" i="3"/>
  <c r="I8" i="8"/>
  <c r="AK7" i="3" s="1"/>
  <c r="H8" i="8"/>
  <c r="G8" i="8"/>
  <c r="F8" i="8"/>
  <c r="V7" i="3" s="1"/>
  <c r="E8" i="8"/>
  <c r="Q7" i="3" s="1"/>
  <c r="D8" i="8"/>
  <c r="L7" i="3" s="1"/>
  <c r="AK9" i="8"/>
  <c r="C8" i="8"/>
  <c r="G7" i="3" s="1"/>
  <c r="AH6" i="8"/>
  <c r="Z9" i="32" s="1"/>
  <c r="Z10" i="32" s="1"/>
  <c r="AH5" i="8"/>
  <c r="AA6" i="8"/>
  <c r="S9" i="32" s="1"/>
  <c r="S10" i="32" s="1"/>
  <c r="X6" i="8"/>
  <c r="P9" i="32" s="1"/>
  <c r="P10" i="32" s="1"/>
  <c r="U6" i="8"/>
  <c r="M9" i="32" s="1"/>
  <c r="M10" i="32" s="1"/>
  <c r="R6" i="8"/>
  <c r="J9" i="32" s="1"/>
  <c r="J10" i="32" s="1"/>
  <c r="O6" i="8"/>
  <c r="G9" i="32" s="1"/>
  <c r="G10" i="32" s="1"/>
  <c r="L6" i="8"/>
  <c r="D9" i="32" s="1"/>
  <c r="D10" i="32" s="1"/>
  <c r="AD5" i="8"/>
  <c r="AA5" i="8"/>
  <c r="X5" i="8"/>
  <c r="U5" i="8"/>
  <c r="R5" i="8"/>
  <c r="O5" i="8"/>
  <c r="M5" i="8"/>
  <c r="L5" i="8"/>
  <c r="I5" i="8"/>
  <c r="AK4" i="3" s="1"/>
  <c r="H5" i="8"/>
  <c r="G5" i="8"/>
  <c r="AA4" i="3" s="1"/>
  <c r="F5" i="8"/>
  <c r="V4" i="3" s="1"/>
  <c r="E5" i="8"/>
  <c r="Q4" i="3" s="1"/>
  <c r="D5" i="8"/>
  <c r="L4" i="3" s="1"/>
  <c r="C5" i="8"/>
  <c r="G4" i="3" s="1"/>
  <c r="J41" i="3" l="1"/>
  <c r="R38" i="26" s="1"/>
  <c r="D8" i="9"/>
  <c r="E8" i="9" s="1"/>
  <c r="E38" i="32"/>
  <c r="E39" i="32" s="1"/>
  <c r="T8" i="3"/>
  <c r="T8" i="26" s="1"/>
  <c r="O8" i="3"/>
  <c r="S8" i="26" s="1"/>
  <c r="AD8" i="3"/>
  <c r="V8" i="26" s="1"/>
  <c r="S8" i="28" s="1"/>
  <c r="L9" i="3"/>
  <c r="Y8" i="3"/>
  <c r="U8" i="26" s="1"/>
  <c r="AA8" i="26" s="1"/>
  <c r="Q9" i="3"/>
  <c r="J8" i="3"/>
  <c r="R8" i="26" s="1"/>
  <c r="G8" i="3"/>
  <c r="E8" i="3" s="1"/>
  <c r="AK40" i="8"/>
  <c r="AK39" i="8"/>
  <c r="AK18" i="8"/>
  <c r="AK42" i="3"/>
  <c r="AO42" i="3" s="1"/>
  <c r="AD13" i="8"/>
  <c r="D17" i="9"/>
  <c r="E154" i="32"/>
  <c r="AK41" i="3"/>
  <c r="AO41" i="3" s="1"/>
  <c r="D15" i="9"/>
  <c r="E124" i="32"/>
  <c r="D68" i="32"/>
  <c r="AK15" i="3"/>
  <c r="D4" i="9"/>
  <c r="AL5" i="8"/>
  <c r="E8" i="32"/>
  <c r="AS4" i="3"/>
  <c r="AO4" i="3"/>
  <c r="AK9" i="3"/>
  <c r="AS7" i="3"/>
  <c r="AO7" i="3"/>
  <c r="AR8" i="3"/>
  <c r="AS10" i="3"/>
  <c r="AO10" i="3"/>
  <c r="AI8" i="3"/>
  <c r="L12" i="3"/>
  <c r="AO17" i="3"/>
  <c r="AS17" i="3"/>
  <c r="J11" i="3"/>
  <c r="AE48" i="24"/>
  <c r="AJ48" i="24" s="1"/>
  <c r="AE47" i="24"/>
  <c r="AJ47" i="24" s="1"/>
  <c r="AE46" i="24"/>
  <c r="AE45" i="24"/>
  <c r="AE44" i="24"/>
  <c r="AJ44" i="24" s="1"/>
  <c r="AI39" i="8" s="1"/>
  <c r="AA276" i="32" s="1"/>
  <c r="AE43" i="24"/>
  <c r="AJ43" i="24" s="1"/>
  <c r="AI49" i="24"/>
  <c r="AD49" i="24"/>
  <c r="AA49" i="24"/>
  <c r="X49" i="24"/>
  <c r="U49" i="24"/>
  <c r="R49" i="24"/>
  <c r="O49" i="24"/>
  <c r="M49" i="24"/>
  <c r="L49" i="24"/>
  <c r="I49" i="24"/>
  <c r="H49" i="24"/>
  <c r="G49" i="24"/>
  <c r="F49" i="24"/>
  <c r="E49" i="24"/>
  <c r="D49" i="24"/>
  <c r="C49" i="24"/>
  <c r="AC43" i="24" l="1"/>
  <c r="J49" i="24"/>
  <c r="Z8" i="26"/>
  <c r="AB8" i="26"/>
  <c r="Y8" i="26"/>
  <c r="AF43" i="24"/>
  <c r="AM43" i="24"/>
  <c r="AC45" i="24"/>
  <c r="AC40" i="8" s="1"/>
  <c r="U291" i="32" s="1"/>
  <c r="AM45" i="24"/>
  <c r="AE40" i="8"/>
  <c r="AF46" i="24"/>
  <c r="AM46" i="24"/>
  <c r="AC47" i="24"/>
  <c r="AM47" i="24"/>
  <c r="AJ45" i="24"/>
  <c r="AI40" i="8" s="1"/>
  <c r="AA291" i="32" s="1"/>
  <c r="AC44" i="24"/>
  <c r="AC39" i="8" s="1"/>
  <c r="U276" i="32" s="1"/>
  <c r="AM44" i="24"/>
  <c r="AE39" i="8"/>
  <c r="AJ46" i="24"/>
  <c r="AL49" i="24"/>
  <c r="AC48" i="24"/>
  <c r="AM48" i="24"/>
  <c r="L8" i="26"/>
  <c r="P8" i="26" s="1"/>
  <c r="Q8" i="26"/>
  <c r="X8" i="26" s="1"/>
  <c r="AO8" i="3"/>
  <c r="AS8" i="3"/>
  <c r="AS41" i="3"/>
  <c r="AS42" i="3"/>
  <c r="AC8" i="32"/>
  <c r="X8" i="32"/>
  <c r="AQ8" i="3"/>
  <c r="W8" i="26"/>
  <c r="R11" i="26"/>
  <c r="AF47" i="24"/>
  <c r="AC46" i="24"/>
  <c r="AF44" i="24"/>
  <c r="AF45" i="24"/>
  <c r="AF48" i="24"/>
  <c r="AE49" i="24"/>
  <c r="AC49" i="24" l="1"/>
  <c r="W276" i="32"/>
  <c r="V36" i="9"/>
  <c r="AL39" i="8"/>
  <c r="AL40" i="8"/>
  <c r="W291" i="32"/>
  <c r="V37" i="9"/>
  <c r="AJ49" i="24"/>
  <c r="AF49" i="24"/>
  <c r="AM49" i="24"/>
  <c r="T8" i="28"/>
  <c r="AC8" i="26"/>
  <c r="Z8" i="28" s="1"/>
  <c r="I10" i="8"/>
  <c r="AD13" i="24"/>
  <c r="AD10" i="24"/>
  <c r="AE6" i="24"/>
  <c r="AD7" i="24"/>
  <c r="AE24" i="24"/>
  <c r="AE23" i="24"/>
  <c r="AE19" i="24"/>
  <c r="AE18" i="24"/>
  <c r="AE15" i="24"/>
  <c r="AE12" i="24"/>
  <c r="AE9" i="24"/>
  <c r="AI26" i="24"/>
  <c r="AI25" i="24"/>
  <c r="AI27" i="24" s="1"/>
  <c r="AD26" i="24"/>
  <c r="AA26" i="24"/>
  <c r="X26" i="24"/>
  <c r="U26" i="24"/>
  <c r="R26" i="24"/>
  <c r="O26" i="24"/>
  <c r="M26" i="24"/>
  <c r="L26" i="24"/>
  <c r="AD25" i="24"/>
  <c r="AA25" i="24"/>
  <c r="X25" i="24"/>
  <c r="X27" i="24" s="1"/>
  <c r="U25" i="24"/>
  <c r="U27" i="24" s="1"/>
  <c r="R25" i="24"/>
  <c r="O25" i="24"/>
  <c r="O27" i="24" s="1"/>
  <c r="M25" i="24"/>
  <c r="AM25" i="24" s="1"/>
  <c r="L25" i="24"/>
  <c r="L27" i="24" s="1"/>
  <c r="AC291" i="32" l="1"/>
  <c r="X291" i="32"/>
  <c r="AC276" i="32"/>
  <c r="X276" i="32"/>
  <c r="AC23" i="24"/>
  <c r="AM23" i="24"/>
  <c r="AJ23" i="24"/>
  <c r="AC18" i="24"/>
  <c r="AC18" i="8" s="1"/>
  <c r="U154" i="32" s="1"/>
  <c r="AM18" i="24"/>
  <c r="AE18" i="8"/>
  <c r="AJ18" i="24"/>
  <c r="AI18" i="8" s="1"/>
  <c r="AA154" i="32" s="1"/>
  <c r="AC19" i="24"/>
  <c r="AM19" i="24"/>
  <c r="AJ19" i="24"/>
  <c r="AC15" i="24"/>
  <c r="AM15" i="24"/>
  <c r="AJ15" i="24"/>
  <c r="AC12" i="24"/>
  <c r="AM12" i="24"/>
  <c r="AJ12" i="24"/>
  <c r="AC24" i="24"/>
  <c r="AM24" i="24"/>
  <c r="AJ24" i="24"/>
  <c r="AC9" i="24"/>
  <c r="AC9" i="8" s="1"/>
  <c r="U38" i="32" s="1"/>
  <c r="U39" i="32" s="1"/>
  <c r="AM9" i="24"/>
  <c r="AE9" i="8"/>
  <c r="AJ9" i="24"/>
  <c r="AI9" i="8" s="1"/>
  <c r="AA38" i="32" s="1"/>
  <c r="AA39" i="32" s="1"/>
  <c r="AC6" i="24"/>
  <c r="AM6" i="24"/>
  <c r="AJ6" i="24"/>
  <c r="M27" i="24"/>
  <c r="R27" i="24"/>
  <c r="AA27" i="24"/>
  <c r="AD27" i="24"/>
  <c r="AE26" i="24"/>
  <c r="AM26" i="24" s="1"/>
  <c r="AC26" i="24" l="1"/>
  <c r="W154" i="32"/>
  <c r="AL18" i="8"/>
  <c r="V17" i="9"/>
  <c r="AF17" i="9" s="1"/>
  <c r="V8" i="9"/>
  <c r="AL9" i="8"/>
  <c r="W38" i="32"/>
  <c r="AF26" i="24"/>
  <c r="AF24" i="24"/>
  <c r="AF23" i="24"/>
  <c r="AF19" i="24"/>
  <c r="AF18" i="24"/>
  <c r="AF15" i="24"/>
  <c r="AF12" i="24"/>
  <c r="AF9" i="24"/>
  <c r="AF6" i="24"/>
  <c r="I26" i="24"/>
  <c r="H26" i="24"/>
  <c r="G26" i="24"/>
  <c r="F26" i="24"/>
  <c r="E26" i="24"/>
  <c r="D26" i="24"/>
  <c r="C26" i="24"/>
  <c r="C25" i="24"/>
  <c r="J21" i="20"/>
  <c r="I21" i="20"/>
  <c r="H21" i="20"/>
  <c r="G21" i="20"/>
  <c r="F21" i="20"/>
  <c r="AC154" i="32" l="1"/>
  <c r="X154" i="32"/>
  <c r="AL26" i="24"/>
  <c r="AC38" i="32"/>
  <c r="X38" i="32"/>
  <c r="W39" i="32"/>
  <c r="AF8" i="9"/>
  <c r="W8" i="9"/>
  <c r="AG8" i="9" s="1"/>
  <c r="J30" i="18"/>
  <c r="I14" i="7" s="1"/>
  <c r="AJ13" i="3" s="1"/>
  <c r="O76" i="18"/>
  <c r="M21" i="18"/>
  <c r="J11" i="7" s="1"/>
  <c r="C63" i="32" s="1"/>
  <c r="C81" i="32" s="1"/>
  <c r="AC39" i="32" l="1"/>
  <c r="X39" i="32"/>
  <c r="D87" i="18"/>
  <c r="AU87" i="18" s="1"/>
  <c r="D79" i="18"/>
  <c r="AU79" i="18" s="1"/>
  <c r="D78" i="18"/>
  <c r="AU78" i="18" s="1"/>
  <c r="D77" i="18"/>
  <c r="AU77" i="18" s="1"/>
  <c r="O21" i="20"/>
  <c r="N21" i="20"/>
  <c r="M21" i="20"/>
  <c r="L21" i="20"/>
  <c r="K21" i="20"/>
  <c r="AK106" i="23" l="1"/>
  <c r="AH43" i="8" s="1"/>
  <c r="Z336" i="32" s="1"/>
  <c r="O105" i="23"/>
  <c r="M105" i="23" s="1"/>
  <c r="O104" i="23"/>
  <c r="AF106" i="23"/>
  <c r="AD43" i="8" s="1"/>
  <c r="V336" i="32" s="1"/>
  <c r="AC106" i="23"/>
  <c r="AA43" i="8" s="1"/>
  <c r="S336" i="32" s="1"/>
  <c r="Z106" i="23"/>
  <c r="X43" i="8" s="1"/>
  <c r="P336" i="32" s="1"/>
  <c r="W106" i="23"/>
  <c r="U43" i="8" s="1"/>
  <c r="M336" i="32" s="1"/>
  <c r="T106" i="23"/>
  <c r="R43" i="8" s="1"/>
  <c r="J336" i="32" s="1"/>
  <c r="Q106" i="23"/>
  <c r="O43" i="8" s="1"/>
  <c r="G336" i="32" s="1"/>
  <c r="N106" i="23"/>
  <c r="L43" i="8" s="1"/>
  <c r="D336" i="32" s="1"/>
  <c r="K106" i="23"/>
  <c r="J106" i="23"/>
  <c r="I106" i="23"/>
  <c r="H106" i="23"/>
  <c r="G106" i="23"/>
  <c r="F106" i="23"/>
  <c r="E106" i="23"/>
  <c r="G43" i="8" l="1"/>
  <c r="AA45" i="3" s="1"/>
  <c r="E43" i="8"/>
  <c r="Q45" i="3" s="1"/>
  <c r="I43" i="8"/>
  <c r="AK45" i="3" s="1"/>
  <c r="H43" i="8"/>
  <c r="AF45" i="3" s="1"/>
  <c r="F43" i="8"/>
  <c r="V45" i="3" s="1"/>
  <c r="D43" i="8"/>
  <c r="L45" i="3" s="1"/>
  <c r="O106" i="23"/>
  <c r="M43" i="8" s="1"/>
  <c r="E336" i="32" s="1"/>
  <c r="M104" i="23"/>
  <c r="M106" i="23" s="1"/>
  <c r="K43" i="8" s="1"/>
  <c r="C336" i="32" s="1"/>
  <c r="D105" i="23"/>
  <c r="D104" i="23"/>
  <c r="O102" i="22"/>
  <c r="N102" i="22"/>
  <c r="M102" i="22"/>
  <c r="L102" i="22"/>
  <c r="K102" i="22"/>
  <c r="J102" i="22"/>
  <c r="I102" i="22"/>
  <c r="H102" i="22"/>
  <c r="G102" i="22"/>
  <c r="F102" i="22"/>
  <c r="P101" i="22"/>
  <c r="AI105" i="23" s="1"/>
  <c r="AG105" i="23" s="1"/>
  <c r="P100" i="22"/>
  <c r="AI104" i="23" s="1"/>
  <c r="AG104" i="23" s="1"/>
  <c r="AL104" i="23" s="1"/>
  <c r="AK71" i="23"/>
  <c r="AH24" i="8" s="1"/>
  <c r="Z246" i="32" s="1"/>
  <c r="AK66" i="23"/>
  <c r="AH23" i="8" s="1"/>
  <c r="Z231" i="32" s="1"/>
  <c r="O70" i="23"/>
  <c r="O69" i="23"/>
  <c r="M69" i="23" s="1"/>
  <c r="O68" i="23"/>
  <c r="M68" i="23" s="1"/>
  <c r="O67" i="23"/>
  <c r="O65" i="23"/>
  <c r="M65" i="23" s="1"/>
  <c r="O64" i="23"/>
  <c r="O63" i="23"/>
  <c r="M63" i="23" s="1"/>
  <c r="O62" i="23"/>
  <c r="AF71" i="23"/>
  <c r="AD24" i="8" s="1"/>
  <c r="V246" i="32" s="1"/>
  <c r="AC71" i="23"/>
  <c r="AA24" i="8" s="1"/>
  <c r="S246" i="32" s="1"/>
  <c r="Z71" i="23"/>
  <c r="X24" i="8" s="1"/>
  <c r="P246" i="32" s="1"/>
  <c r="W71" i="23"/>
  <c r="U24" i="8" s="1"/>
  <c r="M246" i="32" s="1"/>
  <c r="T71" i="23"/>
  <c r="R24" i="8" s="1"/>
  <c r="J246" i="32" s="1"/>
  <c r="Q71" i="23"/>
  <c r="O24" i="8" s="1"/>
  <c r="G246" i="32" s="1"/>
  <c r="N71" i="23"/>
  <c r="L24" i="8" s="1"/>
  <c r="D246" i="32" s="1"/>
  <c r="AF66" i="23"/>
  <c r="AD23" i="8" s="1"/>
  <c r="V231" i="32" s="1"/>
  <c r="AC66" i="23"/>
  <c r="AA23" i="8" s="1"/>
  <c r="S231" i="32" s="1"/>
  <c r="Z66" i="23"/>
  <c r="X23" i="8" s="1"/>
  <c r="P231" i="32" s="1"/>
  <c r="W66" i="23"/>
  <c r="U23" i="8" s="1"/>
  <c r="M231" i="32" s="1"/>
  <c r="T66" i="23"/>
  <c r="R23" i="8" s="1"/>
  <c r="J231" i="32" s="1"/>
  <c r="Q66" i="23"/>
  <c r="O23" i="8" s="1"/>
  <c r="G231" i="32" s="1"/>
  <c r="N66" i="23"/>
  <c r="L23" i="8" s="1"/>
  <c r="D231" i="32" s="1"/>
  <c r="K71" i="23"/>
  <c r="J71" i="23"/>
  <c r="I71" i="23"/>
  <c r="H71" i="23"/>
  <c r="G71" i="23"/>
  <c r="F71" i="23"/>
  <c r="E71" i="23"/>
  <c r="K66" i="23"/>
  <c r="J66" i="23"/>
  <c r="I66" i="23"/>
  <c r="H66" i="23"/>
  <c r="G66" i="23"/>
  <c r="F66" i="23"/>
  <c r="E66" i="23"/>
  <c r="D70" i="23"/>
  <c r="D69" i="23"/>
  <c r="D68" i="23"/>
  <c r="D67" i="23"/>
  <c r="AN67" i="23" s="1"/>
  <c r="D65" i="23"/>
  <c r="D64" i="23"/>
  <c r="D63" i="23"/>
  <c r="D62" i="23"/>
  <c r="J71" i="22"/>
  <c r="I71" i="22"/>
  <c r="H71" i="22"/>
  <c r="G71" i="22"/>
  <c r="F71" i="22"/>
  <c r="J66" i="22"/>
  <c r="I66" i="22"/>
  <c r="H66" i="22"/>
  <c r="G66" i="22"/>
  <c r="F66" i="22"/>
  <c r="P70" i="22"/>
  <c r="AI70" i="23" s="1"/>
  <c r="AG70" i="23" s="1"/>
  <c r="AL70" i="23" s="1"/>
  <c r="P69" i="22"/>
  <c r="AI69" i="23" s="1"/>
  <c r="AG69" i="23" s="1"/>
  <c r="AL69" i="23" s="1"/>
  <c r="P68" i="22"/>
  <c r="AI68" i="23" s="1"/>
  <c r="AG68" i="23" s="1"/>
  <c r="P67" i="22"/>
  <c r="AI67" i="23" s="1"/>
  <c r="AG67" i="23" s="1"/>
  <c r="AL67" i="23" s="1"/>
  <c r="P65" i="22"/>
  <c r="AI65" i="23" s="1"/>
  <c r="AG65" i="23" s="1"/>
  <c r="P64" i="22"/>
  <c r="AI64" i="23" s="1"/>
  <c r="AG64" i="23" s="1"/>
  <c r="P63" i="22"/>
  <c r="AI63" i="23" s="1"/>
  <c r="AG63" i="23" s="1"/>
  <c r="AL63" i="23" s="1"/>
  <c r="P62" i="22"/>
  <c r="AI62" i="23" s="1"/>
  <c r="AG62" i="23" s="1"/>
  <c r="L71" i="22"/>
  <c r="M71" i="22"/>
  <c r="M23" i="26" s="1"/>
  <c r="N71" i="22"/>
  <c r="N23" i="26" s="1"/>
  <c r="O71" i="22"/>
  <c r="O23" i="26" s="1"/>
  <c r="K71" i="22"/>
  <c r="K23" i="26" s="1"/>
  <c r="L66" i="22"/>
  <c r="M66" i="22"/>
  <c r="N66" i="22"/>
  <c r="O66" i="22"/>
  <c r="K66" i="22"/>
  <c r="K22" i="26" s="1"/>
  <c r="O102" i="23"/>
  <c r="M102" i="23" s="1"/>
  <c r="O101" i="23"/>
  <c r="M101" i="23" s="1"/>
  <c r="AK103" i="23"/>
  <c r="AH42" i="8" s="1"/>
  <c r="Z321" i="32" s="1"/>
  <c r="AF103" i="23"/>
  <c r="AD42" i="8" s="1"/>
  <c r="V321" i="32" s="1"/>
  <c r="AC103" i="23"/>
  <c r="AA42" i="8" s="1"/>
  <c r="S321" i="32" s="1"/>
  <c r="Z103" i="23"/>
  <c r="X42" i="8" s="1"/>
  <c r="P321" i="32" s="1"/>
  <c r="W103" i="23"/>
  <c r="U42" i="8" s="1"/>
  <c r="M321" i="32" s="1"/>
  <c r="T103" i="23"/>
  <c r="R42" i="8" s="1"/>
  <c r="J321" i="32" s="1"/>
  <c r="Q103" i="23"/>
  <c r="O42" i="8" s="1"/>
  <c r="G321" i="32" s="1"/>
  <c r="N103" i="23"/>
  <c r="L42" i="8" s="1"/>
  <c r="D321" i="32" s="1"/>
  <c r="K103" i="23"/>
  <c r="J103" i="23"/>
  <c r="I103" i="23"/>
  <c r="H103" i="23"/>
  <c r="G103" i="23"/>
  <c r="F103" i="23"/>
  <c r="E103" i="23"/>
  <c r="D102" i="23"/>
  <c r="D101" i="23"/>
  <c r="O99" i="22"/>
  <c r="N99" i="22"/>
  <c r="M99" i="22"/>
  <c r="L99" i="22"/>
  <c r="K99" i="22"/>
  <c r="J99" i="22"/>
  <c r="I99" i="22"/>
  <c r="H99" i="22"/>
  <c r="G99" i="22"/>
  <c r="F99" i="22"/>
  <c r="P98" i="22"/>
  <c r="P97" i="22"/>
  <c r="AI102" i="23" s="1"/>
  <c r="AG102" i="23" s="1"/>
  <c r="AL102" i="23" s="1"/>
  <c r="D24" i="8" l="1"/>
  <c r="L23" i="3" s="1"/>
  <c r="I23" i="8"/>
  <c r="AK22" i="3" s="1"/>
  <c r="E24" i="8"/>
  <c r="Q23" i="3" s="1"/>
  <c r="F24" i="8"/>
  <c r="V23" i="3" s="1"/>
  <c r="G23" i="8"/>
  <c r="AA22" i="3" s="1"/>
  <c r="G24" i="8"/>
  <c r="AA23" i="3" s="1"/>
  <c r="H23" i="8"/>
  <c r="AF22" i="3" s="1"/>
  <c r="H24" i="8"/>
  <c r="AF23" i="3" s="1"/>
  <c r="I24" i="8"/>
  <c r="AK23" i="3" s="1"/>
  <c r="F42" i="8"/>
  <c r="V44" i="3" s="1"/>
  <c r="E42" i="8"/>
  <c r="Q44" i="3" s="1"/>
  <c r="G42" i="8"/>
  <c r="AA44" i="3" s="1"/>
  <c r="H42" i="8"/>
  <c r="AF44" i="3" s="1"/>
  <c r="D42" i="8"/>
  <c r="L44" i="3" s="1"/>
  <c r="I42" i="8"/>
  <c r="AK44" i="3" s="1"/>
  <c r="D23" i="8"/>
  <c r="L22" i="3" s="1"/>
  <c r="F23" i="8"/>
  <c r="V22" i="3" s="1"/>
  <c r="E23" i="8"/>
  <c r="Q22" i="3" s="1"/>
  <c r="AL62" i="23"/>
  <c r="AH62" i="23"/>
  <c r="AL64" i="23"/>
  <c r="AH64" i="23"/>
  <c r="AL65" i="23"/>
  <c r="AH65" i="23"/>
  <c r="AL68" i="23"/>
  <c r="AH68" i="23"/>
  <c r="AL105" i="23"/>
  <c r="AH105" i="23"/>
  <c r="AD63" i="23"/>
  <c r="AB63" i="23" s="1"/>
  <c r="AD64" i="23"/>
  <c r="AB64" i="23" s="1"/>
  <c r="AE70" i="23"/>
  <c r="X104" i="23"/>
  <c r="V104" i="23" s="1"/>
  <c r="X105" i="23"/>
  <c r="V105" i="23" s="1"/>
  <c r="AI106" i="23"/>
  <c r="R104" i="23"/>
  <c r="P104" i="23" s="1"/>
  <c r="AD105" i="23"/>
  <c r="AB105" i="23" s="1"/>
  <c r="U104" i="23"/>
  <c r="S104" i="23" s="1"/>
  <c r="U105" i="23"/>
  <c r="S105" i="23" s="1"/>
  <c r="AE105" i="23"/>
  <c r="AD104" i="23"/>
  <c r="AB104" i="23" s="1"/>
  <c r="R105" i="23"/>
  <c r="P105" i="23" s="1"/>
  <c r="AA104" i="23"/>
  <c r="Y104" i="23" s="1"/>
  <c r="AA105" i="23"/>
  <c r="Y105" i="23" s="1"/>
  <c r="AE104" i="23"/>
  <c r="AE106" i="23" s="1"/>
  <c r="AC43" i="8" s="1"/>
  <c r="U336" i="32" s="1"/>
  <c r="L70" i="23"/>
  <c r="AN70" i="23"/>
  <c r="L102" i="23"/>
  <c r="AN102" i="23"/>
  <c r="L65" i="23"/>
  <c r="AN65" i="23"/>
  <c r="L105" i="23"/>
  <c r="AN105" i="23"/>
  <c r="L101" i="23"/>
  <c r="AN101" i="23"/>
  <c r="L64" i="23"/>
  <c r="AN64" i="23"/>
  <c r="L68" i="23"/>
  <c r="AN68" i="23"/>
  <c r="AO102" i="23"/>
  <c r="L69" i="23"/>
  <c r="AN69" i="23"/>
  <c r="L104" i="23"/>
  <c r="AN104" i="23"/>
  <c r="D106" i="23"/>
  <c r="C43" i="8" s="1"/>
  <c r="J43" i="8" s="1"/>
  <c r="AO104" i="23"/>
  <c r="L62" i="23"/>
  <c r="AN62" i="23"/>
  <c r="L63" i="23"/>
  <c r="AN63" i="23"/>
  <c r="O71" i="23"/>
  <c r="M24" i="8" s="1"/>
  <c r="P102" i="22"/>
  <c r="U67" i="23"/>
  <c r="S67" i="23" s="1"/>
  <c r="D71" i="23"/>
  <c r="C24" i="8" s="1"/>
  <c r="M67" i="23"/>
  <c r="AA69" i="23"/>
  <c r="Y69" i="23" s="1"/>
  <c r="X69" i="23"/>
  <c r="V69" i="23" s="1"/>
  <c r="U70" i="23"/>
  <c r="S70" i="23" s="1"/>
  <c r="R70" i="23"/>
  <c r="P70" i="23" s="1"/>
  <c r="R67" i="23"/>
  <c r="P67" i="23" s="1"/>
  <c r="AE67" i="23"/>
  <c r="R65" i="23"/>
  <c r="P65" i="23" s="1"/>
  <c r="AE65" i="23"/>
  <c r="U65" i="23"/>
  <c r="S65" i="23" s="1"/>
  <c r="AD65" i="23"/>
  <c r="AA65" i="23"/>
  <c r="Y65" i="23" s="1"/>
  <c r="X65" i="23"/>
  <c r="V65" i="23" s="1"/>
  <c r="AA68" i="23"/>
  <c r="Y68" i="23" s="1"/>
  <c r="X68" i="23"/>
  <c r="V68" i="23" s="1"/>
  <c r="U68" i="23"/>
  <c r="S68" i="23" s="1"/>
  <c r="AE68" i="23"/>
  <c r="R68" i="23"/>
  <c r="AD68" i="23"/>
  <c r="X62" i="23"/>
  <c r="V62" i="23" s="1"/>
  <c r="R62" i="23"/>
  <c r="U62" i="23"/>
  <c r="S62" i="23" s="1"/>
  <c r="AD62" i="23"/>
  <c r="AA62" i="23"/>
  <c r="Y62" i="23" s="1"/>
  <c r="R63" i="23"/>
  <c r="P63" i="23" s="1"/>
  <c r="AE63" i="23"/>
  <c r="L67" i="23"/>
  <c r="U63" i="23"/>
  <c r="S63" i="23" s="1"/>
  <c r="AE64" i="23"/>
  <c r="X67" i="23"/>
  <c r="V67" i="23" s="1"/>
  <c r="AD69" i="23"/>
  <c r="X70" i="23"/>
  <c r="R64" i="23"/>
  <c r="P64" i="23" s="1"/>
  <c r="AA64" i="23"/>
  <c r="Y64" i="23" s="1"/>
  <c r="X63" i="23"/>
  <c r="U64" i="23"/>
  <c r="S64" i="23" s="1"/>
  <c r="AA67" i="23"/>
  <c r="R69" i="23"/>
  <c r="P69" i="23" s="1"/>
  <c r="AE69" i="23"/>
  <c r="AA70" i="23"/>
  <c r="Y70" i="23" s="1"/>
  <c r="AA63" i="23"/>
  <c r="Y63" i="23" s="1"/>
  <c r="AD70" i="23"/>
  <c r="D66" i="23"/>
  <c r="C23" i="8" s="1"/>
  <c r="X64" i="23"/>
  <c r="V64" i="23" s="1"/>
  <c r="AD67" i="23"/>
  <c r="U69" i="23"/>
  <c r="S69" i="23" s="1"/>
  <c r="M70" i="23"/>
  <c r="M64" i="23"/>
  <c r="O66" i="23"/>
  <c r="M23" i="8" s="1"/>
  <c r="M62" i="23"/>
  <c r="M103" i="23"/>
  <c r="K42" i="8" s="1"/>
  <c r="C321" i="32" s="1"/>
  <c r="P71" i="22"/>
  <c r="P66" i="22"/>
  <c r="AE102" i="23"/>
  <c r="D103" i="23"/>
  <c r="C42" i="8" s="1"/>
  <c r="R102" i="23"/>
  <c r="P102" i="23" s="1"/>
  <c r="X102" i="23"/>
  <c r="V102" i="23" s="1"/>
  <c r="AA102" i="23"/>
  <c r="Y102" i="23" s="1"/>
  <c r="AD102" i="23"/>
  <c r="U102" i="23"/>
  <c r="S102" i="23" s="1"/>
  <c r="O103" i="23"/>
  <c r="M42" i="8" s="1"/>
  <c r="E321" i="32" s="1"/>
  <c r="P99" i="22"/>
  <c r="M71" i="23" l="1"/>
  <c r="Y106" i="23"/>
  <c r="AA106" i="23"/>
  <c r="R106" i="23"/>
  <c r="P106" i="23"/>
  <c r="AD106" i="23"/>
  <c r="X106" i="23"/>
  <c r="V106" i="23"/>
  <c r="AG106" i="23"/>
  <c r="AJ105" i="23"/>
  <c r="AO106" i="23"/>
  <c r="AO105" i="23"/>
  <c r="U106" i="23"/>
  <c r="S106" i="23"/>
  <c r="E246" i="32"/>
  <c r="D23" i="9"/>
  <c r="E231" i="32"/>
  <c r="D22" i="9"/>
  <c r="AN106" i="23"/>
  <c r="L106" i="23"/>
  <c r="AO62" i="23"/>
  <c r="AN103" i="23"/>
  <c r="L103" i="23"/>
  <c r="AO68" i="23"/>
  <c r="AJ68" i="23"/>
  <c r="AO65" i="23"/>
  <c r="AJ65" i="23"/>
  <c r="L71" i="23"/>
  <c r="AN71" i="23"/>
  <c r="AO64" i="23"/>
  <c r="AJ64" i="23"/>
  <c r="AO67" i="23"/>
  <c r="AO69" i="23"/>
  <c r="AJ69" i="23"/>
  <c r="L66" i="23"/>
  <c r="AN66" i="23"/>
  <c r="AO63" i="23"/>
  <c r="AJ63" i="23"/>
  <c r="AO70" i="23"/>
  <c r="AJ70" i="23"/>
  <c r="AB106" i="23"/>
  <c r="AJ104" i="23"/>
  <c r="AL106" i="23"/>
  <c r="AI43" i="8" s="1"/>
  <c r="AA336" i="32" s="1"/>
  <c r="AG71" i="23"/>
  <c r="U71" i="23"/>
  <c r="S66" i="23"/>
  <c r="S71" i="23"/>
  <c r="AE71" i="23"/>
  <c r="AC24" i="8" s="1"/>
  <c r="AB70" i="23"/>
  <c r="AB68" i="23"/>
  <c r="X66" i="23"/>
  <c r="V63" i="23"/>
  <c r="V66" i="23" s="1"/>
  <c r="Y66" i="23"/>
  <c r="R71" i="23"/>
  <c r="P68" i="23"/>
  <c r="P71" i="23" s="1"/>
  <c r="AB65" i="23"/>
  <c r="U66" i="23"/>
  <c r="M66" i="23"/>
  <c r="AA66" i="23"/>
  <c r="AB62" i="23"/>
  <c r="AD66" i="23"/>
  <c r="X71" i="23"/>
  <c r="V70" i="23"/>
  <c r="V71" i="23" s="1"/>
  <c r="AB67" i="23"/>
  <c r="AD71" i="23"/>
  <c r="AB69" i="23"/>
  <c r="P62" i="23"/>
  <c r="P66" i="23" s="1"/>
  <c r="R66" i="23"/>
  <c r="AA71" i="23"/>
  <c r="Y67" i="23"/>
  <c r="Y71" i="23" s="1"/>
  <c r="AG66" i="23"/>
  <c r="AE62" i="23"/>
  <c r="AE66" i="23" s="1"/>
  <c r="AC23" i="8" s="1"/>
  <c r="AJ102" i="23"/>
  <c r="AB102" i="23"/>
  <c r="AJ106" i="23" l="1"/>
  <c r="AE23" i="8"/>
  <c r="V22" i="9" s="1"/>
  <c r="AF22" i="9" s="1"/>
  <c r="AH66" i="23"/>
  <c r="AE24" i="8"/>
  <c r="V23" i="9" s="1"/>
  <c r="AF23" i="9" s="1"/>
  <c r="AH71" i="23"/>
  <c r="AE43" i="8"/>
  <c r="AH106" i="23"/>
  <c r="AO66" i="23"/>
  <c r="AK43" i="8"/>
  <c r="G45" i="3"/>
  <c r="AO71" i="23"/>
  <c r="U231" i="32"/>
  <c r="U246" i="32"/>
  <c r="AK42" i="8"/>
  <c r="G44" i="3"/>
  <c r="AL23" i="8"/>
  <c r="AK23" i="8"/>
  <c r="G22" i="3"/>
  <c r="AK24" i="8"/>
  <c r="G23" i="3"/>
  <c r="AB66" i="23"/>
  <c r="AL71" i="23"/>
  <c r="AI24" i="8" s="1"/>
  <c r="AA246" i="32" s="1"/>
  <c r="AJ67" i="23"/>
  <c r="AJ71" i="23" s="1"/>
  <c r="AL66" i="23"/>
  <c r="AI23" i="8" s="1"/>
  <c r="AA231" i="32" s="1"/>
  <c r="AJ62" i="23"/>
  <c r="AJ66" i="23" s="1"/>
  <c r="AB71" i="23"/>
  <c r="W231" i="32" l="1"/>
  <c r="AC231" i="32" s="1"/>
  <c r="AL24" i="8"/>
  <c r="W246" i="32"/>
  <c r="AC246" i="32" s="1"/>
  <c r="AL43" i="8"/>
  <c r="W336" i="32"/>
  <c r="V40" i="9"/>
  <c r="AO23" i="3"/>
  <c r="AS23" i="3"/>
  <c r="AO44" i="3"/>
  <c r="AS44" i="3"/>
  <c r="AS22" i="3"/>
  <c r="AO22" i="3"/>
  <c r="AO45" i="3"/>
  <c r="AS45" i="3"/>
  <c r="O96" i="22"/>
  <c r="N96" i="22"/>
  <c r="M96" i="22"/>
  <c r="L96" i="22"/>
  <c r="K96" i="22"/>
  <c r="J96" i="22"/>
  <c r="I96" i="22"/>
  <c r="H96" i="22"/>
  <c r="G96" i="22"/>
  <c r="F96" i="22"/>
  <c r="P95" i="22"/>
  <c r="AI99" i="23" s="1"/>
  <c r="P90" i="22"/>
  <c r="X231" i="32" l="1"/>
  <c r="X246" i="32"/>
  <c r="AI94" i="23"/>
  <c r="AG94" i="23" s="1"/>
  <c r="X94" i="23"/>
  <c r="V94" i="23" s="1"/>
  <c r="AG99" i="23"/>
  <c r="AD99" i="23"/>
  <c r="AB99" i="23" s="1"/>
  <c r="AA99" i="23"/>
  <c r="Y99" i="23" s="1"/>
  <c r="R99" i="23"/>
  <c r="P99" i="23" s="1"/>
  <c r="U99" i="23"/>
  <c r="S99" i="23" s="1"/>
  <c r="X99" i="23"/>
  <c r="V99" i="23" s="1"/>
  <c r="AC336" i="32"/>
  <c r="X336" i="32"/>
  <c r="O40" i="23"/>
  <c r="M40" i="23" s="1"/>
  <c r="O39" i="23"/>
  <c r="O38" i="23"/>
  <c r="M38" i="23" s="1"/>
  <c r="AK41" i="23"/>
  <c r="AH19" i="8" s="1"/>
  <c r="Z169" i="32" s="1"/>
  <c r="AF41" i="23"/>
  <c r="AD19" i="8" s="1"/>
  <c r="V169" i="32" s="1"/>
  <c r="AC41" i="23"/>
  <c r="AA19" i="8" s="1"/>
  <c r="S169" i="32" s="1"/>
  <c r="Z41" i="23"/>
  <c r="X19" i="8" s="1"/>
  <c r="P169" i="32" s="1"/>
  <c r="W41" i="23"/>
  <c r="U19" i="8" s="1"/>
  <c r="M169" i="32" s="1"/>
  <c r="T41" i="23"/>
  <c r="R19" i="8" s="1"/>
  <c r="J169" i="32" s="1"/>
  <c r="Q41" i="23"/>
  <c r="O19" i="8" s="1"/>
  <c r="G169" i="32" s="1"/>
  <c r="N41" i="23"/>
  <c r="L19" i="8" s="1"/>
  <c r="D169" i="32" s="1"/>
  <c r="K41" i="23"/>
  <c r="J41" i="23"/>
  <c r="I41" i="23"/>
  <c r="H41" i="23"/>
  <c r="G41" i="23"/>
  <c r="F41" i="23"/>
  <c r="E41" i="23"/>
  <c r="D40" i="23"/>
  <c r="D39" i="23"/>
  <c r="D38" i="23"/>
  <c r="AN38" i="23" s="1"/>
  <c r="O39" i="22"/>
  <c r="N39" i="22"/>
  <c r="M39" i="22"/>
  <c r="L39" i="22"/>
  <c r="K39" i="22"/>
  <c r="J39" i="22"/>
  <c r="I39" i="22"/>
  <c r="H39" i="22"/>
  <c r="G39" i="22"/>
  <c r="F39" i="22"/>
  <c r="P38" i="22"/>
  <c r="P37" i="22"/>
  <c r="P36" i="22"/>
  <c r="U94" i="23" l="1"/>
  <c r="S94" i="23" s="1"/>
  <c r="AA94" i="23"/>
  <c r="Y94" i="23" s="1"/>
  <c r="AD94" i="23"/>
  <c r="AB94" i="23" s="1"/>
  <c r="R94" i="23"/>
  <c r="P94" i="23" s="1"/>
  <c r="F19" i="8"/>
  <c r="V18" i="3" s="1"/>
  <c r="G19" i="8"/>
  <c r="AA18" i="3" s="1"/>
  <c r="E19" i="8"/>
  <c r="Q18" i="3" s="1"/>
  <c r="I19" i="8"/>
  <c r="AK18" i="3" s="1"/>
  <c r="H19" i="8"/>
  <c r="AF18" i="3" s="1"/>
  <c r="D19" i="8"/>
  <c r="L18" i="3" s="1"/>
  <c r="AI38" i="23"/>
  <c r="AG38" i="23" s="1"/>
  <c r="AH38" i="23" s="1"/>
  <c r="AI40" i="23"/>
  <c r="AG40" i="23" s="1"/>
  <c r="AH40" i="23" s="1"/>
  <c r="AI39" i="23"/>
  <c r="AG39" i="23" s="1"/>
  <c r="AL39" i="23" s="1"/>
  <c r="AD92" i="23"/>
  <c r="R92" i="23"/>
  <c r="AA92" i="23"/>
  <c r="AG92" i="23"/>
  <c r="U92" i="23"/>
  <c r="X92" i="23"/>
  <c r="AL99" i="23"/>
  <c r="AJ99" i="23" s="1"/>
  <c r="AH99" i="23"/>
  <c r="AE99" i="23"/>
  <c r="AL94" i="23"/>
  <c r="AJ94" i="23" s="1"/>
  <c r="AH94" i="23"/>
  <c r="AE94" i="23"/>
  <c r="AO39" i="23"/>
  <c r="L39" i="23"/>
  <c r="AN39" i="23"/>
  <c r="L40" i="23"/>
  <c r="AN40" i="23"/>
  <c r="D41" i="23"/>
  <c r="C19" i="8" s="1"/>
  <c r="L38" i="23"/>
  <c r="M39" i="23"/>
  <c r="M41" i="23" s="1"/>
  <c r="O41" i="23"/>
  <c r="M19" i="8" s="1"/>
  <c r="P39" i="22"/>
  <c r="AA38" i="23" l="1"/>
  <c r="X38" i="23"/>
  <c r="AL38" i="23"/>
  <c r="AA39" i="23"/>
  <c r="Y39" i="23" s="1"/>
  <c r="AE40" i="23"/>
  <c r="U39" i="23"/>
  <c r="S39" i="23" s="1"/>
  <c r="AD40" i="23"/>
  <c r="AB40" i="23" s="1"/>
  <c r="AL40" i="23"/>
  <c r="AJ40" i="23" s="1"/>
  <c r="AD39" i="23"/>
  <c r="AB39" i="23" s="1"/>
  <c r="X40" i="23"/>
  <c r="V40" i="23" s="1"/>
  <c r="R40" i="23"/>
  <c r="P40" i="23" s="1"/>
  <c r="X39" i="23"/>
  <c r="V39" i="23" s="1"/>
  <c r="AD38" i="23"/>
  <c r="AD41" i="23" s="1"/>
  <c r="R38" i="23"/>
  <c r="P38" i="23" s="1"/>
  <c r="U38" i="23"/>
  <c r="S38" i="23" s="1"/>
  <c r="R39" i="23"/>
  <c r="P39" i="23" s="1"/>
  <c r="AE39" i="23"/>
  <c r="U40" i="23"/>
  <c r="S40" i="23" s="1"/>
  <c r="AA40" i="23"/>
  <c r="Y40" i="23" s="1"/>
  <c r="AE92" i="23"/>
  <c r="AG93" i="23"/>
  <c r="AL92" i="23"/>
  <c r="AJ92" i="23" s="1"/>
  <c r="AH92" i="23"/>
  <c r="Y92" i="23"/>
  <c r="AA93" i="23"/>
  <c r="Y93" i="23" s="1"/>
  <c r="X93" i="23"/>
  <c r="V93" i="23" s="1"/>
  <c r="V92" i="23"/>
  <c r="R93" i="23"/>
  <c r="P93" i="23" s="1"/>
  <c r="P92" i="23"/>
  <c r="S92" i="23"/>
  <c r="U93" i="23"/>
  <c r="S93" i="23" s="1"/>
  <c r="AD93" i="23"/>
  <c r="AB93" i="23" s="1"/>
  <c r="AB92" i="23"/>
  <c r="E169" i="32"/>
  <c r="D18" i="9"/>
  <c r="AO38" i="23"/>
  <c r="AO40" i="23"/>
  <c r="L41" i="23"/>
  <c r="AN41" i="23"/>
  <c r="AJ39" i="23"/>
  <c r="Y38" i="23"/>
  <c r="Y41" i="23" s="1"/>
  <c r="AA41" i="23"/>
  <c r="AG41" i="23"/>
  <c r="AE38" i="23"/>
  <c r="AO41" i="23"/>
  <c r="V38" i="23"/>
  <c r="AB38" i="23" l="1"/>
  <c r="S41" i="23"/>
  <c r="U41" i="23"/>
  <c r="P41" i="23"/>
  <c r="R41" i="23"/>
  <c r="V41" i="23"/>
  <c r="X41" i="23"/>
  <c r="AE41" i="23"/>
  <c r="AC19" i="8" s="1"/>
  <c r="U169" i="32" s="1"/>
  <c r="AL93" i="23"/>
  <c r="AJ93" i="23" s="1"/>
  <c r="AH93" i="23"/>
  <c r="AE93" i="23"/>
  <c r="AE19" i="8"/>
  <c r="V18" i="9" s="1"/>
  <c r="AF18" i="9" s="1"/>
  <c r="AH41" i="23"/>
  <c r="AK19" i="8"/>
  <c r="G18" i="3"/>
  <c r="AB41" i="23"/>
  <c r="AJ38" i="23"/>
  <c r="AJ41" i="23" s="1"/>
  <c r="AL41" i="23"/>
  <c r="AI19" i="8" s="1"/>
  <c r="AA169" i="32" s="1"/>
  <c r="W169" i="32" l="1"/>
  <c r="AC169" i="32" s="1"/>
  <c r="AL19" i="8"/>
  <c r="AS18" i="3"/>
  <c r="AO18" i="3"/>
  <c r="AK91" i="23"/>
  <c r="AK107" i="23" s="1"/>
  <c r="AF91" i="23"/>
  <c r="AF107" i="23" s="1"/>
  <c r="AC91" i="23"/>
  <c r="AC107" i="23" s="1"/>
  <c r="Z91" i="23"/>
  <c r="Z107" i="23" s="1"/>
  <c r="W91" i="23"/>
  <c r="W107" i="23" s="1"/>
  <c r="T91" i="23"/>
  <c r="T107" i="23" s="1"/>
  <c r="Q91" i="23"/>
  <c r="Q107" i="23" s="1"/>
  <c r="N91" i="23"/>
  <c r="N107" i="23" s="1"/>
  <c r="K91" i="23"/>
  <c r="K107" i="23" s="1"/>
  <c r="J91" i="23"/>
  <c r="I91" i="23"/>
  <c r="H91" i="23"/>
  <c r="G91" i="23"/>
  <c r="F91" i="23"/>
  <c r="E91" i="23"/>
  <c r="D90" i="23"/>
  <c r="D88" i="23"/>
  <c r="D87" i="23"/>
  <c r="O90" i="23"/>
  <c r="M90" i="23" s="1"/>
  <c r="O88" i="23"/>
  <c r="M88" i="23" s="1"/>
  <c r="O87" i="23"/>
  <c r="O87" i="22"/>
  <c r="N87" i="22"/>
  <c r="M87" i="22"/>
  <c r="L87" i="22"/>
  <c r="L103" i="22" s="1"/>
  <c r="K87" i="22"/>
  <c r="J87" i="22"/>
  <c r="J103" i="22" s="1"/>
  <c r="I87" i="22"/>
  <c r="I103" i="22" s="1"/>
  <c r="H87" i="22"/>
  <c r="H103" i="22" s="1"/>
  <c r="G87" i="22"/>
  <c r="G103" i="22" s="1"/>
  <c r="F87" i="22"/>
  <c r="F103" i="22" s="1"/>
  <c r="P86" i="22"/>
  <c r="AI90" i="23" s="1"/>
  <c r="AG90" i="23" s="1"/>
  <c r="P84" i="22"/>
  <c r="AI88" i="23" s="1"/>
  <c r="AG88" i="23" s="1"/>
  <c r="P83" i="22"/>
  <c r="AI87" i="23" s="1"/>
  <c r="AG87" i="23" s="1"/>
  <c r="O19" i="23"/>
  <c r="M19" i="23" s="1"/>
  <c r="O18" i="23"/>
  <c r="O17" i="23"/>
  <c r="O32" i="23"/>
  <c r="M32" i="23" s="1"/>
  <c r="O31" i="23"/>
  <c r="O30" i="23"/>
  <c r="M30" i="23" s="1"/>
  <c r="O29" i="23"/>
  <c r="O27" i="23"/>
  <c r="M27" i="23" s="1"/>
  <c r="O26" i="23"/>
  <c r="M26" i="23" s="1"/>
  <c r="O25" i="23"/>
  <c r="M25" i="23" s="1"/>
  <c r="O24" i="23"/>
  <c r="M24" i="23" s="1"/>
  <c r="O21" i="23"/>
  <c r="AD15" i="8"/>
  <c r="V109" i="32" s="1"/>
  <c r="AK14" i="3"/>
  <c r="D19" i="23"/>
  <c r="D18" i="23"/>
  <c r="D17" i="23"/>
  <c r="D32" i="23"/>
  <c r="D31" i="23"/>
  <c r="D30" i="23"/>
  <c r="D29" i="23"/>
  <c r="D27" i="23"/>
  <c r="D26" i="23"/>
  <c r="D25" i="23"/>
  <c r="D24" i="23"/>
  <c r="D21" i="23"/>
  <c r="P17" i="22"/>
  <c r="P16" i="22"/>
  <c r="P15" i="22"/>
  <c r="P30" i="22"/>
  <c r="P29" i="22"/>
  <c r="P28" i="22"/>
  <c r="P27" i="22"/>
  <c r="P25" i="22"/>
  <c r="P24" i="22"/>
  <c r="P23" i="22"/>
  <c r="P22" i="22"/>
  <c r="P19" i="22"/>
  <c r="O10" i="23"/>
  <c r="M10" i="23" s="1"/>
  <c r="D10" i="23"/>
  <c r="P8" i="22"/>
  <c r="M103" i="22" l="1"/>
  <c r="K103" i="22"/>
  <c r="N103" i="22"/>
  <c r="O103" i="22"/>
  <c r="G38" i="8"/>
  <c r="AA40" i="3" s="1"/>
  <c r="H107" i="23"/>
  <c r="M17" i="23"/>
  <c r="H38" i="8"/>
  <c r="AF40" i="3" s="1"/>
  <c r="I107" i="23"/>
  <c r="D38" i="8"/>
  <c r="L40" i="3" s="1"/>
  <c r="E107" i="23"/>
  <c r="E38" i="8"/>
  <c r="Q40" i="3" s="1"/>
  <c r="F107" i="23"/>
  <c r="I38" i="8"/>
  <c r="AK40" i="3" s="1"/>
  <c r="J107" i="23"/>
  <c r="F38" i="8"/>
  <c r="V40" i="3" s="1"/>
  <c r="G107" i="23"/>
  <c r="H15" i="8"/>
  <c r="AF14" i="3" s="1"/>
  <c r="E15" i="8"/>
  <c r="Q14" i="3" s="1"/>
  <c r="F15" i="8"/>
  <c r="V14" i="3" s="1"/>
  <c r="G15" i="8"/>
  <c r="AA14" i="3" s="1"/>
  <c r="D15" i="8"/>
  <c r="L14" i="3" s="1"/>
  <c r="AI24" i="23"/>
  <c r="AG24" i="23" s="1"/>
  <c r="AL24" i="23" s="1"/>
  <c r="AI25" i="23"/>
  <c r="AG25" i="23" s="1"/>
  <c r="AL25" i="23" s="1"/>
  <c r="AI27" i="23"/>
  <c r="AG27" i="23" s="1"/>
  <c r="AL27" i="23" s="1"/>
  <c r="AI30" i="23"/>
  <c r="AG30" i="23" s="1"/>
  <c r="AL30" i="23" s="1"/>
  <c r="AI31" i="23"/>
  <c r="AG31" i="23" s="1"/>
  <c r="AL31" i="23" s="1"/>
  <c r="AI21" i="23"/>
  <c r="AG21" i="23" s="1"/>
  <c r="AL21" i="23" s="1"/>
  <c r="AI32" i="23"/>
  <c r="AG32" i="23" s="1"/>
  <c r="AL32" i="23" s="1"/>
  <c r="AI26" i="23"/>
  <c r="AG26" i="23" s="1"/>
  <c r="AE26" i="23" s="1"/>
  <c r="AI17" i="23"/>
  <c r="AG17" i="23" s="1"/>
  <c r="AI18" i="23"/>
  <c r="AG18" i="23" s="1"/>
  <c r="AE18" i="23" s="1"/>
  <c r="AI10" i="23"/>
  <c r="AG10" i="23" s="1"/>
  <c r="AL10" i="23" s="1"/>
  <c r="AI29" i="23"/>
  <c r="AG29" i="23" s="1"/>
  <c r="AH29" i="23" s="1"/>
  <c r="AI19" i="23"/>
  <c r="AG19" i="23" s="1"/>
  <c r="AH19" i="23" s="1"/>
  <c r="X169" i="32"/>
  <c r="AL87" i="23"/>
  <c r="AH87" i="23"/>
  <c r="AL88" i="23"/>
  <c r="AH88" i="23"/>
  <c r="AL90" i="23"/>
  <c r="AH90" i="23"/>
  <c r="L15" i="8"/>
  <c r="D109" i="32" s="1"/>
  <c r="N73" i="23"/>
  <c r="O15" i="8"/>
  <c r="G109" i="32" s="1"/>
  <c r="Q73" i="23"/>
  <c r="R15" i="8"/>
  <c r="J109" i="32" s="1"/>
  <c r="T73" i="23"/>
  <c r="U15" i="8"/>
  <c r="M109" i="32" s="1"/>
  <c r="W73" i="23"/>
  <c r="X15" i="8"/>
  <c r="P109" i="32" s="1"/>
  <c r="Z73" i="23"/>
  <c r="AA15" i="8"/>
  <c r="S109" i="32" s="1"/>
  <c r="AC73" i="23"/>
  <c r="AH15" i="8"/>
  <c r="Z109" i="32" s="1"/>
  <c r="AK73" i="23"/>
  <c r="L38" i="8"/>
  <c r="D261" i="32" s="1"/>
  <c r="O38" i="8"/>
  <c r="G261" i="32" s="1"/>
  <c r="R38" i="8"/>
  <c r="J261" i="32" s="1"/>
  <c r="U38" i="8"/>
  <c r="M261" i="32" s="1"/>
  <c r="X38" i="8"/>
  <c r="P261" i="32" s="1"/>
  <c r="AA38" i="8"/>
  <c r="S261" i="32" s="1"/>
  <c r="AD38" i="8"/>
  <c r="AH38" i="8"/>
  <c r="Z261" i="32" s="1"/>
  <c r="L30" i="23"/>
  <c r="AN30" i="23"/>
  <c r="L31" i="23"/>
  <c r="AN31" i="23"/>
  <c r="L21" i="23"/>
  <c r="AN21" i="23"/>
  <c r="L32" i="23"/>
  <c r="AN32" i="23"/>
  <c r="AN87" i="23"/>
  <c r="L87" i="23"/>
  <c r="L24" i="23"/>
  <c r="AN24" i="23"/>
  <c r="L17" i="23"/>
  <c r="AN17" i="23"/>
  <c r="AN88" i="23"/>
  <c r="L88" i="23"/>
  <c r="L25" i="23"/>
  <c r="AN25" i="23"/>
  <c r="L18" i="23"/>
  <c r="AN18" i="23"/>
  <c r="L90" i="23"/>
  <c r="AN90" i="23"/>
  <c r="L10" i="23"/>
  <c r="AN10" i="23"/>
  <c r="L26" i="23"/>
  <c r="AN26" i="23"/>
  <c r="L19" i="23"/>
  <c r="AN19" i="23"/>
  <c r="L29" i="23"/>
  <c r="AN29" i="23"/>
  <c r="L27" i="23"/>
  <c r="AN27" i="23"/>
  <c r="O91" i="23"/>
  <c r="M38" i="8" s="1"/>
  <c r="E261" i="32" s="1"/>
  <c r="AD88" i="23"/>
  <c r="AE88" i="23"/>
  <c r="U88" i="23"/>
  <c r="S88" i="23" s="1"/>
  <c r="AA90" i="23"/>
  <c r="Y90" i="23" s="1"/>
  <c r="R90" i="23"/>
  <c r="P90" i="23" s="1"/>
  <c r="U90" i="23"/>
  <c r="S90" i="23" s="1"/>
  <c r="AE90" i="23"/>
  <c r="AD90" i="23"/>
  <c r="AD87" i="23"/>
  <c r="X87" i="23"/>
  <c r="M87" i="23"/>
  <c r="M91" i="23" s="1"/>
  <c r="D91" i="23"/>
  <c r="C38" i="8" s="1"/>
  <c r="AA87" i="23"/>
  <c r="X88" i="23"/>
  <c r="V88" i="23" s="1"/>
  <c r="AA88" i="23"/>
  <c r="Y88" i="23" s="1"/>
  <c r="U87" i="23"/>
  <c r="X90" i="23"/>
  <c r="V90" i="23" s="1"/>
  <c r="R87" i="23"/>
  <c r="R88" i="23"/>
  <c r="P88" i="23" s="1"/>
  <c r="P87" i="22"/>
  <c r="M18" i="23"/>
  <c r="M29" i="23"/>
  <c r="M31" i="23"/>
  <c r="M21" i="23"/>
  <c r="U32" i="23" l="1"/>
  <c r="S32" i="23" s="1"/>
  <c r="AA32" i="23"/>
  <c r="Y32" i="23" s="1"/>
  <c r="AD32" i="23"/>
  <c r="AB32" i="23" s="1"/>
  <c r="AA17" i="23"/>
  <c r="P103" i="22"/>
  <c r="AA30" i="23"/>
  <c r="Y30" i="23" s="1"/>
  <c r="R30" i="23"/>
  <c r="P30" i="23" s="1"/>
  <c r="AE30" i="23"/>
  <c r="U30" i="23"/>
  <c r="S30" i="23" s="1"/>
  <c r="X31" i="23"/>
  <c r="V31" i="23" s="1"/>
  <c r="U31" i="23"/>
  <c r="S31" i="23" s="1"/>
  <c r="AE31" i="23"/>
  <c r="AD31" i="23"/>
  <c r="AB31" i="23" s="1"/>
  <c r="R31" i="23"/>
  <c r="P31" i="23" s="1"/>
  <c r="R21" i="23"/>
  <c r="P21" i="23" s="1"/>
  <c r="AA21" i="23"/>
  <c r="Y21" i="23" s="1"/>
  <c r="U21" i="23"/>
  <c r="S21" i="23" s="1"/>
  <c r="X21" i="23"/>
  <c r="V21" i="23" s="1"/>
  <c r="X30" i="23"/>
  <c r="V30" i="23" s="1"/>
  <c r="AD30" i="23"/>
  <c r="AB30" i="23" s="1"/>
  <c r="AA19" i="23"/>
  <c r="Y19" i="23" s="1"/>
  <c r="AE19" i="23"/>
  <c r="U19" i="23"/>
  <c r="S19" i="23" s="1"/>
  <c r="X19" i="23"/>
  <c r="V19" i="23" s="1"/>
  <c r="R19" i="23"/>
  <c r="P19" i="23" s="1"/>
  <c r="AE17" i="23"/>
  <c r="X29" i="23"/>
  <c r="V29" i="23" s="1"/>
  <c r="R10" i="23"/>
  <c r="P10" i="23" s="1"/>
  <c r="AA10" i="23"/>
  <c r="Y10" i="23" s="1"/>
  <c r="Y17" i="23"/>
  <c r="AL19" i="23"/>
  <c r="AJ19" i="23" s="1"/>
  <c r="X10" i="23"/>
  <c r="V10" i="23" s="1"/>
  <c r="AE10" i="23"/>
  <c r="U10" i="23"/>
  <c r="S10" i="23" s="1"/>
  <c r="AL29" i="23"/>
  <c r="AJ29" i="23" s="1"/>
  <c r="AD24" i="23"/>
  <c r="AB24" i="23" s="1"/>
  <c r="AE24" i="23"/>
  <c r="AE29" i="23"/>
  <c r="AA29" i="23"/>
  <c r="Y29" i="23" s="1"/>
  <c r="AD29" i="23"/>
  <c r="AB29" i="23" s="1"/>
  <c r="R29" i="23"/>
  <c r="P29" i="23" s="1"/>
  <c r="U29" i="23"/>
  <c r="S29" i="23" s="1"/>
  <c r="R27" i="23"/>
  <c r="P27" i="23" s="1"/>
  <c r="U27" i="23"/>
  <c r="S27" i="23" s="1"/>
  <c r="X27" i="23"/>
  <c r="V27" i="23" s="1"/>
  <c r="AA27" i="23"/>
  <c r="Y27" i="23" s="1"/>
  <c r="AD27" i="23"/>
  <c r="AB27" i="23" s="1"/>
  <c r="AE27" i="23"/>
  <c r="AA24" i="23"/>
  <c r="Y24" i="23" s="1"/>
  <c r="AL17" i="23"/>
  <c r="AH26" i="23"/>
  <c r="U17" i="23"/>
  <c r="X17" i="23"/>
  <c r="R17" i="23"/>
  <c r="U26" i="23"/>
  <c r="S26" i="23" s="1"/>
  <c r="U24" i="23"/>
  <c r="S24" i="23" s="1"/>
  <c r="AH17" i="23"/>
  <c r="AL18" i="23"/>
  <c r="AJ18" i="23" s="1"/>
  <c r="U25" i="23"/>
  <c r="S25" i="23" s="1"/>
  <c r="AH24" i="23"/>
  <c r="AE25" i="23"/>
  <c r="AD25" i="23"/>
  <c r="AB25" i="23" s="1"/>
  <c r="AD17" i="23"/>
  <c r="X24" i="23"/>
  <c r="V24" i="23" s="1"/>
  <c r="AD18" i="23"/>
  <c r="AB18" i="23" s="1"/>
  <c r="R24" i="23"/>
  <c r="P24" i="23" s="1"/>
  <c r="R18" i="23"/>
  <c r="P18" i="23" s="1"/>
  <c r="AA18" i="23"/>
  <c r="Y18" i="23" s="1"/>
  <c r="X18" i="23"/>
  <c r="V18" i="23" s="1"/>
  <c r="R25" i="23"/>
  <c r="P25" i="23" s="1"/>
  <c r="AA25" i="23"/>
  <c r="Y25" i="23" s="1"/>
  <c r="U18" i="23"/>
  <c r="S18" i="23" s="1"/>
  <c r="X25" i="23"/>
  <c r="V25" i="23" s="1"/>
  <c r="AH18" i="23"/>
  <c r="X26" i="23"/>
  <c r="V26" i="23" s="1"/>
  <c r="AD26" i="23"/>
  <c r="AB26" i="23" s="1"/>
  <c r="X32" i="23"/>
  <c r="V32" i="23" s="1"/>
  <c r="AL26" i="23"/>
  <c r="AJ26" i="23" s="1"/>
  <c r="R32" i="23"/>
  <c r="P32" i="23" s="1"/>
  <c r="AA26" i="23"/>
  <c r="Y26" i="23" s="1"/>
  <c r="R26" i="23"/>
  <c r="P26" i="23" s="1"/>
  <c r="AD19" i="23"/>
  <c r="AB19" i="23" s="1"/>
  <c r="AE32" i="23"/>
  <c r="AA31" i="23"/>
  <c r="Y31" i="23" s="1"/>
  <c r="AD21" i="23"/>
  <c r="AB21" i="23" s="1"/>
  <c r="AH27" i="23"/>
  <c r="AE21" i="23"/>
  <c r="AD10" i="23"/>
  <c r="AB10" i="23" s="1"/>
  <c r="V261" i="32"/>
  <c r="AD44" i="8"/>
  <c r="V36" i="4" s="1"/>
  <c r="AO90" i="23"/>
  <c r="AO87" i="23"/>
  <c r="AJ87" i="23"/>
  <c r="AO30" i="23"/>
  <c r="AJ30" i="23"/>
  <c r="AO32" i="23"/>
  <c r="AJ32" i="23"/>
  <c r="AO21" i="23"/>
  <c r="AJ21" i="23"/>
  <c r="AO88" i="23"/>
  <c r="AJ88" i="23"/>
  <c r="AO27" i="23"/>
  <c r="AJ27" i="23"/>
  <c r="AO26" i="23"/>
  <c r="AO17" i="23"/>
  <c r="AO25" i="23"/>
  <c r="AJ25" i="23"/>
  <c r="AO10" i="23"/>
  <c r="AJ10" i="23"/>
  <c r="AO19" i="23"/>
  <c r="AO31" i="23"/>
  <c r="AJ31" i="23"/>
  <c r="L91" i="23"/>
  <c r="AN91" i="23"/>
  <c r="AO18" i="23"/>
  <c r="AO24" i="23"/>
  <c r="AJ24" i="23"/>
  <c r="AO29" i="23"/>
  <c r="AB87" i="23"/>
  <c r="AB88" i="23"/>
  <c r="S87" i="23"/>
  <c r="S91" i="23" s="1"/>
  <c r="U91" i="23"/>
  <c r="AE87" i="23"/>
  <c r="AE91" i="23" s="1"/>
  <c r="AC38" i="8" s="1"/>
  <c r="AG91" i="23"/>
  <c r="V87" i="23"/>
  <c r="V91" i="23" s="1"/>
  <c r="X91" i="23"/>
  <c r="Y87" i="23"/>
  <c r="Y91" i="23" s="1"/>
  <c r="AA91" i="23"/>
  <c r="P87" i="23"/>
  <c r="P91" i="23" s="1"/>
  <c r="R91" i="23"/>
  <c r="AD91" i="23"/>
  <c r="AJ90" i="23"/>
  <c r="AB90" i="23"/>
  <c r="K8" i="23"/>
  <c r="J8" i="23"/>
  <c r="I6" i="8" s="1"/>
  <c r="I8" i="23"/>
  <c r="H6" i="8" s="1"/>
  <c r="H8" i="23"/>
  <c r="G6" i="8" s="1"/>
  <c r="G8" i="23"/>
  <c r="F6" i="8" s="1"/>
  <c r="F8" i="23"/>
  <c r="E6" i="8" s="1"/>
  <c r="E8" i="23"/>
  <c r="D6" i="8" s="1"/>
  <c r="O6" i="22"/>
  <c r="N6" i="22"/>
  <c r="M6" i="22"/>
  <c r="L6" i="22"/>
  <c r="K6" i="22"/>
  <c r="J6" i="22"/>
  <c r="I6" i="22"/>
  <c r="H6" i="22"/>
  <c r="G6" i="22"/>
  <c r="F6" i="22"/>
  <c r="O5" i="23"/>
  <c r="M5" i="23" s="1"/>
  <c r="O6" i="23"/>
  <c r="M6" i="23" s="1"/>
  <c r="D6" i="23"/>
  <c r="D5" i="23"/>
  <c r="P4" i="22"/>
  <c r="P3" i="22"/>
  <c r="V17" i="23" l="1"/>
  <c r="S17" i="23"/>
  <c r="P17" i="23"/>
  <c r="AJ17" i="23"/>
  <c r="AB17" i="23"/>
  <c r="AI5" i="23"/>
  <c r="U5" i="23" s="1"/>
  <c r="AI6" i="23"/>
  <c r="AG6" i="23" s="1"/>
  <c r="AL6" i="23" s="1"/>
  <c r="AE38" i="8"/>
  <c r="W261" i="32" s="1"/>
  <c r="AC261" i="32" s="1"/>
  <c r="AH91" i="23"/>
  <c r="L5" i="3"/>
  <c r="E73" i="23"/>
  <c r="Q5" i="3"/>
  <c r="V5" i="3"/>
  <c r="AA5" i="3"/>
  <c r="AF5" i="3"/>
  <c r="AO91" i="23"/>
  <c r="AK38" i="8"/>
  <c r="G40" i="3"/>
  <c r="L5" i="23"/>
  <c r="AN5" i="23"/>
  <c r="L6" i="23"/>
  <c r="AN6" i="23"/>
  <c r="U261" i="32"/>
  <c r="AB91" i="23"/>
  <c r="AL91" i="23"/>
  <c r="AI38" i="8" s="1"/>
  <c r="AA261" i="32" s="1"/>
  <c r="AJ91" i="23"/>
  <c r="AJ49" i="18"/>
  <c r="AJ39" i="18"/>
  <c r="O128" i="18"/>
  <c r="O127" i="18"/>
  <c r="O126" i="18"/>
  <c r="O124" i="18"/>
  <c r="O123" i="18"/>
  <c r="O122" i="18"/>
  <c r="O121" i="18"/>
  <c r="O119" i="18"/>
  <c r="O118" i="18"/>
  <c r="O117" i="18"/>
  <c r="O116" i="18"/>
  <c r="O114" i="18"/>
  <c r="O115" i="18" s="1"/>
  <c r="L39" i="7" s="1"/>
  <c r="E290" i="32" s="1"/>
  <c r="O113" i="18"/>
  <c r="L38" i="7" s="1"/>
  <c r="E275" i="32" s="1"/>
  <c r="O110" i="18"/>
  <c r="M110" i="18" s="1"/>
  <c r="O109" i="18"/>
  <c r="M109" i="18" s="1"/>
  <c r="O108" i="18"/>
  <c r="O107" i="18"/>
  <c r="AQ22" i="18"/>
  <c r="AQ15" i="18"/>
  <c r="AQ129" i="18"/>
  <c r="AM42" i="7" s="1"/>
  <c r="Z335" i="32" s="1"/>
  <c r="AK129" i="18"/>
  <c r="AH42" i="7" s="1"/>
  <c r="V335" i="32" s="1"/>
  <c r="AG129" i="18"/>
  <c r="AD42" i="7" s="1"/>
  <c r="S335" i="32" s="1"/>
  <c r="AC129" i="18"/>
  <c r="Z42" i="7" s="1"/>
  <c r="P335" i="32" s="1"/>
  <c r="Y129" i="18"/>
  <c r="V42" i="7" s="1"/>
  <c r="M335" i="32" s="1"/>
  <c r="U129" i="18"/>
  <c r="R42" i="7" s="1"/>
  <c r="J335" i="32" s="1"/>
  <c r="Q129" i="18"/>
  <c r="N42" i="7" s="1"/>
  <c r="G335" i="32" s="1"/>
  <c r="N129" i="18"/>
  <c r="K42" i="7" s="1"/>
  <c r="D335" i="32" s="1"/>
  <c r="AQ125" i="18"/>
  <c r="AM41" i="7" s="1"/>
  <c r="Z320" i="32" s="1"/>
  <c r="AK125" i="18"/>
  <c r="AH41" i="7" s="1"/>
  <c r="V320" i="32" s="1"/>
  <c r="AG125" i="18"/>
  <c r="AD41" i="7" s="1"/>
  <c r="S320" i="32" s="1"/>
  <c r="AC125" i="18"/>
  <c r="Z41" i="7" s="1"/>
  <c r="P320" i="32" s="1"/>
  <c r="Y125" i="18"/>
  <c r="V41" i="7" s="1"/>
  <c r="M320" i="32" s="1"/>
  <c r="U125" i="18"/>
  <c r="R41" i="7" s="1"/>
  <c r="J320" i="32" s="1"/>
  <c r="Q125" i="18"/>
  <c r="N41" i="7" s="1"/>
  <c r="G320" i="32" s="1"/>
  <c r="N125" i="18"/>
  <c r="K41" i="7" s="1"/>
  <c r="D320" i="32" s="1"/>
  <c r="D326" i="32" s="1"/>
  <c r="AQ120" i="18"/>
  <c r="AM40" i="7" s="1"/>
  <c r="Z305" i="32" s="1"/>
  <c r="AK120" i="18"/>
  <c r="AH40" i="7" s="1"/>
  <c r="V305" i="32" s="1"/>
  <c r="AG120" i="18"/>
  <c r="AD40" i="7" s="1"/>
  <c r="S305" i="32" s="1"/>
  <c r="AC120" i="18"/>
  <c r="Z40" i="7" s="1"/>
  <c r="P305" i="32" s="1"/>
  <c r="Y120" i="18"/>
  <c r="V40" i="7" s="1"/>
  <c r="M305" i="32" s="1"/>
  <c r="U120" i="18"/>
  <c r="R40" i="7" s="1"/>
  <c r="J305" i="32" s="1"/>
  <c r="Q120" i="18"/>
  <c r="N40" i="7" s="1"/>
  <c r="G305" i="32" s="1"/>
  <c r="N120" i="18"/>
  <c r="K40" i="7" s="1"/>
  <c r="D305" i="32" s="1"/>
  <c r="D311" i="32" s="1"/>
  <c r="AK115" i="18"/>
  <c r="AH39" i="7" s="1"/>
  <c r="V290" i="32" s="1"/>
  <c r="AG115" i="18"/>
  <c r="AD39" i="7" s="1"/>
  <c r="S290" i="32" s="1"/>
  <c r="AC115" i="18"/>
  <c r="Z39" i="7" s="1"/>
  <c r="P290" i="32" s="1"/>
  <c r="Y115" i="18"/>
  <c r="V39" i="7" s="1"/>
  <c r="M290" i="32" s="1"/>
  <c r="U115" i="18"/>
  <c r="R39" i="7" s="1"/>
  <c r="J290" i="32" s="1"/>
  <c r="Q115" i="18"/>
  <c r="N39" i="7" s="1"/>
  <c r="G290" i="32" s="1"/>
  <c r="N115" i="18"/>
  <c r="K39" i="7" s="1"/>
  <c r="D290" i="32" s="1"/>
  <c r="D296" i="32" s="1"/>
  <c r="AK113" i="18"/>
  <c r="AH38" i="7" s="1"/>
  <c r="V275" i="32" s="1"/>
  <c r="AG113" i="18"/>
  <c r="AD38" i="7" s="1"/>
  <c r="S275" i="32" s="1"/>
  <c r="AC113" i="18"/>
  <c r="Z38" i="7" s="1"/>
  <c r="P275" i="32" s="1"/>
  <c r="Y113" i="18"/>
  <c r="V38" i="7" s="1"/>
  <c r="M275" i="32" s="1"/>
  <c r="U113" i="18"/>
  <c r="R38" i="7" s="1"/>
  <c r="J275" i="32" s="1"/>
  <c r="Q113" i="18"/>
  <c r="N38" i="7" s="1"/>
  <c r="G275" i="32" s="1"/>
  <c r="N113" i="18"/>
  <c r="K38" i="7" s="1"/>
  <c r="D275" i="32" s="1"/>
  <c r="D281" i="32" s="1"/>
  <c r="AK111" i="18"/>
  <c r="AH37" i="7" s="1"/>
  <c r="AG111" i="18"/>
  <c r="AD37" i="7" s="1"/>
  <c r="AC111" i="18"/>
  <c r="Z37" i="7" s="1"/>
  <c r="Y111" i="18"/>
  <c r="V37" i="7" s="1"/>
  <c r="U111" i="18"/>
  <c r="R37" i="7" s="1"/>
  <c r="Q111" i="18"/>
  <c r="N37" i="7" s="1"/>
  <c r="N111" i="18"/>
  <c r="K37" i="7" s="1"/>
  <c r="J120" i="18"/>
  <c r="I40" i="7" s="1"/>
  <c r="AJ43" i="3" s="1"/>
  <c r="I120" i="18"/>
  <c r="H40" i="7" s="1"/>
  <c r="AE43" i="3" s="1"/>
  <c r="H120" i="18"/>
  <c r="G40" i="7" s="1"/>
  <c r="Z43" i="3" s="1"/>
  <c r="G120" i="18"/>
  <c r="F40" i="7" s="1"/>
  <c r="U43" i="3" s="1"/>
  <c r="K129" i="18"/>
  <c r="K120" i="18"/>
  <c r="J113" i="18"/>
  <c r="I38" i="7" s="1"/>
  <c r="AJ41" i="3" s="1"/>
  <c r="AI41" i="3" s="1"/>
  <c r="W38" i="26" s="1"/>
  <c r="AQ88" i="18"/>
  <c r="AM24" i="7" s="1"/>
  <c r="Z245" i="32" s="1"/>
  <c r="AK88" i="18"/>
  <c r="AH24" i="7" s="1"/>
  <c r="V245" i="32" s="1"/>
  <c r="AG88" i="18"/>
  <c r="AD24" i="7" s="1"/>
  <c r="S245" i="32" s="1"/>
  <c r="AC88" i="18"/>
  <c r="Z24" i="7" s="1"/>
  <c r="P245" i="32" s="1"/>
  <c r="Y88" i="18"/>
  <c r="V24" i="7" s="1"/>
  <c r="M245" i="32" s="1"/>
  <c r="U88" i="18"/>
  <c r="R24" i="7" s="1"/>
  <c r="J245" i="32" s="1"/>
  <c r="Q88" i="18"/>
  <c r="N24" i="7" s="1"/>
  <c r="G245" i="32" s="1"/>
  <c r="AQ86" i="18"/>
  <c r="AM23" i="7" s="1"/>
  <c r="Z230" i="32" s="1"/>
  <c r="AK86" i="18"/>
  <c r="AH23" i="7" s="1"/>
  <c r="V230" i="32" s="1"/>
  <c r="AG86" i="18"/>
  <c r="AD23" i="7" s="1"/>
  <c r="S230" i="32" s="1"/>
  <c r="AC86" i="18"/>
  <c r="Z23" i="7" s="1"/>
  <c r="P230" i="32" s="1"/>
  <c r="Y86" i="18"/>
  <c r="V23" i="7" s="1"/>
  <c r="M230" i="32" s="1"/>
  <c r="U86" i="18"/>
  <c r="R23" i="7" s="1"/>
  <c r="J230" i="32" s="1"/>
  <c r="Q86" i="18"/>
  <c r="N23" i="7" s="1"/>
  <c r="G230" i="32" s="1"/>
  <c r="AK81" i="18"/>
  <c r="AH22" i="7" s="1"/>
  <c r="V214" i="32" s="1"/>
  <c r="AG81" i="18"/>
  <c r="AD22" i="7" s="1"/>
  <c r="S214" i="32" s="1"/>
  <c r="AC81" i="18"/>
  <c r="Z22" i="7" s="1"/>
  <c r="P214" i="32" s="1"/>
  <c r="Y81" i="18"/>
  <c r="V22" i="7" s="1"/>
  <c r="M214" i="32" s="1"/>
  <c r="U81" i="18"/>
  <c r="R22" i="7" s="1"/>
  <c r="J214" i="32" s="1"/>
  <c r="Q81" i="18"/>
  <c r="N22" i="7" s="1"/>
  <c r="G214" i="32" s="1"/>
  <c r="AK73" i="18"/>
  <c r="AH21" i="7" s="1"/>
  <c r="V199" i="32" s="1"/>
  <c r="AG73" i="18"/>
  <c r="AD21" i="7" s="1"/>
  <c r="S199" i="32" s="1"/>
  <c r="AC73" i="18"/>
  <c r="Z21" i="7" s="1"/>
  <c r="P199" i="32" s="1"/>
  <c r="Y73" i="18"/>
  <c r="V21" i="7" s="1"/>
  <c r="M199" i="32" s="1"/>
  <c r="U73" i="18"/>
  <c r="R21" i="7" s="1"/>
  <c r="J199" i="32" s="1"/>
  <c r="Q73" i="18"/>
  <c r="N21" i="7" s="1"/>
  <c r="G199" i="32" s="1"/>
  <c r="AK65" i="18"/>
  <c r="AH20" i="7" s="1"/>
  <c r="V183" i="32" s="1"/>
  <c r="AG65" i="18"/>
  <c r="AD20" i="7" s="1"/>
  <c r="S183" i="32" s="1"/>
  <c r="AC65" i="18"/>
  <c r="Z20" i="7" s="1"/>
  <c r="P183" i="32" s="1"/>
  <c r="Y65" i="18"/>
  <c r="V20" i="7" s="1"/>
  <c r="M183" i="32" s="1"/>
  <c r="U65" i="18"/>
  <c r="R20" i="7" s="1"/>
  <c r="J183" i="32" s="1"/>
  <c r="Q65" i="18"/>
  <c r="N20" i="7" s="1"/>
  <c r="G183" i="32" s="1"/>
  <c r="AQ59" i="18"/>
  <c r="AM19" i="7" s="1"/>
  <c r="Z168" i="32" s="1"/>
  <c r="AK59" i="18"/>
  <c r="AH19" i="7" s="1"/>
  <c r="V168" i="32" s="1"/>
  <c r="AG59" i="18"/>
  <c r="AD19" i="7" s="1"/>
  <c r="S168" i="32" s="1"/>
  <c r="AC59" i="18"/>
  <c r="Z19" i="7" s="1"/>
  <c r="P168" i="32" s="1"/>
  <c r="Y59" i="18"/>
  <c r="V19" i="7" s="1"/>
  <c r="M168" i="32" s="1"/>
  <c r="U59" i="18"/>
  <c r="R19" i="7" s="1"/>
  <c r="J168" i="32" s="1"/>
  <c r="Q59" i="18"/>
  <c r="N19" i="7" s="1"/>
  <c r="G168" i="32" s="1"/>
  <c r="AQ54" i="18"/>
  <c r="AM18" i="7" s="1"/>
  <c r="Z153" i="32" s="1"/>
  <c r="AK54" i="18"/>
  <c r="AH18" i="7" s="1"/>
  <c r="V153" i="32" s="1"/>
  <c r="AG54" i="18"/>
  <c r="AD18" i="7" s="1"/>
  <c r="S153" i="32" s="1"/>
  <c r="AC54" i="18"/>
  <c r="Z18" i="7" s="1"/>
  <c r="P153" i="32" s="1"/>
  <c r="Y54" i="18"/>
  <c r="V18" i="7" s="1"/>
  <c r="M153" i="32" s="1"/>
  <c r="U54" i="18"/>
  <c r="R18" i="7" s="1"/>
  <c r="J153" i="32" s="1"/>
  <c r="Q54" i="18"/>
  <c r="N18" i="7" s="1"/>
  <c r="G153" i="32" s="1"/>
  <c r="AK51" i="18"/>
  <c r="AH17" i="7" s="1"/>
  <c r="V138" i="32" s="1"/>
  <c r="AG51" i="18"/>
  <c r="AD17" i="7" s="1"/>
  <c r="S138" i="32" s="1"/>
  <c r="AC51" i="18"/>
  <c r="Z17" i="7" s="1"/>
  <c r="P138" i="32" s="1"/>
  <c r="Y51" i="18"/>
  <c r="V17" i="7" s="1"/>
  <c r="M138" i="32" s="1"/>
  <c r="U51" i="18"/>
  <c r="R17" i="7" s="1"/>
  <c r="J138" i="32" s="1"/>
  <c r="Q51" i="18"/>
  <c r="N17" i="7" s="1"/>
  <c r="G138" i="32" s="1"/>
  <c r="AK42" i="18"/>
  <c r="AH16" i="7" s="1"/>
  <c r="V123" i="32" s="1"/>
  <c r="AG42" i="18"/>
  <c r="AD16" i="7" s="1"/>
  <c r="S123" i="32" s="1"/>
  <c r="AC42" i="18"/>
  <c r="Z16" i="7" s="1"/>
  <c r="P123" i="32" s="1"/>
  <c r="Y42" i="18"/>
  <c r="V16" i="7" s="1"/>
  <c r="M123" i="32" s="1"/>
  <c r="U42" i="18"/>
  <c r="R16" i="7" s="1"/>
  <c r="J123" i="32" s="1"/>
  <c r="Q42" i="18"/>
  <c r="N16" i="7" s="1"/>
  <c r="G123" i="32" s="1"/>
  <c r="AQ33" i="18"/>
  <c r="AM15" i="7" s="1"/>
  <c r="Z108" i="32" s="1"/>
  <c r="AK33" i="18"/>
  <c r="AH15" i="7" s="1"/>
  <c r="V108" i="32" s="1"/>
  <c r="AG33" i="18"/>
  <c r="AD15" i="7" s="1"/>
  <c r="S108" i="32" s="1"/>
  <c r="AC33" i="18"/>
  <c r="Z15" i="7" s="1"/>
  <c r="P108" i="32" s="1"/>
  <c r="Y33" i="18"/>
  <c r="V15" i="7" s="1"/>
  <c r="M108" i="32" s="1"/>
  <c r="U33" i="18"/>
  <c r="R15" i="7" s="1"/>
  <c r="J108" i="32" s="1"/>
  <c r="Q33" i="18"/>
  <c r="N15" i="7" s="1"/>
  <c r="G108" i="32" s="1"/>
  <c r="AK30" i="18"/>
  <c r="AH14" i="7" s="1"/>
  <c r="V92" i="32" s="1"/>
  <c r="AG30" i="18"/>
  <c r="AD14" i="7" s="1"/>
  <c r="S92" i="32" s="1"/>
  <c r="AC30" i="18"/>
  <c r="Z14" i="7" s="1"/>
  <c r="P92" i="32" s="1"/>
  <c r="Y30" i="18"/>
  <c r="V14" i="7" s="1"/>
  <c r="M92" i="32" s="1"/>
  <c r="U30" i="18"/>
  <c r="R14" i="7" s="1"/>
  <c r="J92" i="32" s="1"/>
  <c r="Q30" i="18"/>
  <c r="N14" i="7" s="1"/>
  <c r="G92" i="32" s="1"/>
  <c r="AK24" i="18"/>
  <c r="AH12" i="7" s="1"/>
  <c r="V64" i="32" s="1"/>
  <c r="AG24" i="18"/>
  <c r="AD12" i="7" s="1"/>
  <c r="S64" i="32" s="1"/>
  <c r="AC24" i="18"/>
  <c r="Z12" i="7" s="1"/>
  <c r="P64" i="32" s="1"/>
  <c r="Y24" i="18"/>
  <c r="V12" i="7" s="1"/>
  <c r="M64" i="32" s="1"/>
  <c r="U24" i="18"/>
  <c r="R12" i="7" s="1"/>
  <c r="J64" i="32" s="1"/>
  <c r="Q24" i="18"/>
  <c r="N12" i="7" s="1"/>
  <c r="G64" i="32" s="1"/>
  <c r="AK21" i="18"/>
  <c r="AH11" i="7" s="1"/>
  <c r="AG21" i="18"/>
  <c r="AD11" i="7" s="1"/>
  <c r="AC21" i="18"/>
  <c r="Z11" i="7" s="1"/>
  <c r="Y21" i="18"/>
  <c r="V11" i="7" s="1"/>
  <c r="U21" i="18"/>
  <c r="R11" i="7" s="1"/>
  <c r="Q21" i="18"/>
  <c r="N11" i="7" s="1"/>
  <c r="AK19" i="18"/>
  <c r="AH8" i="7" s="1"/>
  <c r="AG19" i="18"/>
  <c r="AD8" i="7" s="1"/>
  <c r="AC19" i="18"/>
  <c r="Z8" i="7" s="1"/>
  <c r="Y19" i="18"/>
  <c r="V8" i="7" s="1"/>
  <c r="U19" i="18"/>
  <c r="R8" i="7" s="1"/>
  <c r="Q19" i="18"/>
  <c r="N8" i="7" s="1"/>
  <c r="D63" i="18"/>
  <c r="AU63" i="18" s="1"/>
  <c r="J19" i="18"/>
  <c r="I8" i="7" s="1"/>
  <c r="J21" i="18"/>
  <c r="J33" i="18"/>
  <c r="I15" i="7" s="1"/>
  <c r="AJ14" i="3" s="1"/>
  <c r="AI14" i="3" s="1"/>
  <c r="W14" i="26" s="1"/>
  <c r="J42" i="18"/>
  <c r="I16" i="7" s="1"/>
  <c r="AJ15" i="3" s="1"/>
  <c r="J51" i="18"/>
  <c r="I17" i="7" s="1"/>
  <c r="AJ16" i="3" s="1"/>
  <c r="J81" i="18"/>
  <c r="I22" i="7" s="1"/>
  <c r="AJ21" i="3" s="1"/>
  <c r="J73" i="18"/>
  <c r="I21" i="7" s="1"/>
  <c r="AJ20" i="3" s="1"/>
  <c r="J65" i="18"/>
  <c r="I20" i="7" s="1"/>
  <c r="AJ19" i="3" s="1"/>
  <c r="J88" i="18"/>
  <c r="I24" i="7" s="1"/>
  <c r="AJ23" i="3" s="1"/>
  <c r="AI23" i="3" s="1"/>
  <c r="W23" i="26" s="1"/>
  <c r="AK16" i="18"/>
  <c r="AH6" i="7" s="1"/>
  <c r="AG16" i="18"/>
  <c r="AD6" i="7" s="1"/>
  <c r="AC16" i="18"/>
  <c r="Z6" i="7" s="1"/>
  <c r="Y16" i="18"/>
  <c r="V6" i="7" s="1"/>
  <c r="U16" i="18"/>
  <c r="R6" i="7" s="1"/>
  <c r="Q16" i="18"/>
  <c r="N6" i="7" s="1"/>
  <c r="AK10" i="18"/>
  <c r="AG10" i="18"/>
  <c r="AC10" i="18"/>
  <c r="Z5" i="7" s="1"/>
  <c r="Y10" i="18"/>
  <c r="V5" i="7" s="1"/>
  <c r="U10" i="18"/>
  <c r="R5" i="7" s="1"/>
  <c r="Q10" i="18"/>
  <c r="N5" i="7" s="1"/>
  <c r="N86" i="18"/>
  <c r="K23" i="7" s="1"/>
  <c r="D230" i="32" s="1"/>
  <c r="N73" i="18"/>
  <c r="K21" i="7" s="1"/>
  <c r="D199" i="32" s="1"/>
  <c r="N59" i="18"/>
  <c r="K19" i="7" s="1"/>
  <c r="D168" i="32" s="1"/>
  <c r="N54" i="18"/>
  <c r="K18" i="7" s="1"/>
  <c r="D153" i="32" s="1"/>
  <c r="N24" i="18"/>
  <c r="K12" i="7" s="1"/>
  <c r="N16" i="18"/>
  <c r="K6" i="7" s="1"/>
  <c r="D6" i="32" s="1"/>
  <c r="O87" i="18"/>
  <c r="O88" i="18" s="1"/>
  <c r="L24" i="7" s="1"/>
  <c r="O85" i="18"/>
  <c r="M85" i="18" s="1"/>
  <c r="O84" i="18"/>
  <c r="M84" i="18" s="1"/>
  <c r="O83" i="18"/>
  <c r="O82" i="18"/>
  <c r="O75" i="18"/>
  <c r="O74" i="18"/>
  <c r="O72" i="18"/>
  <c r="O71" i="18"/>
  <c r="O70" i="18"/>
  <c r="O69" i="18"/>
  <c r="O68" i="18"/>
  <c r="O67" i="18"/>
  <c r="O66" i="18"/>
  <c r="O64" i="18"/>
  <c r="O63" i="18"/>
  <c r="O62" i="18"/>
  <c r="O61" i="18"/>
  <c r="O60" i="18"/>
  <c r="O58" i="18"/>
  <c r="O56" i="18"/>
  <c r="M56" i="18" s="1"/>
  <c r="O55" i="18"/>
  <c r="M55" i="18" s="1"/>
  <c r="O52" i="18"/>
  <c r="O50" i="18"/>
  <c r="O47" i="18"/>
  <c r="O46" i="18"/>
  <c r="O45" i="18"/>
  <c r="O44" i="18"/>
  <c r="O43" i="18"/>
  <c r="O40" i="18"/>
  <c r="O38" i="18"/>
  <c r="O37" i="18"/>
  <c r="O36" i="18"/>
  <c r="O35" i="18"/>
  <c r="O34" i="18"/>
  <c r="O32" i="18"/>
  <c r="O31" i="18"/>
  <c r="O28" i="18"/>
  <c r="O27" i="18"/>
  <c r="O23" i="18"/>
  <c r="O22" i="18"/>
  <c r="O18" i="18"/>
  <c r="O17" i="18"/>
  <c r="O15" i="18"/>
  <c r="O14" i="18"/>
  <c r="O13" i="18"/>
  <c r="O12" i="18"/>
  <c r="O11" i="18"/>
  <c r="O9" i="18"/>
  <c r="O8" i="18"/>
  <c r="O7" i="18"/>
  <c r="O6" i="18"/>
  <c r="O5" i="18"/>
  <c r="O21" i="18"/>
  <c r="L11" i="7" s="1"/>
  <c r="O50" i="23"/>
  <c r="M50" i="23" s="1"/>
  <c r="AE6" i="23" l="1"/>
  <c r="R6" i="23"/>
  <c r="P6" i="23" s="1"/>
  <c r="AL38" i="8"/>
  <c r="U6" i="23"/>
  <c r="S6" i="23" s="1"/>
  <c r="AD6" i="23"/>
  <c r="AD5" i="23"/>
  <c r="AB5" i="23" s="1"/>
  <c r="X5" i="23"/>
  <c r="V5" i="23" s="1"/>
  <c r="X6" i="23"/>
  <c r="V6" i="23" s="1"/>
  <c r="AA5" i="23"/>
  <c r="Y5" i="23" s="1"/>
  <c r="AA6" i="23"/>
  <c r="Y6" i="23" s="1"/>
  <c r="AG5" i="23"/>
  <c r="AE5" i="23" s="1"/>
  <c r="R5" i="23"/>
  <c r="P5" i="23" s="1"/>
  <c r="R7" i="7"/>
  <c r="J5" i="32"/>
  <c r="R25" i="7"/>
  <c r="D64" i="32"/>
  <c r="D82" i="32" s="1"/>
  <c r="Z7" i="7"/>
  <c r="P5" i="32"/>
  <c r="Z25" i="7"/>
  <c r="AH26" i="7"/>
  <c r="V6" i="4" s="1"/>
  <c r="V6" i="32"/>
  <c r="I11" i="7"/>
  <c r="AH10" i="7"/>
  <c r="V34" i="32"/>
  <c r="V36" i="32" s="1"/>
  <c r="AD43" i="7"/>
  <c r="S35" i="4" s="1"/>
  <c r="S260" i="32"/>
  <c r="AD13" i="7"/>
  <c r="S63" i="32"/>
  <c r="S65" i="32" s="1"/>
  <c r="R43" i="7"/>
  <c r="J35" i="4" s="1"/>
  <c r="J260" i="32"/>
  <c r="Z10" i="7"/>
  <c r="P34" i="32"/>
  <c r="P36" i="32" s="1"/>
  <c r="AD26" i="7"/>
  <c r="S6" i="4" s="1"/>
  <c r="S6" i="32"/>
  <c r="Z43" i="7"/>
  <c r="P35" i="4" s="1"/>
  <c r="P260" i="32"/>
  <c r="AG89" i="18"/>
  <c r="AD5" i="7"/>
  <c r="N13" i="7"/>
  <c r="G63" i="32"/>
  <c r="G65" i="32" s="1"/>
  <c r="AH43" i="7"/>
  <c r="V35" i="4" s="1"/>
  <c r="V260" i="32"/>
  <c r="V26" i="7"/>
  <c r="M6" i="4" s="1"/>
  <c r="M6" i="32"/>
  <c r="Z26" i="7"/>
  <c r="P6" i="4" s="1"/>
  <c r="P6" i="32"/>
  <c r="AK89" i="18"/>
  <c r="AH5" i="7"/>
  <c r="R13" i="7"/>
  <c r="J63" i="32"/>
  <c r="J65" i="32" s="1"/>
  <c r="N25" i="7"/>
  <c r="G5" i="32"/>
  <c r="N7" i="7"/>
  <c r="S34" i="32"/>
  <c r="S36" i="32" s="1"/>
  <c r="AD10" i="7"/>
  <c r="N26" i="7"/>
  <c r="G6" i="4" s="1"/>
  <c r="G6" i="32"/>
  <c r="N10" i="7"/>
  <c r="G34" i="32"/>
  <c r="G36" i="32" s="1"/>
  <c r="V13" i="7"/>
  <c r="M63" i="32"/>
  <c r="M65" i="32" s="1"/>
  <c r="K43" i="7"/>
  <c r="D35" i="4" s="1"/>
  <c r="D260" i="32"/>
  <c r="V25" i="7"/>
  <c r="M34" i="32"/>
  <c r="M36" i="32" s="1"/>
  <c r="V10" i="7"/>
  <c r="AH13" i="7"/>
  <c r="V63" i="32"/>
  <c r="V65" i="32" s="1"/>
  <c r="V43" i="7"/>
  <c r="M35" i="4" s="1"/>
  <c r="M260" i="32"/>
  <c r="V7" i="7"/>
  <c r="M5" i="32"/>
  <c r="C10" i="9"/>
  <c r="E10" i="9" s="1"/>
  <c r="E63" i="32"/>
  <c r="R26" i="7"/>
  <c r="J6" i="4" s="1"/>
  <c r="J6" i="32"/>
  <c r="J34" i="32"/>
  <c r="J36" i="32" s="1"/>
  <c r="R10" i="7"/>
  <c r="Z13" i="7"/>
  <c r="P63" i="32"/>
  <c r="P65" i="32" s="1"/>
  <c r="T39" i="28"/>
  <c r="N43" i="7"/>
  <c r="G35" i="4" s="1"/>
  <c r="G260" i="32"/>
  <c r="T23" i="28"/>
  <c r="T14" i="28"/>
  <c r="V35" i="9"/>
  <c r="O19" i="18"/>
  <c r="L8" i="7" s="1"/>
  <c r="L10" i="7" s="1"/>
  <c r="C23" i="9"/>
  <c r="E23" i="9" s="1"/>
  <c r="E245" i="32"/>
  <c r="O125" i="18"/>
  <c r="L41" i="7" s="1"/>
  <c r="E320" i="32" s="1"/>
  <c r="AK5" i="3"/>
  <c r="I7" i="8"/>
  <c r="Q6" i="3"/>
  <c r="L25" i="3"/>
  <c r="L6" i="3"/>
  <c r="AI15" i="3"/>
  <c r="AO40" i="3"/>
  <c r="AS40" i="3"/>
  <c r="AO6" i="23"/>
  <c r="AJ6" i="23"/>
  <c r="X261" i="32"/>
  <c r="AO5" i="23"/>
  <c r="AJ7" i="3"/>
  <c r="I10" i="7"/>
  <c r="Q89" i="18"/>
  <c r="U89" i="18"/>
  <c r="Y89" i="18"/>
  <c r="AC89" i="18"/>
  <c r="O111" i="18"/>
  <c r="L37" i="7" s="1"/>
  <c r="E260" i="32" s="1"/>
  <c r="AG130" i="18"/>
  <c r="O129" i="18"/>
  <c r="L42" i="7" s="1"/>
  <c r="E335" i="32" s="1"/>
  <c r="AJ48" i="18"/>
  <c r="S5" i="23"/>
  <c r="AB6" i="23"/>
  <c r="Q130" i="18"/>
  <c r="O16" i="18"/>
  <c r="L6" i="7" s="1"/>
  <c r="E6" i="32" s="1"/>
  <c r="M119" i="18"/>
  <c r="U130" i="18"/>
  <c r="AK130" i="18"/>
  <c r="M22" i="18"/>
  <c r="O120" i="18"/>
  <c r="L40" i="7" s="1"/>
  <c r="E305" i="32" s="1"/>
  <c r="Y130" i="18"/>
  <c r="M15" i="18"/>
  <c r="AC130" i="18"/>
  <c r="N130" i="18"/>
  <c r="M126" i="18"/>
  <c r="M123" i="18"/>
  <c r="AK90" i="18"/>
  <c r="O33" i="18"/>
  <c r="L15" i="7" s="1"/>
  <c r="O86" i="18"/>
  <c r="L23" i="7" s="1"/>
  <c r="O81" i="18"/>
  <c r="O73" i="18"/>
  <c r="L21" i="7" s="1"/>
  <c r="O65" i="18"/>
  <c r="L20" i="7" s="1"/>
  <c r="O59" i="18"/>
  <c r="L19" i="7" s="1"/>
  <c r="O51" i="18"/>
  <c r="L17" i="7" s="1"/>
  <c r="O42" i="18"/>
  <c r="L16" i="7" s="1"/>
  <c r="O30" i="18"/>
  <c r="L14" i="7" s="1"/>
  <c r="O24" i="18"/>
  <c r="L12" i="7" s="1"/>
  <c r="O10" i="18"/>
  <c r="L5" i="7" s="1"/>
  <c r="AH5" i="23" l="1"/>
  <c r="AL5" i="23"/>
  <c r="M7" i="32"/>
  <c r="P7" i="32"/>
  <c r="Z27" i="7"/>
  <c r="P7" i="4" s="1"/>
  <c r="P5" i="4"/>
  <c r="V27" i="7"/>
  <c r="M7" i="4" s="1"/>
  <c r="M5" i="4"/>
  <c r="AD7" i="7"/>
  <c r="S5" i="32"/>
  <c r="S7" i="32" s="1"/>
  <c r="AD25" i="7"/>
  <c r="AJ10" i="3"/>
  <c r="R27" i="7"/>
  <c r="J7" i="4" s="1"/>
  <c r="J5" i="4"/>
  <c r="G7" i="32"/>
  <c r="J7" i="32"/>
  <c r="AH25" i="7"/>
  <c r="V5" i="32"/>
  <c r="V7" i="32" s="1"/>
  <c r="AH7" i="7"/>
  <c r="N27" i="7"/>
  <c r="G7" i="4" s="1"/>
  <c r="G5" i="4"/>
  <c r="E34" i="32"/>
  <c r="E36" i="32" s="1"/>
  <c r="C7" i="9"/>
  <c r="E7" i="9" s="1"/>
  <c r="E5" i="32"/>
  <c r="E7" i="32" s="1"/>
  <c r="L7" i="7"/>
  <c r="C11" i="9"/>
  <c r="E64" i="32"/>
  <c r="E65" i="32" s="1"/>
  <c r="L13" i="7"/>
  <c r="C13" i="9"/>
  <c r="E92" i="32"/>
  <c r="C15" i="9"/>
  <c r="E15" i="9" s="1"/>
  <c r="E123" i="32"/>
  <c r="C16" i="9"/>
  <c r="E138" i="32"/>
  <c r="C18" i="9"/>
  <c r="E18" i="9" s="1"/>
  <c r="E168" i="32"/>
  <c r="C19" i="9"/>
  <c r="E183" i="32"/>
  <c r="C20" i="9"/>
  <c r="E199" i="32"/>
  <c r="C22" i="9"/>
  <c r="E22" i="9" s="1"/>
  <c r="E230" i="32"/>
  <c r="C14" i="9"/>
  <c r="E108" i="32"/>
  <c r="AK6" i="3"/>
  <c r="L43" i="7"/>
  <c r="E35" i="4" s="1"/>
  <c r="W15" i="26"/>
  <c r="T15" i="28" s="1"/>
  <c r="L22" i="7"/>
  <c r="C21" i="9" s="1"/>
  <c r="O89" i="18"/>
  <c r="AI7" i="3"/>
  <c r="AJ9" i="3"/>
  <c r="O130" i="18"/>
  <c r="AJ5" i="23"/>
  <c r="AK91" i="18"/>
  <c r="D51" i="23"/>
  <c r="AN51" i="23" s="1"/>
  <c r="D50" i="23"/>
  <c r="AD27" i="7" l="1"/>
  <c r="S7" i="4" s="1"/>
  <c r="S5" i="4"/>
  <c r="V5" i="4"/>
  <c r="AH27" i="7"/>
  <c r="V7" i="4" s="1"/>
  <c r="AI10" i="3"/>
  <c r="L50" i="23"/>
  <c r="AN50" i="23"/>
  <c r="E214" i="32"/>
  <c r="L25" i="7"/>
  <c r="AI9" i="3"/>
  <c r="W7" i="26"/>
  <c r="L80" i="18"/>
  <c r="L76" i="18"/>
  <c r="L49" i="18"/>
  <c r="L48" i="18"/>
  <c r="L41" i="18"/>
  <c r="L39" i="18"/>
  <c r="L29" i="18"/>
  <c r="L20" i="18"/>
  <c r="D127" i="18"/>
  <c r="D128" i="18"/>
  <c r="D126" i="18"/>
  <c r="D122" i="18"/>
  <c r="D123" i="18"/>
  <c r="D124" i="18"/>
  <c r="D121" i="18"/>
  <c r="D117" i="18"/>
  <c r="D118" i="18"/>
  <c r="D119" i="18"/>
  <c r="D116" i="18"/>
  <c r="D114" i="18"/>
  <c r="D108" i="18"/>
  <c r="D109" i="18"/>
  <c r="D110" i="18"/>
  <c r="D107" i="18"/>
  <c r="D85" i="18"/>
  <c r="L84" i="18"/>
  <c r="D83" i="18"/>
  <c r="D82" i="18"/>
  <c r="L78" i="18"/>
  <c r="L79" i="18"/>
  <c r="L77" i="18"/>
  <c r="D75" i="18"/>
  <c r="D74" i="18"/>
  <c r="D72" i="18"/>
  <c r="D71" i="18"/>
  <c r="D70" i="18"/>
  <c r="D69" i="18"/>
  <c r="D68" i="18"/>
  <c r="D67" i="18"/>
  <c r="D66" i="18"/>
  <c r="D61" i="18"/>
  <c r="D62" i="18"/>
  <c r="L63" i="18"/>
  <c r="L64" i="18"/>
  <c r="D60" i="18"/>
  <c r="D56" i="18"/>
  <c r="D58" i="18"/>
  <c r="D55" i="18"/>
  <c r="L53" i="18"/>
  <c r="D52" i="18"/>
  <c r="D50" i="18"/>
  <c r="D47" i="18"/>
  <c r="D46" i="18"/>
  <c r="L45" i="18"/>
  <c r="D44" i="18"/>
  <c r="D43" i="18"/>
  <c r="D40" i="18"/>
  <c r="D38" i="18"/>
  <c r="D37" i="18"/>
  <c r="D36" i="18"/>
  <c r="D35" i="18"/>
  <c r="D34" i="18"/>
  <c r="D32" i="18"/>
  <c r="D31" i="18"/>
  <c r="D28" i="18"/>
  <c r="D27" i="18"/>
  <c r="L27" i="18" s="1"/>
  <c r="L25" i="18"/>
  <c r="D23" i="18"/>
  <c r="D22" i="18"/>
  <c r="D18" i="18"/>
  <c r="D17" i="18"/>
  <c r="D15" i="18"/>
  <c r="D14" i="18"/>
  <c r="D13" i="18"/>
  <c r="D12" i="18"/>
  <c r="D11" i="18"/>
  <c r="D9" i="18"/>
  <c r="D8" i="18"/>
  <c r="D7" i="18"/>
  <c r="D6" i="18"/>
  <c r="D5" i="18"/>
  <c r="J129" i="18"/>
  <c r="I42" i="7" s="1"/>
  <c r="AJ45" i="3" s="1"/>
  <c r="AI45" i="3" s="1"/>
  <c r="W42" i="26" s="1"/>
  <c r="I129" i="18"/>
  <c r="H42" i="7" s="1"/>
  <c r="AE45" i="3" s="1"/>
  <c r="AD45" i="3" s="1"/>
  <c r="V42" i="26" s="1"/>
  <c r="H129" i="18"/>
  <c r="G42" i="7" s="1"/>
  <c r="Z45" i="3" s="1"/>
  <c r="Y45" i="3" s="1"/>
  <c r="U42" i="26" s="1"/>
  <c r="G129" i="18"/>
  <c r="F42" i="7" s="1"/>
  <c r="U45" i="3" s="1"/>
  <c r="T45" i="3" s="1"/>
  <c r="T42" i="26" s="1"/>
  <c r="F129" i="18"/>
  <c r="E42" i="7" s="1"/>
  <c r="P45" i="3" s="1"/>
  <c r="O45" i="3" s="1"/>
  <c r="S42" i="26" s="1"/>
  <c r="E129" i="18"/>
  <c r="D42" i="7" s="1"/>
  <c r="K45" i="3" s="1"/>
  <c r="K111" i="18"/>
  <c r="J111" i="18"/>
  <c r="I111" i="18"/>
  <c r="H37" i="7" s="1"/>
  <c r="H111" i="18"/>
  <c r="G37" i="7" s="1"/>
  <c r="G111" i="18"/>
  <c r="F37" i="7" s="1"/>
  <c r="F111" i="18"/>
  <c r="E37" i="7" s="1"/>
  <c r="D37" i="7"/>
  <c r="K86" i="18"/>
  <c r="J86" i="18"/>
  <c r="I23" i="7" s="1"/>
  <c r="AJ22" i="3" s="1"/>
  <c r="AI22" i="3" s="1"/>
  <c r="W22" i="26" s="1"/>
  <c r="T22" i="28" s="1"/>
  <c r="I86" i="18"/>
  <c r="H23" i="7" s="1"/>
  <c r="AE22" i="3" s="1"/>
  <c r="AD22" i="3" s="1"/>
  <c r="V22" i="26" s="1"/>
  <c r="H86" i="18"/>
  <c r="G23" i="7" s="1"/>
  <c r="Z22" i="3" s="1"/>
  <c r="Y22" i="3" s="1"/>
  <c r="U22" i="26" s="1"/>
  <c r="G86" i="18"/>
  <c r="F23" i="7" s="1"/>
  <c r="U22" i="3" s="1"/>
  <c r="T22" i="3" s="1"/>
  <c r="T22" i="26" s="1"/>
  <c r="F86" i="18"/>
  <c r="E23" i="7" s="1"/>
  <c r="P22" i="3" s="1"/>
  <c r="O22" i="3" s="1"/>
  <c r="S22" i="26" s="1"/>
  <c r="E86" i="18"/>
  <c r="D23" i="7" s="1"/>
  <c r="K22" i="3" s="1"/>
  <c r="J22" i="3" s="1"/>
  <c r="R22" i="26" s="1"/>
  <c r="K59" i="18"/>
  <c r="J59" i="18"/>
  <c r="I19" i="7" s="1"/>
  <c r="AJ18" i="3" s="1"/>
  <c r="AI18" i="3" s="1"/>
  <c r="W18" i="26" s="1"/>
  <c r="I59" i="18"/>
  <c r="H19" i="7" s="1"/>
  <c r="AE18" i="3" s="1"/>
  <c r="AD18" i="3" s="1"/>
  <c r="V18" i="26" s="1"/>
  <c r="H59" i="18"/>
  <c r="G19" i="7" s="1"/>
  <c r="Z18" i="3" s="1"/>
  <c r="Y18" i="3" s="1"/>
  <c r="U18" i="26" s="1"/>
  <c r="G59" i="18"/>
  <c r="F19" i="7" s="1"/>
  <c r="U18" i="3" s="1"/>
  <c r="T18" i="3" s="1"/>
  <c r="T18" i="26" s="1"/>
  <c r="F59" i="18"/>
  <c r="E19" i="7" s="1"/>
  <c r="P18" i="3" s="1"/>
  <c r="O18" i="3" s="1"/>
  <c r="S18" i="26" s="1"/>
  <c r="E59" i="18"/>
  <c r="D19" i="7" s="1"/>
  <c r="K18" i="3" s="1"/>
  <c r="J18" i="3" s="1"/>
  <c r="R18" i="26" s="1"/>
  <c r="K54" i="18"/>
  <c r="J54" i="18"/>
  <c r="I18" i="7" s="1"/>
  <c r="I54" i="18"/>
  <c r="H18" i="7" s="1"/>
  <c r="H54" i="18"/>
  <c r="G18" i="7" s="1"/>
  <c r="G54" i="18"/>
  <c r="F18" i="7" s="1"/>
  <c r="F54" i="18"/>
  <c r="E18" i="7" s="1"/>
  <c r="E54" i="18"/>
  <c r="D18" i="7" s="1"/>
  <c r="K24" i="18"/>
  <c r="J24" i="18"/>
  <c r="I12" i="7" s="1"/>
  <c r="I24" i="18"/>
  <c r="H12" i="7" s="1"/>
  <c r="H24" i="18"/>
  <c r="G12" i="7" s="1"/>
  <c r="G24" i="18"/>
  <c r="F12" i="7" s="1"/>
  <c r="F24" i="18"/>
  <c r="E12" i="7" s="1"/>
  <c r="K16" i="18"/>
  <c r="J16" i="18"/>
  <c r="I6" i="7" s="1"/>
  <c r="AJ5" i="3" s="1"/>
  <c r="AI5" i="3" s="1"/>
  <c r="W5" i="26" s="1"/>
  <c r="T5" i="28" s="1"/>
  <c r="I16" i="18"/>
  <c r="H6" i="7" s="1"/>
  <c r="AE5" i="3" s="1"/>
  <c r="AD5" i="3" s="1"/>
  <c r="V5" i="26" s="1"/>
  <c r="H16" i="18"/>
  <c r="G6" i="7" s="1"/>
  <c r="Z5" i="3" s="1"/>
  <c r="Y5" i="3" s="1"/>
  <c r="U5" i="26" s="1"/>
  <c r="G16" i="18"/>
  <c r="F6" i="7" s="1"/>
  <c r="U5" i="3" s="1"/>
  <c r="T5" i="3" s="1"/>
  <c r="T5" i="26" s="1"/>
  <c r="F16" i="18"/>
  <c r="E6" i="7" s="1"/>
  <c r="P5" i="3" s="1"/>
  <c r="O5" i="3" s="1"/>
  <c r="S5" i="26" s="1"/>
  <c r="E16" i="18"/>
  <c r="D6" i="7" s="1"/>
  <c r="K5" i="3" s="1"/>
  <c r="J5" i="3" s="1"/>
  <c r="R5" i="26" s="1"/>
  <c r="W10" i="26" l="1"/>
  <c r="J45" i="3"/>
  <c r="R42" i="26" s="1"/>
  <c r="Y42" i="26" s="1"/>
  <c r="T43" i="28"/>
  <c r="AC42" i="26"/>
  <c r="Z43" i="28" s="1"/>
  <c r="Z42" i="26"/>
  <c r="AA42" i="26"/>
  <c r="AB42" i="26"/>
  <c r="S43" i="28"/>
  <c r="Y18" i="26"/>
  <c r="Z18" i="26"/>
  <c r="AA18" i="26"/>
  <c r="AB18" i="26"/>
  <c r="S18" i="28"/>
  <c r="T18" i="28"/>
  <c r="AC18" i="26"/>
  <c r="Z18" i="28" s="1"/>
  <c r="AE11" i="3"/>
  <c r="P11" i="3"/>
  <c r="AJ11" i="3"/>
  <c r="AJ12" i="3" s="1"/>
  <c r="I13" i="7"/>
  <c r="U11" i="3"/>
  <c r="Z11" i="3"/>
  <c r="Y5" i="26"/>
  <c r="Z5" i="26"/>
  <c r="AC5" i="26"/>
  <c r="Z5" i="28" s="1"/>
  <c r="S5" i="28"/>
  <c r="AB5" i="26"/>
  <c r="AA5" i="26"/>
  <c r="L5" i="18"/>
  <c r="AU5" i="18"/>
  <c r="L6" i="18"/>
  <c r="AU6" i="18"/>
  <c r="L7" i="18"/>
  <c r="AU7" i="18"/>
  <c r="L8" i="18"/>
  <c r="AU8" i="18"/>
  <c r="L9" i="18"/>
  <c r="AU9" i="18"/>
  <c r="L11" i="18"/>
  <c r="AU11" i="18"/>
  <c r="L12" i="18"/>
  <c r="AU12" i="18"/>
  <c r="L13" i="18"/>
  <c r="AU13" i="18"/>
  <c r="L14" i="18"/>
  <c r="AU14" i="18"/>
  <c r="L15" i="18"/>
  <c r="AU15" i="18"/>
  <c r="L17" i="18"/>
  <c r="AU17" i="18"/>
  <c r="L18" i="18"/>
  <c r="AU18" i="18"/>
  <c r="L22" i="18"/>
  <c r="AU22" i="18"/>
  <c r="L23" i="18"/>
  <c r="AU23" i="18"/>
  <c r="AU27" i="18"/>
  <c r="D30" i="18"/>
  <c r="AU30" i="18" s="1"/>
  <c r="L28" i="18"/>
  <c r="AU28" i="18"/>
  <c r="L31" i="18"/>
  <c r="AU31" i="18"/>
  <c r="L32" i="18"/>
  <c r="AU32" i="18"/>
  <c r="L34" i="18"/>
  <c r="AU34" i="18"/>
  <c r="L35" i="18"/>
  <c r="AU35" i="18"/>
  <c r="L36" i="18"/>
  <c r="AU36" i="18"/>
  <c r="L37" i="18"/>
  <c r="AU37" i="18"/>
  <c r="L38" i="18"/>
  <c r="AU38" i="18"/>
  <c r="L40" i="18"/>
  <c r="AU40" i="18"/>
  <c r="L43" i="18"/>
  <c r="AU43" i="18"/>
  <c r="L44" i="18"/>
  <c r="AU44" i="18"/>
  <c r="L46" i="18"/>
  <c r="AU46" i="18"/>
  <c r="L47" i="18"/>
  <c r="AU47" i="18"/>
  <c r="L50" i="18"/>
  <c r="AU50" i="18"/>
  <c r="L52" i="18"/>
  <c r="AU52" i="18"/>
  <c r="L55" i="18"/>
  <c r="AU55" i="18"/>
  <c r="L58" i="18"/>
  <c r="AU58" i="18"/>
  <c r="L56" i="18"/>
  <c r="AU56" i="18"/>
  <c r="L60" i="18"/>
  <c r="AU60" i="18"/>
  <c r="L62" i="18"/>
  <c r="AU62" i="18"/>
  <c r="L61" i="18"/>
  <c r="AU61" i="18"/>
  <c r="L66" i="18"/>
  <c r="AU66" i="18"/>
  <c r="L67" i="18"/>
  <c r="AU67" i="18"/>
  <c r="L68" i="18"/>
  <c r="AU68" i="18"/>
  <c r="L69" i="18"/>
  <c r="AU69" i="18"/>
  <c r="L70" i="18"/>
  <c r="AU70" i="18"/>
  <c r="L71" i="18"/>
  <c r="AU71" i="18"/>
  <c r="L72" i="18"/>
  <c r="AU72" i="18"/>
  <c r="L74" i="18"/>
  <c r="AU74" i="18"/>
  <c r="L75" i="18"/>
  <c r="AU75" i="18"/>
  <c r="L82" i="18"/>
  <c r="AU82" i="18"/>
  <c r="L83" i="18"/>
  <c r="AU83" i="18"/>
  <c r="L85" i="18"/>
  <c r="AU85" i="18"/>
  <c r="L107" i="18"/>
  <c r="AU107" i="18"/>
  <c r="L110" i="18"/>
  <c r="AU110" i="18"/>
  <c r="L109" i="18"/>
  <c r="AU109" i="18"/>
  <c r="L108" i="18"/>
  <c r="AU108" i="18"/>
  <c r="L112" i="18"/>
  <c r="AU112" i="18"/>
  <c r="L114" i="18"/>
  <c r="AU114" i="18"/>
  <c r="L116" i="18"/>
  <c r="AU116" i="18"/>
  <c r="L119" i="18"/>
  <c r="AU119" i="18"/>
  <c r="L118" i="18"/>
  <c r="AU118" i="18"/>
  <c r="L117" i="18"/>
  <c r="AU117" i="18"/>
  <c r="L121" i="18"/>
  <c r="AU121" i="18"/>
  <c r="L124" i="18"/>
  <c r="AU124" i="18"/>
  <c r="L123" i="18"/>
  <c r="AU123" i="18"/>
  <c r="L122" i="18"/>
  <c r="AU122" i="18"/>
  <c r="L126" i="18"/>
  <c r="AU126" i="18"/>
  <c r="L128" i="18"/>
  <c r="AU128" i="18"/>
  <c r="L127" i="18"/>
  <c r="AU127" i="18"/>
  <c r="P40" i="3"/>
  <c r="O40" i="3" s="1"/>
  <c r="S37" i="26" s="1"/>
  <c r="I37" i="7"/>
  <c r="K40" i="3"/>
  <c r="U40" i="3"/>
  <c r="T40" i="3" s="1"/>
  <c r="T37" i="26" s="1"/>
  <c r="AE40" i="3"/>
  <c r="AD40" i="3" s="1"/>
  <c r="V37" i="26" s="1"/>
  <c r="Z40" i="3"/>
  <c r="Y40" i="3" s="1"/>
  <c r="U37" i="26" s="1"/>
  <c r="AB22" i="26"/>
  <c r="AC22" i="26"/>
  <c r="Z22" i="28" s="1"/>
  <c r="S22" i="28"/>
  <c r="AA22" i="26"/>
  <c r="Z22" i="26"/>
  <c r="Y22" i="26"/>
  <c r="I26" i="7"/>
  <c r="AJ17" i="3"/>
  <c r="AE17" i="3"/>
  <c r="AD17" i="3" s="1"/>
  <c r="V17" i="26" s="1"/>
  <c r="Z17" i="3"/>
  <c r="Y17" i="3" s="1"/>
  <c r="U17" i="26" s="1"/>
  <c r="U17" i="3"/>
  <c r="T17" i="3" s="1"/>
  <c r="T17" i="26" s="1"/>
  <c r="P17" i="3"/>
  <c r="K17" i="3"/>
  <c r="E5" i="4"/>
  <c r="T7" i="28"/>
  <c r="W9" i="26"/>
  <c r="T9" i="28" s="1"/>
  <c r="J90" i="18"/>
  <c r="D129" i="18"/>
  <c r="D24" i="18"/>
  <c r="J115" i="18"/>
  <c r="I39" i="7" s="1"/>
  <c r="AJ42" i="3" s="1"/>
  <c r="AI42" i="3" s="1"/>
  <c r="W39" i="26" s="1"/>
  <c r="J125" i="18"/>
  <c r="I41" i="7" s="1"/>
  <c r="AJ44" i="3" s="1"/>
  <c r="AI44" i="3" s="1"/>
  <c r="W41" i="26" s="1"/>
  <c r="AA37" i="26" l="1"/>
  <c r="T42" i="28"/>
  <c r="T40" i="28"/>
  <c r="T10" i="28"/>
  <c r="J40" i="3"/>
  <c r="R37" i="26" s="1"/>
  <c r="Y37" i="26" s="1"/>
  <c r="Z37" i="26"/>
  <c r="L125" i="18"/>
  <c r="L24" i="18"/>
  <c r="AU24" i="18"/>
  <c r="C12" i="7"/>
  <c r="L129" i="18"/>
  <c r="AU129" i="18"/>
  <c r="C42" i="7"/>
  <c r="I43" i="7"/>
  <c r="AJ40" i="3"/>
  <c r="S38" i="28"/>
  <c r="AB37" i="26"/>
  <c r="AI17" i="3"/>
  <c r="AJ25" i="3"/>
  <c r="S17" i="28"/>
  <c r="AB17" i="26"/>
  <c r="AA17" i="26"/>
  <c r="O17" i="3"/>
  <c r="J17" i="3"/>
  <c r="J130" i="18"/>
  <c r="J10" i="18"/>
  <c r="K12" i="23"/>
  <c r="K73" i="23" s="1"/>
  <c r="J12" i="23"/>
  <c r="I12" i="23"/>
  <c r="H12" i="8" s="1"/>
  <c r="H12" i="23"/>
  <c r="G12" i="8" s="1"/>
  <c r="G12" i="23"/>
  <c r="F12" i="8" s="1"/>
  <c r="F12" i="23"/>
  <c r="E12" i="8" s="1"/>
  <c r="O53" i="18"/>
  <c r="AQ42" i="7" l="1"/>
  <c r="AR42" i="7" s="1"/>
  <c r="F45" i="3"/>
  <c r="AQ12" i="7"/>
  <c r="AR12" i="7" s="1"/>
  <c r="F11" i="3"/>
  <c r="Q11" i="3"/>
  <c r="F73" i="23"/>
  <c r="V11" i="3"/>
  <c r="T11" i="3" s="1"/>
  <c r="G73" i="23"/>
  <c r="AA11" i="3"/>
  <c r="Y11" i="3" s="1"/>
  <c r="H73" i="23"/>
  <c r="AF11" i="3"/>
  <c r="AD11" i="3" s="1"/>
  <c r="I73" i="23"/>
  <c r="J73" i="23"/>
  <c r="AI40" i="3"/>
  <c r="W17" i="26"/>
  <c r="S17" i="26"/>
  <c r="R17" i="26"/>
  <c r="J89" i="18"/>
  <c r="I5" i="7"/>
  <c r="M53" i="18"/>
  <c r="O54" i="18"/>
  <c r="AF56" i="23"/>
  <c r="AD21" i="8" s="1"/>
  <c r="V200" i="32" s="1"/>
  <c r="AF44" i="23"/>
  <c r="AD20" i="8" s="1"/>
  <c r="V184" i="32" s="1"/>
  <c r="AF37" i="23"/>
  <c r="AD17" i="8" s="1"/>
  <c r="V139" i="32" s="1"/>
  <c r="AF16" i="23"/>
  <c r="AD14" i="8" s="1"/>
  <c r="AF8" i="23"/>
  <c r="AK61" i="23"/>
  <c r="AF61" i="23"/>
  <c r="AD22" i="8" s="1"/>
  <c r="V215" i="32" s="1"/>
  <c r="AC61" i="23"/>
  <c r="Z61" i="23"/>
  <c r="W61" i="23"/>
  <c r="T61" i="23"/>
  <c r="Q61" i="23"/>
  <c r="N61" i="23"/>
  <c r="AR11" i="3" l="1"/>
  <c r="AN11" i="3"/>
  <c r="AN45" i="3"/>
  <c r="AR45" i="3"/>
  <c r="E45" i="3"/>
  <c r="N72" i="23"/>
  <c r="L22" i="8"/>
  <c r="D215" i="32" s="1"/>
  <c r="Q72" i="23"/>
  <c r="O22" i="8"/>
  <c r="G215" i="32" s="1"/>
  <c r="T72" i="23"/>
  <c r="R22" i="8"/>
  <c r="J215" i="32" s="1"/>
  <c r="W72" i="23"/>
  <c r="U22" i="8"/>
  <c r="M215" i="32" s="1"/>
  <c r="Z72" i="23"/>
  <c r="X22" i="8"/>
  <c r="P215" i="32" s="1"/>
  <c r="AC72" i="23"/>
  <c r="AA22" i="8"/>
  <c r="S215" i="32" s="1"/>
  <c r="AK72" i="23"/>
  <c r="AH22" i="8"/>
  <c r="Z215" i="32" s="1"/>
  <c r="AD6" i="8"/>
  <c r="AF73" i="23"/>
  <c r="V93" i="32"/>
  <c r="AD25" i="8"/>
  <c r="AK11" i="3"/>
  <c r="I13" i="8"/>
  <c r="I26" i="8"/>
  <c r="V11" i="26"/>
  <c r="U11" i="26"/>
  <c r="T11" i="26"/>
  <c r="O11" i="3"/>
  <c r="Q12" i="3"/>
  <c r="Q25" i="3"/>
  <c r="W37" i="26"/>
  <c r="AK43" i="3"/>
  <c r="AI43" i="3" s="1"/>
  <c r="W40" i="26" s="1"/>
  <c r="I44" i="8"/>
  <c r="T17" i="28"/>
  <c r="AC17" i="26"/>
  <c r="Z17" i="26"/>
  <c r="Y17" i="26"/>
  <c r="I7" i="7"/>
  <c r="AJ4" i="3"/>
  <c r="I25" i="7"/>
  <c r="I27" i="7" s="1"/>
  <c r="O90" i="18"/>
  <c r="O91" i="18" s="1"/>
  <c r="L18" i="7"/>
  <c r="J91" i="18"/>
  <c r="AF72" i="23"/>
  <c r="L26" i="7" l="1"/>
  <c r="E6" i="4" s="1"/>
  <c r="C17" i="9"/>
  <c r="E17" i="9" s="1"/>
  <c r="E153" i="32"/>
  <c r="AQ45" i="3"/>
  <c r="L42" i="26"/>
  <c r="Q42" i="26"/>
  <c r="X42" i="26" s="1"/>
  <c r="AL45" i="3"/>
  <c r="S11" i="26"/>
  <c r="Z11" i="26" s="1"/>
  <c r="AA11" i="26"/>
  <c r="AB11" i="26"/>
  <c r="S11" i="28"/>
  <c r="AI11" i="3"/>
  <c r="AK12" i="3"/>
  <c r="AK25" i="3"/>
  <c r="V8" i="4"/>
  <c r="V9" i="32"/>
  <c r="V10" i="32" s="1"/>
  <c r="AD7" i="8"/>
  <c r="AD26" i="8"/>
  <c r="T38" i="28"/>
  <c r="AC37" i="26"/>
  <c r="Z38" i="28" s="1"/>
  <c r="T41" i="28"/>
  <c r="W43" i="26"/>
  <c r="Z17" i="28"/>
  <c r="AI4" i="3"/>
  <c r="AJ24" i="3"/>
  <c r="AJ6" i="3"/>
  <c r="L27" i="7"/>
  <c r="AF74" i="23"/>
  <c r="T44" i="28" l="1"/>
  <c r="V9" i="4"/>
  <c r="AD27" i="8"/>
  <c r="V10" i="4" s="1"/>
  <c r="W11" i="26"/>
  <c r="AI12" i="3"/>
  <c r="AI25" i="3"/>
  <c r="Y11" i="26"/>
  <c r="AJ26" i="3"/>
  <c r="E7" i="4"/>
  <c r="AI6" i="3"/>
  <c r="AH6" i="3" s="1"/>
  <c r="AH26" i="3" s="1"/>
  <c r="W4" i="26"/>
  <c r="O98" i="23"/>
  <c r="O95" i="23"/>
  <c r="J56" i="23"/>
  <c r="I21" i="8" s="1"/>
  <c r="AK20" i="3" s="1"/>
  <c r="AI20" i="3" s="1"/>
  <c r="W20" i="26" s="1"/>
  <c r="T20" i="28" s="1"/>
  <c r="I20" i="8"/>
  <c r="AK19" i="3" s="1"/>
  <c r="AI19" i="3" s="1"/>
  <c r="W19" i="26" s="1"/>
  <c r="T19" i="28" s="1"/>
  <c r="J37" i="23"/>
  <c r="I17" i="8" s="1"/>
  <c r="AK16" i="3" s="1"/>
  <c r="AI16" i="3" s="1"/>
  <c r="W16" i="26" s="1"/>
  <c r="T16" i="28" s="1"/>
  <c r="J16" i="23"/>
  <c r="I14" i="8" s="1"/>
  <c r="AK13" i="3" s="1"/>
  <c r="AI13" i="3" s="1"/>
  <c r="W13" i="26" s="1"/>
  <c r="T13" i="28" s="1"/>
  <c r="J61" i="23"/>
  <c r="I22" i="8" s="1"/>
  <c r="O60" i="23"/>
  <c r="O59" i="23"/>
  <c r="O58" i="23"/>
  <c r="O57" i="23"/>
  <c r="O55" i="23"/>
  <c r="O54" i="23"/>
  <c r="O53" i="23"/>
  <c r="O52" i="23"/>
  <c r="O51" i="23"/>
  <c r="O49" i="23"/>
  <c r="O48" i="23"/>
  <c r="O47" i="23"/>
  <c r="O46" i="23"/>
  <c r="O45" i="23"/>
  <c r="O42" i="23"/>
  <c r="O36" i="23"/>
  <c r="O20" i="23"/>
  <c r="O15" i="23"/>
  <c r="O14" i="23"/>
  <c r="O13" i="23"/>
  <c r="O11" i="23"/>
  <c r="O9" i="23"/>
  <c r="O7" i="23"/>
  <c r="O8" i="23" s="1"/>
  <c r="M6" i="8" s="1"/>
  <c r="E9" i="32" s="1"/>
  <c r="E10" i="32" s="1"/>
  <c r="O35" i="23" l="1"/>
  <c r="M15" i="8" s="1"/>
  <c r="O100" i="23"/>
  <c r="O107" i="23" s="1"/>
  <c r="T11" i="28"/>
  <c r="AC11" i="26"/>
  <c r="W12" i="26"/>
  <c r="T12" i="28" s="1"/>
  <c r="W25" i="26"/>
  <c r="T25" i="28" s="1"/>
  <c r="T4" i="28"/>
  <c r="W6" i="26"/>
  <c r="T6" i="28" s="1"/>
  <c r="AK21" i="3"/>
  <c r="I25" i="8"/>
  <c r="I27" i="8" s="1"/>
  <c r="O12" i="23"/>
  <c r="O61" i="23"/>
  <c r="M22" i="8" s="1"/>
  <c r="J72" i="23"/>
  <c r="E109" i="32" l="1"/>
  <c r="D14" i="9"/>
  <c r="E14" i="9" s="1"/>
  <c r="Z11" i="28"/>
  <c r="E215" i="32"/>
  <c r="D21" i="9"/>
  <c r="AK24" i="3"/>
  <c r="AK26" i="3" s="1"/>
  <c r="AI21" i="3"/>
  <c r="O73" i="23"/>
  <c r="M12" i="8"/>
  <c r="J74" i="23"/>
  <c r="D60" i="23"/>
  <c r="D59" i="23"/>
  <c r="D58" i="23"/>
  <c r="D57" i="23"/>
  <c r="D55" i="23"/>
  <c r="D54" i="23"/>
  <c r="D53" i="23"/>
  <c r="D52" i="23"/>
  <c r="L51" i="23"/>
  <c r="D49" i="23"/>
  <c r="D48" i="23"/>
  <c r="D47" i="23"/>
  <c r="D46" i="23"/>
  <c r="D45" i="23"/>
  <c r="D42" i="23"/>
  <c r="D100" i="23"/>
  <c r="D36" i="23"/>
  <c r="D20" i="23"/>
  <c r="D14" i="23"/>
  <c r="D15" i="23"/>
  <c r="L13" i="23"/>
  <c r="D11" i="23"/>
  <c r="D9" i="23"/>
  <c r="AN9" i="23" s="1"/>
  <c r="D7" i="23"/>
  <c r="AN7" i="23" s="1"/>
  <c r="M9" i="23"/>
  <c r="I25" i="24"/>
  <c r="I27" i="24" s="1"/>
  <c r="H25" i="24"/>
  <c r="H27" i="24" s="1"/>
  <c r="G25" i="24"/>
  <c r="G27" i="24" s="1"/>
  <c r="F25" i="24"/>
  <c r="F27" i="24" s="1"/>
  <c r="E25" i="24"/>
  <c r="E27" i="24" s="1"/>
  <c r="D25" i="24"/>
  <c r="D27" i="24" s="1"/>
  <c r="I13" i="24"/>
  <c r="I10" i="24"/>
  <c r="I7" i="24"/>
  <c r="C13" i="24"/>
  <c r="C10" i="24"/>
  <c r="C7" i="24"/>
  <c r="J24" i="24"/>
  <c r="J48" i="24"/>
  <c r="J23" i="24"/>
  <c r="J22" i="24"/>
  <c r="J21" i="24"/>
  <c r="J20" i="24"/>
  <c r="J47" i="24"/>
  <c r="J46" i="24"/>
  <c r="J45" i="24"/>
  <c r="J44" i="24"/>
  <c r="J19" i="24"/>
  <c r="J18" i="24"/>
  <c r="J17" i="24"/>
  <c r="J16" i="24"/>
  <c r="J43" i="24"/>
  <c r="J15" i="24"/>
  <c r="J14" i="24"/>
  <c r="J12" i="24"/>
  <c r="J11" i="24"/>
  <c r="J9" i="24"/>
  <c r="J8" i="24"/>
  <c r="J6" i="24"/>
  <c r="J5" i="24"/>
  <c r="O10" i="22"/>
  <c r="N10" i="22"/>
  <c r="M10" i="22"/>
  <c r="L10" i="22"/>
  <c r="K10" i="22"/>
  <c r="J10" i="22"/>
  <c r="I10" i="22"/>
  <c r="H10" i="22"/>
  <c r="G10" i="22"/>
  <c r="F10" i="22"/>
  <c r="P7" i="22"/>
  <c r="O118" i="20"/>
  <c r="O42" i="26" s="1"/>
  <c r="N118" i="20"/>
  <c r="N42" i="26" s="1"/>
  <c r="M118" i="20"/>
  <c r="M42" i="26" s="1"/>
  <c r="L118" i="20"/>
  <c r="K118" i="20"/>
  <c r="K42" i="26" s="1"/>
  <c r="J118" i="20"/>
  <c r="I118" i="20"/>
  <c r="H118" i="20"/>
  <c r="G118" i="20"/>
  <c r="F118" i="20"/>
  <c r="P115" i="20"/>
  <c r="AO126" i="18" s="1"/>
  <c r="P112" i="20"/>
  <c r="AO123" i="18" s="1"/>
  <c r="P98" i="20"/>
  <c r="AO109" i="18" s="1"/>
  <c r="P19" i="20"/>
  <c r="AO22" i="18" s="1"/>
  <c r="O15" i="20"/>
  <c r="N15" i="20"/>
  <c r="M15" i="20"/>
  <c r="L15" i="20"/>
  <c r="K15" i="20"/>
  <c r="J15" i="20"/>
  <c r="I15" i="20"/>
  <c r="H15" i="20"/>
  <c r="G15" i="20"/>
  <c r="F15" i="20"/>
  <c r="P14" i="20"/>
  <c r="AO15" i="18" s="1"/>
  <c r="O81" i="20"/>
  <c r="O22" i="26" s="1"/>
  <c r="N81" i="20"/>
  <c r="N22" i="26" s="1"/>
  <c r="M81" i="20"/>
  <c r="M22" i="26" s="1"/>
  <c r="L81" i="20"/>
  <c r="J81" i="20"/>
  <c r="I81" i="20"/>
  <c r="H81" i="20"/>
  <c r="G81" i="20"/>
  <c r="F81" i="20"/>
  <c r="P79" i="20"/>
  <c r="AO84" i="18" s="1"/>
  <c r="P80" i="20"/>
  <c r="AO85" i="18" s="1"/>
  <c r="O109" i="20"/>
  <c r="O40" i="26" s="1"/>
  <c r="N109" i="20"/>
  <c r="N40" i="26" s="1"/>
  <c r="M109" i="20"/>
  <c r="M40" i="26" s="1"/>
  <c r="L109" i="20"/>
  <c r="K109" i="20"/>
  <c r="K40" i="26" s="1"/>
  <c r="J109" i="20"/>
  <c r="I109" i="20"/>
  <c r="H109" i="20"/>
  <c r="G109" i="20"/>
  <c r="F109" i="20"/>
  <c r="P51" i="20"/>
  <c r="AO58" i="18" s="1"/>
  <c r="AL58" i="18" s="1"/>
  <c r="P48" i="20"/>
  <c r="AO55" i="18" s="1"/>
  <c r="P46" i="20"/>
  <c r="AO53" i="18" s="1"/>
  <c r="O47" i="20"/>
  <c r="O17" i="26" s="1"/>
  <c r="N47" i="20"/>
  <c r="N17" i="26" s="1"/>
  <c r="M47" i="20"/>
  <c r="M17" i="26" s="1"/>
  <c r="L47" i="20"/>
  <c r="K47" i="20"/>
  <c r="K17" i="26" s="1"/>
  <c r="J47" i="20"/>
  <c r="I47" i="20"/>
  <c r="H47" i="20"/>
  <c r="G47" i="20"/>
  <c r="F47" i="20"/>
  <c r="O100" i="20"/>
  <c r="N100" i="20"/>
  <c r="M100" i="20"/>
  <c r="L100" i="20"/>
  <c r="K100" i="20"/>
  <c r="J100" i="20"/>
  <c r="I100" i="20"/>
  <c r="H100" i="20"/>
  <c r="G100" i="20"/>
  <c r="F100" i="20"/>
  <c r="P99" i="20"/>
  <c r="AO110" i="18" s="1"/>
  <c r="O5" i="26" l="1"/>
  <c r="O6" i="26" s="1"/>
  <c r="O37" i="26"/>
  <c r="N37" i="26"/>
  <c r="K5" i="26"/>
  <c r="K6" i="26" s="1"/>
  <c r="M5" i="26"/>
  <c r="M6" i="26" s="1"/>
  <c r="M37" i="26"/>
  <c r="K37" i="26"/>
  <c r="N5" i="26"/>
  <c r="N6" i="26" s="1"/>
  <c r="O11" i="26"/>
  <c r="M11" i="26"/>
  <c r="M12" i="26" s="1"/>
  <c r="K11" i="26"/>
  <c r="K12" i="26" s="1"/>
  <c r="N11" i="26"/>
  <c r="N12" i="26" s="1"/>
  <c r="AN20" i="23"/>
  <c r="D35" i="23"/>
  <c r="C15" i="8" s="1"/>
  <c r="AI9" i="23"/>
  <c r="AG9" i="23" s="1"/>
  <c r="AH9" i="23" s="1"/>
  <c r="D107" i="23"/>
  <c r="C41" i="8"/>
  <c r="AL13" i="24"/>
  <c r="AL10" i="24"/>
  <c r="AL7" i="24"/>
  <c r="O12" i="26"/>
  <c r="P42" i="26"/>
  <c r="AV58" i="18"/>
  <c r="AR58" i="18"/>
  <c r="E67" i="32"/>
  <c r="E68" i="32" s="1"/>
  <c r="D11" i="9"/>
  <c r="E11" i="9" s="1"/>
  <c r="E21" i="9"/>
  <c r="AN95" i="23"/>
  <c r="L95" i="23"/>
  <c r="L60" i="23"/>
  <c r="AN60" i="23"/>
  <c r="AN98" i="23"/>
  <c r="L98" i="23"/>
  <c r="L52" i="23"/>
  <c r="AN52" i="23"/>
  <c r="L59" i="23"/>
  <c r="AN59" i="23"/>
  <c r="L11" i="23"/>
  <c r="AN11" i="23"/>
  <c r="L45" i="23"/>
  <c r="AN45" i="23"/>
  <c r="L54" i="23"/>
  <c r="AN54" i="23"/>
  <c r="L15" i="23"/>
  <c r="AN15" i="23"/>
  <c r="L46" i="23"/>
  <c r="AN46" i="23"/>
  <c r="L55" i="23"/>
  <c r="AN55" i="23"/>
  <c r="L49" i="23"/>
  <c r="AN49" i="23"/>
  <c r="L42" i="23"/>
  <c r="AN42" i="23"/>
  <c r="L14" i="23"/>
  <c r="AN14" i="23"/>
  <c r="L47" i="23"/>
  <c r="AN47" i="23"/>
  <c r="L57" i="23"/>
  <c r="AN57" i="23"/>
  <c r="L36" i="23"/>
  <c r="AN36" i="23"/>
  <c r="L53" i="23"/>
  <c r="AN53" i="23"/>
  <c r="L48" i="23"/>
  <c r="AN48" i="23"/>
  <c r="L58" i="23"/>
  <c r="AN58" i="23"/>
  <c r="J13" i="24"/>
  <c r="W21" i="26"/>
  <c r="AI24" i="3"/>
  <c r="AI26" i="3" s="1"/>
  <c r="AL110" i="18"/>
  <c r="V110" i="18"/>
  <c r="T110" i="18" s="1"/>
  <c r="R110" i="18"/>
  <c r="P110" i="18" s="1"/>
  <c r="Z110" i="18"/>
  <c r="X110" i="18" s="1"/>
  <c r="AD110" i="18"/>
  <c r="AB110" i="18" s="1"/>
  <c r="AH110" i="18"/>
  <c r="AL119" i="18"/>
  <c r="R119" i="18"/>
  <c r="P119" i="18" s="1"/>
  <c r="AD119" i="18"/>
  <c r="AB119" i="18" s="1"/>
  <c r="AH119" i="18"/>
  <c r="V119" i="18"/>
  <c r="T119" i="18" s="1"/>
  <c r="Z119" i="18"/>
  <c r="X119" i="18" s="1"/>
  <c r="V22" i="18"/>
  <c r="T22" i="18" s="1"/>
  <c r="Z22" i="18"/>
  <c r="X22" i="18" s="1"/>
  <c r="AH22" i="18"/>
  <c r="AD22" i="18"/>
  <c r="AB22" i="18" s="1"/>
  <c r="AL22" i="18"/>
  <c r="R22" i="18"/>
  <c r="P22" i="18" s="1"/>
  <c r="AH85" i="18"/>
  <c r="R85" i="18"/>
  <c r="P85" i="18" s="1"/>
  <c r="AD85" i="18"/>
  <c r="AB85" i="18" s="1"/>
  <c r="V85" i="18"/>
  <c r="T85" i="18" s="1"/>
  <c r="Z85" i="18"/>
  <c r="X85" i="18" s="1"/>
  <c r="AL85" i="18"/>
  <c r="AH109" i="18"/>
  <c r="AL109" i="18"/>
  <c r="V109" i="18"/>
  <c r="T109" i="18" s="1"/>
  <c r="R109" i="18"/>
  <c r="P109" i="18" s="1"/>
  <c r="AD109" i="18"/>
  <c r="AB109" i="18" s="1"/>
  <c r="Z109" i="18"/>
  <c r="X109" i="18" s="1"/>
  <c r="V123" i="18"/>
  <c r="T123" i="18" s="1"/>
  <c r="AL123" i="18"/>
  <c r="Z123" i="18"/>
  <c r="X123" i="18" s="1"/>
  <c r="AH123" i="18"/>
  <c r="R123" i="18"/>
  <c r="P123" i="18" s="1"/>
  <c r="AD123" i="18"/>
  <c r="AB123" i="18" s="1"/>
  <c r="AH126" i="18"/>
  <c r="R126" i="18"/>
  <c r="P126" i="18" s="1"/>
  <c r="V126" i="18"/>
  <c r="T126" i="18" s="1"/>
  <c r="AD126" i="18"/>
  <c r="AB126" i="18" s="1"/>
  <c r="Z126" i="18"/>
  <c r="X126" i="18" s="1"/>
  <c r="AL126" i="18"/>
  <c r="Z55" i="18"/>
  <c r="X55" i="18" s="1"/>
  <c r="V55" i="18"/>
  <c r="T55" i="18" s="1"/>
  <c r="AH55" i="18"/>
  <c r="AD55" i="18"/>
  <c r="AB55" i="18" s="1"/>
  <c r="AL55" i="18"/>
  <c r="R55" i="18"/>
  <c r="P55" i="18" s="1"/>
  <c r="AJ58" i="18"/>
  <c r="AN58" i="18"/>
  <c r="Z15" i="18"/>
  <c r="X15" i="18" s="1"/>
  <c r="AD15" i="18"/>
  <c r="AB15" i="18" s="1"/>
  <c r="V15" i="18"/>
  <c r="T15" i="18" s="1"/>
  <c r="R15" i="18"/>
  <c r="P15" i="18" s="1"/>
  <c r="AL15" i="18"/>
  <c r="AH15" i="18"/>
  <c r="AH84" i="18"/>
  <c r="Z84" i="18"/>
  <c r="X84" i="18" s="1"/>
  <c r="AD84" i="18"/>
  <c r="AB84" i="18" s="1"/>
  <c r="V84" i="18"/>
  <c r="T84" i="18" s="1"/>
  <c r="R84" i="18"/>
  <c r="P84" i="18" s="1"/>
  <c r="AL84" i="18"/>
  <c r="AD53" i="18"/>
  <c r="AB53" i="18" s="1"/>
  <c r="Z53" i="18"/>
  <c r="X53" i="18" s="1"/>
  <c r="AH53" i="18"/>
  <c r="AL53" i="18"/>
  <c r="V53" i="18"/>
  <c r="T53" i="18" s="1"/>
  <c r="R53" i="18"/>
  <c r="P53" i="18" s="1"/>
  <c r="L20" i="23"/>
  <c r="L7" i="23"/>
  <c r="D8" i="23"/>
  <c r="C6" i="8" s="1"/>
  <c r="L9" i="23"/>
  <c r="D12" i="23"/>
  <c r="C12" i="8" s="1"/>
  <c r="AA9" i="23"/>
  <c r="X9" i="23"/>
  <c r="U9" i="23"/>
  <c r="J10" i="24"/>
  <c r="J7" i="24"/>
  <c r="AE9" i="23" l="1"/>
  <c r="R9" i="23"/>
  <c r="AL9" i="23"/>
  <c r="AR119" i="18"/>
  <c r="AV119" i="18"/>
  <c r="AV15" i="18"/>
  <c r="AR15" i="18"/>
  <c r="AP15" i="18" s="1"/>
  <c r="AV55" i="18"/>
  <c r="AR55" i="18"/>
  <c r="AP55" i="18" s="1"/>
  <c r="AV126" i="18"/>
  <c r="AR126" i="18"/>
  <c r="AP126" i="18" s="1"/>
  <c r="AV123" i="18"/>
  <c r="AR123" i="18"/>
  <c r="AP123" i="18" s="1"/>
  <c r="AV109" i="18"/>
  <c r="AR109" i="18"/>
  <c r="AP109" i="18" s="1"/>
  <c r="AV22" i="18"/>
  <c r="AR22" i="18"/>
  <c r="AP22" i="18" s="1"/>
  <c r="AR110" i="18"/>
  <c r="AP110" i="18" s="1"/>
  <c r="AV110" i="18"/>
  <c r="AV85" i="18"/>
  <c r="AR85" i="18"/>
  <c r="AP85" i="18" s="1"/>
  <c r="AV84" i="18"/>
  <c r="AR84" i="18"/>
  <c r="AP84" i="18" s="1"/>
  <c r="AR53" i="18"/>
  <c r="AP53" i="18" s="1"/>
  <c r="AV53" i="18"/>
  <c r="AN8" i="23"/>
  <c r="D73" i="23"/>
  <c r="AN73" i="23" s="1"/>
  <c r="AO9" i="23"/>
  <c r="AN35" i="23"/>
  <c r="AN12" i="23"/>
  <c r="T21" i="28"/>
  <c r="W24" i="26"/>
  <c r="AJ109" i="18"/>
  <c r="AN109" i="18"/>
  <c r="AF15" i="18"/>
  <c r="AN123" i="18"/>
  <c r="AJ123" i="18"/>
  <c r="AF109" i="18"/>
  <c r="AF119" i="18"/>
  <c r="AP119" i="18"/>
  <c r="AJ15" i="18"/>
  <c r="AN15" i="18"/>
  <c r="AN55" i="18"/>
  <c r="AJ55" i="18"/>
  <c r="AJ85" i="18"/>
  <c r="AN85" i="18"/>
  <c r="AN22" i="18"/>
  <c r="AJ22" i="18"/>
  <c r="AJ110" i="18"/>
  <c r="AF55" i="18"/>
  <c r="AF126" i="18"/>
  <c r="AF22" i="18"/>
  <c r="AJ119" i="18"/>
  <c r="AN119" i="18"/>
  <c r="AF110" i="18"/>
  <c r="AJ126" i="18"/>
  <c r="AN126" i="18"/>
  <c r="AF123" i="18"/>
  <c r="AF85" i="18"/>
  <c r="AF84" i="18"/>
  <c r="AJ84" i="18"/>
  <c r="AN84" i="18"/>
  <c r="AJ53" i="18"/>
  <c r="AF53" i="18"/>
  <c r="P9" i="23"/>
  <c r="S9" i="23"/>
  <c r="V9" i="23"/>
  <c r="Y9" i="23"/>
  <c r="AD9" i="23"/>
  <c r="C45" i="13"/>
  <c r="C39" i="4" s="1"/>
  <c r="C25" i="13"/>
  <c r="AK15" i="8" l="1"/>
  <c r="G14" i="3"/>
  <c r="AK12" i="8"/>
  <c r="G11" i="3"/>
  <c r="AK6" i="8"/>
  <c r="G5" i="3"/>
  <c r="W26" i="26"/>
  <c r="T26" i="28" s="1"/>
  <c r="T24" i="28"/>
  <c r="AJ9" i="23"/>
  <c r="AB9" i="23"/>
  <c r="E44" i="12"/>
  <c r="E43" i="12"/>
  <c r="E42" i="12"/>
  <c r="E41" i="12"/>
  <c r="E40" i="12"/>
  <c r="E39" i="12"/>
  <c r="E263" i="32" s="1"/>
  <c r="E24" i="12"/>
  <c r="E23" i="12"/>
  <c r="D23" i="12" s="1"/>
  <c r="E22" i="12"/>
  <c r="D22" i="12" s="1"/>
  <c r="E21" i="12"/>
  <c r="D21" i="12" s="1"/>
  <c r="E20" i="12"/>
  <c r="E19" i="12"/>
  <c r="E18" i="12"/>
  <c r="E17" i="12"/>
  <c r="D17" i="12" s="1"/>
  <c r="E16" i="12"/>
  <c r="D16" i="12" s="1"/>
  <c r="E15" i="12"/>
  <c r="E14" i="12"/>
  <c r="E12" i="12"/>
  <c r="D12" i="12" s="1"/>
  <c r="E11" i="12"/>
  <c r="D11" i="12" s="1"/>
  <c r="E9" i="12"/>
  <c r="D9" i="12" s="1"/>
  <c r="E8" i="12"/>
  <c r="D8" i="12" s="1"/>
  <c r="E6" i="12"/>
  <c r="D6" i="12" s="1"/>
  <c r="E5" i="12"/>
  <c r="D5" i="12" s="1"/>
  <c r="D14" i="32" s="1"/>
  <c r="D16" i="32" s="1"/>
  <c r="D43" i="26"/>
  <c r="E43" i="26"/>
  <c r="F43" i="26"/>
  <c r="G43" i="26"/>
  <c r="C43" i="26"/>
  <c r="I43" i="26" s="1"/>
  <c r="I42" i="26"/>
  <c r="I41" i="26"/>
  <c r="I40" i="26"/>
  <c r="I39" i="26"/>
  <c r="I38" i="26"/>
  <c r="I37" i="26"/>
  <c r="I23" i="26"/>
  <c r="I22" i="26"/>
  <c r="I21" i="26"/>
  <c r="I20" i="26"/>
  <c r="I18" i="26"/>
  <c r="I17" i="26"/>
  <c r="I16" i="26"/>
  <c r="I15" i="26"/>
  <c r="I14" i="26"/>
  <c r="I13" i="26"/>
  <c r="I11" i="26"/>
  <c r="I5" i="26"/>
  <c r="I4" i="26"/>
  <c r="H10" i="26"/>
  <c r="D24" i="12" l="1"/>
  <c r="D248" i="32" s="1"/>
  <c r="E248" i="32"/>
  <c r="D19" i="12"/>
  <c r="D171" i="32" s="1"/>
  <c r="D174" i="32" s="1"/>
  <c r="E171" i="32"/>
  <c r="D18" i="12"/>
  <c r="D156" i="32" s="1"/>
  <c r="D159" i="32" s="1"/>
  <c r="E156" i="32"/>
  <c r="D15" i="12"/>
  <c r="D111" i="32" s="1"/>
  <c r="E111" i="32"/>
  <c r="D20" i="12"/>
  <c r="D186" i="32" s="1"/>
  <c r="E186" i="32"/>
  <c r="D14" i="12"/>
  <c r="D95" i="32" s="1"/>
  <c r="E95" i="32"/>
  <c r="AO5" i="3"/>
  <c r="AS5" i="3"/>
  <c r="AS11" i="3"/>
  <c r="AO11" i="3"/>
  <c r="E11" i="3"/>
  <c r="AO14" i="3"/>
  <c r="AS14" i="3"/>
  <c r="H43" i="26"/>
  <c r="J43" i="26" s="1"/>
  <c r="V10" i="12"/>
  <c r="D41" i="12"/>
  <c r="G25" i="26"/>
  <c r="F25" i="26"/>
  <c r="E25" i="26"/>
  <c r="D25" i="26"/>
  <c r="G24" i="26"/>
  <c r="F24" i="26"/>
  <c r="E24" i="26"/>
  <c r="I24" i="26" s="1"/>
  <c r="D24" i="26"/>
  <c r="I25" i="26"/>
  <c r="C24" i="26"/>
  <c r="C26" i="12"/>
  <c r="C25" i="12"/>
  <c r="C45" i="12"/>
  <c r="C38" i="4" s="1"/>
  <c r="AQ11" i="3" l="1"/>
  <c r="L11" i="26"/>
  <c r="Q11" i="26"/>
  <c r="D39" i="12"/>
  <c r="D263" i="32" s="1"/>
  <c r="D266" i="32" s="1"/>
  <c r="D40" i="12"/>
  <c r="Q47" i="31"/>
  <c r="X11" i="26" l="1"/>
  <c r="P11" i="26"/>
  <c r="F9" i="30" l="1"/>
  <c r="I26" i="30"/>
  <c r="H26" i="30"/>
  <c r="G26" i="30"/>
  <c r="I25" i="30"/>
  <c r="H25" i="30"/>
  <c r="G25" i="30"/>
  <c r="I27" i="30" l="1"/>
  <c r="H27" i="30"/>
  <c r="G27" i="30"/>
  <c r="D300" i="31"/>
  <c r="D289" i="31"/>
  <c r="D174" i="31"/>
  <c r="D163" i="31"/>
  <c r="D152" i="31"/>
  <c r="D58" i="31"/>
  <c r="V58" i="31" s="1"/>
  <c r="D47" i="31"/>
  <c r="AE45" i="11"/>
  <c r="AE44" i="11"/>
  <c r="AE43" i="11"/>
  <c r="AE42" i="11"/>
  <c r="AE41" i="11"/>
  <c r="AE40" i="11"/>
  <c r="AE24" i="11"/>
  <c r="AE23" i="11"/>
  <c r="AE22" i="11"/>
  <c r="AE21" i="11"/>
  <c r="AE20" i="11"/>
  <c r="AE19" i="11"/>
  <c r="AE18" i="11"/>
  <c r="AE17" i="11"/>
  <c r="AE16" i="11"/>
  <c r="AE15" i="11"/>
  <c r="AE14" i="11"/>
  <c r="AE12" i="11"/>
  <c r="AE11" i="11"/>
  <c r="AE9" i="11"/>
  <c r="AE8" i="11"/>
  <c r="AE6" i="11"/>
  <c r="AE5" i="11"/>
  <c r="W45" i="11"/>
  <c r="W44" i="11"/>
  <c r="W43" i="11"/>
  <c r="W24" i="11"/>
  <c r="W23" i="11"/>
  <c r="W22" i="11"/>
  <c r="W21" i="11"/>
  <c r="W20" i="11"/>
  <c r="W19" i="11"/>
  <c r="W17" i="11"/>
  <c r="W16" i="11"/>
  <c r="W14" i="11"/>
  <c r="W12" i="11"/>
  <c r="W11" i="11"/>
  <c r="W9" i="11"/>
  <c r="W8" i="11"/>
  <c r="W6" i="11"/>
  <c r="W5" i="11"/>
  <c r="E45" i="11"/>
  <c r="D347" i="31" s="1"/>
  <c r="V347" i="31" s="1"/>
  <c r="E44" i="11"/>
  <c r="E43" i="11"/>
  <c r="E42" i="11"/>
  <c r="E41" i="11"/>
  <c r="E40" i="11"/>
  <c r="E24" i="11"/>
  <c r="E23" i="11"/>
  <c r="E22" i="11"/>
  <c r="D210" i="31" s="1"/>
  <c r="V210" i="31" s="1"/>
  <c r="E21" i="11"/>
  <c r="D199" i="31" s="1"/>
  <c r="E20" i="11"/>
  <c r="D185" i="31" s="1"/>
  <c r="V185" i="31" s="1"/>
  <c r="E19" i="11"/>
  <c r="E18" i="11"/>
  <c r="E17" i="11"/>
  <c r="E16" i="11"/>
  <c r="D141" i="31" s="1"/>
  <c r="V141" i="31" s="1"/>
  <c r="E15" i="11"/>
  <c r="D127" i="31" s="1"/>
  <c r="E14" i="11"/>
  <c r="D116" i="31" s="1"/>
  <c r="V116" i="31" s="1"/>
  <c r="E12" i="11"/>
  <c r="E11" i="11"/>
  <c r="D83" i="31" s="1"/>
  <c r="V83" i="31" s="1"/>
  <c r="E9" i="11"/>
  <c r="E8" i="11"/>
  <c r="U125" i="32" s="1"/>
  <c r="E6" i="11"/>
  <c r="E5" i="11"/>
  <c r="D14" i="31" s="1"/>
  <c r="V14" i="31" s="1"/>
  <c r="D336" i="31" l="1"/>
  <c r="U44" i="11"/>
  <c r="E322" i="32"/>
  <c r="D322" i="31"/>
  <c r="V322" i="31" s="1"/>
  <c r="U43" i="11"/>
  <c r="E307" i="32"/>
  <c r="E292" i="32"/>
  <c r="D311" i="31"/>
  <c r="D232" i="31"/>
  <c r="V232" i="31" s="1"/>
  <c r="U24" i="11"/>
  <c r="R24" i="11"/>
  <c r="O24" i="11"/>
  <c r="L24" i="11"/>
  <c r="I24" i="11"/>
  <c r="F24" i="11"/>
  <c r="E247" i="32"/>
  <c r="AC247" i="32" s="1"/>
  <c r="D221" i="31"/>
  <c r="V221" i="31" s="1"/>
  <c r="U23" i="11"/>
  <c r="R23" i="11"/>
  <c r="O23" i="11"/>
  <c r="L23" i="11"/>
  <c r="I23" i="11"/>
  <c r="F23" i="11"/>
  <c r="E232" i="32"/>
  <c r="D94" i="31"/>
  <c r="U12" i="11"/>
  <c r="U13" i="11" s="1"/>
  <c r="R12" i="11"/>
  <c r="R13" i="11" s="1"/>
  <c r="O12" i="11"/>
  <c r="O13" i="11" s="1"/>
  <c r="L12" i="11"/>
  <c r="L13" i="11" s="1"/>
  <c r="I12" i="11"/>
  <c r="I13" i="11" s="1"/>
  <c r="F12" i="11"/>
  <c r="E70" i="32"/>
  <c r="U6" i="11"/>
  <c r="R6" i="11"/>
  <c r="O6" i="11"/>
  <c r="L6" i="11"/>
  <c r="I6" i="11"/>
  <c r="E12" i="32"/>
  <c r="D25" i="31"/>
  <c r="AK20" i="11"/>
  <c r="W185" i="32"/>
  <c r="AK43" i="11"/>
  <c r="W307" i="32"/>
  <c r="X307" i="32" s="1"/>
  <c r="AK12" i="11"/>
  <c r="W70" i="32"/>
  <c r="AK21" i="11"/>
  <c r="W201" i="32"/>
  <c r="AK44" i="11"/>
  <c r="W322" i="32"/>
  <c r="D329" i="31"/>
  <c r="V329" i="31" s="1"/>
  <c r="V336" i="31"/>
  <c r="AK45" i="11"/>
  <c r="W337" i="32"/>
  <c r="D18" i="31"/>
  <c r="V18" i="31" s="1"/>
  <c r="V25" i="31"/>
  <c r="AK23" i="11"/>
  <c r="W232" i="32"/>
  <c r="X232" i="32" s="1"/>
  <c r="D44" i="31"/>
  <c r="V47" i="31"/>
  <c r="D38" i="31"/>
  <c r="D192" i="31"/>
  <c r="V192" i="31" s="1"/>
  <c r="V199" i="31"/>
  <c r="AK14" i="11"/>
  <c r="W94" i="32"/>
  <c r="AK5" i="11"/>
  <c r="W11" i="32"/>
  <c r="AC11" i="32" s="1"/>
  <c r="AK16" i="11"/>
  <c r="W125" i="32"/>
  <c r="AK24" i="11"/>
  <c r="W247" i="32"/>
  <c r="D145" i="31"/>
  <c r="V145" i="31" s="1"/>
  <c r="V152" i="31"/>
  <c r="AK11" i="11"/>
  <c r="W69" i="32"/>
  <c r="AC69" i="32" s="1"/>
  <c r="U12" i="32"/>
  <c r="AK6" i="11"/>
  <c r="W12" i="32"/>
  <c r="X12" i="32" s="1"/>
  <c r="U40" i="32"/>
  <c r="AK8" i="11"/>
  <c r="W40" i="32"/>
  <c r="AC40" i="32" s="1"/>
  <c r="D87" i="31"/>
  <c r="V87" i="31" s="1"/>
  <c r="V94" i="31"/>
  <c r="AK22" i="11"/>
  <c r="W216" i="32"/>
  <c r="U140" i="32"/>
  <c r="AK17" i="11"/>
  <c r="W140" i="32"/>
  <c r="AK9" i="11"/>
  <c r="W41" i="32"/>
  <c r="AC41" i="32" s="1"/>
  <c r="AK19" i="11"/>
  <c r="W170" i="32"/>
  <c r="AE13" i="11"/>
  <c r="D171" i="31"/>
  <c r="V171" i="31" s="1"/>
  <c r="V174" i="31"/>
  <c r="D218" i="31"/>
  <c r="V218" i="31" s="1"/>
  <c r="D220" i="31"/>
  <c r="D212" i="31"/>
  <c r="V212" i="31" s="1"/>
  <c r="D209" i="31"/>
  <c r="D202" i="31"/>
  <c r="V202" i="31" s="1"/>
  <c r="D227" i="31"/>
  <c r="V227" i="31" s="1"/>
  <c r="D230" i="31"/>
  <c r="V230" i="31" s="1"/>
  <c r="D115" i="31"/>
  <c r="D108" i="31"/>
  <c r="V108" i="31" s="1"/>
  <c r="D136" i="31"/>
  <c r="V136" i="31" s="1"/>
  <c r="D139" i="31"/>
  <c r="V139" i="31" s="1"/>
  <c r="D346" i="31"/>
  <c r="D339" i="31"/>
  <c r="V339" i="31" s="1"/>
  <c r="D9" i="31"/>
  <c r="V9" i="31" s="1"/>
  <c r="D11" i="31"/>
  <c r="V11" i="31" s="1"/>
  <c r="D180" i="31"/>
  <c r="V180" i="31" s="1"/>
  <c r="D176" i="31"/>
  <c r="V176" i="31" s="1"/>
  <c r="D181" i="31"/>
  <c r="V181" i="31" s="1"/>
  <c r="D317" i="31"/>
  <c r="V317" i="31" s="1"/>
  <c r="D313" i="31"/>
  <c r="V313" i="31" s="1"/>
  <c r="D318" i="31"/>
  <c r="V318" i="31" s="1"/>
  <c r="U170" i="32"/>
  <c r="D45" i="31"/>
  <c r="U185" i="32"/>
  <c r="U70" i="32"/>
  <c r="U94" i="32"/>
  <c r="U232" i="32"/>
  <c r="D40" i="31"/>
  <c r="U201" i="32"/>
  <c r="U11" i="32"/>
  <c r="U247" i="32"/>
  <c r="D19" i="31"/>
  <c r="V19" i="31" s="1"/>
  <c r="D147" i="31"/>
  <c r="V147" i="31" s="1"/>
  <c r="D164" i="31"/>
  <c r="V164" i="31" s="1"/>
  <c r="D20" i="31"/>
  <c r="V20" i="31" s="1"/>
  <c r="D41" i="31"/>
  <c r="D148" i="31"/>
  <c r="V148" i="31" s="1"/>
  <c r="D165" i="31"/>
  <c r="V165" i="31" s="1"/>
  <c r="D177" i="31"/>
  <c r="V177" i="31" s="1"/>
  <c r="D219" i="31"/>
  <c r="V219" i="31" s="1"/>
  <c r="D314" i="31"/>
  <c r="V314" i="31" s="1"/>
  <c r="D22" i="31"/>
  <c r="D46" i="31"/>
  <c r="D131" i="31"/>
  <c r="V131" i="31" s="1"/>
  <c r="D167" i="31"/>
  <c r="V167" i="31" s="1"/>
  <c r="D182" i="31"/>
  <c r="V182" i="31" s="1"/>
  <c r="D222" i="31"/>
  <c r="V222" i="31" s="1"/>
  <c r="D319" i="31"/>
  <c r="V319" i="31" s="1"/>
  <c r="D166" i="31"/>
  <c r="V166" i="31" s="1"/>
  <c r="D4" i="31"/>
  <c r="V4" i="31" s="1"/>
  <c r="D137" i="31"/>
  <c r="V137" i="31" s="1"/>
  <c r="D168" i="31"/>
  <c r="V168" i="31" s="1"/>
  <c r="D183" i="31"/>
  <c r="V183" i="31" s="1"/>
  <c r="D228" i="31"/>
  <c r="V228" i="31" s="1"/>
  <c r="D320" i="31"/>
  <c r="V320" i="31" s="1"/>
  <c r="D21" i="31"/>
  <c r="V21" i="31" s="1"/>
  <c r="D149" i="31"/>
  <c r="V149" i="31" s="1"/>
  <c r="D31" i="31"/>
  <c r="V31" i="31" s="1"/>
  <c r="D10" i="31"/>
  <c r="D37" i="31"/>
  <c r="D138" i="31"/>
  <c r="V138" i="31" s="1"/>
  <c r="D172" i="31"/>
  <c r="V172" i="31" s="1"/>
  <c r="D184" i="31"/>
  <c r="D229" i="31"/>
  <c r="V229" i="31" s="1"/>
  <c r="D321" i="31"/>
  <c r="D173" i="31"/>
  <c r="D12" i="31"/>
  <c r="V12" i="31" s="1"/>
  <c r="D39" i="31"/>
  <c r="D146" i="31"/>
  <c r="V146" i="31" s="1"/>
  <c r="D175" i="31"/>
  <c r="V175" i="31" s="1"/>
  <c r="D211" i="31"/>
  <c r="V211" i="31" s="1"/>
  <c r="D312" i="31"/>
  <c r="V312" i="31" s="1"/>
  <c r="D193" i="31"/>
  <c r="V193" i="31" s="1"/>
  <c r="D203" i="31"/>
  <c r="V203" i="31" s="1"/>
  <c r="D331" i="31"/>
  <c r="V331" i="31" s="1"/>
  <c r="D110" i="31"/>
  <c r="V110" i="31" s="1"/>
  <c r="D204" i="31"/>
  <c r="V204" i="31" s="1"/>
  <c r="D90" i="31"/>
  <c r="V90" i="31" s="1"/>
  <c r="D213" i="31"/>
  <c r="V213" i="31" s="1"/>
  <c r="D341" i="31"/>
  <c r="V341" i="31" s="1"/>
  <c r="D111" i="31"/>
  <c r="V111" i="31" s="1"/>
  <c r="D140" i="31"/>
  <c r="D214" i="31"/>
  <c r="V214" i="31" s="1"/>
  <c r="D231" i="31"/>
  <c r="D342" i="31"/>
  <c r="V342" i="31" s="1"/>
  <c r="D6" i="31"/>
  <c r="V6" i="31" s="1"/>
  <c r="D23" i="31"/>
  <c r="D84" i="31"/>
  <c r="V84" i="31" s="1"/>
  <c r="D189" i="31"/>
  <c r="V189" i="31" s="1"/>
  <c r="D215" i="31"/>
  <c r="V215" i="31" s="1"/>
  <c r="D334" i="31"/>
  <c r="V334" i="31" s="1"/>
  <c r="D7" i="31"/>
  <c r="D16" i="31"/>
  <c r="V16" i="31" s="1"/>
  <c r="D24" i="31"/>
  <c r="D42" i="31"/>
  <c r="D85" i="31"/>
  <c r="V85" i="31" s="1"/>
  <c r="D93" i="31"/>
  <c r="D113" i="31"/>
  <c r="V113" i="31" s="1"/>
  <c r="D134" i="31"/>
  <c r="V134" i="31" s="1"/>
  <c r="D143" i="31"/>
  <c r="V143" i="31" s="1"/>
  <c r="D151" i="31"/>
  <c r="D169" i="31"/>
  <c r="V169" i="31" s="1"/>
  <c r="D178" i="31"/>
  <c r="V178" i="31" s="1"/>
  <c r="D190" i="31"/>
  <c r="V190" i="31" s="1"/>
  <c r="D198" i="31"/>
  <c r="D207" i="31"/>
  <c r="V207" i="31" s="1"/>
  <c r="D216" i="31"/>
  <c r="V216" i="31" s="1"/>
  <c r="D225" i="31"/>
  <c r="V225" i="31" s="1"/>
  <c r="D315" i="31"/>
  <c r="V315" i="31" s="1"/>
  <c r="D327" i="31"/>
  <c r="V327" i="31" s="1"/>
  <c r="D335" i="31"/>
  <c r="D344" i="31"/>
  <c r="V344" i="31" s="1"/>
  <c r="D88" i="31"/>
  <c r="V88" i="31" s="1"/>
  <c r="D330" i="31"/>
  <c r="V330" i="31" s="1"/>
  <c r="D89" i="31"/>
  <c r="V89" i="31" s="1"/>
  <c r="D194" i="31"/>
  <c r="V194" i="31" s="1"/>
  <c r="D340" i="31"/>
  <c r="V340" i="31" s="1"/>
  <c r="D13" i="31"/>
  <c r="V13" i="31" s="1"/>
  <c r="D205" i="31"/>
  <c r="V205" i="31" s="1"/>
  <c r="D333" i="31"/>
  <c r="V333" i="31" s="1"/>
  <c r="D15" i="31"/>
  <c r="D112" i="31"/>
  <c r="V112" i="31" s="1"/>
  <c r="D133" i="31"/>
  <c r="V133" i="31" s="1"/>
  <c r="D150" i="31"/>
  <c r="V150" i="31" s="1"/>
  <c r="D206" i="31"/>
  <c r="V206" i="31" s="1"/>
  <c r="D343" i="31"/>
  <c r="V343" i="31" s="1"/>
  <c r="D8" i="31"/>
  <c r="V8" i="31" s="1"/>
  <c r="D17" i="31"/>
  <c r="V17" i="31" s="1"/>
  <c r="D43" i="31"/>
  <c r="D86" i="31"/>
  <c r="V86" i="31" s="1"/>
  <c r="D106" i="31"/>
  <c r="V106" i="31" s="1"/>
  <c r="D114" i="31"/>
  <c r="V114" i="31" s="1"/>
  <c r="D135" i="31"/>
  <c r="V135" i="31" s="1"/>
  <c r="D144" i="31"/>
  <c r="V144" i="31" s="1"/>
  <c r="D170" i="31"/>
  <c r="V170" i="31" s="1"/>
  <c r="D179" i="31"/>
  <c r="V179" i="31" s="1"/>
  <c r="D191" i="31"/>
  <c r="V191" i="31" s="1"/>
  <c r="D200" i="31"/>
  <c r="V200" i="31" s="1"/>
  <c r="D208" i="31"/>
  <c r="V208" i="31" s="1"/>
  <c r="D217" i="31"/>
  <c r="V217" i="31" s="1"/>
  <c r="D226" i="31"/>
  <c r="V226" i="31" s="1"/>
  <c r="D316" i="31"/>
  <c r="V316" i="31" s="1"/>
  <c r="D328" i="31"/>
  <c r="V328" i="31" s="1"/>
  <c r="D337" i="31"/>
  <c r="V337" i="31" s="1"/>
  <c r="D345" i="31"/>
  <c r="V345" i="31" s="1"/>
  <c r="D109" i="31"/>
  <c r="V109" i="31" s="1"/>
  <c r="D195" i="31"/>
  <c r="V195" i="31" s="1"/>
  <c r="D332" i="31"/>
  <c r="V332" i="31" s="1"/>
  <c r="D5" i="31"/>
  <c r="V5" i="31" s="1"/>
  <c r="D91" i="31"/>
  <c r="V91" i="31" s="1"/>
  <c r="D132" i="31"/>
  <c r="V132" i="31" s="1"/>
  <c r="D196" i="31"/>
  <c r="V196" i="31" s="1"/>
  <c r="D223" i="31"/>
  <c r="V223" i="31" s="1"/>
  <c r="D92" i="31"/>
  <c r="V92" i="31" s="1"/>
  <c r="D142" i="31"/>
  <c r="V142" i="31" s="1"/>
  <c r="D197" i="31"/>
  <c r="V197" i="31" s="1"/>
  <c r="D224" i="31"/>
  <c r="V224" i="31" s="1"/>
  <c r="D326" i="31"/>
  <c r="V326" i="31" s="1"/>
  <c r="D107" i="31"/>
  <c r="V107" i="31" s="1"/>
  <c r="D201" i="31"/>
  <c r="V201" i="31" s="1"/>
  <c r="D338" i="31"/>
  <c r="V338" i="31" s="1"/>
  <c r="AE10" i="11"/>
  <c r="AE7" i="11"/>
  <c r="V19" i="11"/>
  <c r="V170" i="32" s="1"/>
  <c r="V20" i="11"/>
  <c r="V185" i="32" s="1"/>
  <c r="V6" i="11"/>
  <c r="V12" i="32" s="1"/>
  <c r="V23" i="11"/>
  <c r="V232" i="32" s="1"/>
  <c r="V21" i="11"/>
  <c r="V201" i="32" s="1"/>
  <c r="W13" i="11"/>
  <c r="V11" i="11"/>
  <c r="W7" i="11"/>
  <c r="W10" i="11"/>
  <c r="AK10" i="11" s="1"/>
  <c r="V16" i="11"/>
  <c r="V125" i="32" s="1"/>
  <c r="U13" i="32" l="1"/>
  <c r="X322" i="32"/>
  <c r="X94" i="32"/>
  <c r="AC94" i="32"/>
  <c r="X185" i="32"/>
  <c r="AC185" i="32"/>
  <c r="AC232" i="32"/>
  <c r="X140" i="32"/>
  <c r="AC140" i="32"/>
  <c r="X70" i="32"/>
  <c r="X247" i="32"/>
  <c r="AC307" i="32"/>
  <c r="X337" i="32"/>
  <c r="AC337" i="32"/>
  <c r="X216" i="32"/>
  <c r="AC216" i="32"/>
  <c r="X125" i="32"/>
  <c r="AC125" i="32"/>
  <c r="X201" i="32"/>
  <c r="AC201" i="32"/>
  <c r="AC322" i="32"/>
  <c r="X170" i="32"/>
  <c r="AC170" i="32"/>
  <c r="AC70" i="32"/>
  <c r="E71" i="32"/>
  <c r="AC71" i="32" s="1"/>
  <c r="AC12" i="32"/>
  <c r="E13" i="32"/>
  <c r="AC13" i="32" s="1"/>
  <c r="I7" i="11"/>
  <c r="L7" i="11"/>
  <c r="O7" i="11"/>
  <c r="R7" i="11"/>
  <c r="U7" i="11"/>
  <c r="V12" i="11"/>
  <c r="V70" i="32" s="1"/>
  <c r="V5" i="11"/>
  <c r="V11" i="32" s="1"/>
  <c r="V13" i="32" s="1"/>
  <c r="V17" i="11"/>
  <c r="V140" i="32" s="1"/>
  <c r="W71" i="32"/>
  <c r="V24" i="11"/>
  <c r="V247" i="32" s="1"/>
  <c r="V69" i="32"/>
  <c r="V11" i="6"/>
  <c r="V14" i="11"/>
  <c r="V94" i="32" s="1"/>
  <c r="V44" i="11"/>
  <c r="V322" i="32" s="1"/>
  <c r="U322" i="32"/>
  <c r="D64" i="31"/>
  <c r="V64" i="31" s="1"/>
  <c r="V42" i="31"/>
  <c r="F19" i="30"/>
  <c r="V173" i="31"/>
  <c r="D33" i="31"/>
  <c r="V33" i="31" s="1"/>
  <c r="V22" i="31"/>
  <c r="V45" i="11"/>
  <c r="V337" i="32" s="1"/>
  <c r="U337" i="32"/>
  <c r="F17" i="30"/>
  <c r="V151" i="31"/>
  <c r="F6" i="30"/>
  <c r="P6" i="30" s="1"/>
  <c r="V24" i="31"/>
  <c r="D34" i="31"/>
  <c r="V34" i="31" s="1"/>
  <c r="V23" i="31"/>
  <c r="F8" i="30"/>
  <c r="V46" i="31"/>
  <c r="F14" i="30"/>
  <c r="V115" i="31"/>
  <c r="D29" i="31"/>
  <c r="V29" i="31" s="1"/>
  <c r="V7" i="31"/>
  <c r="F42" i="30"/>
  <c r="V321" i="31"/>
  <c r="D63" i="31"/>
  <c r="V63" i="31" s="1"/>
  <c r="V41" i="31"/>
  <c r="D60" i="31"/>
  <c r="V60" i="31" s="1"/>
  <c r="V38" i="31"/>
  <c r="F44" i="30"/>
  <c r="V346" i="31"/>
  <c r="D32" i="31"/>
  <c r="V32" i="31" s="1"/>
  <c r="V10" i="31"/>
  <c r="D65" i="31"/>
  <c r="V65" i="31" s="1"/>
  <c r="V43" i="31"/>
  <c r="F24" i="30"/>
  <c r="P24" i="30" s="1"/>
  <c r="V231" i="31"/>
  <c r="X40" i="32"/>
  <c r="W42" i="32"/>
  <c r="D59" i="31"/>
  <c r="V59" i="31" s="1"/>
  <c r="V37" i="31"/>
  <c r="V22" i="11"/>
  <c r="V216" i="32" s="1"/>
  <c r="U216" i="32"/>
  <c r="F43" i="30"/>
  <c r="V335" i="31"/>
  <c r="V43" i="11"/>
  <c r="V307" i="32" s="1"/>
  <c r="U307" i="32"/>
  <c r="F21" i="30"/>
  <c r="V198" i="31"/>
  <c r="F22" i="30"/>
  <c r="V209" i="31"/>
  <c r="D66" i="31"/>
  <c r="V66" i="31" s="1"/>
  <c r="V44" i="31"/>
  <c r="D26" i="31"/>
  <c r="V26" i="31" s="1"/>
  <c r="V15" i="31"/>
  <c r="F12" i="30"/>
  <c r="P12" i="30" s="1"/>
  <c r="V93" i="31"/>
  <c r="F16" i="30"/>
  <c r="V140" i="31"/>
  <c r="D62" i="31"/>
  <c r="V62" i="31" s="1"/>
  <c r="V40" i="31"/>
  <c r="U69" i="32"/>
  <c r="U71" i="32" s="1"/>
  <c r="W13" i="32"/>
  <c r="X11" i="32"/>
  <c r="D61" i="31"/>
  <c r="V61" i="31" s="1"/>
  <c r="V39" i="31"/>
  <c r="F20" i="30"/>
  <c r="V184" i="31"/>
  <c r="U41" i="32"/>
  <c r="U42" i="32" s="1"/>
  <c r="D67" i="31"/>
  <c r="V67" i="31" s="1"/>
  <c r="V45" i="31"/>
  <c r="F23" i="30"/>
  <c r="P23" i="30" s="1"/>
  <c r="V220" i="31"/>
  <c r="D35" i="31"/>
  <c r="V35" i="31" s="1"/>
  <c r="F5" i="30"/>
  <c r="D30" i="31"/>
  <c r="V30" i="31" s="1"/>
  <c r="D28" i="31"/>
  <c r="V28" i="31" s="1"/>
  <c r="D27" i="31"/>
  <c r="V27" i="31" s="1"/>
  <c r="V13" i="11"/>
  <c r="V7" i="11"/>
  <c r="V8" i="11"/>
  <c r="J44" i="30"/>
  <c r="J43" i="30"/>
  <c r="J42" i="30"/>
  <c r="J41" i="30"/>
  <c r="J40" i="30"/>
  <c r="J39" i="30"/>
  <c r="J24" i="30"/>
  <c r="K24" i="30" s="1"/>
  <c r="J23" i="30"/>
  <c r="J22" i="30"/>
  <c r="K22" i="30" s="1"/>
  <c r="J21" i="30"/>
  <c r="J20" i="30"/>
  <c r="K20" i="30" s="1"/>
  <c r="J19" i="30"/>
  <c r="J18" i="30"/>
  <c r="J17" i="30"/>
  <c r="J16" i="30"/>
  <c r="J15" i="30"/>
  <c r="J14" i="30"/>
  <c r="K14" i="30" s="1"/>
  <c r="J12" i="30"/>
  <c r="K12" i="30" s="1"/>
  <c r="J11" i="30"/>
  <c r="J9" i="30"/>
  <c r="J8" i="30"/>
  <c r="J6" i="30"/>
  <c r="K6" i="30" s="1"/>
  <c r="J5" i="30"/>
  <c r="K5" i="30" s="1"/>
  <c r="G45" i="30"/>
  <c r="I45" i="30"/>
  <c r="X42" i="32" l="1"/>
  <c r="AC42" i="32"/>
  <c r="X13" i="32"/>
  <c r="X71" i="32"/>
  <c r="P43" i="30"/>
  <c r="K43" i="30"/>
  <c r="P42" i="30"/>
  <c r="K42" i="30"/>
  <c r="K23" i="30"/>
  <c r="K21" i="30"/>
  <c r="D17" i="30"/>
  <c r="K17" i="30"/>
  <c r="K8" i="30"/>
  <c r="K16" i="30"/>
  <c r="K19" i="30"/>
  <c r="F7" i="30"/>
  <c r="P7" i="30" s="1"/>
  <c r="E21" i="30"/>
  <c r="D21" i="30"/>
  <c r="C21" i="30"/>
  <c r="E16" i="30"/>
  <c r="D16" i="30"/>
  <c r="D43" i="30"/>
  <c r="N43" i="30" s="1"/>
  <c r="R43" i="30" s="1"/>
  <c r="C43" i="30"/>
  <c r="M43" i="30" s="1"/>
  <c r="Q43" i="30" s="1"/>
  <c r="E43" i="30"/>
  <c r="O43" i="30" s="1"/>
  <c r="S43" i="30" s="1"/>
  <c r="J13" i="30"/>
  <c r="D20" i="30"/>
  <c r="C20" i="30"/>
  <c r="E20" i="30"/>
  <c r="D12" i="30"/>
  <c r="N12" i="30" s="1"/>
  <c r="R12" i="30" s="1"/>
  <c r="E12" i="30"/>
  <c r="O12" i="30" s="1"/>
  <c r="S12" i="30" s="1"/>
  <c r="E22" i="30"/>
  <c r="D22" i="30"/>
  <c r="D44" i="30"/>
  <c r="E44" i="30"/>
  <c r="D23" i="30"/>
  <c r="N23" i="30" s="1"/>
  <c r="R23" i="30" s="1"/>
  <c r="E23" i="30"/>
  <c r="O23" i="30" s="1"/>
  <c r="S23" i="30" s="1"/>
  <c r="C23" i="30"/>
  <c r="M23" i="30" s="1"/>
  <c r="Q23" i="30" s="1"/>
  <c r="V10" i="11"/>
  <c r="V40" i="32"/>
  <c r="C5" i="30"/>
  <c r="E5" i="30"/>
  <c r="D5" i="30"/>
  <c r="J7" i="30"/>
  <c r="J25" i="30"/>
  <c r="E6" i="30"/>
  <c r="O6" i="30" s="1"/>
  <c r="S6" i="30" s="1"/>
  <c r="D6" i="30"/>
  <c r="N6" i="30" s="1"/>
  <c r="R6" i="30" s="1"/>
  <c r="C6" i="30"/>
  <c r="M6" i="30" s="1"/>
  <c r="Q6" i="30" s="1"/>
  <c r="J26" i="30"/>
  <c r="D8" i="30"/>
  <c r="E8" i="30"/>
  <c r="J10" i="30"/>
  <c r="V81" i="32"/>
  <c r="V71" i="32"/>
  <c r="J45" i="30"/>
  <c r="K7" i="30" l="1"/>
  <c r="D25" i="30"/>
  <c r="E25" i="30"/>
  <c r="C25" i="30"/>
  <c r="V42" i="32"/>
  <c r="J27" i="30"/>
  <c r="S255" i="31"/>
  <c r="S254" i="31"/>
  <c r="S253" i="31"/>
  <c r="S252" i="31"/>
  <c r="S251" i="31"/>
  <c r="S250" i="31"/>
  <c r="S249" i="31"/>
  <c r="S248" i="31"/>
  <c r="S247" i="31"/>
  <c r="P256" i="31"/>
  <c r="O256" i="31"/>
  <c r="M256" i="31"/>
  <c r="K256" i="31"/>
  <c r="I256" i="31"/>
  <c r="G256" i="31"/>
  <c r="F256" i="31"/>
  <c r="E256" i="31"/>
  <c r="C256" i="31"/>
  <c r="P255" i="31"/>
  <c r="O255" i="31"/>
  <c r="N255" i="31"/>
  <c r="M255" i="31"/>
  <c r="L255" i="31"/>
  <c r="K255" i="31"/>
  <c r="J255" i="31"/>
  <c r="I255" i="31"/>
  <c r="H255" i="31"/>
  <c r="G255" i="31"/>
  <c r="F255" i="31"/>
  <c r="E255" i="31"/>
  <c r="C255" i="31"/>
  <c r="P254" i="31"/>
  <c r="O254" i="31"/>
  <c r="N254" i="31"/>
  <c r="M254" i="31"/>
  <c r="L254" i="31"/>
  <c r="K254" i="31"/>
  <c r="J254" i="31"/>
  <c r="I254" i="31"/>
  <c r="H254" i="31"/>
  <c r="G254" i="31"/>
  <c r="F254" i="31"/>
  <c r="E254" i="31"/>
  <c r="C254" i="31"/>
  <c r="P253" i="31"/>
  <c r="O253" i="31"/>
  <c r="N253" i="31"/>
  <c r="M253" i="31"/>
  <c r="L253" i="31"/>
  <c r="K253" i="31"/>
  <c r="J253" i="31"/>
  <c r="I253" i="31"/>
  <c r="H253" i="31"/>
  <c r="G253" i="31"/>
  <c r="F253" i="31"/>
  <c r="E253" i="31"/>
  <c r="C253" i="31"/>
  <c r="P252" i="31"/>
  <c r="O252" i="31"/>
  <c r="N252" i="31"/>
  <c r="M252" i="31"/>
  <c r="L252" i="31"/>
  <c r="K252" i="31"/>
  <c r="J252" i="31"/>
  <c r="I252" i="31"/>
  <c r="H252" i="31"/>
  <c r="G252" i="31"/>
  <c r="F252" i="31"/>
  <c r="E252" i="31"/>
  <c r="C252" i="31"/>
  <c r="P251" i="31"/>
  <c r="O251" i="31"/>
  <c r="N251" i="31"/>
  <c r="M251" i="31"/>
  <c r="L251" i="31"/>
  <c r="K251" i="31"/>
  <c r="J251" i="31"/>
  <c r="I251" i="31"/>
  <c r="H251" i="31"/>
  <c r="G251" i="31"/>
  <c r="F251" i="31"/>
  <c r="E251" i="31"/>
  <c r="C251" i="31"/>
  <c r="P250" i="31"/>
  <c r="O250" i="31"/>
  <c r="N250" i="31"/>
  <c r="M250" i="31"/>
  <c r="L250" i="31"/>
  <c r="K250" i="31"/>
  <c r="J250" i="31"/>
  <c r="I250" i="31"/>
  <c r="H250" i="31"/>
  <c r="G250" i="31"/>
  <c r="F250" i="31"/>
  <c r="E250" i="31"/>
  <c r="C250" i="31"/>
  <c r="P249" i="31"/>
  <c r="O249" i="31"/>
  <c r="N249" i="31"/>
  <c r="M249" i="31"/>
  <c r="L249" i="31"/>
  <c r="K249" i="31"/>
  <c r="J249" i="31"/>
  <c r="I249" i="31"/>
  <c r="H249" i="31"/>
  <c r="G249" i="31"/>
  <c r="F249" i="31"/>
  <c r="E249" i="31"/>
  <c r="C249" i="31"/>
  <c r="P248" i="31"/>
  <c r="O248" i="31"/>
  <c r="N248" i="31"/>
  <c r="M248" i="31"/>
  <c r="L248" i="31"/>
  <c r="K248" i="31"/>
  <c r="J248" i="31"/>
  <c r="I248" i="31"/>
  <c r="H248" i="31"/>
  <c r="G248" i="31"/>
  <c r="F248" i="31"/>
  <c r="E248" i="31"/>
  <c r="C248" i="31"/>
  <c r="P247" i="31"/>
  <c r="O247" i="31"/>
  <c r="N247" i="31"/>
  <c r="M247" i="31"/>
  <c r="L247" i="31"/>
  <c r="K247" i="31"/>
  <c r="J247" i="31"/>
  <c r="I247" i="31"/>
  <c r="H247" i="31"/>
  <c r="G247" i="31"/>
  <c r="F247" i="31"/>
  <c r="E247" i="31"/>
  <c r="C247" i="31"/>
  <c r="H321" i="31" l="1"/>
  <c r="P257" i="31" l="1"/>
  <c r="O257" i="31"/>
  <c r="F185" i="31"/>
  <c r="S356" i="31" l="1"/>
  <c r="S355" i="31"/>
  <c r="S354" i="31"/>
  <c r="S353" i="31"/>
  <c r="S352" i="31"/>
  <c r="S351" i="31"/>
  <c r="S350" i="31"/>
  <c r="S349" i="31"/>
  <c r="S348" i="31"/>
  <c r="P357" i="31"/>
  <c r="O357" i="31"/>
  <c r="U357" i="31" s="1"/>
  <c r="M357" i="31"/>
  <c r="K357" i="31"/>
  <c r="I357" i="31"/>
  <c r="G357" i="31"/>
  <c r="F357" i="31"/>
  <c r="E357" i="31"/>
  <c r="P356" i="31"/>
  <c r="O356" i="31"/>
  <c r="N356" i="31"/>
  <c r="M356" i="31"/>
  <c r="L356" i="31"/>
  <c r="K356" i="31"/>
  <c r="J356" i="31"/>
  <c r="I356" i="31"/>
  <c r="H356" i="31"/>
  <c r="G356" i="31"/>
  <c r="F356" i="31"/>
  <c r="E356" i="31"/>
  <c r="P355" i="31"/>
  <c r="O355" i="31"/>
  <c r="N355" i="31"/>
  <c r="M355" i="31"/>
  <c r="L355" i="31"/>
  <c r="K355" i="31"/>
  <c r="J355" i="31"/>
  <c r="I355" i="31"/>
  <c r="H355" i="31"/>
  <c r="G355" i="31"/>
  <c r="F355" i="31"/>
  <c r="E355" i="31"/>
  <c r="P354" i="31"/>
  <c r="O354" i="31"/>
  <c r="N354" i="31"/>
  <c r="M354" i="31"/>
  <c r="L354" i="31"/>
  <c r="K354" i="31"/>
  <c r="J354" i="31"/>
  <c r="I354" i="31"/>
  <c r="H354" i="31"/>
  <c r="G354" i="31"/>
  <c r="F354" i="31"/>
  <c r="E354" i="31"/>
  <c r="P353" i="31"/>
  <c r="O353" i="31"/>
  <c r="N353" i="31"/>
  <c r="M353" i="31"/>
  <c r="L353" i="31"/>
  <c r="K353" i="31"/>
  <c r="J353" i="31"/>
  <c r="I353" i="31"/>
  <c r="H353" i="31"/>
  <c r="G353" i="31"/>
  <c r="F353" i="31"/>
  <c r="E353" i="31"/>
  <c r="P352" i="31"/>
  <c r="O352" i="31"/>
  <c r="N352" i="31"/>
  <c r="M352" i="31"/>
  <c r="L352" i="31"/>
  <c r="K352" i="31"/>
  <c r="J352" i="31"/>
  <c r="I352" i="31"/>
  <c r="H352" i="31"/>
  <c r="G352" i="31"/>
  <c r="F352" i="31"/>
  <c r="E352" i="31"/>
  <c r="P351" i="31"/>
  <c r="O351" i="31"/>
  <c r="N351" i="31"/>
  <c r="M351" i="31"/>
  <c r="L351" i="31"/>
  <c r="K351" i="31"/>
  <c r="J351" i="31"/>
  <c r="I351" i="31"/>
  <c r="H351" i="31"/>
  <c r="G351" i="31"/>
  <c r="F351" i="31"/>
  <c r="E351" i="31"/>
  <c r="P350" i="31"/>
  <c r="O350" i="31"/>
  <c r="N350" i="31"/>
  <c r="M350" i="31"/>
  <c r="L350" i="31"/>
  <c r="K350" i="31"/>
  <c r="J350" i="31"/>
  <c r="I350" i="31"/>
  <c r="H350" i="31"/>
  <c r="G350" i="31"/>
  <c r="F350" i="31"/>
  <c r="E350" i="31"/>
  <c r="P349" i="31"/>
  <c r="O349" i="31"/>
  <c r="U349" i="31" s="1"/>
  <c r="N349" i="31"/>
  <c r="M349" i="31"/>
  <c r="L349" i="31"/>
  <c r="K349" i="31"/>
  <c r="J349" i="31"/>
  <c r="I349" i="31"/>
  <c r="H349" i="31"/>
  <c r="G349" i="31"/>
  <c r="F349" i="31"/>
  <c r="E349" i="31"/>
  <c r="P348" i="31"/>
  <c r="O348" i="31"/>
  <c r="N348" i="31"/>
  <c r="M348" i="31"/>
  <c r="L348" i="31"/>
  <c r="K348" i="31"/>
  <c r="J348" i="31"/>
  <c r="I348" i="31"/>
  <c r="H348" i="31"/>
  <c r="G348" i="31"/>
  <c r="F348" i="31"/>
  <c r="E348" i="31"/>
  <c r="C349" i="31"/>
  <c r="C350" i="31"/>
  <c r="C351" i="31"/>
  <c r="C352" i="31"/>
  <c r="C353" i="31"/>
  <c r="C354" i="31"/>
  <c r="C355" i="31"/>
  <c r="C356" i="31"/>
  <c r="C357" i="31"/>
  <c r="C348" i="31"/>
  <c r="P347" i="31"/>
  <c r="O347" i="31"/>
  <c r="P336" i="31"/>
  <c r="O336" i="31"/>
  <c r="P322" i="31"/>
  <c r="O322" i="31"/>
  <c r="P311" i="31"/>
  <c r="O311" i="31"/>
  <c r="P300" i="31"/>
  <c r="O300" i="31"/>
  <c r="P289" i="31"/>
  <c r="O289" i="31"/>
  <c r="R343" i="31"/>
  <c r="Q343" i="31"/>
  <c r="R342" i="31"/>
  <c r="Q342" i="31"/>
  <c r="R337" i="31"/>
  <c r="R332" i="31"/>
  <c r="Q332" i="31"/>
  <c r="R331" i="31"/>
  <c r="Q331" i="31"/>
  <c r="R330" i="31"/>
  <c r="Q330" i="31"/>
  <c r="R329" i="31"/>
  <c r="Q329" i="31"/>
  <c r="R327" i="31"/>
  <c r="Q327" i="31"/>
  <c r="R326" i="31"/>
  <c r="R318" i="31"/>
  <c r="Q318" i="31"/>
  <c r="R317" i="31"/>
  <c r="Q317" i="31"/>
  <c r="R316" i="31"/>
  <c r="Q316" i="31"/>
  <c r="R315" i="31"/>
  <c r="Q315" i="31"/>
  <c r="R313" i="31"/>
  <c r="Q307" i="31"/>
  <c r="Q306" i="31"/>
  <c r="Q305" i="31"/>
  <c r="Q304" i="31"/>
  <c r="Q297" i="31"/>
  <c r="Q296" i="31"/>
  <c r="Q295" i="31"/>
  <c r="Q294" i="31"/>
  <c r="Q293" i="31"/>
  <c r="Q291" i="31"/>
  <c r="Q286" i="31"/>
  <c r="Q285" i="31"/>
  <c r="Q284" i="31"/>
  <c r="Q283" i="31"/>
  <c r="Q282" i="31"/>
  <c r="Q254" i="31"/>
  <c r="Q253" i="31"/>
  <c r="Q252" i="31"/>
  <c r="Q251" i="31"/>
  <c r="Q250" i="31"/>
  <c r="Q249" i="31"/>
  <c r="Q248" i="31"/>
  <c r="P232" i="31"/>
  <c r="O232" i="31"/>
  <c r="P221" i="31"/>
  <c r="O221" i="31"/>
  <c r="P210" i="31"/>
  <c r="O210" i="31"/>
  <c r="P199" i="31"/>
  <c r="O199" i="31"/>
  <c r="Q229" i="31"/>
  <c r="R228" i="31"/>
  <c r="Q228" i="31"/>
  <c r="R227" i="31"/>
  <c r="Q227" i="31"/>
  <c r="Q226" i="31"/>
  <c r="R225" i="31"/>
  <c r="Q225" i="31"/>
  <c r="R223" i="31"/>
  <c r="Q223" i="31"/>
  <c r="R218" i="31"/>
  <c r="Q218" i="31"/>
  <c r="R217" i="31"/>
  <c r="Q217" i="31"/>
  <c r="R216" i="31"/>
  <c r="Q216" i="31"/>
  <c r="R215" i="31"/>
  <c r="Q215" i="31"/>
  <c r="R214" i="31"/>
  <c r="Q214" i="31"/>
  <c r="R213" i="31"/>
  <c r="Q213" i="31"/>
  <c r="R212" i="31"/>
  <c r="Q212" i="31"/>
  <c r="R207" i="31"/>
  <c r="Q207" i="31"/>
  <c r="R206" i="31"/>
  <c r="Q206" i="31"/>
  <c r="R205" i="31"/>
  <c r="Q205" i="31"/>
  <c r="R204" i="31"/>
  <c r="Q204" i="31"/>
  <c r="R203" i="31"/>
  <c r="Q203" i="31"/>
  <c r="R202" i="31"/>
  <c r="Q202" i="31"/>
  <c r="R196" i="31"/>
  <c r="Q196" i="31"/>
  <c r="R195" i="31"/>
  <c r="Q195" i="31"/>
  <c r="R194" i="31"/>
  <c r="Q194" i="31"/>
  <c r="R193" i="31"/>
  <c r="Q193" i="31"/>
  <c r="R192" i="31"/>
  <c r="Q192" i="31"/>
  <c r="R191" i="31"/>
  <c r="Q191" i="31"/>
  <c r="R190" i="31"/>
  <c r="Q190" i="31"/>
  <c r="R189" i="31"/>
  <c r="Q189" i="31"/>
  <c r="P185" i="31"/>
  <c r="O185" i="31"/>
  <c r="P174" i="31"/>
  <c r="O174" i="31"/>
  <c r="P163" i="31"/>
  <c r="O163" i="31"/>
  <c r="P152" i="31"/>
  <c r="O152" i="31"/>
  <c r="P141" i="31"/>
  <c r="O141" i="31"/>
  <c r="R180" i="31"/>
  <c r="Q180" i="31"/>
  <c r="R179" i="31"/>
  <c r="Q179" i="31"/>
  <c r="R178" i="31"/>
  <c r="Q178" i="31"/>
  <c r="R176" i="31"/>
  <c r="Q176" i="31"/>
  <c r="R170" i="31"/>
  <c r="Q170" i="31"/>
  <c r="R169" i="31"/>
  <c r="Q169" i="31"/>
  <c r="R168" i="31"/>
  <c r="Q168" i="31"/>
  <c r="R167" i="31"/>
  <c r="Q167" i="31"/>
  <c r="R166" i="31"/>
  <c r="Q166" i="31"/>
  <c r="R165" i="31"/>
  <c r="Q159" i="31"/>
  <c r="Q158" i="31"/>
  <c r="Q157" i="31"/>
  <c r="Q156" i="31"/>
  <c r="Q154" i="31"/>
  <c r="R149" i="31"/>
  <c r="Q149" i="31"/>
  <c r="R148" i="31"/>
  <c r="Q148" i="31"/>
  <c r="R147" i="31"/>
  <c r="Q147" i="31"/>
  <c r="R146" i="31"/>
  <c r="Q146" i="31"/>
  <c r="R145" i="31"/>
  <c r="Q145" i="31"/>
  <c r="R144" i="31"/>
  <c r="Q144" i="31"/>
  <c r="R143" i="31"/>
  <c r="Q143" i="31"/>
  <c r="R138" i="31"/>
  <c r="Q138" i="31"/>
  <c r="R136" i="31"/>
  <c r="Q136" i="31"/>
  <c r="R135" i="31"/>
  <c r="Q135" i="31"/>
  <c r="Q132" i="31"/>
  <c r="P127" i="31"/>
  <c r="O127" i="31"/>
  <c r="Q123" i="31"/>
  <c r="Q122" i="31"/>
  <c r="Q121" i="31"/>
  <c r="Q120" i="31"/>
  <c r="Q118" i="31"/>
  <c r="R112" i="31"/>
  <c r="Q112" i="31"/>
  <c r="R111" i="31"/>
  <c r="Q111" i="31"/>
  <c r="R90" i="31"/>
  <c r="Q90" i="31"/>
  <c r="Q89" i="31"/>
  <c r="R88" i="31"/>
  <c r="Q88" i="31"/>
  <c r="R87" i="31"/>
  <c r="Q87" i="31"/>
  <c r="R85" i="31"/>
  <c r="Q85" i="31"/>
  <c r="P116" i="31"/>
  <c r="O116" i="31"/>
  <c r="P94" i="31"/>
  <c r="O94" i="31"/>
  <c r="O83" i="31"/>
  <c r="P104" i="31"/>
  <c r="O104" i="31"/>
  <c r="P103" i="31"/>
  <c r="O103" i="31"/>
  <c r="P102" i="31"/>
  <c r="O102" i="31"/>
  <c r="P101" i="31"/>
  <c r="O101" i="31"/>
  <c r="P100" i="31"/>
  <c r="O100" i="31"/>
  <c r="P99" i="31"/>
  <c r="O99" i="31"/>
  <c r="P98" i="31"/>
  <c r="O98" i="31"/>
  <c r="P97" i="31"/>
  <c r="O97" i="31"/>
  <c r="P96" i="31"/>
  <c r="O96" i="31"/>
  <c r="P95" i="31"/>
  <c r="O95" i="31"/>
  <c r="P35" i="31"/>
  <c r="O35" i="31"/>
  <c r="P34" i="31"/>
  <c r="O34" i="31"/>
  <c r="P33" i="31"/>
  <c r="O33" i="31"/>
  <c r="P32" i="31"/>
  <c r="O32" i="31"/>
  <c r="P31" i="31"/>
  <c r="O31" i="31"/>
  <c r="P30" i="31"/>
  <c r="O30" i="31"/>
  <c r="P29" i="31"/>
  <c r="O29" i="31"/>
  <c r="P28" i="31"/>
  <c r="O28" i="31"/>
  <c r="P27" i="31"/>
  <c r="O27" i="31"/>
  <c r="P26" i="31"/>
  <c r="O26" i="31"/>
  <c r="P68" i="31"/>
  <c r="O68" i="31"/>
  <c r="P67" i="31"/>
  <c r="O67" i="31"/>
  <c r="P66" i="31"/>
  <c r="O66" i="31"/>
  <c r="P65" i="31"/>
  <c r="O65" i="31"/>
  <c r="P64" i="31"/>
  <c r="O64" i="31"/>
  <c r="P63" i="31"/>
  <c r="O63" i="31"/>
  <c r="P62" i="31"/>
  <c r="O62" i="31"/>
  <c r="P61" i="31"/>
  <c r="O61" i="31"/>
  <c r="P60" i="31"/>
  <c r="O60" i="31"/>
  <c r="P59" i="31"/>
  <c r="O59" i="31"/>
  <c r="P47" i="31"/>
  <c r="P69" i="31" s="1"/>
  <c r="O47" i="31"/>
  <c r="O69" i="31" s="1"/>
  <c r="P25" i="31"/>
  <c r="O25" i="31"/>
  <c r="P14" i="31"/>
  <c r="O14" i="31"/>
  <c r="R43" i="31"/>
  <c r="Q43" i="31"/>
  <c r="R42" i="31"/>
  <c r="Q42" i="31"/>
  <c r="R41" i="31"/>
  <c r="Q41" i="31"/>
  <c r="R40" i="31"/>
  <c r="Q40" i="31"/>
  <c r="R38" i="31"/>
  <c r="Q38" i="31"/>
  <c r="R21" i="31"/>
  <c r="Q21" i="31"/>
  <c r="R20" i="31"/>
  <c r="Q20" i="31"/>
  <c r="R19" i="31"/>
  <c r="Q19" i="31"/>
  <c r="R18" i="31"/>
  <c r="Q18" i="31"/>
  <c r="R16" i="31"/>
  <c r="Q16" i="31"/>
  <c r="R10" i="31"/>
  <c r="Q10" i="31"/>
  <c r="R9" i="31"/>
  <c r="Q9" i="31"/>
  <c r="R8" i="31"/>
  <c r="Q8" i="31"/>
  <c r="R7" i="31"/>
  <c r="Q7" i="31"/>
  <c r="R5" i="31"/>
  <c r="Q5" i="31"/>
  <c r="S244" i="31"/>
  <c r="S243" i="31"/>
  <c r="S242" i="31"/>
  <c r="S241" i="31"/>
  <c r="S240" i="31"/>
  <c r="S239" i="31"/>
  <c r="S238" i="31"/>
  <c r="S237" i="31"/>
  <c r="S236" i="31"/>
  <c r="P245" i="31"/>
  <c r="O245" i="31"/>
  <c r="M245" i="31"/>
  <c r="K245" i="31"/>
  <c r="I245" i="31"/>
  <c r="G245" i="31"/>
  <c r="E245" i="31"/>
  <c r="P244" i="31"/>
  <c r="O244" i="31"/>
  <c r="N244" i="31"/>
  <c r="M244" i="31"/>
  <c r="L244" i="31"/>
  <c r="K244" i="31"/>
  <c r="J244" i="31"/>
  <c r="I244" i="31"/>
  <c r="H244" i="31"/>
  <c r="G244" i="31"/>
  <c r="F244" i="31"/>
  <c r="E244" i="31"/>
  <c r="D244" i="31"/>
  <c r="V244" i="31" s="1"/>
  <c r="P243" i="31"/>
  <c r="O243" i="31"/>
  <c r="O265" i="31" s="1"/>
  <c r="N243" i="31"/>
  <c r="M243" i="31"/>
  <c r="L243" i="31"/>
  <c r="K243" i="31"/>
  <c r="J243" i="31"/>
  <c r="I243" i="31"/>
  <c r="H243" i="31"/>
  <c r="G243" i="31"/>
  <c r="F243" i="31"/>
  <c r="E243" i="31"/>
  <c r="D243" i="31"/>
  <c r="V243" i="31" s="1"/>
  <c r="P242" i="31"/>
  <c r="P264" i="31" s="1"/>
  <c r="O242" i="31"/>
  <c r="N242" i="31"/>
  <c r="M242" i="31"/>
  <c r="L242" i="31"/>
  <c r="K242" i="31"/>
  <c r="J242" i="31"/>
  <c r="I242" i="31"/>
  <c r="H242" i="31"/>
  <c r="G242" i="31"/>
  <c r="F242" i="31"/>
  <c r="E242" i="31"/>
  <c r="D242" i="31"/>
  <c r="V242" i="31" s="1"/>
  <c r="P241" i="31"/>
  <c r="O241" i="31"/>
  <c r="N241" i="31"/>
  <c r="M241" i="31"/>
  <c r="L241" i="31"/>
  <c r="K241" i="31"/>
  <c r="J241" i="31"/>
  <c r="I241" i="31"/>
  <c r="H241" i="31"/>
  <c r="G241" i="31"/>
  <c r="F241" i="31"/>
  <c r="E241" i="31"/>
  <c r="D241" i="31"/>
  <c r="V241" i="31" s="1"/>
  <c r="P240" i="31"/>
  <c r="P262" i="31" s="1"/>
  <c r="O240" i="31"/>
  <c r="N240" i="31"/>
  <c r="M240" i="31"/>
  <c r="L240" i="31"/>
  <c r="K240" i="31"/>
  <c r="J240" i="31"/>
  <c r="I240" i="31"/>
  <c r="H240" i="31"/>
  <c r="G240" i="31"/>
  <c r="F240" i="31"/>
  <c r="E240" i="31"/>
  <c r="D240" i="31"/>
  <c r="V240" i="31" s="1"/>
  <c r="P239" i="31"/>
  <c r="O239" i="31"/>
  <c r="O261" i="31" s="1"/>
  <c r="N239" i="31"/>
  <c r="M239" i="31"/>
  <c r="L239" i="31"/>
  <c r="K239" i="31"/>
  <c r="J239" i="31"/>
  <c r="I239" i="31"/>
  <c r="H239" i="31"/>
  <c r="G239" i="31"/>
  <c r="F239" i="31"/>
  <c r="E239" i="31"/>
  <c r="D239" i="31"/>
  <c r="V239" i="31" s="1"/>
  <c r="P238" i="31"/>
  <c r="O238" i="31"/>
  <c r="N238" i="31"/>
  <c r="M238" i="31"/>
  <c r="L238" i="31"/>
  <c r="K238" i="31"/>
  <c r="J238" i="31"/>
  <c r="I238" i="31"/>
  <c r="H238" i="31"/>
  <c r="G238" i="31"/>
  <c r="F238" i="31"/>
  <c r="E238" i="31"/>
  <c r="D238" i="31"/>
  <c r="V238" i="31" s="1"/>
  <c r="P237" i="31"/>
  <c r="R237" i="31" s="1"/>
  <c r="O237" i="31"/>
  <c r="O259" i="31" s="1"/>
  <c r="N237" i="31"/>
  <c r="M237" i="31"/>
  <c r="L237" i="31"/>
  <c r="K237" i="31"/>
  <c r="J237" i="31"/>
  <c r="I237" i="31"/>
  <c r="H237" i="31"/>
  <c r="G237" i="31"/>
  <c r="F237" i="31"/>
  <c r="E237" i="31"/>
  <c r="D237" i="31"/>
  <c r="V237" i="31" s="1"/>
  <c r="P236" i="31"/>
  <c r="P258" i="31" s="1"/>
  <c r="O236" i="31"/>
  <c r="O258" i="31" s="1"/>
  <c r="N236" i="31"/>
  <c r="M236" i="31"/>
  <c r="L236" i="31"/>
  <c r="K236" i="31"/>
  <c r="J236" i="31"/>
  <c r="I236" i="31"/>
  <c r="H236" i="31"/>
  <c r="G236" i="31"/>
  <c r="F236" i="31"/>
  <c r="E236" i="31"/>
  <c r="D236" i="31"/>
  <c r="V236" i="31" s="1"/>
  <c r="C245" i="31"/>
  <c r="C244" i="31"/>
  <c r="C243" i="31"/>
  <c r="C242" i="31"/>
  <c r="C241" i="31"/>
  <c r="C240" i="31"/>
  <c r="C239" i="31"/>
  <c r="C238" i="31"/>
  <c r="C237" i="31"/>
  <c r="C236" i="31"/>
  <c r="W42" i="11" l="1"/>
  <c r="V311" i="31"/>
  <c r="W41" i="11"/>
  <c r="V300" i="31"/>
  <c r="W40" i="11"/>
  <c r="V289" i="31"/>
  <c r="W18" i="11"/>
  <c r="V163" i="31"/>
  <c r="W15" i="11"/>
  <c r="V127" i="31"/>
  <c r="Q355" i="31"/>
  <c r="U355" i="31"/>
  <c r="U352" i="31"/>
  <c r="U354" i="31"/>
  <c r="U351" i="31"/>
  <c r="U356" i="31"/>
  <c r="U353" i="31"/>
  <c r="U350" i="31"/>
  <c r="Q238" i="31"/>
  <c r="Q354" i="31"/>
  <c r="Q353" i="31"/>
  <c r="Q352" i="31"/>
  <c r="Q351" i="31"/>
  <c r="Q349" i="31"/>
  <c r="Q240" i="31"/>
  <c r="Q242" i="31"/>
  <c r="Q241" i="31"/>
  <c r="R239" i="31"/>
  <c r="R241" i="31"/>
  <c r="R238" i="31"/>
  <c r="R243" i="31"/>
  <c r="O358" i="31"/>
  <c r="P358" i="31"/>
  <c r="P263" i="31"/>
  <c r="R242" i="31"/>
  <c r="R240" i="31"/>
  <c r="P266" i="31"/>
  <c r="O266" i="31"/>
  <c r="Q243" i="31"/>
  <c r="O262" i="31"/>
  <c r="Q239" i="31"/>
  <c r="P260" i="31"/>
  <c r="P265" i="31"/>
  <c r="P259" i="31"/>
  <c r="P261" i="31"/>
  <c r="P267" i="31"/>
  <c r="O263" i="31"/>
  <c r="O267" i="31"/>
  <c r="O260" i="31"/>
  <c r="O264" i="31"/>
  <c r="Q237" i="31"/>
  <c r="R236" i="31"/>
  <c r="O36" i="31"/>
  <c r="Q236" i="31"/>
  <c r="P36" i="31"/>
  <c r="M246" i="31"/>
  <c r="E246" i="31"/>
  <c r="O246" i="31"/>
  <c r="G246" i="31"/>
  <c r="I246" i="31"/>
  <c r="K246" i="31"/>
  <c r="O105" i="31"/>
  <c r="P105" i="31"/>
  <c r="P246" i="31"/>
  <c r="U42" i="11" l="1"/>
  <c r="U292" i="32" s="1"/>
  <c r="AK42" i="11"/>
  <c r="W292" i="32"/>
  <c r="V42" i="11"/>
  <c r="V292" i="32" s="1"/>
  <c r="U41" i="11"/>
  <c r="U277" i="32" s="1"/>
  <c r="AK41" i="11"/>
  <c r="W277" i="32"/>
  <c r="V41" i="11"/>
  <c r="V277" i="32" s="1"/>
  <c r="U40" i="11"/>
  <c r="U262" i="32" s="1"/>
  <c r="AK40" i="11"/>
  <c r="W262" i="32"/>
  <c r="V40" i="11"/>
  <c r="U18" i="11"/>
  <c r="U155" i="32" s="1"/>
  <c r="AK18" i="11"/>
  <c r="W155" i="32"/>
  <c r="V18" i="11"/>
  <c r="V155" i="32" s="1"/>
  <c r="U15" i="11"/>
  <c r="AK15" i="11"/>
  <c r="W110" i="32"/>
  <c r="V15" i="11"/>
  <c r="V110" i="32" s="1"/>
  <c r="P268" i="31"/>
  <c r="O268" i="31"/>
  <c r="AE46" i="11"/>
  <c r="U46" i="11"/>
  <c r="U37" i="4" s="1"/>
  <c r="V46" i="11"/>
  <c r="V37" i="4" s="1"/>
  <c r="W46" i="11"/>
  <c r="C46" i="11"/>
  <c r="C37" i="4" s="1"/>
  <c r="AE26" i="11"/>
  <c r="AE25" i="11"/>
  <c r="W26" i="11"/>
  <c r="V26" i="11"/>
  <c r="V12" i="4" s="1"/>
  <c r="W25" i="11"/>
  <c r="V25" i="11"/>
  <c r="V11" i="4" s="1"/>
  <c r="U11" i="4"/>
  <c r="C26" i="11"/>
  <c r="C12" i="4" s="1"/>
  <c r="C25" i="11"/>
  <c r="X292" i="32" l="1"/>
  <c r="AC292" i="32"/>
  <c r="X277" i="32"/>
  <c r="AC277" i="32"/>
  <c r="V262" i="32"/>
  <c r="V266" i="32" s="1"/>
  <c r="V37" i="6"/>
  <c r="X262" i="32"/>
  <c r="AC262" i="32"/>
  <c r="X155" i="32"/>
  <c r="AC155" i="32"/>
  <c r="X110" i="32"/>
  <c r="AC110" i="32"/>
  <c r="U110" i="32"/>
  <c r="U26" i="11"/>
  <c r="W37" i="4"/>
  <c r="W12" i="4"/>
  <c r="W11" i="4"/>
  <c r="W27" i="11"/>
  <c r="AE27" i="11"/>
  <c r="V27" i="11"/>
  <c r="V13" i="4" s="1"/>
  <c r="AG46" i="3"/>
  <c r="AI46" i="3"/>
  <c r="AJ46" i="3"/>
  <c r="AK46" i="3"/>
  <c r="U27" i="11" l="1"/>
  <c r="U13" i="4" s="1"/>
  <c r="U12" i="4"/>
  <c r="W13" i="4"/>
  <c r="E13" i="30"/>
  <c r="O13" i="30" s="1"/>
  <c r="S13" i="30" s="1"/>
  <c r="D13" i="30"/>
  <c r="N13" i="30" s="1"/>
  <c r="R13" i="30" s="1"/>
  <c r="C13" i="30"/>
  <c r="C10" i="30"/>
  <c r="D10" i="30"/>
  <c r="E10" i="30"/>
  <c r="E7" i="30"/>
  <c r="O7" i="30" s="1"/>
  <c r="S7" i="30" s="1"/>
  <c r="D7" i="30"/>
  <c r="N7" i="30" s="1"/>
  <c r="R7" i="30" s="1"/>
  <c r="C7" i="30"/>
  <c r="M7" i="30" s="1"/>
  <c r="Q7" i="30" s="1"/>
  <c r="J59" i="22" l="1"/>
  <c r="I54" i="22"/>
  <c r="J54" i="22"/>
  <c r="J35" i="22"/>
  <c r="J14" i="22"/>
  <c r="O35" i="22"/>
  <c r="O54" i="22"/>
  <c r="N54" i="22"/>
  <c r="M54" i="22"/>
  <c r="L54" i="22"/>
  <c r="K54" i="22"/>
  <c r="AQ66" i="18"/>
  <c r="M66" i="18"/>
  <c r="K73" i="18"/>
  <c r="P62" i="20"/>
  <c r="AO66" i="18" s="1"/>
  <c r="O69" i="20"/>
  <c r="N69" i="20"/>
  <c r="M69" i="20"/>
  <c r="L69" i="20"/>
  <c r="K69" i="20"/>
  <c r="J69" i="20"/>
  <c r="I69" i="20"/>
  <c r="H69" i="20"/>
  <c r="G69" i="20"/>
  <c r="F69" i="20"/>
  <c r="O59" i="22"/>
  <c r="O14" i="22"/>
  <c r="P58" i="22"/>
  <c r="P57" i="22"/>
  <c r="P56" i="22"/>
  <c r="P55" i="22"/>
  <c r="P53" i="22"/>
  <c r="P52" i="22"/>
  <c r="P51" i="22"/>
  <c r="P50" i="22"/>
  <c r="P49" i="22"/>
  <c r="AI51" i="23" s="1"/>
  <c r="AG51" i="23" s="1"/>
  <c r="P48" i="22"/>
  <c r="AI50" i="23" s="1"/>
  <c r="AG50" i="23" s="1"/>
  <c r="P47" i="22"/>
  <c r="P46" i="22"/>
  <c r="P45" i="22"/>
  <c r="P44" i="22"/>
  <c r="P43" i="22"/>
  <c r="P40" i="22"/>
  <c r="P94" i="22"/>
  <c r="P91" i="22"/>
  <c r="P34" i="22"/>
  <c r="P18" i="22"/>
  <c r="P13" i="22"/>
  <c r="P12" i="22"/>
  <c r="P11" i="22"/>
  <c r="P9" i="22"/>
  <c r="P5" i="22"/>
  <c r="J83" i="20"/>
  <c r="J114" i="20"/>
  <c r="J104" i="20"/>
  <c r="J119" i="20" s="1"/>
  <c r="J52" i="20"/>
  <c r="J29" i="20"/>
  <c r="O83" i="20"/>
  <c r="O114" i="20"/>
  <c r="O104" i="20"/>
  <c r="O52" i="20"/>
  <c r="O18" i="26" s="1"/>
  <c r="O29" i="20"/>
  <c r="O14" i="26" s="1"/>
  <c r="O41" i="26" l="1"/>
  <c r="L42" i="28" s="1"/>
  <c r="O39" i="26"/>
  <c r="O119" i="20"/>
  <c r="AL50" i="23"/>
  <c r="AH50" i="23"/>
  <c r="AL51" i="23"/>
  <c r="AH51" i="23"/>
  <c r="O85" i="20"/>
  <c r="AL66" i="18"/>
  <c r="U50" i="23"/>
  <c r="S50" i="23" s="1"/>
  <c r="AD50" i="23"/>
  <c r="R50" i="23"/>
  <c r="P50" i="23" s="1"/>
  <c r="AA50" i="23"/>
  <c r="Y50" i="23" s="1"/>
  <c r="X50" i="23"/>
  <c r="V50" i="23" s="1"/>
  <c r="AE50" i="23"/>
  <c r="AE51" i="23"/>
  <c r="J85" i="20"/>
  <c r="O72" i="22"/>
  <c r="O74" i="22" s="1"/>
  <c r="J72" i="22"/>
  <c r="J74" i="22" s="1"/>
  <c r="J76" i="20"/>
  <c r="J61" i="20"/>
  <c r="J44" i="20"/>
  <c r="J37" i="20"/>
  <c r="J26" i="20"/>
  <c r="J18" i="20"/>
  <c r="J9" i="20"/>
  <c r="O76" i="20"/>
  <c r="O61" i="20"/>
  <c r="O44" i="20"/>
  <c r="O37" i="20"/>
  <c r="O26" i="20"/>
  <c r="O18" i="20"/>
  <c r="O9" i="20"/>
  <c r="P82" i="20"/>
  <c r="AO87" i="18" s="1"/>
  <c r="AL87" i="18" s="1"/>
  <c r="P117" i="20"/>
  <c r="AO128" i="18" s="1"/>
  <c r="AL128" i="18" s="1"/>
  <c r="P116" i="20"/>
  <c r="AO127" i="18" s="1"/>
  <c r="AL127" i="18" s="1"/>
  <c r="P78" i="20"/>
  <c r="AO83" i="18" s="1"/>
  <c r="AL83" i="18" s="1"/>
  <c r="P77" i="20"/>
  <c r="AO82" i="18" s="1"/>
  <c r="AL82" i="18" s="1"/>
  <c r="P75" i="20"/>
  <c r="P74" i="20"/>
  <c r="AO79" i="18" s="1"/>
  <c r="P73" i="20"/>
  <c r="AO78" i="18" s="1"/>
  <c r="P72" i="20"/>
  <c r="P71" i="20"/>
  <c r="AO75" i="18" s="1"/>
  <c r="P70" i="20"/>
  <c r="AO74" i="18" s="1"/>
  <c r="P68" i="20"/>
  <c r="AO72" i="18" s="1"/>
  <c r="P67" i="20"/>
  <c r="AO71" i="18" s="1"/>
  <c r="P66" i="20"/>
  <c r="AO70" i="18" s="1"/>
  <c r="P65" i="20"/>
  <c r="AO69" i="18" s="1"/>
  <c r="P64" i="20"/>
  <c r="AO68" i="18" s="1"/>
  <c r="P63" i="20"/>
  <c r="AO67" i="18" s="1"/>
  <c r="P60" i="20"/>
  <c r="AO64" i="18" s="1"/>
  <c r="P59" i="20"/>
  <c r="AO63" i="18" s="1"/>
  <c r="P58" i="20"/>
  <c r="AO62" i="18" s="1"/>
  <c r="P57" i="20"/>
  <c r="AO61" i="18" s="1"/>
  <c r="P56" i="20"/>
  <c r="AO60" i="18" s="1"/>
  <c r="P113" i="20"/>
  <c r="AO124" i="18" s="1"/>
  <c r="AL124" i="18" s="1"/>
  <c r="P111" i="20"/>
  <c r="AO122" i="18" s="1"/>
  <c r="AL122" i="18" s="1"/>
  <c r="P110" i="20"/>
  <c r="AO121" i="18" s="1"/>
  <c r="AL121" i="18" s="1"/>
  <c r="P107" i="20"/>
  <c r="AO118" i="18" s="1"/>
  <c r="AL118" i="18" s="1"/>
  <c r="P106" i="20"/>
  <c r="AO117" i="18" s="1"/>
  <c r="AL117" i="18" s="1"/>
  <c r="P105" i="20"/>
  <c r="AO116" i="18" s="1"/>
  <c r="AL116" i="18" s="1"/>
  <c r="P103" i="20"/>
  <c r="AO114" i="18" s="1"/>
  <c r="AL114" i="18" s="1"/>
  <c r="P49" i="20"/>
  <c r="AO56" i="18" s="1"/>
  <c r="P45" i="20"/>
  <c r="AO52" i="18" s="1"/>
  <c r="AL52" i="18" s="1"/>
  <c r="P43" i="20"/>
  <c r="P42" i="20"/>
  <c r="AO47" i="18" s="1"/>
  <c r="P41" i="20"/>
  <c r="AO46" i="18" s="1"/>
  <c r="P40" i="20"/>
  <c r="AO45" i="18" s="1"/>
  <c r="P39" i="20"/>
  <c r="AO44" i="18" s="1"/>
  <c r="P38" i="20"/>
  <c r="AO43" i="18" s="1"/>
  <c r="P36" i="20"/>
  <c r="P35" i="20"/>
  <c r="AO40" i="18" s="1"/>
  <c r="P34" i="20"/>
  <c r="AO38" i="18" s="1"/>
  <c r="P33" i="20"/>
  <c r="AO37" i="18" s="1"/>
  <c r="P32" i="20"/>
  <c r="AO36" i="18" s="1"/>
  <c r="P31" i="20"/>
  <c r="AO35" i="18" s="1"/>
  <c r="P30" i="20"/>
  <c r="AO34" i="18" s="1"/>
  <c r="P97" i="20"/>
  <c r="AO108" i="18" s="1"/>
  <c r="AL108" i="18" s="1"/>
  <c r="P96" i="20"/>
  <c r="AO107" i="18" s="1"/>
  <c r="AL107" i="18" s="1"/>
  <c r="P28" i="20"/>
  <c r="AO31" i="18"/>
  <c r="AL31" i="18" s="1"/>
  <c r="P25" i="20"/>
  <c r="P24" i="20"/>
  <c r="P22" i="20"/>
  <c r="P20" i="20"/>
  <c r="P17" i="20"/>
  <c r="P16" i="20"/>
  <c r="P13" i="20"/>
  <c r="P12" i="20"/>
  <c r="P11" i="20"/>
  <c r="P10" i="20"/>
  <c r="P8" i="20"/>
  <c r="P7" i="20"/>
  <c r="P6" i="20"/>
  <c r="P5" i="20"/>
  <c r="P4" i="20"/>
  <c r="H23" i="26"/>
  <c r="J23" i="26" s="1"/>
  <c r="H39" i="26"/>
  <c r="J39" i="26" s="1"/>
  <c r="H18" i="26"/>
  <c r="J18" i="26" s="1"/>
  <c r="H17" i="26"/>
  <c r="J17" i="26" s="1"/>
  <c r="H37" i="26"/>
  <c r="J37" i="26" s="1"/>
  <c r="H21" i="26"/>
  <c r="H20" i="26"/>
  <c r="H19" i="26"/>
  <c r="H16" i="26"/>
  <c r="H15" i="26"/>
  <c r="H13" i="26"/>
  <c r="H7" i="26"/>
  <c r="H4" i="26"/>
  <c r="AL64" i="18" l="1"/>
  <c r="AH64" i="18"/>
  <c r="AD64" i="18"/>
  <c r="AO8" i="18"/>
  <c r="AO6" i="18"/>
  <c r="AO12" i="18"/>
  <c r="AL12" i="18" s="1"/>
  <c r="AV12" i="18" s="1"/>
  <c r="AO32" i="18"/>
  <c r="AL32" i="18" s="1"/>
  <c r="AV32" i="18" s="1"/>
  <c r="AO14" i="18"/>
  <c r="AL14" i="18" s="1"/>
  <c r="AV14" i="18" s="1"/>
  <c r="AO27" i="18"/>
  <c r="AO5" i="18"/>
  <c r="AO7" i="18"/>
  <c r="AL7" i="18" s="1"/>
  <c r="AO11" i="18"/>
  <c r="AL11" i="18" s="1"/>
  <c r="AR11" i="18" s="1"/>
  <c r="AO17" i="18"/>
  <c r="AO13" i="18"/>
  <c r="AL13" i="18" s="1"/>
  <c r="AR13" i="18" s="1"/>
  <c r="AO18" i="18"/>
  <c r="AO19" i="18" s="1"/>
  <c r="AO28" i="18"/>
  <c r="AL28" i="18" s="1"/>
  <c r="AO23" i="18"/>
  <c r="AL23" i="18" s="1"/>
  <c r="AJ23" i="18" s="1"/>
  <c r="AO9" i="18"/>
  <c r="AL9" i="18" s="1"/>
  <c r="AV31" i="18"/>
  <c r="AR31" i="18"/>
  <c r="AV107" i="18"/>
  <c r="AR107" i="18"/>
  <c r="AV108" i="18"/>
  <c r="AR108" i="18"/>
  <c r="AD45" i="18"/>
  <c r="Z45" i="18"/>
  <c r="AV52" i="18"/>
  <c r="AR52" i="18"/>
  <c r="AV112" i="18"/>
  <c r="AR112" i="18"/>
  <c r="AV114" i="18"/>
  <c r="AR114" i="18"/>
  <c r="AV116" i="18"/>
  <c r="AR116" i="18"/>
  <c r="AV118" i="18"/>
  <c r="AR118" i="18"/>
  <c r="AV121" i="18"/>
  <c r="AR121" i="18"/>
  <c r="AV122" i="18"/>
  <c r="AR122" i="18"/>
  <c r="AV124" i="18"/>
  <c r="AR124" i="18"/>
  <c r="AV82" i="18"/>
  <c r="AR82" i="18"/>
  <c r="AV83" i="18"/>
  <c r="AR83" i="18"/>
  <c r="AV127" i="18"/>
  <c r="AR127" i="18"/>
  <c r="AV128" i="18"/>
  <c r="AR128" i="18"/>
  <c r="AV66" i="18"/>
  <c r="AR66" i="18"/>
  <c r="AV117" i="18"/>
  <c r="AR117" i="18"/>
  <c r="AV87" i="18"/>
  <c r="AR87" i="18"/>
  <c r="AO51" i="23"/>
  <c r="AO50" i="23"/>
  <c r="AJ50" i="23"/>
  <c r="AJ12" i="18"/>
  <c r="AN12" i="18"/>
  <c r="AJ118" i="18"/>
  <c r="AN118" i="18"/>
  <c r="AN128" i="18"/>
  <c r="AJ128" i="18"/>
  <c r="AN31" i="18"/>
  <c r="AJ31" i="18"/>
  <c r="AJ121" i="18"/>
  <c r="AN121" i="18"/>
  <c r="AL125" i="18"/>
  <c r="AO77" i="18"/>
  <c r="AO76" i="18"/>
  <c r="AJ87" i="18"/>
  <c r="AN87" i="18"/>
  <c r="AL88" i="18"/>
  <c r="AJ14" i="18"/>
  <c r="AN14" i="18"/>
  <c r="AJ32" i="18"/>
  <c r="AN32" i="18"/>
  <c r="AJ52" i="18"/>
  <c r="AN52" i="18"/>
  <c r="AL54" i="18"/>
  <c r="AN122" i="18"/>
  <c r="AJ122" i="18"/>
  <c r="AJ107" i="18"/>
  <c r="AN107" i="18"/>
  <c r="AL111" i="18"/>
  <c r="AO80" i="18"/>
  <c r="AO29" i="18"/>
  <c r="AO41" i="18"/>
  <c r="AL41" i="18" s="1"/>
  <c r="R56" i="18"/>
  <c r="P56" i="18" s="1"/>
  <c r="V56" i="18"/>
  <c r="T56" i="18" s="1"/>
  <c r="AL56" i="18"/>
  <c r="AH56" i="18"/>
  <c r="AD56" i="18"/>
  <c r="AB56" i="18" s="1"/>
  <c r="Z56" i="18"/>
  <c r="X56" i="18" s="1"/>
  <c r="AJ124" i="18"/>
  <c r="AN124" i="18"/>
  <c r="AJ108" i="18"/>
  <c r="AN108" i="18"/>
  <c r="AJ112" i="18"/>
  <c r="AJ113" i="18" s="1"/>
  <c r="AG38" i="7" s="1"/>
  <c r="U275" i="32" s="1"/>
  <c r="AL113" i="18"/>
  <c r="AJ114" i="18"/>
  <c r="AJ115" i="18" s="1"/>
  <c r="AG39" i="7" s="1"/>
  <c r="U290" i="32" s="1"/>
  <c r="AN114" i="18"/>
  <c r="AL115" i="18"/>
  <c r="AJ82" i="18"/>
  <c r="AN82" i="18"/>
  <c r="AL86" i="18"/>
  <c r="AL45" i="18"/>
  <c r="AH45" i="18"/>
  <c r="AJ116" i="18"/>
  <c r="AN116" i="18"/>
  <c r="AL120" i="18"/>
  <c r="AV120" i="18" s="1"/>
  <c r="AJ83" i="18"/>
  <c r="AN83" i="18"/>
  <c r="AJ117" i="18"/>
  <c r="AN117" i="18"/>
  <c r="AJ127" i="18"/>
  <c r="AN127" i="18"/>
  <c r="AL129" i="18"/>
  <c r="R45" i="18"/>
  <c r="V45" i="18"/>
  <c r="AO25" i="18"/>
  <c r="AL25" i="18" s="1"/>
  <c r="AO20" i="18"/>
  <c r="AL79" i="18"/>
  <c r="AL78" i="18"/>
  <c r="AL75" i="18"/>
  <c r="AL74" i="18"/>
  <c r="AJ66" i="18"/>
  <c r="AN66" i="18"/>
  <c r="AL72" i="18"/>
  <c r="AL71" i="18"/>
  <c r="AL70" i="18"/>
  <c r="AL69" i="18"/>
  <c r="AL68" i="18"/>
  <c r="AL67" i="18"/>
  <c r="AL63" i="18"/>
  <c r="AL62" i="18"/>
  <c r="AL61" i="18"/>
  <c r="AL60" i="18"/>
  <c r="AL50" i="18"/>
  <c r="AL47" i="18"/>
  <c r="AL46" i="18"/>
  <c r="AL44" i="18"/>
  <c r="AL43" i="18"/>
  <c r="AL40" i="18"/>
  <c r="AL38" i="18"/>
  <c r="AL37" i="18"/>
  <c r="AL36" i="18"/>
  <c r="AL35" i="18"/>
  <c r="AL34" i="18"/>
  <c r="AL27" i="18"/>
  <c r="O84" i="20"/>
  <c r="O86" i="20" s="1"/>
  <c r="AL17" i="18"/>
  <c r="AL8" i="18"/>
  <c r="AL5" i="18"/>
  <c r="AL6" i="18"/>
  <c r="AB50" i="23"/>
  <c r="J84" i="20"/>
  <c r="H24" i="26"/>
  <c r="AD9" i="11"/>
  <c r="AC9" i="11"/>
  <c r="AB9" i="11"/>
  <c r="AA9" i="11"/>
  <c r="Z9" i="11"/>
  <c r="Y9" i="11"/>
  <c r="AL9" i="11" s="1"/>
  <c r="S83" i="31"/>
  <c r="AI11" i="11" s="1"/>
  <c r="N83" i="31"/>
  <c r="T11" i="11" s="1"/>
  <c r="M83" i="31"/>
  <c r="AD11" i="11" s="1"/>
  <c r="L83" i="31"/>
  <c r="Q11" i="11" s="1"/>
  <c r="K83" i="31"/>
  <c r="AC11" i="11" s="1"/>
  <c r="J83" i="31"/>
  <c r="N11" i="11" s="1"/>
  <c r="I83" i="31"/>
  <c r="AB11" i="11" s="1"/>
  <c r="H83" i="31"/>
  <c r="K11" i="11" s="1"/>
  <c r="G83" i="31"/>
  <c r="AA11" i="11" s="1"/>
  <c r="E83" i="31"/>
  <c r="Z11" i="11" s="1"/>
  <c r="C83" i="31"/>
  <c r="E28" i="31"/>
  <c r="F28" i="31"/>
  <c r="I28" i="31"/>
  <c r="J28" i="31"/>
  <c r="E101" i="31"/>
  <c r="F101" i="31"/>
  <c r="G101" i="31"/>
  <c r="H101" i="31"/>
  <c r="I101" i="31"/>
  <c r="J101" i="31"/>
  <c r="K101" i="31"/>
  <c r="L101" i="31"/>
  <c r="M101" i="31"/>
  <c r="N101" i="31"/>
  <c r="S101" i="31"/>
  <c r="E97" i="31"/>
  <c r="F97" i="31"/>
  <c r="G97" i="31"/>
  <c r="H97" i="31"/>
  <c r="I97" i="31"/>
  <c r="J97" i="31"/>
  <c r="K97" i="31"/>
  <c r="L97" i="31"/>
  <c r="M97" i="31"/>
  <c r="N97" i="31"/>
  <c r="S97" i="31"/>
  <c r="E65" i="31"/>
  <c r="F65" i="31"/>
  <c r="G65" i="31"/>
  <c r="H65" i="31"/>
  <c r="I65" i="31"/>
  <c r="J65" i="31"/>
  <c r="K65" i="31"/>
  <c r="L65" i="31"/>
  <c r="M65" i="31"/>
  <c r="N65" i="31"/>
  <c r="S65" i="31"/>
  <c r="E61" i="31"/>
  <c r="F61" i="31"/>
  <c r="G61" i="31"/>
  <c r="H61" i="31"/>
  <c r="I61" i="31"/>
  <c r="J61" i="31"/>
  <c r="K61" i="31"/>
  <c r="L61" i="31"/>
  <c r="M61" i="31"/>
  <c r="N61" i="31"/>
  <c r="S61" i="31"/>
  <c r="F32" i="31"/>
  <c r="G32" i="31"/>
  <c r="H32" i="31"/>
  <c r="J32" i="31"/>
  <c r="K32" i="31"/>
  <c r="L32" i="31"/>
  <c r="N32" i="31"/>
  <c r="S32" i="31"/>
  <c r="G28" i="31"/>
  <c r="H28" i="31"/>
  <c r="K28" i="31"/>
  <c r="L28" i="31"/>
  <c r="S28" i="31"/>
  <c r="C97" i="31"/>
  <c r="U97" i="31" s="1"/>
  <c r="D97" i="31"/>
  <c r="V97" i="31" s="1"/>
  <c r="C101" i="31"/>
  <c r="D101" i="31"/>
  <c r="C65" i="31"/>
  <c r="R65" i="31"/>
  <c r="C61" i="31"/>
  <c r="U61" i="31" s="1"/>
  <c r="C32" i="31"/>
  <c r="R32" i="31"/>
  <c r="C28" i="31"/>
  <c r="U28" i="31" s="1"/>
  <c r="AL18" i="18" l="1"/>
  <c r="AL29" i="18"/>
  <c r="AV29" i="18" s="1"/>
  <c r="AD29" i="18"/>
  <c r="AH29" i="18"/>
  <c r="Z29" i="18"/>
  <c r="V29" i="18"/>
  <c r="R29" i="18"/>
  <c r="AL80" i="18"/>
  <c r="AD80" i="18"/>
  <c r="AH80" i="18"/>
  <c r="Z80" i="18"/>
  <c r="V80" i="18"/>
  <c r="R80" i="18"/>
  <c r="AH77" i="18"/>
  <c r="AL77" i="18"/>
  <c r="AV11" i="18"/>
  <c r="Z77" i="18"/>
  <c r="AD77" i="18"/>
  <c r="V77" i="18"/>
  <c r="T77" i="18" s="1"/>
  <c r="AN11" i="18"/>
  <c r="AJ11" i="18"/>
  <c r="AR32" i="18"/>
  <c r="AL16" i="18"/>
  <c r="AV16" i="18" s="1"/>
  <c r="AL33" i="18"/>
  <c r="AL24" i="18"/>
  <c r="AV24" i="18" s="1"/>
  <c r="AN23" i="18"/>
  <c r="AN13" i="18"/>
  <c r="AJ13" i="18"/>
  <c r="AV13" i="18"/>
  <c r="AR23" i="18"/>
  <c r="AV23" i="18"/>
  <c r="AR14" i="18"/>
  <c r="AR12" i="18"/>
  <c r="AR50" i="18"/>
  <c r="AV50" i="18"/>
  <c r="AJ129" i="18"/>
  <c r="AG42" i="7" s="1"/>
  <c r="U335" i="32" s="1"/>
  <c r="AR6" i="18"/>
  <c r="AV6" i="18"/>
  <c r="AR5" i="18"/>
  <c r="AV5" i="18"/>
  <c r="AR7" i="18"/>
  <c r="AV7" i="18"/>
  <c r="AR8" i="18"/>
  <c r="AV8" i="18"/>
  <c r="AR9" i="18"/>
  <c r="AV9" i="18"/>
  <c r="AR17" i="18"/>
  <c r="AV17" i="18"/>
  <c r="AR18" i="18"/>
  <c r="AV18" i="18"/>
  <c r="AR27" i="18"/>
  <c r="AV27" i="18"/>
  <c r="AR28" i="18"/>
  <c r="AV28" i="18"/>
  <c r="AR34" i="18"/>
  <c r="AV34" i="18"/>
  <c r="AR35" i="18"/>
  <c r="AV35" i="18"/>
  <c r="AR36" i="18"/>
  <c r="AV36" i="18"/>
  <c r="AR37" i="18"/>
  <c r="AV37" i="18"/>
  <c r="AR38" i="18"/>
  <c r="AV38" i="18"/>
  <c r="AR40" i="18"/>
  <c r="AV40" i="18"/>
  <c r="AR43" i="18"/>
  <c r="AV43" i="18"/>
  <c r="AR44" i="18"/>
  <c r="AV44" i="18"/>
  <c r="AR46" i="18"/>
  <c r="AV46" i="18"/>
  <c r="AV47" i="18"/>
  <c r="AR47" i="18"/>
  <c r="AV60" i="18"/>
  <c r="AR60" i="18"/>
  <c r="AV61" i="18"/>
  <c r="AR61" i="18"/>
  <c r="AV62" i="18"/>
  <c r="AR62" i="18"/>
  <c r="AV63" i="18"/>
  <c r="AR63" i="18"/>
  <c r="AV64" i="18"/>
  <c r="AV67" i="18"/>
  <c r="AR67" i="18"/>
  <c r="AR68" i="18"/>
  <c r="AV68" i="18"/>
  <c r="AV69" i="18"/>
  <c r="AR69" i="18"/>
  <c r="AV70" i="18"/>
  <c r="AR70" i="18"/>
  <c r="AR71" i="18"/>
  <c r="AV71" i="18"/>
  <c r="AV72" i="18"/>
  <c r="AR72" i="18"/>
  <c r="AR74" i="18"/>
  <c r="AV74" i="18"/>
  <c r="AR75" i="18"/>
  <c r="AV75" i="18"/>
  <c r="AR78" i="18"/>
  <c r="AV78" i="18"/>
  <c r="AR79" i="18"/>
  <c r="AV79" i="18"/>
  <c r="AR25" i="18"/>
  <c r="AV25" i="18"/>
  <c r="AN129" i="18"/>
  <c r="AV129" i="18"/>
  <c r="AI42" i="7"/>
  <c r="AV45" i="18"/>
  <c r="AR45" i="18"/>
  <c r="AN115" i="18"/>
  <c r="AV115" i="18"/>
  <c r="AI39" i="7"/>
  <c r="AI12" i="7"/>
  <c r="AV113" i="18"/>
  <c r="AI38" i="7"/>
  <c r="AV56" i="18"/>
  <c r="AR56" i="18"/>
  <c r="AP56" i="18" s="1"/>
  <c r="AR41" i="18"/>
  <c r="AV41" i="18"/>
  <c r="AV80" i="18"/>
  <c r="AN80" i="18"/>
  <c r="AL76" i="18"/>
  <c r="AH76" i="18"/>
  <c r="AD76" i="18"/>
  <c r="Z76" i="18"/>
  <c r="V76" i="18"/>
  <c r="R76" i="18"/>
  <c r="AN125" i="18"/>
  <c r="AV125" i="18"/>
  <c r="AI41" i="7"/>
  <c r="AV33" i="18"/>
  <c r="AI15" i="7"/>
  <c r="AI37" i="7"/>
  <c r="AV111" i="18"/>
  <c r="AV88" i="18"/>
  <c r="AI24" i="7"/>
  <c r="AV86" i="18"/>
  <c r="AI23" i="7"/>
  <c r="AI18" i="7"/>
  <c r="AV54" i="18"/>
  <c r="R69" i="32"/>
  <c r="T69" i="32"/>
  <c r="Q101" i="31"/>
  <c r="U101" i="31"/>
  <c r="Q32" i="31"/>
  <c r="U32" i="31"/>
  <c r="I69" i="32"/>
  <c r="K69" i="32"/>
  <c r="Y69" i="32"/>
  <c r="AA69" i="32"/>
  <c r="L69" i="32"/>
  <c r="N69" i="32"/>
  <c r="Q65" i="31"/>
  <c r="U65" i="31"/>
  <c r="R101" i="31"/>
  <c r="V101" i="31"/>
  <c r="O69" i="32"/>
  <c r="Q69" i="32"/>
  <c r="AJ29" i="18"/>
  <c r="AN120" i="18"/>
  <c r="AI40" i="7"/>
  <c r="AJ111" i="18"/>
  <c r="AG37" i="7" s="1"/>
  <c r="U260" i="32" s="1"/>
  <c r="AJ86" i="18"/>
  <c r="AG23" i="7" s="1"/>
  <c r="U230" i="32" s="1"/>
  <c r="AN86" i="18"/>
  <c r="AJ80" i="18"/>
  <c r="AN111" i="18"/>
  <c r="AL130" i="18"/>
  <c r="AF56" i="18"/>
  <c r="AJ56" i="18"/>
  <c r="AN56" i="18"/>
  <c r="AL59" i="18"/>
  <c r="AJ125" i="18"/>
  <c r="AG41" i="7" s="1"/>
  <c r="U320" i="32" s="1"/>
  <c r="AJ120" i="18"/>
  <c r="AG40" i="7" s="1"/>
  <c r="U305" i="32" s="1"/>
  <c r="AJ88" i="18"/>
  <c r="AG24" i="7" s="1"/>
  <c r="U245" i="32" s="1"/>
  <c r="AN88" i="18"/>
  <c r="AJ16" i="18"/>
  <c r="AG6" i="7" s="1"/>
  <c r="U6" i="32" s="1"/>
  <c r="AN16" i="18"/>
  <c r="AJ24" i="18"/>
  <c r="AG12" i="7" s="1"/>
  <c r="U64" i="32" s="1"/>
  <c r="AN24" i="18"/>
  <c r="AJ41" i="18"/>
  <c r="AN41" i="18"/>
  <c r="AJ54" i="18"/>
  <c r="AG18" i="7" s="1"/>
  <c r="U153" i="32" s="1"/>
  <c r="AN54" i="18"/>
  <c r="AN33" i="18"/>
  <c r="AJ33" i="18"/>
  <c r="AG15" i="7" s="1"/>
  <c r="U108" i="32" s="1"/>
  <c r="AL20" i="18"/>
  <c r="AV20" i="18" s="1"/>
  <c r="AJ79" i="18"/>
  <c r="AN79" i="18"/>
  <c r="AJ78" i="18"/>
  <c r="AN78" i="18"/>
  <c r="AJ75" i="18"/>
  <c r="AN75" i="18"/>
  <c r="AJ74" i="18"/>
  <c r="AN74" i="18"/>
  <c r="AL73" i="18"/>
  <c r="AV73" i="18" s="1"/>
  <c r="AJ72" i="18"/>
  <c r="AN72" i="18"/>
  <c r="AJ71" i="18"/>
  <c r="AN71" i="18"/>
  <c r="AJ70" i="18"/>
  <c r="AN70" i="18"/>
  <c r="AJ69" i="18"/>
  <c r="AN69" i="18"/>
  <c r="AJ68" i="18"/>
  <c r="AN68" i="18"/>
  <c r="AJ67" i="18"/>
  <c r="AN67" i="18"/>
  <c r="AJ64" i="18"/>
  <c r="AN64" i="18"/>
  <c r="AJ63" i="18"/>
  <c r="AN63" i="18"/>
  <c r="AN62" i="18"/>
  <c r="AJ62" i="18"/>
  <c r="AJ61" i="18"/>
  <c r="AN61" i="18"/>
  <c r="AL65" i="18"/>
  <c r="AJ60" i="18"/>
  <c r="AN60" i="18"/>
  <c r="AJ45" i="18"/>
  <c r="AN45" i="18"/>
  <c r="AJ50" i="18"/>
  <c r="AN50" i="18"/>
  <c r="AJ47" i="18"/>
  <c r="AN47" i="18"/>
  <c r="AN46" i="18"/>
  <c r="AJ46" i="18"/>
  <c r="AJ44" i="18"/>
  <c r="AN44" i="18"/>
  <c r="AL51" i="18"/>
  <c r="AJ43" i="18"/>
  <c r="AN43" i="18"/>
  <c r="AJ40" i="18"/>
  <c r="AN40" i="18"/>
  <c r="AJ38" i="18"/>
  <c r="AN38" i="18"/>
  <c r="AJ37" i="18"/>
  <c r="AN37" i="18"/>
  <c r="AJ36" i="18"/>
  <c r="AN36" i="18"/>
  <c r="AJ35" i="18"/>
  <c r="AN35" i="18"/>
  <c r="AJ34" i="18"/>
  <c r="AL42" i="18"/>
  <c r="AN34" i="18"/>
  <c r="AJ25" i="18"/>
  <c r="AL30" i="18"/>
  <c r="AN25" i="18"/>
  <c r="AJ28" i="18"/>
  <c r="AN28" i="18"/>
  <c r="AJ27" i="18"/>
  <c r="AN27" i="18"/>
  <c r="AJ18" i="18"/>
  <c r="AN18" i="18"/>
  <c r="AJ17" i="18"/>
  <c r="AL19" i="18"/>
  <c r="AN17" i="18"/>
  <c r="AJ9" i="18"/>
  <c r="AN9" i="18"/>
  <c r="AJ8" i="18"/>
  <c r="AN8" i="18"/>
  <c r="AJ7" i="18"/>
  <c r="AN7" i="18"/>
  <c r="AJ5" i="18"/>
  <c r="AL10" i="18"/>
  <c r="AN5" i="18"/>
  <c r="AJ6" i="18"/>
  <c r="AN6" i="18"/>
  <c r="Y11" i="11"/>
  <c r="AL11" i="11" s="1"/>
  <c r="J264" i="31"/>
  <c r="F264" i="31"/>
  <c r="S264" i="31"/>
  <c r="K264" i="31"/>
  <c r="G264" i="31"/>
  <c r="M32" i="31"/>
  <c r="I32" i="31"/>
  <c r="E32" i="31"/>
  <c r="L264" i="31"/>
  <c r="H264" i="31"/>
  <c r="I264" i="31"/>
  <c r="E264" i="31"/>
  <c r="I260" i="31"/>
  <c r="E260" i="31"/>
  <c r="M28" i="31"/>
  <c r="S260" i="31"/>
  <c r="K260" i="31"/>
  <c r="G260" i="31"/>
  <c r="J260" i="31"/>
  <c r="F260" i="31"/>
  <c r="N28" i="31"/>
  <c r="L260" i="31"/>
  <c r="H260" i="31"/>
  <c r="C264" i="31"/>
  <c r="C260" i="31"/>
  <c r="AN77" i="18" l="1"/>
  <c r="AV77" i="18"/>
  <c r="AJ77" i="18"/>
  <c r="AL81" i="18"/>
  <c r="AI6" i="7"/>
  <c r="AI43" i="7"/>
  <c r="AS43" i="7" s="1"/>
  <c r="AI5" i="7"/>
  <c r="AI7" i="7" s="1"/>
  <c r="AS7" i="7" s="1"/>
  <c r="AV10" i="18"/>
  <c r="AI8" i="7"/>
  <c r="AI10" i="7" s="1"/>
  <c r="AS10" i="7" s="1"/>
  <c r="AV19" i="18"/>
  <c r="AI14" i="7"/>
  <c r="AV30" i="18"/>
  <c r="AI16" i="7"/>
  <c r="AV42" i="18"/>
  <c r="AI17" i="7"/>
  <c r="AV51" i="18"/>
  <c r="AI20" i="7"/>
  <c r="AV65" i="18"/>
  <c r="AI22" i="7"/>
  <c r="AV81" i="18"/>
  <c r="AL90" i="18"/>
  <c r="AV90" i="18" s="1"/>
  <c r="AV59" i="18"/>
  <c r="AI19" i="7"/>
  <c r="AI26" i="7" s="1"/>
  <c r="AS26" i="7" s="1"/>
  <c r="AE14" i="9"/>
  <c r="AS15" i="7"/>
  <c r="W108" i="32"/>
  <c r="AS41" i="7"/>
  <c r="W320" i="32"/>
  <c r="AV76" i="18"/>
  <c r="AR76" i="18"/>
  <c r="AS38" i="7"/>
  <c r="W275" i="32"/>
  <c r="AE11" i="9"/>
  <c r="AS12" i="7"/>
  <c r="W64" i="32"/>
  <c r="AS39" i="7"/>
  <c r="W290" i="32"/>
  <c r="AS6" i="7"/>
  <c r="W6" i="32"/>
  <c r="AS42" i="7"/>
  <c r="W335" i="32"/>
  <c r="AS37" i="7"/>
  <c r="W260" i="32"/>
  <c r="AN130" i="18"/>
  <c r="AV130" i="18"/>
  <c r="AS40" i="7"/>
  <c r="W305" i="32"/>
  <c r="AS24" i="7"/>
  <c r="W245" i="32"/>
  <c r="AS23" i="7"/>
  <c r="W230" i="32"/>
  <c r="AS18" i="7"/>
  <c r="W153" i="32"/>
  <c r="Q260" i="31"/>
  <c r="U260" i="31"/>
  <c r="Q264" i="31"/>
  <c r="U264" i="31"/>
  <c r="AJ73" i="18"/>
  <c r="AG21" i="7" s="1"/>
  <c r="U199" i="32" s="1"/>
  <c r="AI21" i="7"/>
  <c r="AN20" i="18"/>
  <c r="AR20" i="18"/>
  <c r="AG43" i="7"/>
  <c r="U35" i="4" s="1"/>
  <c r="W35" i="9"/>
  <c r="W35" i="4"/>
  <c r="AC35" i="4" s="1"/>
  <c r="AK43" i="7"/>
  <c r="AJ130" i="18"/>
  <c r="AN76" i="18"/>
  <c r="AJ76" i="18"/>
  <c r="AJ59" i="18"/>
  <c r="AG19" i="7" s="1"/>
  <c r="AN59" i="18"/>
  <c r="AL21" i="18"/>
  <c r="AV21" i="18" s="1"/>
  <c r="AJ20" i="18"/>
  <c r="AN73" i="18"/>
  <c r="AJ81" i="18"/>
  <c r="AG22" i="7" s="1"/>
  <c r="U214" i="32" s="1"/>
  <c r="AN81" i="18"/>
  <c r="AJ65" i="18"/>
  <c r="AG20" i="7" s="1"/>
  <c r="U183" i="32" s="1"/>
  <c r="AN65" i="18"/>
  <c r="AJ51" i="18"/>
  <c r="AG17" i="7" s="1"/>
  <c r="U138" i="32" s="1"/>
  <c r="AN51" i="18"/>
  <c r="AJ42" i="18"/>
  <c r="AG16" i="7" s="1"/>
  <c r="U123" i="32" s="1"/>
  <c r="AN42" i="18"/>
  <c r="AJ30" i="18"/>
  <c r="AG14" i="7" s="1"/>
  <c r="U92" i="32" s="1"/>
  <c r="AN30" i="18"/>
  <c r="AJ19" i="18"/>
  <c r="AG8" i="7" s="1"/>
  <c r="U34" i="32" s="1"/>
  <c r="U36" i="32" s="1"/>
  <c r="AN19" i="18"/>
  <c r="AJ10" i="18"/>
  <c r="AG5" i="7" s="1"/>
  <c r="U5" i="32" s="1"/>
  <c r="U7" i="32" s="1"/>
  <c r="AN10" i="18"/>
  <c r="M260" i="31"/>
  <c r="N264" i="31"/>
  <c r="M264" i="31"/>
  <c r="N260" i="31"/>
  <c r="AJ90" i="18" l="1"/>
  <c r="U41" i="9"/>
  <c r="AN90" i="18"/>
  <c r="U168" i="32"/>
  <c r="AG26" i="7"/>
  <c r="U6" i="4" s="1"/>
  <c r="AE20" i="9"/>
  <c r="AS21" i="7"/>
  <c r="W199" i="32"/>
  <c r="W40" i="9"/>
  <c r="AC335" i="32"/>
  <c r="X335" i="32"/>
  <c r="AC6" i="32"/>
  <c r="X6" i="32"/>
  <c r="W37" i="9"/>
  <c r="AC290" i="32"/>
  <c r="X290" i="32"/>
  <c r="AC64" i="32"/>
  <c r="X64" i="32"/>
  <c r="W36" i="9"/>
  <c r="AC275" i="32"/>
  <c r="AC320" i="32"/>
  <c r="X320" i="32"/>
  <c r="AC108" i="32"/>
  <c r="X108" i="32"/>
  <c r="U25" i="9"/>
  <c r="AS19" i="7"/>
  <c r="W168" i="32"/>
  <c r="AE21" i="9"/>
  <c r="AS22" i="7"/>
  <c r="AE19" i="9"/>
  <c r="AS20" i="7"/>
  <c r="AE16" i="9"/>
  <c r="AS17" i="7"/>
  <c r="W138" i="32"/>
  <c r="AE15" i="9"/>
  <c r="AS16" i="7"/>
  <c r="W123" i="32"/>
  <c r="AE13" i="9"/>
  <c r="AS14" i="7"/>
  <c r="U9" i="9"/>
  <c r="AS8" i="7"/>
  <c r="W34" i="32"/>
  <c r="U6" i="9"/>
  <c r="AS5" i="7"/>
  <c r="W5" i="32"/>
  <c r="AC260" i="32"/>
  <c r="X260" i="32"/>
  <c r="AC305" i="32"/>
  <c r="X305" i="32"/>
  <c r="AC245" i="32"/>
  <c r="X245" i="32"/>
  <c r="W23" i="9"/>
  <c r="AG23" i="9" s="1"/>
  <c r="AE23" i="9"/>
  <c r="AC230" i="32"/>
  <c r="X230" i="32"/>
  <c r="W6" i="4"/>
  <c r="AC6" i="4" s="1"/>
  <c r="AE22" i="9"/>
  <c r="W22" i="9"/>
  <c r="AG22" i="9" s="1"/>
  <c r="AC153" i="32"/>
  <c r="X153" i="32"/>
  <c r="AE17" i="9"/>
  <c r="W17" i="9"/>
  <c r="AG17" i="9" s="1"/>
  <c r="AN21" i="18"/>
  <c r="AI11" i="7"/>
  <c r="AG10" i="7"/>
  <c r="AG7" i="7"/>
  <c r="X35" i="4"/>
  <c r="AL89" i="18"/>
  <c r="AJ21" i="18"/>
  <c r="H93" i="31"/>
  <c r="J93" i="31" s="1"/>
  <c r="L93" i="31" s="1"/>
  <c r="N93" i="31" s="1"/>
  <c r="F82" i="31"/>
  <c r="F83" i="31" s="1"/>
  <c r="H11" i="11" s="1"/>
  <c r="H46" i="31"/>
  <c r="J46" i="31" s="1"/>
  <c r="L46" i="31" s="1"/>
  <c r="N46" i="31" s="1"/>
  <c r="AN89" i="18" l="1"/>
  <c r="AV89" i="18"/>
  <c r="AS11" i="7"/>
  <c r="W63" i="32"/>
  <c r="AC5" i="32"/>
  <c r="W7" i="32"/>
  <c r="X5" i="32"/>
  <c r="AC34" i="32"/>
  <c r="W36" i="32"/>
  <c r="X34" i="32"/>
  <c r="W7" i="9"/>
  <c r="AG7" i="9" s="1"/>
  <c r="AE7" i="9"/>
  <c r="AC92" i="32"/>
  <c r="X92" i="32"/>
  <c r="AC123" i="32"/>
  <c r="X123" i="32"/>
  <c r="AC138" i="32"/>
  <c r="X138" i="32"/>
  <c r="AC183" i="32"/>
  <c r="X183" i="32"/>
  <c r="AC214" i="32"/>
  <c r="X214" i="32"/>
  <c r="AC168" i="32"/>
  <c r="X168" i="32"/>
  <c r="AE18" i="9"/>
  <c r="W18" i="9"/>
  <c r="AG18" i="9" s="1"/>
  <c r="AC199" i="32"/>
  <c r="X199" i="32"/>
  <c r="X6" i="4"/>
  <c r="F69" i="32"/>
  <c r="H69" i="32"/>
  <c r="AJ89" i="18"/>
  <c r="AG11" i="7"/>
  <c r="U63" i="32" s="1"/>
  <c r="U65" i="32" s="1"/>
  <c r="AI13" i="7"/>
  <c r="AS13" i="7" s="1"/>
  <c r="AI25" i="7"/>
  <c r="AS25" i="7" s="1"/>
  <c r="AL91" i="18"/>
  <c r="F245" i="31"/>
  <c r="F246" i="31" s="1"/>
  <c r="F58" i="31"/>
  <c r="H9" i="11" s="1"/>
  <c r="H57" i="31"/>
  <c r="I13" i="30"/>
  <c r="G13" i="30"/>
  <c r="I10" i="30"/>
  <c r="G10" i="30"/>
  <c r="I7" i="30"/>
  <c r="G7" i="30"/>
  <c r="AC36" i="32" l="1"/>
  <c r="X36" i="32"/>
  <c r="AC7" i="32"/>
  <c r="X7" i="32"/>
  <c r="AC63" i="32"/>
  <c r="W65" i="32"/>
  <c r="X63" i="32"/>
  <c r="W10" i="9"/>
  <c r="AG10" i="9" s="1"/>
  <c r="AE10" i="9"/>
  <c r="AJ91" i="18"/>
  <c r="AV91" i="18"/>
  <c r="U24" i="9"/>
  <c r="U26" i="9" s="1"/>
  <c r="F41" i="32"/>
  <c r="H41" i="32"/>
  <c r="AI27" i="7"/>
  <c r="AG13" i="7"/>
  <c r="AG25" i="7"/>
  <c r="U12" i="9"/>
  <c r="AN91" i="18"/>
  <c r="H45" i="30"/>
  <c r="H13" i="30"/>
  <c r="H58" i="31"/>
  <c r="K9" i="11" s="1"/>
  <c r="J57" i="31"/>
  <c r="H10" i="30"/>
  <c r="H7" i="30"/>
  <c r="X5" i="4" l="1"/>
  <c r="AC5" i="4"/>
  <c r="AC65" i="32"/>
  <c r="X65" i="32"/>
  <c r="AS27" i="7"/>
  <c r="I41" i="32"/>
  <c r="K41" i="32"/>
  <c r="U5" i="4"/>
  <c r="AG27" i="7"/>
  <c r="U7" i="4" s="1"/>
  <c r="J58" i="31"/>
  <c r="N9" i="11" s="1"/>
  <c r="L57" i="31"/>
  <c r="L87" i="18"/>
  <c r="D125" i="18"/>
  <c r="D59" i="18"/>
  <c r="D54" i="18"/>
  <c r="AI7" i="23"/>
  <c r="AG7" i="23" s="1"/>
  <c r="L59" i="18" l="1"/>
  <c r="AU59" i="18"/>
  <c r="C19" i="7"/>
  <c r="AU125" i="18"/>
  <c r="C41" i="7"/>
  <c r="AL7" i="23"/>
  <c r="AH7" i="23"/>
  <c r="X7" i="4"/>
  <c r="AC7" i="4"/>
  <c r="L54" i="18"/>
  <c r="AU54" i="18"/>
  <c r="C18" i="7"/>
  <c r="L41" i="32"/>
  <c r="N41" i="32"/>
  <c r="AG8" i="23"/>
  <c r="D111" i="18"/>
  <c r="D120" i="18"/>
  <c r="D86" i="18"/>
  <c r="D16" i="18"/>
  <c r="N57" i="31"/>
  <c r="L58" i="31"/>
  <c r="D73" i="18"/>
  <c r="AU73" i="18" s="1"/>
  <c r="K267" i="31"/>
  <c r="I267" i="31"/>
  <c r="G267" i="31"/>
  <c r="C267" i="31"/>
  <c r="U267" i="31" s="1"/>
  <c r="M232" i="31"/>
  <c r="AD24" i="11" s="1"/>
  <c r="G347" i="31"/>
  <c r="AA45" i="11" s="1"/>
  <c r="G221" i="31"/>
  <c r="G311" i="31"/>
  <c r="AA42" i="11" s="1"/>
  <c r="K300" i="31"/>
  <c r="K347" i="31"/>
  <c r="AC45" i="11" s="1"/>
  <c r="E199" i="31"/>
  <c r="G199" i="31"/>
  <c r="I199" i="31"/>
  <c r="K199" i="31"/>
  <c r="M199" i="31"/>
  <c r="E232" i="31"/>
  <c r="E210" i="31"/>
  <c r="I232" i="31"/>
  <c r="C311" i="31"/>
  <c r="E347" i="31"/>
  <c r="Z45" i="11" s="1"/>
  <c r="M210" i="31"/>
  <c r="M322" i="31"/>
  <c r="I347" i="31"/>
  <c r="AB45" i="11" s="1"/>
  <c r="M347" i="31"/>
  <c r="M336" i="31"/>
  <c r="I185" i="31"/>
  <c r="I210" i="31"/>
  <c r="K221" i="31"/>
  <c r="G232" i="31"/>
  <c r="K232" i="31"/>
  <c r="I174" i="31"/>
  <c r="E336" i="31"/>
  <c r="Z44" i="11" s="1"/>
  <c r="G336" i="31"/>
  <c r="AA44" i="11" s="1"/>
  <c r="I336" i="31"/>
  <c r="AB44" i="11" s="1"/>
  <c r="K336" i="31"/>
  <c r="AC44" i="11" s="1"/>
  <c r="E185" i="31"/>
  <c r="M185" i="31"/>
  <c r="G210" i="31"/>
  <c r="K210" i="31"/>
  <c r="G300" i="31"/>
  <c r="K311" i="31"/>
  <c r="AC42" i="11" s="1"/>
  <c r="E322" i="31"/>
  <c r="Z43" i="11" s="1"/>
  <c r="G322" i="31"/>
  <c r="AA43" i="11" s="1"/>
  <c r="I322" i="31"/>
  <c r="AB43" i="11" s="1"/>
  <c r="K322" i="31"/>
  <c r="AC43" i="11" s="1"/>
  <c r="M174" i="31"/>
  <c r="E174" i="31"/>
  <c r="E300" i="31"/>
  <c r="I300" i="31"/>
  <c r="M300" i="31"/>
  <c r="E311" i="31"/>
  <c r="Z42" i="11" s="1"/>
  <c r="I311" i="31"/>
  <c r="AB42" i="11" s="1"/>
  <c r="M311" i="31"/>
  <c r="K174" i="31"/>
  <c r="G174" i="31"/>
  <c r="E163" i="31"/>
  <c r="G163" i="31"/>
  <c r="I163" i="31"/>
  <c r="K163" i="31"/>
  <c r="M163" i="31"/>
  <c r="AD18" i="11" s="1"/>
  <c r="G185" i="31"/>
  <c r="AA20" i="11" s="1"/>
  <c r="K185" i="31"/>
  <c r="AC20" i="11" s="1"/>
  <c r="C221" i="31"/>
  <c r="Q221" i="31" s="1"/>
  <c r="E221" i="31"/>
  <c r="I221" i="31"/>
  <c r="M221" i="31"/>
  <c r="AD23" i="11" s="1"/>
  <c r="C163" i="31"/>
  <c r="Q163" i="31" s="1"/>
  <c r="C232" i="31"/>
  <c r="C347" i="31"/>
  <c r="C210" i="31"/>
  <c r="Q210" i="31" s="1"/>
  <c r="C199" i="31"/>
  <c r="Q199" i="31" s="1"/>
  <c r="C185" i="31"/>
  <c r="Q185" i="31" s="1"/>
  <c r="C336" i="31"/>
  <c r="C322" i="31"/>
  <c r="C300" i="31"/>
  <c r="C174" i="31"/>
  <c r="L16" i="18" l="1"/>
  <c r="AU16" i="18"/>
  <c r="C6" i="7"/>
  <c r="L120" i="18"/>
  <c r="AU120" i="18"/>
  <c r="C40" i="7"/>
  <c r="C37" i="7"/>
  <c r="AU111" i="18"/>
  <c r="AQ41" i="7"/>
  <c r="AR41" i="7" s="1"/>
  <c r="F44" i="3"/>
  <c r="AQ19" i="7"/>
  <c r="AR19" i="7" s="1"/>
  <c r="F18" i="3"/>
  <c r="AE6" i="8"/>
  <c r="V5" i="9" s="1"/>
  <c r="AH8" i="23"/>
  <c r="L86" i="18"/>
  <c r="AU86" i="18"/>
  <c r="C23" i="7"/>
  <c r="AQ18" i="7"/>
  <c r="AR18" i="7" s="1"/>
  <c r="F17" i="3"/>
  <c r="AO8" i="23"/>
  <c r="AO7" i="23"/>
  <c r="L73" i="18"/>
  <c r="C21" i="7"/>
  <c r="L111" i="18"/>
  <c r="AE7" i="23"/>
  <c r="Y45" i="11"/>
  <c r="Q347" i="31"/>
  <c r="Y44" i="11"/>
  <c r="Q336" i="31"/>
  <c r="Y42" i="11"/>
  <c r="Q311" i="31"/>
  <c r="Y24" i="11"/>
  <c r="Q232" i="31"/>
  <c r="Y19" i="11"/>
  <c r="Q174" i="31"/>
  <c r="Y43" i="11"/>
  <c r="Q322" i="31"/>
  <c r="Y41" i="11"/>
  <c r="Q300" i="31"/>
  <c r="AC41" i="11"/>
  <c r="AB41" i="11"/>
  <c r="AA41" i="11"/>
  <c r="Z41" i="11"/>
  <c r="AD44" i="11"/>
  <c r="AA24" i="11"/>
  <c r="AB20" i="11"/>
  <c r="AD45" i="11"/>
  <c r="AB24" i="11"/>
  <c r="AB21" i="11"/>
  <c r="Z23" i="11"/>
  <c r="Y23" i="11"/>
  <c r="AB18" i="11"/>
  <c r="AC24" i="11"/>
  <c r="Y18" i="11"/>
  <c r="AC22" i="11"/>
  <c r="AD20" i="11"/>
  <c r="AB19" i="11"/>
  <c r="Z22" i="11"/>
  <c r="Z24" i="11"/>
  <c r="AA21" i="11"/>
  <c r="AD42" i="11"/>
  <c r="AD19" i="11"/>
  <c r="AC23" i="11"/>
  <c r="AD22" i="11"/>
  <c r="AC21" i="11"/>
  <c r="AA18" i="11"/>
  <c r="Y21" i="11"/>
  <c r="Z18" i="11"/>
  <c r="AA19" i="11"/>
  <c r="Y20" i="11"/>
  <c r="Y22" i="11"/>
  <c r="AB23" i="11"/>
  <c r="AC18" i="11"/>
  <c r="AC19" i="11"/>
  <c r="AD41" i="11"/>
  <c r="Z19" i="11"/>
  <c r="AA22" i="11"/>
  <c r="Z20" i="11"/>
  <c r="AB22" i="11"/>
  <c r="AD43" i="11"/>
  <c r="AD21" i="11"/>
  <c r="Z21" i="11"/>
  <c r="AA23" i="11"/>
  <c r="N58" i="31"/>
  <c r="S57" i="31"/>
  <c r="Q9" i="11"/>
  <c r="M267" i="31"/>
  <c r="W9" i="32" l="1"/>
  <c r="AC9" i="32" s="1"/>
  <c r="AL6" i="8"/>
  <c r="F20" i="3"/>
  <c r="AR20" i="3" s="1"/>
  <c r="AQ21" i="7"/>
  <c r="AR21" i="7" s="1"/>
  <c r="AN18" i="3"/>
  <c r="AR18" i="3"/>
  <c r="E18" i="3"/>
  <c r="AR44" i="3"/>
  <c r="AN44" i="3"/>
  <c r="E44" i="3"/>
  <c r="F40" i="3"/>
  <c r="AQ37" i="7"/>
  <c r="AR37" i="7" s="1"/>
  <c r="AQ40" i="7"/>
  <c r="AR40" i="7" s="1"/>
  <c r="F43" i="3"/>
  <c r="AQ6" i="7"/>
  <c r="AR6" i="7" s="1"/>
  <c r="F5" i="3"/>
  <c r="AQ23" i="7"/>
  <c r="AR23" i="7" s="1"/>
  <c r="F22" i="3"/>
  <c r="E17" i="3"/>
  <c r="AR17" i="3"/>
  <c r="AN17" i="3"/>
  <c r="AN20" i="3"/>
  <c r="W5" i="9"/>
  <c r="AF43" i="11"/>
  <c r="AL43" i="11"/>
  <c r="AF44" i="11"/>
  <c r="AL44" i="11"/>
  <c r="AF21" i="11"/>
  <c r="AL21" i="11"/>
  <c r="AF23" i="11"/>
  <c r="AL23" i="11"/>
  <c r="AF19" i="11"/>
  <c r="AL19" i="11"/>
  <c r="AF45" i="11"/>
  <c r="AL45" i="11"/>
  <c r="AF24" i="11"/>
  <c r="AL24" i="11"/>
  <c r="AF22" i="11"/>
  <c r="AL22" i="11"/>
  <c r="O41" i="32"/>
  <c r="Q41" i="32"/>
  <c r="AF20" i="11"/>
  <c r="AL20" i="11"/>
  <c r="AF18" i="11"/>
  <c r="AL18" i="11"/>
  <c r="AF41" i="11"/>
  <c r="AL41" i="11"/>
  <c r="AF42" i="11"/>
  <c r="AL42" i="11"/>
  <c r="AE8" i="23"/>
  <c r="AC6" i="8" s="1"/>
  <c r="U9" i="32" s="1"/>
  <c r="U10" i="32" s="1"/>
  <c r="S58" i="31"/>
  <c r="T9" i="11"/>
  <c r="E152" i="31"/>
  <c r="Z17" i="11" s="1"/>
  <c r="G152" i="31"/>
  <c r="AA17" i="11" s="1"/>
  <c r="I152" i="31"/>
  <c r="AB17" i="11" s="1"/>
  <c r="K152" i="31"/>
  <c r="AC17" i="11" s="1"/>
  <c r="M152" i="31"/>
  <c r="C152" i="31"/>
  <c r="M116" i="31"/>
  <c r="K116" i="31"/>
  <c r="AC14" i="11" s="1"/>
  <c r="I116" i="31"/>
  <c r="AB14" i="11" s="1"/>
  <c r="G116" i="31"/>
  <c r="AA14" i="11" s="1"/>
  <c r="E116" i="31"/>
  <c r="Z14" i="11" s="1"/>
  <c r="S98" i="31"/>
  <c r="M99" i="31"/>
  <c r="K99" i="31"/>
  <c r="I99" i="31"/>
  <c r="G99" i="31"/>
  <c r="E99" i="31"/>
  <c r="M98" i="31"/>
  <c r="K98" i="31"/>
  <c r="I98" i="31"/>
  <c r="G98" i="31"/>
  <c r="E98" i="31"/>
  <c r="S99" i="31"/>
  <c r="S100" i="31"/>
  <c r="S102" i="31"/>
  <c r="S95" i="31"/>
  <c r="D99" i="31"/>
  <c r="F99" i="31"/>
  <c r="H99" i="31"/>
  <c r="J99" i="31"/>
  <c r="L99" i="31"/>
  <c r="N99" i="31"/>
  <c r="C100" i="31"/>
  <c r="D100" i="31"/>
  <c r="V100" i="31" s="1"/>
  <c r="E100" i="31"/>
  <c r="F100" i="31"/>
  <c r="G100" i="31"/>
  <c r="H100" i="31"/>
  <c r="I100" i="31"/>
  <c r="J100" i="31"/>
  <c r="K100" i="31"/>
  <c r="L100" i="31"/>
  <c r="M100" i="31"/>
  <c r="N100" i="31"/>
  <c r="C102" i="31"/>
  <c r="D102" i="31"/>
  <c r="V102" i="31" s="1"/>
  <c r="E102" i="31"/>
  <c r="F102" i="31"/>
  <c r="G102" i="31"/>
  <c r="H102" i="31"/>
  <c r="I102" i="31"/>
  <c r="J102" i="31"/>
  <c r="K102" i="31"/>
  <c r="L102" i="31"/>
  <c r="M102" i="31"/>
  <c r="N102" i="31"/>
  <c r="C104" i="31"/>
  <c r="E104" i="31"/>
  <c r="G104" i="31"/>
  <c r="I104" i="31"/>
  <c r="K104" i="31"/>
  <c r="M104" i="31"/>
  <c r="D95" i="31"/>
  <c r="V95" i="31" s="1"/>
  <c r="E95" i="31"/>
  <c r="F95" i="31"/>
  <c r="G95" i="31"/>
  <c r="H95" i="31"/>
  <c r="I95" i="31"/>
  <c r="J95" i="31"/>
  <c r="K95" i="31"/>
  <c r="L95" i="31"/>
  <c r="M95" i="31"/>
  <c r="N95" i="31"/>
  <c r="C95" i="31"/>
  <c r="R64" i="31"/>
  <c r="F64" i="31"/>
  <c r="H64" i="31"/>
  <c r="E62" i="31"/>
  <c r="G62" i="31"/>
  <c r="I62" i="31"/>
  <c r="K62" i="31"/>
  <c r="M62" i="31"/>
  <c r="R63" i="31"/>
  <c r="F63" i="31"/>
  <c r="H63" i="31"/>
  <c r="M68" i="31"/>
  <c r="K68" i="31"/>
  <c r="I68" i="31"/>
  <c r="G68" i="31"/>
  <c r="E68" i="31"/>
  <c r="C68" i="31"/>
  <c r="S66" i="31"/>
  <c r="N66" i="31"/>
  <c r="M66" i="31"/>
  <c r="L66" i="31"/>
  <c r="K66" i="31"/>
  <c r="J66" i="31"/>
  <c r="I66" i="31"/>
  <c r="H66" i="31"/>
  <c r="G66" i="31"/>
  <c r="F66" i="31"/>
  <c r="E66" i="31"/>
  <c r="C66" i="31"/>
  <c r="S60" i="31"/>
  <c r="N60" i="31"/>
  <c r="M60" i="31"/>
  <c r="L60" i="31"/>
  <c r="K60" i="31"/>
  <c r="J60" i="31"/>
  <c r="I60" i="31"/>
  <c r="H60" i="31"/>
  <c r="G60" i="31"/>
  <c r="F60" i="31"/>
  <c r="E60" i="31"/>
  <c r="R60" i="31"/>
  <c r="C60" i="31"/>
  <c r="S59" i="31"/>
  <c r="N59" i="31"/>
  <c r="M59" i="31"/>
  <c r="L59" i="31"/>
  <c r="K59" i="31"/>
  <c r="J59" i="31"/>
  <c r="I59" i="31"/>
  <c r="H59" i="31"/>
  <c r="G59" i="31"/>
  <c r="F59" i="31"/>
  <c r="E59" i="31"/>
  <c r="C59" i="31"/>
  <c r="M35" i="31"/>
  <c r="K35" i="31"/>
  <c r="I35" i="31"/>
  <c r="G35" i="31"/>
  <c r="E35" i="31"/>
  <c r="C35" i="31"/>
  <c r="U35" i="31" s="1"/>
  <c r="R321" i="31"/>
  <c r="R335" i="31"/>
  <c r="R184" i="31"/>
  <c r="R198" i="31"/>
  <c r="R220" i="31"/>
  <c r="R346" i="31"/>
  <c r="R231" i="31"/>
  <c r="AH11" i="11"/>
  <c r="Z69" i="32" s="1"/>
  <c r="S11" i="11"/>
  <c r="S69" i="32" s="1"/>
  <c r="P11" i="11"/>
  <c r="P69" i="32" s="1"/>
  <c r="M11" i="11"/>
  <c r="M69" i="32" s="1"/>
  <c r="J11" i="11"/>
  <c r="J69" i="32" s="1"/>
  <c r="G11" i="11"/>
  <c r="G69" i="32" s="1"/>
  <c r="X9" i="32" l="1"/>
  <c r="W10" i="32"/>
  <c r="AC10" i="32" s="1"/>
  <c r="AN5" i="3"/>
  <c r="AR5" i="3"/>
  <c r="E5" i="3"/>
  <c r="AR43" i="3"/>
  <c r="AN43" i="3"/>
  <c r="E40" i="3"/>
  <c r="AN40" i="3"/>
  <c r="AR40" i="3"/>
  <c r="AQ44" i="3"/>
  <c r="L41" i="26"/>
  <c r="I42" i="28" s="1"/>
  <c r="Q41" i="26"/>
  <c r="AL44" i="3"/>
  <c r="AQ18" i="3"/>
  <c r="L18" i="26"/>
  <c r="Q18" i="26"/>
  <c r="X18" i="26" s="1"/>
  <c r="X10" i="32"/>
  <c r="AN22" i="3"/>
  <c r="AR22" i="3"/>
  <c r="E22" i="3"/>
  <c r="L17" i="26"/>
  <c r="P17" i="26" s="1"/>
  <c r="Q17" i="26"/>
  <c r="X17" i="26" s="1"/>
  <c r="AQ17" i="3"/>
  <c r="G81" i="32"/>
  <c r="J81" i="32"/>
  <c r="M81" i="32"/>
  <c r="P81" i="32"/>
  <c r="Q60" i="31"/>
  <c r="U60" i="31"/>
  <c r="R99" i="31"/>
  <c r="V99" i="31"/>
  <c r="R41" i="32"/>
  <c r="T41" i="32"/>
  <c r="S81" i="32"/>
  <c r="Q100" i="31"/>
  <c r="U100" i="31"/>
  <c r="Y17" i="11"/>
  <c r="Q152" i="31"/>
  <c r="R174" i="31"/>
  <c r="R173" i="31"/>
  <c r="R13" i="31"/>
  <c r="AD17" i="11"/>
  <c r="AI9" i="11"/>
  <c r="R151" i="31"/>
  <c r="R115" i="31"/>
  <c r="AD14" i="11"/>
  <c r="R140" i="31"/>
  <c r="H288" i="31"/>
  <c r="J96" i="31"/>
  <c r="R232" i="31"/>
  <c r="R163" i="31"/>
  <c r="R221" i="31"/>
  <c r="S96" i="31"/>
  <c r="G103" i="31"/>
  <c r="G47" i="31"/>
  <c r="K103" i="31"/>
  <c r="M103" i="31"/>
  <c r="I103" i="31"/>
  <c r="E103" i="31"/>
  <c r="N96" i="31"/>
  <c r="F96" i="31"/>
  <c r="S103" i="31"/>
  <c r="C96" i="31"/>
  <c r="E96" i="31"/>
  <c r="G96" i="31"/>
  <c r="I96" i="31"/>
  <c r="K96" i="31"/>
  <c r="M96" i="31"/>
  <c r="D103" i="31"/>
  <c r="V103" i="31" s="1"/>
  <c r="F103" i="31"/>
  <c r="H103" i="31"/>
  <c r="J103" i="31"/>
  <c r="L103" i="31"/>
  <c r="N103" i="31"/>
  <c r="E127" i="31"/>
  <c r="G127" i="31"/>
  <c r="I127" i="31"/>
  <c r="K127" i="31"/>
  <c r="M127" i="31"/>
  <c r="C103" i="31"/>
  <c r="C98" i="31"/>
  <c r="Q98" i="31" s="1"/>
  <c r="L96" i="31"/>
  <c r="H96" i="31"/>
  <c r="D96" i="31"/>
  <c r="M63" i="31"/>
  <c r="K47" i="31"/>
  <c r="I63" i="31"/>
  <c r="G63" i="31"/>
  <c r="E63" i="31"/>
  <c r="N62" i="31"/>
  <c r="L62" i="31"/>
  <c r="J62" i="31"/>
  <c r="H62" i="31"/>
  <c r="F62" i="31"/>
  <c r="R62" i="31"/>
  <c r="M64" i="31"/>
  <c r="K64" i="31"/>
  <c r="I64" i="31"/>
  <c r="G64" i="31"/>
  <c r="E64" i="31"/>
  <c r="N67" i="31"/>
  <c r="L67" i="31"/>
  <c r="J67" i="31"/>
  <c r="H67" i="31"/>
  <c r="F67" i="31"/>
  <c r="S62" i="31"/>
  <c r="S64" i="31"/>
  <c r="H140" i="31"/>
  <c r="N63" i="31"/>
  <c r="L63" i="31"/>
  <c r="J63" i="31"/>
  <c r="N64" i="31"/>
  <c r="L64" i="31"/>
  <c r="J64" i="31"/>
  <c r="M67" i="31"/>
  <c r="K67" i="31"/>
  <c r="I67" i="31"/>
  <c r="G67" i="31"/>
  <c r="E67" i="31"/>
  <c r="S63" i="31"/>
  <c r="S67" i="31"/>
  <c r="F116" i="31"/>
  <c r="H14" i="11" s="1"/>
  <c r="E33" i="31"/>
  <c r="E265" i="31"/>
  <c r="G33" i="31"/>
  <c r="G265" i="31"/>
  <c r="I33" i="31"/>
  <c r="I265" i="31"/>
  <c r="K33" i="31"/>
  <c r="K265" i="31"/>
  <c r="S33" i="31"/>
  <c r="S265" i="31"/>
  <c r="C62" i="31"/>
  <c r="Q62" i="31" s="1"/>
  <c r="C64" i="31"/>
  <c r="D98" i="31"/>
  <c r="F98" i="31"/>
  <c r="H98" i="31"/>
  <c r="J98" i="31"/>
  <c r="L98" i="31"/>
  <c r="N98" i="31"/>
  <c r="C33" i="31"/>
  <c r="U33" i="31" s="1"/>
  <c r="F33" i="31"/>
  <c r="F265" i="31"/>
  <c r="H33" i="31"/>
  <c r="H265" i="31"/>
  <c r="J33" i="31"/>
  <c r="J265" i="31"/>
  <c r="L33" i="31"/>
  <c r="L265" i="31"/>
  <c r="N33" i="31"/>
  <c r="E25" i="31"/>
  <c r="G25" i="31"/>
  <c r="I25" i="31"/>
  <c r="K25" i="31"/>
  <c r="M25" i="31"/>
  <c r="C63" i="31"/>
  <c r="Q63" i="31" s="1"/>
  <c r="C67" i="31"/>
  <c r="R27" i="31"/>
  <c r="F27" i="31"/>
  <c r="H27" i="31"/>
  <c r="J27" i="31"/>
  <c r="L27" i="31"/>
  <c r="N27" i="31"/>
  <c r="R30" i="31"/>
  <c r="F30" i="31"/>
  <c r="H30" i="31"/>
  <c r="J30" i="31"/>
  <c r="L30" i="31"/>
  <c r="N30" i="31"/>
  <c r="S34" i="31"/>
  <c r="I289" i="31"/>
  <c r="C30" i="31"/>
  <c r="C34" i="31"/>
  <c r="U34" i="31" s="1"/>
  <c r="F26" i="31"/>
  <c r="H26" i="31"/>
  <c r="L26" i="31"/>
  <c r="N26" i="31"/>
  <c r="F29" i="31"/>
  <c r="H29" i="31"/>
  <c r="L29" i="31"/>
  <c r="N29" i="31"/>
  <c r="F31" i="31"/>
  <c r="H31" i="31"/>
  <c r="L31" i="31"/>
  <c r="N31" i="31"/>
  <c r="F34" i="31"/>
  <c r="H34" i="31"/>
  <c r="L34" i="31"/>
  <c r="N34" i="31"/>
  <c r="S27" i="31"/>
  <c r="S30" i="31"/>
  <c r="R127" i="31"/>
  <c r="C29" i="31"/>
  <c r="E27" i="31"/>
  <c r="G27" i="31"/>
  <c r="I27" i="31"/>
  <c r="K27" i="31"/>
  <c r="R29" i="31"/>
  <c r="E30" i="31"/>
  <c r="G30" i="31"/>
  <c r="I30" i="31"/>
  <c r="K30" i="31"/>
  <c r="R31" i="31"/>
  <c r="M289" i="31"/>
  <c r="M358" i="31" s="1"/>
  <c r="M141" i="31"/>
  <c r="K63" i="31"/>
  <c r="E289" i="31"/>
  <c r="K289" i="31"/>
  <c r="K26" i="31"/>
  <c r="E29" i="31"/>
  <c r="G29" i="31"/>
  <c r="I29" i="31"/>
  <c r="K29" i="31"/>
  <c r="E31" i="31"/>
  <c r="G31" i="31"/>
  <c r="I31" i="31"/>
  <c r="K31" i="31"/>
  <c r="M47" i="31"/>
  <c r="G289" i="31"/>
  <c r="E141" i="31"/>
  <c r="Z16" i="11" s="1"/>
  <c r="G141" i="31"/>
  <c r="AA16" i="11" s="1"/>
  <c r="I141" i="31"/>
  <c r="AB16" i="11" s="1"/>
  <c r="K141" i="31"/>
  <c r="AC16" i="11" s="1"/>
  <c r="J26" i="31"/>
  <c r="J31" i="31"/>
  <c r="J34" i="31"/>
  <c r="M29" i="31"/>
  <c r="I47" i="31"/>
  <c r="E47" i="31"/>
  <c r="E14" i="31"/>
  <c r="G14" i="31"/>
  <c r="AA5" i="11" s="1"/>
  <c r="I14" i="31"/>
  <c r="M14" i="31"/>
  <c r="E34" i="31"/>
  <c r="G34" i="31"/>
  <c r="I34" i="31"/>
  <c r="K34" i="31"/>
  <c r="M34" i="31"/>
  <c r="S29" i="31"/>
  <c r="S31" i="31"/>
  <c r="C99" i="31"/>
  <c r="Q99" i="31" s="1"/>
  <c r="C127" i="31"/>
  <c r="Q127" i="31" s="1"/>
  <c r="E94" i="31"/>
  <c r="Z12" i="11" s="1"/>
  <c r="G94" i="31"/>
  <c r="AA12" i="11" s="1"/>
  <c r="I94" i="31"/>
  <c r="AB12" i="11" s="1"/>
  <c r="K94" i="31"/>
  <c r="AC12" i="11" s="1"/>
  <c r="M94" i="31"/>
  <c r="C141" i="31"/>
  <c r="C289" i="31"/>
  <c r="F289" i="31"/>
  <c r="C116" i="31"/>
  <c r="K14" i="31"/>
  <c r="G26" i="31"/>
  <c r="I26" i="31"/>
  <c r="M26" i="31"/>
  <c r="M27" i="31"/>
  <c r="M30" i="31"/>
  <c r="M31" i="31"/>
  <c r="M33" i="31"/>
  <c r="S26" i="31"/>
  <c r="C27" i="31"/>
  <c r="C47" i="31"/>
  <c r="C94" i="31"/>
  <c r="C26" i="31"/>
  <c r="C31" i="31"/>
  <c r="C25" i="31"/>
  <c r="E26" i="31"/>
  <c r="J29" i="31"/>
  <c r="C14" i="31"/>
  <c r="R93" i="31"/>
  <c r="M17" i="29"/>
  <c r="D282" i="31" l="1"/>
  <c r="D284" i="31"/>
  <c r="D285" i="31"/>
  <c r="D286" i="31"/>
  <c r="D283" i="31"/>
  <c r="D280" i="31"/>
  <c r="D288" i="31"/>
  <c r="D279" i="31"/>
  <c r="D287" i="31"/>
  <c r="D281" i="31"/>
  <c r="N42" i="28"/>
  <c r="Q37" i="26"/>
  <c r="X37" i="26" s="1"/>
  <c r="L37" i="26"/>
  <c r="P37" i="26" s="1"/>
  <c r="AQ40" i="3"/>
  <c r="AL40" i="3"/>
  <c r="AQ5" i="3"/>
  <c r="Q5" i="26"/>
  <c r="X5" i="26" s="1"/>
  <c r="L5" i="26"/>
  <c r="P5" i="26" s="1"/>
  <c r="AQ22" i="3"/>
  <c r="Q22" i="26"/>
  <c r="X22" i="26" s="1"/>
  <c r="L22" i="26"/>
  <c r="P22" i="26" s="1"/>
  <c r="R98" i="31"/>
  <c r="V98" i="31"/>
  <c r="Q96" i="31"/>
  <c r="U96" i="31"/>
  <c r="Q26" i="31"/>
  <c r="U26" i="31"/>
  <c r="Q64" i="31"/>
  <c r="U64" i="31"/>
  <c r="AF17" i="11"/>
  <c r="AL17" i="11"/>
  <c r="Q30" i="31"/>
  <c r="U30" i="31"/>
  <c r="R96" i="31"/>
  <c r="V96" i="31"/>
  <c r="Y41" i="32"/>
  <c r="AA41" i="32"/>
  <c r="Q27" i="31"/>
  <c r="U27" i="31"/>
  <c r="F94" i="32"/>
  <c r="H94" i="32"/>
  <c r="Q31" i="31"/>
  <c r="U31" i="31"/>
  <c r="Q29" i="31"/>
  <c r="U29" i="31"/>
  <c r="Y40" i="11"/>
  <c r="Q289" i="31"/>
  <c r="C358" i="31"/>
  <c r="Y16" i="11"/>
  <c r="Q141" i="31"/>
  <c r="X20" i="11"/>
  <c r="R185" i="31"/>
  <c r="X44" i="11"/>
  <c r="R336" i="31"/>
  <c r="X42" i="11"/>
  <c r="R311" i="31"/>
  <c r="R288" i="31"/>
  <c r="X45" i="11"/>
  <c r="R347" i="31"/>
  <c r="R24" i="31"/>
  <c r="X41" i="11"/>
  <c r="R300" i="31"/>
  <c r="X43" i="11"/>
  <c r="R322" i="31"/>
  <c r="R209" i="31"/>
  <c r="X21" i="11"/>
  <c r="R199" i="31"/>
  <c r="Z40" i="11"/>
  <c r="Z46" i="11" s="1"/>
  <c r="E358" i="31"/>
  <c r="AA40" i="11"/>
  <c r="AA46" i="11" s="1"/>
  <c r="G358" i="31"/>
  <c r="AC40" i="11"/>
  <c r="AC46" i="11" s="1"/>
  <c r="K358" i="31"/>
  <c r="AB40" i="11"/>
  <c r="AB46" i="11" s="1"/>
  <c r="I358" i="31"/>
  <c r="J288" i="31"/>
  <c r="J289" i="31" s="1"/>
  <c r="H40" i="11"/>
  <c r="H262" i="32" s="1"/>
  <c r="Y5" i="11"/>
  <c r="Q14" i="31"/>
  <c r="X5" i="11"/>
  <c r="R14" i="31"/>
  <c r="Y6" i="11"/>
  <c r="Q25" i="31"/>
  <c r="Y14" i="11"/>
  <c r="Q116" i="31"/>
  <c r="Y8" i="11"/>
  <c r="Y12" i="11"/>
  <c r="Q94" i="31"/>
  <c r="R35" i="31"/>
  <c r="H258" i="31"/>
  <c r="AC5" i="11"/>
  <c r="AD40" i="11"/>
  <c r="AD46" i="11" s="1"/>
  <c r="R25" i="31"/>
  <c r="AB15" i="11"/>
  <c r="Z8" i="11"/>
  <c r="Z6" i="11"/>
  <c r="AC6" i="11"/>
  <c r="AA6" i="11"/>
  <c r="AC8" i="11"/>
  <c r="AA8" i="11"/>
  <c r="AA25" i="11" s="1"/>
  <c r="Z5" i="11"/>
  <c r="AD8" i="11"/>
  <c r="AD15" i="11"/>
  <c r="Z15" i="11"/>
  <c r="AD12" i="11"/>
  <c r="AD5" i="11"/>
  <c r="AD6" i="11"/>
  <c r="AB6" i="11"/>
  <c r="H289" i="31"/>
  <c r="Y15" i="11"/>
  <c r="AB5" i="11"/>
  <c r="AB8" i="11"/>
  <c r="AD16" i="11"/>
  <c r="AC15" i="11"/>
  <c r="AA15" i="11"/>
  <c r="X24" i="11"/>
  <c r="X23" i="11"/>
  <c r="X19" i="11"/>
  <c r="X18" i="11"/>
  <c r="X15" i="11"/>
  <c r="M265" i="31"/>
  <c r="H198" i="31"/>
  <c r="F199" i="31"/>
  <c r="H21" i="11" s="1"/>
  <c r="H335" i="31"/>
  <c r="F336" i="31"/>
  <c r="H44" i="11" s="1"/>
  <c r="F232" i="31"/>
  <c r="H24" i="11" s="1"/>
  <c r="H231" i="31"/>
  <c r="H184" i="31"/>
  <c r="H20" i="11"/>
  <c r="F311" i="31"/>
  <c r="H310" i="31"/>
  <c r="F221" i="31"/>
  <c r="H23" i="11" s="1"/>
  <c r="H220" i="31"/>
  <c r="S163" i="31"/>
  <c r="F322" i="31"/>
  <c r="H43" i="11" s="1"/>
  <c r="H307" i="32" s="1"/>
  <c r="F300" i="31"/>
  <c r="H299" i="31"/>
  <c r="H126" i="31"/>
  <c r="F127" i="31"/>
  <c r="F174" i="31"/>
  <c r="H19" i="11" s="1"/>
  <c r="H173" i="31"/>
  <c r="F347" i="31"/>
  <c r="H45" i="11" s="1"/>
  <c r="H346" i="31"/>
  <c r="F163" i="31"/>
  <c r="F210" i="31"/>
  <c r="H22" i="11" s="1"/>
  <c r="H209" i="31"/>
  <c r="F258" i="31"/>
  <c r="S261" i="31"/>
  <c r="S258" i="31"/>
  <c r="M259" i="31"/>
  <c r="S263" i="31"/>
  <c r="H24" i="31"/>
  <c r="J262" i="31"/>
  <c r="F262" i="31"/>
  <c r="M261" i="31"/>
  <c r="I261" i="31"/>
  <c r="E261" i="31"/>
  <c r="L259" i="31"/>
  <c r="H259" i="31"/>
  <c r="C259" i="31"/>
  <c r="F152" i="31"/>
  <c r="H17" i="11" s="1"/>
  <c r="H115" i="31"/>
  <c r="F25" i="31"/>
  <c r="H6" i="11" s="1"/>
  <c r="H12" i="32" s="1"/>
  <c r="L262" i="31"/>
  <c r="H262" i="31"/>
  <c r="K261" i="31"/>
  <c r="G261" i="31"/>
  <c r="N259" i="31"/>
  <c r="J259" i="31"/>
  <c r="F259" i="31"/>
  <c r="F141" i="31"/>
  <c r="H16" i="11" s="1"/>
  <c r="G69" i="31"/>
  <c r="J140" i="31"/>
  <c r="M266" i="31"/>
  <c r="K266" i="31"/>
  <c r="I266" i="31"/>
  <c r="G266" i="31"/>
  <c r="E266" i="31"/>
  <c r="G36" i="31"/>
  <c r="M263" i="31"/>
  <c r="K263" i="31"/>
  <c r="I263" i="31"/>
  <c r="G263" i="31"/>
  <c r="E263" i="31"/>
  <c r="H261" i="31"/>
  <c r="S266" i="31"/>
  <c r="N261" i="31"/>
  <c r="J261" i="31"/>
  <c r="N262" i="31"/>
  <c r="L261" i="31"/>
  <c r="F261" i="31"/>
  <c r="N266" i="31"/>
  <c r="N263" i="31"/>
  <c r="N258" i="31"/>
  <c r="L258" i="31"/>
  <c r="J258" i="31"/>
  <c r="K257" i="31"/>
  <c r="I257" i="31"/>
  <c r="G257" i="31"/>
  <c r="E257" i="31"/>
  <c r="S262" i="31"/>
  <c r="S259" i="31"/>
  <c r="L266" i="31"/>
  <c r="J266" i="31"/>
  <c r="H266" i="31"/>
  <c r="F266" i="31"/>
  <c r="L263" i="31"/>
  <c r="J263" i="31"/>
  <c r="H263" i="31"/>
  <c r="F263" i="31"/>
  <c r="M262" i="31"/>
  <c r="K262" i="31"/>
  <c r="I262" i="31"/>
  <c r="G262" i="31"/>
  <c r="E262" i="31"/>
  <c r="K259" i="31"/>
  <c r="I259" i="31"/>
  <c r="G259" i="31"/>
  <c r="E259" i="31"/>
  <c r="C105" i="31"/>
  <c r="Q105" i="31" s="1"/>
  <c r="K105" i="31"/>
  <c r="G105" i="31"/>
  <c r="M105" i="31"/>
  <c r="I105" i="31"/>
  <c r="E105" i="31"/>
  <c r="K36" i="31"/>
  <c r="I36" i="31"/>
  <c r="E36" i="31"/>
  <c r="I69" i="31"/>
  <c r="K69" i="31"/>
  <c r="H141" i="31"/>
  <c r="K16" i="11" s="1"/>
  <c r="M36" i="31"/>
  <c r="E69" i="31"/>
  <c r="M69" i="31"/>
  <c r="H151" i="31"/>
  <c r="H13" i="31"/>
  <c r="M257" i="31"/>
  <c r="N265" i="31"/>
  <c r="C263" i="31"/>
  <c r="C265" i="31"/>
  <c r="C246" i="31"/>
  <c r="Q246" i="31" s="1"/>
  <c r="C258" i="31"/>
  <c r="C257" i="31"/>
  <c r="Q257" i="31" s="1"/>
  <c r="C261" i="31"/>
  <c r="C266" i="31"/>
  <c r="U266" i="31" s="1"/>
  <c r="C262" i="31"/>
  <c r="M258" i="31"/>
  <c r="K258" i="31"/>
  <c r="I258" i="31"/>
  <c r="G258" i="31"/>
  <c r="E258" i="31"/>
  <c r="F14" i="31"/>
  <c r="H5" i="11" s="1"/>
  <c r="H11" i="32" s="1"/>
  <c r="H13" i="32" s="1"/>
  <c r="F35" i="31"/>
  <c r="C36" i="31"/>
  <c r="C69" i="31"/>
  <c r="Q69" i="31" s="1"/>
  <c r="H42" i="11" l="1"/>
  <c r="D308" i="31"/>
  <c r="V308" i="31" s="1"/>
  <c r="D301" i="31"/>
  <c r="V301" i="31" s="1"/>
  <c r="D302" i="31"/>
  <c r="D304" i="31"/>
  <c r="D305" i="31"/>
  <c r="D303" i="31"/>
  <c r="V303" i="31" s="1"/>
  <c r="D309" i="31"/>
  <c r="V309" i="31" s="1"/>
  <c r="D310" i="31"/>
  <c r="D306" i="31"/>
  <c r="D307" i="31"/>
  <c r="H41" i="11"/>
  <c r="H277" i="32" s="1"/>
  <c r="D299" i="31"/>
  <c r="D295" i="31"/>
  <c r="D292" i="31"/>
  <c r="V292" i="31" s="1"/>
  <c r="D293" i="31"/>
  <c r="D294" i="31"/>
  <c r="D296" i="31"/>
  <c r="D297" i="31"/>
  <c r="V297" i="31" s="1"/>
  <c r="D290" i="31"/>
  <c r="V290" i="31" s="1"/>
  <c r="D298" i="31"/>
  <c r="V298" i="31" s="1"/>
  <c r="D291" i="31"/>
  <c r="V281" i="31"/>
  <c r="D350" i="31"/>
  <c r="V350" i="31" s="1"/>
  <c r="V287" i="31"/>
  <c r="D356" i="31"/>
  <c r="V356" i="31" s="1"/>
  <c r="V279" i="31"/>
  <c r="D348" i="31"/>
  <c r="F39" i="30"/>
  <c r="V288" i="31"/>
  <c r="V280" i="31"/>
  <c r="D349" i="31"/>
  <c r="V283" i="31"/>
  <c r="D352" i="31"/>
  <c r="R283" i="31"/>
  <c r="V286" i="31"/>
  <c r="D355" i="31"/>
  <c r="R286" i="31"/>
  <c r="V285" i="31"/>
  <c r="D354" i="31"/>
  <c r="R285" i="31"/>
  <c r="V284" i="31"/>
  <c r="D353" i="31"/>
  <c r="R284" i="31"/>
  <c r="V282" i="31"/>
  <c r="D351" i="31"/>
  <c r="R282" i="31"/>
  <c r="H15" i="11"/>
  <c r="F15" i="11" s="1"/>
  <c r="D124" i="31"/>
  <c r="V124" i="31" s="1"/>
  <c r="D126" i="31"/>
  <c r="D118" i="31"/>
  <c r="D125" i="31"/>
  <c r="V125" i="31" s="1"/>
  <c r="D117" i="31"/>
  <c r="V117" i="31" s="1"/>
  <c r="D121" i="31"/>
  <c r="D122" i="31"/>
  <c r="D119" i="31"/>
  <c r="D120" i="31"/>
  <c r="D123" i="31"/>
  <c r="AF14" i="11"/>
  <c r="AL14" i="11"/>
  <c r="F125" i="32"/>
  <c r="H125" i="32"/>
  <c r="F110" i="32"/>
  <c r="H110" i="32"/>
  <c r="F201" i="32"/>
  <c r="H201" i="32"/>
  <c r="Q258" i="31"/>
  <c r="U258" i="31"/>
  <c r="F42" i="11"/>
  <c r="F292" i="32" s="1"/>
  <c r="H292" i="32"/>
  <c r="AF6" i="11"/>
  <c r="AL6" i="11"/>
  <c r="F140" i="32"/>
  <c r="H140" i="32"/>
  <c r="F216" i="32"/>
  <c r="H216" i="32"/>
  <c r="F185" i="32"/>
  <c r="H185" i="32"/>
  <c r="F170" i="32"/>
  <c r="H170" i="32"/>
  <c r="Q265" i="31"/>
  <c r="U265" i="31"/>
  <c r="Q259" i="31"/>
  <c r="U259" i="31"/>
  <c r="AF16" i="11"/>
  <c r="AL16" i="11"/>
  <c r="Q261" i="31"/>
  <c r="U261" i="31"/>
  <c r="F232" i="32"/>
  <c r="H232" i="32"/>
  <c r="I125" i="32"/>
  <c r="K125" i="32"/>
  <c r="AF12" i="11"/>
  <c r="AL12" i="11"/>
  <c r="Q358" i="31"/>
  <c r="U358" i="31"/>
  <c r="Q263" i="31"/>
  <c r="U263" i="31"/>
  <c r="Q36" i="31"/>
  <c r="U36" i="31"/>
  <c r="Q262" i="31"/>
  <c r="U262" i="31"/>
  <c r="F45" i="11"/>
  <c r="F337" i="32" s="1"/>
  <c r="H337" i="32"/>
  <c r="F247" i="32"/>
  <c r="H247" i="32"/>
  <c r="AF15" i="11"/>
  <c r="AL15" i="11"/>
  <c r="AF8" i="11"/>
  <c r="AL8" i="11"/>
  <c r="AF5" i="11"/>
  <c r="AL5" i="11"/>
  <c r="F44" i="11"/>
  <c r="F322" i="32" s="1"/>
  <c r="H322" i="32"/>
  <c r="Y46" i="11"/>
  <c r="AL40" i="11"/>
  <c r="H18" i="11"/>
  <c r="F18" i="11" s="1"/>
  <c r="D158" i="31"/>
  <c r="V158" i="31" s="1"/>
  <c r="D162" i="31"/>
  <c r="V162" i="31" s="1"/>
  <c r="D159" i="31"/>
  <c r="V159" i="31" s="1"/>
  <c r="D154" i="31"/>
  <c r="V154" i="31" s="1"/>
  <c r="D153" i="31"/>
  <c r="D155" i="31"/>
  <c r="D161" i="31"/>
  <c r="D157" i="31"/>
  <c r="V157" i="31" s="1"/>
  <c r="D156" i="31"/>
  <c r="V156" i="31" s="1"/>
  <c r="D160" i="31"/>
  <c r="AF40" i="11"/>
  <c r="F43" i="11"/>
  <c r="F40" i="11"/>
  <c r="F262" i="32" s="1"/>
  <c r="D358" i="31"/>
  <c r="R289" i="31"/>
  <c r="X16" i="11"/>
  <c r="R141" i="31"/>
  <c r="X22" i="11"/>
  <c r="R210" i="31"/>
  <c r="F41" i="11"/>
  <c r="X17" i="11"/>
  <c r="R152" i="31"/>
  <c r="H357" i="31"/>
  <c r="F358" i="31"/>
  <c r="N40" i="11"/>
  <c r="L288" i="31"/>
  <c r="K40" i="11"/>
  <c r="Y25" i="11"/>
  <c r="AL25" i="11" s="1"/>
  <c r="X14" i="11"/>
  <c r="R116" i="31"/>
  <c r="H14" i="31"/>
  <c r="K5" i="11" s="1"/>
  <c r="H245" i="31"/>
  <c r="H246" i="31" s="1"/>
  <c r="AB26" i="11"/>
  <c r="Z25" i="11"/>
  <c r="AB25" i="11"/>
  <c r="X6" i="11"/>
  <c r="AC25" i="11"/>
  <c r="AD26" i="11"/>
  <c r="AC26" i="11"/>
  <c r="AA7" i="11"/>
  <c r="AA26" i="11"/>
  <c r="AA27" i="11" s="1"/>
  <c r="AD25" i="11"/>
  <c r="Y26" i="11"/>
  <c r="AL26" i="11" s="1"/>
  <c r="Z26" i="11"/>
  <c r="H46" i="11"/>
  <c r="H37" i="4" s="1"/>
  <c r="AD7" i="11"/>
  <c r="G24" i="11"/>
  <c r="G247" i="32" s="1"/>
  <c r="Z7" i="11"/>
  <c r="AC7" i="11"/>
  <c r="G23" i="11"/>
  <c r="G232" i="32" s="1"/>
  <c r="D36" i="31"/>
  <c r="AB7" i="11"/>
  <c r="G15" i="11"/>
  <c r="G110" i="32" s="1"/>
  <c r="G19" i="11"/>
  <c r="G170" i="32" s="1"/>
  <c r="F5" i="11"/>
  <c r="F11" i="32" s="1"/>
  <c r="AI18" i="11"/>
  <c r="AA155" i="32" s="1"/>
  <c r="H127" i="31"/>
  <c r="K15" i="11" s="1"/>
  <c r="I15" i="11" s="1"/>
  <c r="J126" i="31"/>
  <c r="J209" i="31"/>
  <c r="H210" i="31"/>
  <c r="K22" i="11" s="1"/>
  <c r="H311" i="31"/>
  <c r="K42" i="11" s="1"/>
  <c r="K292" i="32" s="1"/>
  <c r="J310" i="31"/>
  <c r="J173" i="31"/>
  <c r="H174" i="31"/>
  <c r="K19" i="11" s="1"/>
  <c r="J299" i="31"/>
  <c r="H300" i="31"/>
  <c r="K41" i="11" s="1"/>
  <c r="K277" i="32" s="1"/>
  <c r="H185" i="31"/>
  <c r="K20" i="11" s="1"/>
  <c r="J184" i="31"/>
  <c r="J198" i="31"/>
  <c r="H199" i="31"/>
  <c r="K21" i="11" s="1"/>
  <c r="J346" i="31"/>
  <c r="H347" i="31"/>
  <c r="K45" i="11" s="1"/>
  <c r="K337" i="32" s="1"/>
  <c r="R94" i="31"/>
  <c r="H232" i="31"/>
  <c r="K24" i="11" s="1"/>
  <c r="J231" i="31"/>
  <c r="H322" i="31"/>
  <c r="K43" i="11" s="1"/>
  <c r="J321" i="31"/>
  <c r="J220" i="31"/>
  <c r="H221" i="31"/>
  <c r="K23" i="11" s="1"/>
  <c r="J335" i="31"/>
  <c r="H336" i="31"/>
  <c r="K44" i="11" s="1"/>
  <c r="K322" i="32" s="1"/>
  <c r="H25" i="31"/>
  <c r="K6" i="11" s="1"/>
  <c r="J24" i="31"/>
  <c r="H116" i="31"/>
  <c r="K14" i="11" s="1"/>
  <c r="J115" i="31"/>
  <c r="H35" i="31"/>
  <c r="J141" i="31"/>
  <c r="N16" i="11" s="1"/>
  <c r="L140" i="31"/>
  <c r="I268" i="31"/>
  <c r="G268" i="31"/>
  <c r="K268" i="31"/>
  <c r="J151" i="31"/>
  <c r="H152" i="31"/>
  <c r="K17" i="11" s="1"/>
  <c r="F36" i="31"/>
  <c r="M268" i="31"/>
  <c r="J13" i="31"/>
  <c r="C268" i="31"/>
  <c r="G45" i="11"/>
  <c r="G337" i="32" s="1"/>
  <c r="G21" i="11"/>
  <c r="G201" i="32" s="1"/>
  <c r="G20" i="11"/>
  <c r="G185" i="32" s="1"/>
  <c r="G44" i="11"/>
  <c r="G322" i="32" s="1"/>
  <c r="G42" i="11"/>
  <c r="G292" i="32" s="1"/>
  <c r="AD13" i="11"/>
  <c r="AC13" i="11"/>
  <c r="AB13" i="11"/>
  <c r="AA13" i="11"/>
  <c r="Z13" i="11"/>
  <c r="AD10" i="11"/>
  <c r="AC10" i="11"/>
  <c r="AB10" i="11"/>
  <c r="AA10" i="11"/>
  <c r="Z10" i="11"/>
  <c r="Y13" i="11"/>
  <c r="Y10" i="11"/>
  <c r="H7" i="11"/>
  <c r="Y7" i="11"/>
  <c r="V307" i="31" l="1"/>
  <c r="R307" i="31"/>
  <c r="V306" i="31"/>
  <c r="R306" i="31"/>
  <c r="F41" i="30"/>
  <c r="V310" i="31"/>
  <c r="R310" i="31"/>
  <c r="V305" i="31"/>
  <c r="R305" i="31"/>
  <c r="V304" i="31"/>
  <c r="R304" i="31"/>
  <c r="V302" i="31"/>
  <c r="R302" i="31"/>
  <c r="V291" i="31"/>
  <c r="R291" i="31"/>
  <c r="V296" i="31"/>
  <c r="R296" i="31"/>
  <c r="V294" i="31"/>
  <c r="R294" i="31"/>
  <c r="V293" i="31"/>
  <c r="R293" i="31"/>
  <c r="V295" i="31"/>
  <c r="R295" i="31"/>
  <c r="F40" i="30"/>
  <c r="V299" i="31"/>
  <c r="R299" i="31"/>
  <c r="D357" i="31"/>
  <c r="V351" i="31"/>
  <c r="R351" i="31"/>
  <c r="V353" i="31"/>
  <c r="R353" i="31"/>
  <c r="V354" i="31"/>
  <c r="R354" i="31"/>
  <c r="V355" i="31"/>
  <c r="R355" i="31"/>
  <c r="R352" i="31"/>
  <c r="V352" i="31"/>
  <c r="V349" i="31"/>
  <c r="R349" i="31"/>
  <c r="P39" i="30"/>
  <c r="K39" i="30"/>
  <c r="E39" i="30"/>
  <c r="D39" i="30"/>
  <c r="F45" i="30"/>
  <c r="V348" i="31"/>
  <c r="R348" i="31"/>
  <c r="V123" i="31"/>
  <c r="R123" i="31"/>
  <c r="V120" i="31"/>
  <c r="R120" i="31"/>
  <c r="V119" i="31"/>
  <c r="R119" i="31"/>
  <c r="V122" i="31"/>
  <c r="R122" i="31"/>
  <c r="V121" i="31"/>
  <c r="R121" i="31"/>
  <c r="V118" i="31"/>
  <c r="R118" i="31"/>
  <c r="F15" i="30"/>
  <c r="V126" i="31"/>
  <c r="R126" i="31"/>
  <c r="I247" i="32"/>
  <c r="K247" i="32"/>
  <c r="D254" i="31"/>
  <c r="V254" i="31" s="1"/>
  <c r="V160" i="31"/>
  <c r="I185" i="32"/>
  <c r="K185" i="32"/>
  <c r="I110" i="32"/>
  <c r="K110" i="32"/>
  <c r="L40" i="11"/>
  <c r="N262" i="32"/>
  <c r="AF13" i="11"/>
  <c r="AL13" i="11"/>
  <c r="I170" i="32"/>
  <c r="K170" i="32"/>
  <c r="Q268" i="31"/>
  <c r="U268" i="31"/>
  <c r="L125" i="32"/>
  <c r="N125" i="32"/>
  <c r="I232" i="32"/>
  <c r="K232" i="32"/>
  <c r="I11" i="32"/>
  <c r="K11" i="32"/>
  <c r="D255" i="31"/>
  <c r="V161" i="31"/>
  <c r="I12" i="32"/>
  <c r="K12" i="32"/>
  <c r="I201" i="32"/>
  <c r="K201" i="32"/>
  <c r="R358" i="31"/>
  <c r="V358" i="31"/>
  <c r="D249" i="31"/>
  <c r="V249" i="31" s="1"/>
  <c r="V155" i="31"/>
  <c r="AF46" i="11"/>
  <c r="AL46" i="11"/>
  <c r="AF10" i="11"/>
  <c r="AL10" i="11"/>
  <c r="I140" i="32"/>
  <c r="K140" i="32"/>
  <c r="D247" i="31"/>
  <c r="V153" i="31"/>
  <c r="R36" i="31"/>
  <c r="V36" i="31"/>
  <c r="I40" i="11"/>
  <c r="K262" i="32"/>
  <c r="AF7" i="11"/>
  <c r="AL7" i="11"/>
  <c r="I94" i="32"/>
  <c r="K94" i="32"/>
  <c r="I43" i="11"/>
  <c r="I307" i="32" s="1"/>
  <c r="K307" i="32"/>
  <c r="I216" i="32"/>
  <c r="K216" i="32"/>
  <c r="G41" i="11"/>
  <c r="G277" i="32" s="1"/>
  <c r="F277" i="32"/>
  <c r="G43" i="11"/>
  <c r="G307" i="32" s="1"/>
  <c r="F307" i="32"/>
  <c r="D248" i="31"/>
  <c r="V248" i="31" s="1"/>
  <c r="R154" i="31"/>
  <c r="D253" i="31"/>
  <c r="V253" i="31" s="1"/>
  <c r="R159" i="31"/>
  <c r="R254" i="31"/>
  <c r="F18" i="30"/>
  <c r="R162" i="31"/>
  <c r="D250" i="31"/>
  <c r="V250" i="31" s="1"/>
  <c r="R156" i="31"/>
  <c r="D252" i="31"/>
  <c r="V252" i="31" s="1"/>
  <c r="R158" i="31"/>
  <c r="D251" i="31"/>
  <c r="V251" i="31" s="1"/>
  <c r="R157" i="31"/>
  <c r="H155" i="32"/>
  <c r="G14" i="11"/>
  <c r="G94" i="32" s="1"/>
  <c r="F6" i="11"/>
  <c r="F46" i="11"/>
  <c r="F37" i="4" s="1"/>
  <c r="G40" i="11"/>
  <c r="J16" i="11"/>
  <c r="J125" i="32" s="1"/>
  <c r="G22" i="11"/>
  <c r="G216" i="32" s="1"/>
  <c r="M16" i="11"/>
  <c r="M125" i="32" s="1"/>
  <c r="G17" i="11"/>
  <c r="G140" i="32" s="1"/>
  <c r="X40" i="11"/>
  <c r="E46" i="11"/>
  <c r="G16" i="11"/>
  <c r="G125" i="32" s="1"/>
  <c r="J357" i="31"/>
  <c r="H358" i="31"/>
  <c r="N288" i="31"/>
  <c r="L289" i="31"/>
  <c r="Y27" i="11"/>
  <c r="AL27" i="11" s="1"/>
  <c r="Z27" i="11"/>
  <c r="J245" i="31"/>
  <c r="J246" i="31" s="1"/>
  <c r="AB27" i="11"/>
  <c r="AC27" i="11"/>
  <c r="AD27" i="11"/>
  <c r="K46" i="11"/>
  <c r="K37" i="4" s="1"/>
  <c r="D46" i="11"/>
  <c r="J43" i="11"/>
  <c r="J307" i="32" s="1"/>
  <c r="I45" i="11"/>
  <c r="I44" i="11"/>
  <c r="J21" i="11"/>
  <c r="J201" i="32" s="1"/>
  <c r="J22" i="11"/>
  <c r="J216" i="32" s="1"/>
  <c r="AG18" i="11"/>
  <c r="I41" i="11"/>
  <c r="I42" i="11"/>
  <c r="J15" i="11"/>
  <c r="J110" i="32" s="1"/>
  <c r="J23" i="11"/>
  <c r="J232" i="32" s="1"/>
  <c r="J24" i="11"/>
  <c r="J247" i="32" s="1"/>
  <c r="J116" i="31"/>
  <c r="N14" i="11" s="1"/>
  <c r="L115" i="31"/>
  <c r="N115" i="31" s="1"/>
  <c r="J127" i="31"/>
  <c r="N15" i="11" s="1"/>
  <c r="L15" i="11" s="1"/>
  <c r="L126" i="31"/>
  <c r="J35" i="31"/>
  <c r="L335" i="31"/>
  <c r="J336" i="31"/>
  <c r="L220" i="31"/>
  <c r="J221" i="31"/>
  <c r="N23" i="11" s="1"/>
  <c r="D105" i="31"/>
  <c r="N68" i="31"/>
  <c r="N47" i="31"/>
  <c r="T8" i="11" s="1"/>
  <c r="T40" i="32" s="1"/>
  <c r="T42" i="32" s="1"/>
  <c r="L184" i="31"/>
  <c r="J185" i="31"/>
  <c r="L173" i="31"/>
  <c r="J174" i="31"/>
  <c r="N19" i="11" s="1"/>
  <c r="H94" i="31"/>
  <c r="K12" i="11" s="1"/>
  <c r="K70" i="32" s="1"/>
  <c r="K71" i="32" s="1"/>
  <c r="H104" i="31"/>
  <c r="S104" i="31"/>
  <c r="S94" i="31"/>
  <c r="AI12" i="11" s="1"/>
  <c r="AA70" i="32" s="1"/>
  <c r="AA71" i="32" s="1"/>
  <c r="L47" i="31"/>
  <c r="Q8" i="11" s="1"/>
  <c r="L68" i="31"/>
  <c r="J47" i="31"/>
  <c r="N8" i="11" s="1"/>
  <c r="J68" i="31"/>
  <c r="J347" i="31"/>
  <c r="L346" i="31"/>
  <c r="J210" i="31"/>
  <c r="L209" i="31"/>
  <c r="L321" i="31"/>
  <c r="J322" i="31"/>
  <c r="J232" i="31"/>
  <c r="N24" i="11" s="1"/>
  <c r="L231" i="31"/>
  <c r="L104" i="31"/>
  <c r="L94" i="31"/>
  <c r="Q12" i="11" s="1"/>
  <c r="Q70" i="32" s="1"/>
  <c r="Q71" i="32" s="1"/>
  <c r="F68" i="31"/>
  <c r="F47" i="31"/>
  <c r="H47" i="31"/>
  <c r="K8" i="11" s="1"/>
  <c r="H68" i="31"/>
  <c r="J199" i="31"/>
  <c r="L198" i="31"/>
  <c r="J94" i="31"/>
  <c r="N12" i="11" s="1"/>
  <c r="N70" i="32" s="1"/>
  <c r="N71" i="32" s="1"/>
  <c r="J104" i="31"/>
  <c r="F94" i="31"/>
  <c r="F104" i="31"/>
  <c r="F257" i="31"/>
  <c r="N94" i="31"/>
  <c r="T12" i="11" s="1"/>
  <c r="T70" i="32" s="1"/>
  <c r="T71" i="32" s="1"/>
  <c r="N104" i="31"/>
  <c r="J300" i="31"/>
  <c r="L299" i="31"/>
  <c r="L310" i="31"/>
  <c r="J311" i="31"/>
  <c r="J25" i="31"/>
  <c r="N6" i="11" s="1"/>
  <c r="L24" i="31"/>
  <c r="H36" i="31"/>
  <c r="N140" i="31"/>
  <c r="L141" i="31"/>
  <c r="L151" i="31"/>
  <c r="J152" i="31"/>
  <c r="L13" i="31"/>
  <c r="J14" i="31"/>
  <c r="N5" i="11" s="1"/>
  <c r="AF26" i="11"/>
  <c r="P41" i="30" l="1"/>
  <c r="K41" i="30"/>
  <c r="C41" i="30"/>
  <c r="E41" i="30"/>
  <c r="O41" i="30" s="1"/>
  <c r="S41" i="30" s="1"/>
  <c r="D41" i="30"/>
  <c r="N41" i="30" s="1"/>
  <c r="R41" i="30" s="1"/>
  <c r="R357" i="31"/>
  <c r="V357" i="31"/>
  <c r="P40" i="30"/>
  <c r="K40" i="30"/>
  <c r="D40" i="30"/>
  <c r="N40" i="30" s="1"/>
  <c r="R40" i="30" s="1"/>
  <c r="E40" i="30"/>
  <c r="O40" i="30" s="1"/>
  <c r="S40" i="30" s="1"/>
  <c r="P45" i="30"/>
  <c r="K45" i="30"/>
  <c r="N39" i="30"/>
  <c r="R39" i="30" s="1"/>
  <c r="D45" i="30"/>
  <c r="N45" i="30" s="1"/>
  <c r="R45" i="30" s="1"/>
  <c r="O39" i="30"/>
  <c r="S39" i="30" s="1"/>
  <c r="E45" i="30"/>
  <c r="O45" i="30" s="1"/>
  <c r="S45" i="30" s="1"/>
  <c r="K18" i="30"/>
  <c r="P18" i="30"/>
  <c r="P15" i="30"/>
  <c r="K15" i="30"/>
  <c r="E15" i="30"/>
  <c r="D15" i="30"/>
  <c r="N15" i="30" s="1"/>
  <c r="R15" i="30" s="1"/>
  <c r="X46" i="11"/>
  <c r="E37" i="4"/>
  <c r="AK46" i="11"/>
  <c r="J20" i="11"/>
  <c r="J185" i="32" s="1"/>
  <c r="J19" i="11"/>
  <c r="J170" i="32" s="1"/>
  <c r="D260" i="31"/>
  <c r="I13" i="32"/>
  <c r="G46" i="11"/>
  <c r="G37" i="4" s="1"/>
  <c r="G262" i="32"/>
  <c r="G266" i="32" s="1"/>
  <c r="D266" i="31"/>
  <c r="V266" i="31" s="1"/>
  <c r="V255" i="31"/>
  <c r="L12" i="32"/>
  <c r="N12" i="32"/>
  <c r="J44" i="11"/>
  <c r="J322" i="32" s="1"/>
  <c r="I322" i="32"/>
  <c r="D258" i="31"/>
  <c r="V247" i="31"/>
  <c r="K40" i="32"/>
  <c r="K42" i="32" s="1"/>
  <c r="Q40" i="32"/>
  <c r="Q42" i="32" s="1"/>
  <c r="K13" i="32"/>
  <c r="L110" i="32"/>
  <c r="N110" i="32"/>
  <c r="J42" i="11"/>
  <c r="J292" i="32" s="1"/>
  <c r="I292" i="32"/>
  <c r="J17" i="11"/>
  <c r="J140" i="32" s="1"/>
  <c r="J45" i="11"/>
  <c r="J337" i="32" s="1"/>
  <c r="I337" i="32"/>
  <c r="R105" i="31"/>
  <c r="V105" i="31"/>
  <c r="J41" i="11"/>
  <c r="J277" i="32" s="1"/>
  <c r="I277" i="32"/>
  <c r="J40" i="11"/>
  <c r="J262" i="32" s="1"/>
  <c r="J266" i="32" s="1"/>
  <c r="I262" i="32"/>
  <c r="L11" i="32"/>
  <c r="N11" i="32"/>
  <c r="N13" i="32" s="1"/>
  <c r="L94" i="32"/>
  <c r="N94" i="32"/>
  <c r="L232" i="32"/>
  <c r="N232" i="32"/>
  <c r="AH18" i="11"/>
  <c r="Z155" i="32" s="1"/>
  <c r="Y155" i="32"/>
  <c r="R249" i="31"/>
  <c r="G6" i="11"/>
  <c r="G12" i="32" s="1"/>
  <c r="F12" i="32"/>
  <c r="F13" i="32" s="1"/>
  <c r="R260" i="31"/>
  <c r="V260" i="31"/>
  <c r="L170" i="32"/>
  <c r="N170" i="32"/>
  <c r="L247" i="32"/>
  <c r="N247" i="32"/>
  <c r="N40" i="32"/>
  <c r="N42" i="32" s="1"/>
  <c r="J14" i="11"/>
  <c r="J94" i="32" s="1"/>
  <c r="D265" i="31"/>
  <c r="M40" i="11"/>
  <c r="M262" i="32" s="1"/>
  <c r="M266" i="32" s="1"/>
  <c r="L262" i="32"/>
  <c r="L256" i="31"/>
  <c r="L163" i="31"/>
  <c r="Q18" i="11" s="1"/>
  <c r="O18" i="11" s="1"/>
  <c r="F155" i="32"/>
  <c r="G18" i="11"/>
  <c r="G155" i="32" s="1"/>
  <c r="N163" i="31"/>
  <c r="T18" i="11" s="1"/>
  <c r="R18" i="11" s="1"/>
  <c r="R253" i="31"/>
  <c r="D264" i="31"/>
  <c r="H256" i="31"/>
  <c r="H257" i="31" s="1"/>
  <c r="H163" i="31"/>
  <c r="K18" i="11" s="1"/>
  <c r="R251" i="31"/>
  <c r="D262" i="31"/>
  <c r="J256" i="31"/>
  <c r="J257" i="31" s="1"/>
  <c r="J163" i="31"/>
  <c r="N18" i="11" s="1"/>
  <c r="L18" i="11" s="1"/>
  <c r="L26" i="11" s="1"/>
  <c r="L27" i="11" s="1"/>
  <c r="R248" i="31"/>
  <c r="D259" i="31"/>
  <c r="R250" i="31"/>
  <c r="D261" i="31"/>
  <c r="R252" i="31"/>
  <c r="D263" i="31"/>
  <c r="C18" i="30"/>
  <c r="D18" i="30"/>
  <c r="T10" i="11"/>
  <c r="Q13" i="11"/>
  <c r="N13" i="11"/>
  <c r="T13" i="11"/>
  <c r="J358" i="31"/>
  <c r="L357" i="31"/>
  <c r="Q40" i="11"/>
  <c r="Q262" i="32" s="1"/>
  <c r="S288" i="31"/>
  <c r="N289" i="31"/>
  <c r="L245" i="31"/>
  <c r="L246" i="31" s="1"/>
  <c r="K10" i="11"/>
  <c r="K25" i="11"/>
  <c r="K11" i="4" s="1"/>
  <c r="X12" i="11"/>
  <c r="E26" i="11"/>
  <c r="I46" i="11"/>
  <c r="I37" i="4" s="1"/>
  <c r="L127" i="31"/>
  <c r="Q15" i="11" s="1"/>
  <c r="O15" i="11" s="1"/>
  <c r="O26" i="11" s="1"/>
  <c r="O27" i="11" s="1"/>
  <c r="AG12" i="11"/>
  <c r="D26" i="11"/>
  <c r="D12" i="4" s="1"/>
  <c r="Q10" i="11"/>
  <c r="N10" i="11"/>
  <c r="K13" i="11"/>
  <c r="AI13" i="11"/>
  <c r="G5" i="11"/>
  <c r="G11" i="32" s="1"/>
  <c r="G13" i="32" s="1"/>
  <c r="J5" i="11"/>
  <c r="J11" i="32" s="1"/>
  <c r="N20" i="11"/>
  <c r="N41" i="11"/>
  <c r="N277" i="32" s="1"/>
  <c r="H12" i="11"/>
  <c r="N21" i="11"/>
  <c r="N43" i="11"/>
  <c r="N307" i="32" s="1"/>
  <c r="N45" i="11"/>
  <c r="N337" i="32" s="1"/>
  <c r="N44" i="11"/>
  <c r="N322" i="32" s="1"/>
  <c r="L116" i="31"/>
  <c r="Q16" i="11"/>
  <c r="H8" i="11"/>
  <c r="H40" i="32" s="1"/>
  <c r="H42" i="32" s="1"/>
  <c r="N22" i="11"/>
  <c r="N17" i="11"/>
  <c r="N42" i="11"/>
  <c r="N292" i="32" s="1"/>
  <c r="M15" i="11"/>
  <c r="M110" i="32" s="1"/>
  <c r="J6" i="11"/>
  <c r="J12" i="32" s="1"/>
  <c r="K7" i="11"/>
  <c r="N126" i="31"/>
  <c r="J105" i="31"/>
  <c r="L210" i="31"/>
  <c r="N209" i="31"/>
  <c r="S105" i="31"/>
  <c r="L336" i="31"/>
  <c r="N335" i="31"/>
  <c r="H69" i="31"/>
  <c r="L105" i="31"/>
  <c r="N346" i="31"/>
  <c r="L347" i="31"/>
  <c r="J69" i="31"/>
  <c r="L174" i="31"/>
  <c r="Q19" i="11" s="1"/>
  <c r="N173" i="31"/>
  <c r="L300" i="31"/>
  <c r="N299" i="31"/>
  <c r="N198" i="31"/>
  <c r="L199" i="31"/>
  <c r="F69" i="31"/>
  <c r="L69" i="31"/>
  <c r="N69" i="31"/>
  <c r="N220" i="31"/>
  <c r="L221" i="31"/>
  <c r="Q23" i="11" s="1"/>
  <c r="F105" i="31"/>
  <c r="N310" i="31"/>
  <c r="L311" i="31"/>
  <c r="N105" i="31"/>
  <c r="F267" i="31"/>
  <c r="F268" i="31" s="1"/>
  <c r="N231" i="31"/>
  <c r="L232" i="31"/>
  <c r="Q24" i="11" s="1"/>
  <c r="N321" i="31"/>
  <c r="L322" i="31"/>
  <c r="H105" i="31"/>
  <c r="L185" i="31"/>
  <c r="N184" i="31"/>
  <c r="L35" i="31"/>
  <c r="L25" i="31"/>
  <c r="Q6" i="11" s="1"/>
  <c r="N24" i="31"/>
  <c r="L257" i="31"/>
  <c r="S140" i="31"/>
  <c r="N141" i="31"/>
  <c r="T16" i="11" s="1"/>
  <c r="J36" i="31"/>
  <c r="N151" i="31"/>
  <c r="L152" i="31"/>
  <c r="N13" i="31"/>
  <c r="L14" i="31"/>
  <c r="Q5" i="11" s="1"/>
  <c r="F7" i="11"/>
  <c r="S115" i="31"/>
  <c r="N116" i="31"/>
  <c r="T14" i="11" s="1"/>
  <c r="M41" i="30" l="1"/>
  <c r="Q41" i="30" s="1"/>
  <c r="C45" i="30"/>
  <c r="M45" i="30" s="1"/>
  <c r="Q45" i="30" s="1"/>
  <c r="D26" i="30"/>
  <c r="N18" i="30"/>
  <c r="R18" i="30" s="1"/>
  <c r="C26" i="30"/>
  <c r="M18" i="30"/>
  <c r="Q18" i="30" s="1"/>
  <c r="K26" i="11"/>
  <c r="K12" i="4" s="1"/>
  <c r="I18" i="11"/>
  <c r="I26" i="11" s="1"/>
  <c r="I27" i="11" s="1"/>
  <c r="N127" i="31"/>
  <c r="T15" i="11" s="1"/>
  <c r="R15" i="11" s="1"/>
  <c r="R26" i="11" s="1"/>
  <c r="R27" i="11" s="1"/>
  <c r="N256" i="31"/>
  <c r="O15" i="30"/>
  <c r="S15" i="30" s="1"/>
  <c r="E26" i="30"/>
  <c r="AC37" i="4"/>
  <c r="X37" i="4"/>
  <c r="D27" i="30"/>
  <c r="N27" i="30" s="1"/>
  <c r="R27" i="30" s="1"/>
  <c r="N26" i="30"/>
  <c r="R26" i="30" s="1"/>
  <c r="C27" i="30"/>
  <c r="M27" i="30" s="1"/>
  <c r="Q27" i="30" s="1"/>
  <c r="M26" i="30"/>
  <c r="Q26" i="30" s="1"/>
  <c r="M19" i="11"/>
  <c r="M170" i="32" s="1"/>
  <c r="L13" i="32"/>
  <c r="M24" i="11"/>
  <c r="M247" i="32" s="1"/>
  <c r="R262" i="31"/>
  <c r="V262" i="31"/>
  <c r="O70" i="32"/>
  <c r="O71" i="32" s="1"/>
  <c r="R94" i="32"/>
  <c r="T94" i="32"/>
  <c r="M23" i="11"/>
  <c r="M232" i="32" s="1"/>
  <c r="L140" i="32"/>
  <c r="N140" i="32"/>
  <c r="L201" i="32"/>
  <c r="N201" i="32"/>
  <c r="R40" i="32"/>
  <c r="R42" i="32" s="1"/>
  <c r="O40" i="32"/>
  <c r="O42" i="32" s="1"/>
  <c r="R125" i="32"/>
  <c r="T125" i="32"/>
  <c r="R110" i="32"/>
  <c r="T110" i="32"/>
  <c r="R261" i="31"/>
  <c r="V261" i="31"/>
  <c r="O232" i="32"/>
  <c r="Q232" i="32"/>
  <c r="L216" i="32"/>
  <c r="N216" i="32"/>
  <c r="F70" i="32"/>
  <c r="F71" i="32" s="1"/>
  <c r="H70" i="32"/>
  <c r="H71" i="32" s="1"/>
  <c r="R70" i="32"/>
  <c r="R71" i="32" s="1"/>
  <c r="R259" i="31"/>
  <c r="V259" i="31"/>
  <c r="R264" i="31"/>
  <c r="V264" i="31"/>
  <c r="R263" i="31"/>
  <c r="V263" i="31"/>
  <c r="O11" i="32"/>
  <c r="Q11" i="32"/>
  <c r="O247" i="32"/>
  <c r="Q247" i="32"/>
  <c r="M14" i="11"/>
  <c r="M94" i="32" s="1"/>
  <c r="I40" i="32"/>
  <c r="I42" i="32" s="1"/>
  <c r="X26" i="11"/>
  <c r="E12" i="4"/>
  <c r="AK26" i="11"/>
  <c r="L40" i="32"/>
  <c r="L42" i="32" s="1"/>
  <c r="J46" i="11"/>
  <c r="J37" i="4" s="1"/>
  <c r="O12" i="32"/>
  <c r="Q12" i="32"/>
  <c r="O170" i="32"/>
  <c r="Q170" i="32"/>
  <c r="O125" i="32"/>
  <c r="Q125" i="32"/>
  <c r="L185" i="32"/>
  <c r="N185" i="32"/>
  <c r="AG13" i="11"/>
  <c r="Y70" i="32"/>
  <c r="Y71" i="32" s="1"/>
  <c r="I70" i="32"/>
  <c r="I71" i="32" s="1"/>
  <c r="R265" i="31"/>
  <c r="V265" i="31"/>
  <c r="J13" i="32"/>
  <c r="O110" i="32"/>
  <c r="Q110" i="32"/>
  <c r="L70" i="32"/>
  <c r="L71" i="32" s="1"/>
  <c r="R258" i="31"/>
  <c r="V258" i="31"/>
  <c r="N155" i="32"/>
  <c r="L12" i="4"/>
  <c r="T155" i="32"/>
  <c r="N26" i="11"/>
  <c r="N12" i="4" s="1"/>
  <c r="I155" i="32"/>
  <c r="K155" i="32"/>
  <c r="Q155" i="32"/>
  <c r="K27" i="11"/>
  <c r="K13" i="4" s="1"/>
  <c r="L358" i="31"/>
  <c r="N357" i="31"/>
  <c r="S289" i="31"/>
  <c r="O40" i="11"/>
  <c r="T40" i="11"/>
  <c r="T262" i="32" s="1"/>
  <c r="N245" i="31"/>
  <c r="N246" i="31" s="1"/>
  <c r="H13" i="11"/>
  <c r="H26" i="11"/>
  <c r="H12" i="4" s="1"/>
  <c r="N25" i="11"/>
  <c r="N11" i="4" s="1"/>
  <c r="H10" i="11"/>
  <c r="H25" i="11"/>
  <c r="H11" i="4" s="1"/>
  <c r="N46" i="11"/>
  <c r="N37" i="4" s="1"/>
  <c r="Q26" i="11"/>
  <c r="Q12" i="4" s="1"/>
  <c r="AH12" i="11"/>
  <c r="J12" i="11"/>
  <c r="AF27" i="11"/>
  <c r="AF25" i="11"/>
  <c r="P15" i="11"/>
  <c r="P110" i="32" s="1"/>
  <c r="M12" i="11"/>
  <c r="P12" i="11"/>
  <c r="S12" i="11"/>
  <c r="L43" i="11"/>
  <c r="L45" i="11"/>
  <c r="L44" i="11"/>
  <c r="L42" i="11"/>
  <c r="L41" i="11"/>
  <c r="L277" i="32" s="1"/>
  <c r="G7" i="11"/>
  <c r="J7" i="11"/>
  <c r="Q22" i="11"/>
  <c r="Q20" i="11"/>
  <c r="Q41" i="11"/>
  <c r="Q277" i="32" s="1"/>
  <c r="Q17" i="11"/>
  <c r="Q43" i="11"/>
  <c r="Q307" i="32" s="1"/>
  <c r="Q42" i="11"/>
  <c r="Q21" i="11"/>
  <c r="Q45" i="11"/>
  <c r="Q337" i="32" s="1"/>
  <c r="Q44" i="11"/>
  <c r="Q322" i="32" s="1"/>
  <c r="Q14" i="11"/>
  <c r="S15" i="11"/>
  <c r="S110" i="32" s="1"/>
  <c r="N7" i="11"/>
  <c r="S14" i="11"/>
  <c r="S94" i="32" s="1"/>
  <c r="H267" i="31"/>
  <c r="H268" i="31" s="1"/>
  <c r="S126" i="31"/>
  <c r="S256" i="31" s="1"/>
  <c r="S24" i="31"/>
  <c r="S231" i="31"/>
  <c r="N232" i="31"/>
  <c r="T24" i="11" s="1"/>
  <c r="N174" i="31"/>
  <c r="T19" i="11" s="1"/>
  <c r="S173" i="31"/>
  <c r="S310" i="31"/>
  <c r="S311" i="31" s="1"/>
  <c r="N311" i="31"/>
  <c r="T42" i="11" s="1"/>
  <c r="N336" i="31"/>
  <c r="T44" i="11" s="1"/>
  <c r="S335" i="31"/>
  <c r="S336" i="31" s="1"/>
  <c r="N25" i="31"/>
  <c r="T6" i="11" s="1"/>
  <c r="S184" i="31"/>
  <c r="N185" i="31"/>
  <c r="T20" i="11" s="1"/>
  <c r="N322" i="31"/>
  <c r="T43" i="11" s="1"/>
  <c r="S321" i="31"/>
  <c r="S322" i="31" s="1"/>
  <c r="S198" i="31"/>
  <c r="N199" i="31"/>
  <c r="T21" i="11" s="1"/>
  <c r="N300" i="31"/>
  <c r="T41" i="11" s="1"/>
  <c r="T277" i="32" s="1"/>
  <c r="S299" i="31"/>
  <c r="S300" i="31" s="1"/>
  <c r="S209" i="31"/>
  <c r="N210" i="31"/>
  <c r="T22" i="11" s="1"/>
  <c r="N221" i="31"/>
  <c r="T23" i="11" s="1"/>
  <c r="S220" i="31"/>
  <c r="N347" i="31"/>
  <c r="T45" i="11" s="1"/>
  <c r="S346" i="31"/>
  <c r="S347" i="31" s="1"/>
  <c r="N35" i="31"/>
  <c r="L36" i="31"/>
  <c r="S141" i="31"/>
  <c r="AI16" i="11" s="1"/>
  <c r="S116" i="31"/>
  <c r="S151" i="31"/>
  <c r="N152" i="31"/>
  <c r="T17" i="11" s="1"/>
  <c r="N14" i="31"/>
  <c r="T5" i="11" s="1"/>
  <c r="S13" i="31"/>
  <c r="E27" i="30" l="1"/>
  <c r="O27" i="30" s="1"/>
  <c r="S27" i="30" s="1"/>
  <c r="O26" i="30"/>
  <c r="S26" i="30" s="1"/>
  <c r="O13" i="32"/>
  <c r="M21" i="11"/>
  <c r="M201" i="32" s="1"/>
  <c r="F26" i="11"/>
  <c r="F12" i="4" s="1"/>
  <c r="Q13" i="32"/>
  <c r="O12" i="4"/>
  <c r="P19" i="11"/>
  <c r="P170" i="32" s="1"/>
  <c r="P16" i="11"/>
  <c r="P125" i="32" s="1"/>
  <c r="R201" i="32"/>
  <c r="T201" i="32"/>
  <c r="R45" i="11"/>
  <c r="R337" i="32" s="1"/>
  <c r="T337" i="32"/>
  <c r="O94" i="32"/>
  <c r="Q94" i="32"/>
  <c r="P13" i="11"/>
  <c r="P70" i="32"/>
  <c r="P71" i="32" s="1"/>
  <c r="O216" i="32"/>
  <c r="Q216" i="32"/>
  <c r="M22" i="11"/>
  <c r="M216" i="32" s="1"/>
  <c r="M13" i="11"/>
  <c r="M70" i="32"/>
  <c r="M71" i="32" s="1"/>
  <c r="P40" i="11"/>
  <c r="P262" i="32" s="1"/>
  <c r="P266" i="32" s="1"/>
  <c r="O262" i="32"/>
  <c r="S16" i="11"/>
  <c r="S125" i="32" s="1"/>
  <c r="R11" i="32"/>
  <c r="T11" i="32"/>
  <c r="R232" i="32"/>
  <c r="T232" i="32"/>
  <c r="P23" i="11"/>
  <c r="P232" i="32" s="1"/>
  <c r="M45" i="11"/>
  <c r="M337" i="32" s="1"/>
  <c r="L337" i="32"/>
  <c r="AC12" i="4"/>
  <c r="X12" i="4"/>
  <c r="O140" i="32"/>
  <c r="Q140" i="32"/>
  <c r="AH13" i="11"/>
  <c r="Z70" i="32"/>
  <c r="Z71" i="32" s="1"/>
  <c r="R44" i="11"/>
  <c r="R322" i="32" s="1"/>
  <c r="T322" i="32"/>
  <c r="M42" i="11"/>
  <c r="M292" i="32" s="1"/>
  <c r="L292" i="32"/>
  <c r="R42" i="11"/>
  <c r="R292" i="32" s="1"/>
  <c r="T292" i="32"/>
  <c r="M44" i="11"/>
  <c r="M322" i="32" s="1"/>
  <c r="L322" i="32"/>
  <c r="R140" i="32"/>
  <c r="T140" i="32"/>
  <c r="R43" i="11"/>
  <c r="R307" i="32" s="1"/>
  <c r="T307" i="32"/>
  <c r="R216" i="32"/>
  <c r="T216" i="32"/>
  <c r="R185" i="32"/>
  <c r="T185" i="32"/>
  <c r="R170" i="32"/>
  <c r="T170" i="32"/>
  <c r="P24" i="11"/>
  <c r="P247" i="32" s="1"/>
  <c r="O201" i="32"/>
  <c r="Q201" i="32"/>
  <c r="AG16" i="11"/>
  <c r="Y125" i="32" s="1"/>
  <c r="AA125" i="32"/>
  <c r="R247" i="32"/>
  <c r="T247" i="32"/>
  <c r="O42" i="11"/>
  <c r="O292" i="32" s="1"/>
  <c r="Q292" i="32"/>
  <c r="M17" i="11"/>
  <c r="M140" i="32" s="1"/>
  <c r="M20" i="11"/>
  <c r="M185" i="32" s="1"/>
  <c r="S13" i="11"/>
  <c r="S70" i="32"/>
  <c r="S71" i="32" s="1"/>
  <c r="O185" i="32"/>
  <c r="Q185" i="32"/>
  <c r="R12" i="32"/>
  <c r="T12" i="32"/>
  <c r="M43" i="11"/>
  <c r="M307" i="32" s="1"/>
  <c r="L307" i="32"/>
  <c r="J13" i="11"/>
  <c r="J70" i="32"/>
  <c r="J71" i="32" s="1"/>
  <c r="N27" i="11"/>
  <c r="N13" i="4" s="1"/>
  <c r="J18" i="11"/>
  <c r="J155" i="32" s="1"/>
  <c r="S18" i="11"/>
  <c r="S155" i="32" s="1"/>
  <c r="R155" i="32"/>
  <c r="I12" i="4"/>
  <c r="P18" i="11"/>
  <c r="P155" i="32" s="1"/>
  <c r="O155" i="32"/>
  <c r="M18" i="11"/>
  <c r="M155" i="32" s="1"/>
  <c r="L155" i="32"/>
  <c r="N358" i="31"/>
  <c r="S357" i="31"/>
  <c r="AI40" i="11"/>
  <c r="AA262" i="32" s="1"/>
  <c r="S358" i="31"/>
  <c r="R40" i="11"/>
  <c r="H27" i="11"/>
  <c r="H13" i="4" s="1"/>
  <c r="Q46" i="11"/>
  <c r="Q37" i="4" s="1"/>
  <c r="T25" i="11"/>
  <c r="T11" i="4" s="1"/>
  <c r="M41" i="11"/>
  <c r="L46" i="11"/>
  <c r="L37" i="4" s="1"/>
  <c r="R41" i="11"/>
  <c r="R277" i="32" s="1"/>
  <c r="T46" i="11"/>
  <c r="T37" i="4" s="1"/>
  <c r="T26" i="11"/>
  <c r="T12" i="4" s="1"/>
  <c r="Q25" i="11"/>
  <c r="P20" i="11"/>
  <c r="P185" i="32" s="1"/>
  <c r="O43" i="11"/>
  <c r="O45" i="11"/>
  <c r="O44" i="11"/>
  <c r="O41" i="11"/>
  <c r="O277" i="32" s="1"/>
  <c r="P17" i="11"/>
  <c r="P140" i="32" s="1"/>
  <c r="S127" i="31"/>
  <c r="AI15" i="11" s="1"/>
  <c r="AI42" i="11"/>
  <c r="AA292" i="32" s="1"/>
  <c r="AI45" i="11"/>
  <c r="AA337" i="32" s="1"/>
  <c r="AI41" i="11"/>
  <c r="AA277" i="32" s="1"/>
  <c r="AI43" i="11"/>
  <c r="AA307" i="32" s="1"/>
  <c r="F13" i="11"/>
  <c r="G12" i="11"/>
  <c r="AI44" i="11"/>
  <c r="AA322" i="32" s="1"/>
  <c r="AI14" i="11"/>
  <c r="AA94" i="32" s="1"/>
  <c r="M5" i="11"/>
  <c r="M11" i="32" s="1"/>
  <c r="S22" i="11"/>
  <c r="S216" i="32" s="1"/>
  <c r="M6" i="11"/>
  <c r="M12" i="32" s="1"/>
  <c r="N257" i="31"/>
  <c r="T7" i="11"/>
  <c r="Q7" i="11"/>
  <c r="S42" i="11"/>
  <c r="S292" i="32" s="1"/>
  <c r="P5" i="11"/>
  <c r="P11" i="32" s="1"/>
  <c r="J267" i="31"/>
  <c r="J268" i="31" s="1"/>
  <c r="S25" i="31"/>
  <c r="AI6" i="11" s="1"/>
  <c r="AA12" i="32" s="1"/>
  <c r="S257" i="31"/>
  <c r="S210" i="31"/>
  <c r="S221" i="31"/>
  <c r="AI23" i="11" s="1"/>
  <c r="S199" i="31"/>
  <c r="S185" i="31"/>
  <c r="S174" i="31"/>
  <c r="AI19" i="11" s="1"/>
  <c r="S232" i="31"/>
  <c r="AI24" i="11" s="1"/>
  <c r="S35" i="31"/>
  <c r="N36" i="31"/>
  <c r="S152" i="31"/>
  <c r="S14" i="31"/>
  <c r="AI5" i="11" s="1"/>
  <c r="AA11" i="32" s="1"/>
  <c r="S21" i="11" l="1"/>
  <c r="S201" i="32" s="1"/>
  <c r="P22" i="11"/>
  <c r="P216" i="32" s="1"/>
  <c r="P21" i="11"/>
  <c r="P201" i="32" s="1"/>
  <c r="AA13" i="32"/>
  <c r="P14" i="11"/>
  <c r="P94" i="32" s="1"/>
  <c r="S23" i="11"/>
  <c r="S232" i="32" s="1"/>
  <c r="S24" i="11"/>
  <c r="S247" i="32" s="1"/>
  <c r="S45" i="11"/>
  <c r="S337" i="32" s="1"/>
  <c r="AH16" i="11"/>
  <c r="Z125" i="32" s="1"/>
  <c r="AG23" i="11"/>
  <c r="Y232" i="32" s="1"/>
  <c r="AA232" i="32"/>
  <c r="G26" i="11"/>
  <c r="G12" i="4" s="1"/>
  <c r="G70" i="32"/>
  <c r="G71" i="32" s="1"/>
  <c r="S17" i="11"/>
  <c r="S140" i="32" s="1"/>
  <c r="P42" i="11"/>
  <c r="P292" i="32" s="1"/>
  <c r="Q27" i="11"/>
  <c r="Q13" i="4" s="1"/>
  <c r="Q11" i="4"/>
  <c r="AG24" i="11"/>
  <c r="Y247" i="32" s="1"/>
  <c r="AA247" i="32"/>
  <c r="M13" i="32"/>
  <c r="P45" i="11"/>
  <c r="P337" i="32" s="1"/>
  <c r="O337" i="32"/>
  <c r="R12" i="4"/>
  <c r="S40" i="11"/>
  <c r="S262" i="32" s="1"/>
  <c r="S266" i="32" s="1"/>
  <c r="R262" i="32"/>
  <c r="AG19" i="11"/>
  <c r="Y170" i="32" s="1"/>
  <c r="AA170" i="32"/>
  <c r="S19" i="11"/>
  <c r="S170" i="32" s="1"/>
  <c r="P43" i="11"/>
  <c r="P307" i="32" s="1"/>
  <c r="O307" i="32"/>
  <c r="T13" i="32"/>
  <c r="AG15" i="11"/>
  <c r="Y110" i="32" s="1"/>
  <c r="AA110" i="32"/>
  <c r="M46" i="11"/>
  <c r="M37" i="4" s="1"/>
  <c r="M277" i="32"/>
  <c r="S43" i="11"/>
  <c r="S307" i="32" s="1"/>
  <c r="P44" i="11"/>
  <c r="P322" i="32" s="1"/>
  <c r="O322" i="32"/>
  <c r="S20" i="11"/>
  <c r="S185" i="32" s="1"/>
  <c r="S44" i="11"/>
  <c r="S322" i="32" s="1"/>
  <c r="R13" i="32"/>
  <c r="J26" i="11"/>
  <c r="J12" i="4" s="1"/>
  <c r="M26" i="11"/>
  <c r="M12" i="4" s="1"/>
  <c r="R46" i="11"/>
  <c r="R37" i="4" s="1"/>
  <c r="AG40" i="11"/>
  <c r="S41" i="11"/>
  <c r="AI46" i="11"/>
  <c r="AA37" i="4" s="1"/>
  <c r="S6" i="11"/>
  <c r="T27" i="11"/>
  <c r="T13" i="4" s="1"/>
  <c r="AG5" i="11"/>
  <c r="AG6" i="11"/>
  <c r="AI26" i="11"/>
  <c r="AA12" i="4" s="1"/>
  <c r="P41" i="11"/>
  <c r="O46" i="11"/>
  <c r="O37" i="4" s="1"/>
  <c r="AG41" i="11"/>
  <c r="Y277" i="32" s="1"/>
  <c r="AG44" i="11"/>
  <c r="AH15" i="11"/>
  <c r="Z110" i="32" s="1"/>
  <c r="AG45" i="11"/>
  <c r="AG43" i="11"/>
  <c r="AG14" i="11"/>
  <c r="AG42" i="11"/>
  <c r="AI22" i="11"/>
  <c r="AA216" i="32" s="1"/>
  <c r="G13" i="11"/>
  <c r="AI17" i="11"/>
  <c r="AA140" i="32" s="1"/>
  <c r="AI20" i="11"/>
  <c r="AA185" i="32" s="1"/>
  <c r="AI21" i="11"/>
  <c r="AA201" i="32" s="1"/>
  <c r="AH24" i="11"/>
  <c r="Z247" i="32" s="1"/>
  <c r="M7" i="11"/>
  <c r="AI7" i="11"/>
  <c r="AH23" i="11"/>
  <c r="Z232" i="32" s="1"/>
  <c r="S5" i="11"/>
  <c r="S11" i="32" s="1"/>
  <c r="P6" i="11"/>
  <c r="L267" i="31"/>
  <c r="L268" i="31" s="1"/>
  <c r="S36" i="31"/>
  <c r="AH19" i="11" l="1"/>
  <c r="Z170" i="32" s="1"/>
  <c r="P46" i="11"/>
  <c r="P37" i="4" s="1"/>
  <c r="P277" i="32"/>
  <c r="AH43" i="11"/>
  <c r="Z307" i="32" s="1"/>
  <c r="Y307" i="32"/>
  <c r="AG26" i="11"/>
  <c r="Y12" i="4" s="1"/>
  <c r="Y12" i="32"/>
  <c r="AH40" i="11"/>
  <c r="Z262" i="32" s="1"/>
  <c r="Y262" i="32"/>
  <c r="AH5" i="11"/>
  <c r="Z11" i="32" s="1"/>
  <c r="Y11" i="32"/>
  <c r="AH14" i="11"/>
  <c r="Z94" i="32" s="1"/>
  <c r="Y94" i="32"/>
  <c r="P26" i="11"/>
  <c r="P12" i="4" s="1"/>
  <c r="P12" i="32"/>
  <c r="P13" i="32" s="1"/>
  <c r="AH42" i="11"/>
  <c r="Z292" i="32" s="1"/>
  <c r="Y292" i="32"/>
  <c r="AH45" i="11"/>
  <c r="Z337" i="32" s="1"/>
  <c r="Y337" i="32"/>
  <c r="AH44" i="11"/>
  <c r="Z322" i="32" s="1"/>
  <c r="Y322" i="32"/>
  <c r="S26" i="11"/>
  <c r="S12" i="4" s="1"/>
  <c r="S12" i="32"/>
  <c r="S13" i="32" s="1"/>
  <c r="S46" i="11"/>
  <c r="S37" i="4" s="1"/>
  <c r="S277" i="32"/>
  <c r="AH41" i="11"/>
  <c r="AG46" i="11"/>
  <c r="Y37" i="4" s="1"/>
  <c r="AG20" i="11"/>
  <c r="AG17" i="11"/>
  <c r="AG22" i="11"/>
  <c r="AG21" i="11"/>
  <c r="S7" i="11"/>
  <c r="P7" i="11"/>
  <c r="N267" i="31"/>
  <c r="H8" i="26"/>
  <c r="AH17" i="11" l="1"/>
  <c r="Z140" i="32" s="1"/>
  <c r="Y140" i="32"/>
  <c r="AH46" i="11"/>
  <c r="Z37" i="4" s="1"/>
  <c r="Z277" i="32"/>
  <c r="AH20" i="11"/>
  <c r="Z185" i="32" s="1"/>
  <c r="Y185" i="32"/>
  <c r="Y13" i="32"/>
  <c r="AH21" i="11"/>
  <c r="Z201" i="32" s="1"/>
  <c r="Y201" i="32"/>
  <c r="AH22" i="11"/>
  <c r="Z216" i="32" s="1"/>
  <c r="Y216" i="32"/>
  <c r="AH6" i="11"/>
  <c r="AG7" i="11"/>
  <c r="H14" i="26"/>
  <c r="H22" i="26"/>
  <c r="N268" i="31"/>
  <c r="H5" i="26"/>
  <c r="H40" i="26"/>
  <c r="H41" i="26"/>
  <c r="AH26" i="11" l="1"/>
  <c r="Z12" i="4" s="1"/>
  <c r="Z12" i="32"/>
  <c r="Z13" i="32" s="1"/>
  <c r="AH7" i="11"/>
  <c r="H38" i="26"/>
  <c r="J38" i="26" s="1"/>
  <c r="H42" i="26"/>
  <c r="H11" i="26"/>
  <c r="H25" i="26" s="1"/>
  <c r="I61" i="20"/>
  <c r="AH32" i="18" l="1"/>
  <c r="AD32" i="18"/>
  <c r="Z32" i="18"/>
  <c r="V32" i="18"/>
  <c r="R32" i="18"/>
  <c r="AD13" i="14"/>
  <c r="AC13" i="14"/>
  <c r="AB13" i="14"/>
  <c r="AA13" i="14"/>
  <c r="Z13" i="14"/>
  <c r="AD10" i="14"/>
  <c r="AC10" i="14"/>
  <c r="AB10" i="14"/>
  <c r="AA10" i="14"/>
  <c r="Z10" i="14"/>
  <c r="Y13" i="14"/>
  <c r="T24" i="14"/>
  <c r="T250" i="32" s="1"/>
  <c r="T43" i="14"/>
  <c r="T340" i="32" s="1"/>
  <c r="T22" i="14"/>
  <c r="T219" i="32" s="1"/>
  <c r="T20" i="14"/>
  <c r="T188" i="32" s="1"/>
  <c r="T42" i="14"/>
  <c r="T325" i="32" s="1"/>
  <c r="T41" i="14"/>
  <c r="T310" i="32" s="1"/>
  <c r="T40" i="14"/>
  <c r="T295" i="32" s="1"/>
  <c r="T39" i="14"/>
  <c r="T280" i="32" s="1"/>
  <c r="T19" i="14"/>
  <c r="T173" i="32" s="1"/>
  <c r="T18" i="14"/>
  <c r="T158" i="32" s="1"/>
  <c r="T17" i="14"/>
  <c r="T143" i="32" s="1"/>
  <c r="T38" i="14"/>
  <c r="T15" i="14"/>
  <c r="T113" i="32" s="1"/>
  <c r="T14" i="14"/>
  <c r="T97" i="32" s="1"/>
  <c r="T12" i="14"/>
  <c r="T79" i="32" s="1"/>
  <c r="T11" i="14"/>
  <c r="T78" i="32" s="1"/>
  <c r="T80" i="32" s="1"/>
  <c r="T9" i="14"/>
  <c r="T50" i="32" s="1"/>
  <c r="T8" i="14"/>
  <c r="T49" i="32" s="1"/>
  <c r="T51" i="32" s="1"/>
  <c r="Q24" i="14"/>
  <c r="Q250" i="32" s="1"/>
  <c r="Q43" i="14"/>
  <c r="Q340" i="32" s="1"/>
  <c r="Q22" i="14"/>
  <c r="Q219" i="32" s="1"/>
  <c r="Q20" i="14"/>
  <c r="Q188" i="32" s="1"/>
  <c r="Q42" i="14"/>
  <c r="Q325" i="32" s="1"/>
  <c r="Q41" i="14"/>
  <c r="Q310" i="32" s="1"/>
  <c r="Q40" i="14"/>
  <c r="Q295" i="32" s="1"/>
  <c r="Q39" i="14"/>
  <c r="Q280" i="32" s="1"/>
  <c r="Q19" i="14"/>
  <c r="Q173" i="32" s="1"/>
  <c r="Q18" i="14"/>
  <c r="Q158" i="32" s="1"/>
  <c r="Q17" i="14"/>
  <c r="Q143" i="32" s="1"/>
  <c r="Q38" i="14"/>
  <c r="Q15" i="14"/>
  <c r="Q113" i="32" s="1"/>
  <c r="Q14" i="14"/>
  <c r="Q97" i="32" s="1"/>
  <c r="Q12" i="14"/>
  <c r="Q79" i="32" s="1"/>
  <c r="Q11" i="14"/>
  <c r="Q78" i="32" s="1"/>
  <c r="Q80" i="32" s="1"/>
  <c r="Q9" i="14"/>
  <c r="Q50" i="32" s="1"/>
  <c r="Q8" i="14"/>
  <c r="Q49" i="32" s="1"/>
  <c r="Q51" i="32" s="1"/>
  <c r="N24" i="14"/>
  <c r="N250" i="32" s="1"/>
  <c r="N43" i="14"/>
  <c r="N340" i="32" s="1"/>
  <c r="N22" i="14"/>
  <c r="N219" i="32" s="1"/>
  <c r="N20" i="14"/>
  <c r="N188" i="32" s="1"/>
  <c r="N42" i="14"/>
  <c r="N325" i="32" s="1"/>
  <c r="N41" i="14"/>
  <c r="N310" i="32" s="1"/>
  <c r="N40" i="14"/>
  <c r="N295" i="32" s="1"/>
  <c r="N39" i="14"/>
  <c r="N280" i="32" s="1"/>
  <c r="N19" i="14"/>
  <c r="N173" i="32" s="1"/>
  <c r="N18" i="14"/>
  <c r="N158" i="32" s="1"/>
  <c r="N17" i="14"/>
  <c r="N143" i="32" s="1"/>
  <c r="N38" i="14"/>
  <c r="N15" i="14"/>
  <c r="N113" i="32" s="1"/>
  <c r="N14" i="14"/>
  <c r="N97" i="32" s="1"/>
  <c r="N12" i="14"/>
  <c r="N79" i="32" s="1"/>
  <c r="N11" i="14"/>
  <c r="N78" i="32" s="1"/>
  <c r="N80" i="32" s="1"/>
  <c r="N9" i="14"/>
  <c r="N50" i="32" s="1"/>
  <c r="N8" i="14"/>
  <c r="N49" i="32" s="1"/>
  <c r="K24" i="14"/>
  <c r="K250" i="32" s="1"/>
  <c r="K43" i="14"/>
  <c r="K340" i="32" s="1"/>
  <c r="K22" i="14"/>
  <c r="K219" i="32" s="1"/>
  <c r="K20" i="14"/>
  <c r="K188" i="32" s="1"/>
  <c r="K42" i="14"/>
  <c r="K325" i="32" s="1"/>
  <c r="K41" i="14"/>
  <c r="K310" i="32" s="1"/>
  <c r="K40" i="14"/>
  <c r="K295" i="32" s="1"/>
  <c r="K39" i="14"/>
  <c r="K280" i="32" s="1"/>
  <c r="K19" i="14"/>
  <c r="K173" i="32" s="1"/>
  <c r="K18" i="14"/>
  <c r="K158" i="32" s="1"/>
  <c r="K17" i="14"/>
  <c r="K143" i="32" s="1"/>
  <c r="K38" i="14"/>
  <c r="K15" i="14"/>
  <c r="K113" i="32" s="1"/>
  <c r="K14" i="14"/>
  <c r="K97" i="32" s="1"/>
  <c r="K12" i="14"/>
  <c r="K79" i="32" s="1"/>
  <c r="K11" i="14"/>
  <c r="K78" i="32" s="1"/>
  <c r="K9" i="14"/>
  <c r="K50" i="32" s="1"/>
  <c r="K8" i="14"/>
  <c r="H24" i="14"/>
  <c r="H250" i="32" s="1"/>
  <c r="H43" i="14"/>
  <c r="H340" i="32" s="1"/>
  <c r="H22" i="14"/>
  <c r="H219" i="32" s="1"/>
  <c r="H20" i="14"/>
  <c r="H188" i="32" s="1"/>
  <c r="H42" i="14"/>
  <c r="H325" i="32" s="1"/>
  <c r="H41" i="14"/>
  <c r="H310" i="32" s="1"/>
  <c r="H40" i="14"/>
  <c r="H295" i="32" s="1"/>
  <c r="H39" i="14"/>
  <c r="H280" i="32" s="1"/>
  <c r="H19" i="14"/>
  <c r="H173" i="32" s="1"/>
  <c r="H18" i="14"/>
  <c r="H158" i="32" s="1"/>
  <c r="H17" i="14"/>
  <c r="H143" i="32" s="1"/>
  <c r="H38" i="14"/>
  <c r="H15" i="14"/>
  <c r="H113" i="32" s="1"/>
  <c r="H14" i="14"/>
  <c r="H97" i="32" s="1"/>
  <c r="H12" i="14"/>
  <c r="H79" i="32" s="1"/>
  <c r="H11" i="14"/>
  <c r="H78" i="32" s="1"/>
  <c r="H80" i="32" s="1"/>
  <c r="H9" i="14"/>
  <c r="H50" i="32" s="1"/>
  <c r="H8" i="14"/>
  <c r="H49" i="32" s="1"/>
  <c r="H51" i="32" s="1"/>
  <c r="E24" i="14"/>
  <c r="E43" i="14"/>
  <c r="E22" i="14"/>
  <c r="E20" i="14"/>
  <c r="E42" i="14"/>
  <c r="E41" i="14"/>
  <c r="E40" i="14"/>
  <c r="E39" i="14"/>
  <c r="E19" i="14"/>
  <c r="E18" i="14"/>
  <c r="E17" i="14"/>
  <c r="E38" i="14"/>
  <c r="E15" i="14"/>
  <c r="E14" i="14"/>
  <c r="E12" i="14"/>
  <c r="E11" i="14"/>
  <c r="E9" i="14"/>
  <c r="E8" i="14"/>
  <c r="S13" i="14"/>
  <c r="R13" i="14"/>
  <c r="S10" i="14"/>
  <c r="R10" i="14"/>
  <c r="P13" i="14"/>
  <c r="O13" i="14"/>
  <c r="P10" i="14"/>
  <c r="O10" i="14"/>
  <c r="M13" i="14"/>
  <c r="L13" i="14"/>
  <c r="M10" i="14"/>
  <c r="L10" i="14"/>
  <c r="J13" i="14"/>
  <c r="I13" i="14"/>
  <c r="J10" i="14"/>
  <c r="I10" i="14"/>
  <c r="G13" i="14"/>
  <c r="F13" i="14"/>
  <c r="G10" i="14"/>
  <c r="F10" i="14"/>
  <c r="D13" i="14"/>
  <c r="D10" i="14"/>
  <c r="Y5" i="14"/>
  <c r="C21" i="32"/>
  <c r="C5" i="14"/>
  <c r="C20" i="32" s="1"/>
  <c r="AG42" i="14" l="1"/>
  <c r="E325" i="32"/>
  <c r="AC325" i="32" s="1"/>
  <c r="N265" i="32"/>
  <c r="N44" i="14"/>
  <c r="N40" i="4" s="1"/>
  <c r="AG38" i="14"/>
  <c r="E265" i="32"/>
  <c r="E44" i="14"/>
  <c r="K80" i="32"/>
  <c r="N51" i="32"/>
  <c r="Q265" i="32"/>
  <c r="Q44" i="14"/>
  <c r="Q40" i="4" s="1"/>
  <c r="K10" i="14"/>
  <c r="K49" i="32"/>
  <c r="K51" i="32" s="1"/>
  <c r="E49" i="32"/>
  <c r="AC49" i="32" s="1"/>
  <c r="AG8" i="14"/>
  <c r="AG43" i="14"/>
  <c r="E340" i="32"/>
  <c r="H265" i="32"/>
  <c r="H44" i="14"/>
  <c r="H40" i="4" s="1"/>
  <c r="T265" i="32"/>
  <c r="T44" i="14"/>
  <c r="T40" i="4" s="1"/>
  <c r="E50" i="32"/>
  <c r="AG9" i="14"/>
  <c r="AG41" i="14"/>
  <c r="E310" i="32"/>
  <c r="AC310" i="32" s="1"/>
  <c r="AG39" i="14"/>
  <c r="E280" i="32"/>
  <c r="K265" i="32"/>
  <c r="K44" i="14"/>
  <c r="K40" i="4" s="1"/>
  <c r="E78" i="32"/>
  <c r="AC78" i="32" s="1"/>
  <c r="AG11" i="14"/>
  <c r="E79" i="32"/>
  <c r="AG12" i="14"/>
  <c r="AG40" i="14"/>
  <c r="E295" i="32"/>
  <c r="E97" i="32"/>
  <c r="AC97" i="32" s="1"/>
  <c r="AG14" i="14"/>
  <c r="E113" i="32"/>
  <c r="AG15" i="14"/>
  <c r="E188" i="32"/>
  <c r="AC188" i="32" s="1"/>
  <c r="AG20" i="14"/>
  <c r="E143" i="32"/>
  <c r="AC143" i="32" s="1"/>
  <c r="AG17" i="14"/>
  <c r="E219" i="32"/>
  <c r="AG22" i="14"/>
  <c r="E158" i="32"/>
  <c r="AG18" i="14"/>
  <c r="E173" i="32"/>
  <c r="AG19" i="14"/>
  <c r="E250" i="32"/>
  <c r="AG24" i="14"/>
  <c r="C22" i="32"/>
  <c r="N13" i="14"/>
  <c r="H13" i="14"/>
  <c r="T13" i="14"/>
  <c r="H10" i="14"/>
  <c r="N10" i="14"/>
  <c r="T10" i="14"/>
  <c r="K13" i="14"/>
  <c r="Q10" i="14"/>
  <c r="Q13" i="14"/>
  <c r="S12" i="29"/>
  <c r="T12" i="29"/>
  <c r="U12" i="29"/>
  <c r="V12" i="29"/>
  <c r="R12" i="29"/>
  <c r="Z12" i="29"/>
  <c r="AA12" i="29"/>
  <c r="AB12" i="29"/>
  <c r="AC12" i="29"/>
  <c r="Y12" i="29"/>
  <c r="S17" i="29"/>
  <c r="T17" i="29"/>
  <c r="U17" i="29"/>
  <c r="V17" i="29"/>
  <c r="R17" i="29"/>
  <c r="AE12" i="15"/>
  <c r="T12" i="15" s="1"/>
  <c r="AD12" i="15"/>
  <c r="Q12" i="15" s="1"/>
  <c r="AC12" i="15"/>
  <c r="N12" i="15" s="1"/>
  <c r="AB12" i="15"/>
  <c r="K12" i="15" s="1"/>
  <c r="AA12" i="15"/>
  <c r="H12" i="15" s="1"/>
  <c r="AE10" i="15"/>
  <c r="T10" i="15" s="1"/>
  <c r="AD10" i="15"/>
  <c r="Q10" i="15" s="1"/>
  <c r="AC10" i="15"/>
  <c r="N10" i="15" s="1"/>
  <c r="AB10" i="15"/>
  <c r="K10" i="15" s="1"/>
  <c r="AA10" i="15"/>
  <c r="H10" i="15" s="1"/>
  <c r="D6" i="14"/>
  <c r="D21" i="32" s="1"/>
  <c r="D5" i="14"/>
  <c r="D20" i="32" s="1"/>
  <c r="Z15" i="29"/>
  <c r="AA15" i="29"/>
  <c r="AB15" i="29"/>
  <c r="AC15" i="29"/>
  <c r="Y15" i="29"/>
  <c r="S15" i="29"/>
  <c r="T15" i="29"/>
  <c r="U15" i="29"/>
  <c r="V15" i="29"/>
  <c r="R15" i="29"/>
  <c r="E174" i="32" l="1"/>
  <c r="AC173" i="32"/>
  <c r="E159" i="32"/>
  <c r="AC158" i="32"/>
  <c r="E266" i="32"/>
  <c r="AC265" i="32"/>
  <c r="E281" i="32"/>
  <c r="AC280" i="32"/>
  <c r="E82" i="32"/>
  <c r="AC79" i="32"/>
  <c r="E53" i="32"/>
  <c r="AC50" i="32"/>
  <c r="E296" i="32"/>
  <c r="AC295" i="32"/>
  <c r="E114" i="32"/>
  <c r="AC113" i="32"/>
  <c r="E251" i="32"/>
  <c r="AC250" i="32"/>
  <c r="E341" i="32"/>
  <c r="AC340" i="32"/>
  <c r="E220" i="32"/>
  <c r="AC219" i="32"/>
  <c r="E40" i="4"/>
  <c r="AC40" i="4" s="1"/>
  <c r="AG44" i="14"/>
  <c r="E80" i="32"/>
  <c r="AC80" i="32" s="1"/>
  <c r="E81" i="32"/>
  <c r="E83" i="32" s="1"/>
  <c r="E51" i="32"/>
  <c r="AC51" i="32" s="1"/>
  <c r="E52" i="32"/>
  <c r="E54" i="32" s="1"/>
  <c r="D22" i="32"/>
  <c r="D24" i="32"/>
  <c r="E6" i="14"/>
  <c r="E21" i="32" s="1"/>
  <c r="E5" i="14"/>
  <c r="E20" i="32" s="1"/>
  <c r="D7" i="14"/>
  <c r="AP13" i="29"/>
  <c r="AO14" i="29"/>
  <c r="AL13" i="29"/>
  <c r="S14" i="15" s="1"/>
  <c r="AL14" i="29"/>
  <c r="S15" i="15" s="1"/>
  <c r="AK11" i="29"/>
  <c r="AH11" i="29"/>
  <c r="AJ11" i="29"/>
  <c r="AL11" i="29"/>
  <c r="AI11" i="29"/>
  <c r="AI17" i="29"/>
  <c r="AI14" i="29"/>
  <c r="AI13" i="29"/>
  <c r="J14" i="15" s="1"/>
  <c r="AJ13" i="29"/>
  <c r="AK14" i="29"/>
  <c r="M17" i="15"/>
  <c r="AQ14" i="29"/>
  <c r="AD15" i="15" s="1"/>
  <c r="Q15" i="15" s="1"/>
  <c r="AQ13" i="29"/>
  <c r="AR13" i="29"/>
  <c r="AH14" i="29"/>
  <c r="G15" i="15" s="1"/>
  <c r="AH13" i="29"/>
  <c r="AK13" i="29"/>
  <c r="AJ14" i="29"/>
  <c r="AP14" i="29"/>
  <c r="AR14" i="29"/>
  <c r="AN13" i="29"/>
  <c r="AO13" i="29"/>
  <c r="AN14" i="29"/>
  <c r="E23" i="32" l="1"/>
  <c r="E22" i="32"/>
  <c r="E24" i="32"/>
  <c r="E5" i="6"/>
  <c r="AP17" i="29"/>
  <c r="AC17" i="15"/>
  <c r="N17" i="15" s="1"/>
  <c r="O17" i="15" s="1"/>
  <c r="AJ15" i="29"/>
  <c r="P17" i="15"/>
  <c r="AJ17" i="29"/>
  <c r="J17" i="15"/>
  <c r="AK17" i="29"/>
  <c r="AE15" i="15"/>
  <c r="T15" i="15" s="1"/>
  <c r="U15" i="15" s="1"/>
  <c r="AC14" i="15"/>
  <c r="N14" i="15" s="1"/>
  <c r="P15" i="15"/>
  <c r="R15" i="15" s="1"/>
  <c r="J15" i="15"/>
  <c r="AB15" i="15"/>
  <c r="K15" i="15" s="1"/>
  <c r="AA15" i="15"/>
  <c r="H15" i="15" s="1"/>
  <c r="I15" i="15" s="1"/>
  <c r="AC15" i="15"/>
  <c r="N15" i="15" s="1"/>
  <c r="M15" i="15"/>
  <c r="M14" i="15"/>
  <c r="AI15" i="29"/>
  <c r="M12" i="15"/>
  <c r="O12" i="15" s="1"/>
  <c r="P12" i="15"/>
  <c r="R12" i="15" s="1"/>
  <c r="J12" i="15"/>
  <c r="L12" i="15" s="1"/>
  <c r="S12" i="15"/>
  <c r="U12" i="15" s="1"/>
  <c r="G12" i="15"/>
  <c r="I12" i="15" s="1"/>
  <c r="AI9" i="29"/>
  <c r="J10" i="15" s="1"/>
  <c r="L10" i="15" s="1"/>
  <c r="AK9" i="29"/>
  <c r="AH9" i="29"/>
  <c r="AJ9" i="29"/>
  <c r="AL9" i="29"/>
  <c r="AP10" i="29"/>
  <c r="AR10" i="29"/>
  <c r="AQ10" i="29"/>
  <c r="AD11" i="15" s="1"/>
  <c r="Q11" i="15" s="1"/>
  <c r="AI8" i="29"/>
  <c r="J9" i="15" s="1"/>
  <c r="AK8" i="29"/>
  <c r="P9" i="15" s="1"/>
  <c r="AJ8" i="29"/>
  <c r="AL8" i="29"/>
  <c r="S9" i="15" s="1"/>
  <c r="AH8" i="29"/>
  <c r="G9" i="15" s="1"/>
  <c r="AI10" i="29"/>
  <c r="AK10" i="29"/>
  <c r="P11" i="15" s="1"/>
  <c r="AJ10" i="29"/>
  <c r="M11" i="15" s="1"/>
  <c r="AL10" i="29"/>
  <c r="S11" i="15" s="1"/>
  <c r="AH10" i="29"/>
  <c r="AO8" i="29"/>
  <c r="AQ8" i="29"/>
  <c r="AP8" i="29"/>
  <c r="AR8" i="29"/>
  <c r="AP15" i="29"/>
  <c r="S17" i="15"/>
  <c r="AL17" i="29"/>
  <c r="P14" i="15"/>
  <c r="AK15" i="29"/>
  <c r="AO17" i="29"/>
  <c r="AB17" i="15"/>
  <c r="K17" i="15" s="1"/>
  <c r="AN17" i="29"/>
  <c r="AA17" i="15"/>
  <c r="H17" i="15" s="1"/>
  <c r="AD14" i="15"/>
  <c r="Q14" i="15" s="1"/>
  <c r="AQ15" i="29"/>
  <c r="AL15" i="29"/>
  <c r="AE17" i="15"/>
  <c r="T17" i="15" s="1"/>
  <c r="AR17" i="29"/>
  <c r="AH17" i="29"/>
  <c r="G17" i="15"/>
  <c r="AR15" i="29"/>
  <c r="AE14" i="15"/>
  <c r="T14" i="15" s="1"/>
  <c r="U14" i="15" s="1"/>
  <c r="G14" i="15"/>
  <c r="AH15" i="29"/>
  <c r="AQ17" i="29"/>
  <c r="AD17" i="15"/>
  <c r="Q17" i="15" s="1"/>
  <c r="AB14" i="15"/>
  <c r="K14" i="15" s="1"/>
  <c r="L14" i="15" s="1"/>
  <c r="AO15" i="29"/>
  <c r="AN15" i="29"/>
  <c r="AA14" i="15"/>
  <c r="H14" i="15" s="1"/>
  <c r="AN10" i="29"/>
  <c r="AO10" i="29"/>
  <c r="AN8" i="29"/>
  <c r="E25" i="32" l="1"/>
  <c r="O15" i="15"/>
  <c r="AC9" i="15"/>
  <c r="N9" i="15" s="1"/>
  <c r="R17" i="15"/>
  <c r="O14" i="15"/>
  <c r="L17" i="15"/>
  <c r="AE9" i="15"/>
  <c r="T9" i="15" s="1"/>
  <c r="U9" i="15" s="1"/>
  <c r="AD9" i="15"/>
  <c r="Q9" i="15" s="1"/>
  <c r="R9" i="15" s="1"/>
  <c r="L15" i="15"/>
  <c r="AE11" i="15"/>
  <c r="T11" i="15" s="1"/>
  <c r="U11" i="15" s="1"/>
  <c r="S10" i="15"/>
  <c r="U10" i="15" s="1"/>
  <c r="G10" i="15"/>
  <c r="I10" i="15" s="1"/>
  <c r="I17" i="15"/>
  <c r="P10" i="15"/>
  <c r="R10" i="15" s="1"/>
  <c r="G11" i="15"/>
  <c r="AR12" i="29"/>
  <c r="AQ12" i="29"/>
  <c r="J11" i="15"/>
  <c r="AC11" i="15"/>
  <c r="N11" i="15" s="1"/>
  <c r="O11" i="15" s="1"/>
  <c r="M10" i="15"/>
  <c r="O10" i="15" s="1"/>
  <c r="AB11" i="15"/>
  <c r="K11" i="15" s="1"/>
  <c r="AA11" i="15"/>
  <c r="H11" i="15" s="1"/>
  <c r="AP12" i="29"/>
  <c r="AH12" i="29"/>
  <c r="AL12" i="29"/>
  <c r="AK12" i="29"/>
  <c r="AA9" i="15"/>
  <c r="H9" i="15" s="1"/>
  <c r="I9" i="15" s="1"/>
  <c r="AN12" i="29"/>
  <c r="AB9" i="15"/>
  <c r="K9" i="15" s="1"/>
  <c r="L9" i="15" s="1"/>
  <c r="AO12" i="29"/>
  <c r="M9" i="15"/>
  <c r="AJ12" i="29"/>
  <c r="AI12" i="29"/>
  <c r="R11" i="15"/>
  <c r="I14" i="15"/>
  <c r="R14" i="15"/>
  <c r="U17" i="15"/>
  <c r="O9" i="15" l="1"/>
  <c r="L11" i="15"/>
  <c r="I11" i="15"/>
  <c r="AA13" i="15"/>
  <c r="AB13" i="15"/>
  <c r="AC13" i="15"/>
  <c r="AA16" i="15"/>
  <c r="AB16" i="15"/>
  <c r="AC16" i="15"/>
  <c r="AA18" i="15"/>
  <c r="AB18" i="15"/>
  <c r="AC18" i="15"/>
  <c r="AA23" i="14" l="1"/>
  <c r="AB21" i="14"/>
  <c r="Z21" i="14"/>
  <c r="AA16" i="14"/>
  <c r="AB23" i="14"/>
  <c r="Z23" i="14"/>
  <c r="AA21" i="14"/>
  <c r="AB16" i="14"/>
  <c r="Z16" i="14"/>
  <c r="U18" i="15"/>
  <c r="T18" i="15"/>
  <c r="S18" i="15"/>
  <c r="R18" i="15"/>
  <c r="Q18" i="15"/>
  <c r="P18" i="15"/>
  <c r="O18" i="15"/>
  <c r="N18" i="15"/>
  <c r="M18" i="15"/>
  <c r="L18" i="15"/>
  <c r="K18" i="15"/>
  <c r="J18" i="15"/>
  <c r="I18" i="15"/>
  <c r="H18" i="15"/>
  <c r="G18" i="15"/>
  <c r="U16" i="15"/>
  <c r="T16" i="15"/>
  <c r="S16" i="15"/>
  <c r="R16" i="15"/>
  <c r="Q16" i="15"/>
  <c r="P16" i="15"/>
  <c r="O16" i="15"/>
  <c r="N16" i="15"/>
  <c r="M16" i="15"/>
  <c r="L16" i="15"/>
  <c r="K16" i="15"/>
  <c r="J16" i="15"/>
  <c r="I16" i="15"/>
  <c r="H16" i="15"/>
  <c r="G16" i="15"/>
  <c r="U13" i="15"/>
  <c r="T13" i="15"/>
  <c r="S13" i="15"/>
  <c r="R13" i="15"/>
  <c r="Q13" i="15"/>
  <c r="P13" i="15"/>
  <c r="O13" i="15"/>
  <c r="N13" i="15"/>
  <c r="M13" i="15"/>
  <c r="L13" i="15"/>
  <c r="K13" i="15"/>
  <c r="J13" i="15"/>
  <c r="I13" i="15"/>
  <c r="H13" i="15"/>
  <c r="G13" i="15"/>
  <c r="D17" i="29"/>
  <c r="E17" i="29"/>
  <c r="F17" i="29"/>
  <c r="G17" i="29"/>
  <c r="I17" i="29"/>
  <c r="J17" i="29"/>
  <c r="K17" i="29"/>
  <c r="L17" i="29"/>
  <c r="D15" i="29"/>
  <c r="E15" i="29"/>
  <c r="F15" i="29"/>
  <c r="G15" i="29"/>
  <c r="I15" i="29"/>
  <c r="J15" i="29"/>
  <c r="K15" i="29"/>
  <c r="L15" i="29"/>
  <c r="D12" i="29"/>
  <c r="E12" i="29"/>
  <c r="E18" i="29" s="1"/>
  <c r="E20" i="29" s="1"/>
  <c r="F12" i="29"/>
  <c r="F18" i="29" s="1"/>
  <c r="F20" i="29" s="1"/>
  <c r="G12" i="29"/>
  <c r="I12" i="29"/>
  <c r="I18" i="29" s="1"/>
  <c r="I20" i="29" s="1"/>
  <c r="J12" i="29"/>
  <c r="J18" i="29" s="1"/>
  <c r="J20" i="29" s="1"/>
  <c r="K12" i="29"/>
  <c r="L12" i="29"/>
  <c r="I7" i="29"/>
  <c r="J7" i="29"/>
  <c r="K7" i="29"/>
  <c r="L7" i="29"/>
  <c r="G7" i="29"/>
  <c r="F7" i="29"/>
  <c r="E7" i="29"/>
  <c r="D7" i="29"/>
  <c r="M15" i="29"/>
  <c r="M12" i="29"/>
  <c r="M7" i="29"/>
  <c r="H15" i="29"/>
  <c r="H12" i="29"/>
  <c r="H7" i="29"/>
  <c r="AE18" i="15"/>
  <c r="AD23" i="14" s="1"/>
  <c r="AD18" i="15"/>
  <c r="AC23" i="14" s="1"/>
  <c r="Z18" i="15"/>
  <c r="D23" i="14"/>
  <c r="D18" i="15"/>
  <c r="C23" i="14" s="1"/>
  <c r="D18" i="29" l="1"/>
  <c r="C26" i="14"/>
  <c r="C235" i="32"/>
  <c r="D26" i="14"/>
  <c r="D235" i="32"/>
  <c r="D236" i="32" s="1"/>
  <c r="X7" i="29"/>
  <c r="Y23" i="14"/>
  <c r="Y26" i="14" s="1"/>
  <c r="Z20" i="15"/>
  <c r="L18" i="29"/>
  <c r="L20" i="29" s="1"/>
  <c r="X15" i="29"/>
  <c r="K18" i="29"/>
  <c r="K20" i="29" s="1"/>
  <c r="X12" i="29"/>
  <c r="H18" i="29"/>
  <c r="H20" i="29" s="1"/>
  <c r="W15" i="29"/>
  <c r="G18" i="29"/>
  <c r="G20" i="29" s="1"/>
  <c r="W12" i="29"/>
  <c r="W7" i="29"/>
  <c r="Y17" i="15"/>
  <c r="M18" i="29"/>
  <c r="M20" i="29" s="1"/>
  <c r="F16" i="14"/>
  <c r="F128" i="32" s="1"/>
  <c r="J16" i="14"/>
  <c r="J128" i="32" s="1"/>
  <c r="L16" i="14"/>
  <c r="L128" i="32" s="1"/>
  <c r="P16" i="14"/>
  <c r="P128" i="32" s="1"/>
  <c r="R16" i="14"/>
  <c r="R128" i="32" s="1"/>
  <c r="G21" i="14"/>
  <c r="G204" i="32" s="1"/>
  <c r="I21" i="14"/>
  <c r="I204" i="32" s="1"/>
  <c r="M21" i="14"/>
  <c r="M204" i="32" s="1"/>
  <c r="O21" i="14"/>
  <c r="O204" i="32" s="1"/>
  <c r="S21" i="14"/>
  <c r="S204" i="32" s="1"/>
  <c r="F23" i="14"/>
  <c r="F235" i="32" s="1"/>
  <c r="J23" i="14"/>
  <c r="J235" i="32" s="1"/>
  <c r="L23" i="14"/>
  <c r="L235" i="32" s="1"/>
  <c r="P23" i="14"/>
  <c r="P235" i="32" s="1"/>
  <c r="R23" i="14"/>
  <c r="R235" i="32" s="1"/>
  <c r="E23" i="14"/>
  <c r="G16" i="14"/>
  <c r="G128" i="32" s="1"/>
  <c r="I16" i="14"/>
  <c r="I128" i="32" s="1"/>
  <c r="M16" i="14"/>
  <c r="M128" i="32" s="1"/>
  <c r="O16" i="14"/>
  <c r="O128" i="32" s="1"/>
  <c r="S16" i="14"/>
  <c r="S128" i="32" s="1"/>
  <c r="F21" i="14"/>
  <c r="F204" i="32" s="1"/>
  <c r="J21" i="14"/>
  <c r="J204" i="32" s="1"/>
  <c r="L21" i="14"/>
  <c r="L204" i="32" s="1"/>
  <c r="P21" i="14"/>
  <c r="P204" i="32" s="1"/>
  <c r="R21" i="14"/>
  <c r="R204" i="32" s="1"/>
  <c r="G23" i="14"/>
  <c r="G235" i="32" s="1"/>
  <c r="I23" i="14"/>
  <c r="I235" i="32" s="1"/>
  <c r="M23" i="14"/>
  <c r="M235" i="32" s="1"/>
  <c r="O23" i="14"/>
  <c r="O235" i="32" s="1"/>
  <c r="S23" i="14"/>
  <c r="S235" i="32" s="1"/>
  <c r="R18" i="29"/>
  <c r="T18" i="29"/>
  <c r="S18" i="29"/>
  <c r="D20" i="15"/>
  <c r="D20" i="29"/>
  <c r="D8" i="15"/>
  <c r="Z8" i="15"/>
  <c r="AE16" i="15"/>
  <c r="AD21" i="14" s="1"/>
  <c r="AD16" i="15"/>
  <c r="AC21" i="14" s="1"/>
  <c r="Z16" i="15"/>
  <c r="Y21" i="14" s="1"/>
  <c r="AE13" i="15"/>
  <c r="AD16" i="14" s="1"/>
  <c r="AD13" i="15"/>
  <c r="AC16" i="14" s="1"/>
  <c r="Z13" i="15"/>
  <c r="D16" i="15"/>
  <c r="D13" i="15"/>
  <c r="Y15" i="15"/>
  <c r="Y12" i="15"/>
  <c r="Y11" i="15"/>
  <c r="Y10" i="15"/>
  <c r="Y9" i="15"/>
  <c r="E235" i="32" l="1"/>
  <c r="AC235" i="32" s="1"/>
  <c r="AG23" i="14"/>
  <c r="X235" i="32"/>
  <c r="E236" i="32"/>
  <c r="D19" i="15"/>
  <c r="S20" i="29"/>
  <c r="T20" i="29"/>
  <c r="Y16" i="14"/>
  <c r="Y25" i="14" s="1"/>
  <c r="Y27" i="14" s="1"/>
  <c r="Z19" i="15"/>
  <c r="Z21" i="15" s="1"/>
  <c r="Y18" i="29"/>
  <c r="V18" i="29"/>
  <c r="V20" i="29" s="1"/>
  <c r="W6" i="29"/>
  <c r="X6" i="29"/>
  <c r="AN6" i="29" s="1"/>
  <c r="U18" i="29"/>
  <c r="X4" i="29"/>
  <c r="W4" i="29"/>
  <c r="Y18" i="15"/>
  <c r="X23" i="14"/>
  <c r="E26" i="14"/>
  <c r="AB18" i="29"/>
  <c r="AC18" i="29"/>
  <c r="AA18" i="29"/>
  <c r="Q16" i="14"/>
  <c r="Q128" i="32" s="1"/>
  <c r="K16" i="14"/>
  <c r="K128" i="32" s="1"/>
  <c r="Q23" i="14"/>
  <c r="Q235" i="32" s="1"/>
  <c r="K23" i="14"/>
  <c r="K235" i="32" s="1"/>
  <c r="T21" i="14"/>
  <c r="T204" i="32" s="1"/>
  <c r="N21" i="14"/>
  <c r="N204" i="32" s="1"/>
  <c r="H21" i="14"/>
  <c r="H204" i="32" s="1"/>
  <c r="D16" i="14"/>
  <c r="D128" i="32" s="1"/>
  <c r="D21" i="14"/>
  <c r="D204" i="32" s="1"/>
  <c r="D205" i="32" s="1"/>
  <c r="C16" i="14"/>
  <c r="C128" i="32" s="1"/>
  <c r="C21" i="14"/>
  <c r="C204" i="32" s="1"/>
  <c r="T23" i="14"/>
  <c r="T235" i="32" s="1"/>
  <c r="N23" i="14"/>
  <c r="N235" i="32" s="1"/>
  <c r="H23" i="14"/>
  <c r="H235" i="32" s="1"/>
  <c r="Q21" i="14"/>
  <c r="Q204" i="32" s="1"/>
  <c r="K21" i="14"/>
  <c r="K204" i="32" s="1"/>
  <c r="T16" i="14"/>
  <c r="T128" i="32" s="1"/>
  <c r="N16" i="14"/>
  <c r="N128" i="32" s="1"/>
  <c r="H16" i="14"/>
  <c r="H128" i="32" s="1"/>
  <c r="Y16" i="15"/>
  <c r="Y13" i="15"/>
  <c r="E12" i="28"/>
  <c r="F12" i="28"/>
  <c r="D12" i="28"/>
  <c r="E9" i="28"/>
  <c r="F9" i="28"/>
  <c r="D9" i="28"/>
  <c r="E6" i="28"/>
  <c r="F6" i="28"/>
  <c r="D6" i="28"/>
  <c r="C6" i="28"/>
  <c r="C12" i="28"/>
  <c r="C9" i="28"/>
  <c r="G12" i="28"/>
  <c r="G9" i="28"/>
  <c r="G6" i="28"/>
  <c r="H6" i="28"/>
  <c r="J6" i="28"/>
  <c r="K6" i="28"/>
  <c r="H9" i="28"/>
  <c r="J9" i="28"/>
  <c r="K9" i="28"/>
  <c r="H12" i="28"/>
  <c r="J12" i="28"/>
  <c r="K12" i="28"/>
  <c r="H13" i="28"/>
  <c r="J13" i="28"/>
  <c r="K13" i="28"/>
  <c r="H38" i="28"/>
  <c r="I38" i="28"/>
  <c r="J38" i="28"/>
  <c r="K38" i="28"/>
  <c r="H15" i="28"/>
  <c r="J15" i="28"/>
  <c r="K15" i="28"/>
  <c r="H16" i="28"/>
  <c r="J16" i="28"/>
  <c r="K16" i="28"/>
  <c r="H17" i="28"/>
  <c r="I17" i="28"/>
  <c r="J17" i="28"/>
  <c r="K17" i="28"/>
  <c r="I18" i="28"/>
  <c r="H19" i="28"/>
  <c r="J19" i="28"/>
  <c r="K19" i="28"/>
  <c r="H20" i="28"/>
  <c r="J20" i="28"/>
  <c r="K20" i="28"/>
  <c r="H21" i="28"/>
  <c r="J21" i="28"/>
  <c r="K21" i="28"/>
  <c r="H22" i="28"/>
  <c r="I22" i="28"/>
  <c r="J22" i="28"/>
  <c r="K22" i="28"/>
  <c r="H43" i="28"/>
  <c r="I43" i="28"/>
  <c r="J43" i="28"/>
  <c r="K43" i="28"/>
  <c r="H23" i="28"/>
  <c r="J23" i="28"/>
  <c r="K23" i="28"/>
  <c r="AN4" i="29" l="1"/>
  <c r="AM6" i="29"/>
  <c r="AL6" i="29"/>
  <c r="AK6" i="29"/>
  <c r="AJ6" i="29"/>
  <c r="AI6" i="29"/>
  <c r="AH6" i="29"/>
  <c r="AL4" i="29"/>
  <c r="AH4" i="29"/>
  <c r="AH18" i="29" s="1"/>
  <c r="AK4" i="29"/>
  <c r="AM4" i="29"/>
  <c r="AM18" i="29" s="1"/>
  <c r="AJ4" i="29"/>
  <c r="AI4" i="29"/>
  <c r="AA20" i="29"/>
  <c r="AC20" i="29"/>
  <c r="AB20" i="29"/>
  <c r="AS6" i="29"/>
  <c r="AP6" i="29"/>
  <c r="AR6" i="29"/>
  <c r="AQ6" i="29"/>
  <c r="X19" i="29"/>
  <c r="W19" i="29"/>
  <c r="AS4" i="29"/>
  <c r="AR4" i="29"/>
  <c r="AQ4" i="29"/>
  <c r="AP4" i="29"/>
  <c r="U20" i="29"/>
  <c r="X18" i="29"/>
  <c r="W18" i="29"/>
  <c r="C25" i="14"/>
  <c r="D25" i="14"/>
  <c r="D27" i="14" s="1"/>
  <c r="E45" i="13"/>
  <c r="E39" i="4" s="1"/>
  <c r="E26" i="13"/>
  <c r="E18" i="4" s="1"/>
  <c r="E25" i="13"/>
  <c r="E17" i="4" s="1"/>
  <c r="R20" i="29"/>
  <c r="E21" i="14"/>
  <c r="AG21" i="14" s="1"/>
  <c r="E16" i="14"/>
  <c r="D21" i="15"/>
  <c r="Z18" i="29"/>
  <c r="F26" i="28"/>
  <c r="E26" i="28"/>
  <c r="D26" i="28"/>
  <c r="C26" i="28"/>
  <c r="G26" i="28"/>
  <c r="V5" i="15" l="1"/>
  <c r="U5" i="14" s="1"/>
  <c r="AI19" i="29"/>
  <c r="J6" i="15"/>
  <c r="AK19" i="29"/>
  <c r="P6" i="15"/>
  <c r="AH19" i="29"/>
  <c r="AH20" i="29" s="1"/>
  <c r="G6" i="15"/>
  <c r="AB6" i="15"/>
  <c r="AS19" i="29"/>
  <c r="AF6" i="15"/>
  <c r="AR19" i="29"/>
  <c r="AE6" i="15"/>
  <c r="AL19" i="29"/>
  <c r="S6" i="15"/>
  <c r="AJ19" i="29"/>
  <c r="M6" i="15"/>
  <c r="AQ19" i="29"/>
  <c r="AD6" i="15"/>
  <c r="AN19" i="29"/>
  <c r="AA6" i="15"/>
  <c r="AP19" i="29"/>
  <c r="AC6" i="15"/>
  <c r="AM19" i="29"/>
  <c r="AM20" i="29" s="1"/>
  <c r="V6" i="15"/>
  <c r="V7" i="15"/>
  <c r="AM7" i="29"/>
  <c r="V19" i="15"/>
  <c r="E128" i="32"/>
  <c r="AC128" i="32" s="1"/>
  <c r="AG16" i="14"/>
  <c r="U25" i="14"/>
  <c r="U20" i="4" s="1"/>
  <c r="Y20" i="4" s="1"/>
  <c r="U20" i="32"/>
  <c r="X21" i="14"/>
  <c r="E204" i="32"/>
  <c r="AC204" i="32" s="1"/>
  <c r="AO4" i="29"/>
  <c r="Z20" i="29"/>
  <c r="AO6" i="29"/>
  <c r="AO19" i="29" s="1"/>
  <c r="AE5" i="15"/>
  <c r="AR7" i="29"/>
  <c r="AR18" i="29"/>
  <c r="AS7" i="29"/>
  <c r="AF5" i="15"/>
  <c r="AS18" i="29"/>
  <c r="AA7" i="15"/>
  <c r="AA5" i="15"/>
  <c r="AN7" i="29"/>
  <c r="AN18" i="29"/>
  <c r="AD7" i="15"/>
  <c r="AE7" i="15"/>
  <c r="AC7" i="15"/>
  <c r="AC5" i="15"/>
  <c r="AP7" i="29"/>
  <c r="AP18" i="29"/>
  <c r="AF7" i="15"/>
  <c r="AD5" i="15"/>
  <c r="AQ7" i="29"/>
  <c r="AQ18" i="29"/>
  <c r="AB7" i="15"/>
  <c r="X20" i="29"/>
  <c r="W20" i="29"/>
  <c r="X16" i="14"/>
  <c r="E25" i="14"/>
  <c r="E27" i="14" s="1"/>
  <c r="E27" i="13"/>
  <c r="E19" i="4" s="1"/>
  <c r="D25" i="13"/>
  <c r="D17" i="4" s="1"/>
  <c r="D45" i="13"/>
  <c r="D39" i="4" s="1"/>
  <c r="G7" i="15"/>
  <c r="G20" i="15" s="1"/>
  <c r="AH7" i="29"/>
  <c r="Y20" i="29"/>
  <c r="G5" i="15"/>
  <c r="V8" i="15" l="1"/>
  <c r="U6" i="14"/>
  <c r="F6" i="14"/>
  <c r="F21" i="32" s="1"/>
  <c r="W6" i="15"/>
  <c r="X6" i="15" s="1"/>
  <c r="Y6" i="15" s="1"/>
  <c r="AE6" i="14"/>
  <c r="K6" i="15"/>
  <c r="L6" i="15" s="1"/>
  <c r="AA6" i="14"/>
  <c r="AA26" i="14" s="1"/>
  <c r="H6" i="15"/>
  <c r="I6" i="15" s="1"/>
  <c r="Z6" i="14"/>
  <c r="Z26" i="14" s="1"/>
  <c r="T6" i="15"/>
  <c r="U6" i="15" s="1"/>
  <c r="AD6" i="14"/>
  <c r="AD26" i="14" s="1"/>
  <c r="Q6" i="15"/>
  <c r="R6" i="15" s="1"/>
  <c r="AC6" i="14"/>
  <c r="AC26" i="14" s="1"/>
  <c r="N6" i="15"/>
  <c r="O6" i="15" s="1"/>
  <c r="AB6" i="14"/>
  <c r="AB26" i="14" s="1"/>
  <c r="V20" i="15"/>
  <c r="V21" i="15" s="1"/>
  <c r="X128" i="32"/>
  <c r="E129" i="32"/>
  <c r="Y20" i="32"/>
  <c r="X204" i="32"/>
  <c r="AP20" i="29"/>
  <c r="AO7" i="29"/>
  <c r="AB5" i="15"/>
  <c r="K5" i="15" s="1"/>
  <c r="AO18" i="29"/>
  <c r="AO20" i="29" s="1"/>
  <c r="AN20" i="29"/>
  <c r="W7" i="15"/>
  <c r="AE26" i="14"/>
  <c r="AF20" i="15"/>
  <c r="AE5" i="14"/>
  <c r="W5" i="15"/>
  <c r="AF8" i="15"/>
  <c r="AF19" i="15"/>
  <c r="Z5" i="14"/>
  <c r="AA19" i="15"/>
  <c r="H5" i="15"/>
  <c r="AA8" i="15"/>
  <c r="AQ20" i="29"/>
  <c r="AC20" i="15"/>
  <c r="N7" i="15"/>
  <c r="AE20" i="15"/>
  <c r="T7" i="15"/>
  <c r="AA20" i="15"/>
  <c r="H7" i="15"/>
  <c r="AR20" i="29"/>
  <c r="G19" i="15"/>
  <c r="G21" i="15" s="1"/>
  <c r="AB20" i="15"/>
  <c r="K7" i="15"/>
  <c r="J5" i="15"/>
  <c r="AI18" i="29"/>
  <c r="AI20" i="29" s="1"/>
  <c r="AC19" i="15"/>
  <c r="N5" i="15"/>
  <c r="AB5" i="14"/>
  <c r="AC8" i="15"/>
  <c r="AD19" i="15"/>
  <c r="AC5" i="14"/>
  <c r="Q5" i="15"/>
  <c r="AD8" i="15"/>
  <c r="AD20" i="15"/>
  <c r="Q7" i="15"/>
  <c r="AS20" i="29"/>
  <c r="AE19" i="15"/>
  <c r="T5" i="15"/>
  <c r="AD5" i="14"/>
  <c r="AE8" i="15"/>
  <c r="J7" i="15"/>
  <c r="I6" i="14" s="1"/>
  <c r="AE11" i="24"/>
  <c r="G8" i="15"/>
  <c r="F5" i="14"/>
  <c r="AI7" i="29"/>
  <c r="AK18" i="29"/>
  <c r="M7" i="15"/>
  <c r="L6" i="14" s="1"/>
  <c r="AB19" i="15" l="1"/>
  <c r="AB21" i="15" s="1"/>
  <c r="U21" i="32"/>
  <c r="U7" i="14"/>
  <c r="U26" i="14"/>
  <c r="F25" i="14"/>
  <c r="F20" i="32"/>
  <c r="AE11" i="8"/>
  <c r="AJ11" i="24"/>
  <c r="AI11" i="8" s="1"/>
  <c r="AB8" i="15"/>
  <c r="AA5" i="14"/>
  <c r="AA7" i="14" s="1"/>
  <c r="AC21" i="15"/>
  <c r="AE21" i="15"/>
  <c r="AD21" i="15"/>
  <c r="AF21" i="15"/>
  <c r="P5" i="14"/>
  <c r="P20" i="32" s="1"/>
  <c r="Q19" i="15"/>
  <c r="Q8" i="15"/>
  <c r="G6" i="14"/>
  <c r="H20" i="15"/>
  <c r="S5" i="14"/>
  <c r="S20" i="32" s="1"/>
  <c r="T19" i="15"/>
  <c r="T8" i="15"/>
  <c r="AC7" i="14"/>
  <c r="AC25" i="14"/>
  <c r="AC27" i="14" s="1"/>
  <c r="J6" i="14"/>
  <c r="K20" i="15"/>
  <c r="G5" i="14"/>
  <c r="H19" i="15"/>
  <c r="H8" i="15"/>
  <c r="M20" i="15"/>
  <c r="I7" i="15"/>
  <c r="I20" i="15" s="1"/>
  <c r="S6" i="14"/>
  <c r="T20" i="15"/>
  <c r="AA21" i="15"/>
  <c r="X5" i="15"/>
  <c r="AH5" i="15" s="1"/>
  <c r="W8" i="15"/>
  <c r="V5" i="14"/>
  <c r="V20" i="32" s="1"/>
  <c r="W19" i="15"/>
  <c r="I5" i="14"/>
  <c r="I20" i="32" s="1"/>
  <c r="J19" i="15"/>
  <c r="L5" i="15"/>
  <c r="L19" i="15" s="1"/>
  <c r="AB7" i="14"/>
  <c r="AB25" i="14"/>
  <c r="AB27" i="14" s="1"/>
  <c r="AE7" i="14"/>
  <c r="AE25" i="14"/>
  <c r="AE27" i="14" s="1"/>
  <c r="AD7" i="14"/>
  <c r="AD25" i="14"/>
  <c r="AD27" i="14" s="1"/>
  <c r="Z7" i="14"/>
  <c r="Z25" i="14"/>
  <c r="Z27" i="14" s="1"/>
  <c r="P6" i="14"/>
  <c r="Q20" i="15"/>
  <c r="M5" i="14"/>
  <c r="M20" i="32" s="1"/>
  <c r="N19" i="15"/>
  <c r="N8" i="15"/>
  <c r="I5" i="15"/>
  <c r="I19" i="15" s="1"/>
  <c r="J20" i="15"/>
  <c r="M6" i="14"/>
  <c r="N20" i="15"/>
  <c r="AJ7" i="29"/>
  <c r="AJ18" i="29"/>
  <c r="AJ20" i="29" s="1"/>
  <c r="J5" i="14"/>
  <c r="J20" i="32" s="1"/>
  <c r="K19" i="15"/>
  <c r="K8" i="15"/>
  <c r="X7" i="15"/>
  <c r="AH7" i="15" s="1"/>
  <c r="V6" i="14"/>
  <c r="V21" i="32" s="1"/>
  <c r="Z21" i="32" s="1"/>
  <c r="W20" i="15"/>
  <c r="F26" i="14"/>
  <c r="AC11" i="24"/>
  <c r="AE13" i="24"/>
  <c r="AF11" i="24"/>
  <c r="AE22" i="24"/>
  <c r="AJ22" i="24" s="1"/>
  <c r="AE21" i="24"/>
  <c r="AJ21" i="24" s="1"/>
  <c r="AE14" i="24"/>
  <c r="L7" i="15"/>
  <c r="J8" i="15"/>
  <c r="AK20" i="29"/>
  <c r="AE17" i="24"/>
  <c r="F7" i="14"/>
  <c r="M5" i="15"/>
  <c r="M19" i="15" s="1"/>
  <c r="O7" i="15"/>
  <c r="O20" i="15" s="1"/>
  <c r="P5" i="15"/>
  <c r="AL18" i="29"/>
  <c r="U21" i="4" l="1"/>
  <c r="Y21" i="4" s="1"/>
  <c r="Y22" i="4" s="1"/>
  <c r="U27" i="14"/>
  <c r="U22" i="4" s="1"/>
  <c r="Y21" i="32"/>
  <c r="Y22" i="32" s="1"/>
  <c r="U22" i="32"/>
  <c r="F27" i="14"/>
  <c r="AA25" i="14"/>
  <c r="AA27" i="14" s="1"/>
  <c r="S26" i="14"/>
  <c r="S21" i="32"/>
  <c r="S22" i="32" s="1"/>
  <c r="J26" i="14"/>
  <c r="J21" i="32"/>
  <c r="J22" i="32" s="1"/>
  <c r="Z20" i="32"/>
  <c r="Z22" i="32" s="1"/>
  <c r="V22" i="32"/>
  <c r="M26" i="14"/>
  <c r="M21" i="32"/>
  <c r="M22" i="32" s="1"/>
  <c r="P26" i="14"/>
  <c r="P21" i="32"/>
  <c r="P22" i="32" s="1"/>
  <c r="H21" i="15"/>
  <c r="H5" i="14"/>
  <c r="H25" i="14" s="1"/>
  <c r="G20" i="32"/>
  <c r="G26" i="14"/>
  <c r="G21" i="32"/>
  <c r="L26" i="14"/>
  <c r="L21" i="32"/>
  <c r="I26" i="14"/>
  <c r="I21" i="32"/>
  <c r="I22" i="32" s="1"/>
  <c r="F22" i="32"/>
  <c r="AJ17" i="24"/>
  <c r="AJ14" i="24"/>
  <c r="AC13" i="24"/>
  <c r="AC11" i="8"/>
  <c r="I8" i="15"/>
  <c r="M21" i="15"/>
  <c r="H6" i="14"/>
  <c r="I7" i="14"/>
  <c r="Q21" i="15"/>
  <c r="K6" i="14"/>
  <c r="N6" i="14"/>
  <c r="W5" i="14"/>
  <c r="V7" i="14"/>
  <c r="V25" i="14"/>
  <c r="X20" i="15"/>
  <c r="Y7" i="15"/>
  <c r="T21" i="15"/>
  <c r="L8" i="15"/>
  <c r="L20" i="15"/>
  <c r="L21" i="15" s="1"/>
  <c r="X8" i="15"/>
  <c r="X19" i="15"/>
  <c r="AH19" i="15" s="1"/>
  <c r="Y5" i="15"/>
  <c r="S7" i="14"/>
  <c r="S25" i="14"/>
  <c r="O5" i="14"/>
  <c r="P19" i="15"/>
  <c r="V26" i="14"/>
  <c r="V21" i="4" s="1"/>
  <c r="Z21" i="4" s="1"/>
  <c r="W6" i="14"/>
  <c r="M7" i="14"/>
  <c r="M25" i="14"/>
  <c r="K21" i="15"/>
  <c r="G7" i="14"/>
  <c r="G25" i="14"/>
  <c r="G27" i="14" s="1"/>
  <c r="J7" i="14"/>
  <c r="J25" i="14"/>
  <c r="J27" i="14" s="1"/>
  <c r="I21" i="15"/>
  <c r="J21" i="15"/>
  <c r="I25" i="14"/>
  <c r="I27" i="14" s="1"/>
  <c r="K5" i="14"/>
  <c r="N21" i="15"/>
  <c r="W21" i="15"/>
  <c r="P7" i="14"/>
  <c r="P25" i="14"/>
  <c r="AC14" i="24"/>
  <c r="AF14" i="24"/>
  <c r="AC21" i="24"/>
  <c r="AF21" i="24"/>
  <c r="AC22" i="24"/>
  <c r="AF22" i="24"/>
  <c r="AC17" i="24"/>
  <c r="AF17" i="24"/>
  <c r="AE16" i="24"/>
  <c r="AE5" i="24"/>
  <c r="AK7" i="29"/>
  <c r="P7" i="15"/>
  <c r="O6" i="14" s="1"/>
  <c r="AL20" i="29"/>
  <c r="AE20" i="24"/>
  <c r="AE8" i="24"/>
  <c r="O5" i="15"/>
  <c r="O19" i="15" s="1"/>
  <c r="O21" i="15" s="1"/>
  <c r="L5" i="14"/>
  <c r="M8" i="15"/>
  <c r="S5" i="15"/>
  <c r="R5" i="15"/>
  <c r="R19" i="15" s="1"/>
  <c r="P27" i="14" l="1"/>
  <c r="S27" i="14"/>
  <c r="Y8" i="15"/>
  <c r="AH8" i="15"/>
  <c r="Y20" i="15"/>
  <c r="AH20" i="15"/>
  <c r="M27" i="14"/>
  <c r="W21" i="32"/>
  <c r="AG6" i="14"/>
  <c r="W20" i="32"/>
  <c r="AG5" i="14"/>
  <c r="H20" i="32"/>
  <c r="G22" i="32"/>
  <c r="AA21" i="32"/>
  <c r="N26" i="14"/>
  <c r="N21" i="32"/>
  <c r="K26" i="14"/>
  <c r="K21" i="32"/>
  <c r="O25" i="14"/>
  <c r="O20" i="32"/>
  <c r="L25" i="14"/>
  <c r="L27" i="14" s="1"/>
  <c r="L20" i="32"/>
  <c r="K25" i="14"/>
  <c r="K20" i="32"/>
  <c r="H26" i="14"/>
  <c r="H27" i="14" s="1"/>
  <c r="H21" i="32"/>
  <c r="AJ20" i="24"/>
  <c r="AE16" i="8"/>
  <c r="AJ16" i="24"/>
  <c r="AI16" i="8" s="1"/>
  <c r="AA124" i="32" s="1"/>
  <c r="AE8" i="8"/>
  <c r="AJ8" i="24"/>
  <c r="AI8" i="8" s="1"/>
  <c r="AE5" i="8"/>
  <c r="AJ5" i="24"/>
  <c r="AI5" i="8" s="1"/>
  <c r="H7" i="14"/>
  <c r="Q5" i="14"/>
  <c r="K7" i="14"/>
  <c r="V27" i="14"/>
  <c r="V22" i="4" s="1"/>
  <c r="V20" i="4"/>
  <c r="Z20" i="4" s="1"/>
  <c r="Z22" i="4" s="1"/>
  <c r="R5" i="14"/>
  <c r="S19" i="15"/>
  <c r="P20" i="15"/>
  <c r="P21" i="15" s="1"/>
  <c r="X21" i="15"/>
  <c r="Y19" i="15"/>
  <c r="W26" i="14"/>
  <c r="X6" i="14"/>
  <c r="W7" i="14"/>
  <c r="W25" i="14"/>
  <c r="AG25" i="14" s="1"/>
  <c r="X5" i="14"/>
  <c r="AC5" i="24"/>
  <c r="AC5" i="8" s="1"/>
  <c r="AC7" i="8" s="1"/>
  <c r="AE7" i="24"/>
  <c r="AE25" i="24"/>
  <c r="AF5" i="24"/>
  <c r="AC20" i="24"/>
  <c r="AF20" i="24"/>
  <c r="AC8" i="24"/>
  <c r="AE10" i="24"/>
  <c r="AF8" i="24"/>
  <c r="AC16" i="24"/>
  <c r="AC16" i="8" s="1"/>
  <c r="U124" i="32" s="1"/>
  <c r="AF16" i="24"/>
  <c r="S7" i="15"/>
  <c r="R6" i="14" s="1"/>
  <c r="P8" i="15"/>
  <c r="R7" i="15"/>
  <c r="R20" i="15" s="1"/>
  <c r="R21" i="15" s="1"/>
  <c r="AL7" i="29"/>
  <c r="O8" i="15"/>
  <c r="L7" i="14"/>
  <c r="N5" i="14"/>
  <c r="U5" i="15"/>
  <c r="U19" i="15" s="1"/>
  <c r="M13" i="24"/>
  <c r="M10" i="24"/>
  <c r="M7" i="24"/>
  <c r="X21" i="32" l="1"/>
  <c r="AC21" i="32"/>
  <c r="AA20" i="32"/>
  <c r="AA22" i="32" s="1"/>
  <c r="AC20" i="32"/>
  <c r="AM10" i="24"/>
  <c r="AF13" i="24"/>
  <c r="AM13" i="24"/>
  <c r="AM7" i="24"/>
  <c r="Y21" i="15"/>
  <c r="AH21" i="15"/>
  <c r="V15" i="9"/>
  <c r="AL16" i="8"/>
  <c r="W124" i="32"/>
  <c r="H22" i="32"/>
  <c r="K27" i="14"/>
  <c r="X20" i="32"/>
  <c r="W22" i="32"/>
  <c r="W21" i="4"/>
  <c r="AA21" i="4" s="1"/>
  <c r="AG26" i="14"/>
  <c r="R25" i="14"/>
  <c r="R20" i="32"/>
  <c r="Q25" i="14"/>
  <c r="Q20" i="32"/>
  <c r="L22" i="32"/>
  <c r="Q6" i="14"/>
  <c r="Q7" i="14" s="1"/>
  <c r="O21" i="32"/>
  <c r="N25" i="14"/>
  <c r="N27" i="14" s="1"/>
  <c r="N20" i="32"/>
  <c r="K22" i="32"/>
  <c r="AC10" i="24"/>
  <c r="AC8" i="8"/>
  <c r="AC10" i="8" s="1"/>
  <c r="AE10" i="8"/>
  <c r="V4" i="9"/>
  <c r="AF4" i="9" s="1"/>
  <c r="AE7" i="8"/>
  <c r="O7" i="14"/>
  <c r="W20" i="4"/>
  <c r="AA20" i="4" s="1"/>
  <c r="W27" i="14"/>
  <c r="S20" i="15"/>
  <c r="S21" i="15" s="1"/>
  <c r="T5" i="14"/>
  <c r="O26" i="14"/>
  <c r="O27" i="14" s="1"/>
  <c r="AF10" i="24"/>
  <c r="AF7" i="24"/>
  <c r="AE27" i="24"/>
  <c r="AF25" i="24"/>
  <c r="AC25" i="24"/>
  <c r="AC27" i="24" s="1"/>
  <c r="AC7" i="24"/>
  <c r="N7" i="14"/>
  <c r="U7" i="15"/>
  <c r="U20" i="15" s="1"/>
  <c r="U21" i="15" s="1"/>
  <c r="S8" i="15"/>
  <c r="R8" i="15"/>
  <c r="X22" i="32" l="1"/>
  <c r="AC22" i="32"/>
  <c r="AF27" i="24"/>
  <c r="AM27" i="24"/>
  <c r="AC124" i="32"/>
  <c r="X124" i="32"/>
  <c r="W15" i="9"/>
  <c r="AG15" i="9" s="1"/>
  <c r="AF15" i="9"/>
  <c r="AA22" i="4"/>
  <c r="W22" i="4"/>
  <c r="AG27" i="14"/>
  <c r="T25" i="14"/>
  <c r="T20" i="32"/>
  <c r="Q26" i="14"/>
  <c r="Q27" i="14" s="1"/>
  <c r="Q21" i="32"/>
  <c r="Q22" i="32" s="1"/>
  <c r="R26" i="14"/>
  <c r="R27" i="14" s="1"/>
  <c r="R21" i="32"/>
  <c r="R22" i="32" s="1"/>
  <c r="N22" i="32"/>
  <c r="O22" i="32"/>
  <c r="V9" i="9"/>
  <c r="V6" i="9"/>
  <c r="W4" i="9"/>
  <c r="T6" i="14"/>
  <c r="R7" i="14"/>
  <c r="U8" i="15"/>
  <c r="W6" i="9" l="1"/>
  <c r="W9" i="9"/>
  <c r="T26" i="14"/>
  <c r="T27" i="14" s="1"/>
  <c r="T21" i="32"/>
  <c r="T7" i="14"/>
  <c r="Z10" i="12"/>
  <c r="S10" i="12"/>
  <c r="P10" i="12"/>
  <c r="M10" i="12"/>
  <c r="J10" i="12"/>
  <c r="H41" i="28"/>
  <c r="H7" i="28"/>
  <c r="H10" i="28"/>
  <c r="N24" i="26"/>
  <c r="T22" i="32" l="1"/>
  <c r="M24" i="26"/>
  <c r="H4" i="28"/>
  <c r="K24" i="26"/>
  <c r="G26" i="26"/>
  <c r="D26" i="26"/>
  <c r="E26" i="26"/>
  <c r="K7" i="28"/>
  <c r="J24" i="26"/>
  <c r="K4" i="28"/>
  <c r="K10" i="28"/>
  <c r="K41" i="28"/>
  <c r="F26" i="26"/>
  <c r="J7" i="28"/>
  <c r="J4" i="28"/>
  <c r="J10" i="28"/>
  <c r="J41" i="28"/>
  <c r="H5" i="28"/>
  <c r="J5" i="28"/>
  <c r="K8" i="28"/>
  <c r="I8" i="28"/>
  <c r="K11" i="28"/>
  <c r="I11" i="28"/>
  <c r="K5" i="28"/>
  <c r="I5" i="28"/>
  <c r="H8" i="28"/>
  <c r="J8" i="28"/>
  <c r="H11" i="28"/>
  <c r="J11" i="28"/>
  <c r="K24" i="28"/>
  <c r="J24" i="28"/>
  <c r="C26" i="26"/>
  <c r="I26" i="26"/>
  <c r="J21" i="26"/>
  <c r="J19" i="26"/>
  <c r="J13" i="26"/>
  <c r="J4" i="26"/>
  <c r="D12" i="26"/>
  <c r="E12" i="26"/>
  <c r="F12" i="26"/>
  <c r="I12" i="26" s="1"/>
  <c r="G12" i="26"/>
  <c r="D9" i="26"/>
  <c r="E9" i="26"/>
  <c r="F9" i="26"/>
  <c r="G9" i="26"/>
  <c r="C12" i="26"/>
  <c r="C9" i="26"/>
  <c r="D6" i="26"/>
  <c r="E6" i="26"/>
  <c r="F6" i="26"/>
  <c r="G6" i="26"/>
  <c r="C6" i="26"/>
  <c r="I6" i="26" s="1"/>
  <c r="J5" i="26"/>
  <c r="J11" i="26"/>
  <c r="J14" i="26"/>
  <c r="J40" i="26"/>
  <c r="J41" i="26"/>
  <c r="J20" i="26"/>
  <c r="J22" i="26"/>
  <c r="J42" i="26"/>
  <c r="S21" i="4"/>
  <c r="P21" i="4"/>
  <c r="M21" i="4"/>
  <c r="J21" i="4"/>
  <c r="G21" i="4"/>
  <c r="D21" i="4"/>
  <c r="Y10" i="14"/>
  <c r="Y7" i="14"/>
  <c r="E13" i="14"/>
  <c r="AG13" i="14" s="1"/>
  <c r="E10" i="14"/>
  <c r="AG10" i="14" s="1"/>
  <c r="E7" i="14"/>
  <c r="C13" i="14"/>
  <c r="C10" i="14"/>
  <c r="C7" i="14"/>
  <c r="S20" i="4"/>
  <c r="M20" i="4"/>
  <c r="G20" i="4"/>
  <c r="C17" i="4"/>
  <c r="E13" i="13"/>
  <c r="D13" i="13"/>
  <c r="E10" i="13"/>
  <c r="D10" i="13"/>
  <c r="E7" i="13"/>
  <c r="C13" i="13"/>
  <c r="C10" i="13"/>
  <c r="C15" i="4"/>
  <c r="C14" i="4"/>
  <c r="C13" i="12"/>
  <c r="C10" i="12"/>
  <c r="C7" i="12"/>
  <c r="E13" i="11"/>
  <c r="D13" i="11"/>
  <c r="E7" i="11"/>
  <c r="D7" i="11"/>
  <c r="C13" i="11"/>
  <c r="C10" i="11"/>
  <c r="C7" i="11"/>
  <c r="X13" i="11" l="1"/>
  <c r="AK13" i="11"/>
  <c r="X7" i="14"/>
  <c r="AG7" i="14"/>
  <c r="X7" i="11"/>
  <c r="AK7" i="11"/>
  <c r="E25" i="12"/>
  <c r="E26" i="12"/>
  <c r="E45" i="12"/>
  <c r="E38" i="4" s="1"/>
  <c r="H6" i="26"/>
  <c r="H9" i="26"/>
  <c r="H26" i="26"/>
  <c r="J26" i="26" s="1"/>
  <c r="H12" i="26"/>
  <c r="C27" i="11"/>
  <c r="C13" i="4" s="1"/>
  <c r="E10" i="12"/>
  <c r="E7" i="12"/>
  <c r="H24" i="28"/>
  <c r="H20" i="4"/>
  <c r="T20" i="4"/>
  <c r="I20" i="4"/>
  <c r="K20" i="4"/>
  <c r="I21" i="4"/>
  <c r="K21" i="4"/>
  <c r="O21" i="4"/>
  <c r="Q21" i="4"/>
  <c r="C20" i="4"/>
  <c r="O20" i="4"/>
  <c r="Q20" i="4"/>
  <c r="C21" i="4"/>
  <c r="F21" i="4"/>
  <c r="H21" i="4"/>
  <c r="L21" i="4"/>
  <c r="N21" i="4"/>
  <c r="R21" i="4"/>
  <c r="T21" i="4"/>
  <c r="N20" i="4"/>
  <c r="D22" i="4"/>
  <c r="D20" i="4"/>
  <c r="F20" i="4"/>
  <c r="J22" i="4"/>
  <c r="J20" i="4"/>
  <c r="L20" i="4"/>
  <c r="P22" i="4"/>
  <c r="P20" i="4"/>
  <c r="R20" i="4"/>
  <c r="E13" i="12"/>
  <c r="J25" i="26"/>
  <c r="D43" i="12"/>
  <c r="D44" i="12"/>
  <c r="D338" i="32" s="1"/>
  <c r="D341" i="32" s="1"/>
  <c r="D42" i="12"/>
  <c r="J16" i="26"/>
  <c r="J15" i="26"/>
  <c r="G22" i="4"/>
  <c r="M22" i="4"/>
  <c r="S22" i="4"/>
  <c r="C27" i="14"/>
  <c r="C27" i="12"/>
  <c r="C16" i="4" s="1"/>
  <c r="AF24" i="8"/>
  <c r="AF19" i="8"/>
  <c r="AF18" i="8"/>
  <c r="AF16" i="8"/>
  <c r="AF9" i="8"/>
  <c r="AF5" i="8"/>
  <c r="K24" i="24"/>
  <c r="K24" i="8" s="1"/>
  <c r="C246" i="32" s="1"/>
  <c r="K48" i="24"/>
  <c r="K23" i="24"/>
  <c r="K23" i="8" s="1"/>
  <c r="C231" i="32" s="1"/>
  <c r="K22" i="24"/>
  <c r="K21" i="24"/>
  <c r="K20" i="24"/>
  <c r="K47" i="24"/>
  <c r="K46" i="24"/>
  <c r="K45" i="24"/>
  <c r="K44" i="24"/>
  <c r="K19" i="24"/>
  <c r="K19" i="8" s="1"/>
  <c r="C169" i="32" s="1"/>
  <c r="K18" i="24"/>
  <c r="K18" i="8" s="1"/>
  <c r="C154" i="32" s="1"/>
  <c r="K17" i="24"/>
  <c r="K16" i="24"/>
  <c r="K43" i="24"/>
  <c r="K38" i="8" s="1"/>
  <c r="C261" i="32" s="1"/>
  <c r="K15" i="24"/>
  <c r="K14" i="24"/>
  <c r="K13" i="24"/>
  <c r="K12" i="24"/>
  <c r="K11" i="24"/>
  <c r="K10" i="24"/>
  <c r="K9" i="24"/>
  <c r="K9" i="8" s="1"/>
  <c r="C38" i="32" s="1"/>
  <c r="K8" i="24"/>
  <c r="K7" i="24"/>
  <c r="AB46" i="3"/>
  <c r="W46" i="3"/>
  <c r="M46" i="3"/>
  <c r="R11" i="28"/>
  <c r="Q11" i="28"/>
  <c r="P11" i="28"/>
  <c r="O11" i="28"/>
  <c r="AL8" i="3"/>
  <c r="AL5" i="3"/>
  <c r="C39" i="32" l="1"/>
  <c r="C53" i="32"/>
  <c r="K39" i="8"/>
  <c r="C276" i="32" s="1"/>
  <c r="K49" i="24"/>
  <c r="E21" i="4"/>
  <c r="X26" i="14"/>
  <c r="E20" i="4"/>
  <c r="X25" i="14"/>
  <c r="K26" i="24"/>
  <c r="D36" i="9"/>
  <c r="AF39" i="8"/>
  <c r="D37" i="9"/>
  <c r="AF40" i="8"/>
  <c r="D39" i="9"/>
  <c r="D35" i="9"/>
  <c r="AF38" i="8"/>
  <c r="AH25" i="8"/>
  <c r="Z8" i="4" s="1"/>
  <c r="L25" i="8"/>
  <c r="D8" i="4" s="1"/>
  <c r="Y10" i="9"/>
  <c r="AF11" i="8"/>
  <c r="Y7" i="9"/>
  <c r="AF8" i="8"/>
  <c r="O25" i="8"/>
  <c r="G8" i="4" s="1"/>
  <c r="R25" i="8"/>
  <c r="J8" i="4" s="1"/>
  <c r="U25" i="8"/>
  <c r="M8" i="4" s="1"/>
  <c r="X25" i="8"/>
  <c r="P8" i="4" s="1"/>
  <c r="AA25" i="8"/>
  <c r="S8" i="4" s="1"/>
  <c r="D25" i="12"/>
  <c r="D14" i="4" s="1"/>
  <c r="D26" i="12"/>
  <c r="E27" i="12"/>
  <c r="D45" i="12"/>
  <c r="D38" i="4" s="1"/>
  <c r="E15" i="4"/>
  <c r="M26" i="3"/>
  <c r="W26" i="3"/>
  <c r="AB26" i="3"/>
  <c r="H26" i="3"/>
  <c r="R26" i="3"/>
  <c r="D7" i="12"/>
  <c r="D13" i="12"/>
  <c r="J12" i="26"/>
  <c r="J6" i="26"/>
  <c r="AH7" i="8"/>
  <c r="D10" i="12"/>
  <c r="R8" i="28"/>
  <c r="Q8" i="28"/>
  <c r="P8" i="28"/>
  <c r="O8" i="28"/>
  <c r="D9" i="6"/>
  <c r="N11" i="28"/>
  <c r="E9" i="6"/>
  <c r="Y8" i="9"/>
  <c r="E14" i="4"/>
  <c r="I22" i="4"/>
  <c r="K22" i="4"/>
  <c r="C22" i="4"/>
  <c r="O22" i="4"/>
  <c r="Q22" i="4"/>
  <c r="R22" i="4"/>
  <c r="T22" i="4"/>
  <c r="L22" i="4"/>
  <c r="N22" i="4"/>
  <c r="F22" i="4"/>
  <c r="H22" i="4"/>
  <c r="Y15" i="9"/>
  <c r="Y17" i="9"/>
  <c r="Y18" i="9"/>
  <c r="Y23" i="9"/>
  <c r="G9" i="3"/>
  <c r="AH13" i="8"/>
  <c r="AH10" i="8"/>
  <c r="F10" i="12"/>
  <c r="J9" i="8"/>
  <c r="J38" i="8"/>
  <c r="J39" i="8"/>
  <c r="J5" i="8"/>
  <c r="J8" i="8"/>
  <c r="G10" i="12"/>
  <c r="L7" i="8"/>
  <c r="R7" i="8"/>
  <c r="X7" i="8"/>
  <c r="L10" i="8"/>
  <c r="R10" i="8"/>
  <c r="X10" i="8"/>
  <c r="L13" i="8"/>
  <c r="R13" i="8"/>
  <c r="X13" i="8"/>
  <c r="M10" i="8"/>
  <c r="O10" i="8"/>
  <c r="U10" i="8"/>
  <c r="AA10" i="8"/>
  <c r="O13" i="8"/>
  <c r="U13" i="8"/>
  <c r="AA13" i="8"/>
  <c r="O7" i="8"/>
  <c r="U7" i="8"/>
  <c r="AA7" i="8"/>
  <c r="AL11" i="3"/>
  <c r="AF10" i="8" l="1"/>
  <c r="AL10" i="8"/>
  <c r="Y37" i="9"/>
  <c r="AF37" i="9"/>
  <c r="Y36" i="9"/>
  <c r="AF36" i="9"/>
  <c r="Y35" i="9"/>
  <c r="AF35" i="9"/>
  <c r="AO9" i="3"/>
  <c r="AS9" i="3"/>
  <c r="X20" i="4"/>
  <c r="AC20" i="4"/>
  <c r="X21" i="4"/>
  <c r="AC21" i="4"/>
  <c r="E22" i="4"/>
  <c r="X27" i="14"/>
  <c r="C10" i="8"/>
  <c r="N5" i="28"/>
  <c r="Q5" i="28"/>
  <c r="O5" i="28"/>
  <c r="P5" i="28"/>
  <c r="R5" i="28"/>
  <c r="D27" i="12"/>
  <c r="D16" i="4" s="1"/>
  <c r="E16" i="4"/>
  <c r="Y8" i="28"/>
  <c r="W8" i="28"/>
  <c r="X8" i="28"/>
  <c r="V8" i="28"/>
  <c r="N8" i="28"/>
  <c r="AB9" i="24"/>
  <c r="AB9" i="8" s="1"/>
  <c r="Y9" i="24"/>
  <c r="Y9" i="8" s="1"/>
  <c r="V9" i="24"/>
  <c r="V9" i="8" s="1"/>
  <c r="S9" i="24"/>
  <c r="S9" i="8" s="1"/>
  <c r="P9" i="24"/>
  <c r="P9" i="8" s="1"/>
  <c r="D15" i="4"/>
  <c r="W11" i="28"/>
  <c r="X11" i="28"/>
  <c r="V11" i="28"/>
  <c r="C9" i="6"/>
  <c r="Z8" i="9"/>
  <c r="D9" i="9"/>
  <c r="Y11" i="28"/>
  <c r="K10" i="8"/>
  <c r="Y9" i="9" l="1"/>
  <c r="AF9" i="9"/>
  <c r="M8" i="9"/>
  <c r="N8" i="9" s="1"/>
  <c r="N38" i="32"/>
  <c r="N39" i="32" s="1"/>
  <c r="P8" i="9"/>
  <c r="Q8" i="9" s="1"/>
  <c r="Q38" i="32"/>
  <c r="Q39" i="32" s="1"/>
  <c r="J8" i="9"/>
  <c r="K8" i="9" s="1"/>
  <c r="K38" i="32"/>
  <c r="K39" i="32" s="1"/>
  <c r="G8" i="9"/>
  <c r="H8" i="9" s="1"/>
  <c r="H38" i="32"/>
  <c r="H39" i="32" s="1"/>
  <c r="S8" i="9"/>
  <c r="T8" i="9" s="1"/>
  <c r="T38" i="32"/>
  <c r="T39" i="32" s="1"/>
  <c r="J10" i="8"/>
  <c r="AK10" i="8"/>
  <c r="X22" i="4"/>
  <c r="AC22" i="4"/>
  <c r="Y5" i="28"/>
  <c r="W5" i="28"/>
  <c r="Z9" i="24"/>
  <c r="Z9" i="8" s="1"/>
  <c r="R38" i="32" s="1"/>
  <c r="R39" i="32" s="1"/>
  <c r="W9" i="24"/>
  <c r="W9" i="8" s="1"/>
  <c r="O38" i="32" s="1"/>
  <c r="O39" i="32" s="1"/>
  <c r="T9" i="24"/>
  <c r="T9" i="8" s="1"/>
  <c r="L38" i="32" s="1"/>
  <c r="L39" i="32" s="1"/>
  <c r="Q9" i="24"/>
  <c r="Q9" i="8" s="1"/>
  <c r="I38" i="32" s="1"/>
  <c r="I39" i="32" s="1"/>
  <c r="N9" i="24"/>
  <c r="N9" i="8" s="1"/>
  <c r="F38" i="32" s="1"/>
  <c r="F39" i="32" s="1"/>
  <c r="V5" i="28"/>
  <c r="X5" i="28"/>
  <c r="AH9" i="24" l="1"/>
  <c r="AG9" i="8" s="1"/>
  <c r="Y38" i="32" s="1"/>
  <c r="Y39" i="32" s="1"/>
  <c r="M7" i="23"/>
  <c r="AI95" i="23"/>
  <c r="AG95" i="23" s="1"/>
  <c r="AI98" i="23"/>
  <c r="AG98" i="23" s="1"/>
  <c r="N59" i="22"/>
  <c r="I59" i="22"/>
  <c r="N35" i="22"/>
  <c r="N14" i="22"/>
  <c r="I35" i="22"/>
  <c r="I14" i="22"/>
  <c r="AH44" i="8"/>
  <c r="Z36" i="4" s="1"/>
  <c r="AA44" i="8"/>
  <c r="S36" i="4" s="1"/>
  <c r="X44" i="8"/>
  <c r="P36" i="4" s="1"/>
  <c r="U44" i="8"/>
  <c r="M36" i="4" s="1"/>
  <c r="R44" i="8"/>
  <c r="J36" i="4" s="1"/>
  <c r="O44" i="8"/>
  <c r="G36" i="4" s="1"/>
  <c r="L44" i="8"/>
  <c r="D36" i="4" s="1"/>
  <c r="D41" i="4" s="1"/>
  <c r="AC74" i="23"/>
  <c r="Z74" i="23"/>
  <c r="W74" i="23"/>
  <c r="T74" i="23"/>
  <c r="Q74" i="23"/>
  <c r="N74" i="23"/>
  <c r="K56" i="23"/>
  <c r="K61" i="23"/>
  <c r="K16" i="23"/>
  <c r="K37" i="23"/>
  <c r="AL98" i="23" l="1"/>
  <c r="AH98" i="23"/>
  <c r="AL95" i="23"/>
  <c r="AH95" i="23"/>
  <c r="D40" i="9"/>
  <c r="AF43" i="8"/>
  <c r="AE98" i="23"/>
  <c r="AG100" i="23"/>
  <c r="AK74" i="23"/>
  <c r="K72" i="23"/>
  <c r="I72" i="22"/>
  <c r="I74" i="22" s="1"/>
  <c r="N72" i="22"/>
  <c r="N74" i="22" s="1"/>
  <c r="P33" i="22"/>
  <c r="P96" i="22"/>
  <c r="AI101" i="23" s="1"/>
  <c r="AG101" i="23" s="1"/>
  <c r="P6" i="22"/>
  <c r="P10" i="22"/>
  <c r="AI52" i="23"/>
  <c r="AG52" i="23" s="1"/>
  <c r="AI60" i="23"/>
  <c r="AG60" i="23" s="1"/>
  <c r="AI58" i="23"/>
  <c r="AG58" i="23" s="1"/>
  <c r="AI55" i="23"/>
  <c r="AG55" i="23" s="1"/>
  <c r="AI53" i="23"/>
  <c r="AG53" i="23" s="1"/>
  <c r="AI48" i="23"/>
  <c r="AG48" i="23" s="1"/>
  <c r="AI46" i="23"/>
  <c r="AG46" i="23" s="1"/>
  <c r="AI42" i="23"/>
  <c r="AG42" i="23" s="1"/>
  <c r="AI36" i="23"/>
  <c r="AG36" i="23" s="1"/>
  <c r="AI14" i="23"/>
  <c r="AG14" i="23" s="1"/>
  <c r="AI11" i="23"/>
  <c r="AG11" i="23" s="1"/>
  <c r="AI59" i="23"/>
  <c r="AG59" i="23" s="1"/>
  <c r="AI57" i="23"/>
  <c r="AG57" i="23" s="1"/>
  <c r="AI54" i="23"/>
  <c r="AG54" i="23" s="1"/>
  <c r="AI49" i="23"/>
  <c r="AG49" i="23" s="1"/>
  <c r="AI47" i="23"/>
  <c r="AG47" i="23" s="1"/>
  <c r="AI45" i="23"/>
  <c r="AG45" i="23" s="1"/>
  <c r="AI15" i="23"/>
  <c r="AG15" i="23" s="1"/>
  <c r="AI13" i="23"/>
  <c r="AG13" i="23" s="1"/>
  <c r="AI20" i="23"/>
  <c r="AG20" i="23" s="1"/>
  <c r="AG35" i="23" s="1"/>
  <c r="AH35" i="23" s="1"/>
  <c r="AB8" i="9"/>
  <c r="AA26" i="8"/>
  <c r="AI8" i="26"/>
  <c r="AF23" i="8"/>
  <c r="L35" i="23"/>
  <c r="M95" i="23"/>
  <c r="M11" i="23"/>
  <c r="L12" i="23"/>
  <c r="M20" i="23"/>
  <c r="M98" i="23"/>
  <c r="M35" i="23" l="1"/>
  <c r="K15" i="8" s="1"/>
  <c r="C109" i="32" s="1"/>
  <c r="AH100" i="23"/>
  <c r="AL20" i="23"/>
  <c r="AL35" i="23" s="1"/>
  <c r="AH20" i="23"/>
  <c r="AL13" i="23"/>
  <c r="AH13" i="23"/>
  <c r="AL15" i="23"/>
  <c r="AH15" i="23"/>
  <c r="AL45" i="23"/>
  <c r="AH45" i="23"/>
  <c r="AL47" i="23"/>
  <c r="AH47" i="23"/>
  <c r="AL49" i="23"/>
  <c r="AH49" i="23"/>
  <c r="AL54" i="23"/>
  <c r="AH54" i="23"/>
  <c r="AL57" i="23"/>
  <c r="AH57" i="23"/>
  <c r="AL59" i="23"/>
  <c r="AH59" i="23"/>
  <c r="AL11" i="23"/>
  <c r="AH11" i="23"/>
  <c r="AL14" i="23"/>
  <c r="AH14" i="23"/>
  <c r="AL36" i="23"/>
  <c r="AH36" i="23"/>
  <c r="AL42" i="23"/>
  <c r="AH42" i="23"/>
  <c r="AL46" i="23"/>
  <c r="AH46" i="23"/>
  <c r="AL48" i="23"/>
  <c r="AH48" i="23"/>
  <c r="AL53" i="23"/>
  <c r="AH53" i="23"/>
  <c r="AL55" i="23"/>
  <c r="AH55" i="23"/>
  <c r="AL58" i="23"/>
  <c r="AH58" i="23"/>
  <c r="AL60" i="23"/>
  <c r="AH60" i="23"/>
  <c r="AL52" i="23"/>
  <c r="AH52" i="23"/>
  <c r="AL101" i="23"/>
  <c r="AH101" i="23"/>
  <c r="AA27" i="8"/>
  <c r="S10" i="4" s="1"/>
  <c r="S9" i="4"/>
  <c r="Y40" i="9"/>
  <c r="AF40" i="9"/>
  <c r="AO95" i="23"/>
  <c r="AO98" i="23"/>
  <c r="M41" i="8"/>
  <c r="AN100" i="23"/>
  <c r="L100" i="23"/>
  <c r="J41" i="8"/>
  <c r="AH26" i="8"/>
  <c r="U26" i="8"/>
  <c r="R26" i="8"/>
  <c r="L26" i="8"/>
  <c r="X26" i="8"/>
  <c r="O26" i="8"/>
  <c r="AD101" i="23"/>
  <c r="AA101" i="23"/>
  <c r="X101" i="23"/>
  <c r="U101" i="23"/>
  <c r="R101" i="23"/>
  <c r="AE95" i="23"/>
  <c r="AE53" i="23"/>
  <c r="AE59" i="23"/>
  <c r="AE55" i="23"/>
  <c r="AO11" i="23"/>
  <c r="AE15" i="23"/>
  <c r="AE14" i="23"/>
  <c r="AE60" i="23"/>
  <c r="AE47" i="23"/>
  <c r="AE52" i="23"/>
  <c r="AE49" i="23"/>
  <c r="AE46" i="23"/>
  <c r="AE58" i="23"/>
  <c r="AE54" i="23"/>
  <c r="AE48" i="23"/>
  <c r="M8" i="23"/>
  <c r="K6" i="8" s="1"/>
  <c r="C9" i="32" s="1"/>
  <c r="L8" i="23"/>
  <c r="L73" i="23"/>
  <c r="P73" i="22"/>
  <c r="L8" i="28"/>
  <c r="M8" i="28" s="1"/>
  <c r="AF8" i="28" s="1"/>
  <c r="R13" i="23"/>
  <c r="U13" i="23"/>
  <c r="X13" i="23"/>
  <c r="AA13" i="23"/>
  <c r="AD13" i="23"/>
  <c r="AD15" i="23"/>
  <c r="R15" i="23"/>
  <c r="X15" i="23"/>
  <c r="U15" i="23"/>
  <c r="AA15" i="23"/>
  <c r="AD45" i="23"/>
  <c r="X45" i="23"/>
  <c r="R45" i="23"/>
  <c r="U45" i="23"/>
  <c r="AA45" i="23"/>
  <c r="AD57" i="23"/>
  <c r="X57" i="23"/>
  <c r="R57" i="23"/>
  <c r="AA57" i="23"/>
  <c r="U57" i="23"/>
  <c r="AA59" i="23"/>
  <c r="U59" i="23"/>
  <c r="AD59" i="23"/>
  <c r="X59" i="23"/>
  <c r="R36" i="23"/>
  <c r="U36" i="23"/>
  <c r="X36" i="23"/>
  <c r="AA36" i="23"/>
  <c r="AD36" i="23"/>
  <c r="AD55" i="23"/>
  <c r="X55" i="23"/>
  <c r="R55" i="23"/>
  <c r="AA55" i="23"/>
  <c r="U55" i="23"/>
  <c r="AA58" i="23"/>
  <c r="U58" i="23"/>
  <c r="AD58" i="23"/>
  <c r="R58" i="23"/>
  <c r="X58" i="23"/>
  <c r="AD60" i="23"/>
  <c r="X60" i="23"/>
  <c r="R60" i="23"/>
  <c r="U60" i="23"/>
  <c r="AA60" i="23"/>
  <c r="AC8" i="9"/>
  <c r="Y22" i="9"/>
  <c r="U8" i="28"/>
  <c r="AF6" i="8"/>
  <c r="M12" i="23"/>
  <c r="K12" i="8" s="1"/>
  <c r="C67" i="32" s="1"/>
  <c r="M100" i="23"/>
  <c r="M107" i="23" s="1"/>
  <c r="K74" i="23"/>
  <c r="AE15" i="8" l="1"/>
  <c r="AL100" i="23"/>
  <c r="AH27" i="8"/>
  <c r="Z10" i="4" s="1"/>
  <c r="Z9" i="4"/>
  <c r="O27" i="8"/>
  <c r="G10" i="4" s="1"/>
  <c r="G9" i="4"/>
  <c r="X27" i="8"/>
  <c r="P10" i="4" s="1"/>
  <c r="P9" i="4"/>
  <c r="L27" i="8"/>
  <c r="D10" i="4" s="1"/>
  <c r="D9" i="4"/>
  <c r="R27" i="8"/>
  <c r="J10" i="4" s="1"/>
  <c r="J9" i="4"/>
  <c r="U27" i="8"/>
  <c r="M10" i="4" s="1"/>
  <c r="M9" i="4"/>
  <c r="AO45" i="23"/>
  <c r="AO101" i="23"/>
  <c r="K41" i="8"/>
  <c r="K44" i="8" s="1"/>
  <c r="C36" i="4" s="1"/>
  <c r="AO58" i="23"/>
  <c r="AO42" i="23"/>
  <c r="AO53" i="23"/>
  <c r="C68" i="32"/>
  <c r="AO46" i="23"/>
  <c r="AO47" i="23"/>
  <c r="AO55" i="23"/>
  <c r="E326" i="32"/>
  <c r="E306" i="32"/>
  <c r="E311" i="32" s="1"/>
  <c r="AO60" i="23"/>
  <c r="AO57" i="23"/>
  <c r="AO48" i="23"/>
  <c r="AO49" i="23"/>
  <c r="AO100" i="23"/>
  <c r="AO13" i="23"/>
  <c r="AO14" i="23"/>
  <c r="AO59" i="23"/>
  <c r="AN107" i="23"/>
  <c r="L107" i="23"/>
  <c r="AO54" i="23"/>
  <c r="AO35" i="23"/>
  <c r="AO20" i="23"/>
  <c r="AE41" i="8"/>
  <c r="AF41" i="8" s="1"/>
  <c r="AK41" i="8"/>
  <c r="G43" i="3"/>
  <c r="E43" i="3" s="1"/>
  <c r="AO52" i="23"/>
  <c r="AO36" i="23"/>
  <c r="AO15" i="23"/>
  <c r="AL15" i="8"/>
  <c r="W109" i="32"/>
  <c r="AC109" i="32" s="1"/>
  <c r="D38" i="9"/>
  <c r="M44" i="8"/>
  <c r="J6" i="8"/>
  <c r="D5" i="9"/>
  <c r="M26" i="8"/>
  <c r="E9" i="4" s="1"/>
  <c r="AO103" i="23"/>
  <c r="P101" i="23"/>
  <c r="P103" i="23" s="1"/>
  <c r="R103" i="23"/>
  <c r="M73" i="23"/>
  <c r="S101" i="23"/>
  <c r="S103" i="23" s="1"/>
  <c r="U103" i="23"/>
  <c r="X103" i="23"/>
  <c r="V101" i="23"/>
  <c r="V103" i="23" s="1"/>
  <c r="AG103" i="23"/>
  <c r="AG107" i="23" s="1"/>
  <c r="AE101" i="23"/>
  <c r="AE103" i="23" s="1"/>
  <c r="AC42" i="8" s="1"/>
  <c r="U321" i="32" s="1"/>
  <c r="Y101" i="23"/>
  <c r="Y103" i="23" s="1"/>
  <c r="AA103" i="23"/>
  <c r="AB101" i="23"/>
  <c r="AB103" i="23" s="1"/>
  <c r="AD103" i="23"/>
  <c r="AE100" i="23"/>
  <c r="AE13" i="23"/>
  <c r="AG16" i="23"/>
  <c r="X61" i="23"/>
  <c r="AE20" i="23"/>
  <c r="AE42" i="23"/>
  <c r="AE11" i="23"/>
  <c r="AG12" i="23"/>
  <c r="AH12" i="23" s="1"/>
  <c r="AE36" i="23"/>
  <c r="AG37" i="23"/>
  <c r="AE45" i="23"/>
  <c r="AG56" i="23"/>
  <c r="U61" i="23"/>
  <c r="AE57" i="23"/>
  <c r="AE61" i="23" s="1"/>
  <c r="AC22" i="8" s="1"/>
  <c r="U215" i="32" s="1"/>
  <c r="AG61" i="23"/>
  <c r="AD61" i="23"/>
  <c r="AA61" i="23"/>
  <c r="AO61" i="23"/>
  <c r="G6" i="3"/>
  <c r="AE8" i="26"/>
  <c r="AF8" i="26"/>
  <c r="AD8" i="26"/>
  <c r="H9" i="12" s="1"/>
  <c r="H44" i="32" s="1"/>
  <c r="AH8" i="26"/>
  <c r="AG8" i="26"/>
  <c r="AE8" i="28"/>
  <c r="AC8" i="28"/>
  <c r="AD8" i="28"/>
  <c r="AA8" i="28"/>
  <c r="AB8" i="28"/>
  <c r="M13" i="8"/>
  <c r="C7" i="8"/>
  <c r="M7" i="8"/>
  <c r="K33" i="18"/>
  <c r="K113" i="18"/>
  <c r="K125" i="18"/>
  <c r="AE35" i="23" l="1"/>
  <c r="AC15" i="8" s="1"/>
  <c r="U109" i="32" s="1"/>
  <c r="AE107" i="23"/>
  <c r="AE22" i="8"/>
  <c r="V21" i="9" s="1"/>
  <c r="W21" i="9" s="1"/>
  <c r="AG21" i="9" s="1"/>
  <c r="AH61" i="23"/>
  <c r="AL56" i="23"/>
  <c r="AL37" i="23"/>
  <c r="AL44" i="23"/>
  <c r="AL16" i="23"/>
  <c r="AE42" i="8"/>
  <c r="W321" i="32" s="1"/>
  <c r="AC321" i="32" s="1"/>
  <c r="AH103" i="23"/>
  <c r="V14" i="9"/>
  <c r="Y14" i="9" s="1"/>
  <c r="AF15" i="8"/>
  <c r="Y5" i="9"/>
  <c r="AF5" i="9"/>
  <c r="AH107" i="23"/>
  <c r="AS6" i="3"/>
  <c r="AO6" i="3"/>
  <c r="AE44" i="23"/>
  <c r="AC20" i="8" s="1"/>
  <c r="U184" i="32" s="1"/>
  <c r="AE20" i="8"/>
  <c r="V19" i="9" s="1"/>
  <c r="AL41" i="8"/>
  <c r="W306" i="32"/>
  <c r="AC306" i="32" s="1"/>
  <c r="V38" i="9"/>
  <c r="E36" i="4"/>
  <c r="AE37" i="23"/>
  <c r="AC17" i="8" s="1"/>
  <c r="U139" i="32" s="1"/>
  <c r="AE17" i="8"/>
  <c r="V16" i="9" s="1"/>
  <c r="AC41" i="8"/>
  <c r="D41" i="9"/>
  <c r="AF7" i="8"/>
  <c r="AL7" i="8"/>
  <c r="AO73" i="23"/>
  <c r="AO12" i="23"/>
  <c r="AE16" i="23"/>
  <c r="AC14" i="8" s="1"/>
  <c r="U93" i="32" s="1"/>
  <c r="AE14" i="8"/>
  <c r="V13" i="9" s="1"/>
  <c r="W13" i="9" s="1"/>
  <c r="X109" i="32"/>
  <c r="AO43" i="3"/>
  <c r="AS43" i="3"/>
  <c r="J7" i="8"/>
  <c r="AK7" i="8"/>
  <c r="C306" i="32"/>
  <c r="AO107" i="23"/>
  <c r="AE56" i="23"/>
  <c r="AC21" i="8" s="1"/>
  <c r="U200" i="32" s="1"/>
  <c r="AE21" i="8"/>
  <c r="V20" i="9" s="1"/>
  <c r="W20" i="9" s="1"/>
  <c r="AG73" i="23"/>
  <c r="AH73" i="23" s="1"/>
  <c r="AE12" i="8"/>
  <c r="V11" i="9" s="1"/>
  <c r="D25" i="9"/>
  <c r="K26" i="8"/>
  <c r="C9" i="4" s="1"/>
  <c r="AJ101" i="23"/>
  <c r="AJ103" i="23" s="1"/>
  <c r="AL103" i="23"/>
  <c r="AI42" i="8" s="1"/>
  <c r="AA321" i="32" s="1"/>
  <c r="AG72" i="23"/>
  <c r="AE12" i="23"/>
  <c r="D6" i="9"/>
  <c r="D12" i="9"/>
  <c r="K9" i="12"/>
  <c r="K44" i="32" s="1"/>
  <c r="H9" i="13"/>
  <c r="K13" i="8"/>
  <c r="K88" i="18"/>
  <c r="K90" i="18" s="1"/>
  <c r="K115" i="18"/>
  <c r="K81" i="18"/>
  <c r="K65" i="18"/>
  <c r="K51" i="18"/>
  <c r="K42" i="18"/>
  <c r="K30" i="18"/>
  <c r="W215" i="32" l="1"/>
  <c r="AC215" i="32" s="1"/>
  <c r="AL22" i="8"/>
  <c r="AL107" i="23"/>
  <c r="AF21" i="9"/>
  <c r="AL42" i="8"/>
  <c r="AF42" i="8"/>
  <c r="AE44" i="8"/>
  <c r="AL44" i="8" s="1"/>
  <c r="V39" i="9"/>
  <c r="AF39" i="9" s="1"/>
  <c r="W14" i="9"/>
  <c r="AG14" i="9" s="1"/>
  <c r="AF14" i="9"/>
  <c r="Y38" i="9"/>
  <c r="AF38" i="9"/>
  <c r="W16" i="9"/>
  <c r="W19" i="9"/>
  <c r="W11" i="9"/>
  <c r="AG11" i="9" s="1"/>
  <c r="AF11" i="9"/>
  <c r="Y6" i="9"/>
  <c r="AF6" i="9"/>
  <c r="H9" i="6"/>
  <c r="H47" i="32"/>
  <c r="H53" i="32" s="1"/>
  <c r="AQ43" i="3"/>
  <c r="L40" i="26"/>
  <c r="Q40" i="26"/>
  <c r="AL43" i="3"/>
  <c r="W184" i="32"/>
  <c r="W93" i="32"/>
  <c r="W38" i="9"/>
  <c r="W200" i="32"/>
  <c r="W139" i="32"/>
  <c r="X306" i="32"/>
  <c r="X215" i="32"/>
  <c r="U306" i="32"/>
  <c r="AC44" i="8"/>
  <c r="U36" i="4" s="1"/>
  <c r="X321" i="32"/>
  <c r="AL12" i="8"/>
  <c r="W67" i="32"/>
  <c r="AC67" i="32" s="1"/>
  <c r="E41" i="4"/>
  <c r="AE72" i="23"/>
  <c r="AE25" i="8"/>
  <c r="AC25" i="8"/>
  <c r="U8" i="4" s="1"/>
  <c r="AE73" i="23"/>
  <c r="AC12" i="8"/>
  <c r="U67" i="32" s="1"/>
  <c r="Y11" i="9"/>
  <c r="AE13" i="8"/>
  <c r="AE26" i="8"/>
  <c r="AL26" i="8" s="1"/>
  <c r="AF12" i="8"/>
  <c r="AG74" i="23"/>
  <c r="G9" i="13"/>
  <c r="K9" i="13"/>
  <c r="N9" i="12"/>
  <c r="N44" i="32" s="1"/>
  <c r="I9" i="12"/>
  <c r="I44" i="32" s="1"/>
  <c r="K21" i="18"/>
  <c r="K19" i="18"/>
  <c r="K10" i="18"/>
  <c r="Y39" i="9" l="1"/>
  <c r="AF44" i="8"/>
  <c r="W36" i="4"/>
  <c r="AC36" i="4" s="1"/>
  <c r="W39" i="9"/>
  <c r="V41" i="9"/>
  <c r="AF41" i="9" s="1"/>
  <c r="G9" i="6"/>
  <c r="G47" i="32"/>
  <c r="G53" i="32" s="1"/>
  <c r="K9" i="6"/>
  <c r="K47" i="32"/>
  <c r="K53" i="32" s="1"/>
  <c r="AE74" i="23"/>
  <c r="U68" i="32"/>
  <c r="W41" i="9"/>
  <c r="W8" i="4"/>
  <c r="P40" i="26"/>
  <c r="I41" i="28"/>
  <c r="AF13" i="8"/>
  <c r="AL13" i="8"/>
  <c r="W68" i="32"/>
  <c r="X67" i="32"/>
  <c r="V24" i="9"/>
  <c r="V25" i="9"/>
  <c r="V12" i="9"/>
  <c r="W9" i="4"/>
  <c r="AC9" i="4" s="1"/>
  <c r="AE27" i="8"/>
  <c r="AF26" i="8"/>
  <c r="AC13" i="8"/>
  <c r="AC26" i="8"/>
  <c r="K89" i="18"/>
  <c r="K91" i="18" s="1"/>
  <c r="F9" i="13"/>
  <c r="F47" i="32" s="1"/>
  <c r="F53" i="32" s="1"/>
  <c r="L9" i="12"/>
  <c r="L44" i="32" s="1"/>
  <c r="Q9" i="12"/>
  <c r="Q44" i="32" s="1"/>
  <c r="N9" i="13"/>
  <c r="J9" i="13"/>
  <c r="D115" i="18"/>
  <c r="M87" i="18"/>
  <c r="M128" i="18"/>
  <c r="M127" i="18"/>
  <c r="M83" i="18"/>
  <c r="M82" i="18"/>
  <c r="AK24" i="7"/>
  <c r="N88" i="18"/>
  <c r="K24" i="7" s="1"/>
  <c r="D245" i="32" s="1"/>
  <c r="D251" i="32" s="1"/>
  <c r="AK42" i="7"/>
  <c r="D42" i="6"/>
  <c r="AK23" i="7"/>
  <c r="I88" i="18"/>
  <c r="H24" i="7" s="1"/>
  <c r="AE23" i="3" s="1"/>
  <c r="AD23" i="3" s="1"/>
  <c r="V23" i="26" s="1"/>
  <c r="H88" i="18"/>
  <c r="G24" i="7" s="1"/>
  <c r="Z23" i="3" s="1"/>
  <c r="Y23" i="3" s="1"/>
  <c r="U23" i="26" s="1"/>
  <c r="G88" i="18"/>
  <c r="F24" i="7" s="1"/>
  <c r="U23" i="3" s="1"/>
  <c r="T23" i="3" s="1"/>
  <c r="T23" i="26" s="1"/>
  <c r="F88" i="18"/>
  <c r="E24" i="7" s="1"/>
  <c r="P23" i="3" s="1"/>
  <c r="O23" i="3" s="1"/>
  <c r="S23" i="26" s="1"/>
  <c r="E88" i="18"/>
  <c r="D24" i="7" s="1"/>
  <c r="K23" i="3" s="1"/>
  <c r="J23" i="3" s="1"/>
  <c r="R23" i="26" s="1"/>
  <c r="AK41" i="7"/>
  <c r="D41" i="6"/>
  <c r="AK40" i="7"/>
  <c r="D40" i="6"/>
  <c r="M124" i="18"/>
  <c r="M122" i="18"/>
  <c r="M121" i="18"/>
  <c r="M118" i="18"/>
  <c r="M117" i="18"/>
  <c r="M116" i="18"/>
  <c r="M114" i="18"/>
  <c r="M115" i="18" s="1"/>
  <c r="J39" i="7" s="1"/>
  <c r="C290" i="32" s="1"/>
  <c r="C296" i="32" s="1"/>
  <c r="M112" i="18"/>
  <c r="M113" i="18" s="1"/>
  <c r="J38" i="7" s="1"/>
  <c r="C275" i="32" s="1"/>
  <c r="C281" i="32" s="1"/>
  <c r="AQ115" i="18"/>
  <c r="AM39" i="7" s="1"/>
  <c r="Z290" i="32" s="1"/>
  <c r="AQ113" i="18"/>
  <c r="AM38" i="7" s="1"/>
  <c r="Z275" i="32" s="1"/>
  <c r="AK39" i="7"/>
  <c r="D39" i="6"/>
  <c r="D38" i="6"/>
  <c r="I115" i="18"/>
  <c r="H39" i="7" s="1"/>
  <c r="AE42" i="3" s="1"/>
  <c r="AD42" i="3" s="1"/>
  <c r="V39" i="26" s="1"/>
  <c r="H115" i="18"/>
  <c r="G39" i="7" s="1"/>
  <c r="Z42" i="3" s="1"/>
  <c r="Y42" i="3" s="1"/>
  <c r="U39" i="26" s="1"/>
  <c r="G115" i="18"/>
  <c r="F39" i="7" s="1"/>
  <c r="U42" i="3" s="1"/>
  <c r="T42" i="3" s="1"/>
  <c r="T39" i="26" s="1"/>
  <c r="F115" i="18"/>
  <c r="E39" i="7" s="1"/>
  <c r="P42" i="3" s="1"/>
  <c r="O42" i="3" s="1"/>
  <c r="S39" i="26" s="1"/>
  <c r="M58" i="18"/>
  <c r="M52" i="18"/>
  <c r="AK18" i="7"/>
  <c r="AQ111" i="18"/>
  <c r="AM37" i="7" s="1"/>
  <c r="S37" i="6"/>
  <c r="P37" i="6"/>
  <c r="M37" i="6"/>
  <c r="J37" i="6"/>
  <c r="G37" i="6"/>
  <c r="AK37" i="7"/>
  <c r="D37" i="6"/>
  <c r="N33" i="18"/>
  <c r="K15" i="7" s="1"/>
  <c r="AF32" i="18"/>
  <c r="AB32" i="18"/>
  <c r="X32" i="18"/>
  <c r="T32" i="18"/>
  <c r="P32" i="18"/>
  <c r="M108" i="18"/>
  <c r="M107" i="18"/>
  <c r="M32" i="18"/>
  <c r="M31" i="18"/>
  <c r="M23" i="18"/>
  <c r="M14" i="18"/>
  <c r="M13" i="18"/>
  <c r="M12" i="18"/>
  <c r="M11" i="18"/>
  <c r="AQ23" i="18"/>
  <c r="AQ24" i="18" s="1"/>
  <c r="AM12" i="7" s="1"/>
  <c r="Z64" i="32" s="1"/>
  <c r="AQ14" i="18"/>
  <c r="AQ13" i="18"/>
  <c r="AQ12" i="18"/>
  <c r="AQ11" i="18"/>
  <c r="AK12" i="7"/>
  <c r="N76" i="20"/>
  <c r="I76" i="20"/>
  <c r="N61" i="20"/>
  <c r="N44" i="20"/>
  <c r="N37" i="20"/>
  <c r="I44" i="20"/>
  <c r="I37" i="20"/>
  <c r="N26" i="20"/>
  <c r="I26" i="20"/>
  <c r="K83" i="20"/>
  <c r="L83" i="20"/>
  <c r="M83" i="20"/>
  <c r="N83" i="20"/>
  <c r="F83" i="20"/>
  <c r="G83" i="20"/>
  <c r="H83" i="20"/>
  <c r="I83" i="20"/>
  <c r="K114" i="20"/>
  <c r="K41" i="26" s="1"/>
  <c r="L114" i="20"/>
  <c r="M114" i="20"/>
  <c r="N114" i="20"/>
  <c r="F114" i="20"/>
  <c r="G114" i="20"/>
  <c r="H114" i="20"/>
  <c r="I114" i="20"/>
  <c r="K104" i="20"/>
  <c r="L104" i="20"/>
  <c r="M104" i="20"/>
  <c r="N104" i="20"/>
  <c r="F104" i="20"/>
  <c r="G104" i="20"/>
  <c r="H104" i="20"/>
  <c r="I104" i="20"/>
  <c r="K52" i="20"/>
  <c r="K18" i="26" s="1"/>
  <c r="L52" i="20"/>
  <c r="M52" i="20"/>
  <c r="N52" i="20"/>
  <c r="F52" i="20"/>
  <c r="G52" i="20"/>
  <c r="I52" i="20"/>
  <c r="K29" i="20"/>
  <c r="K14" i="26" s="1"/>
  <c r="L29" i="20"/>
  <c r="M29" i="20"/>
  <c r="M14" i="26" s="1"/>
  <c r="N29" i="20"/>
  <c r="N14" i="26" s="1"/>
  <c r="F29" i="20"/>
  <c r="G29" i="20"/>
  <c r="H29" i="20"/>
  <c r="I29" i="20"/>
  <c r="N18" i="20"/>
  <c r="I18" i="20"/>
  <c r="N9" i="20"/>
  <c r="I9" i="20"/>
  <c r="H14" i="22"/>
  <c r="H35" i="22"/>
  <c r="H54" i="22"/>
  <c r="H59" i="22"/>
  <c r="H9" i="20"/>
  <c r="H18" i="20"/>
  <c r="H26" i="20"/>
  <c r="H37" i="20"/>
  <c r="H44" i="20"/>
  <c r="H61" i="20"/>
  <c r="H76" i="20"/>
  <c r="M9" i="20"/>
  <c r="M18" i="20"/>
  <c r="M26" i="20"/>
  <c r="M37" i="20"/>
  <c r="M44" i="20"/>
  <c r="M61" i="20"/>
  <c r="M76" i="20"/>
  <c r="N41" i="26" l="1"/>
  <c r="K42" i="28" s="1"/>
  <c r="K39" i="26"/>
  <c r="H40" i="28" s="1"/>
  <c r="K119" i="20"/>
  <c r="G119" i="20"/>
  <c r="I119" i="20"/>
  <c r="N39" i="26"/>
  <c r="K40" i="28" s="1"/>
  <c r="N119" i="20"/>
  <c r="H119" i="20"/>
  <c r="M39" i="26"/>
  <c r="J40" i="28" s="1"/>
  <c r="M119" i="20"/>
  <c r="M41" i="26"/>
  <c r="J42" i="28" s="1"/>
  <c r="F119" i="20"/>
  <c r="L119" i="20"/>
  <c r="N18" i="26"/>
  <c r="K18" i="28" s="1"/>
  <c r="M18" i="26"/>
  <c r="J18" i="28" s="1"/>
  <c r="AA39" i="26"/>
  <c r="Z39" i="26"/>
  <c r="S40" i="28"/>
  <c r="AB39" i="26"/>
  <c r="AC39" i="26"/>
  <c r="Z40" i="28" s="1"/>
  <c r="D108" i="32"/>
  <c r="D114" i="32" s="1"/>
  <c r="K26" i="7"/>
  <c r="D6" i="4" s="1"/>
  <c r="AM43" i="7"/>
  <c r="Z35" i="4" s="1"/>
  <c r="Z260" i="32"/>
  <c r="Z266" i="32" s="1"/>
  <c r="Y23" i="26"/>
  <c r="Z23" i="26"/>
  <c r="AA23" i="26"/>
  <c r="S23" i="28"/>
  <c r="AB23" i="26"/>
  <c r="AC23" i="26"/>
  <c r="Z23" i="28" s="1"/>
  <c r="X36" i="4"/>
  <c r="Y41" i="9"/>
  <c r="L85" i="20"/>
  <c r="N85" i="20"/>
  <c r="J14" i="28"/>
  <c r="H14" i="28"/>
  <c r="K25" i="26"/>
  <c r="H18" i="28"/>
  <c r="K43" i="26"/>
  <c r="H39" i="28"/>
  <c r="H42" i="28"/>
  <c r="P41" i="26"/>
  <c r="L115" i="18"/>
  <c r="AU115" i="18"/>
  <c r="C39" i="7"/>
  <c r="X68" i="32"/>
  <c r="AC68" i="32"/>
  <c r="Y12" i="9"/>
  <c r="AF12" i="9"/>
  <c r="Y25" i="9"/>
  <c r="AF25" i="9"/>
  <c r="W24" i="9"/>
  <c r="J9" i="6"/>
  <c r="J47" i="32"/>
  <c r="J53" i="32" s="1"/>
  <c r="N9" i="6"/>
  <c r="N47" i="32"/>
  <c r="N53" i="32" s="1"/>
  <c r="W10" i="4"/>
  <c r="X9" i="4"/>
  <c r="U9" i="4"/>
  <c r="AC27" i="8"/>
  <c r="U10" i="4" s="1"/>
  <c r="V26" i="9"/>
  <c r="W12" i="9"/>
  <c r="W25" i="9"/>
  <c r="D43" i="6"/>
  <c r="K85" i="20"/>
  <c r="M85" i="20"/>
  <c r="M129" i="18"/>
  <c r="J42" i="7" s="1"/>
  <c r="C335" i="32" s="1"/>
  <c r="C341" i="32" s="1"/>
  <c r="M84" i="20"/>
  <c r="N84" i="20"/>
  <c r="Z37" i="6"/>
  <c r="AQ130" i="18"/>
  <c r="M125" i="18"/>
  <c r="J41" i="7" s="1"/>
  <c r="C320" i="32" s="1"/>
  <c r="C326" i="32" s="1"/>
  <c r="M120" i="18"/>
  <c r="J40" i="7" s="1"/>
  <c r="C305" i="32" s="1"/>
  <c r="C311" i="32" s="1"/>
  <c r="M111" i="18"/>
  <c r="J37" i="7" s="1"/>
  <c r="C260" i="32" s="1"/>
  <c r="C266" i="32" s="1"/>
  <c r="AC90" i="18"/>
  <c r="Q90" i="18"/>
  <c r="AG90" i="18"/>
  <c r="U90" i="18"/>
  <c r="Y90" i="18"/>
  <c r="AQ16" i="18"/>
  <c r="I85" i="20"/>
  <c r="G85" i="20"/>
  <c r="F85" i="20"/>
  <c r="I84" i="20"/>
  <c r="H84" i="20"/>
  <c r="H72" i="22"/>
  <c r="H74" i="22" s="1"/>
  <c r="P104" i="20"/>
  <c r="P83" i="20"/>
  <c r="P118" i="20"/>
  <c r="P81" i="20"/>
  <c r="P114" i="20"/>
  <c r="P109" i="20"/>
  <c r="P47" i="20"/>
  <c r="P69" i="20"/>
  <c r="P100" i="20"/>
  <c r="P15" i="20"/>
  <c r="P21" i="20"/>
  <c r="AH128" i="18"/>
  <c r="R128" i="18"/>
  <c r="AD128" i="18"/>
  <c r="V128" i="18"/>
  <c r="Z128" i="18"/>
  <c r="AD114" i="18"/>
  <c r="AD115" i="18" s="1"/>
  <c r="AA39" i="7" s="1"/>
  <c r="Q290" i="32" s="1"/>
  <c r="V114" i="18"/>
  <c r="V115" i="18" s="1"/>
  <c r="S39" i="7" s="1"/>
  <c r="K290" i="32" s="1"/>
  <c r="AH114" i="18"/>
  <c r="AH115" i="18" s="1"/>
  <c r="AE39" i="7" s="1"/>
  <c r="T290" i="32" s="1"/>
  <c r="Z114" i="18"/>
  <c r="Z115" i="18" s="1"/>
  <c r="W39" i="7" s="1"/>
  <c r="N290" i="32" s="1"/>
  <c r="E18" i="6"/>
  <c r="X17" i="9"/>
  <c r="E38" i="6"/>
  <c r="C36" i="9"/>
  <c r="E39" i="6"/>
  <c r="C37" i="9"/>
  <c r="D24" i="6"/>
  <c r="E12" i="6"/>
  <c r="X11" i="9"/>
  <c r="E37" i="6"/>
  <c r="C35" i="9"/>
  <c r="AE35" i="9" s="1"/>
  <c r="E40" i="6"/>
  <c r="C38" i="9"/>
  <c r="E41" i="6"/>
  <c r="C39" i="9"/>
  <c r="E23" i="6"/>
  <c r="X22" i="9"/>
  <c r="E42" i="6"/>
  <c r="C40" i="9"/>
  <c r="E24" i="6"/>
  <c r="X23" i="9"/>
  <c r="F9" i="6"/>
  <c r="D33" i="18"/>
  <c r="I9" i="13"/>
  <c r="I47" i="32" s="1"/>
  <c r="I53" i="32" s="1"/>
  <c r="Q9" i="13"/>
  <c r="M9" i="13"/>
  <c r="O9" i="12"/>
  <c r="O44" i="32" s="1"/>
  <c r="T9" i="12"/>
  <c r="D15" i="6"/>
  <c r="AK6" i="7"/>
  <c r="AK19" i="7"/>
  <c r="AK15" i="7"/>
  <c r="M88" i="18"/>
  <c r="J24" i="7" s="1"/>
  <c r="C245" i="32" s="1"/>
  <c r="C251" i="32" s="1"/>
  <c r="D88" i="18"/>
  <c r="AP32" i="18"/>
  <c r="M59" i="18"/>
  <c r="J19" i="7" s="1"/>
  <c r="C168" i="32" s="1"/>
  <c r="C174" i="32" s="1"/>
  <c r="M86" i="18"/>
  <c r="J23" i="7" s="1"/>
  <c r="C230" i="32" s="1"/>
  <c r="C236" i="32" s="1"/>
  <c r="C39" i="6"/>
  <c r="C38" i="6"/>
  <c r="N90" i="18"/>
  <c r="M54" i="18"/>
  <c r="J18" i="7" s="1"/>
  <c r="M33" i="18"/>
  <c r="J15" i="7" s="1"/>
  <c r="C108" i="32" s="1"/>
  <c r="C114" i="32" s="1"/>
  <c r="M24" i="18"/>
  <c r="J12" i="7" s="1"/>
  <c r="C64" i="32" s="1"/>
  <c r="D113" i="18"/>
  <c r="M16" i="18"/>
  <c r="J6" i="7" s="1"/>
  <c r="C6" i="32" s="1"/>
  <c r="C24" i="32" s="1"/>
  <c r="AL18" i="3"/>
  <c r="AL17" i="3"/>
  <c r="P18" i="26" l="1"/>
  <c r="M25" i="26"/>
  <c r="M42" i="28"/>
  <c r="AQ90" i="18"/>
  <c r="AM6" i="7"/>
  <c r="C40" i="6"/>
  <c r="C42" i="6"/>
  <c r="C41" i="6"/>
  <c r="AU113" i="18"/>
  <c r="C38" i="7"/>
  <c r="C65" i="32"/>
  <c r="C82" i="32"/>
  <c r="C83" i="32" s="1"/>
  <c r="J26" i="7"/>
  <c r="C6" i="4" s="1"/>
  <c r="C153" i="32"/>
  <c r="C159" i="32" s="1"/>
  <c r="L88" i="18"/>
  <c r="AU88" i="18"/>
  <c r="C24" i="7"/>
  <c r="L33" i="18"/>
  <c r="AU33" i="18"/>
  <c r="C15" i="7"/>
  <c r="X40" i="9"/>
  <c r="AE40" i="9"/>
  <c r="X39" i="9"/>
  <c r="AE39" i="9"/>
  <c r="X37" i="9"/>
  <c r="AE37" i="9"/>
  <c r="AE36" i="9"/>
  <c r="AQ39" i="7"/>
  <c r="AR39" i="7" s="1"/>
  <c r="F42" i="3"/>
  <c r="H44" i="28"/>
  <c r="M43" i="26"/>
  <c r="J39" i="28"/>
  <c r="J44" i="28" s="1"/>
  <c r="N43" i="26"/>
  <c r="K39" i="28"/>
  <c r="K44" i="28" s="1"/>
  <c r="H25" i="28"/>
  <c r="K26" i="26"/>
  <c r="H26" i="28" s="1"/>
  <c r="J25" i="28"/>
  <c r="M26" i="26"/>
  <c r="J26" i="28" s="1"/>
  <c r="K14" i="28"/>
  <c r="N25" i="26"/>
  <c r="J43" i="7"/>
  <c r="C35" i="4" s="1"/>
  <c r="C41" i="4" s="1"/>
  <c r="X38" i="9"/>
  <c r="AE38" i="9"/>
  <c r="C41" i="9"/>
  <c r="X35" i="9"/>
  <c r="W26" i="9"/>
  <c r="M9" i="6"/>
  <c r="M47" i="32"/>
  <c r="M53" i="32" s="1"/>
  <c r="Q9" i="6"/>
  <c r="Q47" i="32"/>
  <c r="Q53" i="32" s="1"/>
  <c r="T44" i="32"/>
  <c r="W9" i="12"/>
  <c r="AC9" i="12" s="1"/>
  <c r="L30" i="18"/>
  <c r="C14" i="7"/>
  <c r="C37" i="6"/>
  <c r="E39" i="9"/>
  <c r="E38" i="9"/>
  <c r="E36" i="9"/>
  <c r="E40" i="9"/>
  <c r="E35" i="9"/>
  <c r="E43" i="6"/>
  <c r="M130" i="18"/>
  <c r="U91" i="18"/>
  <c r="AG91" i="18"/>
  <c r="Q91" i="18"/>
  <c r="Y91" i="18"/>
  <c r="AC91" i="18"/>
  <c r="L113" i="18"/>
  <c r="D130" i="18"/>
  <c r="D90" i="18"/>
  <c r="Z47" i="18"/>
  <c r="AD47" i="18"/>
  <c r="R47" i="18"/>
  <c r="V47" i="18"/>
  <c r="AH47" i="18"/>
  <c r="V61" i="18"/>
  <c r="AD61" i="18"/>
  <c r="R61" i="18"/>
  <c r="Z61" i="18"/>
  <c r="AH61" i="18"/>
  <c r="R63" i="18"/>
  <c r="Z63" i="18"/>
  <c r="AD63" i="18"/>
  <c r="AH63" i="18"/>
  <c r="V63" i="18"/>
  <c r="Z87" i="18"/>
  <c r="Z88" i="18" s="1"/>
  <c r="AH87" i="18"/>
  <c r="AH88" i="18" s="1"/>
  <c r="AD87" i="18"/>
  <c r="AD88" i="18" s="1"/>
  <c r="V87" i="18"/>
  <c r="V88" i="18" s="1"/>
  <c r="R87" i="18"/>
  <c r="R88" i="18" s="1"/>
  <c r="AD52" i="18"/>
  <c r="AD54" i="18" s="1"/>
  <c r="V52" i="18"/>
  <c r="V54" i="18" s="1"/>
  <c r="Z52" i="18"/>
  <c r="Z54" i="18" s="1"/>
  <c r="AH52" i="18"/>
  <c r="AH54" i="18" s="1"/>
  <c r="R52" i="18"/>
  <c r="R54" i="18" s="1"/>
  <c r="V82" i="18"/>
  <c r="R82" i="18"/>
  <c r="AH82" i="18"/>
  <c r="Z82" i="18"/>
  <c r="AD82" i="18"/>
  <c r="R7" i="18"/>
  <c r="AH7" i="18"/>
  <c r="AD7" i="18"/>
  <c r="Z7" i="18"/>
  <c r="V7" i="18"/>
  <c r="AD37" i="18"/>
  <c r="R37" i="18"/>
  <c r="V37" i="18"/>
  <c r="Z37" i="18"/>
  <c r="AH37" i="18"/>
  <c r="AH83" i="18"/>
  <c r="AD27" i="18"/>
  <c r="V27" i="18"/>
  <c r="Z27" i="18"/>
  <c r="AH27" i="18"/>
  <c r="Z36" i="18"/>
  <c r="AD36" i="18"/>
  <c r="R36" i="18"/>
  <c r="V36" i="18"/>
  <c r="AH36" i="18"/>
  <c r="R38" i="18"/>
  <c r="V38" i="18"/>
  <c r="AH38" i="18"/>
  <c r="Z38" i="18"/>
  <c r="AD38" i="18"/>
  <c r="V50" i="18"/>
  <c r="Z50" i="18"/>
  <c r="AH50" i="18"/>
  <c r="AD50" i="18"/>
  <c r="AH60" i="18"/>
  <c r="Z75" i="18"/>
  <c r="AD75" i="18"/>
  <c r="V75" i="18"/>
  <c r="AH75" i="18"/>
  <c r="E15" i="6"/>
  <c r="X14" i="9"/>
  <c r="E19" i="6"/>
  <c r="X18" i="9"/>
  <c r="E6" i="6"/>
  <c r="C5" i="9"/>
  <c r="D23" i="6"/>
  <c r="D19" i="6"/>
  <c r="D18" i="6"/>
  <c r="D12" i="6"/>
  <c r="Z22" i="9"/>
  <c r="E37" i="9"/>
  <c r="Z17" i="9"/>
  <c r="Z23" i="9"/>
  <c r="Z11" i="9"/>
  <c r="I9" i="6"/>
  <c r="T9" i="13"/>
  <c r="P9" i="13"/>
  <c r="R9" i="12"/>
  <c r="R44" i="32" s="1"/>
  <c r="L9" i="13"/>
  <c r="L47" i="32" s="1"/>
  <c r="L53" i="32" s="1"/>
  <c r="X114" i="18"/>
  <c r="X115" i="18" s="1"/>
  <c r="U39" i="7" s="1"/>
  <c r="L290" i="32" s="1"/>
  <c r="AF114" i="18"/>
  <c r="AF115" i="18" s="1"/>
  <c r="AC39" i="7" s="1"/>
  <c r="R290" i="32" s="1"/>
  <c r="T114" i="18"/>
  <c r="T115" i="18" s="1"/>
  <c r="Q39" i="7" s="1"/>
  <c r="I290" i="32" s="1"/>
  <c r="AB114" i="18"/>
  <c r="AB115" i="18" s="1"/>
  <c r="Y39" i="7" s="1"/>
  <c r="O290" i="32" s="1"/>
  <c r="N38" i="28"/>
  <c r="P38" i="28"/>
  <c r="R38" i="28"/>
  <c r="P17" i="28"/>
  <c r="R17" i="28"/>
  <c r="O18" i="28"/>
  <c r="Q18" i="28"/>
  <c r="P40" i="28"/>
  <c r="R40" i="28"/>
  <c r="P22" i="28"/>
  <c r="R22" i="28"/>
  <c r="O43" i="28"/>
  <c r="Q43" i="28"/>
  <c r="P23" i="28"/>
  <c r="R23" i="28"/>
  <c r="O38" i="28"/>
  <c r="O17" i="28"/>
  <c r="Q17" i="28"/>
  <c r="P18" i="28"/>
  <c r="R18" i="28"/>
  <c r="O39" i="28"/>
  <c r="N41" i="28"/>
  <c r="O22" i="28"/>
  <c r="Q22" i="28"/>
  <c r="N43" i="28"/>
  <c r="O23" i="28"/>
  <c r="Q23" i="28"/>
  <c r="AL22" i="3"/>
  <c r="M90" i="18"/>
  <c r="N86" i="20"/>
  <c r="M86" i="20"/>
  <c r="AM26" i="7" l="1"/>
  <c r="Z6" i="4" s="1"/>
  <c r="Z6" i="32"/>
  <c r="C43" i="6"/>
  <c r="X5" i="9"/>
  <c r="AE5" i="9"/>
  <c r="L130" i="18"/>
  <c r="AU130" i="18"/>
  <c r="F13" i="3"/>
  <c r="AR13" i="3" s="1"/>
  <c r="AQ14" i="7"/>
  <c r="AR14" i="7" s="1"/>
  <c r="K25" i="28"/>
  <c r="N26" i="26"/>
  <c r="K26" i="28" s="1"/>
  <c r="E42" i="3"/>
  <c r="AN42" i="3"/>
  <c r="AR42" i="3"/>
  <c r="AQ15" i="7"/>
  <c r="AR15" i="7" s="1"/>
  <c r="F14" i="3"/>
  <c r="E14" i="3" s="1"/>
  <c r="C26" i="7"/>
  <c r="AQ26" i="7" s="1"/>
  <c r="AR26" i="7" s="1"/>
  <c r="AQ24" i="7"/>
  <c r="AR24" i="7" s="1"/>
  <c r="F23" i="3"/>
  <c r="AQ38" i="7"/>
  <c r="AR38" i="7" s="1"/>
  <c r="F41" i="3"/>
  <c r="E41" i="3" s="1"/>
  <c r="C43" i="7"/>
  <c r="AQ43" i="7" s="1"/>
  <c r="AR43" i="7" s="1"/>
  <c r="Z37" i="9"/>
  <c r="AG37" i="9"/>
  <c r="Z40" i="9"/>
  <c r="AG40" i="9"/>
  <c r="Z36" i="9"/>
  <c r="AG36" i="9"/>
  <c r="Z39" i="9"/>
  <c r="AG39" i="9"/>
  <c r="Z35" i="9"/>
  <c r="AG35" i="9"/>
  <c r="X41" i="9"/>
  <c r="AE41" i="9"/>
  <c r="Z38" i="9"/>
  <c r="AG38" i="9"/>
  <c r="AB88" i="18"/>
  <c r="Y24" i="7" s="1"/>
  <c r="O245" i="32" s="1"/>
  <c r="AA24" i="7"/>
  <c r="AF88" i="18"/>
  <c r="AC24" i="7" s="1"/>
  <c r="R245" i="32" s="1"/>
  <c r="AE24" i="7"/>
  <c r="X88" i="18"/>
  <c r="U24" i="7" s="1"/>
  <c r="L245" i="32" s="1"/>
  <c r="W24" i="7"/>
  <c r="P88" i="18"/>
  <c r="M24" i="7" s="1"/>
  <c r="F245" i="32" s="1"/>
  <c r="O24" i="7"/>
  <c r="T88" i="18"/>
  <c r="Q24" i="7" s="1"/>
  <c r="I245" i="32" s="1"/>
  <c r="S24" i="7"/>
  <c r="L90" i="18"/>
  <c r="AU90" i="18"/>
  <c r="P9" i="6"/>
  <c r="P47" i="32"/>
  <c r="P53" i="32" s="1"/>
  <c r="T9" i="6"/>
  <c r="T47" i="32"/>
  <c r="T53" i="32" s="1"/>
  <c r="W9" i="13"/>
  <c r="U9" i="12"/>
  <c r="W44" i="32"/>
  <c r="AC44" i="32" s="1"/>
  <c r="AA9" i="12"/>
  <c r="AA44" i="32" s="1"/>
  <c r="E41" i="9"/>
  <c r="AF54" i="18"/>
  <c r="AC18" i="7" s="1"/>
  <c r="AE18" i="7"/>
  <c r="X54" i="18"/>
  <c r="U18" i="7" s="1"/>
  <c r="W18" i="7"/>
  <c r="AB54" i="18"/>
  <c r="Y18" i="7" s="1"/>
  <c r="AA18" i="7"/>
  <c r="T54" i="18"/>
  <c r="Q18" i="7" s="1"/>
  <c r="S18" i="7"/>
  <c r="P54" i="18"/>
  <c r="M18" i="7" s="1"/>
  <c r="O18" i="7"/>
  <c r="C25" i="9"/>
  <c r="E26" i="6"/>
  <c r="E24" i="4"/>
  <c r="AK26" i="7"/>
  <c r="AH86" i="18"/>
  <c r="Y43" i="28"/>
  <c r="R43" i="28"/>
  <c r="W43" i="28"/>
  <c r="P43" i="28"/>
  <c r="X40" i="28"/>
  <c r="Q40" i="28"/>
  <c r="N18" i="28"/>
  <c r="N17" i="28"/>
  <c r="X38" i="28"/>
  <c r="Q38" i="28"/>
  <c r="N22" i="28"/>
  <c r="Z14" i="9"/>
  <c r="C19" i="6"/>
  <c r="C24" i="6"/>
  <c r="C23" i="6"/>
  <c r="C18" i="6"/>
  <c r="C15" i="6"/>
  <c r="C12" i="6"/>
  <c r="E5" i="9"/>
  <c r="Z18" i="9"/>
  <c r="L9" i="6"/>
  <c r="S9" i="13"/>
  <c r="S47" i="32" s="1"/>
  <c r="S53" i="32" s="1"/>
  <c r="O9" i="13"/>
  <c r="O47" i="32" s="1"/>
  <c r="O53" i="32" s="1"/>
  <c r="P52" i="18"/>
  <c r="AR54" i="18"/>
  <c r="AF52" i="18"/>
  <c r="T87" i="18"/>
  <c r="AB87" i="18"/>
  <c r="AR88" i="18"/>
  <c r="AF87" i="18"/>
  <c r="AB52" i="18"/>
  <c r="X52" i="18"/>
  <c r="T52" i="18"/>
  <c r="X87" i="18"/>
  <c r="P87" i="18"/>
  <c r="AP114" i="18"/>
  <c r="AP115" i="18" s="1"/>
  <c r="AL39" i="7" s="1"/>
  <c r="Y290" i="32" s="1"/>
  <c r="AR115" i="18"/>
  <c r="AN39" i="7" s="1"/>
  <c r="AA290" i="32" s="1"/>
  <c r="AF82" i="18"/>
  <c r="AB82" i="18"/>
  <c r="X82" i="18"/>
  <c r="P82" i="18"/>
  <c r="T82" i="18"/>
  <c r="X43" i="28"/>
  <c r="V43" i="28"/>
  <c r="Y38" i="28"/>
  <c r="W38" i="28"/>
  <c r="V38" i="28"/>
  <c r="Y40" i="28"/>
  <c r="W40" i="28"/>
  <c r="E46" i="3" l="1"/>
  <c r="AN13" i="3"/>
  <c r="F46" i="3"/>
  <c r="AA9" i="6"/>
  <c r="AN41" i="3"/>
  <c r="AR41" i="3"/>
  <c r="AN23" i="3"/>
  <c r="AR23" i="3"/>
  <c r="E23" i="3"/>
  <c r="AR14" i="3"/>
  <c r="AN14" i="3"/>
  <c r="Q39" i="26"/>
  <c r="L39" i="26"/>
  <c r="AL42" i="3"/>
  <c r="AQ42" i="3"/>
  <c r="Y9" i="12"/>
  <c r="Y44" i="32" s="1"/>
  <c r="Z5" i="9"/>
  <c r="AG5" i="9"/>
  <c r="Z41" i="9"/>
  <c r="AG41" i="9"/>
  <c r="H245" i="32"/>
  <c r="N245" i="32"/>
  <c r="T245" i="32"/>
  <c r="AP88" i="18"/>
  <c r="AL24" i="7" s="1"/>
  <c r="Y245" i="32" s="1"/>
  <c r="AN24" i="7"/>
  <c r="AA245" i="32" s="1"/>
  <c r="K245" i="32"/>
  <c r="Q245" i="32"/>
  <c r="AF86" i="18"/>
  <c r="AC23" i="7" s="1"/>
  <c r="R230" i="32" s="1"/>
  <c r="AE23" i="7"/>
  <c r="R153" i="32"/>
  <c r="T153" i="32"/>
  <c r="Q153" i="32"/>
  <c r="O153" i="32"/>
  <c r="N153" i="32"/>
  <c r="L153" i="32"/>
  <c r="K153" i="32"/>
  <c r="I153" i="32"/>
  <c r="F153" i="32"/>
  <c r="H153" i="32"/>
  <c r="AN46" i="3"/>
  <c r="AR46" i="3"/>
  <c r="X25" i="9"/>
  <c r="AE25" i="9"/>
  <c r="Z9" i="13"/>
  <c r="W47" i="32"/>
  <c r="AC47" i="32" s="1"/>
  <c r="V9" i="13"/>
  <c r="X9" i="13"/>
  <c r="W9" i="6"/>
  <c r="AC9" i="6" s="1"/>
  <c r="U44" i="32"/>
  <c r="AP54" i="18"/>
  <c r="AL18" i="7" s="1"/>
  <c r="AN18" i="7"/>
  <c r="E25" i="9"/>
  <c r="AI37" i="26"/>
  <c r="O43" i="26"/>
  <c r="AH107" i="18"/>
  <c r="L38" i="28"/>
  <c r="U38" i="28"/>
  <c r="V17" i="28"/>
  <c r="Y18" i="28"/>
  <c r="X22" i="28"/>
  <c r="X23" i="28"/>
  <c r="V18" i="28"/>
  <c r="Y22" i="28"/>
  <c r="W23" i="28"/>
  <c r="W18" i="28"/>
  <c r="Y17" i="28"/>
  <c r="X18" i="28"/>
  <c r="W22" i="28"/>
  <c r="Y23" i="28"/>
  <c r="W17" i="28"/>
  <c r="X17" i="28"/>
  <c r="V22" i="28"/>
  <c r="V23" i="28"/>
  <c r="Z9" i="6"/>
  <c r="S9" i="6"/>
  <c r="O9" i="6"/>
  <c r="R9" i="13"/>
  <c r="R47" i="32" s="1"/>
  <c r="R53" i="32" s="1"/>
  <c r="AP87" i="18"/>
  <c r="AP52" i="18"/>
  <c r="AH108" i="18"/>
  <c r="AI42" i="26"/>
  <c r="AP82" i="18"/>
  <c r="P39" i="26" l="1"/>
  <c r="I40" i="28"/>
  <c r="N40" i="28"/>
  <c r="AQ14" i="3"/>
  <c r="L14" i="26"/>
  <c r="Q14" i="26"/>
  <c r="AL14" i="3"/>
  <c r="E25" i="3"/>
  <c r="AQ23" i="3"/>
  <c r="Q23" i="26"/>
  <c r="L23" i="26"/>
  <c r="AL23" i="3"/>
  <c r="Q38" i="26"/>
  <c r="L38" i="26"/>
  <c r="AL41" i="3"/>
  <c r="AQ41" i="3"/>
  <c r="T230" i="32"/>
  <c r="AA153" i="32"/>
  <c r="Y153" i="32"/>
  <c r="W53" i="32"/>
  <c r="Z25" i="9"/>
  <c r="AG25" i="9"/>
  <c r="X9" i="6"/>
  <c r="U9" i="13"/>
  <c r="V47" i="32"/>
  <c r="V9" i="6"/>
  <c r="AA47" i="32"/>
  <c r="AA53" i="32" s="1"/>
  <c r="X47" i="32"/>
  <c r="M38" i="28"/>
  <c r="AE37" i="26"/>
  <c r="AH111" i="18"/>
  <c r="AE37" i="7" s="1"/>
  <c r="T260" i="32" s="1"/>
  <c r="AP107" i="18"/>
  <c r="AF107" i="18"/>
  <c r="J24" i="8"/>
  <c r="AG37" i="26"/>
  <c r="AD37" i="26"/>
  <c r="AF37" i="26"/>
  <c r="AH37" i="26"/>
  <c r="L39" i="28"/>
  <c r="V108" i="18"/>
  <c r="T108" i="18" s="1"/>
  <c r="V107" i="18"/>
  <c r="Z107" i="18"/>
  <c r="Z108" i="18"/>
  <c r="X108" i="18" s="1"/>
  <c r="R108" i="18"/>
  <c r="P108" i="18" s="1"/>
  <c r="AD108" i="18"/>
  <c r="AB108" i="18" s="1"/>
  <c r="R107" i="18"/>
  <c r="AD107" i="18"/>
  <c r="F25" i="3"/>
  <c r="R9" i="6"/>
  <c r="G46" i="3"/>
  <c r="J42" i="8"/>
  <c r="Y9" i="6"/>
  <c r="U43" i="28"/>
  <c r="L43" i="28"/>
  <c r="M43" i="28" s="1"/>
  <c r="AF43" i="28" s="1"/>
  <c r="L41" i="28"/>
  <c r="M41" i="28" s="1"/>
  <c r="AH113" i="18"/>
  <c r="AE38" i="7" s="1"/>
  <c r="T275" i="32" s="1"/>
  <c r="Z113" i="18"/>
  <c r="W38" i="7" s="1"/>
  <c r="N275" i="32" s="1"/>
  <c r="AD113" i="18"/>
  <c r="AA38" i="7" s="1"/>
  <c r="Q275" i="32" s="1"/>
  <c r="V113" i="18"/>
  <c r="S38" i="7" s="1"/>
  <c r="K275" i="32" s="1"/>
  <c r="O38" i="7"/>
  <c r="H275" i="32" s="1"/>
  <c r="AH118" i="18"/>
  <c r="AH116" i="18"/>
  <c r="AD98" i="23"/>
  <c r="AH117" i="18"/>
  <c r="AA95" i="23"/>
  <c r="AD95" i="23"/>
  <c r="X95" i="23"/>
  <c r="U95" i="23"/>
  <c r="R95" i="23"/>
  <c r="AD127" i="18"/>
  <c r="AD129" i="18" s="1"/>
  <c r="AA42" i="7" s="1"/>
  <c r="Q335" i="32" s="1"/>
  <c r="V127" i="18"/>
  <c r="V129" i="18" s="1"/>
  <c r="S42" i="7" s="1"/>
  <c r="K335" i="32" s="1"/>
  <c r="AH127" i="18"/>
  <c r="AH129" i="18" s="1"/>
  <c r="AE42" i="7" s="1"/>
  <c r="T335" i="32" s="1"/>
  <c r="Z127" i="18"/>
  <c r="Z129" i="18" s="1"/>
  <c r="W42" i="7" s="1"/>
  <c r="N335" i="32" s="1"/>
  <c r="R127" i="18"/>
  <c r="R129" i="18" s="1"/>
  <c r="O42" i="7" s="1"/>
  <c r="H335" i="32" s="1"/>
  <c r="AB128" i="18"/>
  <c r="T128" i="18"/>
  <c r="P128" i="18"/>
  <c r="X128" i="18"/>
  <c r="AG42" i="26"/>
  <c r="AH42" i="26"/>
  <c r="AE42" i="26"/>
  <c r="AF42" i="26"/>
  <c r="AD100" i="23" l="1"/>
  <c r="AD107" i="23" s="1"/>
  <c r="AL46" i="3"/>
  <c r="AQ46" i="3"/>
  <c r="P38" i="26"/>
  <c r="I39" i="28"/>
  <c r="L43" i="26"/>
  <c r="X38" i="26"/>
  <c r="U39" i="28" s="1"/>
  <c r="Q43" i="26"/>
  <c r="N39" i="28"/>
  <c r="N44" i="28" s="1"/>
  <c r="P23" i="26"/>
  <c r="AI23" i="26" s="1"/>
  <c r="I23" i="28"/>
  <c r="X23" i="26"/>
  <c r="N23" i="28"/>
  <c r="AL25" i="3"/>
  <c r="AQ25" i="3"/>
  <c r="N14" i="28"/>
  <c r="Q25" i="26"/>
  <c r="N25" i="28" s="1"/>
  <c r="P14" i="26"/>
  <c r="I14" i="28"/>
  <c r="L25" i="26"/>
  <c r="I25" i="28" s="1"/>
  <c r="AN25" i="3"/>
  <c r="AR25" i="3"/>
  <c r="X53" i="32"/>
  <c r="AC53" i="32"/>
  <c r="Z47" i="32"/>
  <c r="Z53" i="32" s="1"/>
  <c r="V53" i="32"/>
  <c r="U47" i="32"/>
  <c r="U9" i="6"/>
  <c r="AS46" i="3"/>
  <c r="AO46" i="3"/>
  <c r="AC38" i="28"/>
  <c r="AF38" i="28"/>
  <c r="H39" i="12"/>
  <c r="T107" i="18"/>
  <c r="T111" i="18" s="1"/>
  <c r="Q37" i="7" s="1"/>
  <c r="I260" i="32" s="1"/>
  <c r="V111" i="18"/>
  <c r="S37" i="7" s="1"/>
  <c r="K260" i="32" s="1"/>
  <c r="AB107" i="18"/>
  <c r="AB111" i="18" s="1"/>
  <c r="Y37" i="7" s="1"/>
  <c r="O260" i="32" s="1"/>
  <c r="AD111" i="18"/>
  <c r="AA37" i="7" s="1"/>
  <c r="Q260" i="32" s="1"/>
  <c r="P107" i="18"/>
  <c r="P111" i="18" s="1"/>
  <c r="M37" i="7" s="1"/>
  <c r="F260" i="32" s="1"/>
  <c r="R111" i="18"/>
  <c r="O37" i="7" s="1"/>
  <c r="H260" i="32" s="1"/>
  <c r="AH120" i="18"/>
  <c r="AE40" i="7" s="1"/>
  <c r="X107" i="18"/>
  <c r="X111" i="18" s="1"/>
  <c r="U37" i="7" s="1"/>
  <c r="L260" i="32" s="1"/>
  <c r="Z111" i="18"/>
  <c r="W37" i="7" s="1"/>
  <c r="N260" i="32" s="1"/>
  <c r="AE38" i="28"/>
  <c r="AB38" i="28"/>
  <c r="AA38" i="28"/>
  <c r="AD38" i="28"/>
  <c r="AD42" i="26"/>
  <c r="H44" i="12" s="1"/>
  <c r="X98" i="23"/>
  <c r="U98" i="23"/>
  <c r="R98" i="23"/>
  <c r="AA98" i="23"/>
  <c r="Z117" i="18"/>
  <c r="X117" i="18" s="1"/>
  <c r="V117" i="18"/>
  <c r="T117" i="18" s="1"/>
  <c r="Z116" i="18"/>
  <c r="R116" i="18"/>
  <c r="AD116" i="18"/>
  <c r="V118" i="18"/>
  <c r="T118" i="18" s="1"/>
  <c r="R117" i="18"/>
  <c r="P117" i="18" s="1"/>
  <c r="AD117" i="18"/>
  <c r="AB117" i="18" s="1"/>
  <c r="V116" i="18"/>
  <c r="Z118" i="18"/>
  <c r="X118" i="18" s="1"/>
  <c r="R118" i="18"/>
  <c r="P118" i="18" s="1"/>
  <c r="AD118" i="18"/>
  <c r="AB118" i="18" s="1"/>
  <c r="J15" i="8"/>
  <c r="J40" i="8"/>
  <c r="AI39" i="26"/>
  <c r="R114" i="18"/>
  <c r="R115" i="18" s="1"/>
  <c r="O39" i="7" s="1"/>
  <c r="H290" i="32" s="1"/>
  <c r="AD43" i="28"/>
  <c r="AC43" i="28"/>
  <c r="AB43" i="28"/>
  <c r="AA43" i="28"/>
  <c r="H44" i="13" s="1"/>
  <c r="H339" i="32" s="1"/>
  <c r="AE43" i="28"/>
  <c r="AF108" i="18"/>
  <c r="AF111" i="18" s="1"/>
  <c r="AC37" i="7" s="1"/>
  <c r="R260" i="32" s="1"/>
  <c r="AP108" i="18"/>
  <c r="AP111" i="18" s="1"/>
  <c r="AL37" i="7" s="1"/>
  <c r="Y260" i="32" s="1"/>
  <c r="F113" i="18"/>
  <c r="E38" i="7" s="1"/>
  <c r="G113" i="18"/>
  <c r="F38" i="7" s="1"/>
  <c r="H113" i="18"/>
  <c r="G38" i="7" s="1"/>
  <c r="I113" i="18"/>
  <c r="H38" i="7" s="1"/>
  <c r="AI22" i="26"/>
  <c r="P41" i="3" l="1"/>
  <c r="O41" i="3" s="1"/>
  <c r="S38" i="26" s="1"/>
  <c r="AE41" i="3"/>
  <c r="AD41" i="3" s="1"/>
  <c r="V38" i="26" s="1"/>
  <c r="U41" i="3"/>
  <c r="T41" i="3" s="1"/>
  <c r="T38" i="26" s="1"/>
  <c r="Z41" i="3"/>
  <c r="Y41" i="3" s="1"/>
  <c r="U38" i="26" s="1"/>
  <c r="AD38" i="26"/>
  <c r="H40" i="12" s="1"/>
  <c r="H278" i="32" s="1"/>
  <c r="I44" i="28"/>
  <c r="M39" i="28"/>
  <c r="Y98" i="23"/>
  <c r="AA100" i="23"/>
  <c r="AA107" i="23" s="1"/>
  <c r="P98" i="23"/>
  <c r="R100" i="23"/>
  <c r="R107" i="23" s="1"/>
  <c r="S98" i="23"/>
  <c r="U100" i="23"/>
  <c r="U107" i="23" s="1"/>
  <c r="V98" i="23"/>
  <c r="X100" i="23"/>
  <c r="X107" i="23" s="1"/>
  <c r="AF43" i="3"/>
  <c r="AD43" i="3" s="1"/>
  <c r="AA43" i="3"/>
  <c r="Y43" i="3" s="1"/>
  <c r="V43" i="3"/>
  <c r="T43" i="3" s="1"/>
  <c r="Q43" i="3"/>
  <c r="O43" i="3" s="1"/>
  <c r="L43" i="3"/>
  <c r="J43" i="3" s="1"/>
  <c r="T305" i="32"/>
  <c r="Y47" i="32"/>
  <c r="Y53" i="32" s="1"/>
  <c r="U53" i="32"/>
  <c r="K39" i="12"/>
  <c r="I39" i="12" s="1"/>
  <c r="I263" i="32" s="1"/>
  <c r="H263" i="32"/>
  <c r="K44" i="12"/>
  <c r="K338" i="32" s="1"/>
  <c r="H338" i="32"/>
  <c r="H39" i="13"/>
  <c r="J12" i="8"/>
  <c r="C44" i="8"/>
  <c r="AB116" i="18"/>
  <c r="AB120" i="18" s="1"/>
  <c r="Y40" i="7" s="1"/>
  <c r="AD120" i="18"/>
  <c r="AA40" i="7" s="1"/>
  <c r="X116" i="18"/>
  <c r="X120" i="18" s="1"/>
  <c r="U40" i="7" s="1"/>
  <c r="Z120" i="18"/>
  <c r="W40" i="7" s="1"/>
  <c r="N305" i="32" s="1"/>
  <c r="P116" i="18"/>
  <c r="P120" i="18" s="1"/>
  <c r="M40" i="7" s="1"/>
  <c r="R120" i="18"/>
  <c r="O40" i="7" s="1"/>
  <c r="T116" i="18"/>
  <c r="T120" i="18" s="1"/>
  <c r="Q40" i="7" s="1"/>
  <c r="V120" i="18"/>
  <c r="S40" i="7" s="1"/>
  <c r="G25" i="3"/>
  <c r="AD23" i="26"/>
  <c r="L23" i="28"/>
  <c r="M23" i="28" s="1"/>
  <c r="AF23" i="28" s="1"/>
  <c r="AI11" i="26"/>
  <c r="J23" i="8"/>
  <c r="G44" i="12"/>
  <c r="L22" i="28"/>
  <c r="M22" i="28" s="1"/>
  <c r="AF22" i="28" s="1"/>
  <c r="E115" i="18"/>
  <c r="D39" i="7" s="1"/>
  <c r="AH122" i="18"/>
  <c r="AH124" i="18"/>
  <c r="AI18" i="26"/>
  <c r="J19" i="8"/>
  <c r="AI17" i="26"/>
  <c r="J18" i="8"/>
  <c r="J26" i="24"/>
  <c r="L40" i="28"/>
  <c r="AH121" i="18"/>
  <c r="L14" i="28"/>
  <c r="M14" i="28" s="1"/>
  <c r="G44" i="13"/>
  <c r="K44" i="13"/>
  <c r="K339" i="32" s="1"/>
  <c r="AF112" i="18"/>
  <c r="AF113" i="18" s="1"/>
  <c r="AC38" i="7" s="1"/>
  <c r="R275" i="32" s="1"/>
  <c r="AB112" i="18"/>
  <c r="AB113" i="18" s="1"/>
  <c r="Y38" i="7" s="1"/>
  <c r="O275" i="32" s="1"/>
  <c r="P112" i="18"/>
  <c r="P113" i="18" s="1"/>
  <c r="M38" i="7" s="1"/>
  <c r="F275" i="32" s="1"/>
  <c r="X112" i="18"/>
  <c r="X113" i="18" s="1"/>
  <c r="U38" i="7" s="1"/>
  <c r="L275" i="32" s="1"/>
  <c r="T112" i="18"/>
  <c r="T113" i="18" s="1"/>
  <c r="Q38" i="7" s="1"/>
  <c r="I275" i="32" s="1"/>
  <c r="AR111" i="18"/>
  <c r="AN37" i="7" s="1"/>
  <c r="AA260" i="32" s="1"/>
  <c r="AP117" i="18"/>
  <c r="AF117" i="18"/>
  <c r="AP118" i="18"/>
  <c r="AF118" i="18"/>
  <c r="AF116" i="18"/>
  <c r="AB95" i="23"/>
  <c r="S95" i="23"/>
  <c r="AJ98" i="23"/>
  <c r="AB98" i="23"/>
  <c r="Y95" i="23"/>
  <c r="V95" i="23"/>
  <c r="P95" i="23"/>
  <c r="T127" i="18"/>
  <c r="T129" i="18" s="1"/>
  <c r="Q42" i="7" s="1"/>
  <c r="I335" i="32" s="1"/>
  <c r="X127" i="18"/>
  <c r="X129" i="18" s="1"/>
  <c r="U42" i="7" s="1"/>
  <c r="L335" i="32" s="1"/>
  <c r="AB127" i="18"/>
  <c r="AB129" i="18" s="1"/>
  <c r="Y42" i="7" s="1"/>
  <c r="O335" i="32" s="1"/>
  <c r="AF127" i="18"/>
  <c r="P127" i="18"/>
  <c r="P129" i="18" s="1"/>
  <c r="M42" i="7" s="1"/>
  <c r="F335" i="32" s="1"/>
  <c r="AP128" i="18"/>
  <c r="AF128" i="18"/>
  <c r="Z83" i="18"/>
  <c r="Z86" i="18" s="1"/>
  <c r="R83" i="18"/>
  <c r="R86" i="18" s="1"/>
  <c r="AD83" i="18"/>
  <c r="AD86" i="18" s="1"/>
  <c r="V83" i="18"/>
  <c r="V86" i="18" s="1"/>
  <c r="AG23" i="26"/>
  <c r="AF23" i="26"/>
  <c r="AE23" i="26"/>
  <c r="AH23" i="26"/>
  <c r="AA38" i="26" l="1"/>
  <c r="R39" i="28"/>
  <c r="K42" i="3"/>
  <c r="J42" i="3" s="1"/>
  <c r="R39" i="26" s="1"/>
  <c r="S39" i="28"/>
  <c r="AB38" i="26"/>
  <c r="AC38" i="26"/>
  <c r="Z38" i="26"/>
  <c r="Q39" i="28"/>
  <c r="Y38" i="26"/>
  <c r="P39" i="28"/>
  <c r="AA39" i="28"/>
  <c r="H40" i="13" s="1"/>
  <c r="V40" i="26"/>
  <c r="U40" i="26"/>
  <c r="T40" i="26"/>
  <c r="S40" i="26"/>
  <c r="R40" i="26"/>
  <c r="Q305" i="32"/>
  <c r="O305" i="32"/>
  <c r="K305" i="32"/>
  <c r="I305" i="32"/>
  <c r="H305" i="32"/>
  <c r="F305" i="32"/>
  <c r="L305" i="32"/>
  <c r="AB86" i="18"/>
  <c r="Y23" i="7" s="1"/>
  <c r="AA23" i="7"/>
  <c r="X86" i="18"/>
  <c r="U23" i="7" s="1"/>
  <c r="W23" i="7"/>
  <c r="T86" i="18"/>
  <c r="Q23" i="7" s="1"/>
  <c r="S23" i="7"/>
  <c r="P86" i="18"/>
  <c r="M23" i="7" s="1"/>
  <c r="O23" i="7"/>
  <c r="N44" i="12"/>
  <c r="N338" i="32" s="1"/>
  <c r="J44" i="12"/>
  <c r="J338" i="32" s="1"/>
  <c r="J44" i="8"/>
  <c r="AK44" i="8"/>
  <c r="F44" i="13"/>
  <c r="F339" i="32" s="1"/>
  <c r="G339" i="32"/>
  <c r="F44" i="12"/>
  <c r="F338" i="32" s="1"/>
  <c r="G338" i="32"/>
  <c r="AS25" i="3"/>
  <c r="AO25" i="3"/>
  <c r="K39" i="13"/>
  <c r="K264" i="32" s="1"/>
  <c r="H264" i="32"/>
  <c r="N39" i="12"/>
  <c r="K263" i="32"/>
  <c r="F39" i="13"/>
  <c r="F264" i="32" s="1"/>
  <c r="M40" i="28"/>
  <c r="AF40" i="28" s="1"/>
  <c r="L44" i="28"/>
  <c r="M44" i="28" s="1"/>
  <c r="C26" i="8"/>
  <c r="AH125" i="18"/>
  <c r="AP116" i="18"/>
  <c r="AP120" i="18" s="1"/>
  <c r="AL40" i="7" s="1"/>
  <c r="AR120" i="18"/>
  <c r="AN40" i="7" s="1"/>
  <c r="AP127" i="18"/>
  <c r="AP129" i="18" s="1"/>
  <c r="AL42" i="7" s="1"/>
  <c r="Y335" i="32" s="1"/>
  <c r="AR129" i="18"/>
  <c r="AN42" i="7" s="1"/>
  <c r="AA335" i="32" s="1"/>
  <c r="AF120" i="18"/>
  <c r="AC40" i="7" s="1"/>
  <c r="AF129" i="18"/>
  <c r="AC42" i="7" s="1"/>
  <c r="R335" i="32" s="1"/>
  <c r="Y100" i="23"/>
  <c r="Y107" i="23" s="1"/>
  <c r="S100" i="23"/>
  <c r="S107" i="23" s="1"/>
  <c r="P100" i="23"/>
  <c r="P107" i="23" s="1"/>
  <c r="V100" i="23"/>
  <c r="V107" i="23" s="1"/>
  <c r="G40" i="12"/>
  <c r="G278" i="32" s="1"/>
  <c r="O25" i="26"/>
  <c r="AB23" i="28"/>
  <c r="U23" i="28"/>
  <c r="R31" i="18"/>
  <c r="R33" i="18" s="1"/>
  <c r="Z31" i="18"/>
  <c r="Z33" i="18" s="1"/>
  <c r="V31" i="18"/>
  <c r="V33" i="18" s="1"/>
  <c r="AH31" i="18"/>
  <c r="AH33" i="18" s="1"/>
  <c r="AD31" i="18"/>
  <c r="AD33" i="18" s="1"/>
  <c r="X20" i="23"/>
  <c r="X35" i="23" s="1"/>
  <c r="AA20" i="23"/>
  <c r="AA35" i="23" s="1"/>
  <c r="AD20" i="23"/>
  <c r="AD35" i="23" s="1"/>
  <c r="R20" i="23"/>
  <c r="R35" i="23" s="1"/>
  <c r="U20" i="23"/>
  <c r="U35" i="23" s="1"/>
  <c r="L11" i="28"/>
  <c r="M11" i="28" s="1"/>
  <c r="AF11" i="28" s="1"/>
  <c r="R121" i="18"/>
  <c r="AD121" i="18"/>
  <c r="V121" i="18"/>
  <c r="R124" i="18"/>
  <c r="P124" i="18" s="1"/>
  <c r="AD124" i="18"/>
  <c r="AB124" i="18" s="1"/>
  <c r="V124" i="18"/>
  <c r="T124" i="18" s="1"/>
  <c r="Z122" i="18"/>
  <c r="X122" i="18" s="1"/>
  <c r="AD122" i="18"/>
  <c r="AB122" i="18" s="1"/>
  <c r="Z121" i="18"/>
  <c r="Z124" i="18"/>
  <c r="X124" i="18" s="1"/>
  <c r="V122" i="18"/>
  <c r="T122" i="18" s="1"/>
  <c r="R122" i="18"/>
  <c r="P122" i="18" s="1"/>
  <c r="L17" i="28"/>
  <c r="M17" i="28" s="1"/>
  <c r="AF17" i="28" s="1"/>
  <c r="L18" i="28"/>
  <c r="M18" i="28" s="1"/>
  <c r="AF18" i="28" s="1"/>
  <c r="I125" i="18"/>
  <c r="G125" i="18"/>
  <c r="H125" i="18"/>
  <c r="P114" i="18"/>
  <c r="P115" i="18" s="1"/>
  <c r="M39" i="7" s="1"/>
  <c r="G42" i="6"/>
  <c r="AG39" i="26"/>
  <c r="AH39" i="26"/>
  <c r="AF39" i="26"/>
  <c r="V58" i="18"/>
  <c r="V59" i="18" s="1"/>
  <c r="AH58" i="18"/>
  <c r="AH59" i="18" s="1"/>
  <c r="AD58" i="18"/>
  <c r="AD59" i="18" s="1"/>
  <c r="R58" i="18"/>
  <c r="R59" i="18" s="1"/>
  <c r="Z58" i="18"/>
  <c r="Z59" i="18" s="1"/>
  <c r="F125" i="18"/>
  <c r="E125" i="18"/>
  <c r="U22" i="28"/>
  <c r="L5" i="28"/>
  <c r="M5" i="28" s="1"/>
  <c r="AF5" i="28" s="1"/>
  <c r="J44" i="13"/>
  <c r="N44" i="13"/>
  <c r="N339" i="32" s="1"/>
  <c r="AE22" i="28"/>
  <c r="AD22" i="28"/>
  <c r="AC22" i="28"/>
  <c r="AB22" i="28"/>
  <c r="AP112" i="18"/>
  <c r="AP113" i="18" s="1"/>
  <c r="AL38" i="7" s="1"/>
  <c r="Y275" i="32" s="1"/>
  <c r="AR113" i="18"/>
  <c r="AN38" i="7" s="1"/>
  <c r="AA275" i="32" s="1"/>
  <c r="AH13" i="18"/>
  <c r="Z13" i="18"/>
  <c r="AD13" i="18"/>
  <c r="V13" i="18"/>
  <c r="R13" i="18"/>
  <c r="AH11" i="18"/>
  <c r="Z11" i="18"/>
  <c r="AD11" i="18"/>
  <c r="V11" i="18"/>
  <c r="R11" i="18"/>
  <c r="AH12" i="18"/>
  <c r="Z12" i="18"/>
  <c r="R12" i="18"/>
  <c r="AD12" i="18"/>
  <c r="V12" i="18"/>
  <c r="AH14" i="18"/>
  <c r="Z14" i="18"/>
  <c r="R14" i="18"/>
  <c r="AD14" i="18"/>
  <c r="V14" i="18"/>
  <c r="AJ95" i="23"/>
  <c r="AB100" i="23"/>
  <c r="AB107" i="23" s="1"/>
  <c r="AD7" i="23"/>
  <c r="AD8" i="23" s="1"/>
  <c r="X7" i="23"/>
  <c r="X8" i="23" s="1"/>
  <c r="R7" i="23"/>
  <c r="R8" i="23" s="1"/>
  <c r="AA7" i="23"/>
  <c r="AA8" i="23" s="1"/>
  <c r="U7" i="23"/>
  <c r="U8" i="23" s="1"/>
  <c r="AE22" i="26"/>
  <c r="AD22" i="26"/>
  <c r="AH22" i="26"/>
  <c r="AG22" i="26"/>
  <c r="AF22" i="26"/>
  <c r="H24" i="12"/>
  <c r="H248" i="32" s="1"/>
  <c r="Z39" i="28" l="1"/>
  <c r="AF39" i="28" s="1"/>
  <c r="AI38" i="26"/>
  <c r="Y39" i="28"/>
  <c r="AE39" i="28" s="1"/>
  <c r="AH38" i="26"/>
  <c r="F130" i="18"/>
  <c r="E41" i="7"/>
  <c r="Y39" i="26"/>
  <c r="O40" i="28"/>
  <c r="X39" i="26"/>
  <c r="H130" i="18"/>
  <c r="G41" i="7"/>
  <c r="V39" i="28"/>
  <c r="AB39" i="28" s="1"/>
  <c r="K40" i="13" s="1"/>
  <c r="AE38" i="26"/>
  <c r="K40" i="12" s="1"/>
  <c r="K278" i="32" s="1"/>
  <c r="E130" i="18"/>
  <c r="D41" i="7"/>
  <c r="G130" i="18"/>
  <c r="F41" i="7"/>
  <c r="I130" i="18"/>
  <c r="H41" i="7"/>
  <c r="W39" i="28"/>
  <c r="AC39" i="28" s="1"/>
  <c r="AF38" i="26"/>
  <c r="X39" i="28"/>
  <c r="AD39" i="28" s="1"/>
  <c r="AG38" i="26"/>
  <c r="Q44" i="12"/>
  <c r="Q338" i="32" s="1"/>
  <c r="N39" i="13"/>
  <c r="N264" i="32" s="1"/>
  <c r="I44" i="12"/>
  <c r="I338" i="32" s="1"/>
  <c r="M44" i="12"/>
  <c r="M338" i="32" s="1"/>
  <c r="X59" i="18"/>
  <c r="U19" i="7" s="1"/>
  <c r="L168" i="32" s="1"/>
  <c r="W19" i="7"/>
  <c r="P59" i="18"/>
  <c r="M19" i="7" s="1"/>
  <c r="F168" i="32" s="1"/>
  <c r="O19" i="7"/>
  <c r="AB59" i="18"/>
  <c r="Y19" i="7" s="1"/>
  <c r="O168" i="32" s="1"/>
  <c r="AA19" i="7"/>
  <c r="AF59" i="18"/>
  <c r="AC19" i="7" s="1"/>
  <c r="R168" i="32" s="1"/>
  <c r="AE19" i="7"/>
  <c r="T59" i="18"/>
  <c r="Q19" i="7" s="1"/>
  <c r="I168" i="32" s="1"/>
  <c r="S19" i="7"/>
  <c r="F290" i="32"/>
  <c r="AB33" i="18"/>
  <c r="Y15" i="7" s="1"/>
  <c r="O108" i="32" s="1"/>
  <c r="AA15" i="7"/>
  <c r="AF33" i="18"/>
  <c r="AC15" i="7" s="1"/>
  <c r="R108" i="32" s="1"/>
  <c r="AE15" i="7"/>
  <c r="T33" i="18"/>
  <c r="Q15" i="7" s="1"/>
  <c r="I108" i="32" s="1"/>
  <c r="S15" i="7"/>
  <c r="X33" i="18"/>
  <c r="U15" i="7" s="1"/>
  <c r="L108" i="32" s="1"/>
  <c r="W15" i="7"/>
  <c r="P33" i="18"/>
  <c r="M15" i="7" s="1"/>
  <c r="F108" i="32" s="1"/>
  <c r="O15" i="7"/>
  <c r="AH130" i="18"/>
  <c r="AE41" i="7"/>
  <c r="G40" i="13"/>
  <c r="G38" i="6" s="1"/>
  <c r="H279" i="32"/>
  <c r="S41" i="28"/>
  <c r="AC40" i="26"/>
  <c r="AB40" i="26"/>
  <c r="R41" i="28"/>
  <c r="AA40" i="26"/>
  <c r="Q41" i="28"/>
  <c r="Z40" i="26"/>
  <c r="P41" i="28"/>
  <c r="Y40" i="26"/>
  <c r="X40" i="26"/>
  <c r="O41" i="28"/>
  <c r="I39" i="13"/>
  <c r="I264" i="32" s="1"/>
  <c r="AE40" i="28"/>
  <c r="AC40" i="28"/>
  <c r="AD40" i="28"/>
  <c r="R305" i="32"/>
  <c r="AA305" i="32"/>
  <c r="Y305" i="32"/>
  <c r="Q230" i="32"/>
  <c r="O230" i="32"/>
  <c r="N230" i="32"/>
  <c r="L230" i="32"/>
  <c r="K230" i="32"/>
  <c r="I230" i="32"/>
  <c r="H230" i="32"/>
  <c r="F230" i="32"/>
  <c r="G341" i="32"/>
  <c r="N263" i="32"/>
  <c r="L39" i="12"/>
  <c r="L263" i="32" s="1"/>
  <c r="Q39" i="12"/>
  <c r="I44" i="13"/>
  <c r="I339" i="32" s="1"/>
  <c r="J339" i="32"/>
  <c r="J341" i="32" s="1"/>
  <c r="J26" i="8"/>
  <c r="AK26" i="8"/>
  <c r="AI41" i="8"/>
  <c r="AE5" i="26"/>
  <c r="AI5" i="26"/>
  <c r="AB121" i="18"/>
  <c r="AB125" i="18" s="1"/>
  <c r="AD125" i="18"/>
  <c r="X121" i="18"/>
  <c r="X125" i="18" s="1"/>
  <c r="Z125" i="18"/>
  <c r="P121" i="18"/>
  <c r="P125" i="18" s="1"/>
  <c r="R125" i="18"/>
  <c r="T121" i="18"/>
  <c r="T125" i="18" s="1"/>
  <c r="V125" i="18"/>
  <c r="AH16" i="18"/>
  <c r="R16" i="18"/>
  <c r="O6" i="7" s="1"/>
  <c r="V16" i="18"/>
  <c r="S6" i="7" s="1"/>
  <c r="AD16" i="18"/>
  <c r="AA6" i="7" s="1"/>
  <c r="Z16" i="18"/>
  <c r="W6" i="7" s="1"/>
  <c r="AJ100" i="23"/>
  <c r="AJ107" i="23" s="1"/>
  <c r="U5" i="28"/>
  <c r="F40" i="12"/>
  <c r="F278" i="32" s="1"/>
  <c r="J40" i="12"/>
  <c r="AE23" i="28"/>
  <c r="AD23" i="28"/>
  <c r="AC23" i="28"/>
  <c r="AA23" i="28"/>
  <c r="H24" i="13" s="1"/>
  <c r="E33" i="18"/>
  <c r="D15" i="7" s="1"/>
  <c r="H33" i="18"/>
  <c r="G15" i="7" s="1"/>
  <c r="G33" i="18"/>
  <c r="F15" i="7" s="1"/>
  <c r="I33" i="18"/>
  <c r="H15" i="7" s="1"/>
  <c r="F33" i="18"/>
  <c r="E15" i="7" s="1"/>
  <c r="X11" i="23"/>
  <c r="X12" i="23" s="1"/>
  <c r="AE11" i="26"/>
  <c r="AF11" i="26"/>
  <c r="AG11" i="26"/>
  <c r="AH11" i="26"/>
  <c r="AD11" i="26"/>
  <c r="R23" i="18"/>
  <c r="R24" i="18" s="1"/>
  <c r="AD11" i="23"/>
  <c r="AD12" i="23" s="1"/>
  <c r="U11" i="28"/>
  <c r="Z23" i="18"/>
  <c r="Z24" i="18" s="1"/>
  <c r="AD23" i="18"/>
  <c r="AD24" i="18" s="1"/>
  <c r="R11" i="23"/>
  <c r="R12" i="23" s="1"/>
  <c r="V23" i="18"/>
  <c r="V24" i="18" s="1"/>
  <c r="U11" i="23"/>
  <c r="U12" i="23" s="1"/>
  <c r="AA11" i="23"/>
  <c r="AA12" i="23" s="1"/>
  <c r="AH23" i="18"/>
  <c r="AH24" i="18" s="1"/>
  <c r="AD5" i="26"/>
  <c r="AG5" i="26"/>
  <c r="L25" i="28"/>
  <c r="M25" i="28" s="1"/>
  <c r="AH5" i="26"/>
  <c r="AF5" i="26"/>
  <c r="AA22" i="28"/>
  <c r="S20" i="23"/>
  <c r="S35" i="23" s="1"/>
  <c r="AB31" i="18"/>
  <c r="AF121" i="18"/>
  <c r="AF124" i="18"/>
  <c r="AP124" i="18"/>
  <c r="Y20" i="23"/>
  <c r="Y35" i="23" s="1"/>
  <c r="AI15" i="8"/>
  <c r="AA109" i="32" s="1"/>
  <c r="AB20" i="23"/>
  <c r="AB35" i="23" s="1"/>
  <c r="V20" i="23"/>
  <c r="V35" i="23" s="1"/>
  <c r="U18" i="28"/>
  <c r="AF17" i="26"/>
  <c r="AG17" i="26"/>
  <c r="AE17" i="26"/>
  <c r="AD17" i="26"/>
  <c r="AH17" i="26"/>
  <c r="AP122" i="18"/>
  <c r="AF122" i="18"/>
  <c r="P20" i="23"/>
  <c r="P35" i="23" s="1"/>
  <c r="T31" i="18"/>
  <c r="X31" i="18"/>
  <c r="AF31" i="18"/>
  <c r="AR33" i="18"/>
  <c r="P31" i="18"/>
  <c r="AE18" i="26"/>
  <c r="AH18" i="26"/>
  <c r="AF18" i="26"/>
  <c r="AD18" i="26"/>
  <c r="AG18" i="26"/>
  <c r="U17" i="28"/>
  <c r="J42" i="6"/>
  <c r="Q44" i="13"/>
  <c r="Q339" i="32" s="1"/>
  <c r="M44" i="13"/>
  <c r="X83" i="18"/>
  <c r="AB83" i="18"/>
  <c r="AF83" i="18"/>
  <c r="AR86" i="18"/>
  <c r="P83" i="18"/>
  <c r="T83" i="18"/>
  <c r="K24" i="12"/>
  <c r="K248" i="32" s="1"/>
  <c r="H23" i="12"/>
  <c r="H233" i="32" s="1"/>
  <c r="L39" i="13" l="1"/>
  <c r="L264" i="32" s="1"/>
  <c r="N40" i="12"/>
  <c r="N278" i="32" s="1"/>
  <c r="K44" i="3"/>
  <c r="D43" i="7"/>
  <c r="V40" i="28"/>
  <c r="AB40" i="28" s="1"/>
  <c r="AE39" i="26"/>
  <c r="P44" i="3"/>
  <c r="E43" i="7"/>
  <c r="AE44" i="3"/>
  <c r="H43" i="7"/>
  <c r="Z44" i="3"/>
  <c r="G43" i="7"/>
  <c r="T44" i="12"/>
  <c r="W44" i="12" s="1"/>
  <c r="P44" i="12"/>
  <c r="P338" i="32" s="1"/>
  <c r="U44" i="3"/>
  <c r="F43" i="7"/>
  <c r="U40" i="28"/>
  <c r="AA40" i="28" s="1"/>
  <c r="H41" i="13" s="1"/>
  <c r="H294" i="32" s="1"/>
  <c r="AD39" i="26"/>
  <c r="H41" i="12" s="1"/>
  <c r="H293" i="32" s="1"/>
  <c r="K14" i="3"/>
  <c r="D26" i="7"/>
  <c r="AE14" i="3"/>
  <c r="AD14" i="3" s="1"/>
  <c r="H26" i="7"/>
  <c r="U14" i="3"/>
  <c r="T14" i="3" s="1"/>
  <c r="F26" i="7"/>
  <c r="P14" i="3"/>
  <c r="E26" i="7"/>
  <c r="Z14" i="3"/>
  <c r="Y14" i="3" s="1"/>
  <c r="G26" i="7"/>
  <c r="Q39" i="13"/>
  <c r="Q264" i="32" s="1"/>
  <c r="L44" i="12"/>
  <c r="L338" i="32" s="1"/>
  <c r="AP33" i="18"/>
  <c r="AL15" i="7" s="1"/>
  <c r="Y108" i="32" s="1"/>
  <c r="AN15" i="7"/>
  <c r="AA108" i="32" s="1"/>
  <c r="AF24" i="18"/>
  <c r="AC12" i="7" s="1"/>
  <c r="R64" i="32" s="1"/>
  <c r="AE12" i="7"/>
  <c r="T24" i="18"/>
  <c r="Q12" i="7" s="1"/>
  <c r="I64" i="32" s="1"/>
  <c r="S12" i="7"/>
  <c r="S26" i="7" s="1"/>
  <c r="K6" i="4" s="1"/>
  <c r="AB24" i="18"/>
  <c r="Y12" i="7" s="1"/>
  <c r="O64" i="32" s="1"/>
  <c r="AA12" i="7"/>
  <c r="AA26" i="7" s="1"/>
  <c r="Q6" i="4" s="1"/>
  <c r="X24" i="18"/>
  <c r="U12" i="7" s="1"/>
  <c r="L64" i="32" s="1"/>
  <c r="W12" i="7"/>
  <c r="W26" i="7" s="1"/>
  <c r="N6" i="4" s="1"/>
  <c r="P24" i="18"/>
  <c r="M12" i="7" s="1"/>
  <c r="F64" i="32" s="1"/>
  <c r="O12" i="7"/>
  <c r="O26" i="7" s="1"/>
  <c r="H6" i="4" s="1"/>
  <c r="N6" i="32"/>
  <c r="Q6" i="32"/>
  <c r="K6" i="32"/>
  <c r="H6" i="32"/>
  <c r="AF16" i="18"/>
  <c r="AC6" i="7" s="1"/>
  <c r="AE6" i="7"/>
  <c r="V130" i="18"/>
  <c r="S41" i="7"/>
  <c r="T130" i="18"/>
  <c r="Q41" i="7"/>
  <c r="R130" i="18"/>
  <c r="O41" i="7"/>
  <c r="P130" i="18"/>
  <c r="M41" i="7"/>
  <c r="Z130" i="18"/>
  <c r="W41" i="7"/>
  <c r="X130" i="18"/>
  <c r="U41" i="7"/>
  <c r="AD130" i="18"/>
  <c r="AA41" i="7"/>
  <c r="AB130" i="18"/>
  <c r="Y41" i="7"/>
  <c r="K279" i="32"/>
  <c r="J40" i="13"/>
  <c r="J38" i="6" s="1"/>
  <c r="N40" i="13"/>
  <c r="G279" i="32"/>
  <c r="G281" i="32" s="1"/>
  <c r="F40" i="13"/>
  <c r="F279" i="32" s="1"/>
  <c r="T320" i="32"/>
  <c r="AE43" i="7"/>
  <c r="T35" i="4" s="1"/>
  <c r="H108" i="32"/>
  <c r="N108" i="32"/>
  <c r="K108" i="32"/>
  <c r="T108" i="32"/>
  <c r="Q108" i="32"/>
  <c r="K168" i="32"/>
  <c r="T168" i="32"/>
  <c r="Q168" i="32"/>
  <c r="H168" i="32"/>
  <c r="N168" i="32"/>
  <c r="Z41" i="28"/>
  <c r="AI40" i="26"/>
  <c r="Y41" i="28"/>
  <c r="AH40" i="26"/>
  <c r="X41" i="28"/>
  <c r="AG40" i="26"/>
  <c r="W41" i="28"/>
  <c r="AF40" i="26"/>
  <c r="U41" i="28"/>
  <c r="AD40" i="26"/>
  <c r="V41" i="28"/>
  <c r="AE40" i="26"/>
  <c r="AP86" i="18"/>
  <c r="AL23" i="7" s="1"/>
  <c r="AN23" i="7"/>
  <c r="Q263" i="32"/>
  <c r="O39" i="12"/>
  <c r="O263" i="32" s="1"/>
  <c r="T39" i="12"/>
  <c r="K24" i="13"/>
  <c r="K249" i="32" s="1"/>
  <c r="H249" i="32"/>
  <c r="AA306" i="32"/>
  <c r="L44" i="13"/>
  <c r="L339" i="32" s="1"/>
  <c r="M339" i="32"/>
  <c r="M341" i="32" s="1"/>
  <c r="I40" i="12"/>
  <c r="I278" i="32" s="1"/>
  <c r="J278" i="32"/>
  <c r="P12" i="23"/>
  <c r="V12" i="23"/>
  <c r="AB12" i="23"/>
  <c r="Y12" i="23"/>
  <c r="S12" i="23"/>
  <c r="AA73" i="23"/>
  <c r="AD73" i="23"/>
  <c r="X73" i="23"/>
  <c r="U73" i="23"/>
  <c r="R73" i="23"/>
  <c r="AF125" i="18"/>
  <c r="AP121" i="18"/>
  <c r="AP125" i="18" s="1"/>
  <c r="AR125" i="18"/>
  <c r="AH90" i="18"/>
  <c r="AF90" i="18" s="1"/>
  <c r="AB16" i="18"/>
  <c r="Y6" i="7" s="1"/>
  <c r="AD90" i="18"/>
  <c r="T16" i="18"/>
  <c r="Q6" i="7" s="1"/>
  <c r="V90" i="18"/>
  <c r="P16" i="18"/>
  <c r="M6" i="7" s="1"/>
  <c r="R90" i="18"/>
  <c r="X16" i="18"/>
  <c r="U6" i="7" s="1"/>
  <c r="Z90" i="18"/>
  <c r="E90" i="18"/>
  <c r="F90" i="18"/>
  <c r="I90" i="18"/>
  <c r="G90" i="18"/>
  <c r="H90" i="18"/>
  <c r="M40" i="12"/>
  <c r="Q40" i="12"/>
  <c r="Q278" i="32" s="1"/>
  <c r="H6" i="12"/>
  <c r="G24" i="13"/>
  <c r="H23" i="13"/>
  <c r="AC11" i="28"/>
  <c r="AE11" i="28"/>
  <c r="AB11" i="28"/>
  <c r="AD11" i="28"/>
  <c r="AA11" i="28"/>
  <c r="AB11" i="23"/>
  <c r="H12" i="12"/>
  <c r="H73" i="32" s="1"/>
  <c r="V11" i="23"/>
  <c r="AR24" i="18"/>
  <c r="AF23" i="18"/>
  <c r="P11" i="23"/>
  <c r="P23" i="18"/>
  <c r="Y11" i="23"/>
  <c r="T23" i="18"/>
  <c r="AB23" i="18"/>
  <c r="S11" i="23"/>
  <c r="X23" i="18"/>
  <c r="AJ20" i="23"/>
  <c r="AJ35" i="23" s="1"/>
  <c r="AF58" i="18"/>
  <c r="AR59" i="18"/>
  <c r="P58" i="18"/>
  <c r="M42" i="6"/>
  <c r="AE17" i="28"/>
  <c r="AC17" i="28"/>
  <c r="AA17" i="28"/>
  <c r="AD17" i="28"/>
  <c r="AB17" i="28"/>
  <c r="AD18" i="28"/>
  <c r="AB18" i="28"/>
  <c r="AE18" i="28"/>
  <c r="AC18" i="28"/>
  <c r="AA18" i="28"/>
  <c r="H19" i="12"/>
  <c r="H171" i="32" s="1"/>
  <c r="AP31" i="18"/>
  <c r="H44" i="8"/>
  <c r="T58" i="18"/>
  <c r="AB58" i="18"/>
  <c r="X58" i="18"/>
  <c r="H18" i="12"/>
  <c r="H156" i="32" s="1"/>
  <c r="L46" i="3"/>
  <c r="T44" i="13"/>
  <c r="P44" i="13"/>
  <c r="AE5" i="28"/>
  <c r="AC5" i="28"/>
  <c r="AD5" i="28"/>
  <c r="AA5" i="28"/>
  <c r="AB5" i="28"/>
  <c r="AF13" i="18"/>
  <c r="AB13" i="18"/>
  <c r="P13" i="18"/>
  <c r="X11" i="18"/>
  <c r="T11" i="18"/>
  <c r="AB6" i="24"/>
  <c r="AB6" i="8" s="1"/>
  <c r="P7" i="23"/>
  <c r="V7" i="23"/>
  <c r="AF12" i="18"/>
  <c r="P12" i="18"/>
  <c r="T12" i="18"/>
  <c r="X14" i="18"/>
  <c r="AB14" i="18"/>
  <c r="AL8" i="23"/>
  <c r="AI6" i="8" s="1"/>
  <c r="AA9" i="32" s="1"/>
  <c r="AB7" i="23"/>
  <c r="S7" i="23"/>
  <c r="X13" i="18"/>
  <c r="T13" i="18"/>
  <c r="AF11" i="18"/>
  <c r="AB11" i="18"/>
  <c r="P11" i="18"/>
  <c r="X12" i="18"/>
  <c r="AB12" i="18"/>
  <c r="AF14" i="18"/>
  <c r="P14" i="18"/>
  <c r="T14" i="18"/>
  <c r="Y7" i="23"/>
  <c r="AP83" i="18"/>
  <c r="I24" i="12"/>
  <c r="I248" i="32" s="1"/>
  <c r="N24" i="12"/>
  <c r="N248" i="32" s="1"/>
  <c r="K23" i="12"/>
  <c r="K233" i="32" s="1"/>
  <c r="G23" i="12"/>
  <c r="G233" i="32" s="1"/>
  <c r="E37" i="23"/>
  <c r="F37" i="23"/>
  <c r="E17" i="8" s="1"/>
  <c r="Q16" i="3" s="1"/>
  <c r="G37" i="23"/>
  <c r="F17" i="8" s="1"/>
  <c r="V16" i="3" s="1"/>
  <c r="H37" i="23"/>
  <c r="G17" i="8" s="1"/>
  <c r="AA16" i="3" s="1"/>
  <c r="I37" i="23"/>
  <c r="H17" i="8" s="1"/>
  <c r="AF16" i="3" s="1"/>
  <c r="D37" i="23"/>
  <c r="D16" i="23"/>
  <c r="D17" i="8" l="1"/>
  <c r="L16" i="3" s="1"/>
  <c r="S44" i="12"/>
  <c r="S338" i="32" s="1"/>
  <c r="T338" i="32"/>
  <c r="K41" i="12"/>
  <c r="K41" i="13"/>
  <c r="K294" i="32" s="1"/>
  <c r="G41" i="13"/>
  <c r="G294" i="32" s="1"/>
  <c r="G296" i="32" s="1"/>
  <c r="O44" i="3"/>
  <c r="P46" i="3"/>
  <c r="O44" i="12"/>
  <c r="O338" i="32" s="1"/>
  <c r="Y44" i="3"/>
  <c r="Z46" i="3"/>
  <c r="T44" i="3"/>
  <c r="U46" i="3"/>
  <c r="AD44" i="3"/>
  <c r="AE46" i="3"/>
  <c r="J44" i="3"/>
  <c r="K46" i="3"/>
  <c r="O39" i="13"/>
  <c r="O264" i="32" s="1"/>
  <c r="T39" i="13"/>
  <c r="W39" i="13" s="1"/>
  <c r="Z39" i="13" s="1"/>
  <c r="T14" i="26"/>
  <c r="T25" i="3"/>
  <c r="O14" i="3"/>
  <c r="P25" i="3"/>
  <c r="V14" i="26"/>
  <c r="AD25" i="3"/>
  <c r="U14" i="26"/>
  <c r="Y25" i="3"/>
  <c r="J14" i="3"/>
  <c r="K25" i="3"/>
  <c r="T9" i="32"/>
  <c r="T10" i="32" s="1"/>
  <c r="S5" i="9"/>
  <c r="AP59" i="18"/>
  <c r="AL19" i="7" s="1"/>
  <c r="Y168" i="32" s="1"/>
  <c r="AN19" i="7"/>
  <c r="AA168" i="32" s="1"/>
  <c r="AP24" i="18"/>
  <c r="AL12" i="7" s="1"/>
  <c r="Y64" i="32" s="1"/>
  <c r="AN12" i="7"/>
  <c r="AA64" i="32" s="1"/>
  <c r="L6" i="32"/>
  <c r="U26" i="7"/>
  <c r="L6" i="4" s="1"/>
  <c r="F6" i="32"/>
  <c r="M26" i="7"/>
  <c r="F6" i="4" s="1"/>
  <c r="I6" i="32"/>
  <c r="Q26" i="7"/>
  <c r="I6" i="4" s="1"/>
  <c r="O6" i="32"/>
  <c r="Y26" i="7"/>
  <c r="O6" i="4" s="1"/>
  <c r="AR130" i="18"/>
  <c r="AN41" i="7"/>
  <c r="AP130" i="18"/>
  <c r="AL41" i="7"/>
  <c r="AF130" i="18"/>
  <c r="AC41" i="7"/>
  <c r="N279" i="32"/>
  <c r="M40" i="13"/>
  <c r="M38" i="6" s="1"/>
  <c r="Q40" i="13"/>
  <c r="J279" i="32"/>
  <c r="J281" i="32" s="1"/>
  <c r="I40" i="13"/>
  <c r="I279" i="32" s="1"/>
  <c r="O320" i="32"/>
  <c r="Y43" i="7"/>
  <c r="O35" i="4" s="1"/>
  <c r="Q320" i="32"/>
  <c r="AA43" i="7"/>
  <c r="Q35" i="4" s="1"/>
  <c r="L320" i="32"/>
  <c r="U43" i="7"/>
  <c r="L35" i="4" s="1"/>
  <c r="N320" i="32"/>
  <c r="W43" i="7"/>
  <c r="N35" i="4" s="1"/>
  <c r="F320" i="32"/>
  <c r="M43" i="7"/>
  <c r="F35" i="4" s="1"/>
  <c r="H320" i="32"/>
  <c r="O43" i="7"/>
  <c r="H35" i="4" s="1"/>
  <c r="I320" i="32"/>
  <c r="Q43" i="7"/>
  <c r="I35" i="4" s="1"/>
  <c r="K320" i="32"/>
  <c r="S43" i="7"/>
  <c r="K35" i="4" s="1"/>
  <c r="T6" i="32"/>
  <c r="AE26" i="7"/>
  <c r="T6" i="4" s="1"/>
  <c r="R6" i="32"/>
  <c r="AC26" i="7"/>
  <c r="R6" i="4" s="1"/>
  <c r="H64" i="32"/>
  <c r="N64" i="32"/>
  <c r="Q64" i="32"/>
  <c r="K64" i="32"/>
  <c r="T64" i="32"/>
  <c r="J41" i="13"/>
  <c r="J39" i="6" s="1"/>
  <c r="N41" i="13"/>
  <c r="N294" i="32" s="1"/>
  <c r="AF41" i="28"/>
  <c r="AE41" i="28"/>
  <c r="AD41" i="28"/>
  <c r="AC41" i="28"/>
  <c r="AB41" i="28"/>
  <c r="H42" i="12"/>
  <c r="AA41" i="28"/>
  <c r="AA230" i="32"/>
  <c r="Y230" i="32"/>
  <c r="W338" i="32"/>
  <c r="AC338" i="32" s="1"/>
  <c r="AC44" i="12"/>
  <c r="N24" i="13"/>
  <c r="N249" i="32" s="1"/>
  <c r="J24" i="13"/>
  <c r="J24" i="6" s="1"/>
  <c r="K23" i="13"/>
  <c r="K234" i="32" s="1"/>
  <c r="H234" i="32"/>
  <c r="AN16" i="23"/>
  <c r="C14" i="8"/>
  <c r="G24" i="6"/>
  <c r="G249" i="32"/>
  <c r="G251" i="32" s="1"/>
  <c r="AA44" i="12"/>
  <c r="N41" i="12"/>
  <c r="N293" i="32" s="1"/>
  <c r="K293" i="32"/>
  <c r="R39" i="12"/>
  <c r="R263" i="32" s="1"/>
  <c r="T263" i="32"/>
  <c r="W39" i="12"/>
  <c r="AC39" i="12" s="1"/>
  <c r="O44" i="13"/>
  <c r="O339" i="32" s="1"/>
  <c r="P339" i="32"/>
  <c r="P341" i="32" s="1"/>
  <c r="AA10" i="32"/>
  <c r="T339" i="32"/>
  <c r="W44" i="13"/>
  <c r="Z44" i="13" s="1"/>
  <c r="L37" i="23"/>
  <c r="AN37" i="23"/>
  <c r="C17" i="8"/>
  <c r="J17" i="8" s="1"/>
  <c r="V44" i="12"/>
  <c r="G6" i="12"/>
  <c r="G15" i="32" s="1"/>
  <c r="H15" i="32"/>
  <c r="X44" i="12"/>
  <c r="L40" i="12"/>
  <c r="L278" i="32" s="1"/>
  <c r="M278" i="32"/>
  <c r="I41" i="12"/>
  <c r="I293" i="32" s="1"/>
  <c r="AA46" i="3"/>
  <c r="G44" i="8"/>
  <c r="Q46" i="3"/>
  <c r="E44" i="8"/>
  <c r="V46" i="3"/>
  <c r="F44" i="8"/>
  <c r="D44" i="8"/>
  <c r="T90" i="18"/>
  <c r="P90" i="18"/>
  <c r="X90" i="18"/>
  <c r="AB90" i="18"/>
  <c r="AR16" i="18"/>
  <c r="AN6" i="7" s="1"/>
  <c r="L16" i="23"/>
  <c r="K6" i="12"/>
  <c r="T40" i="12"/>
  <c r="P40" i="12"/>
  <c r="Z25" i="3"/>
  <c r="AE25" i="3"/>
  <c r="U25" i="3"/>
  <c r="F24" i="13"/>
  <c r="F249" i="32" s="1"/>
  <c r="G23" i="13"/>
  <c r="G234" i="32" s="1"/>
  <c r="G236" i="32" s="1"/>
  <c r="P12" i="24"/>
  <c r="P12" i="8" s="1"/>
  <c r="H67" i="32" s="1"/>
  <c r="H68" i="32" s="1"/>
  <c r="AB12" i="24"/>
  <c r="AB12" i="8" s="1"/>
  <c r="T67" i="32" s="1"/>
  <c r="T68" i="32" s="1"/>
  <c r="S12" i="24"/>
  <c r="S12" i="8" s="1"/>
  <c r="K67" i="32" s="1"/>
  <c r="K68" i="32" s="1"/>
  <c r="K12" i="12"/>
  <c r="K73" i="32" s="1"/>
  <c r="G12" i="12"/>
  <c r="V12" i="24"/>
  <c r="V12" i="8" s="1"/>
  <c r="N67" i="32" s="1"/>
  <c r="N68" i="32" s="1"/>
  <c r="Y12" i="24"/>
  <c r="Y12" i="8" s="1"/>
  <c r="Q67" i="32" s="1"/>
  <c r="Q68" i="32" s="1"/>
  <c r="AP23" i="18"/>
  <c r="AL12" i="23"/>
  <c r="AJ11" i="23"/>
  <c r="H12" i="13"/>
  <c r="H76" i="32" s="1"/>
  <c r="Y6" i="24"/>
  <c r="Y6" i="8" s="1"/>
  <c r="V6" i="24"/>
  <c r="V6" i="8" s="1"/>
  <c r="S6" i="24"/>
  <c r="S6" i="8" s="1"/>
  <c r="P6" i="24"/>
  <c r="P6" i="8" s="1"/>
  <c r="R44" i="12"/>
  <c r="R338" i="32" s="1"/>
  <c r="K19" i="12"/>
  <c r="K171" i="32" s="1"/>
  <c r="H19" i="13"/>
  <c r="H172" i="32" s="1"/>
  <c r="AP58" i="18"/>
  <c r="O41" i="9"/>
  <c r="L41" i="9"/>
  <c r="R41" i="9"/>
  <c r="I41" i="9"/>
  <c r="K18" i="12"/>
  <c r="K156" i="32" s="1"/>
  <c r="AF46" i="3"/>
  <c r="H18" i="13"/>
  <c r="H157" i="32" s="1"/>
  <c r="F41" i="9"/>
  <c r="P42" i="6"/>
  <c r="H6" i="13"/>
  <c r="H18" i="32" s="1"/>
  <c r="S44" i="13"/>
  <c r="AP11" i="18"/>
  <c r="AJ7" i="23"/>
  <c r="V8" i="23"/>
  <c r="P8" i="23"/>
  <c r="E26" i="8"/>
  <c r="Y8" i="23"/>
  <c r="AP14" i="18"/>
  <c r="S8" i="23"/>
  <c r="AB8" i="23"/>
  <c r="AP12" i="18"/>
  <c r="AP13" i="18"/>
  <c r="N23" i="12"/>
  <c r="N233" i="32" s="1"/>
  <c r="J23" i="12"/>
  <c r="J233" i="32" s="1"/>
  <c r="F23" i="12"/>
  <c r="F233" i="32" s="1"/>
  <c r="L24" i="12"/>
  <c r="L248" i="32" s="1"/>
  <c r="Q24" i="12"/>
  <c r="Q248" i="32" s="1"/>
  <c r="K5" i="24"/>
  <c r="K5" i="8" s="1"/>
  <c r="C8" i="32" s="1"/>
  <c r="F61" i="23"/>
  <c r="E22" i="8" s="1"/>
  <c r="Q21" i="3" s="1"/>
  <c r="G61" i="23"/>
  <c r="F22" i="8" s="1"/>
  <c r="V21" i="3" s="1"/>
  <c r="H61" i="23"/>
  <c r="G22" i="8" s="1"/>
  <c r="AA21" i="3" s="1"/>
  <c r="I61" i="23"/>
  <c r="H22" i="8" s="1"/>
  <c r="AF21" i="3" s="1"/>
  <c r="D61" i="23"/>
  <c r="D56" i="23"/>
  <c r="K59" i="22"/>
  <c r="L59" i="22"/>
  <c r="M59" i="22"/>
  <c r="F59" i="22"/>
  <c r="G59" i="22"/>
  <c r="F54" i="22"/>
  <c r="G54" i="22"/>
  <c r="K35" i="22"/>
  <c r="L35" i="22"/>
  <c r="M35" i="22"/>
  <c r="K14" i="22"/>
  <c r="L14" i="22"/>
  <c r="M14" i="22"/>
  <c r="F35" i="22"/>
  <c r="G35" i="22"/>
  <c r="F14" i="22"/>
  <c r="G14" i="22"/>
  <c r="AQ6" i="18"/>
  <c r="AQ7" i="18"/>
  <c r="AQ8" i="18"/>
  <c r="AQ9" i="18"/>
  <c r="AQ17" i="18"/>
  <c r="AQ18" i="18"/>
  <c r="AQ20" i="18"/>
  <c r="AQ21" i="18" s="1"/>
  <c r="AM11" i="7" s="1"/>
  <c r="AQ25" i="18"/>
  <c r="AQ27" i="18"/>
  <c r="AQ28" i="18"/>
  <c r="AQ29" i="18"/>
  <c r="AQ34" i="18"/>
  <c r="AQ35" i="18"/>
  <c r="AQ36" i="18"/>
  <c r="AQ37" i="18"/>
  <c r="AQ38" i="18"/>
  <c r="AQ39" i="18"/>
  <c r="AQ40" i="18"/>
  <c r="AQ41" i="18"/>
  <c r="AQ43" i="18"/>
  <c r="AQ44" i="18"/>
  <c r="AQ45" i="18"/>
  <c r="AQ46" i="18"/>
  <c r="AQ48" i="18"/>
  <c r="AQ49" i="18"/>
  <c r="AQ50" i="18"/>
  <c r="AQ60" i="18"/>
  <c r="AQ61" i="18"/>
  <c r="AQ62" i="18"/>
  <c r="AQ63" i="18"/>
  <c r="AQ64" i="18"/>
  <c r="AQ67" i="18"/>
  <c r="AQ68" i="18"/>
  <c r="AQ69" i="18"/>
  <c r="AQ70" i="18"/>
  <c r="AQ71" i="18"/>
  <c r="AQ72" i="18"/>
  <c r="AQ74" i="18"/>
  <c r="AQ75" i="18"/>
  <c r="AQ76" i="18"/>
  <c r="AQ77" i="18"/>
  <c r="AQ78" i="18"/>
  <c r="AQ79" i="18"/>
  <c r="AQ80" i="18"/>
  <c r="AQ5" i="18"/>
  <c r="N81" i="18"/>
  <c r="K22" i="7" s="1"/>
  <c r="D214" i="32" s="1"/>
  <c r="D220" i="32" s="1"/>
  <c r="N65" i="18"/>
  <c r="K20" i="7" s="1"/>
  <c r="D183" i="32" s="1"/>
  <c r="D189" i="32" s="1"/>
  <c r="N42" i="18"/>
  <c r="K16" i="7" s="1"/>
  <c r="D123" i="32" s="1"/>
  <c r="D129" i="32" s="1"/>
  <c r="N30" i="18"/>
  <c r="K14" i="7" s="1"/>
  <c r="D92" i="32" s="1"/>
  <c r="D98" i="32" s="1"/>
  <c r="N21" i="18"/>
  <c r="K11" i="7" s="1"/>
  <c r="N19" i="18"/>
  <c r="K8" i="7" s="1"/>
  <c r="N10" i="18"/>
  <c r="K5" i="7" s="1"/>
  <c r="F76" i="20"/>
  <c r="G76" i="20"/>
  <c r="K76" i="20"/>
  <c r="L76" i="20"/>
  <c r="K61" i="20"/>
  <c r="L61" i="20"/>
  <c r="F61" i="20"/>
  <c r="G61" i="20"/>
  <c r="K44" i="20"/>
  <c r="L44" i="20"/>
  <c r="F44" i="20"/>
  <c r="G44" i="20"/>
  <c r="L37" i="20"/>
  <c r="K37" i="20"/>
  <c r="G37" i="20"/>
  <c r="F37" i="20"/>
  <c r="L26" i="20"/>
  <c r="K26" i="20"/>
  <c r="G26" i="20"/>
  <c r="F26" i="20"/>
  <c r="L18" i="20"/>
  <c r="K18" i="20"/>
  <c r="G18" i="20"/>
  <c r="F18" i="20"/>
  <c r="L9" i="20"/>
  <c r="K9" i="20"/>
  <c r="G9" i="20"/>
  <c r="F9" i="20"/>
  <c r="G39" i="6" l="1"/>
  <c r="F41" i="13"/>
  <c r="F294" i="32" s="1"/>
  <c r="P11" i="9"/>
  <c r="R39" i="13"/>
  <c r="R264" i="32" s="1"/>
  <c r="T264" i="32"/>
  <c r="R41" i="26"/>
  <c r="J46" i="3"/>
  <c r="U41" i="26"/>
  <c r="Y46" i="3"/>
  <c r="V41" i="26"/>
  <c r="AD46" i="3"/>
  <c r="D5" i="32"/>
  <c r="K7" i="7"/>
  <c r="D34" i="32"/>
  <c r="K10" i="7"/>
  <c r="T41" i="26"/>
  <c r="T46" i="3"/>
  <c r="S41" i="26"/>
  <c r="O46" i="3"/>
  <c r="AM13" i="7"/>
  <c r="Z63" i="32"/>
  <c r="K13" i="7"/>
  <c r="D63" i="32"/>
  <c r="S14" i="26"/>
  <c r="Z14" i="26" s="1"/>
  <c r="O25" i="3"/>
  <c r="AA14" i="26"/>
  <c r="U25" i="26"/>
  <c r="R25" i="28" s="1"/>
  <c r="R14" i="28"/>
  <c r="R14" i="26"/>
  <c r="J25" i="3"/>
  <c r="AB14" i="26"/>
  <c r="S14" i="28"/>
  <c r="AC14" i="26"/>
  <c r="V25" i="26"/>
  <c r="S25" i="28" s="1"/>
  <c r="T25" i="26"/>
  <c r="Q25" i="28" s="1"/>
  <c r="Q14" i="28"/>
  <c r="G11" i="9"/>
  <c r="S11" i="9"/>
  <c r="T11" i="9" s="1"/>
  <c r="M11" i="9"/>
  <c r="N11" i="9" s="1"/>
  <c r="J11" i="9"/>
  <c r="K11" i="9" s="1"/>
  <c r="Q9" i="32"/>
  <c r="Q10" i="32" s="1"/>
  <c r="P5" i="9"/>
  <c r="G5" i="9"/>
  <c r="H9" i="32"/>
  <c r="H10" i="32" s="1"/>
  <c r="J5" i="9"/>
  <c r="K9" i="32"/>
  <c r="K10" i="32" s="1"/>
  <c r="M5" i="9"/>
  <c r="N9" i="32"/>
  <c r="N10" i="32" s="1"/>
  <c r="I41" i="13"/>
  <c r="I294" i="32" s="1"/>
  <c r="J294" i="32"/>
  <c r="J296" i="32" s="1"/>
  <c r="M41" i="13"/>
  <c r="M294" i="32" s="1"/>
  <c r="M296" i="32" s="1"/>
  <c r="Q41" i="13"/>
  <c r="Q294" i="32" s="1"/>
  <c r="M24" i="13"/>
  <c r="M24" i="6" s="1"/>
  <c r="Q24" i="13"/>
  <c r="Q249" i="32" s="1"/>
  <c r="Q11" i="9"/>
  <c r="H11" i="9"/>
  <c r="AA6" i="32"/>
  <c r="AN26" i="7"/>
  <c r="AA6" i="4" s="1"/>
  <c r="Q279" i="32"/>
  <c r="P40" i="13"/>
  <c r="P38" i="6" s="1"/>
  <c r="T40" i="13"/>
  <c r="M279" i="32"/>
  <c r="M281" i="32" s="1"/>
  <c r="L40" i="13"/>
  <c r="L279" i="32" s="1"/>
  <c r="R320" i="32"/>
  <c r="AC43" i="7"/>
  <c r="R35" i="4" s="1"/>
  <c r="Y320" i="32"/>
  <c r="AL43" i="7"/>
  <c r="Y35" i="4" s="1"/>
  <c r="AA320" i="32"/>
  <c r="AN43" i="7"/>
  <c r="AA35" i="4" s="1"/>
  <c r="L41" i="12"/>
  <c r="L293" i="32" s="1"/>
  <c r="I24" i="13"/>
  <c r="I249" i="32" s="1"/>
  <c r="N23" i="13"/>
  <c r="N234" i="32" s="1"/>
  <c r="J23" i="13"/>
  <c r="J234" i="32" s="1"/>
  <c r="J236" i="32" s="1"/>
  <c r="Q41" i="12"/>
  <c r="O41" i="12" s="1"/>
  <c r="O293" i="32" s="1"/>
  <c r="H42" i="13"/>
  <c r="H308" i="32"/>
  <c r="G42" i="12"/>
  <c r="F42" i="12" s="1"/>
  <c r="K42" i="12"/>
  <c r="J249" i="32"/>
  <c r="J251" i="32" s="1"/>
  <c r="X338" i="32"/>
  <c r="C10" i="32"/>
  <c r="F6" i="12"/>
  <c r="F15" i="32" s="1"/>
  <c r="V44" i="13"/>
  <c r="W339" i="32"/>
  <c r="AC339" i="32" s="1"/>
  <c r="X44" i="13"/>
  <c r="U39" i="13"/>
  <c r="W264" i="32"/>
  <c r="AC264" i="32" s="1"/>
  <c r="X39" i="13"/>
  <c r="C21" i="8"/>
  <c r="J21" i="8" s="1"/>
  <c r="AN56" i="23"/>
  <c r="L61" i="23"/>
  <c r="AN61" i="23"/>
  <c r="C22" i="8"/>
  <c r="Y73" i="23"/>
  <c r="P278" i="32"/>
  <c r="R44" i="13"/>
  <c r="R339" i="32" s="1"/>
  <c r="S339" i="32"/>
  <c r="S341" i="32" s="1"/>
  <c r="T278" i="32"/>
  <c r="W40" i="12"/>
  <c r="AC40" i="12" s="1"/>
  <c r="V338" i="32"/>
  <c r="U44" i="12"/>
  <c r="P73" i="23"/>
  <c r="N6" i="12"/>
  <c r="N15" i="32" s="1"/>
  <c r="K15" i="32"/>
  <c r="W42" i="6"/>
  <c r="Z44" i="12"/>
  <c r="Z42" i="6" s="1"/>
  <c r="AA338" i="32"/>
  <c r="V73" i="23"/>
  <c r="U39" i="12"/>
  <c r="W263" i="32"/>
  <c r="AC263" i="32" s="1"/>
  <c r="AA39" i="12"/>
  <c r="X39" i="12"/>
  <c r="W37" i="6"/>
  <c r="F12" i="12"/>
  <c r="G73" i="32"/>
  <c r="G13" i="3"/>
  <c r="AK14" i="8"/>
  <c r="L44" i="23"/>
  <c r="AN44" i="23"/>
  <c r="C20" i="8"/>
  <c r="AB73" i="23"/>
  <c r="G16" i="3"/>
  <c r="AK17" i="8"/>
  <c r="H82" i="32"/>
  <c r="S73" i="23"/>
  <c r="AL73" i="23"/>
  <c r="AI12" i="8"/>
  <c r="AA67" i="32" s="1"/>
  <c r="K25" i="24"/>
  <c r="H26" i="8"/>
  <c r="D26" i="8"/>
  <c r="AQ73" i="18"/>
  <c r="AM21" i="7" s="1"/>
  <c r="Z199" i="32" s="1"/>
  <c r="AQ19" i="18"/>
  <c r="AM8" i="7" s="1"/>
  <c r="K84" i="20"/>
  <c r="L84" i="20"/>
  <c r="F26" i="8"/>
  <c r="G26" i="8"/>
  <c r="AQ30" i="18"/>
  <c r="AM14" i="7" s="1"/>
  <c r="Z92" i="32" s="1"/>
  <c r="AQ81" i="18"/>
  <c r="AM22" i="7" s="1"/>
  <c r="Z214" i="32" s="1"/>
  <c r="AQ65" i="18"/>
  <c r="AM20" i="7" s="1"/>
  <c r="Z183" i="32" s="1"/>
  <c r="AQ42" i="18"/>
  <c r="AM16" i="7" s="1"/>
  <c r="Z123" i="32" s="1"/>
  <c r="AP16" i="18"/>
  <c r="AL6" i="7" s="1"/>
  <c r="AR90" i="18"/>
  <c r="AQ10" i="18"/>
  <c r="AM5" i="7" s="1"/>
  <c r="F84" i="20"/>
  <c r="G84" i="20"/>
  <c r="L56" i="23"/>
  <c r="G72" i="22"/>
  <c r="G74" i="22" s="1"/>
  <c r="F72" i="22"/>
  <c r="D72" i="23"/>
  <c r="K72" i="22"/>
  <c r="K74" i="22" s="1"/>
  <c r="M72" i="22"/>
  <c r="M74" i="22" s="1"/>
  <c r="L72" i="22"/>
  <c r="L74" i="22" s="1"/>
  <c r="J6" i="12"/>
  <c r="O40" i="12"/>
  <c r="O278" i="32" s="1"/>
  <c r="S40" i="12"/>
  <c r="S278" i="32" s="1"/>
  <c r="P61" i="20"/>
  <c r="P76" i="20"/>
  <c r="P44" i="20"/>
  <c r="P37" i="20"/>
  <c r="P42" i="22"/>
  <c r="P14" i="22"/>
  <c r="P59" i="22"/>
  <c r="P35" i="22"/>
  <c r="P54" i="22"/>
  <c r="P9" i="20"/>
  <c r="P18" i="20"/>
  <c r="P26" i="20"/>
  <c r="F23" i="13"/>
  <c r="F234" i="32" s="1"/>
  <c r="G23" i="6"/>
  <c r="G12" i="13"/>
  <c r="G76" i="32" s="1"/>
  <c r="G77" i="32" s="1"/>
  <c r="K12" i="13"/>
  <c r="K76" i="32" s="1"/>
  <c r="G13" i="12"/>
  <c r="Q12" i="24"/>
  <c r="Q12" i="8" s="1"/>
  <c r="I67" i="32" s="1"/>
  <c r="I68" i="32" s="1"/>
  <c r="N12" i="24"/>
  <c r="N12" i="8" s="1"/>
  <c r="F67" i="32" s="1"/>
  <c r="F68" i="32" s="1"/>
  <c r="W12" i="24"/>
  <c r="W12" i="8" s="1"/>
  <c r="O67" i="32" s="1"/>
  <c r="O68" i="32" s="1"/>
  <c r="AJ12" i="23"/>
  <c r="T12" i="24"/>
  <c r="T12" i="8" s="1"/>
  <c r="L67" i="32" s="1"/>
  <c r="L68" i="32" s="1"/>
  <c r="N12" i="12"/>
  <c r="N73" i="32" s="1"/>
  <c r="J12" i="12"/>
  <c r="Z12" i="24"/>
  <c r="Z12" i="8" s="1"/>
  <c r="R67" i="32" s="1"/>
  <c r="R68" i="32" s="1"/>
  <c r="G18" i="13"/>
  <c r="K18" i="13"/>
  <c r="K157" i="32" s="1"/>
  <c r="G19" i="13"/>
  <c r="K19" i="13"/>
  <c r="K172" i="32" s="1"/>
  <c r="S42" i="6"/>
  <c r="AA41" i="9"/>
  <c r="N18" i="12"/>
  <c r="N156" i="32" s="1"/>
  <c r="I18" i="12"/>
  <c r="I156" i="32" s="1"/>
  <c r="N19" i="12"/>
  <c r="N171" i="32" s="1"/>
  <c r="I19" i="12"/>
  <c r="I171" i="32" s="1"/>
  <c r="K6" i="13"/>
  <c r="K18" i="32" s="1"/>
  <c r="I23" i="12"/>
  <c r="I233" i="32" s="1"/>
  <c r="W6" i="24"/>
  <c r="W6" i="8" s="1"/>
  <c r="O9" i="32" s="1"/>
  <c r="N6" i="24"/>
  <c r="N6" i="8" s="1"/>
  <c r="F9" i="32" s="1"/>
  <c r="AJ8" i="23"/>
  <c r="Z6" i="24"/>
  <c r="Z6" i="8" s="1"/>
  <c r="R9" i="32" s="1"/>
  <c r="Q6" i="24"/>
  <c r="Q6" i="8" s="1"/>
  <c r="I9" i="32" s="1"/>
  <c r="T6" i="24"/>
  <c r="T6" i="8" s="1"/>
  <c r="L9" i="32" s="1"/>
  <c r="K7" i="8"/>
  <c r="T24" i="12"/>
  <c r="O24" i="12"/>
  <c r="O248" i="32" s="1"/>
  <c r="Q23" i="12"/>
  <c r="Q233" i="32" s="1"/>
  <c r="M23" i="12"/>
  <c r="D14" i="6"/>
  <c r="M36" i="23"/>
  <c r="Y4" i="9"/>
  <c r="Q42" i="28" l="1"/>
  <c r="Q44" i="28" s="1"/>
  <c r="Z41" i="26"/>
  <c r="T43" i="26"/>
  <c r="S42" i="28"/>
  <c r="S44" i="28" s="1"/>
  <c r="AB41" i="26"/>
  <c r="AC41" i="26"/>
  <c r="V43" i="26"/>
  <c r="AM10" i="7"/>
  <c r="Z34" i="32"/>
  <c r="Z36" i="32" s="1"/>
  <c r="D36" i="32"/>
  <c r="D52" i="32"/>
  <c r="D54" i="32" s="1"/>
  <c r="Z65" i="32"/>
  <c r="Z81" i="32"/>
  <c r="R42" i="28"/>
  <c r="R44" i="28" s="1"/>
  <c r="AA41" i="26"/>
  <c r="U43" i="26"/>
  <c r="D81" i="32"/>
  <c r="D83" i="32" s="1"/>
  <c r="D65" i="32"/>
  <c r="Z5" i="32"/>
  <c r="Z7" i="32" s="1"/>
  <c r="AM7" i="7"/>
  <c r="D7" i="32"/>
  <c r="D23" i="32"/>
  <c r="D25" i="32" s="1"/>
  <c r="O42" i="28"/>
  <c r="O44" i="28" s="1"/>
  <c r="X41" i="26"/>
  <c r="R43" i="26"/>
  <c r="Y41" i="26"/>
  <c r="P42" i="28"/>
  <c r="P44" i="28" s="1"/>
  <c r="S43" i="26"/>
  <c r="Z25" i="26"/>
  <c r="W25" i="28" s="1"/>
  <c r="W14" i="28"/>
  <c r="AC14" i="28" s="1"/>
  <c r="AC25" i="28" s="1"/>
  <c r="AF14" i="26"/>
  <c r="AF25" i="26" s="1"/>
  <c r="AB25" i="26"/>
  <c r="Y25" i="28" s="1"/>
  <c r="Y14" i="28"/>
  <c r="AE14" i="28" s="1"/>
  <c r="AE25" i="28" s="1"/>
  <c r="AH14" i="26"/>
  <c r="AH25" i="26" s="1"/>
  <c r="AA25" i="26"/>
  <c r="X25" i="28" s="1"/>
  <c r="X14" i="28"/>
  <c r="AD14" i="28" s="1"/>
  <c r="AD25" i="28" s="1"/>
  <c r="AG14" i="26"/>
  <c r="AG25" i="26" s="1"/>
  <c r="Z14" i="28"/>
  <c r="AF14" i="28" s="1"/>
  <c r="AF25" i="28" s="1"/>
  <c r="AC25" i="26"/>
  <c r="Z25" i="28" s="1"/>
  <c r="AI14" i="26"/>
  <c r="AI25" i="26" s="1"/>
  <c r="R25" i="26"/>
  <c r="O25" i="28" s="1"/>
  <c r="O14" i="28"/>
  <c r="X14" i="26"/>
  <c r="Y14" i="26"/>
  <c r="S25" i="26"/>
  <c r="P25" i="28" s="1"/>
  <c r="P14" i="28"/>
  <c r="M39" i="6"/>
  <c r="T41" i="12"/>
  <c r="W41" i="12" s="1"/>
  <c r="AC41" i="12" s="1"/>
  <c r="Q293" i="32"/>
  <c r="T41" i="13"/>
  <c r="T294" i="32" s="1"/>
  <c r="P41" i="13"/>
  <c r="P294" i="32" s="1"/>
  <c r="P296" i="32" s="1"/>
  <c r="H24" i="32"/>
  <c r="J23" i="6"/>
  <c r="M249" i="32"/>
  <c r="M251" i="32" s="1"/>
  <c r="L24" i="13"/>
  <c r="L249" i="32" s="1"/>
  <c r="L41" i="13"/>
  <c r="L294" i="32" s="1"/>
  <c r="T24" i="13"/>
  <c r="W24" i="13" s="1"/>
  <c r="Z24" i="13" s="1"/>
  <c r="M23" i="13"/>
  <c r="M234" i="32" s="1"/>
  <c r="P24" i="13"/>
  <c r="P249" i="32" s="1"/>
  <c r="P251" i="32" s="1"/>
  <c r="Q23" i="13"/>
  <c r="Q234" i="32" s="1"/>
  <c r="Y6" i="32"/>
  <c r="AL26" i="7"/>
  <c r="Y6" i="4" s="1"/>
  <c r="T279" i="32"/>
  <c r="W40" i="13"/>
  <c r="W38" i="6" s="1"/>
  <c r="S40" i="13"/>
  <c r="P279" i="32"/>
  <c r="P281" i="32" s="1"/>
  <c r="O40" i="13"/>
  <c r="O279" i="32" s="1"/>
  <c r="I23" i="13"/>
  <c r="I234" i="32" s="1"/>
  <c r="Q6" i="12"/>
  <c r="Q15" i="32" s="1"/>
  <c r="M6" i="12"/>
  <c r="M15" i="32" s="1"/>
  <c r="H309" i="32"/>
  <c r="G42" i="13"/>
  <c r="F42" i="13" s="1"/>
  <c r="K42" i="13"/>
  <c r="F308" i="32"/>
  <c r="K308" i="32"/>
  <c r="N42" i="12"/>
  <c r="J42" i="12"/>
  <c r="I42" i="12" s="1"/>
  <c r="G308" i="32"/>
  <c r="F18" i="13"/>
  <c r="F157" i="32" s="1"/>
  <c r="G157" i="32"/>
  <c r="G159" i="32" s="1"/>
  <c r="I6" i="12"/>
  <c r="I15" i="32" s="1"/>
  <c r="J15" i="32"/>
  <c r="AO16" i="3"/>
  <c r="AS16" i="3"/>
  <c r="G19" i="3"/>
  <c r="AK20" i="8"/>
  <c r="K24" i="32"/>
  <c r="AA339" i="32"/>
  <c r="AA341" i="32" s="1"/>
  <c r="X339" i="32"/>
  <c r="W341" i="32"/>
  <c r="G82" i="32"/>
  <c r="G83" i="32" s="1"/>
  <c r="G74" i="32"/>
  <c r="Z338" i="32"/>
  <c r="Y44" i="12"/>
  <c r="Y338" i="32" s="1"/>
  <c r="V339" i="32"/>
  <c r="Z339" i="32" s="1"/>
  <c r="V42" i="6"/>
  <c r="AA68" i="32"/>
  <c r="F13" i="12"/>
  <c r="F73" i="32"/>
  <c r="G21" i="3"/>
  <c r="AK22" i="8"/>
  <c r="AA264" i="32"/>
  <c r="X264" i="32"/>
  <c r="I10" i="32"/>
  <c r="AC37" i="6"/>
  <c r="X37" i="6"/>
  <c r="AC42" i="6"/>
  <c r="X42" i="6"/>
  <c r="U338" i="32"/>
  <c r="U264" i="32"/>
  <c r="Y264" i="32" s="1"/>
  <c r="F19" i="13"/>
  <c r="F172" i="32" s="1"/>
  <c r="G172" i="32"/>
  <c r="G174" i="32" s="1"/>
  <c r="J73" i="32"/>
  <c r="AS13" i="3"/>
  <c r="AO13" i="3"/>
  <c r="E13" i="3"/>
  <c r="AL13" i="3" s="1"/>
  <c r="F10" i="32"/>
  <c r="T248" i="32"/>
  <c r="W24" i="12"/>
  <c r="AC24" i="12" s="1"/>
  <c r="AA263" i="32"/>
  <c r="Y39" i="12"/>
  <c r="Y263" i="32" s="1"/>
  <c r="L23" i="12"/>
  <c r="L233" i="32" s="1"/>
  <c r="M233" i="32"/>
  <c r="L72" i="23"/>
  <c r="AN72" i="23"/>
  <c r="R10" i="32"/>
  <c r="X263" i="32"/>
  <c r="W266" i="32"/>
  <c r="L10" i="32"/>
  <c r="W278" i="32"/>
  <c r="AC278" i="32" s="1"/>
  <c r="V40" i="12"/>
  <c r="AA40" i="12"/>
  <c r="AA278" i="32" s="1"/>
  <c r="X40" i="12"/>
  <c r="G20" i="3"/>
  <c r="AK21" i="8"/>
  <c r="U263" i="32"/>
  <c r="U37" i="6"/>
  <c r="O10" i="32"/>
  <c r="U44" i="13"/>
  <c r="U339" i="32" s="1"/>
  <c r="Y339" i="32" s="1"/>
  <c r="K82" i="32"/>
  <c r="AJ73" i="23"/>
  <c r="AP90" i="18"/>
  <c r="R40" i="12"/>
  <c r="R278" i="32" s="1"/>
  <c r="AA25" i="3"/>
  <c r="V25" i="3"/>
  <c r="AF25" i="3"/>
  <c r="P84" i="20"/>
  <c r="P72" i="22"/>
  <c r="H12" i="6"/>
  <c r="I12" i="12"/>
  <c r="J13" i="12"/>
  <c r="K12" i="6"/>
  <c r="J12" i="13"/>
  <c r="J76" i="32" s="1"/>
  <c r="J77" i="32" s="1"/>
  <c r="N12" i="13"/>
  <c r="AH12" i="24"/>
  <c r="AG12" i="8" s="1"/>
  <c r="Y67" i="32" s="1"/>
  <c r="Y68" i="32" s="1"/>
  <c r="Q12" i="12"/>
  <c r="Q73" i="32" s="1"/>
  <c r="M12" i="12"/>
  <c r="M73" i="32" s="1"/>
  <c r="G12" i="6"/>
  <c r="F12" i="13"/>
  <c r="F76" i="32" s="1"/>
  <c r="J19" i="13"/>
  <c r="N19" i="13"/>
  <c r="N172" i="32" s="1"/>
  <c r="G19" i="6"/>
  <c r="H6" i="6"/>
  <c r="K6" i="6"/>
  <c r="Q19" i="12"/>
  <c r="Q171" i="32" s="1"/>
  <c r="L19" i="12"/>
  <c r="L171" i="32" s="1"/>
  <c r="L18" i="12"/>
  <c r="L156" i="32" s="1"/>
  <c r="Q18" i="12"/>
  <c r="Q156" i="32" s="1"/>
  <c r="J18" i="13"/>
  <c r="N18" i="13"/>
  <c r="N157" i="32" s="1"/>
  <c r="G18" i="6"/>
  <c r="N6" i="13"/>
  <c r="N18" i="32" s="1"/>
  <c r="S24" i="13"/>
  <c r="S249" i="32" s="1"/>
  <c r="S251" i="32" s="1"/>
  <c r="AH6" i="24"/>
  <c r="AG6" i="8" s="1"/>
  <c r="Y9" i="32" s="1"/>
  <c r="Y10" i="32" s="1"/>
  <c r="R24" i="12"/>
  <c r="R248" i="32" s="1"/>
  <c r="T23" i="12"/>
  <c r="P23" i="12"/>
  <c r="P233" i="32" s="1"/>
  <c r="K27" i="24"/>
  <c r="D22" i="6"/>
  <c r="F74" i="22"/>
  <c r="D74" i="23"/>
  <c r="M50" i="18"/>
  <c r="D16" i="6"/>
  <c r="D11" i="6"/>
  <c r="D21" i="6"/>
  <c r="D20" i="6"/>
  <c r="M49" i="18"/>
  <c r="G86" i="20"/>
  <c r="L86" i="20"/>
  <c r="K86" i="20"/>
  <c r="F86" i="20"/>
  <c r="O37" i="23"/>
  <c r="AH37" i="23" s="1"/>
  <c r="M39" i="18"/>
  <c r="T49" i="18"/>
  <c r="M48" i="18"/>
  <c r="X50" i="18"/>
  <c r="D5" i="6"/>
  <c r="AF39" i="18"/>
  <c r="D81" i="18"/>
  <c r="AU81" i="18" s="1"/>
  <c r="X42" i="28" l="1"/>
  <c r="AG41" i="26"/>
  <c r="AG43" i="26" s="1"/>
  <c r="AA43" i="26"/>
  <c r="Z42" i="28"/>
  <c r="AI41" i="26"/>
  <c r="AI43" i="26" s="1"/>
  <c r="AC43" i="26"/>
  <c r="Y42" i="28"/>
  <c r="AH41" i="26"/>
  <c r="AH43" i="26" s="1"/>
  <c r="AB43" i="26"/>
  <c r="V42" i="28"/>
  <c r="AE41" i="26"/>
  <c r="AE43" i="26" s="1"/>
  <c r="Y43" i="26"/>
  <c r="W42" i="28"/>
  <c r="AF41" i="26"/>
  <c r="AF43" i="26" s="1"/>
  <c r="Z43" i="26"/>
  <c r="U42" i="28"/>
  <c r="AD41" i="26"/>
  <c r="X43" i="26"/>
  <c r="T293" i="32"/>
  <c r="R41" i="12"/>
  <c r="R293" i="32" s="1"/>
  <c r="Y25" i="26"/>
  <c r="V25" i="28" s="1"/>
  <c r="V14" i="28"/>
  <c r="AB14" i="28" s="1"/>
  <c r="AB25" i="28" s="1"/>
  <c r="AE14" i="26"/>
  <c r="AE25" i="26" s="1"/>
  <c r="X25" i="26"/>
  <c r="U25" i="28" s="1"/>
  <c r="AD14" i="26"/>
  <c r="U14" i="28"/>
  <c r="AA14" i="28" s="1"/>
  <c r="S41" i="13"/>
  <c r="R41" i="13" s="1"/>
  <c r="W41" i="13"/>
  <c r="Z41" i="13" s="1"/>
  <c r="O41" i="13"/>
  <c r="O294" i="32" s="1"/>
  <c r="P39" i="6"/>
  <c r="M23" i="6"/>
  <c r="M236" i="32"/>
  <c r="T249" i="32"/>
  <c r="P24" i="6"/>
  <c r="O24" i="13"/>
  <c r="O249" i="32" s="1"/>
  <c r="L23" i="13"/>
  <c r="L234" i="32" s="1"/>
  <c r="T6" i="12"/>
  <c r="W6" i="12" s="1"/>
  <c r="V6" i="12" s="1"/>
  <c r="V15" i="32" s="1"/>
  <c r="L6" i="12"/>
  <c r="L15" i="32" s="1"/>
  <c r="P23" i="13"/>
  <c r="P234" i="32" s="1"/>
  <c r="P236" i="32" s="1"/>
  <c r="P6" i="12"/>
  <c r="P15" i="32" s="1"/>
  <c r="T23" i="13"/>
  <c r="T234" i="32" s="1"/>
  <c r="G40" i="6"/>
  <c r="S279" i="32"/>
  <c r="S281" i="32" s="1"/>
  <c r="R40" i="13"/>
  <c r="R279" i="32" s="1"/>
  <c r="S38" i="6"/>
  <c r="Z40" i="13"/>
  <c r="V40" i="13"/>
  <c r="V38" i="6" s="1"/>
  <c r="W279" i="32"/>
  <c r="W281" i="32" s="1"/>
  <c r="X40" i="13"/>
  <c r="AA266" i="32"/>
  <c r="U266" i="32"/>
  <c r="I308" i="32"/>
  <c r="F309" i="32"/>
  <c r="J308" i="32"/>
  <c r="K309" i="32"/>
  <c r="J42" i="13"/>
  <c r="I42" i="13" s="1"/>
  <c r="N42" i="13"/>
  <c r="M42" i="12"/>
  <c r="Q42" i="12"/>
  <c r="N308" i="32"/>
  <c r="G309" i="32"/>
  <c r="G311" i="32" s="1"/>
  <c r="Z40" i="12"/>
  <c r="Z278" i="32" s="1"/>
  <c r="X341" i="32"/>
  <c r="AC341" i="32"/>
  <c r="X266" i="32"/>
  <c r="AC266" i="32"/>
  <c r="I18" i="13"/>
  <c r="I157" i="32" s="1"/>
  <c r="J157" i="32"/>
  <c r="J159" i="32" s="1"/>
  <c r="U341" i="32"/>
  <c r="Z341" i="32"/>
  <c r="N24" i="32"/>
  <c r="M74" i="32"/>
  <c r="W293" i="32"/>
  <c r="AC293" i="32" s="1"/>
  <c r="U41" i="12"/>
  <c r="AA41" i="12"/>
  <c r="X41" i="12"/>
  <c r="W294" i="32"/>
  <c r="AC294" i="32" s="1"/>
  <c r="N12" i="6"/>
  <c r="N76" i="32"/>
  <c r="W249" i="32"/>
  <c r="AC249" i="32" s="1"/>
  <c r="V24" i="13"/>
  <c r="X24" i="13"/>
  <c r="I73" i="32"/>
  <c r="U40" i="12"/>
  <c r="V278" i="32"/>
  <c r="AS21" i="3"/>
  <c r="AO21" i="3"/>
  <c r="AS19" i="3"/>
  <c r="AO19" i="3"/>
  <c r="T233" i="32"/>
  <c r="W23" i="12"/>
  <c r="AC23" i="12" s="1"/>
  <c r="AC38" i="6"/>
  <c r="X38" i="6"/>
  <c r="M17" i="8"/>
  <c r="D16" i="9" s="1"/>
  <c r="AO37" i="23"/>
  <c r="X278" i="32"/>
  <c r="AQ13" i="3"/>
  <c r="Q13" i="26"/>
  <c r="L13" i="26"/>
  <c r="U24" i="12"/>
  <c r="W248" i="32"/>
  <c r="AC248" i="32" s="1"/>
  <c r="AA24" i="12"/>
  <c r="W24" i="6"/>
  <c r="X24" i="12"/>
  <c r="U42" i="6"/>
  <c r="F74" i="32"/>
  <c r="F82" i="32"/>
  <c r="L74" i="23"/>
  <c r="AN74" i="23"/>
  <c r="I19" i="13"/>
  <c r="I172" i="32" s="1"/>
  <c r="J172" i="32"/>
  <c r="J174" i="32" s="1"/>
  <c r="E20" i="3"/>
  <c r="AL20" i="3" s="1"/>
  <c r="AO20" i="3"/>
  <c r="AS20" i="3"/>
  <c r="V341" i="32"/>
  <c r="J82" i="32"/>
  <c r="J83" i="32" s="1"/>
  <c r="J74" i="32"/>
  <c r="L81" i="18"/>
  <c r="C22" i="7"/>
  <c r="Q5" i="9"/>
  <c r="H5" i="9"/>
  <c r="N5" i="9"/>
  <c r="K5" i="9"/>
  <c r="T5" i="9"/>
  <c r="N6" i="6"/>
  <c r="P74" i="22"/>
  <c r="I12" i="13"/>
  <c r="I76" i="32" s="1"/>
  <c r="J12" i="6"/>
  <c r="P12" i="12"/>
  <c r="T12" i="12"/>
  <c r="M12" i="13"/>
  <c r="M76" i="32" s="1"/>
  <c r="M77" i="32" s="1"/>
  <c r="Q12" i="13"/>
  <c r="Q76" i="32" s="1"/>
  <c r="F12" i="6"/>
  <c r="L12" i="12"/>
  <c r="M13" i="12"/>
  <c r="AB11" i="9"/>
  <c r="AB39" i="18"/>
  <c r="AF49" i="18"/>
  <c r="T39" i="18"/>
  <c r="Q18" i="13"/>
  <c r="Q157" i="32" s="1"/>
  <c r="M18" i="13"/>
  <c r="J18" i="6"/>
  <c r="T18" i="12"/>
  <c r="O18" i="12"/>
  <c r="O156" i="32" s="1"/>
  <c r="T19" i="12"/>
  <c r="O19" i="12"/>
  <c r="O171" i="32" s="1"/>
  <c r="Q19" i="13"/>
  <c r="Q172" i="32" s="1"/>
  <c r="M19" i="13"/>
  <c r="AB5" i="9"/>
  <c r="Z24" i="6"/>
  <c r="S24" i="6"/>
  <c r="J19" i="6"/>
  <c r="Q6" i="13"/>
  <c r="Q18" i="32" s="1"/>
  <c r="R24" i="13"/>
  <c r="R249" i="32" s="1"/>
  <c r="P48" i="18"/>
  <c r="O23" i="12"/>
  <c r="O233" i="32" s="1"/>
  <c r="S23" i="12"/>
  <c r="S233" i="32" s="1"/>
  <c r="D13" i="6"/>
  <c r="AB48" i="18"/>
  <c r="AB49" i="18"/>
  <c r="X49" i="18"/>
  <c r="P49" i="18"/>
  <c r="AB50" i="18"/>
  <c r="P39" i="18"/>
  <c r="T50" i="18"/>
  <c r="X39" i="18"/>
  <c r="AF50" i="18"/>
  <c r="M37" i="23"/>
  <c r="K17" i="8" s="1"/>
  <c r="C139" i="32" s="1"/>
  <c r="M80" i="18"/>
  <c r="T48" i="18"/>
  <c r="AP49" i="18"/>
  <c r="X48" i="18"/>
  <c r="M13" i="23"/>
  <c r="AF48" i="18"/>
  <c r="S39" i="6" l="1"/>
  <c r="W39" i="6"/>
  <c r="AF17" i="8"/>
  <c r="S294" i="32"/>
  <c r="S296" i="32" s="1"/>
  <c r="AE42" i="28"/>
  <c r="AE44" i="28" s="1"/>
  <c r="Y44" i="28"/>
  <c r="O6" i="12"/>
  <c r="O15" i="32" s="1"/>
  <c r="AC42" i="28"/>
  <c r="AC44" i="28" s="1"/>
  <c r="W44" i="28"/>
  <c r="AF42" i="28"/>
  <c r="AF44" i="28" s="1"/>
  <c r="Z44" i="28"/>
  <c r="AB42" i="28"/>
  <c r="AB44" i="28" s="1"/>
  <c r="V44" i="28"/>
  <c r="AA42" i="28"/>
  <c r="U44" i="28"/>
  <c r="H43" i="12"/>
  <c r="AD43" i="26"/>
  <c r="AD42" i="28"/>
  <c r="AD44" i="28" s="1"/>
  <c r="X44" i="28"/>
  <c r="V41" i="13"/>
  <c r="U41" i="13" s="1"/>
  <c r="X41" i="13"/>
  <c r="T15" i="32"/>
  <c r="Z39" i="6"/>
  <c r="H15" i="13"/>
  <c r="AA25" i="28"/>
  <c r="H15" i="12"/>
  <c r="AD25" i="26"/>
  <c r="S6" i="12"/>
  <c r="S15" i="32" s="1"/>
  <c r="P23" i="6"/>
  <c r="O23" i="13"/>
  <c r="O234" i="32" s="1"/>
  <c r="S23" i="13"/>
  <c r="S234" i="32" s="1"/>
  <c r="S236" i="32" s="1"/>
  <c r="W23" i="13"/>
  <c r="Z23" i="13" s="1"/>
  <c r="Y40" i="12"/>
  <c r="Y278" i="32" s="1"/>
  <c r="Z38" i="6"/>
  <c r="F21" i="3"/>
  <c r="E21" i="3" s="1"/>
  <c r="AL21" i="3" s="1"/>
  <c r="AQ22" i="7"/>
  <c r="AR22" i="7" s="1"/>
  <c r="AC279" i="32"/>
  <c r="X279" i="32"/>
  <c r="AA279" i="32"/>
  <c r="AA281" i="32" s="1"/>
  <c r="U40" i="13"/>
  <c r="U279" i="32" s="1"/>
  <c r="Y279" i="32" s="1"/>
  <c r="V279" i="32"/>
  <c r="J40" i="6"/>
  <c r="M308" i="32"/>
  <c r="I309" i="32"/>
  <c r="N309" i="32"/>
  <c r="Q42" i="13"/>
  <c r="M42" i="13"/>
  <c r="L42" i="13" s="1"/>
  <c r="J309" i="32"/>
  <c r="J311" i="32" s="1"/>
  <c r="L42" i="12"/>
  <c r="Q308" i="32"/>
  <c r="T42" i="12"/>
  <c r="P42" i="12"/>
  <c r="O42" i="12" s="1"/>
  <c r="X6" i="12"/>
  <c r="AA6" i="12"/>
  <c r="AA15" i="32" s="1"/>
  <c r="E16" i="9"/>
  <c r="AG16" i="9" s="1"/>
  <c r="AF16" i="9"/>
  <c r="X281" i="32"/>
  <c r="AC281" i="32"/>
  <c r="W15" i="32"/>
  <c r="AC15" i="32" s="1"/>
  <c r="AC6" i="12"/>
  <c r="L18" i="13"/>
  <c r="L157" i="32" s="1"/>
  <c r="M157" i="32"/>
  <c r="M159" i="32" s="1"/>
  <c r="Q82" i="32"/>
  <c r="M82" i="32"/>
  <c r="M83" i="32" s="1"/>
  <c r="U248" i="32"/>
  <c r="AC39" i="6"/>
  <c r="X39" i="6"/>
  <c r="R294" i="32"/>
  <c r="T73" i="32"/>
  <c r="W12" i="12"/>
  <c r="AC12" i="12" s="1"/>
  <c r="AA248" i="32"/>
  <c r="Y24" i="12"/>
  <c r="Y248" i="32" s="1"/>
  <c r="AA293" i="32"/>
  <c r="Y41" i="12"/>
  <c r="Y293" i="32" s="1"/>
  <c r="L19" i="13"/>
  <c r="L172" i="32" s="1"/>
  <c r="M172" i="32"/>
  <c r="M174" i="32" s="1"/>
  <c r="L73" i="32"/>
  <c r="O12" i="12"/>
  <c r="O73" i="32" s="1"/>
  <c r="P73" i="32"/>
  <c r="AQ20" i="3"/>
  <c r="L20" i="26"/>
  <c r="Q20" i="26"/>
  <c r="N20" i="28" s="1"/>
  <c r="X248" i="32"/>
  <c r="W251" i="32"/>
  <c r="I82" i="32"/>
  <c r="U293" i="32"/>
  <c r="U39" i="6"/>
  <c r="W233" i="32"/>
  <c r="AC233" i="32" s="1"/>
  <c r="AA23" i="12"/>
  <c r="AA233" i="32" s="1"/>
  <c r="V23" i="12"/>
  <c r="X23" i="12"/>
  <c r="U24" i="13"/>
  <c r="U249" i="32" s="1"/>
  <c r="Y249" i="32" s="1"/>
  <c r="V249" i="32"/>
  <c r="V24" i="6"/>
  <c r="X293" i="32"/>
  <c r="W296" i="32"/>
  <c r="N82" i="32"/>
  <c r="T171" i="32"/>
  <c r="W19" i="12"/>
  <c r="AC19" i="12" s="1"/>
  <c r="AA294" i="32"/>
  <c r="X294" i="32"/>
  <c r="E139" i="32"/>
  <c r="AC139" i="32" s="1"/>
  <c r="AL17" i="8"/>
  <c r="U294" i="32"/>
  <c r="Y294" i="32" s="1"/>
  <c r="Q24" i="32"/>
  <c r="AA249" i="32"/>
  <c r="X249" i="32"/>
  <c r="V294" i="32"/>
  <c r="V39" i="6"/>
  <c r="T156" i="32"/>
  <c r="W18" i="12"/>
  <c r="AC18" i="12" s="1"/>
  <c r="AC24" i="6"/>
  <c r="X24" i="6"/>
  <c r="I13" i="28"/>
  <c r="P13" i="26"/>
  <c r="U278" i="32"/>
  <c r="U6" i="12"/>
  <c r="U15" i="32" s="1"/>
  <c r="AC5" i="9"/>
  <c r="Q6" i="6"/>
  <c r="N13" i="28"/>
  <c r="M12" i="6"/>
  <c r="L12" i="13"/>
  <c r="L76" i="32" s="1"/>
  <c r="AC11" i="9"/>
  <c r="I12" i="6"/>
  <c r="P12" i="13"/>
  <c r="P76" i="32" s="1"/>
  <c r="P77" i="32" s="1"/>
  <c r="T12" i="13"/>
  <c r="S12" i="12"/>
  <c r="S73" i="32" s="1"/>
  <c r="P13" i="12"/>
  <c r="Q12" i="6"/>
  <c r="AP39" i="18"/>
  <c r="Y16" i="9"/>
  <c r="P19" i="13"/>
  <c r="P172" i="32" s="1"/>
  <c r="P174" i="32" s="1"/>
  <c r="T19" i="13"/>
  <c r="R19" i="12"/>
  <c r="R171" i="32" s="1"/>
  <c r="M18" i="6"/>
  <c r="T18" i="13"/>
  <c r="P18" i="13"/>
  <c r="P157" i="32" s="1"/>
  <c r="P159" i="32" s="1"/>
  <c r="J14" i="8"/>
  <c r="M19" i="6"/>
  <c r="R18" i="12"/>
  <c r="R156" i="32" s="1"/>
  <c r="T6" i="13"/>
  <c r="R23" i="12"/>
  <c r="R233" i="32" s="1"/>
  <c r="Y45" i="23"/>
  <c r="S15" i="23"/>
  <c r="S13" i="23"/>
  <c r="AH44" i="23"/>
  <c r="V59" i="23"/>
  <c r="S59" i="23"/>
  <c r="V57" i="23"/>
  <c r="S57" i="23"/>
  <c r="S55" i="23"/>
  <c r="P55" i="23"/>
  <c r="P45" i="23"/>
  <c r="V15" i="23"/>
  <c r="Y60" i="23"/>
  <c r="V60" i="23"/>
  <c r="Y58" i="23"/>
  <c r="V58" i="23"/>
  <c r="P60" i="23"/>
  <c r="S45" i="23"/>
  <c r="AP50" i="18"/>
  <c r="O56" i="23"/>
  <c r="AH56" i="23" s="1"/>
  <c r="P58" i="23"/>
  <c r="V55" i="23"/>
  <c r="O16" i="23"/>
  <c r="AH16" i="23" s="1"/>
  <c r="M53" i="23"/>
  <c r="M57" i="23"/>
  <c r="Y15" i="23"/>
  <c r="P15" i="23"/>
  <c r="Y55" i="23"/>
  <c r="V45" i="23"/>
  <c r="Y59" i="23"/>
  <c r="M54" i="23"/>
  <c r="M49" i="23"/>
  <c r="M45" i="23"/>
  <c r="M15" i="23"/>
  <c r="M60" i="23"/>
  <c r="M52" i="23"/>
  <c r="M48" i="23"/>
  <c r="M59" i="23"/>
  <c r="M55" i="23"/>
  <c r="M47" i="23"/>
  <c r="M58" i="23"/>
  <c r="M51" i="23"/>
  <c r="M46" i="23"/>
  <c r="M14" i="23"/>
  <c r="AP48" i="18"/>
  <c r="V13" i="23"/>
  <c r="S36" i="23"/>
  <c r="U37" i="23"/>
  <c r="AB15" i="23"/>
  <c r="P13" i="23"/>
  <c r="Y13" i="23"/>
  <c r="AD37" i="23"/>
  <c r="AB36" i="23"/>
  <c r="P57" i="23"/>
  <c r="AB58" i="23"/>
  <c r="AB45" i="23"/>
  <c r="AB60" i="23"/>
  <c r="AB55" i="23"/>
  <c r="Y36" i="23"/>
  <c r="AA37" i="23"/>
  <c r="P36" i="23"/>
  <c r="R37" i="23"/>
  <c r="X37" i="23"/>
  <c r="V36" i="23"/>
  <c r="Y57" i="23"/>
  <c r="AB57" i="23"/>
  <c r="AB59" i="23"/>
  <c r="H323" i="32" l="1"/>
  <c r="K43" i="12"/>
  <c r="G43" i="12"/>
  <c r="F43" i="12" s="1"/>
  <c r="H45" i="12"/>
  <c r="H38" i="4" s="1"/>
  <c r="H43" i="13"/>
  <c r="AA44" i="28"/>
  <c r="H111" i="32"/>
  <c r="G15" i="12"/>
  <c r="K15" i="12"/>
  <c r="H26" i="12"/>
  <c r="H15" i="4" s="1"/>
  <c r="H112" i="32"/>
  <c r="K15" i="13"/>
  <c r="G15" i="13"/>
  <c r="G112" i="32" s="1"/>
  <c r="H26" i="13"/>
  <c r="H18" i="4" s="1"/>
  <c r="S23" i="6"/>
  <c r="R6" i="12"/>
  <c r="R15" i="32" s="1"/>
  <c r="U38" i="6"/>
  <c r="R23" i="13"/>
  <c r="R234" i="32" s="1"/>
  <c r="W23" i="6"/>
  <c r="AC23" i="6" s="1"/>
  <c r="X23" i="13"/>
  <c r="V23" i="13"/>
  <c r="U23" i="13" s="1"/>
  <c r="U234" i="32" s="1"/>
  <c r="Y234" i="32" s="1"/>
  <c r="W234" i="32"/>
  <c r="AC234" i="32" s="1"/>
  <c r="AR21" i="3"/>
  <c r="AN21" i="3"/>
  <c r="X15" i="32"/>
  <c r="Z6" i="12"/>
  <c r="Z15" i="32" s="1"/>
  <c r="U281" i="32"/>
  <c r="Z279" i="32"/>
  <c r="Z281" i="32" s="1"/>
  <c r="V281" i="32"/>
  <c r="M309" i="32"/>
  <c r="M311" i="32" s="1"/>
  <c r="Q309" i="32"/>
  <c r="P42" i="13"/>
  <c r="O42" i="13" s="1"/>
  <c r="T42" i="13"/>
  <c r="L308" i="32"/>
  <c r="O308" i="32"/>
  <c r="P308" i="32"/>
  <c r="M40" i="6"/>
  <c r="T308" i="32"/>
  <c r="S42" i="12"/>
  <c r="R42" i="12" s="1"/>
  <c r="W42" i="12"/>
  <c r="L309" i="32"/>
  <c r="Q21" i="26"/>
  <c r="N21" i="28" s="1"/>
  <c r="L21" i="26"/>
  <c r="P21" i="26" s="1"/>
  <c r="AA296" i="32"/>
  <c r="AQ21" i="3"/>
  <c r="Z23" i="12"/>
  <c r="Y23" i="12" s="1"/>
  <c r="Y233" i="32" s="1"/>
  <c r="X296" i="32"/>
  <c r="AC296" i="32"/>
  <c r="X251" i="32"/>
  <c r="AC251" i="32"/>
  <c r="T157" i="32"/>
  <c r="W18" i="13"/>
  <c r="W18" i="6" s="1"/>
  <c r="P20" i="26"/>
  <c r="I20" i="28"/>
  <c r="M14" i="8"/>
  <c r="D13" i="9" s="1"/>
  <c r="AO16" i="23"/>
  <c r="T172" i="32"/>
  <c r="W19" i="13"/>
  <c r="Z19" i="13" s="1"/>
  <c r="Z249" i="32"/>
  <c r="Z251" i="32" s="1"/>
  <c r="V251" i="32"/>
  <c r="U23" i="12"/>
  <c r="V233" i="32"/>
  <c r="Z294" i="32"/>
  <c r="Z296" i="32" s="1"/>
  <c r="V296" i="32"/>
  <c r="W171" i="32"/>
  <c r="AC171" i="32" s="1"/>
  <c r="U19" i="12"/>
  <c r="AA19" i="12"/>
  <c r="X19" i="12"/>
  <c r="W156" i="32"/>
  <c r="AC156" i="32" s="1"/>
  <c r="U18" i="12"/>
  <c r="AA18" i="12"/>
  <c r="X18" i="12"/>
  <c r="E144" i="32"/>
  <c r="X139" i="32"/>
  <c r="P82" i="32"/>
  <c r="P83" i="32" s="1"/>
  <c r="P74" i="32"/>
  <c r="X233" i="32"/>
  <c r="AA251" i="32"/>
  <c r="M20" i="8"/>
  <c r="D19" i="9" s="1"/>
  <c r="AO44" i="23"/>
  <c r="W6" i="13"/>
  <c r="V6" i="13" s="1"/>
  <c r="V18" i="32" s="1"/>
  <c r="T18" i="32"/>
  <c r="S74" i="32"/>
  <c r="L82" i="32"/>
  <c r="W73" i="32"/>
  <c r="AC73" i="32" s="1"/>
  <c r="AA12" i="12"/>
  <c r="AA73" i="32" s="1"/>
  <c r="V12" i="12"/>
  <c r="X12" i="12"/>
  <c r="M21" i="8"/>
  <c r="D20" i="9" s="1"/>
  <c r="AO56" i="23"/>
  <c r="T12" i="6"/>
  <c r="T76" i="32"/>
  <c r="W12" i="13"/>
  <c r="Z12" i="13" s="1"/>
  <c r="U296" i="32"/>
  <c r="U24" i="6"/>
  <c r="U251" i="32"/>
  <c r="V61" i="23"/>
  <c r="AL61" i="23"/>
  <c r="AI22" i="8" s="1"/>
  <c r="AA215" i="32" s="1"/>
  <c r="AB61" i="23"/>
  <c r="Y61" i="23"/>
  <c r="O72" i="23"/>
  <c r="M61" i="23"/>
  <c r="K22" i="8" s="1"/>
  <c r="C215" i="32" s="1"/>
  <c r="T6" i="6"/>
  <c r="P12" i="6"/>
  <c r="R12" i="12"/>
  <c r="L12" i="6"/>
  <c r="S12" i="13"/>
  <c r="S76" i="32" s="1"/>
  <c r="S77" i="32" s="1"/>
  <c r="S13" i="12"/>
  <c r="O12" i="13"/>
  <c r="O76" i="32" s="1"/>
  <c r="AH28" i="18"/>
  <c r="R28" i="18"/>
  <c r="Z25" i="18"/>
  <c r="R25" i="18"/>
  <c r="AD25" i="18"/>
  <c r="V25" i="18"/>
  <c r="AD14" i="23"/>
  <c r="X14" i="23"/>
  <c r="R14" i="23"/>
  <c r="AA14" i="23"/>
  <c r="U14" i="23"/>
  <c r="L13" i="28"/>
  <c r="M13" i="28" s="1"/>
  <c r="P18" i="6"/>
  <c r="S18" i="13"/>
  <c r="S19" i="13"/>
  <c r="P19" i="6"/>
  <c r="AA6" i="6"/>
  <c r="O18" i="13"/>
  <c r="O157" i="32" s="1"/>
  <c r="O19" i="13"/>
  <c r="O172" i="32" s="1"/>
  <c r="S60" i="23"/>
  <c r="M56" i="23"/>
  <c r="K21" i="8" s="1"/>
  <c r="C200" i="32" s="1"/>
  <c r="S58" i="23"/>
  <c r="AF22" i="8"/>
  <c r="M44" i="23"/>
  <c r="K20" i="8" s="1"/>
  <c r="C184" i="32" s="1"/>
  <c r="AB13" i="23"/>
  <c r="M42" i="23"/>
  <c r="M16" i="23"/>
  <c r="K14" i="8" s="1"/>
  <c r="C93" i="32" s="1"/>
  <c r="AJ58" i="23"/>
  <c r="AJ36" i="23"/>
  <c r="AJ59" i="23"/>
  <c r="AJ57" i="23"/>
  <c r="AJ60" i="23"/>
  <c r="AJ15" i="23"/>
  <c r="P37" i="23"/>
  <c r="Y37" i="23"/>
  <c r="S37" i="23"/>
  <c r="V37" i="23"/>
  <c r="AB37" i="23"/>
  <c r="AI17" i="8"/>
  <c r="AA139" i="32" s="1"/>
  <c r="D65" i="18"/>
  <c r="D51" i="18"/>
  <c r="AU51" i="18" s="1"/>
  <c r="D42" i="18"/>
  <c r="AU42" i="18" s="1"/>
  <c r="D21" i="18"/>
  <c r="D19" i="18"/>
  <c r="AU19" i="18" s="1"/>
  <c r="D10" i="18"/>
  <c r="AU10" i="18" s="1"/>
  <c r="AF20" i="8" l="1"/>
  <c r="F323" i="32"/>
  <c r="F45" i="12"/>
  <c r="F38" i="4" s="1"/>
  <c r="H324" i="32"/>
  <c r="G43" i="13"/>
  <c r="G41" i="6" s="1"/>
  <c r="G43" i="6" s="1"/>
  <c r="K43" i="13"/>
  <c r="H45" i="13"/>
  <c r="H39" i="4" s="1"/>
  <c r="L21" i="18"/>
  <c r="C11" i="7"/>
  <c r="AU21" i="18"/>
  <c r="G323" i="32"/>
  <c r="G45" i="12"/>
  <c r="G38" i="4" s="1"/>
  <c r="K323" i="32"/>
  <c r="N43" i="12"/>
  <c r="J43" i="12"/>
  <c r="I43" i="12" s="1"/>
  <c r="K45" i="12"/>
  <c r="K38" i="4" s="1"/>
  <c r="AA234" i="32"/>
  <c r="AA236" i="32" s="1"/>
  <c r="K111" i="32"/>
  <c r="N15" i="12"/>
  <c r="J15" i="12"/>
  <c r="I15" i="12" s="1"/>
  <c r="K26" i="12"/>
  <c r="K15" i="4" s="1"/>
  <c r="G111" i="32"/>
  <c r="G114" i="32" s="1"/>
  <c r="G15" i="6"/>
  <c r="G26" i="12"/>
  <c r="G15" i="4" s="1"/>
  <c r="K112" i="32"/>
  <c r="J15" i="13"/>
  <c r="J112" i="32" s="1"/>
  <c r="N15" i="13"/>
  <c r="K26" i="13"/>
  <c r="K18" i="4" s="1"/>
  <c r="F15" i="13"/>
  <c r="F112" i="32" s="1"/>
  <c r="F15" i="12"/>
  <c r="X23" i="6"/>
  <c r="V23" i="6"/>
  <c r="V234" i="32"/>
  <c r="Z234" i="32" s="1"/>
  <c r="W236" i="32"/>
  <c r="X236" i="32" s="1"/>
  <c r="X234" i="32"/>
  <c r="I21" i="28"/>
  <c r="Y6" i="12"/>
  <c r="Y15" i="32" s="1"/>
  <c r="Z23" i="6"/>
  <c r="L65" i="18"/>
  <c r="AU65" i="18"/>
  <c r="C20" i="7"/>
  <c r="AO72" i="23"/>
  <c r="AH72" i="23"/>
  <c r="P40" i="6"/>
  <c r="AA12" i="6"/>
  <c r="W6" i="6"/>
  <c r="AC6" i="6" s="1"/>
  <c r="O309" i="32"/>
  <c r="R308" i="32"/>
  <c r="T309" i="32"/>
  <c r="W42" i="13"/>
  <c r="S42" i="13"/>
  <c r="R42" i="13" s="1"/>
  <c r="AC42" i="12"/>
  <c r="X42" i="12"/>
  <c r="W308" i="32"/>
  <c r="AA42" i="12"/>
  <c r="V42" i="12"/>
  <c r="U42" i="12" s="1"/>
  <c r="W40" i="6"/>
  <c r="P309" i="32"/>
  <c r="P311" i="32" s="1"/>
  <c r="S308" i="32"/>
  <c r="E19" i="9"/>
  <c r="AG19" i="9" s="1"/>
  <c r="AF19" i="9"/>
  <c r="Z12" i="12"/>
  <c r="Y12" i="12" s="1"/>
  <c r="Y73" i="32" s="1"/>
  <c r="AF20" i="9"/>
  <c r="E20" i="9"/>
  <c r="AG20" i="9" s="1"/>
  <c r="AF14" i="8"/>
  <c r="AF13" i="9"/>
  <c r="E13" i="9"/>
  <c r="AG13" i="9" s="1"/>
  <c r="Z233" i="32"/>
  <c r="W18" i="32"/>
  <c r="AC18" i="32" s="1"/>
  <c r="Z6" i="13"/>
  <c r="R18" i="13"/>
  <c r="R157" i="32" s="1"/>
  <c r="S157" i="32"/>
  <c r="S159" i="32" s="1"/>
  <c r="Z18" i="13"/>
  <c r="W157" i="32"/>
  <c r="AC157" i="32" s="1"/>
  <c r="V18" i="13"/>
  <c r="X18" i="13"/>
  <c r="X6" i="13"/>
  <c r="V12" i="13"/>
  <c r="V12" i="6" s="1"/>
  <c r="V13" i="6" s="1"/>
  <c r="W76" i="32"/>
  <c r="X12" i="13"/>
  <c r="W12" i="6"/>
  <c r="E184" i="32"/>
  <c r="AC184" i="32" s="1"/>
  <c r="AL20" i="8"/>
  <c r="V19" i="13"/>
  <c r="W172" i="32"/>
  <c r="AC172" i="32" s="1"/>
  <c r="X19" i="13"/>
  <c r="R73" i="32"/>
  <c r="U12" i="12"/>
  <c r="V73" i="32"/>
  <c r="V13" i="12"/>
  <c r="S82" i="32"/>
  <c r="S83" i="32" s="1"/>
  <c r="AC18" i="6"/>
  <c r="X18" i="6"/>
  <c r="X171" i="32"/>
  <c r="AA156" i="32"/>
  <c r="Y18" i="12"/>
  <c r="Y156" i="32" s="1"/>
  <c r="Z18" i="32"/>
  <c r="V24" i="32"/>
  <c r="E200" i="32"/>
  <c r="AC200" i="32" s="1"/>
  <c r="AL21" i="8"/>
  <c r="X73" i="32"/>
  <c r="O82" i="32"/>
  <c r="U156" i="32"/>
  <c r="W19" i="6"/>
  <c r="T82" i="32"/>
  <c r="T24" i="32"/>
  <c r="X156" i="32"/>
  <c r="AA171" i="32"/>
  <c r="Y19" i="12"/>
  <c r="Y171" i="32" s="1"/>
  <c r="U233" i="32"/>
  <c r="U236" i="32" s="1"/>
  <c r="U23" i="6"/>
  <c r="E93" i="32"/>
  <c r="AC93" i="32" s="1"/>
  <c r="AL14" i="8"/>
  <c r="R19" i="13"/>
  <c r="R172" i="32" s="1"/>
  <c r="S172" i="32"/>
  <c r="S174" i="32" s="1"/>
  <c r="U171" i="32"/>
  <c r="L51" i="18"/>
  <c r="C17" i="7"/>
  <c r="L42" i="18"/>
  <c r="C16" i="7"/>
  <c r="L19" i="18"/>
  <c r="C8" i="7"/>
  <c r="U6" i="13"/>
  <c r="U18" i="32" s="1"/>
  <c r="V6" i="6"/>
  <c r="L10" i="18"/>
  <c r="C5" i="7"/>
  <c r="AQ5" i="7" s="1"/>
  <c r="AR5" i="7" s="1"/>
  <c r="Y20" i="9"/>
  <c r="AF21" i="8"/>
  <c r="K25" i="8"/>
  <c r="Y13" i="9"/>
  <c r="M25" i="8"/>
  <c r="S61" i="23"/>
  <c r="AJ61" i="23"/>
  <c r="O74" i="23"/>
  <c r="AH74" i="23" s="1"/>
  <c r="D89" i="18"/>
  <c r="AU89" i="18" s="1"/>
  <c r="M72" i="23"/>
  <c r="M74" i="23" s="1"/>
  <c r="S12" i="6"/>
  <c r="I30" i="18"/>
  <c r="H14" i="7" s="1"/>
  <c r="AE13" i="3" s="1"/>
  <c r="AJ13" i="23"/>
  <c r="AJ55" i="23"/>
  <c r="AH25" i="18"/>
  <c r="AH30" i="18" s="1"/>
  <c r="O12" i="6"/>
  <c r="R12" i="13"/>
  <c r="R76" i="32" s="1"/>
  <c r="R27" i="18"/>
  <c r="V28" i="18"/>
  <c r="V30" i="18" s="1"/>
  <c r="Z28" i="18"/>
  <c r="AD28" i="18"/>
  <c r="AD30" i="18" s="1"/>
  <c r="E30" i="18"/>
  <c r="D14" i="7" s="1"/>
  <c r="K13" i="3" s="1"/>
  <c r="AJ45" i="23"/>
  <c r="Y19" i="9"/>
  <c r="Y21" i="9"/>
  <c r="G30" i="18"/>
  <c r="F14" i="7" s="1"/>
  <c r="U13" i="3" s="1"/>
  <c r="H30" i="18"/>
  <c r="G14" i="7" s="1"/>
  <c r="Z13" i="3" s="1"/>
  <c r="F30" i="18"/>
  <c r="E14" i="7" s="1"/>
  <c r="P13" i="3" s="1"/>
  <c r="J22" i="8"/>
  <c r="Z19" i="6"/>
  <c r="S19" i="6"/>
  <c r="Z18" i="6"/>
  <c r="S18" i="6"/>
  <c r="H16" i="23"/>
  <c r="G14" i="8" s="1"/>
  <c r="AA13" i="3" s="1"/>
  <c r="G16" i="23"/>
  <c r="F14" i="8" s="1"/>
  <c r="V13" i="3" s="1"/>
  <c r="F16" i="23"/>
  <c r="E14" i="8" s="1"/>
  <c r="Q13" i="3" s="1"/>
  <c r="E16" i="23"/>
  <c r="D14" i="8" s="1"/>
  <c r="L13" i="3" s="1"/>
  <c r="I16" i="23"/>
  <c r="H14" i="8" s="1"/>
  <c r="AF13" i="3" s="1"/>
  <c r="AJ37" i="23"/>
  <c r="M9" i="18"/>
  <c r="M7" i="18"/>
  <c r="M17" i="18"/>
  <c r="M5" i="18"/>
  <c r="M8" i="18"/>
  <c r="M6" i="18"/>
  <c r="M18" i="18"/>
  <c r="X7" i="18"/>
  <c r="P7" i="18"/>
  <c r="P25" i="18"/>
  <c r="X25" i="18"/>
  <c r="X27" i="18"/>
  <c r="P28" i="18"/>
  <c r="M35" i="18"/>
  <c r="M36" i="18"/>
  <c r="T36" i="18"/>
  <c r="AB36" i="18"/>
  <c r="M37" i="18"/>
  <c r="T37" i="18"/>
  <c r="AB37" i="18"/>
  <c r="M38" i="18"/>
  <c r="T38" i="18"/>
  <c r="AB38" i="18"/>
  <c r="M40" i="18"/>
  <c r="M41" i="18"/>
  <c r="P61" i="18"/>
  <c r="X61" i="18"/>
  <c r="P63" i="18"/>
  <c r="X63" i="18"/>
  <c r="M68" i="18"/>
  <c r="M69" i="18"/>
  <c r="M70" i="18"/>
  <c r="M71" i="18"/>
  <c r="M72" i="18"/>
  <c r="M75" i="18"/>
  <c r="T75" i="18"/>
  <c r="AB75" i="18"/>
  <c r="M76" i="18"/>
  <c r="AB76" i="18"/>
  <c r="M77" i="18"/>
  <c r="M78" i="18"/>
  <c r="M79" i="18"/>
  <c r="AB7" i="18"/>
  <c r="T7" i="18"/>
  <c r="M25" i="18"/>
  <c r="AB25" i="18"/>
  <c r="M27" i="18"/>
  <c r="T27" i="18"/>
  <c r="AB27" i="18"/>
  <c r="M28" i="18"/>
  <c r="M29" i="18"/>
  <c r="T29" i="18"/>
  <c r="AB29" i="18"/>
  <c r="P36" i="18"/>
  <c r="X36" i="18"/>
  <c r="P37" i="18"/>
  <c r="X37" i="18"/>
  <c r="P38" i="18"/>
  <c r="X38" i="18"/>
  <c r="M44" i="18"/>
  <c r="M45" i="18"/>
  <c r="M46" i="18"/>
  <c r="M61" i="18"/>
  <c r="T61" i="18"/>
  <c r="AB61" i="18"/>
  <c r="M62" i="18"/>
  <c r="M63" i="18"/>
  <c r="T63" i="18"/>
  <c r="AB63" i="18"/>
  <c r="M64" i="18"/>
  <c r="X75" i="18"/>
  <c r="AF27" i="18"/>
  <c r="M30" i="18"/>
  <c r="J14" i="7" s="1"/>
  <c r="C92" i="32" s="1"/>
  <c r="C98" i="32" s="1"/>
  <c r="AF36" i="18"/>
  <c r="AF37" i="18"/>
  <c r="AF38" i="18"/>
  <c r="M43" i="18"/>
  <c r="M60" i="18"/>
  <c r="AF75" i="18"/>
  <c r="AF76" i="18"/>
  <c r="AF7" i="18"/>
  <c r="AF28" i="18"/>
  <c r="AF29" i="18"/>
  <c r="M34" i="18"/>
  <c r="AF60" i="18"/>
  <c r="AF61" i="18"/>
  <c r="AF63" i="18"/>
  <c r="M67" i="18"/>
  <c r="M74" i="18"/>
  <c r="F43" i="13" l="1"/>
  <c r="J43" i="13"/>
  <c r="J41" i="6" s="1"/>
  <c r="J43" i="6" s="1"/>
  <c r="N43" i="13"/>
  <c r="K324" i="32"/>
  <c r="I43" i="13"/>
  <c r="K45" i="13"/>
  <c r="K39" i="4" s="1"/>
  <c r="G324" i="32"/>
  <c r="G326" i="32" s="1"/>
  <c r="G45" i="13"/>
  <c r="G39" i="4" s="1"/>
  <c r="G41" i="4" s="1"/>
  <c r="I323" i="32"/>
  <c r="I45" i="12"/>
  <c r="I38" i="4" s="1"/>
  <c r="F10" i="3"/>
  <c r="AQ11" i="7"/>
  <c r="AR11" i="7" s="1"/>
  <c r="N323" i="32"/>
  <c r="Q43" i="12"/>
  <c r="M43" i="12"/>
  <c r="L43" i="12" s="1"/>
  <c r="N45" i="12"/>
  <c r="N38" i="4" s="1"/>
  <c r="J323" i="32"/>
  <c r="J45" i="12"/>
  <c r="J38" i="4" s="1"/>
  <c r="I111" i="32"/>
  <c r="I26" i="12"/>
  <c r="I15" i="4" s="1"/>
  <c r="I15" i="13"/>
  <c r="I112" i="32" s="1"/>
  <c r="F111" i="32"/>
  <c r="F26" i="12"/>
  <c r="F15" i="4" s="1"/>
  <c r="N112" i="32"/>
  <c r="Q15" i="13"/>
  <c r="M15" i="13"/>
  <c r="M112" i="32" s="1"/>
  <c r="N26" i="13"/>
  <c r="N18" i="4" s="1"/>
  <c r="J111" i="32"/>
  <c r="J114" i="32" s="1"/>
  <c r="J15" i="6"/>
  <c r="J26" i="12"/>
  <c r="J15" i="4" s="1"/>
  <c r="N111" i="32"/>
  <c r="M15" i="12"/>
  <c r="L15" i="12" s="1"/>
  <c r="Q15" i="12"/>
  <c r="N26" i="12"/>
  <c r="N15" i="4" s="1"/>
  <c r="Z236" i="32"/>
  <c r="V236" i="32"/>
  <c r="AC236" i="32"/>
  <c r="Z13" i="12"/>
  <c r="X18" i="32"/>
  <c r="W24" i="32"/>
  <c r="AC24" i="32" s="1"/>
  <c r="AA18" i="32"/>
  <c r="AA24" i="32" s="1"/>
  <c r="F7" i="3"/>
  <c r="AR7" i="3" s="1"/>
  <c r="AQ8" i="7"/>
  <c r="AR8" i="7" s="1"/>
  <c r="F15" i="3"/>
  <c r="AQ16" i="7"/>
  <c r="AR16" i="7" s="1"/>
  <c r="F16" i="3"/>
  <c r="E16" i="3" s="1"/>
  <c r="AQ17" i="7"/>
  <c r="AR17" i="7" s="1"/>
  <c r="AQ20" i="7"/>
  <c r="AR20" i="7" s="1"/>
  <c r="F19" i="3"/>
  <c r="O13" i="3"/>
  <c r="S13" i="26" s="1"/>
  <c r="Y13" i="3"/>
  <c r="U13" i="26" s="1"/>
  <c r="T13" i="3"/>
  <c r="T13" i="26" s="1"/>
  <c r="Q13" i="28" s="1"/>
  <c r="J13" i="3"/>
  <c r="R13" i="26" s="1"/>
  <c r="X13" i="26" s="1"/>
  <c r="AD13" i="3"/>
  <c r="V13" i="26" s="1"/>
  <c r="X6" i="6"/>
  <c r="Z12" i="6"/>
  <c r="Z73" i="32"/>
  <c r="Z74" i="32" s="1"/>
  <c r="S40" i="6"/>
  <c r="U308" i="32"/>
  <c r="S309" i="32"/>
  <c r="S311" i="32" s="1"/>
  <c r="V308" i="32"/>
  <c r="Z42" i="13"/>
  <c r="X42" i="13"/>
  <c r="V42" i="13"/>
  <c r="U42" i="13" s="1"/>
  <c r="W309" i="32"/>
  <c r="W311" i="32" s="1"/>
  <c r="Z42" i="12"/>
  <c r="AA308" i="32"/>
  <c r="AC308" i="32"/>
  <c r="X308" i="32"/>
  <c r="AC40" i="6"/>
  <c r="X40" i="6"/>
  <c r="R309" i="32"/>
  <c r="W159" i="32"/>
  <c r="X159" i="32" s="1"/>
  <c r="W174" i="32"/>
  <c r="W82" i="32"/>
  <c r="AC76" i="32"/>
  <c r="AR15" i="3"/>
  <c r="AN15" i="3"/>
  <c r="U18" i="13"/>
  <c r="V157" i="32"/>
  <c r="V18" i="6"/>
  <c r="AA157" i="32"/>
  <c r="AA159" i="32" s="1"/>
  <c r="X157" i="32"/>
  <c r="K27" i="8"/>
  <c r="C8" i="4"/>
  <c r="Y18" i="32"/>
  <c r="U24" i="32"/>
  <c r="E98" i="32"/>
  <c r="X93" i="32"/>
  <c r="AC19" i="6"/>
  <c r="X19" i="6"/>
  <c r="E205" i="32"/>
  <c r="X200" i="32"/>
  <c r="E189" i="32"/>
  <c r="X184" i="32"/>
  <c r="AO74" i="23"/>
  <c r="V74" i="32"/>
  <c r="AC12" i="6"/>
  <c r="X12" i="6"/>
  <c r="Z24" i="32"/>
  <c r="U73" i="32"/>
  <c r="R82" i="32"/>
  <c r="AA172" i="32"/>
  <c r="AA174" i="32" s="1"/>
  <c r="X172" i="32"/>
  <c r="AA76" i="32"/>
  <c r="X76" i="32"/>
  <c r="E8" i="4"/>
  <c r="AL25" i="8"/>
  <c r="U19" i="13"/>
  <c r="V172" i="32"/>
  <c r="V19" i="6"/>
  <c r="U12" i="13"/>
  <c r="U76" i="32" s="1"/>
  <c r="V76" i="32"/>
  <c r="V13" i="13"/>
  <c r="R30" i="18"/>
  <c r="O14" i="7" s="1"/>
  <c r="T30" i="18"/>
  <c r="Q14" i="7" s="1"/>
  <c r="I92" i="32" s="1"/>
  <c r="S14" i="7"/>
  <c r="AF30" i="18"/>
  <c r="AC14" i="7" s="1"/>
  <c r="R92" i="32" s="1"/>
  <c r="AE14" i="7"/>
  <c r="AB30" i="18"/>
  <c r="Y14" i="7" s="1"/>
  <c r="O92" i="32" s="1"/>
  <c r="AA14" i="7"/>
  <c r="U6" i="6"/>
  <c r="F4" i="3"/>
  <c r="C25" i="7"/>
  <c r="D24" i="9"/>
  <c r="X13" i="9"/>
  <c r="M27" i="8"/>
  <c r="AL27" i="8" s="1"/>
  <c r="AF25" i="8"/>
  <c r="Z30" i="18"/>
  <c r="D91" i="18"/>
  <c r="L89" i="18"/>
  <c r="T28" i="18"/>
  <c r="AR30" i="18"/>
  <c r="X29" i="18"/>
  <c r="P27" i="18"/>
  <c r="X28" i="18"/>
  <c r="AF25" i="18"/>
  <c r="P29" i="18"/>
  <c r="R12" i="6"/>
  <c r="Y12" i="6"/>
  <c r="AB28" i="18"/>
  <c r="P14" i="24"/>
  <c r="AB14" i="24"/>
  <c r="S14" i="24"/>
  <c r="F12" i="3"/>
  <c r="T25" i="18"/>
  <c r="C13" i="7"/>
  <c r="AQ13" i="7" s="1"/>
  <c r="AR13" i="7" s="1"/>
  <c r="C7" i="7"/>
  <c r="AQ7" i="7" s="1"/>
  <c r="AR7" i="7" s="1"/>
  <c r="C10" i="7"/>
  <c r="AQ10" i="7" s="1"/>
  <c r="AR10" i="7" s="1"/>
  <c r="V14" i="23"/>
  <c r="X16" i="23"/>
  <c r="AB14" i="23"/>
  <c r="AD16" i="23"/>
  <c r="P14" i="23"/>
  <c r="R16" i="23"/>
  <c r="S14" i="23"/>
  <c r="U16" i="23"/>
  <c r="AA16" i="23"/>
  <c r="Y14" i="23"/>
  <c r="AP27" i="18"/>
  <c r="AP63" i="18"/>
  <c r="AP61" i="18"/>
  <c r="AP60" i="18"/>
  <c r="AP29" i="18"/>
  <c r="AP28" i="18"/>
  <c r="AP7" i="18"/>
  <c r="AP76" i="18"/>
  <c r="AP75" i="18"/>
  <c r="N51" i="18"/>
  <c r="AP38" i="18"/>
  <c r="AP37" i="18"/>
  <c r="AP36" i="18"/>
  <c r="E14" i="6"/>
  <c r="M81" i="18"/>
  <c r="J22" i="7" s="1"/>
  <c r="M73" i="18"/>
  <c r="J21" i="7" s="1"/>
  <c r="C199" i="32" s="1"/>
  <c r="C205" i="32" s="1"/>
  <c r="M42" i="18"/>
  <c r="J16" i="7" s="1"/>
  <c r="C123" i="32" s="1"/>
  <c r="C129" i="32" s="1"/>
  <c r="M65" i="18"/>
  <c r="J20" i="7" s="1"/>
  <c r="C183" i="32" s="1"/>
  <c r="C189" i="32" s="1"/>
  <c r="M19" i="18"/>
  <c r="J8" i="7" s="1"/>
  <c r="C34" i="32" s="1"/>
  <c r="M10" i="18"/>
  <c r="J5" i="7" s="1"/>
  <c r="C5" i="32" s="1"/>
  <c r="AK5" i="7"/>
  <c r="AQ47" i="18"/>
  <c r="AQ51" i="18" s="1"/>
  <c r="AM17" i="7" s="1"/>
  <c r="X47" i="18"/>
  <c r="AF47" i="18"/>
  <c r="P47" i="18"/>
  <c r="AB47" i="18"/>
  <c r="T47" i="18"/>
  <c r="M47" i="18"/>
  <c r="AA13" i="26" l="1"/>
  <c r="L323" i="32"/>
  <c r="L45" i="12"/>
  <c r="L38" i="4" s="1"/>
  <c r="Z138" i="32"/>
  <c r="AM25" i="7"/>
  <c r="Y13" i="26"/>
  <c r="E10" i="3"/>
  <c r="AN10" i="3"/>
  <c r="AR10" i="3"/>
  <c r="I324" i="32"/>
  <c r="I45" i="13"/>
  <c r="I39" i="4" s="1"/>
  <c r="Q43" i="13"/>
  <c r="N324" i="32"/>
  <c r="M43" i="13"/>
  <c r="M41" i="6" s="1"/>
  <c r="M43" i="6" s="1"/>
  <c r="N45" i="13"/>
  <c r="N39" i="4" s="1"/>
  <c r="N89" i="18"/>
  <c r="N91" i="18" s="1"/>
  <c r="M91" i="18" s="1"/>
  <c r="K17" i="7"/>
  <c r="R13" i="28"/>
  <c r="AB13" i="26"/>
  <c r="J324" i="32"/>
  <c r="J326" i="32" s="1"/>
  <c r="J45" i="13"/>
  <c r="J39" i="4" s="1"/>
  <c r="J41" i="4" s="1"/>
  <c r="M323" i="32"/>
  <c r="M45" i="12"/>
  <c r="M38" i="4" s="1"/>
  <c r="F324" i="32"/>
  <c r="F45" i="13"/>
  <c r="F39" i="4" s="1"/>
  <c r="Q323" i="32"/>
  <c r="P43" i="12"/>
  <c r="O43" i="12" s="1"/>
  <c r="T43" i="12"/>
  <c r="Q45" i="12"/>
  <c r="Q38" i="4" s="1"/>
  <c r="P30" i="18"/>
  <c r="M14" i="7" s="1"/>
  <c r="F92" i="32" s="1"/>
  <c r="Z13" i="26"/>
  <c r="W13" i="28" s="1"/>
  <c r="AC13" i="28" s="1"/>
  <c r="AC13" i="26"/>
  <c r="Z13" i="28" s="1"/>
  <c r="AF13" i="28" s="1"/>
  <c r="S13" i="28"/>
  <c r="P13" i="28"/>
  <c r="E7" i="3"/>
  <c r="AN16" i="3"/>
  <c r="L111" i="32"/>
  <c r="L26" i="12"/>
  <c r="L15" i="4" s="1"/>
  <c r="L15" i="13"/>
  <c r="L112" i="32" s="1"/>
  <c r="M111" i="32"/>
  <c r="M114" i="32" s="1"/>
  <c r="M26" i="12"/>
  <c r="M15" i="4" s="1"/>
  <c r="M15" i="6"/>
  <c r="Q112" i="32"/>
  <c r="T15" i="13"/>
  <c r="P15" i="13"/>
  <c r="P112" i="32" s="1"/>
  <c r="Q26" i="13"/>
  <c r="Q18" i="4" s="1"/>
  <c r="Q111" i="32"/>
  <c r="P15" i="12"/>
  <c r="O15" i="12" s="1"/>
  <c r="T15" i="12"/>
  <c r="Q26" i="12"/>
  <c r="Q15" i="4" s="1"/>
  <c r="O13" i="28"/>
  <c r="X24" i="32"/>
  <c r="AQ16" i="3"/>
  <c r="L16" i="26"/>
  <c r="P16" i="26" s="1"/>
  <c r="AR16" i="3"/>
  <c r="F9" i="3"/>
  <c r="AR9" i="3" s="1"/>
  <c r="AN7" i="3"/>
  <c r="C7" i="32"/>
  <c r="C23" i="32"/>
  <c r="C25" i="32" s="1"/>
  <c r="C36" i="32"/>
  <c r="C52" i="32"/>
  <c r="C54" i="32" s="1"/>
  <c r="C27" i="7"/>
  <c r="AQ27" i="7" s="1"/>
  <c r="AR27" i="7" s="1"/>
  <c r="AQ25" i="7"/>
  <c r="AR25" i="7" s="1"/>
  <c r="AN19" i="3"/>
  <c r="AR19" i="3"/>
  <c r="E19" i="3"/>
  <c r="AL16" i="3"/>
  <c r="Q16" i="26"/>
  <c r="N16" i="28" s="1"/>
  <c r="V40" i="6"/>
  <c r="X311" i="32"/>
  <c r="AC311" i="32"/>
  <c r="Z40" i="6"/>
  <c r="Z308" i="32"/>
  <c r="U309" i="32"/>
  <c r="Y309" i="32" s="1"/>
  <c r="AC309" i="32"/>
  <c r="X309" i="32"/>
  <c r="AA309" i="32"/>
  <c r="AA311" i="32" s="1"/>
  <c r="V309" i="32"/>
  <c r="Z309" i="32" s="1"/>
  <c r="Y42" i="12"/>
  <c r="U40" i="6"/>
  <c r="AC159" i="32"/>
  <c r="L91" i="18"/>
  <c r="AU91" i="18"/>
  <c r="X82" i="32"/>
  <c r="AC82" i="32"/>
  <c r="E4" i="3"/>
  <c r="AQ4" i="3" s="1"/>
  <c r="AR4" i="3"/>
  <c r="AN4" i="3"/>
  <c r="X174" i="32"/>
  <c r="AC174" i="32"/>
  <c r="AN12" i="3"/>
  <c r="AR12" i="3"/>
  <c r="Y24" i="9"/>
  <c r="AF24" i="9"/>
  <c r="Z157" i="32"/>
  <c r="Z159" i="32" s="1"/>
  <c r="V159" i="32"/>
  <c r="U157" i="32"/>
  <c r="U18" i="6"/>
  <c r="Z76" i="32"/>
  <c r="V77" i="32"/>
  <c r="Y76" i="32"/>
  <c r="AC8" i="4"/>
  <c r="X8" i="4"/>
  <c r="Z172" i="32"/>
  <c r="Z174" i="32" s="1"/>
  <c r="V174" i="32"/>
  <c r="U172" i="32"/>
  <c r="U19" i="6"/>
  <c r="AA82" i="32"/>
  <c r="V82" i="32"/>
  <c r="V83" i="32" s="1"/>
  <c r="S14" i="8"/>
  <c r="Y24" i="32"/>
  <c r="AB14" i="8"/>
  <c r="U12" i="6"/>
  <c r="P14" i="8"/>
  <c r="U82" i="32"/>
  <c r="C214" i="32"/>
  <c r="C220" i="32" s="1"/>
  <c r="Y13" i="28"/>
  <c r="AE13" i="28" s="1"/>
  <c r="AH13" i="26"/>
  <c r="X13" i="28"/>
  <c r="AD13" i="28" s="1"/>
  <c r="AG13" i="26"/>
  <c r="U13" i="28"/>
  <c r="AA13" i="28" s="1"/>
  <c r="H14" i="13" s="1"/>
  <c r="H96" i="32" s="1"/>
  <c r="AD13" i="26"/>
  <c r="H14" i="12" s="1"/>
  <c r="H95" i="32" s="1"/>
  <c r="V13" i="28"/>
  <c r="AB13" i="28" s="1"/>
  <c r="AE13" i="26"/>
  <c r="AP30" i="18"/>
  <c r="AL14" i="7" s="1"/>
  <c r="Y92" i="32" s="1"/>
  <c r="AN14" i="7"/>
  <c r="X30" i="18"/>
  <c r="U14" i="7" s="1"/>
  <c r="L92" i="32" s="1"/>
  <c r="W14" i="7"/>
  <c r="F6" i="3"/>
  <c r="F24" i="3"/>
  <c r="AF27" i="8"/>
  <c r="E10" i="4"/>
  <c r="D26" i="9"/>
  <c r="X19" i="9"/>
  <c r="X15" i="9"/>
  <c r="AK16" i="7"/>
  <c r="X10" i="9"/>
  <c r="AK11" i="7"/>
  <c r="X16" i="9"/>
  <c r="AK17" i="7"/>
  <c r="X20" i="9"/>
  <c r="AK21" i="7"/>
  <c r="X7" i="9"/>
  <c r="AK8" i="7"/>
  <c r="X21" i="9"/>
  <c r="AQ89" i="18"/>
  <c r="AQ91" i="18" s="1"/>
  <c r="AP25" i="18"/>
  <c r="AD79" i="18"/>
  <c r="V14" i="24"/>
  <c r="V14" i="8" s="1"/>
  <c r="AD17" i="18"/>
  <c r="V17" i="18"/>
  <c r="AH17" i="18"/>
  <c r="Z17" i="18"/>
  <c r="R17" i="18"/>
  <c r="AH74" i="18"/>
  <c r="L21" i="28"/>
  <c r="M21" i="28" s="1"/>
  <c r="N14" i="24"/>
  <c r="Q14" i="24"/>
  <c r="Y14" i="24"/>
  <c r="Y14" i="8" s="1"/>
  <c r="R59" i="23"/>
  <c r="R61" i="23" s="1"/>
  <c r="R75" i="18"/>
  <c r="AJ14" i="23"/>
  <c r="V16" i="23"/>
  <c r="Y16" i="23"/>
  <c r="S16" i="23"/>
  <c r="P16" i="23"/>
  <c r="AB16" i="23"/>
  <c r="AI14" i="8"/>
  <c r="AA93" i="32" s="1"/>
  <c r="Z14" i="24"/>
  <c r="E17" i="6"/>
  <c r="C14" i="6"/>
  <c r="M51" i="18"/>
  <c r="AP47" i="18"/>
  <c r="C5" i="6"/>
  <c r="Z13" i="9"/>
  <c r="E11" i="6"/>
  <c r="E20" i="6"/>
  <c r="E16" i="6"/>
  <c r="E21" i="6"/>
  <c r="E22" i="6"/>
  <c r="C4" i="9"/>
  <c r="AI13" i="26" l="1"/>
  <c r="AF13" i="26"/>
  <c r="L43" i="13"/>
  <c r="AL4" i="3"/>
  <c r="AN9" i="3"/>
  <c r="T323" i="32"/>
  <c r="W43" i="12"/>
  <c r="S43" i="12"/>
  <c r="R43" i="12" s="1"/>
  <c r="T45" i="12"/>
  <c r="T38" i="4" s="1"/>
  <c r="M324" i="32"/>
  <c r="M326" i="32" s="1"/>
  <c r="M45" i="13"/>
  <c r="M39" i="4" s="1"/>
  <c r="M41" i="4" s="1"/>
  <c r="L324" i="32"/>
  <c r="L45" i="13"/>
  <c r="L39" i="4" s="1"/>
  <c r="P323" i="32"/>
  <c r="P45" i="12"/>
  <c r="P38" i="4" s="1"/>
  <c r="T43" i="13"/>
  <c r="Q324" i="32"/>
  <c r="P43" i="13"/>
  <c r="P41" i="6" s="1"/>
  <c r="P43" i="6" s="1"/>
  <c r="Q45" i="13"/>
  <c r="Q39" i="4" s="1"/>
  <c r="L10" i="26"/>
  <c r="Q10" i="26"/>
  <c r="AQ10" i="3"/>
  <c r="E12" i="3"/>
  <c r="AL10" i="3"/>
  <c r="AM27" i="7"/>
  <c r="Z7" i="4" s="1"/>
  <c r="Z5" i="4"/>
  <c r="O323" i="32"/>
  <c r="O45" i="12"/>
  <c r="O38" i="4" s="1"/>
  <c r="D138" i="32"/>
  <c r="D144" i="32" s="1"/>
  <c r="K25" i="7"/>
  <c r="O15" i="13"/>
  <c r="O112" i="32" s="1"/>
  <c r="AQ7" i="3"/>
  <c r="AL7" i="3"/>
  <c r="L7" i="26"/>
  <c r="I7" i="28" s="1"/>
  <c r="E9" i="3"/>
  <c r="Q7" i="26"/>
  <c r="O111" i="32"/>
  <c r="O26" i="12"/>
  <c r="O15" i="4" s="1"/>
  <c r="S15" i="12"/>
  <c r="R15" i="12" s="1"/>
  <c r="T111" i="32"/>
  <c r="W15" i="12"/>
  <c r="T26" i="12"/>
  <c r="T15" i="4" s="1"/>
  <c r="W15" i="13"/>
  <c r="S15" i="13"/>
  <c r="S112" i="32" s="1"/>
  <c r="T112" i="32"/>
  <c r="T26" i="13"/>
  <c r="T18" i="4" s="1"/>
  <c r="P111" i="32"/>
  <c r="P114" i="32" s="1"/>
  <c r="P26" i="12"/>
  <c r="P15" i="4" s="1"/>
  <c r="P15" i="6"/>
  <c r="I16" i="28"/>
  <c r="L4" i="26"/>
  <c r="L6" i="26" s="1"/>
  <c r="I6" i="28" s="1"/>
  <c r="E6" i="3"/>
  <c r="AQ6" i="3" s="1"/>
  <c r="Q4" i="26"/>
  <c r="N4" i="28" s="1"/>
  <c r="X4" i="9"/>
  <c r="AE4" i="9"/>
  <c r="M89" i="18"/>
  <c r="J17" i="7"/>
  <c r="AL19" i="3"/>
  <c r="AQ19" i="3"/>
  <c r="Q19" i="26"/>
  <c r="N19" i="28" s="1"/>
  <c r="L19" i="26"/>
  <c r="V311" i="32"/>
  <c r="Z311" i="32"/>
  <c r="Y308" i="32"/>
  <c r="U311" i="32"/>
  <c r="K93" i="32"/>
  <c r="J13" i="9"/>
  <c r="K13" i="9" s="1"/>
  <c r="Q93" i="32"/>
  <c r="P13" i="9"/>
  <c r="Q13" i="9" s="1"/>
  <c r="N93" i="32"/>
  <c r="M13" i="9"/>
  <c r="H93" i="32"/>
  <c r="H98" i="32" s="1"/>
  <c r="G13" i="9"/>
  <c r="H13" i="9" s="1"/>
  <c r="T93" i="32"/>
  <c r="S13" i="9"/>
  <c r="T13" i="9" s="1"/>
  <c r="F26" i="3"/>
  <c r="AN24" i="3"/>
  <c r="AR24" i="3"/>
  <c r="AN6" i="3"/>
  <c r="AR6" i="3"/>
  <c r="Y26" i="9"/>
  <c r="AF26" i="9"/>
  <c r="Y157" i="32"/>
  <c r="U159" i="32"/>
  <c r="X10" i="4"/>
  <c r="AC10" i="4"/>
  <c r="Y172" i="32"/>
  <c r="U174" i="32"/>
  <c r="Q14" i="8"/>
  <c r="I93" i="32" s="1"/>
  <c r="Y82" i="32"/>
  <c r="Z14" i="8"/>
  <c r="R93" i="32" s="1"/>
  <c r="N14" i="8"/>
  <c r="F93" i="32" s="1"/>
  <c r="Z77" i="32"/>
  <c r="Z82" i="32"/>
  <c r="Z83" i="32" s="1"/>
  <c r="K14" i="12"/>
  <c r="K95" i="32" s="1"/>
  <c r="G14" i="12"/>
  <c r="I4" i="28"/>
  <c r="Z21" i="9"/>
  <c r="Z20" i="9"/>
  <c r="Z19" i="9"/>
  <c r="C24" i="9"/>
  <c r="C12" i="9"/>
  <c r="AE12" i="9" s="1"/>
  <c r="AK13" i="7"/>
  <c r="C9" i="9"/>
  <c r="AK10" i="7"/>
  <c r="C6" i="9"/>
  <c r="AE6" i="9" s="1"/>
  <c r="AK7" i="7"/>
  <c r="AH66" i="18"/>
  <c r="Z66" i="18"/>
  <c r="AD66" i="18"/>
  <c r="V66" i="18"/>
  <c r="R66" i="18"/>
  <c r="Z18" i="18"/>
  <c r="Z19" i="18" s="1"/>
  <c r="T14" i="24"/>
  <c r="T14" i="8" s="1"/>
  <c r="L93" i="32" s="1"/>
  <c r="AD18" i="18"/>
  <c r="AD19" i="18" s="1"/>
  <c r="W14" i="24"/>
  <c r="W14" i="8" s="1"/>
  <c r="O93" i="32" s="1"/>
  <c r="AH18" i="18"/>
  <c r="AH19" i="18" s="1"/>
  <c r="R18" i="18"/>
  <c r="R19" i="18" s="1"/>
  <c r="V18" i="18"/>
  <c r="V19" i="18" s="1"/>
  <c r="E61" i="23"/>
  <c r="L20" i="28"/>
  <c r="M20" i="28" s="1"/>
  <c r="L4" i="28"/>
  <c r="L16" i="28"/>
  <c r="AH78" i="18"/>
  <c r="R79" i="18"/>
  <c r="Z74" i="18"/>
  <c r="V78" i="18"/>
  <c r="AH79" i="18"/>
  <c r="V74" i="18"/>
  <c r="P80" i="18"/>
  <c r="Z79" i="18"/>
  <c r="R74" i="18"/>
  <c r="Z78" i="18"/>
  <c r="X78" i="18" s="1"/>
  <c r="V79" i="18"/>
  <c r="AD78" i="18"/>
  <c r="R78" i="18"/>
  <c r="R77" i="18"/>
  <c r="AD74" i="18"/>
  <c r="AB77" i="18"/>
  <c r="H81" i="18"/>
  <c r="G22" i="7" s="1"/>
  <c r="Z21" i="3" s="1"/>
  <c r="Y21" i="3" s="1"/>
  <c r="U21" i="26" s="1"/>
  <c r="C10" i="4"/>
  <c r="F81" i="18"/>
  <c r="E22" i="7" s="1"/>
  <c r="P21" i="3" s="1"/>
  <c r="O21" i="3" s="1"/>
  <c r="S21" i="26" s="1"/>
  <c r="P21" i="28" s="1"/>
  <c r="E81" i="18"/>
  <c r="D22" i="7" s="1"/>
  <c r="K21" i="3" s="1"/>
  <c r="L7" i="28"/>
  <c r="K14" i="13"/>
  <c r="K96" i="32" s="1"/>
  <c r="G14" i="13"/>
  <c r="G96" i="32" s="1"/>
  <c r="AJ16" i="23"/>
  <c r="I81" i="18"/>
  <c r="H22" i="7" s="1"/>
  <c r="AE21" i="3" s="1"/>
  <c r="AD21" i="3" s="1"/>
  <c r="V21" i="26" s="1"/>
  <c r="G81" i="18"/>
  <c r="F22" i="7" s="1"/>
  <c r="U21" i="3" s="1"/>
  <c r="T21" i="3" s="1"/>
  <c r="T21" i="26" s="1"/>
  <c r="AH14" i="24"/>
  <c r="AB13" i="9"/>
  <c r="E7" i="6"/>
  <c r="E13" i="6"/>
  <c r="AK25" i="7"/>
  <c r="C22" i="6"/>
  <c r="C21" i="6"/>
  <c r="C16" i="6"/>
  <c r="C20" i="6"/>
  <c r="J10" i="7"/>
  <c r="J7" i="7"/>
  <c r="AH72" i="18"/>
  <c r="Z72" i="18"/>
  <c r="R72" i="18"/>
  <c r="AD72" i="18"/>
  <c r="V72" i="18"/>
  <c r="AH68" i="18"/>
  <c r="Z68" i="18"/>
  <c r="R68" i="18"/>
  <c r="AD68" i="18"/>
  <c r="V68" i="18"/>
  <c r="AD69" i="18"/>
  <c r="V69" i="18"/>
  <c r="AH69" i="18"/>
  <c r="Z69" i="18"/>
  <c r="R69" i="18"/>
  <c r="AB79" i="18"/>
  <c r="AF77" i="18"/>
  <c r="AF74" i="18"/>
  <c r="P76" i="18"/>
  <c r="U54" i="23"/>
  <c r="AA54" i="23"/>
  <c r="R54" i="23"/>
  <c r="X54" i="23"/>
  <c r="AD54" i="23"/>
  <c r="U49" i="23"/>
  <c r="AA49" i="23"/>
  <c r="R49" i="23"/>
  <c r="X49" i="23"/>
  <c r="AD49" i="23"/>
  <c r="R53" i="23"/>
  <c r="X53" i="23"/>
  <c r="AD53" i="23"/>
  <c r="U53" i="23"/>
  <c r="AA53" i="23"/>
  <c r="R48" i="23"/>
  <c r="X48" i="23"/>
  <c r="AD48" i="23"/>
  <c r="U48" i="23"/>
  <c r="AA48" i="23"/>
  <c r="R51" i="23"/>
  <c r="X51" i="23"/>
  <c r="AD51" i="23"/>
  <c r="U51" i="23"/>
  <c r="AA51" i="23"/>
  <c r="AH70" i="18"/>
  <c r="Z70" i="18"/>
  <c r="R70" i="18"/>
  <c r="AD70" i="18"/>
  <c r="V70" i="18"/>
  <c r="AD71" i="18"/>
  <c r="V71" i="18"/>
  <c r="AH71" i="18"/>
  <c r="Z71" i="18"/>
  <c r="R71" i="18"/>
  <c r="AD67" i="18"/>
  <c r="V67" i="18"/>
  <c r="AH67" i="18"/>
  <c r="Z67" i="18"/>
  <c r="X76" i="18"/>
  <c r="P59" i="23"/>
  <c r="P61" i="23" s="1"/>
  <c r="X77" i="18"/>
  <c r="T76" i="18"/>
  <c r="U52" i="23"/>
  <c r="AA52" i="23"/>
  <c r="R52" i="23"/>
  <c r="X52" i="23"/>
  <c r="AD52" i="23"/>
  <c r="U47" i="23"/>
  <c r="AA47" i="23"/>
  <c r="R47" i="23"/>
  <c r="X47" i="23"/>
  <c r="AD47" i="23"/>
  <c r="AA46" i="23"/>
  <c r="U46" i="23"/>
  <c r="R46" i="23"/>
  <c r="AD46" i="23"/>
  <c r="X46" i="23"/>
  <c r="D17" i="6"/>
  <c r="AD43" i="18"/>
  <c r="V43" i="18"/>
  <c r="R43" i="18"/>
  <c r="AH43" i="18"/>
  <c r="Z43" i="18"/>
  <c r="AH8" i="18"/>
  <c r="Z8" i="18"/>
  <c r="AD8" i="18"/>
  <c r="V8" i="18"/>
  <c r="R8" i="18"/>
  <c r="AH5" i="18"/>
  <c r="Z5" i="18"/>
  <c r="AD5" i="18"/>
  <c r="V5" i="18"/>
  <c r="R5" i="18"/>
  <c r="AH44" i="18"/>
  <c r="Z44" i="18"/>
  <c r="R44" i="18"/>
  <c r="AD44" i="18"/>
  <c r="V44" i="18"/>
  <c r="AH46" i="18"/>
  <c r="Z46" i="18"/>
  <c r="R46" i="18"/>
  <c r="AD46" i="18"/>
  <c r="V46" i="18"/>
  <c r="AH9" i="18"/>
  <c r="Z9" i="18"/>
  <c r="R9" i="18"/>
  <c r="AD9" i="18"/>
  <c r="V9" i="18"/>
  <c r="V6" i="18"/>
  <c r="AD6" i="18"/>
  <c r="R6" i="18"/>
  <c r="Z6" i="18"/>
  <c r="AH6" i="18"/>
  <c r="C8" i="6"/>
  <c r="Z16" i="9"/>
  <c r="Z15" i="9"/>
  <c r="Z10" i="9"/>
  <c r="Z7" i="9"/>
  <c r="E4" i="9"/>
  <c r="D22" i="8" l="1"/>
  <c r="L21" i="3" s="1"/>
  <c r="J21" i="3" s="1"/>
  <c r="R21" i="26" s="1"/>
  <c r="X21" i="26" s="1"/>
  <c r="O43" i="13"/>
  <c r="O324" i="32" s="1"/>
  <c r="N13" i="9"/>
  <c r="M16" i="28"/>
  <c r="P7" i="26"/>
  <c r="AQ12" i="3"/>
  <c r="AL12" i="3"/>
  <c r="S43" i="13"/>
  <c r="T324" i="32"/>
  <c r="R43" i="13"/>
  <c r="W43" i="13"/>
  <c r="W41" i="6" s="1"/>
  <c r="T45" i="13"/>
  <c r="T39" i="4" s="1"/>
  <c r="D5" i="4"/>
  <c r="K27" i="7"/>
  <c r="D7" i="4" s="1"/>
  <c r="Q12" i="26"/>
  <c r="N12" i="28" s="1"/>
  <c r="N10" i="28"/>
  <c r="P10" i="26"/>
  <c r="L12" i="26"/>
  <c r="I12" i="28" s="1"/>
  <c r="I10" i="28"/>
  <c r="R323" i="32"/>
  <c r="R45" i="12"/>
  <c r="R38" i="4" s="1"/>
  <c r="S323" i="32"/>
  <c r="S45" i="12"/>
  <c r="S38" i="4" s="1"/>
  <c r="AC43" i="12"/>
  <c r="W323" i="32"/>
  <c r="AA43" i="12"/>
  <c r="V43" i="12"/>
  <c r="X43" i="12"/>
  <c r="X45" i="12" s="1"/>
  <c r="W45" i="12"/>
  <c r="Q6" i="26"/>
  <c r="N6" i="28" s="1"/>
  <c r="AL6" i="3"/>
  <c r="L9" i="26"/>
  <c r="I9" i="28" s="1"/>
  <c r="P324" i="32"/>
  <c r="P326" i="32" s="1"/>
  <c r="P45" i="13"/>
  <c r="P39" i="4" s="1"/>
  <c r="P41" i="4" s="1"/>
  <c r="AQ9" i="3"/>
  <c r="AL9" i="3"/>
  <c r="P4" i="26"/>
  <c r="M7" i="28"/>
  <c r="Q9" i="26"/>
  <c r="N9" i="28" s="1"/>
  <c r="N7" i="28"/>
  <c r="R15" i="13"/>
  <c r="R112" i="32" s="1"/>
  <c r="R111" i="32"/>
  <c r="R26" i="12"/>
  <c r="R15" i="4" s="1"/>
  <c r="Z15" i="13"/>
  <c r="V15" i="13"/>
  <c r="W112" i="32"/>
  <c r="X15" i="13"/>
  <c r="W26" i="13"/>
  <c r="S111" i="32"/>
  <c r="S114" i="32" s="1"/>
  <c r="S26" i="12"/>
  <c r="S15" i="4" s="1"/>
  <c r="S15" i="6"/>
  <c r="V15" i="12"/>
  <c r="U15" i="12" s="1"/>
  <c r="W111" i="32"/>
  <c r="X15" i="12"/>
  <c r="AC15" i="12"/>
  <c r="AA15" i="12"/>
  <c r="W26" i="12"/>
  <c r="W15" i="6"/>
  <c r="X9" i="9"/>
  <c r="AE9" i="9"/>
  <c r="P19" i="26"/>
  <c r="I19" i="28"/>
  <c r="C138" i="32"/>
  <c r="C144" i="32" s="1"/>
  <c r="J25" i="7"/>
  <c r="AR26" i="3"/>
  <c r="AN26" i="3"/>
  <c r="X24" i="9"/>
  <c r="AE24" i="9"/>
  <c r="Z4" i="9"/>
  <c r="AG4" i="9"/>
  <c r="E9" i="9"/>
  <c r="E12" i="9"/>
  <c r="X12" i="9"/>
  <c r="E6" i="9"/>
  <c r="X6" i="9"/>
  <c r="AG14" i="8"/>
  <c r="Y93" i="32" s="1"/>
  <c r="E24" i="9"/>
  <c r="AG24" i="9" s="1"/>
  <c r="F14" i="12"/>
  <c r="F95" i="32" s="1"/>
  <c r="G95" i="32"/>
  <c r="G98" i="32" s="1"/>
  <c r="K98" i="32"/>
  <c r="Z21" i="26"/>
  <c r="Q21" i="28"/>
  <c r="AB21" i="26"/>
  <c r="S21" i="28"/>
  <c r="AC21" i="26"/>
  <c r="AA21" i="26"/>
  <c r="R21" i="28"/>
  <c r="J14" i="12"/>
  <c r="N14" i="12"/>
  <c r="N95" i="32" s="1"/>
  <c r="X19" i="18"/>
  <c r="U8" i="7" s="1"/>
  <c r="W8" i="7"/>
  <c r="P19" i="18"/>
  <c r="M8" i="7" s="1"/>
  <c r="O8" i="7"/>
  <c r="AB19" i="18"/>
  <c r="Y8" i="7" s="1"/>
  <c r="AA8" i="7"/>
  <c r="T19" i="18"/>
  <c r="Q8" i="7" s="1"/>
  <c r="S8" i="7"/>
  <c r="AF19" i="18"/>
  <c r="AC8" i="7" s="1"/>
  <c r="AE8" i="7"/>
  <c r="M4" i="28"/>
  <c r="AH81" i="18"/>
  <c r="AD73" i="18"/>
  <c r="V10" i="18"/>
  <c r="S5" i="7" s="1"/>
  <c r="R10" i="18"/>
  <c r="AH73" i="18"/>
  <c r="AD10" i="18"/>
  <c r="AA5" i="7" s="1"/>
  <c r="Z51" i="18"/>
  <c r="T74" i="18"/>
  <c r="V81" i="18"/>
  <c r="Z73" i="18"/>
  <c r="Z10" i="18"/>
  <c r="W5" i="7" s="1"/>
  <c r="V51" i="18"/>
  <c r="AH51" i="18"/>
  <c r="AH10" i="18"/>
  <c r="AE5" i="7" s="1"/>
  <c r="AD51" i="18"/>
  <c r="AB74" i="18"/>
  <c r="AD81" i="18"/>
  <c r="P74" i="18"/>
  <c r="R81" i="18"/>
  <c r="X74" i="18"/>
  <c r="Z81" i="18"/>
  <c r="V73" i="18"/>
  <c r="E73" i="18"/>
  <c r="D21" i="7" s="1"/>
  <c r="K20" i="3" s="1"/>
  <c r="F73" i="18"/>
  <c r="E21" i="7" s="1"/>
  <c r="P20" i="3" s="1"/>
  <c r="G73" i="18"/>
  <c r="F21" i="7" s="1"/>
  <c r="U20" i="3" s="1"/>
  <c r="H73" i="18"/>
  <c r="G21" i="7" s="1"/>
  <c r="Z20" i="3" s="1"/>
  <c r="I73" i="18"/>
  <c r="H21" i="7" s="1"/>
  <c r="AE20" i="3" s="1"/>
  <c r="P66" i="18"/>
  <c r="AB66" i="18"/>
  <c r="AF66" i="18"/>
  <c r="T66" i="18"/>
  <c r="X66" i="18"/>
  <c r="I19" i="18"/>
  <c r="H8" i="7" s="1"/>
  <c r="L6" i="28"/>
  <c r="M6" i="28" s="1"/>
  <c r="AB78" i="18"/>
  <c r="P78" i="18"/>
  <c r="X80" i="18"/>
  <c r="X79" i="18"/>
  <c r="AF79" i="18"/>
  <c r="P77" i="18"/>
  <c r="P79" i="18"/>
  <c r="G19" i="18"/>
  <c r="F8" i="7" s="1"/>
  <c r="AB80" i="18"/>
  <c r="AF78" i="18"/>
  <c r="F19" i="18"/>
  <c r="E8" i="7" s="1"/>
  <c r="H19" i="18"/>
  <c r="E19" i="18"/>
  <c r="D8" i="7" s="1"/>
  <c r="L9" i="28"/>
  <c r="Y22" i="24"/>
  <c r="S22" i="24"/>
  <c r="S22" i="8" s="1"/>
  <c r="R67" i="18"/>
  <c r="R73" i="18" s="1"/>
  <c r="R50" i="18"/>
  <c r="R51" i="18" s="1"/>
  <c r="T79" i="18"/>
  <c r="P75" i="18"/>
  <c r="T80" i="18"/>
  <c r="AP80" i="18"/>
  <c r="G14" i="6"/>
  <c r="F14" i="13"/>
  <c r="F96" i="32" s="1"/>
  <c r="N14" i="13"/>
  <c r="N96" i="32" s="1"/>
  <c r="J14" i="13"/>
  <c r="J96" i="32" s="1"/>
  <c r="AF80" i="18"/>
  <c r="T78" i="18"/>
  <c r="AC13" i="9"/>
  <c r="C26" i="9"/>
  <c r="C10" i="6"/>
  <c r="C17" i="6"/>
  <c r="G56" i="23"/>
  <c r="F21" i="8" s="1"/>
  <c r="V20" i="3" s="1"/>
  <c r="E56" i="23"/>
  <c r="D21" i="8" s="1"/>
  <c r="L20" i="3" s="1"/>
  <c r="H56" i="23"/>
  <c r="G21" i="8" s="1"/>
  <c r="AA20" i="3" s="1"/>
  <c r="AP74" i="18"/>
  <c r="AP77" i="18"/>
  <c r="I56" i="23"/>
  <c r="H21" i="8" s="1"/>
  <c r="AF20" i="3" s="1"/>
  <c r="F56" i="23"/>
  <c r="E21" i="8" s="1"/>
  <c r="Q20" i="3" s="1"/>
  <c r="AF17" i="18"/>
  <c r="P18" i="18"/>
  <c r="E10" i="18"/>
  <c r="D5" i="7" s="1"/>
  <c r="H10" i="18"/>
  <c r="G5" i="7" s="1"/>
  <c r="I10" i="18"/>
  <c r="H5" i="7" s="1"/>
  <c r="T17" i="18"/>
  <c r="G51" i="18"/>
  <c r="F17" i="7" s="1"/>
  <c r="U16" i="3" s="1"/>
  <c r="T16" i="3" s="1"/>
  <c r="T16" i="26" s="1"/>
  <c r="E51" i="18"/>
  <c r="D17" i="7" s="1"/>
  <c r="K16" i="3" s="1"/>
  <c r="J16" i="3" s="1"/>
  <c r="R16" i="26" s="1"/>
  <c r="H51" i="18"/>
  <c r="G17" i="7" s="1"/>
  <c r="Z16" i="3" s="1"/>
  <c r="Y16" i="3" s="1"/>
  <c r="U16" i="26" s="1"/>
  <c r="X18" i="18"/>
  <c r="AB17" i="18"/>
  <c r="T18" i="18"/>
  <c r="AF18" i="18"/>
  <c r="F10" i="18"/>
  <c r="E5" i="7" s="1"/>
  <c r="G10" i="18"/>
  <c r="F5" i="7" s="1"/>
  <c r="X17" i="18"/>
  <c r="P17" i="18"/>
  <c r="I51" i="18"/>
  <c r="H17" i="7" s="1"/>
  <c r="AE16" i="3" s="1"/>
  <c r="AD16" i="3" s="1"/>
  <c r="V16" i="26" s="1"/>
  <c r="F51" i="18"/>
  <c r="E17" i="7" s="1"/>
  <c r="P16" i="3" s="1"/>
  <c r="O16" i="3" s="1"/>
  <c r="S16" i="26" s="1"/>
  <c r="AB18" i="18"/>
  <c r="O45" i="13" l="1"/>
  <c r="O39" i="4" s="1"/>
  <c r="M9" i="28"/>
  <c r="AC41" i="6"/>
  <c r="X41" i="6"/>
  <c r="W43" i="6"/>
  <c r="AC323" i="32"/>
  <c r="X323" i="32"/>
  <c r="S324" i="32"/>
  <c r="S326" i="32" s="1"/>
  <c r="S45" i="13"/>
  <c r="S39" i="4" s="1"/>
  <c r="S41" i="4" s="1"/>
  <c r="AC45" i="12"/>
  <c r="W38" i="4"/>
  <c r="U43" i="12"/>
  <c r="V323" i="32"/>
  <c r="V45" i="12"/>
  <c r="V38" i="4" s="1"/>
  <c r="S41" i="6"/>
  <c r="S43" i="6" s="1"/>
  <c r="Z43" i="13"/>
  <c r="W324" i="32"/>
  <c r="W326" i="32" s="1"/>
  <c r="V43" i="13"/>
  <c r="V41" i="6" s="1"/>
  <c r="V43" i="6" s="1"/>
  <c r="X43" i="13"/>
  <c r="U43" i="13"/>
  <c r="W45" i="13"/>
  <c r="R324" i="32"/>
  <c r="R45" i="13"/>
  <c r="R39" i="4" s="1"/>
  <c r="AA323" i="32"/>
  <c r="Z43" i="12"/>
  <c r="Y43" i="12" s="1"/>
  <c r="AA45" i="12"/>
  <c r="AA38" i="4" s="1"/>
  <c r="Y21" i="26"/>
  <c r="V21" i="28" s="1"/>
  <c r="AB21" i="28" s="1"/>
  <c r="V112" i="32"/>
  <c r="Z112" i="32" s="1"/>
  <c r="V26" i="13"/>
  <c r="V18" i="4" s="1"/>
  <c r="Z18" i="4" s="1"/>
  <c r="W18" i="4"/>
  <c r="Z26" i="13"/>
  <c r="X26" i="13"/>
  <c r="U111" i="32"/>
  <c r="U26" i="12"/>
  <c r="U15" i="4" s="1"/>
  <c r="AC111" i="32"/>
  <c r="X111" i="32"/>
  <c r="W114" i="32"/>
  <c r="X15" i="6"/>
  <c r="AC15" i="6"/>
  <c r="W26" i="6"/>
  <c r="U15" i="13"/>
  <c r="U15" i="6" s="1"/>
  <c r="U26" i="6" s="1"/>
  <c r="AC26" i="12"/>
  <c r="X26" i="12"/>
  <c r="W15" i="4"/>
  <c r="AA111" i="32"/>
  <c r="Z15" i="12"/>
  <c r="AA26" i="12"/>
  <c r="AA15" i="4" s="1"/>
  <c r="V111" i="32"/>
  <c r="V26" i="12"/>
  <c r="V15" i="4" s="1"/>
  <c r="V15" i="6"/>
  <c r="V26" i="6" s="1"/>
  <c r="AC112" i="32"/>
  <c r="AA112" i="32"/>
  <c r="X112" i="32"/>
  <c r="T5" i="32"/>
  <c r="T7" i="32" s="1"/>
  <c r="N5" i="32"/>
  <c r="N7" i="32" s="1"/>
  <c r="Q5" i="32"/>
  <c r="Q7" i="32" s="1"/>
  <c r="K5" i="32"/>
  <c r="K7" i="32" s="1"/>
  <c r="AE10" i="7"/>
  <c r="T7" i="9"/>
  <c r="T34" i="32"/>
  <c r="T36" i="32" s="1"/>
  <c r="AC10" i="7"/>
  <c r="R34" i="32"/>
  <c r="R36" i="32" s="1"/>
  <c r="S10" i="7"/>
  <c r="K7" i="9"/>
  <c r="K34" i="32"/>
  <c r="K36" i="32" s="1"/>
  <c r="Q10" i="7"/>
  <c r="I34" i="32"/>
  <c r="I36" i="32" s="1"/>
  <c r="AA10" i="7"/>
  <c r="Q7" i="9"/>
  <c r="Q34" i="32"/>
  <c r="Q36" i="32" s="1"/>
  <c r="Y10" i="7"/>
  <c r="O34" i="32"/>
  <c r="O36" i="32" s="1"/>
  <c r="O10" i="7"/>
  <c r="H7" i="9"/>
  <c r="H34" i="32"/>
  <c r="H36" i="32" s="1"/>
  <c r="M10" i="7"/>
  <c r="F34" i="32"/>
  <c r="F36" i="32" s="1"/>
  <c r="W10" i="7"/>
  <c r="N7" i="9"/>
  <c r="N34" i="32"/>
  <c r="N36" i="32" s="1"/>
  <c r="U10" i="7"/>
  <c r="L34" i="32"/>
  <c r="L36" i="32" s="1"/>
  <c r="Z9" i="9"/>
  <c r="AG9" i="9"/>
  <c r="C5" i="4"/>
  <c r="J27" i="7"/>
  <c r="Z12" i="9"/>
  <c r="AG12" i="9"/>
  <c r="K215" i="32"/>
  <c r="J21" i="9"/>
  <c r="Z6" i="9"/>
  <c r="AG6" i="9"/>
  <c r="X26" i="9"/>
  <c r="AE26" i="9"/>
  <c r="E26" i="9"/>
  <c r="Z24" i="9"/>
  <c r="N98" i="32"/>
  <c r="I14" i="12"/>
  <c r="I95" i="32" s="1"/>
  <c r="J95" i="32"/>
  <c r="J98" i="32" s="1"/>
  <c r="F98" i="32"/>
  <c r="Y22" i="8"/>
  <c r="P21" i="9" s="1"/>
  <c r="O21" i="28"/>
  <c r="X21" i="28"/>
  <c r="AD21" i="28" s="1"/>
  <c r="AG21" i="26"/>
  <c r="Z21" i="28"/>
  <c r="AF21" i="28" s="1"/>
  <c r="AI21" i="26"/>
  <c r="Y21" i="28"/>
  <c r="AE21" i="28" s="1"/>
  <c r="AH21" i="26"/>
  <c r="W21" i="28"/>
  <c r="AC21" i="28" s="1"/>
  <c r="AF21" i="26"/>
  <c r="T20" i="3"/>
  <c r="AD20" i="3"/>
  <c r="V20" i="26" s="1"/>
  <c r="Y20" i="3"/>
  <c r="U20" i="26" s="1"/>
  <c r="AB73" i="18"/>
  <c r="Y21" i="7" s="1"/>
  <c r="O199" i="32" s="1"/>
  <c r="AA21" i="7"/>
  <c r="P73" i="18"/>
  <c r="M21" i="7" s="1"/>
  <c r="F199" i="32" s="1"/>
  <c r="O21" i="7"/>
  <c r="X73" i="18"/>
  <c r="U21" i="7" s="1"/>
  <c r="L199" i="32" s="1"/>
  <c r="W21" i="7"/>
  <c r="T73" i="18"/>
  <c r="Q21" i="7" s="1"/>
  <c r="I199" i="32" s="1"/>
  <c r="S21" i="7"/>
  <c r="AF73" i="18"/>
  <c r="AC21" i="7" s="1"/>
  <c r="R199" i="32" s="1"/>
  <c r="AE21" i="7"/>
  <c r="Y16" i="26"/>
  <c r="P16" i="28"/>
  <c r="AB16" i="26"/>
  <c r="S16" i="28"/>
  <c r="AC16" i="26"/>
  <c r="AA16" i="26"/>
  <c r="R16" i="28"/>
  <c r="O16" i="28"/>
  <c r="X16" i="26"/>
  <c r="Z16" i="26"/>
  <c r="Q16" i="28"/>
  <c r="P51" i="18"/>
  <c r="M17" i="7" s="1"/>
  <c r="F138" i="32" s="1"/>
  <c r="O17" i="7"/>
  <c r="X51" i="18"/>
  <c r="U17" i="7" s="1"/>
  <c r="L138" i="32" s="1"/>
  <c r="W17" i="7"/>
  <c r="AF51" i="18"/>
  <c r="AC17" i="7" s="1"/>
  <c r="R138" i="32" s="1"/>
  <c r="AE17" i="7"/>
  <c r="AB51" i="18"/>
  <c r="Y17" i="7" s="1"/>
  <c r="O138" i="32" s="1"/>
  <c r="AA17" i="7"/>
  <c r="T51" i="18"/>
  <c r="Q17" i="7" s="1"/>
  <c r="I138" i="32" s="1"/>
  <c r="S17" i="7"/>
  <c r="P81" i="18"/>
  <c r="M22" i="7" s="1"/>
  <c r="F214" i="32" s="1"/>
  <c r="O22" i="7"/>
  <c r="AB81" i="18"/>
  <c r="Y22" i="7" s="1"/>
  <c r="O214" i="32" s="1"/>
  <c r="AA22" i="7"/>
  <c r="AF81" i="18"/>
  <c r="AC22" i="7" s="1"/>
  <c r="R214" i="32" s="1"/>
  <c r="AE22" i="7"/>
  <c r="X81" i="18"/>
  <c r="U22" i="7" s="1"/>
  <c r="L214" i="32" s="1"/>
  <c r="W22" i="7"/>
  <c r="T81" i="18"/>
  <c r="Q22" i="7" s="1"/>
  <c r="I214" i="32" s="1"/>
  <c r="S22" i="7"/>
  <c r="M14" i="12"/>
  <c r="Q14" i="12"/>
  <c r="Q95" i="32" s="1"/>
  <c r="D10" i="7"/>
  <c r="K7" i="3"/>
  <c r="AE7" i="3"/>
  <c r="AD7" i="3" s="1"/>
  <c r="H10" i="7"/>
  <c r="Y8" i="24"/>
  <c r="Y8" i="8" s="1"/>
  <c r="G8" i="7"/>
  <c r="U7" i="3"/>
  <c r="T7" i="3" s="1"/>
  <c r="F10" i="7"/>
  <c r="E10" i="7"/>
  <c r="P7" i="3"/>
  <c r="E7" i="7"/>
  <c r="P4" i="3"/>
  <c r="H7" i="7"/>
  <c r="AE4" i="3"/>
  <c r="AD4" i="3" s="1"/>
  <c r="F7" i="7"/>
  <c r="U4" i="3"/>
  <c r="T4" i="3" s="1"/>
  <c r="Z4" i="3"/>
  <c r="Y4" i="3" s="1"/>
  <c r="G7" i="7"/>
  <c r="D7" i="7"/>
  <c r="K4" i="3"/>
  <c r="T10" i="18"/>
  <c r="Q5" i="7" s="1"/>
  <c r="AA7" i="7"/>
  <c r="P10" i="18"/>
  <c r="M5" i="7" s="1"/>
  <c r="F5" i="32" s="1"/>
  <c r="F7" i="32" s="1"/>
  <c r="O5" i="7"/>
  <c r="H5" i="32" s="1"/>
  <c r="H7" i="32" s="1"/>
  <c r="S7" i="7"/>
  <c r="AE7" i="7"/>
  <c r="W7" i="7"/>
  <c r="U21" i="28"/>
  <c r="AA21" i="28" s="1"/>
  <c r="H22" i="13" s="1"/>
  <c r="AD21" i="26"/>
  <c r="H22" i="12" s="1"/>
  <c r="AE21" i="26"/>
  <c r="T20" i="26"/>
  <c r="O20" i="3"/>
  <c r="J20" i="3"/>
  <c r="AK27" i="7"/>
  <c r="AR81" i="18"/>
  <c r="AR19" i="18"/>
  <c r="X10" i="18"/>
  <c r="U5" i="7" s="1"/>
  <c r="L5" i="32" s="1"/>
  <c r="L7" i="32" s="1"/>
  <c r="AB10" i="18"/>
  <c r="Y5" i="7" s="1"/>
  <c r="O5" i="32" s="1"/>
  <c r="O7" i="32" s="1"/>
  <c r="AF10" i="18"/>
  <c r="AC5" i="7" s="1"/>
  <c r="R5" i="32" s="1"/>
  <c r="R7" i="32" s="1"/>
  <c r="P8" i="24"/>
  <c r="AP66" i="18"/>
  <c r="AB8" i="24"/>
  <c r="P22" i="24"/>
  <c r="P50" i="18"/>
  <c r="S8" i="24"/>
  <c r="AP79" i="18"/>
  <c r="P67" i="18"/>
  <c r="V8" i="24"/>
  <c r="W22" i="24"/>
  <c r="W22" i="8" s="1"/>
  <c r="O215" i="32" s="1"/>
  <c r="AB22" i="24"/>
  <c r="AB22" i="8" s="1"/>
  <c r="V22" i="24"/>
  <c r="V22" i="8" s="1"/>
  <c r="AP78" i="18"/>
  <c r="I14" i="13"/>
  <c r="I96" i="32" s="1"/>
  <c r="J14" i="6"/>
  <c r="M14" i="13"/>
  <c r="M96" i="32" s="1"/>
  <c r="Q14" i="13"/>
  <c r="Q96" i="32" s="1"/>
  <c r="F14" i="6"/>
  <c r="C16" i="8"/>
  <c r="AK16" i="8" s="1"/>
  <c r="J20" i="8"/>
  <c r="G12" i="3"/>
  <c r="J11" i="8"/>
  <c r="Y21" i="24"/>
  <c r="S5" i="24"/>
  <c r="S5" i="8" s="1"/>
  <c r="Y5" i="24"/>
  <c r="Y5" i="8" s="1"/>
  <c r="V5" i="24"/>
  <c r="V5" i="8" s="1"/>
  <c r="AB5" i="24"/>
  <c r="AB5" i="8" s="1"/>
  <c r="P5" i="8"/>
  <c r="G10" i="24"/>
  <c r="Y10" i="24"/>
  <c r="W10" i="24" s="1"/>
  <c r="S17" i="24"/>
  <c r="S17" i="8" s="1"/>
  <c r="P17" i="24"/>
  <c r="P17" i="8" s="1"/>
  <c r="V17" i="24"/>
  <c r="V17" i="8" s="1"/>
  <c r="AB17" i="24"/>
  <c r="AB17" i="8" s="1"/>
  <c r="Y17" i="24"/>
  <c r="Y17" i="8" s="1"/>
  <c r="P21" i="24"/>
  <c r="AB72" i="18"/>
  <c r="P68" i="18"/>
  <c r="T69" i="18"/>
  <c r="S54" i="23"/>
  <c r="AB54" i="23"/>
  <c r="V49" i="23"/>
  <c r="AB53" i="23"/>
  <c r="V48" i="23"/>
  <c r="P51" i="23"/>
  <c r="Y51" i="23"/>
  <c r="AB70" i="18"/>
  <c r="AF71" i="18"/>
  <c r="X67" i="18"/>
  <c r="P52" i="23"/>
  <c r="Y47" i="23"/>
  <c r="AF72" i="18"/>
  <c r="T72" i="18"/>
  <c r="AB68" i="18"/>
  <c r="AF69" i="18"/>
  <c r="Y54" i="23"/>
  <c r="S49" i="23"/>
  <c r="AB49" i="23"/>
  <c r="S53" i="23"/>
  <c r="AB48" i="23"/>
  <c r="V51" i="23"/>
  <c r="P70" i="18"/>
  <c r="T71" i="18"/>
  <c r="AF67" i="18"/>
  <c r="Y52" i="23"/>
  <c r="S47" i="23"/>
  <c r="AB47" i="23"/>
  <c r="X72" i="18"/>
  <c r="AF68" i="18"/>
  <c r="T68" i="18"/>
  <c r="X69" i="18"/>
  <c r="P54" i="23"/>
  <c r="Y49" i="23"/>
  <c r="P53" i="23"/>
  <c r="Y53" i="23"/>
  <c r="S48" i="23"/>
  <c r="AB51" i="23"/>
  <c r="X70" i="18"/>
  <c r="AB71" i="18"/>
  <c r="P71" i="18"/>
  <c r="T67" i="18"/>
  <c r="S52" i="23"/>
  <c r="AB52" i="23"/>
  <c r="V47" i="23"/>
  <c r="S46" i="23"/>
  <c r="U56" i="23"/>
  <c r="AB46" i="23"/>
  <c r="AD56" i="23"/>
  <c r="P72" i="18"/>
  <c r="X68" i="18"/>
  <c r="AB69" i="18"/>
  <c r="P69" i="18"/>
  <c r="V54" i="23"/>
  <c r="P49" i="23"/>
  <c r="V53" i="23"/>
  <c r="P48" i="23"/>
  <c r="Y48" i="23"/>
  <c r="S51" i="23"/>
  <c r="AF70" i="18"/>
  <c r="T70" i="18"/>
  <c r="X71" i="18"/>
  <c r="AB67" i="18"/>
  <c r="V52" i="23"/>
  <c r="P47" i="23"/>
  <c r="Y46" i="23"/>
  <c r="AA56" i="23"/>
  <c r="P46" i="23"/>
  <c r="R56" i="23"/>
  <c r="P21" i="8" s="1"/>
  <c r="V46" i="23"/>
  <c r="X56" i="23"/>
  <c r="T43" i="18"/>
  <c r="AF8" i="18"/>
  <c r="P8" i="18"/>
  <c r="X5" i="18"/>
  <c r="P44" i="18"/>
  <c r="X46" i="18"/>
  <c r="AB45" i="18"/>
  <c r="P45" i="18"/>
  <c r="P9" i="18"/>
  <c r="AB6" i="18"/>
  <c r="AB43" i="18"/>
  <c r="X8" i="18"/>
  <c r="AB5" i="18"/>
  <c r="AB44" i="18"/>
  <c r="P46" i="18"/>
  <c r="T45" i="18"/>
  <c r="AB9" i="18"/>
  <c r="P6" i="18"/>
  <c r="AF43" i="18"/>
  <c r="AB8" i="18"/>
  <c r="T5" i="18"/>
  <c r="AP18" i="18"/>
  <c r="AF44" i="18"/>
  <c r="T44" i="18"/>
  <c r="AB46" i="18"/>
  <c r="AF45" i="18"/>
  <c r="AF9" i="18"/>
  <c r="T9" i="18"/>
  <c r="X6" i="18"/>
  <c r="P43" i="18"/>
  <c r="X43" i="18"/>
  <c r="T8" i="18"/>
  <c r="AF5" i="18"/>
  <c r="P5" i="18"/>
  <c r="X44" i="18"/>
  <c r="AF46" i="18"/>
  <c r="T46" i="18"/>
  <c r="X45" i="18"/>
  <c r="AP17" i="18"/>
  <c r="X9" i="18"/>
  <c r="T6" i="18"/>
  <c r="AF6" i="18"/>
  <c r="Z45" i="13" l="1"/>
  <c r="X45" i="13"/>
  <c r="W39" i="4"/>
  <c r="U324" i="32"/>
  <c r="Y324" i="32" s="1"/>
  <c r="U45" i="13"/>
  <c r="U39" i="4" s="1"/>
  <c r="Y39" i="4" s="1"/>
  <c r="AC326" i="32"/>
  <c r="X326" i="32"/>
  <c r="U323" i="32"/>
  <c r="U41" i="6"/>
  <c r="U43" i="6" s="1"/>
  <c r="U45" i="12"/>
  <c r="U38" i="4" s="1"/>
  <c r="U41" i="4" s="1"/>
  <c r="Y323" i="32"/>
  <c r="Y45" i="12"/>
  <c r="Y38" i="4" s="1"/>
  <c r="V324" i="32"/>
  <c r="Z324" i="32" s="1"/>
  <c r="V45" i="13"/>
  <c r="V39" i="4" s="1"/>
  <c r="Z39" i="4" s="1"/>
  <c r="X38" i="4"/>
  <c r="AC38" i="4"/>
  <c r="AC43" i="6"/>
  <c r="X43" i="6"/>
  <c r="V114" i="32"/>
  <c r="Z323" i="32"/>
  <c r="Z41" i="6"/>
  <c r="Z43" i="6" s="1"/>
  <c r="Z45" i="12"/>
  <c r="Z38" i="4" s="1"/>
  <c r="AC324" i="32"/>
  <c r="AA324" i="32"/>
  <c r="AA326" i="32" s="1"/>
  <c r="X324" i="32"/>
  <c r="V24" i="4"/>
  <c r="AA114" i="32"/>
  <c r="Z111" i="32"/>
  <c r="Z15" i="6"/>
  <c r="Z26" i="12"/>
  <c r="Z15" i="4" s="1"/>
  <c r="U112" i="32"/>
  <c r="Y112" i="32" s="1"/>
  <c r="U26" i="13"/>
  <c r="U18" i="4" s="1"/>
  <c r="Y18" i="4" s="1"/>
  <c r="AC114" i="32"/>
  <c r="X114" i="32"/>
  <c r="AC18" i="4"/>
  <c r="X18" i="4"/>
  <c r="AA18" i="4"/>
  <c r="AC15" i="4"/>
  <c r="X15" i="4"/>
  <c r="W24" i="4"/>
  <c r="X26" i="6"/>
  <c r="AC26" i="6"/>
  <c r="Y15" i="12"/>
  <c r="Z114" i="32"/>
  <c r="Q7" i="7"/>
  <c r="I5" i="32"/>
  <c r="I7" i="32" s="1"/>
  <c r="K21" i="9"/>
  <c r="Q21" i="9"/>
  <c r="K138" i="32"/>
  <c r="Q138" i="32"/>
  <c r="T138" i="32"/>
  <c r="N138" i="32"/>
  <c r="H138" i="32"/>
  <c r="T199" i="32"/>
  <c r="K199" i="32"/>
  <c r="N199" i="32"/>
  <c r="H199" i="32"/>
  <c r="Q199" i="32"/>
  <c r="H200" i="32"/>
  <c r="G20" i="9"/>
  <c r="Q139" i="32"/>
  <c r="P16" i="9"/>
  <c r="N215" i="32"/>
  <c r="M21" i="9"/>
  <c r="T139" i="32"/>
  <c r="S16" i="9"/>
  <c r="T215" i="32"/>
  <c r="S21" i="9"/>
  <c r="N139" i="32"/>
  <c r="M16" i="9"/>
  <c r="H139" i="32"/>
  <c r="G16" i="9"/>
  <c r="K139" i="32"/>
  <c r="J16" i="9"/>
  <c r="AE9" i="3"/>
  <c r="Z26" i="9"/>
  <c r="AG26" i="9"/>
  <c r="G22" i="13"/>
  <c r="G218" i="32" s="1"/>
  <c r="H218" i="32"/>
  <c r="AO12" i="3"/>
  <c r="AS12" i="3"/>
  <c r="Q215" i="32"/>
  <c r="Q98" i="32"/>
  <c r="G22" i="12"/>
  <c r="H217" i="32"/>
  <c r="L14" i="12"/>
  <c r="L95" i="32" s="1"/>
  <c r="M95" i="32"/>
  <c r="M98" i="32" s="1"/>
  <c r="I98" i="32"/>
  <c r="P22" i="8"/>
  <c r="G21" i="9" s="1"/>
  <c r="Y21" i="8"/>
  <c r="J16" i="8"/>
  <c r="G15" i="3"/>
  <c r="AB10" i="24"/>
  <c r="Z10" i="24" s="1"/>
  <c r="AB8" i="8"/>
  <c r="P10" i="24"/>
  <c r="N10" i="24" s="1"/>
  <c r="P8" i="8"/>
  <c r="V10" i="24"/>
  <c r="T10" i="24" s="1"/>
  <c r="V8" i="8"/>
  <c r="S10" i="24"/>
  <c r="Q10" i="24" s="1"/>
  <c r="S8" i="8"/>
  <c r="K22" i="13"/>
  <c r="N22" i="13" s="1"/>
  <c r="K22" i="12"/>
  <c r="N22" i="12" s="1"/>
  <c r="N217" i="32" s="1"/>
  <c r="X16" i="28"/>
  <c r="AD16" i="28" s="1"/>
  <c r="AG16" i="26"/>
  <c r="Z16" i="28"/>
  <c r="AF16" i="28" s="1"/>
  <c r="AI16" i="26"/>
  <c r="Y16" i="28"/>
  <c r="AE16" i="28" s="1"/>
  <c r="AH16" i="26"/>
  <c r="W16" i="28"/>
  <c r="AC16" i="28" s="1"/>
  <c r="AF16" i="26"/>
  <c r="U16" i="28"/>
  <c r="AA16" i="28" s="1"/>
  <c r="H17" i="13" s="1"/>
  <c r="AD16" i="26"/>
  <c r="H17" i="12" s="1"/>
  <c r="H141" i="32" s="1"/>
  <c r="V16" i="28"/>
  <c r="AB16" i="28" s="1"/>
  <c r="AE16" i="26"/>
  <c r="AP81" i="18"/>
  <c r="AL22" i="7" s="1"/>
  <c r="Y214" i="32" s="1"/>
  <c r="AN22" i="7"/>
  <c r="T14" i="12"/>
  <c r="T95" i="32" s="1"/>
  <c r="P14" i="12"/>
  <c r="T9" i="3"/>
  <c r="T7" i="26"/>
  <c r="G10" i="7"/>
  <c r="Z7" i="3"/>
  <c r="AD9" i="3"/>
  <c r="V7" i="26"/>
  <c r="O7" i="3"/>
  <c r="P9" i="3"/>
  <c r="J7" i="3"/>
  <c r="K9" i="3"/>
  <c r="U9" i="3"/>
  <c r="AP19" i="18"/>
  <c r="AL8" i="7" s="1"/>
  <c r="AN8" i="7"/>
  <c r="AD6" i="3"/>
  <c r="AC6" i="3" s="1"/>
  <c r="AC26" i="3" s="1"/>
  <c r="V4" i="26"/>
  <c r="J4" i="3"/>
  <c r="K6" i="3"/>
  <c r="P6" i="3"/>
  <c r="O4" i="3"/>
  <c r="T4" i="26"/>
  <c r="T6" i="3"/>
  <c r="S6" i="3" s="1"/>
  <c r="S26" i="3" s="1"/>
  <c r="Y6" i="3"/>
  <c r="X6" i="3" s="1"/>
  <c r="X26" i="3" s="1"/>
  <c r="U4" i="26"/>
  <c r="U7" i="7"/>
  <c r="O7" i="7"/>
  <c r="M7" i="7"/>
  <c r="Y7" i="7"/>
  <c r="AC7" i="7"/>
  <c r="S20" i="28"/>
  <c r="AC20" i="26"/>
  <c r="AB20" i="26"/>
  <c r="R20" i="28"/>
  <c r="AA20" i="26"/>
  <c r="Q20" i="28"/>
  <c r="S20" i="26"/>
  <c r="R20" i="26"/>
  <c r="AR73" i="18"/>
  <c r="AR51" i="18"/>
  <c r="C25" i="8"/>
  <c r="AR10" i="18"/>
  <c r="AN5" i="7" s="1"/>
  <c r="O24" i="26"/>
  <c r="AE6" i="3"/>
  <c r="D10" i="24"/>
  <c r="H10" i="8"/>
  <c r="H10" i="24"/>
  <c r="N22" i="24"/>
  <c r="N22" i="8" s="1"/>
  <c r="F215" i="32" s="1"/>
  <c r="T22" i="24"/>
  <c r="T22" i="8" s="1"/>
  <c r="L215" i="32" s="1"/>
  <c r="F10" i="24"/>
  <c r="E10" i="24"/>
  <c r="Z64" i="18"/>
  <c r="R64" i="18"/>
  <c r="V64" i="18"/>
  <c r="AD41" i="18"/>
  <c r="V41" i="18"/>
  <c r="AH41" i="18"/>
  <c r="Z41" i="18"/>
  <c r="R41" i="18"/>
  <c r="U6" i="3"/>
  <c r="Z6" i="3"/>
  <c r="AB21" i="24"/>
  <c r="AB21" i="8" s="1"/>
  <c r="V21" i="24"/>
  <c r="V21" i="8" s="1"/>
  <c r="S21" i="24"/>
  <c r="Q21" i="24" s="1"/>
  <c r="Q22" i="24"/>
  <c r="Q22" i="8" s="1"/>
  <c r="I215" i="32" s="1"/>
  <c r="AB21" i="9"/>
  <c r="Z22" i="24"/>
  <c r="Z22" i="8" s="1"/>
  <c r="R215" i="32" s="1"/>
  <c r="AA42" i="23"/>
  <c r="U42" i="23"/>
  <c r="X42" i="23"/>
  <c r="AD42" i="23"/>
  <c r="AD60" i="18"/>
  <c r="R60" i="18"/>
  <c r="V60" i="18"/>
  <c r="Z60" i="18"/>
  <c r="Z40" i="18"/>
  <c r="AD40" i="18"/>
  <c r="AH40" i="18"/>
  <c r="R40" i="18"/>
  <c r="V40" i="18"/>
  <c r="C13" i="8"/>
  <c r="M14" i="6"/>
  <c r="L14" i="13"/>
  <c r="L96" i="32" s="1"/>
  <c r="AH62" i="18"/>
  <c r="V62" i="18"/>
  <c r="Z62" i="18"/>
  <c r="AD62" i="18"/>
  <c r="R62" i="18"/>
  <c r="L19" i="28"/>
  <c r="M19" i="28" s="1"/>
  <c r="AH34" i="18"/>
  <c r="Z34" i="18"/>
  <c r="AD34" i="18"/>
  <c r="R34" i="18"/>
  <c r="V34" i="18"/>
  <c r="AD35" i="18"/>
  <c r="R35" i="18"/>
  <c r="V35" i="18"/>
  <c r="Z35" i="18"/>
  <c r="AH35" i="18"/>
  <c r="L15" i="28"/>
  <c r="Z20" i="18"/>
  <c r="Z21" i="18" s="1"/>
  <c r="W11" i="7" s="1"/>
  <c r="V20" i="18"/>
  <c r="V21" i="18" s="1"/>
  <c r="S11" i="7" s="1"/>
  <c r="R20" i="18"/>
  <c r="R21" i="18" s="1"/>
  <c r="O11" i="7" s="1"/>
  <c r="L10" i="28"/>
  <c r="M10" i="28" s="1"/>
  <c r="T14" i="13"/>
  <c r="T96" i="32" s="1"/>
  <c r="P14" i="13"/>
  <c r="P96" i="32" s="1"/>
  <c r="I14" i="6"/>
  <c r="Z8" i="24"/>
  <c r="Z8" i="8" s="1"/>
  <c r="AJ10" i="24"/>
  <c r="AH10" i="24" s="1"/>
  <c r="Q8" i="24"/>
  <c r="Q8" i="8" s="1"/>
  <c r="G10" i="8"/>
  <c r="W8" i="24"/>
  <c r="W8" i="8" s="1"/>
  <c r="T8" i="24"/>
  <c r="T8" i="8" s="1"/>
  <c r="N8" i="24"/>
  <c r="N8" i="8" s="1"/>
  <c r="P7" i="24"/>
  <c r="N7" i="24" s="1"/>
  <c r="D7" i="24"/>
  <c r="AB7" i="24"/>
  <c r="Z7" i="24" s="1"/>
  <c r="H7" i="24"/>
  <c r="V7" i="24"/>
  <c r="T7" i="24" s="1"/>
  <c r="F7" i="24"/>
  <c r="Y7" i="24"/>
  <c r="W7" i="24" s="1"/>
  <c r="G7" i="24"/>
  <c r="S7" i="24"/>
  <c r="Q7" i="24" s="1"/>
  <c r="E7" i="24"/>
  <c r="W21" i="24"/>
  <c r="O9" i="9"/>
  <c r="L9" i="9"/>
  <c r="R9" i="9"/>
  <c r="I9" i="9"/>
  <c r="V56" i="23"/>
  <c r="P56" i="23"/>
  <c r="Y56" i="23"/>
  <c r="W21" i="8" s="1"/>
  <c r="O200" i="32" s="1"/>
  <c r="AP70" i="18"/>
  <c r="AJ46" i="23"/>
  <c r="AJ51" i="23"/>
  <c r="AP68" i="18"/>
  <c r="AP71" i="18"/>
  <c r="AI21" i="8"/>
  <c r="AA200" i="32" s="1"/>
  <c r="AB56" i="23"/>
  <c r="S56" i="23"/>
  <c r="AJ52" i="23"/>
  <c r="AJ47" i="23"/>
  <c r="AP67" i="18"/>
  <c r="AJ48" i="23"/>
  <c r="AJ49" i="23"/>
  <c r="AP69" i="18"/>
  <c r="AP72" i="18"/>
  <c r="AJ53" i="23"/>
  <c r="AJ54" i="23"/>
  <c r="AP46" i="18"/>
  <c r="AP9" i="18"/>
  <c r="AP45" i="18"/>
  <c r="AP44" i="18"/>
  <c r="AP43" i="18"/>
  <c r="AP8" i="18"/>
  <c r="AP6" i="18"/>
  <c r="AP5" i="18"/>
  <c r="U326" i="32" l="1"/>
  <c r="K16" i="9"/>
  <c r="U114" i="32"/>
  <c r="Z326" i="32"/>
  <c r="Z41" i="4"/>
  <c r="T16" i="9"/>
  <c r="V326" i="32"/>
  <c r="W41" i="4"/>
  <c r="X39" i="4"/>
  <c r="AC39" i="4"/>
  <c r="AA39" i="4"/>
  <c r="T21" i="9"/>
  <c r="V41" i="4"/>
  <c r="H21" i="9"/>
  <c r="U24" i="4"/>
  <c r="G22" i="6"/>
  <c r="H16" i="9"/>
  <c r="N21" i="9"/>
  <c r="Y111" i="32"/>
  <c r="Y26" i="12"/>
  <c r="Y15" i="4" s="1"/>
  <c r="AC24" i="4"/>
  <c r="X24" i="4"/>
  <c r="H20" i="9"/>
  <c r="N16" i="9"/>
  <c r="Q16" i="9"/>
  <c r="O13" i="7"/>
  <c r="H10" i="9"/>
  <c r="H63" i="32"/>
  <c r="H65" i="32" s="1"/>
  <c r="K10" i="9"/>
  <c r="K63" i="32"/>
  <c r="K65" i="32" s="1"/>
  <c r="N10" i="9"/>
  <c r="N63" i="32"/>
  <c r="N65" i="32" s="1"/>
  <c r="AA5" i="32"/>
  <c r="AA7" i="32" s="1"/>
  <c r="AN10" i="7"/>
  <c r="AA9" i="9" s="1"/>
  <c r="AA34" i="32"/>
  <c r="AA36" i="32" s="1"/>
  <c r="AL10" i="7"/>
  <c r="Y34" i="32"/>
  <c r="Y36" i="32" s="1"/>
  <c r="AC21" i="9"/>
  <c r="F22" i="13"/>
  <c r="F218" i="32" s="1"/>
  <c r="T200" i="32"/>
  <c r="S20" i="9"/>
  <c r="T20" i="9" s="1"/>
  <c r="Q200" i="32"/>
  <c r="P20" i="9"/>
  <c r="Q20" i="9" s="1"/>
  <c r="N200" i="32"/>
  <c r="M20" i="9"/>
  <c r="N20" i="9" s="1"/>
  <c r="K17" i="12"/>
  <c r="K141" i="32" s="1"/>
  <c r="G17" i="12"/>
  <c r="G141" i="32" s="1"/>
  <c r="F17" i="13"/>
  <c r="F142" i="32" s="1"/>
  <c r="H142" i="32"/>
  <c r="AS15" i="3"/>
  <c r="AO15" i="3"/>
  <c r="J13" i="8"/>
  <c r="AK13" i="8"/>
  <c r="H215" i="32"/>
  <c r="H220" i="32" s="1"/>
  <c r="J25" i="8"/>
  <c r="AK25" i="8"/>
  <c r="J22" i="12"/>
  <c r="K217" i="32"/>
  <c r="Q22" i="13"/>
  <c r="Q218" i="32" s="1"/>
  <c r="N218" i="32"/>
  <c r="N220" i="32" s="1"/>
  <c r="J22" i="13"/>
  <c r="J218" i="32" s="1"/>
  <c r="K218" i="32"/>
  <c r="F22" i="12"/>
  <c r="F217" i="32" s="1"/>
  <c r="G217" i="32"/>
  <c r="G220" i="32" s="1"/>
  <c r="O14" i="12"/>
  <c r="O95" i="32" s="1"/>
  <c r="P95" i="32"/>
  <c r="P98" i="32" s="1"/>
  <c r="T98" i="32"/>
  <c r="L98" i="32"/>
  <c r="M22" i="13"/>
  <c r="M218" i="32" s="1"/>
  <c r="Q21" i="8"/>
  <c r="I200" i="32" s="1"/>
  <c r="S21" i="8"/>
  <c r="E15" i="3"/>
  <c r="AQ15" i="3" s="1"/>
  <c r="G24" i="3"/>
  <c r="AP73" i="18"/>
  <c r="AL21" i="7" s="1"/>
  <c r="Y199" i="32" s="1"/>
  <c r="AN21" i="7"/>
  <c r="AA199" i="32" s="1"/>
  <c r="K17" i="13"/>
  <c r="AP51" i="18"/>
  <c r="AL17" i="7" s="1"/>
  <c r="Y138" i="32" s="1"/>
  <c r="AN17" i="7"/>
  <c r="AA138" i="32" s="1"/>
  <c r="W14" i="12"/>
  <c r="S14" i="12"/>
  <c r="W14" i="13"/>
  <c r="S13" i="7"/>
  <c r="W13" i="7"/>
  <c r="O9" i="3"/>
  <c r="S7" i="26"/>
  <c r="Z7" i="26" s="1"/>
  <c r="S7" i="28"/>
  <c r="V9" i="26"/>
  <c r="S9" i="28" s="1"/>
  <c r="AC7" i="26"/>
  <c r="Y7" i="3"/>
  <c r="Z9" i="3"/>
  <c r="R7" i="26"/>
  <c r="J9" i="3"/>
  <c r="T9" i="26"/>
  <c r="Q9" i="28" s="1"/>
  <c r="Q7" i="28"/>
  <c r="R4" i="26"/>
  <c r="J6" i="3"/>
  <c r="U6" i="26"/>
  <c r="R6" i="28" s="1"/>
  <c r="AA4" i="26"/>
  <c r="R4" i="28"/>
  <c r="S4" i="28"/>
  <c r="V6" i="26"/>
  <c r="S6" i="28" s="1"/>
  <c r="AB4" i="26"/>
  <c r="AC4" i="26"/>
  <c r="T6" i="26"/>
  <c r="Q6" i="28" s="1"/>
  <c r="Q4" i="28"/>
  <c r="S4" i="26"/>
  <c r="Z4" i="26" s="1"/>
  <c r="O6" i="3"/>
  <c r="N6" i="3" s="1"/>
  <c r="N26" i="3" s="1"/>
  <c r="AN7" i="7"/>
  <c r="Z20" i="28"/>
  <c r="AF20" i="28" s="1"/>
  <c r="AI20" i="26"/>
  <c r="Y20" i="28"/>
  <c r="AE20" i="28" s="1"/>
  <c r="AH20" i="26"/>
  <c r="X20" i="28"/>
  <c r="AD20" i="28" s="1"/>
  <c r="AG20" i="26"/>
  <c r="Z20" i="26"/>
  <c r="P20" i="28"/>
  <c r="Y20" i="26"/>
  <c r="X20" i="26"/>
  <c r="O20" i="28"/>
  <c r="V42" i="18"/>
  <c r="R65" i="18"/>
  <c r="AH42" i="18"/>
  <c r="AD42" i="18"/>
  <c r="Z65" i="18"/>
  <c r="P21" i="18"/>
  <c r="M11" i="7" s="1"/>
  <c r="F63" i="32" s="1"/>
  <c r="F65" i="32" s="1"/>
  <c r="Z42" i="18"/>
  <c r="AH65" i="18"/>
  <c r="V65" i="18"/>
  <c r="T21" i="18"/>
  <c r="X21" i="18"/>
  <c r="U11" i="7" s="1"/>
  <c r="L63" i="32" s="1"/>
  <c r="L65" i="32" s="1"/>
  <c r="AD65" i="18"/>
  <c r="R42" i="18"/>
  <c r="AP10" i="18"/>
  <c r="AL5" i="7" s="1"/>
  <c r="Y5" i="32" s="1"/>
  <c r="Y7" i="32" s="1"/>
  <c r="D10" i="8"/>
  <c r="E10" i="8"/>
  <c r="AD20" i="18"/>
  <c r="F10" i="8"/>
  <c r="M22" i="12"/>
  <c r="Q22" i="12"/>
  <c r="Q217" i="32" s="1"/>
  <c r="AH22" i="24"/>
  <c r="AG22" i="8" s="1"/>
  <c r="Y215" i="32" s="1"/>
  <c r="H21" i="18"/>
  <c r="G11" i="7" s="1"/>
  <c r="AH20" i="18"/>
  <c r="AH21" i="18" s="1"/>
  <c r="AE11" i="7" s="1"/>
  <c r="I21" i="18"/>
  <c r="H11" i="7" s="1"/>
  <c r="O14" i="13"/>
  <c r="O96" i="32" s="1"/>
  <c r="P14" i="6"/>
  <c r="S14" i="13"/>
  <c r="S96" i="32" s="1"/>
  <c r="F21" i="18"/>
  <c r="E11" i="7" s="1"/>
  <c r="G21" i="18"/>
  <c r="F11" i="7" s="1"/>
  <c r="E42" i="18"/>
  <c r="D16" i="7" s="1"/>
  <c r="G42" i="18"/>
  <c r="F16" i="7" s="1"/>
  <c r="L12" i="28"/>
  <c r="M12" i="28" s="1"/>
  <c r="G65" i="18"/>
  <c r="F20" i="7" s="1"/>
  <c r="U19" i="3" s="1"/>
  <c r="E65" i="18"/>
  <c r="D20" i="7" s="1"/>
  <c r="K19" i="3" s="1"/>
  <c r="E21" i="18"/>
  <c r="D11" i="7" s="1"/>
  <c r="F42" i="18"/>
  <c r="E16" i="7" s="1"/>
  <c r="H42" i="18"/>
  <c r="G16" i="7" s="1"/>
  <c r="I42" i="18"/>
  <c r="H16" i="7" s="1"/>
  <c r="I65" i="18"/>
  <c r="H20" i="7" s="1"/>
  <c r="AE19" i="3" s="1"/>
  <c r="L14" i="6"/>
  <c r="F65" i="18"/>
  <c r="E20" i="7" s="1"/>
  <c r="P19" i="3" s="1"/>
  <c r="H65" i="18"/>
  <c r="G20" i="7" s="1"/>
  <c r="Z19" i="3" s="1"/>
  <c r="T21" i="24"/>
  <c r="T21" i="8" s="1"/>
  <c r="L200" i="32" s="1"/>
  <c r="E7" i="8"/>
  <c r="W5" i="24"/>
  <c r="W5" i="8" s="1"/>
  <c r="F7" i="8"/>
  <c r="Z5" i="24"/>
  <c r="Z5" i="8" s="1"/>
  <c r="D7" i="8"/>
  <c r="Y10" i="8"/>
  <c r="AA9" i="3"/>
  <c r="S10" i="8"/>
  <c r="AB10" i="8"/>
  <c r="S9" i="9" s="1"/>
  <c r="Q5" i="24"/>
  <c r="Q5" i="8" s="1"/>
  <c r="G7" i="8"/>
  <c r="T5" i="24"/>
  <c r="T5" i="8" s="1"/>
  <c r="H7" i="8"/>
  <c r="N5" i="24"/>
  <c r="N5" i="8" s="1"/>
  <c r="P10" i="8"/>
  <c r="V10" i="8"/>
  <c r="AB7" i="9"/>
  <c r="AH8" i="24"/>
  <c r="AG8" i="8" s="1"/>
  <c r="Q17" i="24"/>
  <c r="Q17" i="8" s="1"/>
  <c r="I139" i="32" s="1"/>
  <c r="Z21" i="24"/>
  <c r="Z21" i="8" s="1"/>
  <c r="R200" i="32" s="1"/>
  <c r="N17" i="24"/>
  <c r="N17" i="8" s="1"/>
  <c r="F139" i="32" s="1"/>
  <c r="T17" i="24"/>
  <c r="T17" i="8" s="1"/>
  <c r="L139" i="32" s="1"/>
  <c r="Z17" i="24"/>
  <c r="Z17" i="8" s="1"/>
  <c r="R139" i="32" s="1"/>
  <c r="W17" i="24"/>
  <c r="W17" i="8" s="1"/>
  <c r="O139" i="32" s="1"/>
  <c r="N21" i="24"/>
  <c r="N21" i="8" s="1"/>
  <c r="F200" i="32" s="1"/>
  <c r="L6" i="9"/>
  <c r="O6" i="9"/>
  <c r="I6" i="9"/>
  <c r="R6" i="9"/>
  <c r="AJ56" i="23"/>
  <c r="F220" i="32" l="1"/>
  <c r="K10" i="3"/>
  <c r="D13" i="7"/>
  <c r="Z10" i="3"/>
  <c r="Y10" i="3" s="1"/>
  <c r="G13" i="7"/>
  <c r="X41" i="4"/>
  <c r="AC41" i="4"/>
  <c r="U10" i="3"/>
  <c r="T10" i="3" s="1"/>
  <c r="F13" i="7"/>
  <c r="AE10" i="3"/>
  <c r="AD10" i="3" s="1"/>
  <c r="H13" i="7"/>
  <c r="P10" i="3"/>
  <c r="E13" i="7"/>
  <c r="T22" i="13"/>
  <c r="T218" i="32" s="1"/>
  <c r="N17" i="12"/>
  <c r="N141" i="32" s="1"/>
  <c r="T10" i="9"/>
  <c r="T63" i="32"/>
  <c r="T65" i="32" s="1"/>
  <c r="E72" i="23"/>
  <c r="D20" i="8"/>
  <c r="L19" i="3" s="1"/>
  <c r="L24" i="3" s="1"/>
  <c r="L26" i="3" s="1"/>
  <c r="G72" i="23"/>
  <c r="F20" i="8"/>
  <c r="V19" i="3" s="1"/>
  <c r="T19" i="3" s="1"/>
  <c r="T19" i="26" s="1"/>
  <c r="Q19" i="28" s="1"/>
  <c r="H72" i="23"/>
  <c r="G20" i="8"/>
  <c r="AA19" i="3" s="1"/>
  <c r="Y19" i="3" s="1"/>
  <c r="U19" i="26" s="1"/>
  <c r="R19" i="28" s="1"/>
  <c r="F72" i="23"/>
  <c r="E20" i="8"/>
  <c r="Q19" i="3" s="1"/>
  <c r="I72" i="23"/>
  <c r="H20" i="8"/>
  <c r="AF19" i="3" s="1"/>
  <c r="AD19" i="3" s="1"/>
  <c r="V19" i="26" s="1"/>
  <c r="AC19" i="26" s="1"/>
  <c r="J17" i="12"/>
  <c r="J141" i="32" s="1"/>
  <c r="J22" i="6"/>
  <c r="I22" i="13"/>
  <c r="I218" i="32" s="1"/>
  <c r="K200" i="32"/>
  <c r="J20" i="9"/>
  <c r="K20" i="9" s="1"/>
  <c r="F17" i="12"/>
  <c r="F141" i="32" s="1"/>
  <c r="G17" i="6"/>
  <c r="N17" i="13"/>
  <c r="N142" i="32" s="1"/>
  <c r="K142" i="32"/>
  <c r="W95" i="32"/>
  <c r="AC95" i="32" s="1"/>
  <c r="AC14" i="12"/>
  <c r="F22" i="6"/>
  <c r="L22" i="13"/>
  <c r="L218" i="32" s="1"/>
  <c r="W96" i="32"/>
  <c r="AC96" i="32" s="1"/>
  <c r="Z14" i="13"/>
  <c r="P22" i="13"/>
  <c r="P218" i="32" s="1"/>
  <c r="Q220" i="32"/>
  <c r="L22" i="12"/>
  <c r="L217" i="32" s="1"/>
  <c r="M217" i="32"/>
  <c r="M220" i="32" s="1"/>
  <c r="K220" i="32"/>
  <c r="J217" i="32"/>
  <c r="J220" i="32" s="1"/>
  <c r="I22" i="12"/>
  <c r="I217" i="32" s="1"/>
  <c r="AO24" i="3"/>
  <c r="AS24" i="3"/>
  <c r="R14" i="12"/>
  <c r="R95" i="32" s="1"/>
  <c r="S95" i="32"/>
  <c r="S98" i="32" s="1"/>
  <c r="O98" i="32"/>
  <c r="I17" i="13"/>
  <c r="I142" i="32" s="1"/>
  <c r="L15" i="26"/>
  <c r="Q15" i="26"/>
  <c r="AL15" i="3"/>
  <c r="E24" i="3"/>
  <c r="AQ24" i="3" s="1"/>
  <c r="T65" i="18"/>
  <c r="Q20" i="7" s="1"/>
  <c r="I183" i="32" s="1"/>
  <c r="S20" i="7"/>
  <c r="AF65" i="18"/>
  <c r="AC20" i="7" s="1"/>
  <c r="R183" i="32" s="1"/>
  <c r="AE20" i="7"/>
  <c r="P65" i="18"/>
  <c r="M20" i="7" s="1"/>
  <c r="F183" i="32" s="1"/>
  <c r="O20" i="7"/>
  <c r="X65" i="18"/>
  <c r="U20" i="7" s="1"/>
  <c r="L183" i="32" s="1"/>
  <c r="W20" i="7"/>
  <c r="AB65" i="18"/>
  <c r="Y20" i="7" s="1"/>
  <c r="O183" i="32" s="1"/>
  <c r="AA20" i="7"/>
  <c r="AE15" i="3"/>
  <c r="AD15" i="3" s="1"/>
  <c r="H25" i="7"/>
  <c r="H27" i="7" s="1"/>
  <c r="P15" i="3"/>
  <c r="E25" i="7"/>
  <c r="E27" i="7" s="1"/>
  <c r="U15" i="3"/>
  <c r="T15" i="3" s="1"/>
  <c r="F25" i="7"/>
  <c r="F27" i="7" s="1"/>
  <c r="Z15" i="3"/>
  <c r="Y15" i="3" s="1"/>
  <c r="U15" i="26" s="1"/>
  <c r="G25" i="7"/>
  <c r="G27" i="7" s="1"/>
  <c r="K15" i="3"/>
  <c r="D25" i="7"/>
  <c r="D27" i="7" s="1"/>
  <c r="AB42" i="18"/>
  <c r="Y16" i="7" s="1"/>
  <c r="O123" i="32" s="1"/>
  <c r="AA16" i="7"/>
  <c r="AF42" i="18"/>
  <c r="AC16" i="7" s="1"/>
  <c r="R123" i="32" s="1"/>
  <c r="AE16" i="7"/>
  <c r="T42" i="18"/>
  <c r="Q16" i="7" s="1"/>
  <c r="I123" i="32" s="1"/>
  <c r="S16" i="7"/>
  <c r="X42" i="18"/>
  <c r="U16" i="7" s="1"/>
  <c r="L123" i="32" s="1"/>
  <c r="W16" i="7"/>
  <c r="P42" i="18"/>
  <c r="M16" i="7" s="1"/>
  <c r="O16" i="7"/>
  <c r="AA14" i="12"/>
  <c r="AA95" i="32" s="1"/>
  <c r="V14" i="12"/>
  <c r="X14" i="12"/>
  <c r="V14" i="13"/>
  <c r="V96" i="32" s="1"/>
  <c r="Z96" i="32" s="1"/>
  <c r="X14" i="13"/>
  <c r="Q11" i="7"/>
  <c r="I63" i="32" s="1"/>
  <c r="I65" i="32" s="1"/>
  <c r="U13" i="7"/>
  <c r="AE13" i="7"/>
  <c r="M13" i="7"/>
  <c r="U7" i="26"/>
  <c r="Y9" i="3"/>
  <c r="Z7" i="28"/>
  <c r="AF7" i="28" s="1"/>
  <c r="AF9" i="28" s="1"/>
  <c r="AC9" i="26"/>
  <c r="Z9" i="28" s="1"/>
  <c r="AI7" i="26"/>
  <c r="AI9" i="26" s="1"/>
  <c r="Z9" i="26"/>
  <c r="W9" i="28" s="1"/>
  <c r="W7" i="28"/>
  <c r="AC7" i="28" s="1"/>
  <c r="AC9" i="28" s="1"/>
  <c r="AF7" i="26"/>
  <c r="AF9" i="26" s="1"/>
  <c r="Y7" i="26"/>
  <c r="S9" i="26"/>
  <c r="P9" i="28" s="1"/>
  <c r="P7" i="28"/>
  <c r="R9" i="26"/>
  <c r="O9" i="28" s="1"/>
  <c r="O7" i="28"/>
  <c r="X7" i="26"/>
  <c r="Z6" i="26"/>
  <c r="W6" i="28" s="1"/>
  <c r="W4" i="28"/>
  <c r="AC4" i="28" s="1"/>
  <c r="AC6" i="28" s="1"/>
  <c r="AF4" i="26"/>
  <c r="AF6" i="26" s="1"/>
  <c r="AB6" i="26"/>
  <c r="Y6" i="28" s="1"/>
  <c r="Y4" i="28"/>
  <c r="AE4" i="28" s="1"/>
  <c r="AE6" i="28" s="1"/>
  <c r="AH4" i="26"/>
  <c r="AH6" i="26" s="1"/>
  <c r="AA6" i="26"/>
  <c r="X6" i="28" s="1"/>
  <c r="X4" i="28"/>
  <c r="AD4" i="28" s="1"/>
  <c r="AD6" i="28" s="1"/>
  <c r="AG4" i="26"/>
  <c r="AG6" i="26" s="1"/>
  <c r="S6" i="26"/>
  <c r="P6" i="28" s="1"/>
  <c r="Y4" i="26"/>
  <c r="P4" i="28"/>
  <c r="Z4" i="28"/>
  <c r="AF4" i="28" s="1"/>
  <c r="AF6" i="28" s="1"/>
  <c r="AC6" i="26"/>
  <c r="Z6" i="28" s="1"/>
  <c r="AI4" i="26"/>
  <c r="R6" i="26"/>
  <c r="O6" i="28" s="1"/>
  <c r="O4" i="28"/>
  <c r="X4" i="26"/>
  <c r="AL7" i="7"/>
  <c r="W20" i="28"/>
  <c r="AC20" i="28" s="1"/>
  <c r="AF20" i="26"/>
  <c r="U20" i="28"/>
  <c r="AA20" i="28" s="1"/>
  <c r="H21" i="13" s="1"/>
  <c r="H203" i="32" s="1"/>
  <c r="AD20" i="26"/>
  <c r="H21" i="12" s="1"/>
  <c r="H202" i="32" s="1"/>
  <c r="V20" i="28"/>
  <c r="AB20" i="28" s="1"/>
  <c r="AE20" i="26"/>
  <c r="AJ7" i="24"/>
  <c r="AH7" i="24" s="1"/>
  <c r="V89" i="18"/>
  <c r="Z89" i="18"/>
  <c r="Z91" i="18" s="1"/>
  <c r="X91" i="18" s="1"/>
  <c r="AF21" i="18"/>
  <c r="AH89" i="18"/>
  <c r="R89" i="18"/>
  <c r="AB20" i="18"/>
  <c r="AD21" i="18"/>
  <c r="AA11" i="7" s="1"/>
  <c r="E89" i="18"/>
  <c r="E91" i="18" s="1"/>
  <c r="F89" i="18"/>
  <c r="F91" i="18" s="1"/>
  <c r="I89" i="18"/>
  <c r="I91" i="18" s="1"/>
  <c r="H89" i="18"/>
  <c r="H91" i="18" s="1"/>
  <c r="G89" i="18"/>
  <c r="G91" i="18" s="1"/>
  <c r="AF9" i="3"/>
  <c r="V9" i="3"/>
  <c r="M22" i="6"/>
  <c r="T22" i="12"/>
  <c r="P22" i="12"/>
  <c r="AF20" i="18"/>
  <c r="AR21" i="18"/>
  <c r="AN11" i="7" s="1"/>
  <c r="AA63" i="32" s="1"/>
  <c r="AA65" i="32" s="1"/>
  <c r="Y11" i="24"/>
  <c r="Y11" i="8" s="1"/>
  <c r="G13" i="24"/>
  <c r="H17" i="6"/>
  <c r="AB20" i="9"/>
  <c r="AC20" i="9" s="1"/>
  <c r="P42" i="23"/>
  <c r="R72" i="23"/>
  <c r="R74" i="23" s="1"/>
  <c r="X72" i="23"/>
  <c r="X74" i="23" s="1"/>
  <c r="V42" i="23"/>
  <c r="AB60" i="18"/>
  <c r="Y20" i="24"/>
  <c r="S20" i="24"/>
  <c r="T60" i="18"/>
  <c r="X41" i="18"/>
  <c r="T41" i="18"/>
  <c r="AF62" i="18"/>
  <c r="P62" i="18"/>
  <c r="AF34" i="18"/>
  <c r="AB34" i="18"/>
  <c r="Y16" i="24"/>
  <c r="Y16" i="8" s="1"/>
  <c r="P35" i="18"/>
  <c r="Y42" i="23"/>
  <c r="AA72" i="23"/>
  <c r="AA74" i="23" s="1"/>
  <c r="U72" i="23"/>
  <c r="U74" i="23" s="1"/>
  <c r="S42" i="23"/>
  <c r="X60" i="18"/>
  <c r="V20" i="24"/>
  <c r="AB41" i="18"/>
  <c r="X40" i="18"/>
  <c r="AF40" i="18"/>
  <c r="T40" i="18"/>
  <c r="AB64" i="18"/>
  <c r="P64" i="18"/>
  <c r="T62" i="18"/>
  <c r="AB62" i="18"/>
  <c r="X34" i="18"/>
  <c r="V16" i="24"/>
  <c r="V16" i="8" s="1"/>
  <c r="P34" i="18"/>
  <c r="T35" i="18"/>
  <c r="T20" i="18"/>
  <c r="S14" i="6"/>
  <c r="R14" i="13"/>
  <c r="R96" i="32" s="1"/>
  <c r="O14" i="6"/>
  <c r="AC7" i="9"/>
  <c r="K17" i="6"/>
  <c r="M9" i="9"/>
  <c r="G9" i="9"/>
  <c r="J9" i="9"/>
  <c r="P9" i="9"/>
  <c r="AF41" i="18"/>
  <c r="AB40" i="18"/>
  <c r="P40" i="18"/>
  <c r="X64" i="18"/>
  <c r="AF64" i="18"/>
  <c r="AB20" i="24"/>
  <c r="T64" i="18"/>
  <c r="X62" i="18"/>
  <c r="AB16" i="24"/>
  <c r="AB16" i="8" s="1"/>
  <c r="T34" i="18"/>
  <c r="S16" i="24"/>
  <c r="S16" i="8" s="1"/>
  <c r="X35" i="18"/>
  <c r="P11" i="24"/>
  <c r="P11" i="8" s="1"/>
  <c r="P20" i="18"/>
  <c r="AB42" i="23"/>
  <c r="AD72" i="23"/>
  <c r="AD74" i="23" s="1"/>
  <c r="P20" i="24"/>
  <c r="P60" i="18"/>
  <c r="P41" i="18"/>
  <c r="P16" i="24"/>
  <c r="P16" i="8" s="1"/>
  <c r="AB35" i="18"/>
  <c r="AF35" i="18"/>
  <c r="V11" i="24"/>
  <c r="V11" i="8" s="1"/>
  <c r="X20" i="18"/>
  <c r="S11" i="24"/>
  <c r="T9" i="9"/>
  <c r="AI10" i="8"/>
  <c r="Q10" i="8"/>
  <c r="AA6" i="3"/>
  <c r="Z10" i="8"/>
  <c r="W10" i="8"/>
  <c r="P7" i="8"/>
  <c r="G4" i="9"/>
  <c r="AF6" i="3"/>
  <c r="V7" i="8"/>
  <c r="M4" i="9"/>
  <c r="S7" i="8"/>
  <c r="J4" i="9"/>
  <c r="T10" i="8"/>
  <c r="N10" i="8"/>
  <c r="AH5" i="24"/>
  <c r="AG5" i="8" s="1"/>
  <c r="AB7" i="8"/>
  <c r="S6" i="9" s="1"/>
  <c r="S4" i="9"/>
  <c r="V6" i="3"/>
  <c r="P4" i="9"/>
  <c r="Y7" i="8"/>
  <c r="AB16" i="9"/>
  <c r="AH17" i="24"/>
  <c r="AG17" i="8" s="1"/>
  <c r="Y139" i="32" s="1"/>
  <c r="AH21" i="24"/>
  <c r="AG21" i="8" s="1"/>
  <c r="Y200" i="32" s="1"/>
  <c r="AA6" i="9"/>
  <c r="I17" i="12" l="1"/>
  <c r="I141" i="32" s="1"/>
  <c r="M17" i="12"/>
  <c r="W22" i="13"/>
  <c r="X22" i="13" s="1"/>
  <c r="T10" i="26"/>
  <c r="T12" i="3"/>
  <c r="T89" i="18"/>
  <c r="AB19" i="26"/>
  <c r="O10" i="3"/>
  <c r="P12" i="3"/>
  <c r="U10" i="26"/>
  <c r="Y12" i="3"/>
  <c r="V10" i="26"/>
  <c r="AD12" i="3"/>
  <c r="J10" i="3"/>
  <c r="K12" i="3"/>
  <c r="X89" i="18"/>
  <c r="I17" i="6"/>
  <c r="J17" i="6"/>
  <c r="S22" i="13"/>
  <c r="S218" i="32" s="1"/>
  <c r="I220" i="32"/>
  <c r="Q17" i="12"/>
  <c r="Q141" i="32" s="1"/>
  <c r="AA19" i="26"/>
  <c r="AG19" i="26" s="1"/>
  <c r="S19" i="28"/>
  <c r="J19" i="3"/>
  <c r="R19" i="26" s="1"/>
  <c r="F17" i="6"/>
  <c r="X95" i="32"/>
  <c r="L22" i="6"/>
  <c r="P89" i="18"/>
  <c r="Q10" i="9"/>
  <c r="Q63" i="32"/>
  <c r="Q65" i="32" s="1"/>
  <c r="O25" i="7"/>
  <c r="O27" i="7" s="1"/>
  <c r="H123" i="32"/>
  <c r="M25" i="7"/>
  <c r="M27" i="7" s="1"/>
  <c r="F7" i="4" s="1"/>
  <c r="F123" i="32"/>
  <c r="N123" i="32"/>
  <c r="S25" i="7"/>
  <c r="S27" i="7" s="1"/>
  <c r="K123" i="32"/>
  <c r="AE25" i="7"/>
  <c r="AE27" i="7" s="1"/>
  <c r="T123" i="32"/>
  <c r="Q123" i="32"/>
  <c r="AB20" i="8"/>
  <c r="S19" i="9" s="1"/>
  <c r="Q24" i="3"/>
  <c r="Q26" i="3" s="1"/>
  <c r="O19" i="3"/>
  <c r="S19" i="26" s="1"/>
  <c r="W98" i="32"/>
  <c r="AC98" i="32" s="1"/>
  <c r="AA96" i="32"/>
  <c r="AA98" i="32" s="1"/>
  <c r="X96" i="32"/>
  <c r="L220" i="32"/>
  <c r="M15" i="9"/>
  <c r="N124" i="32"/>
  <c r="G15" i="9"/>
  <c r="H124" i="32"/>
  <c r="J15" i="9"/>
  <c r="K124" i="32"/>
  <c r="P15" i="9"/>
  <c r="Q124" i="32"/>
  <c r="V20" i="8"/>
  <c r="P20" i="8"/>
  <c r="S15" i="9"/>
  <c r="T124" i="32"/>
  <c r="N17" i="6"/>
  <c r="I22" i="6"/>
  <c r="Q17" i="13"/>
  <c r="Q142" i="32" s="1"/>
  <c r="L17" i="13"/>
  <c r="L142" i="32" s="1"/>
  <c r="V22" i="13"/>
  <c r="U22" i="13" s="1"/>
  <c r="U218" i="32" s="1"/>
  <c r="Y218" i="32" s="1"/>
  <c r="W218" i="32"/>
  <c r="AC218" i="32" s="1"/>
  <c r="Z22" i="13"/>
  <c r="O22" i="13"/>
  <c r="O218" i="32" s="1"/>
  <c r="S20" i="8"/>
  <c r="Y20" i="8"/>
  <c r="O22" i="12"/>
  <c r="O217" i="32" s="1"/>
  <c r="P217" i="32"/>
  <c r="P220" i="32" s="1"/>
  <c r="H205" i="32"/>
  <c r="W22" i="12"/>
  <c r="V22" i="12" s="1"/>
  <c r="V217" i="32" s="1"/>
  <c r="T217" i="32"/>
  <c r="T220" i="32" s="1"/>
  <c r="L17" i="12"/>
  <c r="L141" i="32" s="1"/>
  <c r="M141" i="32"/>
  <c r="X14" i="6"/>
  <c r="AC14" i="6"/>
  <c r="U14" i="12"/>
  <c r="U95" i="32" s="1"/>
  <c r="V95" i="32"/>
  <c r="V98" i="32" s="1"/>
  <c r="R98" i="32"/>
  <c r="AL24" i="3"/>
  <c r="E26" i="3"/>
  <c r="N15" i="28"/>
  <c r="Q24" i="26"/>
  <c r="P15" i="26"/>
  <c r="I15" i="28"/>
  <c r="M15" i="28" s="1"/>
  <c r="L24" i="26"/>
  <c r="S25" i="24"/>
  <c r="S11" i="8"/>
  <c r="Z19" i="28"/>
  <c r="AF19" i="28" s="1"/>
  <c r="AI19" i="26"/>
  <c r="Y19" i="28"/>
  <c r="AE19" i="28" s="1"/>
  <c r="AH19" i="26"/>
  <c r="X19" i="28"/>
  <c r="AD19" i="28" s="1"/>
  <c r="W25" i="7"/>
  <c r="W27" i="7" s="1"/>
  <c r="U25" i="7"/>
  <c r="U27" i="7" s="1"/>
  <c r="L7" i="4" s="1"/>
  <c r="Y24" i="3"/>
  <c r="Y26" i="3" s="1"/>
  <c r="T15" i="26"/>
  <c r="T24" i="3"/>
  <c r="T26" i="3" s="1"/>
  <c r="O15" i="3"/>
  <c r="P24" i="3"/>
  <c r="P26" i="3" s="1"/>
  <c r="J15" i="3"/>
  <c r="K24" i="3"/>
  <c r="K26" i="3" s="1"/>
  <c r="V15" i="26"/>
  <c r="AD24" i="3"/>
  <c r="AD26" i="3" s="1"/>
  <c r="AA15" i="26"/>
  <c r="R15" i="28"/>
  <c r="Z14" i="12"/>
  <c r="Z95" i="32" s="1"/>
  <c r="Z98" i="32" s="1"/>
  <c r="U14" i="13"/>
  <c r="V14" i="6"/>
  <c r="AA13" i="7"/>
  <c r="AA25" i="7"/>
  <c r="AF89" i="18"/>
  <c r="AC11" i="7"/>
  <c r="R63" i="32" s="1"/>
  <c r="R65" i="32" s="1"/>
  <c r="Q13" i="7"/>
  <c r="Q25" i="7"/>
  <c r="AN13" i="7"/>
  <c r="X9" i="26"/>
  <c r="U9" i="28" s="1"/>
  <c r="U7" i="28"/>
  <c r="AA7" i="28" s="1"/>
  <c r="AD7" i="26"/>
  <c r="Y9" i="26"/>
  <c r="V9" i="28" s="1"/>
  <c r="V7" i="28"/>
  <c r="AB7" i="28" s="1"/>
  <c r="AB9" i="28" s="1"/>
  <c r="AE7" i="26"/>
  <c r="AE9" i="26" s="1"/>
  <c r="AA7" i="26"/>
  <c r="U9" i="26"/>
  <c r="R9" i="28" s="1"/>
  <c r="R7" i="28"/>
  <c r="U24" i="26"/>
  <c r="AB7" i="26"/>
  <c r="X6" i="26"/>
  <c r="U6" i="28" s="1"/>
  <c r="U4" i="28"/>
  <c r="AA4" i="28" s="1"/>
  <c r="AD4" i="26"/>
  <c r="Y6" i="26"/>
  <c r="V6" i="28" s="1"/>
  <c r="V4" i="28"/>
  <c r="AB4" i="28" s="1"/>
  <c r="AB6" i="28" s="1"/>
  <c r="AE4" i="26"/>
  <c r="AE6" i="26" s="1"/>
  <c r="AI6" i="26"/>
  <c r="G21" i="12"/>
  <c r="G202" i="32" s="1"/>
  <c r="K21" i="12"/>
  <c r="K202" i="32" s="1"/>
  <c r="H21" i="6"/>
  <c r="G21" i="13"/>
  <c r="K21" i="13"/>
  <c r="K203" i="32" s="1"/>
  <c r="P25" i="24"/>
  <c r="Y25" i="24"/>
  <c r="V25" i="24"/>
  <c r="V91" i="18"/>
  <c r="T91" i="18" s="1"/>
  <c r="AB4" i="9"/>
  <c r="R91" i="18"/>
  <c r="P91" i="18" s="1"/>
  <c r="AH91" i="18"/>
  <c r="AF91" i="18" s="1"/>
  <c r="AB21" i="18"/>
  <c r="AD89" i="18"/>
  <c r="AP21" i="18"/>
  <c r="AL11" i="7" s="1"/>
  <c r="Y63" i="32" s="1"/>
  <c r="Y65" i="32" s="1"/>
  <c r="AR42" i="18"/>
  <c r="U24" i="3"/>
  <c r="U26" i="3" s="1"/>
  <c r="Z12" i="3"/>
  <c r="Z24" i="3"/>
  <c r="Z26" i="3" s="1"/>
  <c r="AE24" i="3"/>
  <c r="AE26" i="3" s="1"/>
  <c r="P22" i="6"/>
  <c r="S22" i="12"/>
  <c r="AB11" i="24"/>
  <c r="H13" i="24"/>
  <c r="AE12" i="3"/>
  <c r="AP20" i="18"/>
  <c r="W11" i="24"/>
  <c r="W11" i="8" s="1"/>
  <c r="Y13" i="24"/>
  <c r="G13" i="8"/>
  <c r="Q4" i="9"/>
  <c r="N4" i="9"/>
  <c r="G6" i="9"/>
  <c r="AB9" i="9"/>
  <c r="AB44" i="23"/>
  <c r="AB72" i="23" s="1"/>
  <c r="AB74" i="23" s="1"/>
  <c r="AJ42" i="23"/>
  <c r="D13" i="24"/>
  <c r="H9" i="9"/>
  <c r="N9" i="9"/>
  <c r="R14" i="6"/>
  <c r="Y44" i="23"/>
  <c r="Y72" i="23" s="1"/>
  <c r="Y74" i="23" s="1"/>
  <c r="AP62" i="18"/>
  <c r="P44" i="23"/>
  <c r="P72" i="23" s="1"/>
  <c r="P74" i="23" s="1"/>
  <c r="T6" i="9"/>
  <c r="P6" i="9"/>
  <c r="J6" i="9"/>
  <c r="M6" i="9"/>
  <c r="E13" i="24"/>
  <c r="U12" i="3"/>
  <c r="F13" i="24"/>
  <c r="AP35" i="18"/>
  <c r="AP41" i="18"/>
  <c r="Q9" i="9"/>
  <c r="K9" i="9"/>
  <c r="AP40" i="18"/>
  <c r="S44" i="23"/>
  <c r="S72" i="23" s="1"/>
  <c r="S74" i="23" s="1"/>
  <c r="AP34" i="18"/>
  <c r="V44" i="23"/>
  <c r="V72" i="23" s="1"/>
  <c r="V74" i="23" s="1"/>
  <c r="AC16" i="9"/>
  <c r="T4" i="9"/>
  <c r="H4" i="9"/>
  <c r="K4" i="9"/>
  <c r="AI7" i="8"/>
  <c r="N7" i="8"/>
  <c r="T7" i="8"/>
  <c r="W7" i="8"/>
  <c r="AG10" i="8"/>
  <c r="Z7" i="8"/>
  <c r="Q7" i="8"/>
  <c r="T17" i="12"/>
  <c r="P17" i="12"/>
  <c r="M17" i="6"/>
  <c r="T15" i="9" l="1"/>
  <c r="T184" i="32"/>
  <c r="AA10" i="26"/>
  <c r="U12" i="26"/>
  <c r="R12" i="28" s="1"/>
  <c r="R10" i="28"/>
  <c r="S10" i="26"/>
  <c r="O12" i="3"/>
  <c r="R10" i="26"/>
  <c r="J12" i="3"/>
  <c r="R22" i="13"/>
  <c r="R218" i="32" s="1"/>
  <c r="S10" i="28"/>
  <c r="AB10" i="26"/>
  <c r="AC10" i="26"/>
  <c r="V12" i="26"/>
  <c r="S12" i="28" s="1"/>
  <c r="Z10" i="26"/>
  <c r="T12" i="26"/>
  <c r="Q12" i="28" s="1"/>
  <c r="Q10" i="28"/>
  <c r="K15" i="9"/>
  <c r="L17" i="6"/>
  <c r="F5" i="4"/>
  <c r="X19" i="26"/>
  <c r="O19" i="28"/>
  <c r="X98" i="32"/>
  <c r="X22" i="12"/>
  <c r="AA22" i="12"/>
  <c r="AA217" i="32" s="1"/>
  <c r="X22" i="6"/>
  <c r="N15" i="9"/>
  <c r="T19" i="9"/>
  <c r="Q15" i="9"/>
  <c r="H15" i="9"/>
  <c r="Y19" i="26"/>
  <c r="P19" i="28"/>
  <c r="Z19" i="26"/>
  <c r="Q17" i="6"/>
  <c r="O17" i="13"/>
  <c r="O142" i="32" s="1"/>
  <c r="T17" i="13"/>
  <c r="W17" i="13" s="1"/>
  <c r="U17" i="13" s="1"/>
  <c r="U142" i="32" s="1"/>
  <c r="O220" i="32"/>
  <c r="H184" i="32"/>
  <c r="G19" i="9"/>
  <c r="H19" i="9" s="1"/>
  <c r="Q184" i="32"/>
  <c r="P19" i="9"/>
  <c r="Q19" i="9" s="1"/>
  <c r="K184" i="32"/>
  <c r="J19" i="9"/>
  <c r="K19" i="9" s="1"/>
  <c r="V218" i="32"/>
  <c r="Z218" i="32" s="1"/>
  <c r="N184" i="32"/>
  <c r="M19" i="9"/>
  <c r="N19" i="9" s="1"/>
  <c r="X218" i="32"/>
  <c r="AA218" i="32"/>
  <c r="W217" i="32"/>
  <c r="AC217" i="32" s="1"/>
  <c r="AC22" i="12"/>
  <c r="O22" i="6"/>
  <c r="AL72" i="23"/>
  <c r="AL74" i="23" s="1"/>
  <c r="AI20" i="8"/>
  <c r="AA184" i="32" s="1"/>
  <c r="W17" i="12"/>
  <c r="T141" i="32"/>
  <c r="F21" i="13"/>
  <c r="F203" i="32" s="1"/>
  <c r="G203" i="32"/>
  <c r="G205" i="32" s="1"/>
  <c r="O17" i="12"/>
  <c r="O141" i="32" s="1"/>
  <c r="P141" i="32"/>
  <c r="K205" i="32"/>
  <c r="R22" i="12"/>
  <c r="R217" i="32" s="1"/>
  <c r="S217" i="32"/>
  <c r="S220" i="32" s="1"/>
  <c r="AL26" i="3"/>
  <c r="AQ26" i="3"/>
  <c r="U14" i="6"/>
  <c r="U96" i="32"/>
  <c r="Y96" i="32" s="1"/>
  <c r="L26" i="26"/>
  <c r="I26" i="28" s="1"/>
  <c r="I24" i="28"/>
  <c r="Q26" i="26"/>
  <c r="N26" i="28" s="1"/>
  <c r="N24" i="28"/>
  <c r="AB25" i="24"/>
  <c r="AB11" i="8"/>
  <c r="L5" i="4"/>
  <c r="S15" i="28"/>
  <c r="AB15" i="26"/>
  <c r="AB24" i="26" s="1"/>
  <c r="AC15" i="26"/>
  <c r="V24" i="26"/>
  <c r="R15" i="26"/>
  <c r="J24" i="3"/>
  <c r="J26" i="3" s="1"/>
  <c r="S15" i="26"/>
  <c r="O24" i="3"/>
  <c r="O26" i="3" s="1"/>
  <c r="X15" i="28"/>
  <c r="AD15" i="28" s="1"/>
  <c r="AG15" i="26"/>
  <c r="Q15" i="28"/>
  <c r="T24" i="26"/>
  <c r="AP42" i="18"/>
  <c r="AL16" i="7" s="1"/>
  <c r="Y123" i="32" s="1"/>
  <c r="AN16" i="7"/>
  <c r="Y14" i="12"/>
  <c r="Z14" i="6"/>
  <c r="AL13" i="7"/>
  <c r="I5" i="4"/>
  <c r="Q27" i="7"/>
  <c r="I7" i="4" s="1"/>
  <c r="AB89" i="18"/>
  <c r="Y11" i="7"/>
  <c r="O63" i="32" s="1"/>
  <c r="O65" i="32" s="1"/>
  <c r="AC13" i="7"/>
  <c r="AC25" i="7"/>
  <c r="AA27" i="7"/>
  <c r="AA9" i="26"/>
  <c r="X9" i="28" s="1"/>
  <c r="X7" i="28"/>
  <c r="AD7" i="28" s="1"/>
  <c r="AG7" i="26"/>
  <c r="AA24" i="26"/>
  <c r="AB9" i="26"/>
  <c r="Y9" i="28" s="1"/>
  <c r="Y7" i="28"/>
  <c r="AE7" i="28" s="1"/>
  <c r="AH7" i="26"/>
  <c r="U26" i="26"/>
  <c r="R26" i="28" s="1"/>
  <c r="R24" i="28"/>
  <c r="H8" i="12"/>
  <c r="H43" i="32" s="1"/>
  <c r="AD9" i="26"/>
  <c r="AA9" i="28"/>
  <c r="H8" i="13"/>
  <c r="H46" i="32" s="1"/>
  <c r="H48" i="32" s="1"/>
  <c r="AD6" i="26"/>
  <c r="H5" i="12"/>
  <c r="H14" i="32" s="1"/>
  <c r="H16" i="32" s="1"/>
  <c r="H5" i="13"/>
  <c r="H17" i="32" s="1"/>
  <c r="AA6" i="28"/>
  <c r="U22" i="12"/>
  <c r="V22" i="6"/>
  <c r="N21" i="12"/>
  <c r="N202" i="32" s="1"/>
  <c r="J21" i="12"/>
  <c r="K21" i="6"/>
  <c r="F21" i="12"/>
  <c r="G21" i="6"/>
  <c r="J21" i="13"/>
  <c r="J203" i="32" s="1"/>
  <c r="N21" i="13"/>
  <c r="N203" i="32" s="1"/>
  <c r="AC4" i="9"/>
  <c r="G25" i="8"/>
  <c r="G27" i="8" s="1"/>
  <c r="F25" i="8"/>
  <c r="F27" i="8" s="1"/>
  <c r="H25" i="8"/>
  <c r="H27" i="8" s="1"/>
  <c r="D25" i="8"/>
  <c r="D27" i="8" s="1"/>
  <c r="E25" i="8"/>
  <c r="E27" i="8" s="1"/>
  <c r="AD91" i="18"/>
  <c r="AB91" i="18" s="1"/>
  <c r="O12" i="9"/>
  <c r="S22" i="6"/>
  <c r="H13" i="8"/>
  <c r="Z11" i="24"/>
  <c r="Z11" i="8" s="1"/>
  <c r="AB13" i="24"/>
  <c r="AA12" i="3"/>
  <c r="W13" i="24"/>
  <c r="Y13" i="8"/>
  <c r="AB6" i="9"/>
  <c r="Q20" i="24"/>
  <c r="Q20" i="8" s="1"/>
  <c r="I184" i="32" s="1"/>
  <c r="W16" i="24"/>
  <c r="W16" i="8" s="1"/>
  <c r="O124" i="32" s="1"/>
  <c r="V13" i="24"/>
  <c r="T11" i="24"/>
  <c r="T11" i="8" s="1"/>
  <c r="S13" i="24"/>
  <c r="Q11" i="24"/>
  <c r="Q11" i="8" s="1"/>
  <c r="E13" i="8"/>
  <c r="N6" i="9"/>
  <c r="K6" i="9"/>
  <c r="Q6" i="9"/>
  <c r="W20" i="24"/>
  <c r="W20" i="8" s="1"/>
  <c r="O184" i="32" s="1"/>
  <c r="P13" i="24"/>
  <c r="N11" i="24"/>
  <c r="N11" i="8" s="1"/>
  <c r="AJ44" i="23"/>
  <c r="AJ72" i="23" s="1"/>
  <c r="AJ74" i="23" s="1"/>
  <c r="AC9" i="9"/>
  <c r="H6" i="9"/>
  <c r="T16" i="24"/>
  <c r="T16" i="8" s="1"/>
  <c r="L124" i="32" s="1"/>
  <c r="Z16" i="24"/>
  <c r="Z16" i="8" s="1"/>
  <c r="R124" i="32" s="1"/>
  <c r="Q16" i="24"/>
  <c r="Q16" i="8" s="1"/>
  <c r="I124" i="32" s="1"/>
  <c r="N16" i="24"/>
  <c r="N16" i="8" s="1"/>
  <c r="F124" i="32" s="1"/>
  <c r="F13" i="8"/>
  <c r="T20" i="24"/>
  <c r="T20" i="8" s="1"/>
  <c r="L184" i="32" s="1"/>
  <c r="Z20" i="24"/>
  <c r="Z20" i="8" s="1"/>
  <c r="R184" i="32" s="1"/>
  <c r="D13" i="8"/>
  <c r="N20" i="24"/>
  <c r="N20" i="8" s="1"/>
  <c r="F184" i="32" s="1"/>
  <c r="AG7" i="8"/>
  <c r="S17" i="12"/>
  <c r="S141" i="32" s="1"/>
  <c r="P17" i="6"/>
  <c r="AA220" i="32" l="1"/>
  <c r="R220" i="32"/>
  <c r="X10" i="26"/>
  <c r="R12" i="26"/>
  <c r="O12" i="28" s="1"/>
  <c r="O10" i="28"/>
  <c r="Z12" i="26"/>
  <c r="W12" i="28" s="1"/>
  <c r="W10" i="28"/>
  <c r="AC10" i="28" s="1"/>
  <c r="AC12" i="28" s="1"/>
  <c r="AF10" i="26"/>
  <c r="AF12" i="26" s="1"/>
  <c r="Y10" i="26"/>
  <c r="S12" i="26"/>
  <c r="P12" i="28" s="1"/>
  <c r="P10" i="28"/>
  <c r="Z10" i="28"/>
  <c r="AF10" i="28" s="1"/>
  <c r="AF12" i="28" s="1"/>
  <c r="AC12" i="26"/>
  <c r="Z12" i="28" s="1"/>
  <c r="AI10" i="26"/>
  <c r="AI12" i="26" s="1"/>
  <c r="AB12" i="26"/>
  <c r="Y12" i="28" s="1"/>
  <c r="Y10" i="28"/>
  <c r="AE10" i="28" s="1"/>
  <c r="AE12" i="28" s="1"/>
  <c r="AH10" i="26"/>
  <c r="AH12" i="26" s="1"/>
  <c r="AA12" i="26"/>
  <c r="X12" i="28" s="1"/>
  <c r="X10" i="28"/>
  <c r="AD10" i="28" s="1"/>
  <c r="AD12" i="28" s="1"/>
  <c r="AG10" i="26"/>
  <c r="AG12" i="26" s="1"/>
  <c r="AC22" i="6"/>
  <c r="R17" i="13"/>
  <c r="R142" i="32" s="1"/>
  <c r="T17" i="6"/>
  <c r="Z22" i="12"/>
  <c r="Y22" i="12" s="1"/>
  <c r="Y217" i="32" s="1"/>
  <c r="Y220" i="32" s="1"/>
  <c r="U19" i="28"/>
  <c r="AA19" i="28" s="1"/>
  <c r="H20" i="13" s="1"/>
  <c r="AD19" i="26"/>
  <c r="H20" i="12" s="1"/>
  <c r="T142" i="32"/>
  <c r="O17" i="6"/>
  <c r="AA123" i="32"/>
  <c r="W19" i="28"/>
  <c r="AC19" i="28" s="1"/>
  <c r="AF19" i="26"/>
  <c r="V19" i="28"/>
  <c r="AB19" i="28" s="1"/>
  <c r="AE19" i="26"/>
  <c r="R22" i="6"/>
  <c r="X17" i="13"/>
  <c r="V220" i="32"/>
  <c r="W141" i="32"/>
  <c r="AC141" i="32" s="1"/>
  <c r="AC17" i="12"/>
  <c r="W17" i="6"/>
  <c r="X17" i="6" s="1"/>
  <c r="V17" i="12"/>
  <c r="V141" i="32" s="1"/>
  <c r="Z17" i="13"/>
  <c r="W142" i="32"/>
  <c r="AC142" i="32" s="1"/>
  <c r="AA17" i="12"/>
  <c r="AA141" i="32" s="1"/>
  <c r="W220" i="32"/>
  <c r="X17" i="12"/>
  <c r="X217" i="32"/>
  <c r="H23" i="32"/>
  <c r="H25" i="32" s="1"/>
  <c r="H19" i="32"/>
  <c r="U22" i="6"/>
  <c r="U217" i="32"/>
  <c r="U220" i="32" s="1"/>
  <c r="H45" i="32"/>
  <c r="H52" i="32"/>
  <c r="H54" i="32" s="1"/>
  <c r="F21" i="6"/>
  <c r="F202" i="32"/>
  <c r="F205" i="32" s="1"/>
  <c r="I21" i="12"/>
  <c r="I202" i="32" s="1"/>
  <c r="J202" i="32"/>
  <c r="J205" i="32" s="1"/>
  <c r="N205" i="32"/>
  <c r="Y14" i="6"/>
  <c r="Y95" i="32"/>
  <c r="Y98" i="32" s="1"/>
  <c r="U98" i="32"/>
  <c r="J21" i="6"/>
  <c r="Y15" i="26"/>
  <c r="P15" i="28"/>
  <c r="S24" i="26"/>
  <c r="T26" i="26"/>
  <c r="Q26" i="28" s="1"/>
  <c r="Q24" i="28"/>
  <c r="O15" i="28"/>
  <c r="X15" i="26"/>
  <c r="R24" i="26"/>
  <c r="S24" i="28"/>
  <c r="V26" i="26"/>
  <c r="S26" i="28" s="1"/>
  <c r="Z15" i="26"/>
  <c r="Z15" i="28"/>
  <c r="AF15" i="28" s="1"/>
  <c r="AI15" i="26"/>
  <c r="AI24" i="26" s="1"/>
  <c r="AI26" i="26" s="1"/>
  <c r="AC24" i="26"/>
  <c r="Y15" i="28"/>
  <c r="AE15" i="28" s="1"/>
  <c r="AH15" i="26"/>
  <c r="AH24" i="26" s="1"/>
  <c r="L24" i="9"/>
  <c r="R5" i="4"/>
  <c r="AC27" i="7"/>
  <c r="R7" i="4" s="1"/>
  <c r="Y13" i="7"/>
  <c r="Y25" i="7"/>
  <c r="H10" i="13"/>
  <c r="K8" i="13"/>
  <c r="K46" i="32" s="1"/>
  <c r="K48" i="32" s="1"/>
  <c r="G8" i="13"/>
  <c r="G46" i="32" s="1"/>
  <c r="G48" i="32" s="1"/>
  <c r="AE9" i="28"/>
  <c r="H10" i="12"/>
  <c r="K8" i="12"/>
  <c r="K43" i="32" s="1"/>
  <c r="H8" i="6"/>
  <c r="H10" i="6" s="1"/>
  <c r="AA26" i="26"/>
  <c r="X26" i="28" s="1"/>
  <c r="X24" i="28"/>
  <c r="AG9" i="26"/>
  <c r="AG24" i="26"/>
  <c r="AH9" i="26"/>
  <c r="AD9" i="28"/>
  <c r="AD24" i="28"/>
  <c r="AD26" i="28" s="1"/>
  <c r="Y24" i="28"/>
  <c r="AB26" i="26"/>
  <c r="Y26" i="28" s="1"/>
  <c r="G5" i="13"/>
  <c r="K5" i="13"/>
  <c r="K17" i="32" s="1"/>
  <c r="H7" i="13"/>
  <c r="K5" i="12"/>
  <c r="K14" i="32" s="1"/>
  <c r="K16" i="32" s="1"/>
  <c r="H7" i="12"/>
  <c r="G5" i="12"/>
  <c r="H5" i="6"/>
  <c r="H7" i="6" s="1"/>
  <c r="I21" i="13"/>
  <c r="Q21" i="13"/>
  <c r="Q203" i="32" s="1"/>
  <c r="M21" i="13"/>
  <c r="Q21" i="12"/>
  <c r="Q202" i="32" s="1"/>
  <c r="M21" i="12"/>
  <c r="M202" i="32" s="1"/>
  <c r="N21" i="6"/>
  <c r="O24" i="9"/>
  <c r="I24" i="9"/>
  <c r="F24" i="9"/>
  <c r="R24" i="9"/>
  <c r="W25" i="24"/>
  <c r="Q25" i="24"/>
  <c r="N25" i="24"/>
  <c r="AJ25" i="24"/>
  <c r="T25" i="24"/>
  <c r="Z25" i="24"/>
  <c r="Y25" i="8"/>
  <c r="Q8" i="4" s="1"/>
  <c r="P25" i="8"/>
  <c r="H8" i="4" s="1"/>
  <c r="V25" i="8"/>
  <c r="N8" i="4" s="1"/>
  <c r="AB25" i="8"/>
  <c r="T8" i="4" s="1"/>
  <c r="S25" i="8"/>
  <c r="K8" i="4" s="1"/>
  <c r="AA24" i="3"/>
  <c r="AA26" i="3" s="1"/>
  <c r="AF24" i="3"/>
  <c r="AF26" i="3" s="1"/>
  <c r="V24" i="3"/>
  <c r="V26" i="3" s="1"/>
  <c r="R12" i="9"/>
  <c r="Z13" i="24"/>
  <c r="AF12" i="3"/>
  <c r="AJ13" i="24"/>
  <c r="AH11" i="24"/>
  <c r="AG11" i="8" s="1"/>
  <c r="AB13" i="8"/>
  <c r="P12" i="9"/>
  <c r="W13" i="8"/>
  <c r="I12" i="9"/>
  <c r="N13" i="24"/>
  <c r="S13" i="8"/>
  <c r="Q13" i="24"/>
  <c r="T13" i="24"/>
  <c r="AC6" i="9"/>
  <c r="L12" i="9"/>
  <c r="AH20" i="24"/>
  <c r="AG20" i="8" s="1"/>
  <c r="Y184" i="32" s="1"/>
  <c r="V12" i="3"/>
  <c r="AH16" i="24"/>
  <c r="AG16" i="8" s="1"/>
  <c r="Y124" i="32" s="1"/>
  <c r="P13" i="8"/>
  <c r="V13" i="8"/>
  <c r="G13" i="13"/>
  <c r="G11" i="6"/>
  <c r="S17" i="6"/>
  <c r="R17" i="12"/>
  <c r="R141" i="32" s="1"/>
  <c r="AF24" i="28" l="1"/>
  <c r="AF26" i="28" s="1"/>
  <c r="AA17" i="6"/>
  <c r="K20" i="13"/>
  <c r="AE24" i="28"/>
  <c r="AE26" i="28" s="1"/>
  <c r="X12" i="26"/>
  <c r="U12" i="28" s="1"/>
  <c r="AD10" i="26"/>
  <c r="U10" i="28"/>
  <c r="AA10" i="28" s="1"/>
  <c r="Y12" i="26"/>
  <c r="V12" i="28" s="1"/>
  <c r="V10" i="28"/>
  <c r="AB10" i="28" s="1"/>
  <c r="AB12" i="28" s="1"/>
  <c r="AE10" i="26"/>
  <c r="AE12" i="26" s="1"/>
  <c r="K20" i="12"/>
  <c r="K186" i="32" s="1"/>
  <c r="Z22" i="6"/>
  <c r="Z217" i="32"/>
  <c r="Z220" i="32" s="1"/>
  <c r="G20" i="12"/>
  <c r="F20" i="12" s="1"/>
  <c r="F186" i="32" s="1"/>
  <c r="H186" i="32"/>
  <c r="H187" i="32"/>
  <c r="G20" i="13"/>
  <c r="V17" i="6"/>
  <c r="U17" i="12"/>
  <c r="U17" i="6" s="1"/>
  <c r="Z17" i="12"/>
  <c r="Z141" i="32" s="1"/>
  <c r="X141" i="32"/>
  <c r="N20" i="13"/>
  <c r="N187" i="32" s="1"/>
  <c r="Y22" i="6"/>
  <c r="AC17" i="6"/>
  <c r="X220" i="32"/>
  <c r="AC220" i="32"/>
  <c r="F5" i="12"/>
  <c r="F14" i="32" s="1"/>
  <c r="F16" i="32" s="1"/>
  <c r="G14" i="32"/>
  <c r="G16" i="32" s="1"/>
  <c r="F5" i="13"/>
  <c r="F17" i="32" s="1"/>
  <c r="G17" i="32"/>
  <c r="K23" i="32"/>
  <c r="K25" i="32" s="1"/>
  <c r="K19" i="32"/>
  <c r="Q205" i="32"/>
  <c r="L21" i="13"/>
  <c r="L203" i="32" s="1"/>
  <c r="M203" i="32"/>
  <c r="M205" i="32" s="1"/>
  <c r="I21" i="6"/>
  <c r="I203" i="32"/>
  <c r="I205" i="32" s="1"/>
  <c r="K52" i="32"/>
  <c r="K54" i="32" s="1"/>
  <c r="K45" i="32"/>
  <c r="R26" i="26"/>
  <c r="O26" i="28" s="1"/>
  <c r="O24" i="28"/>
  <c r="Z24" i="28"/>
  <c r="AC26" i="26"/>
  <c r="Z26" i="28" s="1"/>
  <c r="U15" i="28"/>
  <c r="AA15" i="28" s="1"/>
  <c r="AD15" i="26"/>
  <c r="X24" i="26"/>
  <c r="X26" i="26" s="1"/>
  <c r="W15" i="28"/>
  <c r="AC15" i="28" s="1"/>
  <c r="AC24" i="28" s="1"/>
  <c r="AC26" i="28" s="1"/>
  <c r="AF15" i="26"/>
  <c r="AF24" i="26" s="1"/>
  <c r="Z24" i="26"/>
  <c r="P24" i="28"/>
  <c r="S26" i="26"/>
  <c r="P26" i="28" s="1"/>
  <c r="V15" i="28"/>
  <c r="AB15" i="28" s="1"/>
  <c r="AE15" i="26"/>
  <c r="Y24" i="26"/>
  <c r="Y27" i="7"/>
  <c r="O7" i="4" s="1"/>
  <c r="O5" i="4"/>
  <c r="I8" i="12"/>
  <c r="N8" i="12"/>
  <c r="N43" i="32" s="1"/>
  <c r="K10" i="12"/>
  <c r="K8" i="6"/>
  <c r="K10" i="6" s="1"/>
  <c r="F8" i="13"/>
  <c r="G10" i="13"/>
  <c r="J8" i="13"/>
  <c r="J46" i="32" s="1"/>
  <c r="J48" i="32" s="1"/>
  <c r="N8" i="13"/>
  <c r="N46" i="32" s="1"/>
  <c r="N48" i="32" s="1"/>
  <c r="K10" i="13"/>
  <c r="G7" i="12"/>
  <c r="G5" i="6"/>
  <c r="K7" i="12"/>
  <c r="N5" i="12"/>
  <c r="N14" i="32" s="1"/>
  <c r="N16" i="32" s="1"/>
  <c r="J5" i="12"/>
  <c r="K5" i="6"/>
  <c r="K7" i="6" s="1"/>
  <c r="N5" i="13"/>
  <c r="N17" i="32" s="1"/>
  <c r="J5" i="13"/>
  <c r="J17" i="32" s="1"/>
  <c r="K7" i="13"/>
  <c r="L21" i="12"/>
  <c r="M21" i="6"/>
  <c r="T21" i="12"/>
  <c r="T202" i="32" s="1"/>
  <c r="P21" i="12"/>
  <c r="P202" i="32" s="1"/>
  <c r="Q21" i="6"/>
  <c r="T21" i="13"/>
  <c r="T203" i="32" s="1"/>
  <c r="P21" i="13"/>
  <c r="M24" i="9"/>
  <c r="G24" i="9"/>
  <c r="J24" i="9"/>
  <c r="P24" i="9"/>
  <c r="S24" i="9"/>
  <c r="AH25" i="24"/>
  <c r="T25" i="8"/>
  <c r="L8" i="4" s="1"/>
  <c r="AI25" i="8"/>
  <c r="AA8" i="4" s="1"/>
  <c r="W25" i="8"/>
  <c r="O8" i="4" s="1"/>
  <c r="Q25" i="8"/>
  <c r="I8" i="4" s="1"/>
  <c r="Z25" i="8"/>
  <c r="R8" i="4" s="1"/>
  <c r="N25" i="8"/>
  <c r="F8" i="4" s="1"/>
  <c r="S12" i="9"/>
  <c r="T12" i="9" s="1"/>
  <c r="AA12" i="9"/>
  <c r="AB10" i="9"/>
  <c r="AI13" i="8"/>
  <c r="AH13" i="24"/>
  <c r="Z13" i="8"/>
  <c r="Q12" i="9"/>
  <c r="G13" i="6"/>
  <c r="Q13" i="8"/>
  <c r="G12" i="9"/>
  <c r="AB15" i="9"/>
  <c r="J13" i="13"/>
  <c r="J11" i="6"/>
  <c r="T13" i="8"/>
  <c r="J12" i="9"/>
  <c r="N13" i="8"/>
  <c r="M12" i="9"/>
  <c r="AB19" i="9"/>
  <c r="Q24" i="9"/>
  <c r="R17" i="6"/>
  <c r="AB24" i="28" l="1"/>
  <c r="AB26" i="28" s="1"/>
  <c r="J20" i="12"/>
  <c r="J186" i="32" s="1"/>
  <c r="K187" i="32"/>
  <c r="K189" i="32" s="1"/>
  <c r="J20" i="13"/>
  <c r="N20" i="12"/>
  <c r="AA12" i="28"/>
  <c r="H11" i="13"/>
  <c r="AD12" i="26"/>
  <c r="H11" i="12"/>
  <c r="AE24" i="26"/>
  <c r="F7" i="12"/>
  <c r="J20" i="6"/>
  <c r="I20" i="12"/>
  <c r="I186" i="32" s="1"/>
  <c r="Y17" i="12"/>
  <c r="Y141" i="32" s="1"/>
  <c r="U141" i="32"/>
  <c r="H189" i="32"/>
  <c r="G187" i="32"/>
  <c r="F20" i="13"/>
  <c r="G186" i="32"/>
  <c r="G20" i="6"/>
  <c r="M20" i="13"/>
  <c r="L20" i="13" s="1"/>
  <c r="L187" i="32" s="1"/>
  <c r="Z17" i="6"/>
  <c r="Q20" i="13"/>
  <c r="Q187" i="32" s="1"/>
  <c r="N186" i="32"/>
  <c r="N189" i="32" s="1"/>
  <c r="M20" i="12"/>
  <c r="M186" i="32" s="1"/>
  <c r="Q20" i="12"/>
  <c r="F23" i="32"/>
  <c r="G23" i="32"/>
  <c r="F5" i="6"/>
  <c r="I5" i="12"/>
  <c r="I14" i="32" s="1"/>
  <c r="I16" i="32" s="1"/>
  <c r="J14" i="32"/>
  <c r="J16" i="32" s="1"/>
  <c r="F10" i="13"/>
  <c r="F46" i="32"/>
  <c r="F48" i="32" s="1"/>
  <c r="N23" i="32"/>
  <c r="N25" i="32" s="1"/>
  <c r="N19" i="32"/>
  <c r="T205" i="32"/>
  <c r="N52" i="32"/>
  <c r="N54" i="32" s="1"/>
  <c r="N45" i="32"/>
  <c r="I10" i="12"/>
  <c r="I43" i="32"/>
  <c r="L21" i="6"/>
  <c r="L202" i="32"/>
  <c r="L205" i="32" s="1"/>
  <c r="M187" i="32"/>
  <c r="O21" i="13"/>
  <c r="O203" i="32" s="1"/>
  <c r="P203" i="32"/>
  <c r="P205" i="32" s="1"/>
  <c r="Y26" i="26"/>
  <c r="V26" i="28" s="1"/>
  <c r="V24" i="28"/>
  <c r="H16" i="12"/>
  <c r="H126" i="32" s="1"/>
  <c r="AD24" i="26"/>
  <c r="AA24" i="28"/>
  <c r="AA26" i="28" s="1"/>
  <c r="H16" i="13"/>
  <c r="Z26" i="26"/>
  <c r="W26" i="28" s="1"/>
  <c r="W24" i="28"/>
  <c r="N24" i="9"/>
  <c r="I8" i="13"/>
  <c r="J10" i="13"/>
  <c r="L8" i="12"/>
  <c r="Q8" i="12"/>
  <c r="Q43" i="32" s="1"/>
  <c r="N10" i="12"/>
  <c r="N8" i="6"/>
  <c r="N10" i="6" s="1"/>
  <c r="Q8" i="13"/>
  <c r="Q46" i="32" s="1"/>
  <c r="Q48" i="32" s="1"/>
  <c r="M8" i="13"/>
  <c r="M46" i="32" s="1"/>
  <c r="M48" i="32" s="1"/>
  <c r="N10" i="13"/>
  <c r="I5" i="13"/>
  <c r="N7" i="12"/>
  <c r="Q5" i="12"/>
  <c r="Q14" i="32" s="1"/>
  <c r="Q16" i="32" s="1"/>
  <c r="M5" i="12"/>
  <c r="N5" i="6"/>
  <c r="N7" i="6" s="1"/>
  <c r="N7" i="13"/>
  <c r="Q5" i="13"/>
  <c r="Q17" i="32" s="1"/>
  <c r="M5" i="13"/>
  <c r="M17" i="32" s="1"/>
  <c r="J7" i="12"/>
  <c r="J5" i="6"/>
  <c r="W21" i="13"/>
  <c r="S21" i="13"/>
  <c r="O21" i="12"/>
  <c r="P21" i="6"/>
  <c r="W21" i="12"/>
  <c r="T21" i="6"/>
  <c r="S21" i="12"/>
  <c r="S202" i="32" s="1"/>
  <c r="K24" i="9"/>
  <c r="AB24" i="9"/>
  <c r="H24" i="9"/>
  <c r="T24" i="9"/>
  <c r="AG25" i="8"/>
  <c r="Y8" i="4" s="1"/>
  <c r="H12" i="9"/>
  <c r="AG13" i="8"/>
  <c r="AB12" i="9"/>
  <c r="AC10" i="9"/>
  <c r="K12" i="9"/>
  <c r="N12" i="9"/>
  <c r="T20" i="13"/>
  <c r="T187" i="32" s="1"/>
  <c r="J13" i="6"/>
  <c r="M13" i="13"/>
  <c r="M11" i="6"/>
  <c r="AC15" i="9"/>
  <c r="I86" i="20"/>
  <c r="H52" i="20"/>
  <c r="I20" i="13" l="1"/>
  <c r="I187" i="32" s="1"/>
  <c r="I189" i="32" s="1"/>
  <c r="J187" i="32"/>
  <c r="J189" i="32" s="1"/>
  <c r="Y17" i="6"/>
  <c r="H72" i="32"/>
  <c r="K11" i="12"/>
  <c r="H13" i="12"/>
  <c r="H11" i="6"/>
  <c r="H13" i="6" s="1"/>
  <c r="H75" i="32"/>
  <c r="H77" i="32" s="1"/>
  <c r="H13" i="13"/>
  <c r="K11" i="13"/>
  <c r="F11" i="13"/>
  <c r="M189" i="32"/>
  <c r="P20" i="13"/>
  <c r="O20" i="13" s="1"/>
  <c r="O187" i="32" s="1"/>
  <c r="M20" i="6"/>
  <c r="G189" i="32"/>
  <c r="F187" i="32"/>
  <c r="F189" i="32" s="1"/>
  <c r="F20" i="6"/>
  <c r="I7" i="12"/>
  <c r="L20" i="12"/>
  <c r="L186" i="32" s="1"/>
  <c r="L189" i="32" s="1"/>
  <c r="Q186" i="32"/>
  <c r="Q189" i="32" s="1"/>
  <c r="T20" i="12"/>
  <c r="P20" i="12"/>
  <c r="W202" i="32"/>
  <c r="AC202" i="32" s="1"/>
  <c r="AC21" i="12"/>
  <c r="L5" i="12"/>
  <c r="L14" i="32" s="1"/>
  <c r="L16" i="32" s="1"/>
  <c r="M14" i="32"/>
  <c r="M16" i="32" s="1"/>
  <c r="J23" i="32"/>
  <c r="H127" i="32"/>
  <c r="H129" i="32" s="1"/>
  <c r="H144" i="32"/>
  <c r="Q23" i="32"/>
  <c r="Q25" i="32" s="1"/>
  <c r="Q19" i="32"/>
  <c r="I10" i="13"/>
  <c r="I46" i="32"/>
  <c r="I48" i="32" s="1"/>
  <c r="W203" i="32"/>
  <c r="AC203" i="32" s="1"/>
  <c r="Z21" i="13"/>
  <c r="I5" i="6"/>
  <c r="I17" i="32"/>
  <c r="I23" i="32" s="1"/>
  <c r="R21" i="13"/>
  <c r="R203" i="32" s="1"/>
  <c r="S203" i="32"/>
  <c r="S205" i="32" s="1"/>
  <c r="Q52" i="32"/>
  <c r="Q54" i="32" s="1"/>
  <c r="Q45" i="32"/>
  <c r="L10" i="12"/>
  <c r="L43" i="32"/>
  <c r="O21" i="6"/>
  <c r="O202" i="32"/>
  <c r="O205" i="32" s="1"/>
  <c r="I45" i="32"/>
  <c r="W20" i="13"/>
  <c r="K16" i="13"/>
  <c r="G16" i="13"/>
  <c r="H25" i="13"/>
  <c r="K16" i="12"/>
  <c r="K126" i="32" s="1"/>
  <c r="G16" i="12"/>
  <c r="H25" i="12"/>
  <c r="H27" i="12" s="1"/>
  <c r="H16" i="6"/>
  <c r="Q8" i="6"/>
  <c r="Q10" i="6" s="1"/>
  <c r="P8" i="13"/>
  <c r="P46" i="32" s="1"/>
  <c r="P48" i="32" s="1"/>
  <c r="T8" i="13"/>
  <c r="T46" i="32" s="1"/>
  <c r="T48" i="32" s="1"/>
  <c r="Q10" i="13"/>
  <c r="Q10" i="12"/>
  <c r="T8" i="12"/>
  <c r="T43" i="32" s="1"/>
  <c r="O8" i="12"/>
  <c r="L8" i="13"/>
  <c r="M10" i="13"/>
  <c r="L5" i="13"/>
  <c r="L17" i="32" s="1"/>
  <c r="T5" i="12"/>
  <c r="T14" i="32" s="1"/>
  <c r="T16" i="32" s="1"/>
  <c r="Q7" i="12"/>
  <c r="P5" i="12"/>
  <c r="Q5" i="6"/>
  <c r="Q7" i="6" s="1"/>
  <c r="T5" i="13"/>
  <c r="T17" i="32" s="1"/>
  <c r="P5" i="13"/>
  <c r="Q7" i="13"/>
  <c r="M7" i="12"/>
  <c r="M5" i="6"/>
  <c r="V21" i="12"/>
  <c r="X21" i="12"/>
  <c r="AA21" i="12"/>
  <c r="AA202" i="32" s="1"/>
  <c r="W21" i="6"/>
  <c r="AC21" i="6" s="1"/>
  <c r="R21" i="12"/>
  <c r="S21" i="6"/>
  <c r="X21" i="13"/>
  <c r="V21" i="13"/>
  <c r="V203" i="32" s="1"/>
  <c r="Z203" i="32" s="1"/>
  <c r="P52" i="20"/>
  <c r="H85" i="20"/>
  <c r="AC12" i="9"/>
  <c r="S20" i="13"/>
  <c r="S187" i="32" s="1"/>
  <c r="M13" i="6"/>
  <c r="P13" i="13"/>
  <c r="P11" i="6"/>
  <c r="H25" i="6" l="1"/>
  <c r="I20" i="6"/>
  <c r="P187" i="32"/>
  <c r="K75" i="32"/>
  <c r="K77" i="32" s="1"/>
  <c r="N11" i="13"/>
  <c r="K13" i="13"/>
  <c r="I11" i="13"/>
  <c r="K72" i="32"/>
  <c r="K13" i="12"/>
  <c r="I11" i="12"/>
  <c r="N11" i="12"/>
  <c r="K11" i="6"/>
  <c r="K13" i="6" s="1"/>
  <c r="F75" i="32"/>
  <c r="F13" i="13"/>
  <c r="F11" i="6"/>
  <c r="F13" i="6" s="1"/>
  <c r="H74" i="32"/>
  <c r="H81" i="32"/>
  <c r="H83" i="32" s="1"/>
  <c r="L20" i="6"/>
  <c r="X202" i="32"/>
  <c r="P186" i="32"/>
  <c r="O20" i="12"/>
  <c r="O186" i="32" s="1"/>
  <c r="O189" i="32" s="1"/>
  <c r="S20" i="12"/>
  <c r="S20" i="6" s="1"/>
  <c r="W20" i="12"/>
  <c r="T186" i="32"/>
  <c r="T189" i="32" s="1"/>
  <c r="P20" i="6"/>
  <c r="L5" i="6"/>
  <c r="M23" i="32"/>
  <c r="L7" i="12"/>
  <c r="L23" i="32"/>
  <c r="AA203" i="32"/>
  <c r="AA205" i="32" s="1"/>
  <c r="X203" i="32"/>
  <c r="O5" i="12"/>
  <c r="O14" i="32" s="1"/>
  <c r="O16" i="32" s="1"/>
  <c r="P14" i="32"/>
  <c r="P16" i="32" s="1"/>
  <c r="W205" i="32"/>
  <c r="K127" i="32"/>
  <c r="K129" i="32" s="1"/>
  <c r="K144" i="32"/>
  <c r="G25" i="13"/>
  <c r="G17" i="4" s="1"/>
  <c r="G144" i="32"/>
  <c r="G127" i="32"/>
  <c r="O5" i="13"/>
  <c r="O17" i="32" s="1"/>
  <c r="P17" i="32"/>
  <c r="L10" i="13"/>
  <c r="L46" i="32"/>
  <c r="L48" i="32" s="1"/>
  <c r="W187" i="32"/>
  <c r="AC187" i="32" s="1"/>
  <c r="Z20" i="13"/>
  <c r="T23" i="32"/>
  <c r="T25" i="32" s="1"/>
  <c r="T19" i="32"/>
  <c r="I52" i="32"/>
  <c r="I54" i="32" s="1"/>
  <c r="R21" i="6"/>
  <c r="R202" i="32"/>
  <c r="R205" i="32" s="1"/>
  <c r="L45" i="32"/>
  <c r="O10" i="12"/>
  <c r="O43" i="32"/>
  <c r="U21" i="12"/>
  <c r="U202" i="32" s="1"/>
  <c r="V202" i="32"/>
  <c r="V205" i="32" s="1"/>
  <c r="T45" i="32"/>
  <c r="T52" i="32"/>
  <c r="T54" i="32" s="1"/>
  <c r="F16" i="12"/>
  <c r="F126" i="32" s="1"/>
  <c r="G126" i="32"/>
  <c r="V20" i="13"/>
  <c r="V187" i="32" s="1"/>
  <c r="X20" i="13"/>
  <c r="G16" i="6"/>
  <c r="G25" i="12"/>
  <c r="G27" i="12" s="1"/>
  <c r="J16" i="12"/>
  <c r="N16" i="12"/>
  <c r="N126" i="32" s="1"/>
  <c r="K16" i="6"/>
  <c r="K25" i="12"/>
  <c r="K27" i="12" s="1"/>
  <c r="H27" i="13"/>
  <c r="H19" i="4" s="1"/>
  <c r="H17" i="4"/>
  <c r="F16" i="13"/>
  <c r="N16" i="13"/>
  <c r="J16" i="13"/>
  <c r="K25" i="13"/>
  <c r="W8" i="12"/>
  <c r="T10" i="12"/>
  <c r="R8" i="12"/>
  <c r="T8" i="6"/>
  <c r="T10" i="6" s="1"/>
  <c r="S8" i="13"/>
  <c r="S46" i="32" s="1"/>
  <c r="S48" i="32" s="1"/>
  <c r="T10" i="13"/>
  <c r="W8" i="13"/>
  <c r="O8" i="13"/>
  <c r="P10" i="13"/>
  <c r="P7" i="12"/>
  <c r="P5" i="6"/>
  <c r="W5" i="12"/>
  <c r="S5" i="12"/>
  <c r="S14" i="32" s="1"/>
  <c r="S16" i="32" s="1"/>
  <c r="T7" i="12"/>
  <c r="T5" i="6"/>
  <c r="T7" i="6" s="1"/>
  <c r="W5" i="13"/>
  <c r="S5" i="13"/>
  <c r="S17" i="32" s="1"/>
  <c r="T7" i="13"/>
  <c r="X21" i="6"/>
  <c r="Z21" i="12"/>
  <c r="Z202" i="32" s="1"/>
  <c r="Z205" i="32" s="1"/>
  <c r="AA21" i="6"/>
  <c r="U21" i="13"/>
  <c r="U203" i="32" s="1"/>
  <c r="Y203" i="32" s="1"/>
  <c r="V21" i="6"/>
  <c r="R20" i="13"/>
  <c r="P13" i="6"/>
  <c r="S13" i="13"/>
  <c r="S11" i="6"/>
  <c r="Z11" i="6"/>
  <c r="H86" i="20"/>
  <c r="P189" i="32" l="1"/>
  <c r="K25" i="6"/>
  <c r="N72" i="32"/>
  <c r="Q11" i="12"/>
  <c r="N13" i="12"/>
  <c r="L11" i="12"/>
  <c r="N11" i="6"/>
  <c r="N13" i="6" s="1"/>
  <c r="I72" i="32"/>
  <c r="I13" i="12"/>
  <c r="I11" i="6"/>
  <c r="I13" i="6" s="1"/>
  <c r="F81" i="32"/>
  <c r="F83" i="32" s="1"/>
  <c r="F77" i="32"/>
  <c r="K74" i="32"/>
  <c r="K81" i="32"/>
  <c r="K83" i="32" s="1"/>
  <c r="I75" i="32"/>
  <c r="I77" i="32" s="1"/>
  <c r="I13" i="13"/>
  <c r="N75" i="32"/>
  <c r="N77" i="32" s="1"/>
  <c r="L11" i="13"/>
  <c r="Q11" i="13"/>
  <c r="N13" i="13"/>
  <c r="S23" i="32"/>
  <c r="O20" i="6"/>
  <c r="O5" i="6"/>
  <c r="O7" i="12"/>
  <c r="S186" i="32"/>
  <c r="S189" i="32" s="1"/>
  <c r="R20" i="12"/>
  <c r="R186" i="32" s="1"/>
  <c r="O23" i="32"/>
  <c r="V20" i="12"/>
  <c r="V186" i="32" s="1"/>
  <c r="V189" i="32" s="1"/>
  <c r="W186" i="32"/>
  <c r="W189" i="32" s="1"/>
  <c r="X189" i="32" s="1"/>
  <c r="X20" i="12"/>
  <c r="AC20" i="12"/>
  <c r="AA20" i="12"/>
  <c r="P23" i="32"/>
  <c r="G129" i="32"/>
  <c r="AA187" i="32"/>
  <c r="X187" i="32"/>
  <c r="W43" i="32"/>
  <c r="AC43" i="32" s="1"/>
  <c r="AC8" i="12"/>
  <c r="X205" i="32"/>
  <c r="AC205" i="32"/>
  <c r="AC5" i="12"/>
  <c r="W14" i="32"/>
  <c r="Z5" i="13"/>
  <c r="W17" i="32"/>
  <c r="AC17" i="32" s="1"/>
  <c r="L52" i="32"/>
  <c r="L54" i="32" s="1"/>
  <c r="O10" i="13"/>
  <c r="O46" i="32"/>
  <c r="O48" i="32" s="1"/>
  <c r="J25" i="13"/>
  <c r="J17" i="4" s="1"/>
  <c r="J127" i="32"/>
  <c r="J144" i="32"/>
  <c r="Z8" i="13"/>
  <c r="W46" i="32"/>
  <c r="AC46" i="32" s="1"/>
  <c r="N144" i="32"/>
  <c r="N127" i="32"/>
  <c r="N129" i="32" s="1"/>
  <c r="R5" i="13"/>
  <c r="R17" i="32" s="1"/>
  <c r="F25" i="13"/>
  <c r="F17" i="4" s="1"/>
  <c r="F144" i="32"/>
  <c r="F127" i="32"/>
  <c r="F129" i="32" s="1"/>
  <c r="F25" i="12"/>
  <c r="F27" i="12" s="1"/>
  <c r="I16" i="12"/>
  <c r="J126" i="32"/>
  <c r="R187" i="32"/>
  <c r="R10" i="12"/>
  <c r="R43" i="32"/>
  <c r="X20" i="6"/>
  <c r="AC20" i="6"/>
  <c r="U205" i="32"/>
  <c r="Z187" i="32"/>
  <c r="O45" i="32"/>
  <c r="U20" i="13"/>
  <c r="Q16" i="12"/>
  <c r="Q126" i="32" s="1"/>
  <c r="M16" i="12"/>
  <c r="N16" i="6"/>
  <c r="N25" i="6" s="1"/>
  <c r="N25" i="12"/>
  <c r="N27" i="12" s="1"/>
  <c r="M16" i="13"/>
  <c r="Q16" i="13"/>
  <c r="N25" i="13"/>
  <c r="J16" i="6"/>
  <c r="J25" i="12"/>
  <c r="J27" i="12" s="1"/>
  <c r="K27" i="13"/>
  <c r="K19" i="4" s="1"/>
  <c r="K17" i="4"/>
  <c r="F16" i="6"/>
  <c r="I16" i="13"/>
  <c r="R8" i="13"/>
  <c r="S10" i="13"/>
  <c r="V8" i="13"/>
  <c r="V46" i="32" s="1"/>
  <c r="W10" i="13"/>
  <c r="X8" i="13"/>
  <c r="AA8" i="12"/>
  <c r="AA43" i="32" s="1"/>
  <c r="W10" i="12"/>
  <c r="AC10" i="12" s="1"/>
  <c r="U8" i="12"/>
  <c r="U43" i="32" s="1"/>
  <c r="W8" i="6"/>
  <c r="V5" i="13"/>
  <c r="W7" i="13"/>
  <c r="X5" i="13"/>
  <c r="W7" i="12"/>
  <c r="X5" i="12"/>
  <c r="V5" i="12"/>
  <c r="AA5" i="12"/>
  <c r="AA14" i="32" s="1"/>
  <c r="AA16" i="32" s="1"/>
  <c r="W5" i="6"/>
  <c r="AC5" i="6" s="1"/>
  <c r="R5" i="12"/>
  <c r="R14" i="32" s="1"/>
  <c r="R16" i="32" s="1"/>
  <c r="S7" i="12"/>
  <c r="S5" i="6"/>
  <c r="Y21" i="12"/>
  <c r="Z21" i="6"/>
  <c r="U21" i="6"/>
  <c r="S13" i="6"/>
  <c r="Z13" i="6"/>
  <c r="L75" i="32" l="1"/>
  <c r="L77" i="32" s="1"/>
  <c r="L13" i="13"/>
  <c r="I74" i="32"/>
  <c r="I81" i="32"/>
  <c r="I83" i="32" s="1"/>
  <c r="L72" i="32"/>
  <c r="L13" i="12"/>
  <c r="L11" i="6"/>
  <c r="L13" i="6" s="1"/>
  <c r="Q72" i="32"/>
  <c r="O11" i="12"/>
  <c r="T11" i="12"/>
  <c r="Q13" i="12"/>
  <c r="Q11" i="6"/>
  <c r="Q13" i="6" s="1"/>
  <c r="Q75" i="32"/>
  <c r="Q77" i="32" s="1"/>
  <c r="T11" i="13"/>
  <c r="Q13" i="13"/>
  <c r="O11" i="13"/>
  <c r="N74" i="32"/>
  <c r="N81" i="32"/>
  <c r="N83" i="32" s="1"/>
  <c r="R20" i="6"/>
  <c r="V20" i="6"/>
  <c r="W45" i="32"/>
  <c r="AC45" i="32" s="1"/>
  <c r="R189" i="32"/>
  <c r="W52" i="32"/>
  <c r="AC52" i="32" s="1"/>
  <c r="AA186" i="32"/>
  <c r="Z20" i="12"/>
  <c r="Y20" i="12" s="1"/>
  <c r="U20" i="12"/>
  <c r="U186" i="32" s="1"/>
  <c r="AC186" i="32"/>
  <c r="X186" i="32"/>
  <c r="AC189" i="32"/>
  <c r="J129" i="32"/>
  <c r="U5" i="12"/>
  <c r="U14" i="32" s="1"/>
  <c r="U16" i="32" s="1"/>
  <c r="V14" i="32"/>
  <c r="V16" i="32" s="1"/>
  <c r="X7" i="12"/>
  <c r="AC7" i="12"/>
  <c r="R23" i="32"/>
  <c r="AC14" i="32"/>
  <c r="X14" i="32"/>
  <c r="W16" i="32"/>
  <c r="AA46" i="32"/>
  <c r="AA48" i="32" s="1"/>
  <c r="W48" i="32"/>
  <c r="X46" i="32"/>
  <c r="X10" i="13"/>
  <c r="Z10" i="13"/>
  <c r="Z46" i="32"/>
  <c r="Z48" i="32" s="1"/>
  <c r="V48" i="32"/>
  <c r="V52" i="32"/>
  <c r="V54" i="32" s="1"/>
  <c r="U5" i="13"/>
  <c r="V17" i="32"/>
  <c r="X7" i="13"/>
  <c r="Z7" i="13"/>
  <c r="R10" i="13"/>
  <c r="R46" i="32"/>
  <c r="R48" i="32" s="1"/>
  <c r="Q127" i="32"/>
  <c r="Q129" i="32" s="1"/>
  <c r="Q144" i="32"/>
  <c r="I127" i="32"/>
  <c r="I144" i="32"/>
  <c r="M25" i="13"/>
  <c r="M17" i="4" s="1"/>
  <c r="M144" i="32"/>
  <c r="M127" i="32"/>
  <c r="O52" i="32"/>
  <c r="O54" i="32" s="1"/>
  <c r="AA17" i="32"/>
  <c r="X17" i="32"/>
  <c r="W23" i="32"/>
  <c r="AC23" i="32" s="1"/>
  <c r="W19" i="32"/>
  <c r="W10" i="6"/>
  <c r="U45" i="32"/>
  <c r="R45" i="32"/>
  <c r="Y21" i="6"/>
  <c r="Y202" i="32"/>
  <c r="Y205" i="32" s="1"/>
  <c r="L16" i="12"/>
  <c r="M126" i="32"/>
  <c r="W54" i="32"/>
  <c r="X52" i="32"/>
  <c r="AA45" i="32"/>
  <c r="U187" i="32"/>
  <c r="I25" i="12"/>
  <c r="I27" i="12" s="1"/>
  <c r="I126" i="32"/>
  <c r="I16" i="6"/>
  <c r="I25" i="13"/>
  <c r="I17" i="4" s="1"/>
  <c r="T16" i="13"/>
  <c r="P16" i="13"/>
  <c r="Q25" i="13"/>
  <c r="N27" i="13"/>
  <c r="N19" i="4" s="1"/>
  <c r="N17" i="4"/>
  <c r="M16" i="6"/>
  <c r="M25" i="12"/>
  <c r="M27" i="12" s="1"/>
  <c r="L16" i="13"/>
  <c r="P16" i="12"/>
  <c r="T16" i="12"/>
  <c r="T126" i="32" s="1"/>
  <c r="Q16" i="6"/>
  <c r="Q25" i="12"/>
  <c r="Q27" i="12" s="1"/>
  <c r="Y8" i="12"/>
  <c r="AA10" i="12"/>
  <c r="U8" i="13"/>
  <c r="V10" i="13"/>
  <c r="V8" i="6"/>
  <c r="V10" i="6" s="1"/>
  <c r="U10" i="12"/>
  <c r="R7" i="12"/>
  <c r="R5" i="6"/>
  <c r="W7" i="6"/>
  <c r="X5" i="6"/>
  <c r="AA7" i="12"/>
  <c r="Z5" i="12"/>
  <c r="AA5" i="6"/>
  <c r="AA7" i="6" s="1"/>
  <c r="V7" i="13"/>
  <c r="V7" i="12"/>
  <c r="V5" i="6"/>
  <c r="F25" i="9"/>
  <c r="F26" i="9" s="1"/>
  <c r="O25" i="9"/>
  <c r="O26" i="9" s="1"/>
  <c r="R25" i="9"/>
  <c r="R26" i="9" s="1"/>
  <c r="I25" i="9"/>
  <c r="I26" i="9" s="1"/>
  <c r="L25" i="9"/>
  <c r="L26" i="9" s="1"/>
  <c r="Q25" i="6" l="1"/>
  <c r="Q74" i="32"/>
  <c r="Q81" i="32"/>
  <c r="Q83" i="32" s="1"/>
  <c r="R11" i="13"/>
  <c r="T13" i="13"/>
  <c r="W11" i="13"/>
  <c r="T75" i="32"/>
  <c r="T77" i="32" s="1"/>
  <c r="O75" i="32"/>
  <c r="O77" i="32" s="1"/>
  <c r="O13" i="13"/>
  <c r="L74" i="32"/>
  <c r="L81" i="32"/>
  <c r="L83" i="32" s="1"/>
  <c r="T13" i="12"/>
  <c r="W11" i="12"/>
  <c r="T72" i="32"/>
  <c r="R11" i="12"/>
  <c r="T11" i="6"/>
  <c r="T13" i="6" s="1"/>
  <c r="O72" i="32"/>
  <c r="O13" i="12"/>
  <c r="O11" i="6"/>
  <c r="O13" i="6" s="1"/>
  <c r="U7" i="12"/>
  <c r="U20" i="6"/>
  <c r="U5" i="6"/>
  <c r="U7" i="6" s="1"/>
  <c r="Z186" i="32"/>
  <c r="Z189" i="32" s="1"/>
  <c r="Z20" i="6"/>
  <c r="Y186" i="32"/>
  <c r="R52" i="32"/>
  <c r="R54" i="32" s="1"/>
  <c r="M129" i="32"/>
  <c r="Y5" i="12"/>
  <c r="Y14" i="32" s="1"/>
  <c r="Y16" i="32" s="1"/>
  <c r="Z14" i="32"/>
  <c r="Z16" i="32" s="1"/>
  <c r="X54" i="32"/>
  <c r="AC54" i="32"/>
  <c r="X48" i="32"/>
  <c r="AC48" i="32"/>
  <c r="X19" i="32"/>
  <c r="AC19" i="32"/>
  <c r="X16" i="32"/>
  <c r="AC16" i="32"/>
  <c r="P25" i="13"/>
  <c r="P17" i="4" s="1"/>
  <c r="P127" i="32"/>
  <c r="P144" i="32"/>
  <c r="T127" i="32"/>
  <c r="T129" i="32" s="1"/>
  <c r="T144" i="32"/>
  <c r="Z17" i="32"/>
  <c r="V23" i="32"/>
  <c r="V25" i="32" s="1"/>
  <c r="V19" i="32"/>
  <c r="L127" i="32"/>
  <c r="L144" i="32"/>
  <c r="AA23" i="32"/>
  <c r="AA25" i="32" s="1"/>
  <c r="AA19" i="32"/>
  <c r="U7" i="13"/>
  <c r="U17" i="32"/>
  <c r="U10" i="13"/>
  <c r="U46" i="32"/>
  <c r="I129" i="32"/>
  <c r="X23" i="32"/>
  <c r="W25" i="32"/>
  <c r="U8" i="6"/>
  <c r="U10" i="6" s="1"/>
  <c r="O16" i="12"/>
  <c r="P126" i="32"/>
  <c r="Y187" i="32"/>
  <c r="U189" i="32"/>
  <c r="X7" i="6"/>
  <c r="AC7" i="6"/>
  <c r="Y10" i="12"/>
  <c r="Y43" i="32"/>
  <c r="L25" i="12"/>
  <c r="L27" i="12" s="1"/>
  <c r="L126" i="32"/>
  <c r="O16" i="13"/>
  <c r="W16" i="12"/>
  <c r="S16" i="12"/>
  <c r="T16" i="6"/>
  <c r="T25" i="12"/>
  <c r="T27" i="12" s="1"/>
  <c r="Q27" i="13"/>
  <c r="Q19" i="4" s="1"/>
  <c r="Q17" i="4"/>
  <c r="P16" i="6"/>
  <c r="P25" i="12"/>
  <c r="P27" i="12" s="1"/>
  <c r="L16" i="6"/>
  <c r="L25" i="13"/>
  <c r="L17" i="4" s="1"/>
  <c r="S16" i="13"/>
  <c r="W16" i="13"/>
  <c r="T25" i="13"/>
  <c r="V7" i="6"/>
  <c r="Z7" i="12"/>
  <c r="Z5" i="6"/>
  <c r="AA25" i="9"/>
  <c r="O74" i="32" l="1"/>
  <c r="O81" i="32"/>
  <c r="O83" i="32" s="1"/>
  <c r="R72" i="32"/>
  <c r="R13" i="12"/>
  <c r="R11" i="6"/>
  <c r="R13" i="6" s="1"/>
  <c r="T74" i="32"/>
  <c r="T81" i="32"/>
  <c r="T83" i="32" s="1"/>
  <c r="U11" i="13"/>
  <c r="Z11" i="13"/>
  <c r="W75" i="32"/>
  <c r="W13" i="13"/>
  <c r="U11" i="12"/>
  <c r="AC11" i="12"/>
  <c r="AA11" i="12"/>
  <c r="W13" i="12"/>
  <c r="W72" i="32"/>
  <c r="W11" i="6"/>
  <c r="R75" i="32"/>
  <c r="R77" i="32" s="1"/>
  <c r="R13" i="13"/>
  <c r="T25" i="6"/>
  <c r="Y7" i="12"/>
  <c r="Y5" i="6"/>
  <c r="P129" i="32"/>
  <c r="L129" i="32"/>
  <c r="X25" i="32"/>
  <c r="AC25" i="32"/>
  <c r="W126" i="32"/>
  <c r="AC126" i="32" s="1"/>
  <c r="AC16" i="12"/>
  <c r="Y17" i="32"/>
  <c r="U23" i="32"/>
  <c r="U25" i="32" s="1"/>
  <c r="U19" i="32"/>
  <c r="Z23" i="32"/>
  <c r="Z25" i="32" s="1"/>
  <c r="Z19" i="32"/>
  <c r="Z16" i="13"/>
  <c r="W127" i="32"/>
  <c r="S25" i="13"/>
  <c r="S17" i="4" s="1"/>
  <c r="S127" i="32"/>
  <c r="S144" i="32"/>
  <c r="O16" i="6"/>
  <c r="O144" i="32"/>
  <c r="O127" i="32"/>
  <c r="Y46" i="32"/>
  <c r="Y48" i="32" s="1"/>
  <c r="U48" i="32"/>
  <c r="U52" i="32"/>
  <c r="U54" i="32" s="1"/>
  <c r="R16" i="12"/>
  <c r="S126" i="32"/>
  <c r="Y45" i="32"/>
  <c r="O25" i="12"/>
  <c r="O27" i="12" s="1"/>
  <c r="O126" i="32"/>
  <c r="O25" i="13"/>
  <c r="O17" i="4" s="1"/>
  <c r="R16" i="13"/>
  <c r="R25" i="13" s="1"/>
  <c r="R17" i="4" s="1"/>
  <c r="V16" i="13"/>
  <c r="U16" i="13" s="1"/>
  <c r="X16" i="13"/>
  <c r="W25" i="13"/>
  <c r="Z25" i="13" s="1"/>
  <c r="S16" i="6"/>
  <c r="S25" i="12"/>
  <c r="V16" i="12"/>
  <c r="V126" i="32" s="1"/>
  <c r="X16" i="12"/>
  <c r="AA16" i="12"/>
  <c r="AA126" i="32" s="1"/>
  <c r="W16" i="6"/>
  <c r="AC16" i="6" s="1"/>
  <c r="W25" i="12"/>
  <c r="AC25" i="12" s="1"/>
  <c r="T27" i="13"/>
  <c r="T19" i="4" s="1"/>
  <c r="T17" i="4"/>
  <c r="AC72" i="32" l="1"/>
  <c r="W74" i="32"/>
  <c r="W81" i="32"/>
  <c r="AC13" i="12"/>
  <c r="X13" i="12"/>
  <c r="AA72" i="32"/>
  <c r="Y11" i="12"/>
  <c r="AA13" i="12"/>
  <c r="AA11" i="6"/>
  <c r="AA13" i="6" s="1"/>
  <c r="U72" i="32"/>
  <c r="U13" i="12"/>
  <c r="Z13" i="13"/>
  <c r="X13" i="13"/>
  <c r="R74" i="32"/>
  <c r="R81" i="32"/>
  <c r="R83" i="32" s="1"/>
  <c r="AC75" i="32"/>
  <c r="AA75" i="32"/>
  <c r="AA77" i="32" s="1"/>
  <c r="W77" i="32"/>
  <c r="U11" i="6"/>
  <c r="U13" i="6" s="1"/>
  <c r="U75" i="32"/>
  <c r="U13" i="13"/>
  <c r="S27" i="12"/>
  <c r="S14" i="4"/>
  <c r="X11" i="6"/>
  <c r="AC11" i="6"/>
  <c r="W13" i="6"/>
  <c r="S129" i="32"/>
  <c r="O129" i="32"/>
  <c r="R16" i="6"/>
  <c r="X126" i="32"/>
  <c r="W129" i="32"/>
  <c r="AC127" i="32"/>
  <c r="AA142" i="32"/>
  <c r="AA144" i="32" s="1"/>
  <c r="X142" i="32"/>
  <c r="W144" i="32"/>
  <c r="U127" i="32"/>
  <c r="Y127" i="32" s="1"/>
  <c r="V25" i="13"/>
  <c r="V17" i="4" s="1"/>
  <c r="Z17" i="4" s="1"/>
  <c r="Z19" i="4" s="1"/>
  <c r="V127" i="32"/>
  <c r="Z127" i="32" s="1"/>
  <c r="R127" i="32"/>
  <c r="R144" i="32"/>
  <c r="AA127" i="32"/>
  <c r="AA129" i="32" s="1"/>
  <c r="X127" i="32"/>
  <c r="Y23" i="32"/>
  <c r="Y25" i="32" s="1"/>
  <c r="Y19" i="32"/>
  <c r="R25" i="12"/>
  <c r="R27" i="12" s="1"/>
  <c r="R126" i="32"/>
  <c r="U16" i="12"/>
  <c r="U16" i="6" s="1"/>
  <c r="U25" i="6" s="1"/>
  <c r="U27" i="6" s="1"/>
  <c r="V16" i="6"/>
  <c r="V25" i="6" s="1"/>
  <c r="V27" i="6" s="1"/>
  <c r="V25" i="12"/>
  <c r="U25" i="13"/>
  <c r="X25" i="12"/>
  <c r="W27" i="12"/>
  <c r="AC27" i="12" s="1"/>
  <c r="W14" i="4"/>
  <c r="AC14" i="4" s="1"/>
  <c r="X25" i="13"/>
  <c r="W17" i="4"/>
  <c r="AC17" i="4" s="1"/>
  <c r="W27" i="13"/>
  <c r="Z27" i="13" s="1"/>
  <c r="X16" i="6"/>
  <c r="W25" i="6"/>
  <c r="W27" i="6" s="1"/>
  <c r="Z16" i="12"/>
  <c r="Z126" i="32" s="1"/>
  <c r="AA16" i="6"/>
  <c r="AA25" i="12"/>
  <c r="AA27" i="12" s="1"/>
  <c r="C27" i="24"/>
  <c r="J25" i="24"/>
  <c r="Y72" i="32" l="1"/>
  <c r="Y13" i="12"/>
  <c r="Y11" i="6"/>
  <c r="Y13" i="6" s="1"/>
  <c r="AA74" i="32"/>
  <c r="AA81" i="32"/>
  <c r="AA83" i="32" s="1"/>
  <c r="U77" i="32"/>
  <c r="Y75" i="32"/>
  <c r="Y77" i="32" s="1"/>
  <c r="AC81" i="32"/>
  <c r="W83" i="32"/>
  <c r="X81" i="32"/>
  <c r="AC13" i="6"/>
  <c r="X13" i="6"/>
  <c r="X77" i="32"/>
  <c r="AC77" i="32"/>
  <c r="U74" i="32"/>
  <c r="U81" i="32"/>
  <c r="U83" i="32" s="1"/>
  <c r="X74" i="32"/>
  <c r="AC74" i="32"/>
  <c r="J27" i="24"/>
  <c r="AL27" i="24"/>
  <c r="R129" i="32"/>
  <c r="V27" i="13"/>
  <c r="V19" i="4" s="1"/>
  <c r="X129" i="32"/>
  <c r="AC129" i="32"/>
  <c r="X144" i="32"/>
  <c r="AC144" i="32"/>
  <c r="Z142" i="32"/>
  <c r="Z144" i="32" s="1"/>
  <c r="V144" i="32"/>
  <c r="V129" i="32"/>
  <c r="Z129" i="32"/>
  <c r="Y142" i="32"/>
  <c r="Y144" i="32" s="1"/>
  <c r="U144" i="32"/>
  <c r="U25" i="12"/>
  <c r="U27" i="12" s="1"/>
  <c r="U16" i="4" s="1"/>
  <c r="U126" i="32"/>
  <c r="U129" i="32" s="1"/>
  <c r="Y16" i="12"/>
  <c r="Y126" i="32" s="1"/>
  <c r="Y129" i="32" s="1"/>
  <c r="X27" i="12"/>
  <c r="W16" i="4"/>
  <c r="Z16" i="6"/>
  <c r="Z25" i="12"/>
  <c r="Z27" i="12" s="1"/>
  <c r="U27" i="13"/>
  <c r="U19" i="4" s="1"/>
  <c r="U17" i="4"/>
  <c r="Y17" i="4" s="1"/>
  <c r="Y19" i="4" s="1"/>
  <c r="X27" i="13"/>
  <c r="W19" i="4"/>
  <c r="V14" i="4"/>
  <c r="V23" i="4" s="1"/>
  <c r="V25" i="4" s="1"/>
  <c r="V27" i="12"/>
  <c r="V16" i="4" s="1"/>
  <c r="X14" i="4"/>
  <c r="W23" i="4"/>
  <c r="W25" i="4" s="1"/>
  <c r="X17" i="4"/>
  <c r="AA17" i="4"/>
  <c r="AA19" i="4" s="1"/>
  <c r="U24" i="28"/>
  <c r="O26" i="26"/>
  <c r="L24" i="28"/>
  <c r="M24" i="28" s="1"/>
  <c r="X83" i="32" l="1"/>
  <c r="AC83" i="32"/>
  <c r="Y74" i="32"/>
  <c r="Y81" i="32"/>
  <c r="Y83" i="32" s="1"/>
  <c r="U14" i="4"/>
  <c r="U23" i="4" s="1"/>
  <c r="U25" i="4" s="1"/>
  <c r="Y25" i="12"/>
  <c r="Y27" i="12" s="1"/>
  <c r="Y16" i="6"/>
  <c r="X19" i="4"/>
  <c r="AC19" i="4"/>
  <c r="X16" i="4"/>
  <c r="AC16" i="4"/>
  <c r="E74" i="23"/>
  <c r="G74" i="23"/>
  <c r="U26" i="28"/>
  <c r="L26" i="28"/>
  <c r="M26" i="28" s="1"/>
  <c r="H74" i="23"/>
  <c r="F74" i="23"/>
  <c r="G26" i="3"/>
  <c r="AO26" i="3" l="1"/>
  <c r="AS26" i="3"/>
  <c r="C27" i="8"/>
  <c r="I74" i="23"/>
  <c r="J27" i="8" l="1"/>
  <c r="AK27" i="8"/>
  <c r="AH26" i="26"/>
  <c r="AF26" i="26"/>
  <c r="AD26" i="26"/>
  <c r="AG26" i="26"/>
  <c r="AE26" i="26"/>
  <c r="H16" i="4" l="1"/>
  <c r="H14" i="4"/>
  <c r="F16" i="4" l="1"/>
  <c r="F14" i="4"/>
  <c r="K14" i="4"/>
  <c r="K16" i="4"/>
  <c r="G16" i="4"/>
  <c r="G14" i="4"/>
  <c r="N14" i="4" l="1"/>
  <c r="N16" i="4"/>
  <c r="J14" i="4"/>
  <c r="J16" i="4"/>
  <c r="Q16" i="4" l="1"/>
  <c r="Q14" i="4"/>
  <c r="M14" i="4"/>
  <c r="M16" i="4"/>
  <c r="I16" i="4"/>
  <c r="I14" i="4"/>
  <c r="T14" i="4" l="1"/>
  <c r="L14" i="4"/>
  <c r="L16" i="4"/>
  <c r="P16" i="4"/>
  <c r="P14" i="4"/>
  <c r="S16" i="4" l="1"/>
  <c r="AA14" i="4"/>
  <c r="AA16" i="4"/>
  <c r="T16" i="4"/>
  <c r="O14" i="4"/>
  <c r="O16" i="4"/>
  <c r="R14" i="4" l="1"/>
  <c r="R16" i="4"/>
  <c r="Z14" i="4"/>
  <c r="Z16" i="4"/>
  <c r="Y14" i="4" l="1"/>
  <c r="Y16" i="4"/>
  <c r="E267" i="31" l="1"/>
  <c r="E268" i="31" s="1"/>
  <c r="P29" i="20"/>
  <c r="P85" i="20"/>
  <c r="J86" i="20" l="1"/>
  <c r="P86" i="20" s="1"/>
  <c r="S19" i="24" l="1"/>
  <c r="S19" i="8" s="1"/>
  <c r="P19" i="24"/>
  <c r="P19" i="8" s="1"/>
  <c r="AB19" i="24"/>
  <c r="AB19" i="8" s="1"/>
  <c r="Y19" i="24"/>
  <c r="Y19" i="8" s="1"/>
  <c r="V19" i="24"/>
  <c r="V19" i="8" s="1"/>
  <c r="V18" i="24"/>
  <c r="V18" i="8" s="1"/>
  <c r="Y18" i="24"/>
  <c r="Y18" i="8" s="1"/>
  <c r="S18" i="24"/>
  <c r="S18" i="8" s="1"/>
  <c r="P18" i="24"/>
  <c r="P18" i="8" s="1"/>
  <c r="AB18" i="24"/>
  <c r="AB18" i="8" s="1"/>
  <c r="P46" i="24"/>
  <c r="P41" i="8" s="1"/>
  <c r="H306" i="32" s="1"/>
  <c r="H311" i="32" s="1"/>
  <c r="Y46" i="24"/>
  <c r="Y41" i="8" s="1"/>
  <c r="Q306" i="32" s="1"/>
  <c r="Q311" i="32" s="1"/>
  <c r="S46" i="24"/>
  <c r="S41" i="8" s="1"/>
  <c r="K306" i="32" s="1"/>
  <c r="K311" i="32" s="1"/>
  <c r="AB46" i="24"/>
  <c r="AB41" i="8" s="1"/>
  <c r="T306" i="32" s="1"/>
  <c r="T311" i="32" s="1"/>
  <c r="V46" i="24"/>
  <c r="V41" i="8" s="1"/>
  <c r="N306" i="32" s="1"/>
  <c r="N311" i="32" s="1"/>
  <c r="S15" i="24"/>
  <c r="S15" i="8" s="1"/>
  <c r="P15" i="8"/>
  <c r="V15" i="24"/>
  <c r="V15" i="8" s="1"/>
  <c r="Y15" i="24"/>
  <c r="Y15" i="8" s="1"/>
  <c r="AB15" i="24"/>
  <c r="AB15" i="8" s="1"/>
  <c r="S44" i="24"/>
  <c r="S39" i="8" s="1"/>
  <c r="K276" i="32" s="1"/>
  <c r="K281" i="32" s="1"/>
  <c r="V44" i="24"/>
  <c r="V39" i="8" s="1"/>
  <c r="N276" i="32" s="1"/>
  <c r="N281" i="32" s="1"/>
  <c r="Y44" i="24"/>
  <c r="Y39" i="8" s="1"/>
  <c r="Q276" i="32" s="1"/>
  <c r="Q281" i="32" s="1"/>
  <c r="P44" i="24"/>
  <c r="P39" i="8" s="1"/>
  <c r="H276" i="32" s="1"/>
  <c r="H281" i="32" s="1"/>
  <c r="AB44" i="24"/>
  <c r="AB39" i="8" s="1"/>
  <c r="T276" i="32" s="1"/>
  <c r="T281" i="32" s="1"/>
  <c r="S45" i="24"/>
  <c r="S40" i="8" s="1"/>
  <c r="K291" i="32" s="1"/>
  <c r="K296" i="32" s="1"/>
  <c r="Y45" i="24"/>
  <c r="Y40" i="8" s="1"/>
  <c r="Q291" i="32" s="1"/>
  <c r="Q296" i="32" s="1"/>
  <c r="P45" i="24"/>
  <c r="P40" i="8" s="1"/>
  <c r="H291" i="32" s="1"/>
  <c r="H296" i="32" s="1"/>
  <c r="V45" i="24"/>
  <c r="V40" i="8" s="1"/>
  <c r="N291" i="32" s="1"/>
  <c r="N296" i="32" s="1"/>
  <c r="AB45" i="24"/>
  <c r="AB40" i="8" s="1"/>
  <c r="T291" i="32" s="1"/>
  <c r="T296" i="32" s="1"/>
  <c r="Y48" i="24"/>
  <c r="P48" i="24"/>
  <c r="AB48" i="24"/>
  <c r="S48" i="24"/>
  <c r="V48" i="24"/>
  <c r="S43" i="24"/>
  <c r="S38" i="8" s="1"/>
  <c r="K261" i="32" s="1"/>
  <c r="K266" i="32" s="1"/>
  <c r="V43" i="24"/>
  <c r="V38" i="8" s="1"/>
  <c r="N261" i="32" s="1"/>
  <c r="N266" i="32" s="1"/>
  <c r="P43" i="24"/>
  <c r="P38" i="8" s="1"/>
  <c r="H261" i="32" s="1"/>
  <c r="H266" i="32" s="1"/>
  <c r="AB43" i="24"/>
  <c r="AB38" i="8" s="1"/>
  <c r="T261" i="32" s="1"/>
  <c r="T266" i="32" s="1"/>
  <c r="Y43" i="24"/>
  <c r="Y38" i="8" s="1"/>
  <c r="Q261" i="32" s="1"/>
  <c r="Q266" i="32" s="1"/>
  <c r="V47" i="24"/>
  <c r="V42" i="8" s="1"/>
  <c r="N321" i="32" s="1"/>
  <c r="N326" i="32" s="1"/>
  <c r="P47" i="24"/>
  <c r="P42" i="8" s="1"/>
  <c r="H321" i="32" s="1"/>
  <c r="H326" i="32" s="1"/>
  <c r="S47" i="24"/>
  <c r="S42" i="8" s="1"/>
  <c r="K321" i="32" s="1"/>
  <c r="K326" i="32" s="1"/>
  <c r="Y47" i="24"/>
  <c r="Y42" i="8" s="1"/>
  <c r="Q321" i="32" s="1"/>
  <c r="Q326" i="32" s="1"/>
  <c r="AB47" i="24"/>
  <c r="AB42" i="8" s="1"/>
  <c r="T321" i="32" s="1"/>
  <c r="T326" i="32" s="1"/>
  <c r="S24" i="24"/>
  <c r="S24" i="8" s="1"/>
  <c r="Y24" i="24"/>
  <c r="Y24" i="8" s="1"/>
  <c r="P24" i="24"/>
  <c r="P24" i="8" s="1"/>
  <c r="V24" i="24"/>
  <c r="V24" i="8" s="1"/>
  <c r="AB24" i="24"/>
  <c r="AB24" i="8" s="1"/>
  <c r="P23" i="24"/>
  <c r="P23" i="8" s="1"/>
  <c r="S23" i="24"/>
  <c r="S23" i="8" s="1"/>
  <c r="V23" i="24"/>
  <c r="V23" i="8" s="1"/>
  <c r="AB23" i="24"/>
  <c r="AB23" i="8" s="1"/>
  <c r="Y23" i="24"/>
  <c r="Y23" i="8" s="1"/>
  <c r="Y49" i="24" l="1"/>
  <c r="Y43" i="8"/>
  <c r="Q336" i="32" s="1"/>
  <c r="Q341" i="32" s="1"/>
  <c r="S49" i="24"/>
  <c r="S43" i="8"/>
  <c r="K336" i="32" s="1"/>
  <c r="K341" i="32" s="1"/>
  <c r="P49" i="24"/>
  <c r="P43" i="8"/>
  <c r="H336" i="32" s="1"/>
  <c r="H341" i="32" s="1"/>
  <c r="V49" i="24"/>
  <c r="V43" i="8"/>
  <c r="N336" i="32" s="1"/>
  <c r="N341" i="32" s="1"/>
  <c r="AB49" i="24"/>
  <c r="AB43" i="8"/>
  <c r="T336" i="32" s="1"/>
  <c r="T341" i="32" s="1"/>
  <c r="Q231" i="32"/>
  <c r="Q236" i="32" s="1"/>
  <c r="P22" i="9"/>
  <c r="Q22" i="9" s="1"/>
  <c r="H231" i="32"/>
  <c r="H236" i="32" s="1"/>
  <c r="G22" i="9"/>
  <c r="H22" i="9" s="1"/>
  <c r="T231" i="32"/>
  <c r="T236" i="32" s="1"/>
  <c r="S22" i="9"/>
  <c r="T22" i="9" s="1"/>
  <c r="K231" i="32"/>
  <c r="K236" i="32" s="1"/>
  <c r="J22" i="9"/>
  <c r="K22" i="9" s="1"/>
  <c r="N231" i="32"/>
  <c r="N236" i="32" s="1"/>
  <c r="M22" i="9"/>
  <c r="N22" i="9" s="1"/>
  <c r="S18" i="9"/>
  <c r="T18" i="9" s="1"/>
  <c r="T169" i="32"/>
  <c r="T174" i="32" s="1"/>
  <c r="Q169" i="32"/>
  <c r="Q174" i="32" s="1"/>
  <c r="P18" i="9"/>
  <c r="Q18" i="9" s="1"/>
  <c r="S17" i="9"/>
  <c r="T17" i="9" s="1"/>
  <c r="T154" i="32"/>
  <c r="T159" i="32" s="1"/>
  <c r="M17" i="9"/>
  <c r="N17" i="9" s="1"/>
  <c r="N154" i="32"/>
  <c r="N159" i="32" s="1"/>
  <c r="H169" i="32"/>
  <c r="H174" i="32" s="1"/>
  <c r="G18" i="9"/>
  <c r="H18" i="9" s="1"/>
  <c r="K154" i="32"/>
  <c r="K159" i="32" s="1"/>
  <c r="J17" i="9"/>
  <c r="K17" i="9" s="1"/>
  <c r="Q154" i="32"/>
  <c r="Q159" i="32" s="1"/>
  <c r="P17" i="9"/>
  <c r="Q17" i="9" s="1"/>
  <c r="H154" i="32"/>
  <c r="H159" i="32" s="1"/>
  <c r="G17" i="9"/>
  <c r="H17" i="9" s="1"/>
  <c r="N169" i="32"/>
  <c r="N174" i="32" s="1"/>
  <c r="M18" i="9"/>
  <c r="N18" i="9" s="1"/>
  <c r="K169" i="32"/>
  <c r="K174" i="32" s="1"/>
  <c r="J18" i="9"/>
  <c r="K18" i="9" s="1"/>
  <c r="T109" i="32"/>
  <c r="T114" i="32" s="1"/>
  <c r="S14" i="9"/>
  <c r="T14" i="9" s="1"/>
  <c r="Q109" i="32"/>
  <c r="Q114" i="32" s="1"/>
  <c r="P14" i="9"/>
  <c r="Q14" i="9" s="1"/>
  <c r="K109" i="32"/>
  <c r="K114" i="32" s="1"/>
  <c r="J14" i="9"/>
  <c r="K14" i="9" s="1"/>
  <c r="M14" i="9"/>
  <c r="N14" i="9" s="1"/>
  <c r="N109" i="32"/>
  <c r="N114" i="32" s="1"/>
  <c r="G14" i="9"/>
  <c r="H14" i="9" s="1"/>
  <c r="H109" i="32"/>
  <c r="H114" i="32" s="1"/>
  <c r="Q246" i="32"/>
  <c r="Q251" i="32" s="1"/>
  <c r="P23" i="9"/>
  <c r="Q23" i="9" s="1"/>
  <c r="T246" i="32"/>
  <c r="T251" i="32" s="1"/>
  <c r="S23" i="9"/>
  <c r="T23" i="9" s="1"/>
  <c r="K246" i="32"/>
  <c r="K251" i="32" s="1"/>
  <c r="J23" i="9"/>
  <c r="K23" i="9" s="1"/>
  <c r="H246" i="32"/>
  <c r="H251" i="32" s="1"/>
  <c r="G23" i="9"/>
  <c r="H23" i="9" s="1"/>
  <c r="M23" i="9"/>
  <c r="N23" i="9" s="1"/>
  <c r="N246" i="32"/>
  <c r="N251" i="32" s="1"/>
  <c r="S26" i="24"/>
  <c r="S27" i="24" s="1"/>
  <c r="AB26" i="24"/>
  <c r="AB27" i="24" s="1"/>
  <c r="Y26" i="24"/>
  <c r="Y27" i="24" s="1"/>
  <c r="V26" i="24"/>
  <c r="V27" i="24" s="1"/>
  <c r="P26" i="24"/>
  <c r="P27" i="24" s="1"/>
  <c r="T24" i="24"/>
  <c r="T24" i="8" s="1"/>
  <c r="L246" i="32" s="1"/>
  <c r="L251" i="32" s="1"/>
  <c r="Q43" i="24"/>
  <c r="Q38" i="8" s="1"/>
  <c r="I261" i="32" s="1"/>
  <c r="I266" i="32" s="1"/>
  <c r="N45" i="24"/>
  <c r="W15" i="24"/>
  <c r="W15" i="8" s="1"/>
  <c r="O109" i="32" s="1"/>
  <c r="O114" i="32" s="1"/>
  <c r="T46" i="24"/>
  <c r="W18" i="24"/>
  <c r="W18" i="8" s="1"/>
  <c r="O154" i="32" s="1"/>
  <c r="O159" i="32" s="1"/>
  <c r="Q19" i="24"/>
  <c r="Q19" i="8" s="1"/>
  <c r="I169" i="32" s="1"/>
  <c r="I174" i="32" s="1"/>
  <c r="Z24" i="24"/>
  <c r="Z24" i="8" s="1"/>
  <c r="R246" i="32" s="1"/>
  <c r="R251" i="32" s="1"/>
  <c r="Q47" i="24"/>
  <c r="T43" i="24"/>
  <c r="T38" i="8" s="1"/>
  <c r="L261" i="32" s="1"/>
  <c r="L266" i="32" s="1"/>
  <c r="Z48" i="24"/>
  <c r="T45" i="24"/>
  <c r="N44" i="24"/>
  <c r="Z15" i="24"/>
  <c r="Z15" i="8" s="1"/>
  <c r="R109" i="32" s="1"/>
  <c r="R114" i="32" s="1"/>
  <c r="Q15" i="8"/>
  <c r="I109" i="32" s="1"/>
  <c r="I114" i="32" s="1"/>
  <c r="W46" i="24"/>
  <c r="Q18" i="24"/>
  <c r="Q18" i="8" s="1"/>
  <c r="I154" i="32" s="1"/>
  <c r="I159" i="32" s="1"/>
  <c r="T19" i="24"/>
  <c r="T19" i="8" s="1"/>
  <c r="L169" i="32" s="1"/>
  <c r="L174" i="32" s="1"/>
  <c r="N19" i="24"/>
  <c r="N19" i="8" s="1"/>
  <c r="F169" i="32" s="1"/>
  <c r="F174" i="32" s="1"/>
  <c r="Z23" i="24"/>
  <c r="Z23" i="8" s="1"/>
  <c r="R231" i="32" s="1"/>
  <c r="R236" i="32" s="1"/>
  <c r="N23" i="24"/>
  <c r="N23" i="8" s="1"/>
  <c r="F231" i="32" s="1"/>
  <c r="F236" i="32" s="1"/>
  <c r="W24" i="24"/>
  <c r="W24" i="8" s="1"/>
  <c r="O246" i="32" s="1"/>
  <c r="O251" i="32" s="1"/>
  <c r="W47" i="24"/>
  <c r="N43" i="24"/>
  <c r="N38" i="8" s="1"/>
  <c r="F261" i="32" s="1"/>
  <c r="F266" i="32" s="1"/>
  <c r="Q48" i="24"/>
  <c r="Z45" i="24"/>
  <c r="Q45" i="24"/>
  <c r="Z44" i="24"/>
  <c r="Q44" i="24"/>
  <c r="N15" i="8"/>
  <c r="F109" i="32" s="1"/>
  <c r="F114" i="32" s="1"/>
  <c r="Q46" i="24"/>
  <c r="N18" i="24"/>
  <c r="N18" i="8" s="1"/>
  <c r="F154" i="32" s="1"/>
  <c r="F159" i="32" s="1"/>
  <c r="Z19" i="24"/>
  <c r="Z19" i="8" s="1"/>
  <c r="R169" i="32" s="1"/>
  <c r="R174" i="32" s="1"/>
  <c r="T23" i="24"/>
  <c r="T23" i="8" s="1"/>
  <c r="L231" i="32" s="1"/>
  <c r="L236" i="32" s="1"/>
  <c r="Q24" i="24"/>
  <c r="Q24" i="8" s="1"/>
  <c r="I246" i="32" s="1"/>
  <c r="I251" i="32" s="1"/>
  <c r="N47" i="24"/>
  <c r="W43" i="24"/>
  <c r="W38" i="8" s="1"/>
  <c r="O261" i="32" s="1"/>
  <c r="O266" i="32" s="1"/>
  <c r="N48" i="24"/>
  <c r="W44" i="24"/>
  <c r="N46" i="24"/>
  <c r="W19" i="24"/>
  <c r="W19" i="8" s="1"/>
  <c r="O169" i="32" s="1"/>
  <c r="O174" i="32" s="1"/>
  <c r="W23" i="24"/>
  <c r="W23" i="8" s="1"/>
  <c r="O231" i="32" s="1"/>
  <c r="O236" i="32" s="1"/>
  <c r="Q23" i="24"/>
  <c r="Q23" i="8" s="1"/>
  <c r="I231" i="32" s="1"/>
  <c r="I236" i="32" s="1"/>
  <c r="N24" i="24"/>
  <c r="N24" i="8" s="1"/>
  <c r="F246" i="32" s="1"/>
  <c r="F251" i="32" s="1"/>
  <c r="Z47" i="24"/>
  <c r="T47" i="24"/>
  <c r="Z43" i="24"/>
  <c r="Z38" i="8" s="1"/>
  <c r="R261" i="32" s="1"/>
  <c r="R266" i="32" s="1"/>
  <c r="T48" i="24"/>
  <c r="W48" i="24"/>
  <c r="W45" i="24"/>
  <c r="T44" i="24"/>
  <c r="T15" i="24"/>
  <c r="T15" i="8" s="1"/>
  <c r="L109" i="32" s="1"/>
  <c r="L114" i="32" s="1"/>
  <c r="Z46" i="24"/>
  <c r="Z18" i="24"/>
  <c r="Z18" i="8" s="1"/>
  <c r="R154" i="32" s="1"/>
  <c r="R159" i="32" s="1"/>
  <c r="T18" i="24"/>
  <c r="T18" i="8" s="1"/>
  <c r="L154" i="32" s="1"/>
  <c r="L159" i="32" s="1"/>
  <c r="W39" i="8" l="1"/>
  <c r="O276" i="32" s="1"/>
  <c r="O281" i="32" s="1"/>
  <c r="Q40" i="8"/>
  <c r="I291" i="32" s="1"/>
  <c r="I296" i="32" s="1"/>
  <c r="N40" i="8"/>
  <c r="F291" i="32" s="1"/>
  <c r="F296" i="32" s="1"/>
  <c r="T42" i="8"/>
  <c r="L321" i="32" s="1"/>
  <c r="L326" i="32" s="1"/>
  <c r="Z41" i="8"/>
  <c r="R306" i="32" s="1"/>
  <c r="R311" i="32" s="1"/>
  <c r="N39" i="8"/>
  <c r="F276" i="32" s="1"/>
  <c r="F281" i="32" s="1"/>
  <c r="Q42" i="8"/>
  <c r="I321" i="32" s="1"/>
  <c r="I326" i="32" s="1"/>
  <c r="T41" i="8"/>
  <c r="L306" i="32" s="1"/>
  <c r="L311" i="32" s="1"/>
  <c r="T39" i="8"/>
  <c r="L276" i="32" s="1"/>
  <c r="L281" i="32" s="1"/>
  <c r="Q41" i="8"/>
  <c r="I306" i="32" s="1"/>
  <c r="I311" i="32" s="1"/>
  <c r="W42" i="8"/>
  <c r="O321" i="32" s="1"/>
  <c r="O326" i="32" s="1"/>
  <c r="W40" i="8"/>
  <c r="O291" i="32" s="1"/>
  <c r="O296" i="32" s="1"/>
  <c r="Z40" i="8"/>
  <c r="R291" i="32" s="1"/>
  <c r="R296" i="32" s="1"/>
  <c r="Z42" i="8"/>
  <c r="R321" i="32" s="1"/>
  <c r="R326" i="32" s="1"/>
  <c r="Q39" i="8"/>
  <c r="I276" i="32" s="1"/>
  <c r="I281" i="32" s="1"/>
  <c r="N41" i="8"/>
  <c r="F306" i="32" s="1"/>
  <c r="F311" i="32" s="1"/>
  <c r="N42" i="8"/>
  <c r="F321" i="32" s="1"/>
  <c r="F326" i="32" s="1"/>
  <c r="Z39" i="8"/>
  <c r="R276" i="32" s="1"/>
  <c r="R281" i="32" s="1"/>
  <c r="W41" i="8"/>
  <c r="O306" i="32" s="1"/>
  <c r="O311" i="32" s="1"/>
  <c r="T40" i="8"/>
  <c r="L291" i="32" s="1"/>
  <c r="L296" i="32" s="1"/>
  <c r="Z49" i="24"/>
  <c r="Z43" i="8"/>
  <c r="R336" i="32" s="1"/>
  <c r="R341" i="32" s="1"/>
  <c r="N49" i="24"/>
  <c r="N43" i="8"/>
  <c r="F336" i="32" s="1"/>
  <c r="F341" i="32" s="1"/>
  <c r="W49" i="24"/>
  <c r="W43" i="8"/>
  <c r="O336" i="32" s="1"/>
  <c r="O341" i="32" s="1"/>
  <c r="Q49" i="24"/>
  <c r="Q43" i="8"/>
  <c r="I336" i="32" s="1"/>
  <c r="I341" i="32" s="1"/>
  <c r="T49" i="24"/>
  <c r="T43" i="8"/>
  <c r="L336" i="32" s="1"/>
  <c r="L341" i="32" s="1"/>
  <c r="Q26" i="24"/>
  <c r="Q27" i="24" s="1"/>
  <c r="T26" i="24"/>
  <c r="T27" i="24" s="1"/>
  <c r="Z26" i="24"/>
  <c r="Z27" i="24" s="1"/>
  <c r="N26" i="24"/>
  <c r="N27" i="24" s="1"/>
  <c r="AJ26" i="24"/>
  <c r="AJ27" i="24" s="1"/>
  <c r="W26" i="24"/>
  <c r="W27" i="24" s="1"/>
  <c r="F37" i="6"/>
  <c r="AB44" i="8"/>
  <c r="T36" i="4" s="1"/>
  <c r="T41" i="4" s="1"/>
  <c r="O37" i="6"/>
  <c r="P44" i="8"/>
  <c r="H36" i="4" s="1"/>
  <c r="H41" i="4" s="1"/>
  <c r="Y44" i="8"/>
  <c r="Q36" i="4" s="1"/>
  <c r="Q41" i="4" s="1"/>
  <c r="L37" i="6"/>
  <c r="V44" i="8"/>
  <c r="N36" i="4" s="1"/>
  <c r="N41" i="4" s="1"/>
  <c r="S44" i="8"/>
  <c r="K36" i="4" s="1"/>
  <c r="K41" i="4" s="1"/>
  <c r="R37" i="6"/>
  <c r="I37" i="6"/>
  <c r="AB26" i="8"/>
  <c r="V26" i="8"/>
  <c r="P26" i="8"/>
  <c r="S26" i="8"/>
  <c r="Y26" i="8"/>
  <c r="H42" i="6"/>
  <c r="G40" i="9"/>
  <c r="H40" i="9" s="1"/>
  <c r="J38" i="9"/>
  <c r="K38" i="9" s="1"/>
  <c r="K40" i="6"/>
  <c r="AH45" i="24"/>
  <c r="G35" i="9"/>
  <c r="H37" i="6"/>
  <c r="Q41" i="6"/>
  <c r="P39" i="9"/>
  <c r="Q39" i="9" s="1"/>
  <c r="T23" i="6"/>
  <c r="N19" i="6"/>
  <c r="K18" i="6"/>
  <c r="N39" i="6"/>
  <c r="M37" i="9"/>
  <c r="N37" i="9" s="1"/>
  <c r="T24" i="6"/>
  <c r="H24" i="6"/>
  <c r="T15" i="6"/>
  <c r="N37" i="6"/>
  <c r="M35" i="9"/>
  <c r="K41" i="6"/>
  <c r="J39" i="9"/>
  <c r="K39" i="9" s="1"/>
  <c r="K19" i="6"/>
  <c r="G37" i="9"/>
  <c r="H37" i="9" s="1"/>
  <c r="H39" i="6"/>
  <c r="N18" i="6"/>
  <c r="AH18" i="24"/>
  <c r="AG18" i="8" s="1"/>
  <c r="Y154" i="32" s="1"/>
  <c r="Y159" i="32" s="1"/>
  <c r="AH46" i="24"/>
  <c r="N38" i="6"/>
  <c r="M36" i="9"/>
  <c r="N36" i="9" s="1"/>
  <c r="P40" i="9"/>
  <c r="Q40" i="9" s="1"/>
  <c r="Q42" i="6"/>
  <c r="AH43" i="24"/>
  <c r="AG38" i="8" s="1"/>
  <c r="Y261" i="32" s="1"/>
  <c r="Y266" i="32" s="1"/>
  <c r="K23" i="6"/>
  <c r="Q37" i="6"/>
  <c r="P35" i="9"/>
  <c r="N23" i="6"/>
  <c r="AH19" i="24"/>
  <c r="AG19" i="8" s="1"/>
  <c r="Y169" i="32" s="1"/>
  <c r="Y174" i="32" s="1"/>
  <c r="H18" i="6"/>
  <c r="S36" i="9"/>
  <c r="T38" i="6"/>
  <c r="K39" i="6"/>
  <c r="J37" i="9"/>
  <c r="K37" i="9" s="1"/>
  <c r="J40" i="9"/>
  <c r="K40" i="9" s="1"/>
  <c r="K42" i="6"/>
  <c r="H38" i="6"/>
  <c r="G36" i="9"/>
  <c r="H36" i="9" s="1"/>
  <c r="N24" i="6"/>
  <c r="T18" i="6"/>
  <c r="Q39" i="6"/>
  <c r="P37" i="9"/>
  <c r="Q37" i="9" s="1"/>
  <c r="N42" i="6"/>
  <c r="M40" i="9"/>
  <c r="N40" i="9" s="1"/>
  <c r="H41" i="6"/>
  <c r="G39" i="9"/>
  <c r="H39" i="9" s="1"/>
  <c r="J36" i="9"/>
  <c r="K36" i="9" s="1"/>
  <c r="K38" i="6"/>
  <c r="AH48" i="24"/>
  <c r="K37" i="6"/>
  <c r="J35" i="9"/>
  <c r="T41" i="6"/>
  <c r="S39" i="9"/>
  <c r="H40" i="6"/>
  <c r="G38" i="9"/>
  <c r="H38" i="9" s="1"/>
  <c r="H15" i="6"/>
  <c r="P38" i="9"/>
  <c r="Q38" i="9" s="1"/>
  <c r="Q40" i="6"/>
  <c r="K15" i="6"/>
  <c r="T40" i="6"/>
  <c r="S38" i="9"/>
  <c r="N15" i="6"/>
  <c r="S35" i="9"/>
  <c r="T37" i="6"/>
  <c r="N41" i="6"/>
  <c r="M39" i="9"/>
  <c r="N39" i="9" s="1"/>
  <c r="AH47" i="24"/>
  <c r="Q23" i="6"/>
  <c r="Q19" i="6"/>
  <c r="Q38" i="6"/>
  <c r="P36" i="9"/>
  <c r="Q36" i="9" s="1"/>
  <c r="K24" i="6"/>
  <c r="T19" i="6"/>
  <c r="AH44" i="24"/>
  <c r="AG39" i="8" s="1"/>
  <c r="Y276" i="32" s="1"/>
  <c r="Y281" i="32" s="1"/>
  <c r="T39" i="6"/>
  <c r="S37" i="9"/>
  <c r="Q24" i="6"/>
  <c r="H23" i="6"/>
  <c r="AH23" i="24"/>
  <c r="AG23" i="8" s="1"/>
  <c r="Y231" i="32" s="1"/>
  <c r="Y236" i="32" s="1"/>
  <c r="H19" i="6"/>
  <c r="AH15" i="24"/>
  <c r="AG15" i="8" s="1"/>
  <c r="Y109" i="32" s="1"/>
  <c r="Y114" i="32" s="1"/>
  <c r="T42" i="6"/>
  <c r="S40" i="9"/>
  <c r="AH24" i="24"/>
  <c r="AG24" i="8" s="1"/>
  <c r="Y246" i="32" s="1"/>
  <c r="Y251" i="32" s="1"/>
  <c r="Q18" i="6"/>
  <c r="M38" i="9"/>
  <c r="N38" i="9" s="1"/>
  <c r="N40" i="6"/>
  <c r="Q15" i="6"/>
  <c r="N44" i="8" l="1"/>
  <c r="F36" i="4" s="1"/>
  <c r="F41" i="4" s="1"/>
  <c r="F42" i="6"/>
  <c r="O42" i="6"/>
  <c r="AG42" i="8"/>
  <c r="Y321" i="32" s="1"/>
  <c r="Y326" i="32" s="1"/>
  <c r="Q44" i="8"/>
  <c r="I36" i="4" s="1"/>
  <c r="I41" i="4" s="1"/>
  <c r="W44" i="8"/>
  <c r="O36" i="4" s="1"/>
  <c r="O41" i="4" s="1"/>
  <c r="L39" i="6"/>
  <c r="F40" i="6"/>
  <c r="O39" i="6"/>
  <c r="I40" i="6"/>
  <c r="L41" i="6"/>
  <c r="AG41" i="8"/>
  <c r="Y306" i="32" s="1"/>
  <c r="Y311" i="32" s="1"/>
  <c r="R38" i="6"/>
  <c r="R41" i="6"/>
  <c r="L40" i="6"/>
  <c r="F38" i="6"/>
  <c r="I39" i="6"/>
  <c r="AG40" i="8"/>
  <c r="Y291" i="32" s="1"/>
  <c r="Y296" i="32" s="1"/>
  <c r="O40" i="6"/>
  <c r="F41" i="6"/>
  <c r="I38" i="6"/>
  <c r="R39" i="6"/>
  <c r="O41" i="6"/>
  <c r="L38" i="6"/>
  <c r="I41" i="6"/>
  <c r="R40" i="6"/>
  <c r="F39" i="6"/>
  <c r="O38" i="6"/>
  <c r="AG43" i="8"/>
  <c r="Y336" i="32" s="1"/>
  <c r="Y341" i="32" s="1"/>
  <c r="Z44" i="8"/>
  <c r="R36" i="4" s="1"/>
  <c r="R41" i="4" s="1"/>
  <c r="T44" i="8"/>
  <c r="L36" i="4" s="1"/>
  <c r="L41" i="4" s="1"/>
  <c r="I42" i="6"/>
  <c r="L42" i="6"/>
  <c r="R42" i="6"/>
  <c r="H35" i="9"/>
  <c r="H41" i="9" s="1"/>
  <c r="G41" i="9"/>
  <c r="Q35" i="9"/>
  <c r="Q41" i="9" s="1"/>
  <c r="P41" i="9"/>
  <c r="N35" i="9"/>
  <c r="N41" i="9" s="1"/>
  <c r="M41" i="9"/>
  <c r="K35" i="9"/>
  <c r="K41" i="9" s="1"/>
  <c r="J41" i="9"/>
  <c r="S41" i="9"/>
  <c r="P27" i="8"/>
  <c r="H10" i="4" s="1"/>
  <c r="H9" i="4"/>
  <c r="H24" i="4" s="1"/>
  <c r="V27" i="8"/>
  <c r="N10" i="4" s="1"/>
  <c r="N9" i="4"/>
  <c r="N24" i="4" s="1"/>
  <c r="AB27" i="8"/>
  <c r="T10" i="4" s="1"/>
  <c r="T9" i="4"/>
  <c r="Y27" i="8"/>
  <c r="Q10" i="4" s="1"/>
  <c r="Q9" i="4"/>
  <c r="Q24" i="4" s="1"/>
  <c r="S27" i="8"/>
  <c r="K10" i="4" s="1"/>
  <c r="K9" i="4"/>
  <c r="K24" i="4" s="1"/>
  <c r="M25" i="9"/>
  <c r="M26" i="9" s="1"/>
  <c r="P25" i="9"/>
  <c r="P26" i="9" s="1"/>
  <c r="G25" i="9"/>
  <c r="G26" i="9" s="1"/>
  <c r="S25" i="9"/>
  <c r="S26" i="9" s="1"/>
  <c r="J25" i="9"/>
  <c r="J26" i="9" s="1"/>
  <c r="N26" i="6"/>
  <c r="N27" i="6" s="1"/>
  <c r="K43" i="6"/>
  <c r="Q43" i="6"/>
  <c r="N43" i="6"/>
  <c r="Q26" i="6"/>
  <c r="Q27" i="6" s="1"/>
  <c r="T43" i="6"/>
  <c r="H43" i="6"/>
  <c r="H26" i="6"/>
  <c r="H27" i="6" s="1"/>
  <c r="T26" i="6"/>
  <c r="T27" i="6" s="1"/>
  <c r="K26" i="6"/>
  <c r="K27" i="6" s="1"/>
  <c r="Y38" i="6"/>
  <c r="AH49" i="24"/>
  <c r="AH26" i="24"/>
  <c r="AH27" i="24" s="1"/>
  <c r="AI44" i="8"/>
  <c r="AA36" i="4" s="1"/>
  <c r="AA41" i="4" s="1"/>
  <c r="Y37" i="6"/>
  <c r="AI26" i="8"/>
  <c r="T26" i="8"/>
  <c r="N26" i="8"/>
  <c r="W26" i="8"/>
  <c r="Z26" i="8"/>
  <c r="Q26" i="8"/>
  <c r="I23" i="6"/>
  <c r="O23" i="6"/>
  <c r="AB23" i="9"/>
  <c r="AA24" i="6"/>
  <c r="O24" i="6"/>
  <c r="T36" i="9"/>
  <c r="AB17" i="9"/>
  <c r="AA18" i="6"/>
  <c r="R15" i="6"/>
  <c r="AA39" i="6"/>
  <c r="AB37" i="9"/>
  <c r="AC37" i="9" s="1"/>
  <c r="Q23" i="4"/>
  <c r="T40" i="9"/>
  <c r="T37" i="9"/>
  <c r="L23" i="6"/>
  <c r="F19" i="6"/>
  <c r="F18" i="6"/>
  <c r="T39" i="9"/>
  <c r="L15" i="6"/>
  <c r="AA42" i="6"/>
  <c r="AB40" i="9"/>
  <c r="AC40" i="9" s="1"/>
  <c r="I19" i="6"/>
  <c r="R24" i="6"/>
  <c r="I15" i="6"/>
  <c r="F15" i="6"/>
  <c r="H23" i="4"/>
  <c r="T38" i="9"/>
  <c r="I24" i="6"/>
  <c r="AA37" i="6"/>
  <c r="AB35" i="9"/>
  <c r="I18" i="6"/>
  <c r="R19" i="6"/>
  <c r="L18" i="6"/>
  <c r="N23" i="4"/>
  <c r="AA41" i="6"/>
  <c r="AB39" i="9"/>
  <c r="AC39" i="9" s="1"/>
  <c r="R18" i="6"/>
  <c r="K23" i="4"/>
  <c r="R23" i="6"/>
  <c r="O19" i="6"/>
  <c r="AA15" i="6"/>
  <c r="AB14" i="9"/>
  <c r="AA23" i="6"/>
  <c r="AB22" i="9"/>
  <c r="AB36" i="9"/>
  <c r="AC36" i="9" s="1"/>
  <c r="AA38" i="6"/>
  <c r="T35" i="9"/>
  <c r="O15" i="6"/>
  <c r="L19" i="6"/>
  <c r="AA19" i="6"/>
  <c r="AB18" i="9"/>
  <c r="AA40" i="6"/>
  <c r="AB38" i="9"/>
  <c r="AC38" i="9" s="1"/>
  <c r="L24" i="6"/>
  <c r="O18" i="6"/>
  <c r="F23" i="6"/>
  <c r="F24" i="6"/>
  <c r="F43" i="6" l="1"/>
  <c r="I43" i="6"/>
  <c r="R43" i="6"/>
  <c r="O43" i="6"/>
  <c r="L43" i="6"/>
  <c r="Y40" i="6"/>
  <c r="Y39" i="6"/>
  <c r="Y41" i="6"/>
  <c r="AG44" i="8"/>
  <c r="Y36" i="4" s="1"/>
  <c r="Y41" i="4" s="1"/>
  <c r="Y42" i="6"/>
  <c r="T41" i="9"/>
  <c r="AC35" i="9"/>
  <c r="AC41" i="9" s="1"/>
  <c r="AB41" i="9"/>
  <c r="N25" i="4"/>
  <c r="W27" i="8"/>
  <c r="O10" i="4" s="1"/>
  <c r="O9" i="4"/>
  <c r="N27" i="8"/>
  <c r="F10" i="4" s="1"/>
  <c r="F9" i="4"/>
  <c r="T27" i="8"/>
  <c r="L10" i="4" s="1"/>
  <c r="L9" i="4"/>
  <c r="AI27" i="8"/>
  <c r="AA10" i="4" s="1"/>
  <c r="AA9" i="4"/>
  <c r="AA24" i="4" s="1"/>
  <c r="Q27" i="8"/>
  <c r="I10" i="4" s="1"/>
  <c r="I9" i="4"/>
  <c r="Z27" i="8"/>
  <c r="R10" i="4" s="1"/>
  <c r="R9" i="4"/>
  <c r="H25" i="9"/>
  <c r="H26" i="9" s="1"/>
  <c r="K25" i="9"/>
  <c r="K26" i="9" s="1"/>
  <c r="N25" i="9"/>
  <c r="N26" i="9" s="1"/>
  <c r="AB25" i="9"/>
  <c r="AB26" i="9" s="1"/>
  <c r="Q25" i="9"/>
  <c r="Q26" i="9" s="1"/>
  <c r="T25" i="9"/>
  <c r="T26" i="9" s="1"/>
  <c r="AA43" i="6"/>
  <c r="AA26" i="6"/>
  <c r="H25" i="4"/>
  <c r="K25" i="4"/>
  <c r="Q25" i="4"/>
  <c r="AG26" i="8"/>
  <c r="T24" i="4"/>
  <c r="AC17" i="9"/>
  <c r="Y18" i="6"/>
  <c r="Y24" i="6"/>
  <c r="AC14" i="9"/>
  <c r="AC18" i="9"/>
  <c r="Y15" i="6"/>
  <c r="Y23" i="6"/>
  <c r="AC22" i="9"/>
  <c r="T23" i="4"/>
  <c r="Y19" i="6"/>
  <c r="AC23" i="9"/>
  <c r="Y43" i="6" l="1"/>
  <c r="AG27" i="8"/>
  <c r="Y10" i="4" s="1"/>
  <c r="Y9" i="4"/>
  <c r="AC25" i="9"/>
  <c r="T25" i="4"/>
  <c r="R46" i="31" l="1"/>
  <c r="S245" i="31"/>
  <c r="S246" i="31" s="1"/>
  <c r="R47" i="31"/>
  <c r="S47" i="31" l="1"/>
  <c r="S68" i="31"/>
  <c r="D69" i="31"/>
  <c r="R69" i="31" l="1"/>
  <c r="V69" i="31"/>
  <c r="X8" i="11"/>
  <c r="E25" i="11"/>
  <c r="S267" i="31"/>
  <c r="S268" i="31" s="1"/>
  <c r="AI8" i="11"/>
  <c r="AA40" i="32" s="1"/>
  <c r="S69" i="31"/>
  <c r="D25" i="11"/>
  <c r="F8" i="11"/>
  <c r="E10" i="11"/>
  <c r="X10" i="11" s="1"/>
  <c r="E8" i="6"/>
  <c r="AC8" i="6" s="1"/>
  <c r="D27" i="11" l="1"/>
  <c r="D13" i="4" s="1"/>
  <c r="D11" i="4"/>
  <c r="F25" i="11"/>
  <c r="F40" i="32"/>
  <c r="E27" i="11"/>
  <c r="E11" i="4"/>
  <c r="AK25" i="11"/>
  <c r="I13" i="4"/>
  <c r="I11" i="4"/>
  <c r="AA42" i="32"/>
  <c r="AA52" i="32"/>
  <c r="AA54" i="32" s="1"/>
  <c r="R13" i="4"/>
  <c r="R11" i="4"/>
  <c r="L13" i="4"/>
  <c r="L11" i="4"/>
  <c r="O13" i="4"/>
  <c r="O11" i="4"/>
  <c r="X8" i="6"/>
  <c r="E25" i="6"/>
  <c r="AC25" i="6" s="1"/>
  <c r="AG8" i="11"/>
  <c r="AI25" i="11"/>
  <c r="X25" i="11"/>
  <c r="E10" i="6"/>
  <c r="J8" i="11"/>
  <c r="I8" i="6"/>
  <c r="I25" i="6" s="1"/>
  <c r="D10" i="11"/>
  <c r="D8" i="6"/>
  <c r="D25" i="6" s="1"/>
  <c r="S8" i="11"/>
  <c r="R8" i="6"/>
  <c r="R25" i="6" s="1"/>
  <c r="M8" i="11"/>
  <c r="L8" i="6"/>
  <c r="L25" i="6" s="1"/>
  <c r="X27" i="11"/>
  <c r="F10" i="11"/>
  <c r="G8" i="11"/>
  <c r="F8" i="6"/>
  <c r="F25" i="6" s="1"/>
  <c r="P8" i="11"/>
  <c r="O8" i="6"/>
  <c r="O25" i="6" s="1"/>
  <c r="AI10" i="11"/>
  <c r="AA8" i="6"/>
  <c r="X10" i="6" l="1"/>
  <c r="AC10" i="6"/>
  <c r="X11" i="4"/>
  <c r="AC11" i="4"/>
  <c r="J25" i="11"/>
  <c r="J40" i="32"/>
  <c r="AI27" i="11"/>
  <c r="AA13" i="4" s="1"/>
  <c r="AA11" i="4"/>
  <c r="E13" i="4"/>
  <c r="AK27" i="11"/>
  <c r="F52" i="32"/>
  <c r="F54" i="32" s="1"/>
  <c r="F42" i="32"/>
  <c r="AG25" i="11"/>
  <c r="Y40" i="32"/>
  <c r="F27" i="11"/>
  <c r="F13" i="4" s="1"/>
  <c r="F11" i="4"/>
  <c r="F23" i="4" s="1"/>
  <c r="G25" i="11"/>
  <c r="G40" i="32"/>
  <c r="M25" i="11"/>
  <c r="M40" i="32"/>
  <c r="P25" i="11"/>
  <c r="P40" i="32"/>
  <c r="S25" i="11"/>
  <c r="S40" i="32"/>
  <c r="E27" i="6"/>
  <c r="X25" i="6"/>
  <c r="AH8" i="11"/>
  <c r="AG10" i="11"/>
  <c r="Y8" i="6"/>
  <c r="R10" i="6"/>
  <c r="S10" i="11"/>
  <c r="S8" i="6"/>
  <c r="S25" i="6" s="1"/>
  <c r="L10" i="6"/>
  <c r="D10" i="6"/>
  <c r="I23" i="4"/>
  <c r="P10" i="11"/>
  <c r="P8" i="6"/>
  <c r="P25" i="6" s="1"/>
  <c r="E23" i="4"/>
  <c r="M10" i="11"/>
  <c r="M8" i="6"/>
  <c r="M25" i="6" s="1"/>
  <c r="I10" i="6"/>
  <c r="J10" i="11"/>
  <c r="J8" i="6"/>
  <c r="J25" i="6" s="1"/>
  <c r="O10" i="6"/>
  <c r="AA10" i="6"/>
  <c r="O23" i="4"/>
  <c r="F10" i="6"/>
  <c r="G10" i="11"/>
  <c r="G8" i="6"/>
  <c r="G25" i="6" s="1"/>
  <c r="L23" i="4"/>
  <c r="R23" i="4"/>
  <c r="D23" i="4"/>
  <c r="P52" i="32" l="1"/>
  <c r="P54" i="32" s="1"/>
  <c r="P42" i="32"/>
  <c r="G42" i="32"/>
  <c r="G52" i="32"/>
  <c r="G54" i="32" s="1"/>
  <c r="S42" i="32"/>
  <c r="S52" i="32"/>
  <c r="S54" i="32" s="1"/>
  <c r="S27" i="11"/>
  <c r="S13" i="4" s="1"/>
  <c r="S11" i="4"/>
  <c r="S23" i="4" s="1"/>
  <c r="M52" i="32"/>
  <c r="M54" i="32" s="1"/>
  <c r="M42" i="32"/>
  <c r="G27" i="11"/>
  <c r="G13" i="4" s="1"/>
  <c r="G11" i="4"/>
  <c r="G23" i="4" s="1"/>
  <c r="AC13" i="4"/>
  <c r="X13" i="4"/>
  <c r="J42" i="32"/>
  <c r="J52" i="32"/>
  <c r="J54" i="32" s="1"/>
  <c r="Y42" i="32"/>
  <c r="Y52" i="32"/>
  <c r="Y54" i="32" s="1"/>
  <c r="P27" i="11"/>
  <c r="P13" i="4" s="1"/>
  <c r="P11" i="4"/>
  <c r="P23" i="4" s="1"/>
  <c r="AG27" i="11"/>
  <c r="Y13" i="4" s="1"/>
  <c r="Y11" i="4"/>
  <c r="J27" i="11"/>
  <c r="J13" i="4" s="1"/>
  <c r="J11" i="4"/>
  <c r="J23" i="4" s="1"/>
  <c r="AH25" i="11"/>
  <c r="Z40" i="32"/>
  <c r="M27" i="11"/>
  <c r="M13" i="4" s="1"/>
  <c r="M11" i="4"/>
  <c r="M23" i="4" s="1"/>
  <c r="X27" i="6"/>
  <c r="AC27" i="6"/>
  <c r="X23" i="4"/>
  <c r="AC23" i="4"/>
  <c r="Y10" i="6"/>
  <c r="AH10" i="11"/>
  <c r="Z8" i="6"/>
  <c r="P10" i="6"/>
  <c r="S10" i="6"/>
  <c r="J10" i="6"/>
  <c r="M10" i="6"/>
  <c r="G10" i="6"/>
  <c r="E25" i="4"/>
  <c r="Z52" i="32" l="1"/>
  <c r="Z54" i="32" s="1"/>
  <c r="Z42" i="32"/>
  <c r="AH27" i="11"/>
  <c r="Z13" i="4" s="1"/>
  <c r="Z11" i="4"/>
  <c r="Z23" i="4" s="1"/>
  <c r="X25" i="4"/>
  <c r="AC25" i="4"/>
  <c r="Z10" i="6"/>
  <c r="Z25" i="6"/>
  <c r="F26" i="30" l="1"/>
  <c r="D68" i="31"/>
  <c r="F10" i="30"/>
  <c r="K10" i="30" s="1"/>
  <c r="K26" i="30" l="1"/>
  <c r="P26" i="30"/>
  <c r="R68" i="31"/>
  <c r="V68" i="31"/>
  <c r="D256" i="31"/>
  <c r="V256" i="31" s="1"/>
  <c r="D257" i="31" l="1"/>
  <c r="R256" i="31"/>
  <c r="D245" i="31"/>
  <c r="F11" i="30"/>
  <c r="F25" i="30" s="1"/>
  <c r="D104" i="31"/>
  <c r="F27" i="30" l="1"/>
  <c r="K25" i="30"/>
  <c r="R104" i="31"/>
  <c r="V104" i="31"/>
  <c r="R245" i="31"/>
  <c r="V245" i="31"/>
  <c r="R257" i="31"/>
  <c r="V257" i="31"/>
  <c r="D246" i="31"/>
  <c r="F13" i="30"/>
  <c r="D267" i="31"/>
  <c r="V267" i="31" s="1"/>
  <c r="K13" i="30" l="1"/>
  <c r="P13" i="30"/>
  <c r="K27" i="30"/>
  <c r="P27" i="30"/>
  <c r="R246" i="31"/>
  <c r="V246" i="31"/>
  <c r="R267" i="31"/>
  <c r="D268" i="31"/>
  <c r="R268" i="31" l="1"/>
  <c r="V268" i="31"/>
  <c r="K130" i="18"/>
  <c r="C11" i="6"/>
  <c r="C25" i="6" s="1"/>
  <c r="C13" i="6" l="1"/>
  <c r="J13" i="7"/>
  <c r="C7" i="4" l="1"/>
  <c r="C23" i="4"/>
  <c r="C6" i="6"/>
  <c r="C7" i="6" s="1"/>
  <c r="C18" i="4"/>
  <c r="C24" i="4" s="1"/>
  <c r="C7" i="13"/>
  <c r="P6" i="13"/>
  <c r="P18" i="32" s="1"/>
  <c r="P19" i="32" l="1"/>
  <c r="P24" i="32"/>
  <c r="P25" i="32" s="1"/>
  <c r="C25" i="4"/>
  <c r="D7" i="13"/>
  <c r="G6" i="13"/>
  <c r="F6" i="13" s="1"/>
  <c r="F18" i="32" s="1"/>
  <c r="P7" i="13"/>
  <c r="O6" i="13"/>
  <c r="O18" i="32" s="1"/>
  <c r="P6" i="6"/>
  <c r="P26" i="13"/>
  <c r="P18" i="4" s="1"/>
  <c r="C26" i="6"/>
  <c r="C27" i="6" s="1"/>
  <c r="D6" i="6"/>
  <c r="M6" i="13"/>
  <c r="M18" i="32" s="1"/>
  <c r="C27" i="13"/>
  <c r="C19" i="4" s="1"/>
  <c r="S6" i="13"/>
  <c r="S18" i="32" s="1"/>
  <c r="D26" i="13"/>
  <c r="D18" i="4" s="1"/>
  <c r="J6" i="13"/>
  <c r="J18" i="32" s="1"/>
  <c r="O19" i="32" l="1"/>
  <c r="O24" i="32"/>
  <c r="O25" i="32" s="1"/>
  <c r="M19" i="32"/>
  <c r="M24" i="32"/>
  <c r="M25" i="32" s="1"/>
  <c r="F19" i="32"/>
  <c r="F24" i="32"/>
  <c r="F25" i="32" s="1"/>
  <c r="G7" i="13"/>
  <c r="G18" i="32"/>
  <c r="S19" i="32"/>
  <c r="S24" i="32"/>
  <c r="S25" i="32" s="1"/>
  <c r="J19" i="32"/>
  <c r="J24" i="32"/>
  <c r="J25" i="32" s="1"/>
  <c r="G6" i="6"/>
  <c r="G26" i="6" s="1"/>
  <c r="G27" i="6" s="1"/>
  <c r="G26" i="13"/>
  <c r="G18" i="4" s="1"/>
  <c r="G24" i="4" s="1"/>
  <c r="G25" i="4" s="1"/>
  <c r="I6" i="13"/>
  <c r="I18" i="32" s="1"/>
  <c r="J7" i="13"/>
  <c r="J26" i="13"/>
  <c r="J18" i="4" s="1"/>
  <c r="J6" i="6"/>
  <c r="P27" i="13"/>
  <c r="P19" i="4" s="1"/>
  <c r="P24" i="4"/>
  <c r="P25" i="4" s="1"/>
  <c r="D24" i="4"/>
  <c r="D25" i="4" s="1"/>
  <c r="D27" i="13"/>
  <c r="D19" i="4" s="1"/>
  <c r="P26" i="6"/>
  <c r="P27" i="6" s="1"/>
  <c r="P7" i="6"/>
  <c r="F26" i="13"/>
  <c r="F18" i="4" s="1"/>
  <c r="F6" i="6"/>
  <c r="F7" i="13"/>
  <c r="O26" i="13"/>
  <c r="O18" i="4" s="1"/>
  <c r="O6" i="6"/>
  <c r="O7" i="13"/>
  <c r="D26" i="6"/>
  <c r="D27" i="6" s="1"/>
  <c r="D7" i="6"/>
  <c r="S6" i="6"/>
  <c r="S7" i="13"/>
  <c r="Z6" i="6"/>
  <c r="R6" i="13"/>
  <c r="R18" i="32" s="1"/>
  <c r="S26" i="13"/>
  <c r="S18" i="4" s="1"/>
  <c r="L6" i="13"/>
  <c r="L18" i="32" s="1"/>
  <c r="M6" i="6"/>
  <c r="M26" i="13"/>
  <c r="M18" i="4" s="1"/>
  <c r="M7" i="13"/>
  <c r="G19" i="32" l="1"/>
  <c r="G24" i="32"/>
  <c r="G25" i="32" s="1"/>
  <c r="I19" i="32"/>
  <c r="I24" i="32"/>
  <c r="I25" i="32" s="1"/>
  <c r="G7" i="6"/>
  <c r="G27" i="13"/>
  <c r="G19" i="4" s="1"/>
  <c r="R19" i="32"/>
  <c r="R24" i="32"/>
  <c r="R25" i="32" s="1"/>
  <c r="L19" i="32"/>
  <c r="L24" i="32"/>
  <c r="L25" i="32" s="1"/>
  <c r="S7" i="6"/>
  <c r="S26" i="6"/>
  <c r="S27" i="6" s="1"/>
  <c r="F27" i="13"/>
  <c r="F19" i="4" s="1"/>
  <c r="F24" i="4"/>
  <c r="F25" i="4" s="1"/>
  <c r="J7" i="6"/>
  <c r="J26" i="6"/>
  <c r="J27" i="6" s="1"/>
  <c r="F7" i="6"/>
  <c r="F26" i="6"/>
  <c r="F27" i="6" s="1"/>
  <c r="O26" i="6"/>
  <c r="O27" i="6" s="1"/>
  <c r="O7" i="6"/>
  <c r="J24" i="4"/>
  <c r="J25" i="4" s="1"/>
  <c r="J27" i="13"/>
  <c r="J19" i="4" s="1"/>
  <c r="M26" i="6"/>
  <c r="M27" i="6" s="1"/>
  <c r="M7" i="6"/>
  <c r="S27" i="13"/>
  <c r="S19" i="4" s="1"/>
  <c r="R6" i="6"/>
  <c r="Y6" i="6"/>
  <c r="R26" i="13"/>
  <c r="R18" i="4" s="1"/>
  <c r="R7" i="13"/>
  <c r="O24" i="4"/>
  <c r="O25" i="4" s="1"/>
  <c r="O27" i="13"/>
  <c r="O19" i="4" s="1"/>
  <c r="M24" i="4"/>
  <c r="M25" i="4" s="1"/>
  <c r="M27" i="13"/>
  <c r="M19" i="4" s="1"/>
  <c r="L26" i="13"/>
  <c r="L18" i="4" s="1"/>
  <c r="L7" i="13"/>
  <c r="L6" i="6"/>
  <c r="Z26" i="6"/>
  <c r="Z27" i="6" s="1"/>
  <c r="Z7" i="6"/>
  <c r="I26" i="13"/>
  <c r="I18" i="4" s="1"/>
  <c r="I6" i="6"/>
  <c r="I7" i="13"/>
  <c r="I7" i="6" l="1"/>
  <c r="I26" i="6"/>
  <c r="I27" i="6" s="1"/>
  <c r="S24" i="4"/>
  <c r="S25" i="4" s="1"/>
  <c r="Z24" i="4"/>
  <c r="Z25" i="4" s="1"/>
  <c r="R27" i="13"/>
  <c r="R19" i="4" s="1"/>
  <c r="L26" i="6"/>
  <c r="L27" i="6" s="1"/>
  <c r="L7" i="6"/>
  <c r="Y7" i="6"/>
  <c r="Y26" i="6"/>
  <c r="I27" i="13"/>
  <c r="I19" i="4" s="1"/>
  <c r="I24" i="4"/>
  <c r="I25" i="4" s="1"/>
  <c r="L27" i="13"/>
  <c r="L19" i="4" s="1"/>
  <c r="L24" i="4"/>
  <c r="L25" i="4" s="1"/>
  <c r="R7" i="6"/>
  <c r="R26" i="6"/>
  <c r="R27" i="6" s="1"/>
  <c r="Y24" i="4" l="1"/>
  <c r="R24" i="4"/>
  <c r="R25" i="4" s="1"/>
  <c r="AR64" i="18" l="1"/>
  <c r="AP64" i="18" s="1"/>
  <c r="AR65" i="18" l="1"/>
  <c r="AR89" i="18" l="1"/>
  <c r="AR91" i="18" s="1"/>
  <c r="AP91" i="18" s="1"/>
  <c r="AP65" i="18"/>
  <c r="AN20" i="7"/>
  <c r="AA189" i="32" l="1"/>
  <c r="AN25" i="7"/>
  <c r="AA25" i="6"/>
  <c r="AA27" i="6" s="1"/>
  <c r="AL20" i="7"/>
  <c r="AP89" i="18"/>
  <c r="AC19" i="9" l="1"/>
  <c r="AC24" i="9" s="1"/>
  <c r="AC26" i="9" s="1"/>
  <c r="AA24" i="9"/>
  <c r="AA26" i="9" s="1"/>
  <c r="Y20" i="6"/>
  <c r="Y25" i="6" s="1"/>
  <c r="Y27" i="6" s="1"/>
  <c r="AL25" i="7"/>
  <c r="Y183" i="32"/>
  <c r="Y189" i="32" s="1"/>
  <c r="AN27" i="7"/>
  <c r="AA23" i="4"/>
  <c r="AA25" i="4" s="1"/>
  <c r="AL27" i="7" l="1"/>
  <c r="Y7" i="4" s="1"/>
  <c r="Y5" i="4"/>
  <c r="Y23" i="4" s="1"/>
  <c r="Y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Emily</author>
  </authors>
  <commentList>
    <comment ref="J18" authorId="0" shapeId="0" xr:uid="{A2012DB0-9764-45EE-A781-A0D975FAEA9F}">
      <text>
        <r>
          <rPr>
            <b/>
            <sz val="9"/>
            <color indexed="81"/>
            <rFont val="Tahoma"/>
            <family val="2"/>
          </rPr>
          <t>Ryan, Emily:</t>
        </r>
        <r>
          <rPr>
            <sz val="9"/>
            <color indexed="81"/>
            <rFont val="Tahoma"/>
            <family val="2"/>
          </rPr>
          <t xml:space="preserve">
District population estimate was adjusted up from the BEBR estimate due to prevent negative growth.</t>
        </r>
      </text>
    </comment>
    <comment ref="T18" authorId="0" shapeId="0" xr:uid="{C6BE0178-185C-4AEA-8EE0-3C3765558802}">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X18" authorId="0" shapeId="0" xr:uid="{C8B007E5-5F10-4107-B9ED-C23E76CD623E}">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AD18" authorId="0" shapeId="0" xr:uid="{A8BF4A1B-F417-4422-9921-0A67B0F22741}">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AI18" authorId="0" shapeId="0" xr:uid="{BDEEE124-8223-4C8B-BE44-1C95EF07CA8D}">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J23" authorId="0" shapeId="0" xr:uid="{7B6BF3FC-8443-4792-9B39-2F4B01974D7E}">
      <text>
        <r>
          <rPr>
            <b/>
            <sz val="9"/>
            <color indexed="81"/>
            <rFont val="Tahoma"/>
            <family val="2"/>
          </rPr>
          <t>Ryan, Emily:</t>
        </r>
        <r>
          <rPr>
            <sz val="9"/>
            <color indexed="81"/>
            <rFont val="Tahoma"/>
            <family val="2"/>
          </rPr>
          <t xml:space="preserve">
District population estimate was adjusted up from the BEBR estimate due to prevent negative growth.</t>
        </r>
      </text>
    </comment>
    <comment ref="O23" authorId="0" shapeId="0" xr:uid="{B39E2815-8403-430C-8893-0A514CA25D78}">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T23" authorId="0" shapeId="0" xr:uid="{7373939D-DF4C-4778-9EDB-E203DBAF032F}">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X23" authorId="0" shapeId="0" xr:uid="{9BCF65C5-E501-4C3B-98D4-B1CE783FB551}">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AD23" authorId="0" shapeId="0" xr:uid="{7DE9F171-83E1-475C-B939-E1EBFA5C56AA}">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AI23" authorId="0" shapeId="0" xr:uid="{B87E5B7F-B230-4551-8C8E-7ED1905B7C1C}">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J44" authorId="0" shapeId="0" xr:uid="{59E5413E-8988-45A0-ACEE-EB508209CF91}">
      <text>
        <r>
          <rPr>
            <b/>
            <sz val="9"/>
            <color indexed="81"/>
            <rFont val="Tahoma"/>
            <family val="2"/>
          </rPr>
          <t>Ryan, Emily:</t>
        </r>
        <r>
          <rPr>
            <sz val="9"/>
            <color indexed="81"/>
            <rFont val="Tahoma"/>
            <family val="2"/>
          </rPr>
          <t xml:space="preserve">
District population estimate was adjusted up from the BEBR estimate due to prevent negative growth.</t>
        </r>
      </text>
    </comment>
    <comment ref="O44" authorId="0" shapeId="0" xr:uid="{FC44D18A-65D1-4E57-99C8-7061856EE949}">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T44" authorId="0" shapeId="0" xr:uid="{FFE0525D-6F90-46F1-A3B5-030A9DAAC5D9}">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Y44" authorId="0" shapeId="0" xr:uid="{9863385C-420D-4AD0-BC86-00428B14853B}">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AD44" authorId="0" shapeId="0" xr:uid="{8EDF75EF-C569-48FB-B105-2163367530A8}">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 ref="AI44" authorId="0" shapeId="0" xr:uid="{BAA27EBF-4174-4240-A7D5-8AD8FFDE5733}">
      <text>
        <r>
          <rPr>
            <b/>
            <sz val="9"/>
            <color indexed="81"/>
            <rFont val="Tahoma"/>
            <family val="2"/>
          </rPr>
          <t>Ryan, Emily:</t>
        </r>
        <r>
          <rPr>
            <sz val="9"/>
            <color indexed="81"/>
            <rFont val="Tahoma"/>
            <family val="2"/>
          </rPr>
          <t xml:space="preserve">
Ryan, Emily:
District population estimate was adjusted up from the BEBR estimate due to prevent negative growth.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Tammy Bader-Gibbs</author>
  </authors>
  <commentList>
    <comment ref="O29" authorId="0" shapeId="0" xr:uid="{C349C59F-7B3D-4F9E-A8D6-A648EAE7802E}">
      <text>
        <r>
          <rPr>
            <b/>
            <sz val="9"/>
            <color indexed="81"/>
            <rFont val="Tahoma"/>
            <family val="2"/>
          </rPr>
          <t>Tammy Bader-Gibbs:</t>
        </r>
        <r>
          <rPr>
            <sz val="9"/>
            <color indexed="81"/>
            <rFont val="Tahoma"/>
            <family val="2"/>
          </rPr>
          <t xml:space="preserve">
There are no wds in Clay county - these wds need to be added to the Duval Wds during distribution</t>
        </r>
      </text>
    </comment>
    <comment ref="D45" authorId="0" shapeId="0" xr:uid="{7F1D4DC6-0B0A-40A5-8DA8-B5CD4BD9B203}">
      <text>
        <r>
          <rPr>
            <b/>
            <sz val="9"/>
            <color indexed="81"/>
            <rFont val="Tahoma"/>
            <family val="2"/>
          </rPr>
          <t>Tammy Bader-Gibbs:</t>
        </r>
        <r>
          <rPr>
            <sz val="9"/>
            <color indexed="81"/>
            <rFont val="Tahoma"/>
            <family val="2"/>
          </rPr>
          <t xml:space="preserve">
Total popfor demands is 3,000</t>
        </r>
      </text>
    </comment>
    <comment ref="E45" authorId="0" shapeId="0" xr:uid="{48DD7A9D-71AA-4E16-B52A-76211DB36538}">
      <text>
        <r>
          <rPr>
            <b/>
            <sz val="9"/>
            <color indexed="81"/>
            <rFont val="Tahoma"/>
            <family val="2"/>
          </rPr>
          <t>Tammy Bader-Gibbs:</t>
        </r>
        <r>
          <rPr>
            <sz val="9"/>
            <color indexed="81"/>
            <rFont val="Tahoma"/>
            <family val="2"/>
          </rPr>
          <t xml:space="preserve">
Total Pop for demands is 3,174</t>
        </r>
      </text>
    </comment>
    <comment ref="F45" authorId="0" shapeId="0" xr:uid="{018EBEB5-31A0-4A14-A838-180537646B7D}">
      <text>
        <r>
          <rPr>
            <b/>
            <sz val="9"/>
            <color indexed="81"/>
            <rFont val="Tahoma"/>
            <family val="2"/>
          </rPr>
          <t>Tammy Bader-Gibbs:</t>
        </r>
        <r>
          <rPr>
            <sz val="9"/>
            <color indexed="81"/>
            <rFont val="Tahoma"/>
            <family val="2"/>
          </rPr>
          <t xml:space="preserve">
Total Pop for demands is 3,174</t>
        </r>
      </text>
    </comment>
    <comment ref="G45" authorId="0" shapeId="0" xr:uid="{5D0858FF-570A-4FCF-8B3E-6CC7F1C5D9A8}">
      <text>
        <r>
          <rPr>
            <b/>
            <sz val="9"/>
            <color indexed="81"/>
            <rFont val="Tahoma"/>
            <family val="2"/>
          </rPr>
          <t>Tammy Bader-Gibbs:</t>
        </r>
        <r>
          <rPr>
            <sz val="9"/>
            <color indexed="81"/>
            <rFont val="Tahoma"/>
            <family val="2"/>
          </rPr>
          <t xml:space="preserve">
Total Pop for demands is 3,233
</t>
        </r>
      </text>
    </comment>
    <comment ref="H45" authorId="0" shapeId="0" xr:uid="{8F208B77-1AE5-44D0-978F-67AA2AB8EE3A}">
      <text>
        <r>
          <rPr>
            <b/>
            <sz val="9"/>
            <color indexed="81"/>
            <rFont val="Tahoma"/>
            <family val="2"/>
          </rPr>
          <t>Tammy Bader-Gibbs:</t>
        </r>
        <r>
          <rPr>
            <sz val="9"/>
            <color indexed="81"/>
            <rFont val="Tahoma"/>
            <family val="2"/>
          </rPr>
          <t xml:space="preserve">
Total pop for demands is 3,329</t>
        </r>
      </text>
    </comment>
    <comment ref="I45" authorId="0" shapeId="0" xr:uid="{0DA63A27-A20F-41D1-B4AA-383A5693FACE}">
      <text>
        <r>
          <rPr>
            <b/>
            <sz val="9"/>
            <color indexed="81"/>
            <rFont val="Tahoma"/>
            <family val="2"/>
          </rPr>
          <t>Tammy Bader-Gibbs:</t>
        </r>
        <r>
          <rPr>
            <sz val="9"/>
            <color indexed="81"/>
            <rFont val="Tahoma"/>
            <family val="2"/>
          </rPr>
          <t xml:space="preserve">
Total pop for demands is 3,488</t>
        </r>
      </text>
    </comment>
    <comment ref="J45" authorId="0" shapeId="0" xr:uid="{6AA3134D-B943-42C0-BF3B-B6B057375E54}">
      <text>
        <r>
          <rPr>
            <b/>
            <sz val="9"/>
            <color indexed="81"/>
            <rFont val="Tahoma"/>
            <family val="2"/>
          </rPr>
          <t>Tammy Bader-Gibbs:</t>
        </r>
        <r>
          <rPr>
            <sz val="9"/>
            <color indexed="81"/>
            <rFont val="Tahoma"/>
            <family val="2"/>
          </rPr>
          <t xml:space="preserve">
Total pop for demands is 3,499</t>
        </r>
      </text>
    </comment>
    <comment ref="K45" authorId="0" shapeId="0" xr:uid="{A3F4D3EF-B372-49F7-85E6-67B6A7FFA481}">
      <text>
        <r>
          <rPr>
            <b/>
            <sz val="9"/>
            <color indexed="81"/>
            <rFont val="Tahoma"/>
            <family val="2"/>
          </rPr>
          <t>Tammy Bader-Gibbs:</t>
        </r>
        <r>
          <rPr>
            <sz val="9"/>
            <color indexed="81"/>
            <rFont val="Tahoma"/>
            <family val="2"/>
          </rPr>
          <t xml:space="preserve">
Total pop for demands is 5,985</t>
        </r>
      </text>
    </comment>
    <comment ref="D76" authorId="0" shapeId="0" xr:uid="{A3E9A6B1-F109-4A8C-8CEE-1DF00B6D317B}">
      <text>
        <r>
          <rPr>
            <b/>
            <sz val="9"/>
            <color indexed="81"/>
            <rFont val="Tahoma"/>
            <family val="2"/>
          </rPr>
          <t>Tammy Bader-Gibbs:</t>
        </r>
        <r>
          <rPr>
            <sz val="9"/>
            <color indexed="81"/>
            <rFont val="Tahoma"/>
            <family val="2"/>
          </rPr>
          <t xml:space="preserve">
for demand projections add 36 from Duval </t>
        </r>
      </text>
    </comment>
    <comment ref="E76" authorId="0" shapeId="0" xr:uid="{FFDF81AD-F0B3-456D-8A10-48A197656B0E}">
      <text>
        <r>
          <rPr>
            <b/>
            <sz val="9"/>
            <color indexed="81"/>
            <rFont val="Tahoma"/>
            <family val="2"/>
          </rPr>
          <t>Tammy Bader-Gibbs:</t>
        </r>
        <r>
          <rPr>
            <sz val="9"/>
            <color indexed="81"/>
            <rFont val="Tahoma"/>
            <family val="2"/>
          </rPr>
          <t xml:space="preserve">
for demand projections add 83 from Duval </t>
        </r>
      </text>
    </comment>
    <comment ref="F76" authorId="0" shapeId="0" xr:uid="{36B87A0A-04F9-4C55-9ABA-EC640A22108F}">
      <text>
        <r>
          <rPr>
            <b/>
            <sz val="9"/>
            <color indexed="81"/>
            <rFont val="Tahoma"/>
            <family val="2"/>
          </rPr>
          <t>Tammy Bader-Gibbs:</t>
        </r>
        <r>
          <rPr>
            <sz val="9"/>
            <color indexed="81"/>
            <rFont val="Tahoma"/>
            <family val="2"/>
          </rPr>
          <t xml:space="preserve">
for demand projections add 83 from Duval </t>
        </r>
      </text>
    </comment>
    <comment ref="G76" authorId="0" shapeId="0" xr:uid="{41A55D63-E0AF-4F7A-A4B4-3E05BF9D5FE3}">
      <text>
        <r>
          <rPr>
            <b/>
            <sz val="9"/>
            <color indexed="81"/>
            <rFont val="Tahoma"/>
            <family val="2"/>
          </rPr>
          <t>Tammy Bader-Gibbs:</t>
        </r>
        <r>
          <rPr>
            <sz val="9"/>
            <color indexed="81"/>
            <rFont val="Tahoma"/>
            <family val="2"/>
          </rPr>
          <t xml:space="preserve">
for demand projections add 83 from Duval </t>
        </r>
      </text>
    </comment>
    <comment ref="H76" authorId="0" shapeId="0" xr:uid="{6407F4D0-CEC8-4731-AF72-440B5AC6D2DD}">
      <text>
        <r>
          <rPr>
            <b/>
            <sz val="9"/>
            <color indexed="81"/>
            <rFont val="Tahoma"/>
            <family val="2"/>
          </rPr>
          <t>Tammy Bader-Gibbs:</t>
        </r>
        <r>
          <rPr>
            <sz val="9"/>
            <color indexed="81"/>
            <rFont val="Tahoma"/>
            <family val="2"/>
          </rPr>
          <t xml:space="preserve">
for demand projections add 83 from Duval </t>
        </r>
      </text>
    </comment>
    <comment ref="I76" authorId="0" shapeId="0" xr:uid="{18AEF426-6E1C-412E-AEAD-3C436802D4E0}">
      <text>
        <r>
          <rPr>
            <b/>
            <sz val="9"/>
            <color indexed="81"/>
            <rFont val="Tahoma"/>
            <family val="2"/>
          </rPr>
          <t>Tammy Bader-Gibbs:</t>
        </r>
        <r>
          <rPr>
            <sz val="9"/>
            <color indexed="81"/>
            <rFont val="Tahoma"/>
            <family val="2"/>
          </rPr>
          <t xml:space="preserve">
for demand projections add 85 from Duval </t>
        </r>
      </text>
    </comment>
    <comment ref="J76" authorId="0" shapeId="0" xr:uid="{EF2E47C5-BD1C-4B10-A0DC-0955A09865E1}">
      <text>
        <r>
          <rPr>
            <b/>
            <sz val="9"/>
            <color indexed="81"/>
            <rFont val="Tahoma"/>
            <family val="2"/>
          </rPr>
          <t>Tammy Bader-Gibbs:</t>
        </r>
        <r>
          <rPr>
            <sz val="9"/>
            <color indexed="81"/>
            <rFont val="Tahoma"/>
            <family val="2"/>
          </rPr>
          <t xml:space="preserve">
for demand projections add 85 from Duval </t>
        </r>
      </text>
    </comment>
    <comment ref="K76" authorId="0" shapeId="0" xr:uid="{5CAA467F-FC6E-4312-9006-D8E39C3B956F}">
      <text>
        <r>
          <rPr>
            <b/>
            <sz val="9"/>
            <color indexed="81"/>
            <rFont val="Tahoma"/>
            <family val="2"/>
          </rPr>
          <t>Tammy Bader-Gibbs:</t>
        </r>
        <r>
          <rPr>
            <sz val="9"/>
            <color indexed="81"/>
            <rFont val="Tahoma"/>
            <family val="2"/>
          </rPr>
          <t xml:space="preserve">
for demand projections add 85 from Duval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tbader</author>
  </authors>
  <commentList>
    <comment ref="F43" authorId="0" shapeId="0" xr:uid="{00000000-0006-0000-0700-000001000000}">
      <text>
        <r>
          <rPr>
            <b/>
            <sz val="9"/>
            <color indexed="81"/>
            <rFont val="Tahoma"/>
            <family val="2"/>
          </rPr>
          <t>tbader:</t>
        </r>
        <r>
          <rPr>
            <sz val="9"/>
            <color indexed="81"/>
            <rFont val="Tahoma"/>
            <family val="2"/>
          </rPr>
          <t xml:space="preserve">
PS .671
</t>
        </r>
      </text>
    </comment>
    <comment ref="I43" authorId="0" shapeId="0" xr:uid="{00000000-0006-0000-0700-000004000000}">
      <text>
        <r>
          <rPr>
            <b/>
            <sz val="9"/>
            <color indexed="81"/>
            <rFont val="Tahoma"/>
            <family val="2"/>
          </rPr>
          <t>tbader:</t>
        </r>
        <r>
          <rPr>
            <sz val="9"/>
            <color indexed="81"/>
            <rFont val="Tahoma"/>
            <family val="2"/>
          </rPr>
          <t xml:space="preserve">
PS .861</t>
        </r>
      </text>
    </comment>
    <comment ref="J43" authorId="0" shapeId="0" xr:uid="{00000000-0006-0000-0700-000005000000}">
      <text>
        <r>
          <rPr>
            <b/>
            <sz val="9"/>
            <color indexed="81"/>
            <rFont val="Tahoma"/>
            <family val="2"/>
          </rPr>
          <t>tbader:</t>
        </r>
        <r>
          <rPr>
            <sz val="9"/>
            <color indexed="81"/>
            <rFont val="Tahoma"/>
            <family val="2"/>
          </rPr>
          <t xml:space="preserve">
PS .740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Emily</author>
  </authors>
  <commentList>
    <comment ref="K92" authorId="0" shapeId="0" xr:uid="{48D7C282-5AF1-4EF5-8924-ECF7E58BC723}">
      <text>
        <r>
          <rPr>
            <b/>
            <sz val="9"/>
            <color indexed="81"/>
            <rFont val="Tahoma"/>
            <family val="2"/>
          </rPr>
          <t>Ryan, Emily:</t>
        </r>
        <r>
          <rPr>
            <sz val="9"/>
            <color indexed="81"/>
            <rFont val="Tahoma"/>
            <family val="2"/>
          </rPr>
          <t xml:space="preserve">
Was not in the model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Tammy Bader-Gibbs</author>
    <author>tbader</author>
  </authors>
  <commentList>
    <comment ref="C18" authorId="0" shapeId="0" xr:uid="{5D5395D6-9263-459C-9EC5-4173C35AF1A4}">
      <text>
        <r>
          <rPr>
            <sz val="11"/>
            <color theme="1"/>
            <rFont val="Calibri"/>
            <family val="2"/>
            <scheme val="minor"/>
          </rPr>
          <t>Tammy Bader-Gibbs:
Total Water use 34.94</t>
        </r>
      </text>
    </comment>
    <comment ref="D18" authorId="0" shapeId="0" xr:uid="{45FF6398-FEDF-46EB-B9DD-2F041C0153B4}">
      <text>
        <r>
          <rPr>
            <sz val="11"/>
            <color theme="1"/>
            <rFont val="Calibri"/>
            <family val="2"/>
            <scheme val="minor"/>
          </rPr>
          <t>Tammy Bader-Gibbs:
Total Water use 34.94</t>
        </r>
      </text>
    </comment>
    <comment ref="E18" authorId="0" shapeId="0" xr:uid="{4C90B4F3-66C1-4C0F-B747-16C1F3A0DE0B}">
      <text>
        <r>
          <rPr>
            <sz val="11"/>
            <color theme="1"/>
            <rFont val="Calibri"/>
            <family val="2"/>
            <scheme val="minor"/>
          </rPr>
          <t>Tammy Bader-Gibbs:
Total Water use 34.94</t>
        </r>
      </text>
    </comment>
    <comment ref="F18" authorId="0" shapeId="0" xr:uid="{190F8BED-7394-4604-BD10-52B2F13BEF67}">
      <text>
        <r>
          <rPr>
            <sz val="11"/>
            <color theme="1"/>
            <rFont val="Calibri"/>
            <family val="2"/>
            <scheme val="minor"/>
          </rPr>
          <t>Tammy Bader-Gibbs:
Total Water use 34.94</t>
        </r>
      </text>
    </comment>
    <comment ref="G18" authorId="0" shapeId="0" xr:uid="{63FD054E-35EA-4F21-B6E9-B3F73ACC8D61}">
      <text>
        <r>
          <rPr>
            <sz val="11"/>
            <color theme="1"/>
            <rFont val="Calibri"/>
            <family val="2"/>
            <scheme val="minor"/>
          </rPr>
          <t>Tammy Bader-Gibbs:
Total Water use 34.94</t>
        </r>
      </text>
    </comment>
    <comment ref="C19" authorId="1" shapeId="0" xr:uid="{00000000-0006-0000-1300-000001000000}">
      <text>
        <r>
          <rPr>
            <b/>
            <sz val="9"/>
            <color indexed="81"/>
            <rFont val="Tahoma"/>
            <family val="2"/>
          </rPr>
          <t>tbader:</t>
        </r>
        <r>
          <rPr>
            <sz val="9"/>
            <color indexed="81"/>
            <rFont val="Tahoma"/>
            <family val="2"/>
          </rPr>
          <t xml:space="preserve">
Total water use 33.14
</t>
        </r>
      </text>
    </comment>
    <comment ref="D19" authorId="1" shapeId="0" xr:uid="{00000000-0006-0000-1300-000002000000}">
      <text>
        <r>
          <rPr>
            <b/>
            <sz val="9"/>
            <color indexed="81"/>
            <rFont val="Tahoma"/>
            <family val="2"/>
          </rPr>
          <t>tbader:</t>
        </r>
        <r>
          <rPr>
            <sz val="9"/>
            <color indexed="81"/>
            <rFont val="Tahoma"/>
            <family val="2"/>
          </rPr>
          <t xml:space="preserve">
Total water use 33.11</t>
        </r>
      </text>
    </comment>
    <comment ref="E19" authorId="1" shapeId="0" xr:uid="{00000000-0006-0000-1300-000003000000}">
      <text>
        <r>
          <rPr>
            <b/>
            <sz val="9"/>
            <color indexed="81"/>
            <rFont val="Tahoma"/>
            <family val="2"/>
          </rPr>
          <t>tbader:</t>
        </r>
        <r>
          <rPr>
            <sz val="9"/>
            <color indexed="81"/>
            <rFont val="Tahoma"/>
            <family val="2"/>
          </rPr>
          <t xml:space="preserve">
Total water use 32.09</t>
        </r>
      </text>
    </comment>
    <comment ref="F19" authorId="1" shapeId="0" xr:uid="{00000000-0006-0000-1300-000004000000}">
      <text>
        <r>
          <rPr>
            <b/>
            <sz val="9"/>
            <color indexed="81"/>
            <rFont val="Tahoma"/>
            <family val="2"/>
          </rPr>
          <t>tbader:</t>
        </r>
        <r>
          <rPr>
            <sz val="9"/>
            <color indexed="81"/>
            <rFont val="Tahoma"/>
            <family val="2"/>
          </rPr>
          <t xml:space="preserve">
Total water use 32.79</t>
        </r>
      </text>
    </comment>
    <comment ref="G19" authorId="1" shapeId="0" xr:uid="{00000000-0006-0000-1300-000005000000}">
      <text>
        <r>
          <rPr>
            <b/>
            <sz val="9"/>
            <color indexed="81"/>
            <rFont val="Tahoma"/>
            <family val="2"/>
          </rPr>
          <t>tbader:</t>
        </r>
        <r>
          <rPr>
            <sz val="9"/>
            <color indexed="81"/>
            <rFont val="Tahoma"/>
            <family val="2"/>
          </rPr>
          <t xml:space="preserve">
Total water use 32.39</t>
        </r>
      </text>
    </comment>
    <comment ref="C20" authorId="1" shapeId="0" xr:uid="{00000000-0006-0000-1300-00000A000000}">
      <text>
        <r>
          <rPr>
            <b/>
            <sz val="9"/>
            <color indexed="81"/>
            <rFont val="Tahoma"/>
            <family val="2"/>
          </rPr>
          <t>tbader:</t>
        </r>
        <r>
          <rPr>
            <sz val="9"/>
            <color indexed="81"/>
            <rFont val="Tahoma"/>
            <family val="2"/>
          </rPr>
          <t xml:space="preserve">
Total water use 25.88</t>
        </r>
      </text>
    </comment>
    <comment ref="D20" authorId="1" shapeId="0" xr:uid="{00000000-0006-0000-1300-00000B000000}">
      <text>
        <r>
          <rPr>
            <b/>
            <sz val="9"/>
            <color indexed="81"/>
            <rFont val="Tahoma"/>
            <family val="2"/>
          </rPr>
          <t>tbader:</t>
        </r>
        <r>
          <rPr>
            <sz val="9"/>
            <color indexed="81"/>
            <rFont val="Tahoma"/>
            <family val="2"/>
          </rPr>
          <t xml:space="preserve">
Total water use 27.54</t>
        </r>
      </text>
    </comment>
    <comment ref="E20" authorId="1" shapeId="0" xr:uid="{00000000-0006-0000-1300-00000C000000}">
      <text>
        <r>
          <rPr>
            <b/>
            <sz val="9"/>
            <color indexed="81"/>
            <rFont val="Tahoma"/>
            <family val="2"/>
          </rPr>
          <t>tbader:</t>
        </r>
        <r>
          <rPr>
            <sz val="9"/>
            <color indexed="81"/>
            <rFont val="Tahoma"/>
            <family val="2"/>
          </rPr>
          <t xml:space="preserve">
Total Water use 24.88</t>
        </r>
      </text>
    </comment>
    <comment ref="F20" authorId="1" shapeId="0" xr:uid="{00000000-0006-0000-1300-00000D000000}">
      <text>
        <r>
          <rPr>
            <b/>
            <sz val="9"/>
            <color indexed="81"/>
            <rFont val="Tahoma"/>
            <family val="2"/>
          </rPr>
          <t>tbader:</t>
        </r>
        <r>
          <rPr>
            <sz val="9"/>
            <color indexed="81"/>
            <rFont val="Tahoma"/>
            <family val="2"/>
          </rPr>
          <t xml:space="preserve">
Total Water use 23.91</t>
        </r>
      </text>
    </comment>
    <comment ref="G20" authorId="1" shapeId="0" xr:uid="{00000000-0006-0000-1300-00000E000000}">
      <text>
        <r>
          <rPr>
            <b/>
            <sz val="9"/>
            <color indexed="81"/>
            <rFont val="Tahoma"/>
            <family val="2"/>
          </rPr>
          <t>tbader:</t>
        </r>
        <r>
          <rPr>
            <sz val="9"/>
            <color indexed="81"/>
            <rFont val="Tahoma"/>
            <family val="2"/>
          </rPr>
          <t xml:space="preserve">
Total water use 23.30</t>
        </r>
      </text>
    </comment>
    <comment ref="C43" authorId="0" shapeId="0" xr:uid="{C318E917-EA21-4106-A90A-DB67EAE90ADE}">
      <text>
        <r>
          <rPr>
            <sz val="11"/>
            <color theme="1"/>
            <rFont val="Calibri"/>
            <family val="2"/>
            <scheme val="minor"/>
          </rPr>
          <t>Tammy Bader-Gibbs:
Total Water use 38.69</t>
        </r>
      </text>
    </comment>
    <comment ref="D43" authorId="0" shapeId="0" xr:uid="{B631347D-C535-4BD1-B043-B8E430A76318}">
      <text>
        <r>
          <rPr>
            <sz val="11"/>
            <color theme="1"/>
            <rFont val="Calibri"/>
            <family val="2"/>
            <scheme val="minor"/>
          </rPr>
          <t>Tammy Bader-Gibbs:
Total Water use 39.69</t>
        </r>
      </text>
    </comment>
    <comment ref="E43" authorId="0" shapeId="0" xr:uid="{FFC90961-52AD-47CC-9493-15862FCA23A5}">
      <text>
        <r>
          <rPr>
            <sz val="11"/>
            <color theme="1"/>
            <rFont val="Calibri"/>
            <family val="2"/>
            <scheme val="minor"/>
          </rPr>
          <t>Tammy Bader-Gibbs:
Total Water use 39.30</t>
        </r>
      </text>
    </comment>
    <comment ref="F43" authorId="0" shapeId="0" xr:uid="{1FC8B08F-DD48-4532-AEAE-877C973EFE4A}">
      <text>
        <r>
          <rPr>
            <sz val="11"/>
            <color theme="1"/>
            <rFont val="Calibri"/>
            <family val="2"/>
            <scheme val="minor"/>
          </rPr>
          <t>Tammy Bader-Gibbs:
Total Water use 39.13</t>
        </r>
      </text>
    </comment>
    <comment ref="G43" authorId="0" shapeId="0" xr:uid="{CC4C3E92-2687-4B31-B6EA-2E6B919A7D72}">
      <text>
        <r>
          <rPr>
            <sz val="11"/>
            <color theme="1"/>
            <rFont val="Calibri"/>
            <family val="2"/>
            <scheme val="minor"/>
          </rPr>
          <t>Tammy Bader-Gibbs:
Total Water use 38.91</t>
        </r>
      </text>
    </comment>
  </commentList>
</comments>
</file>

<file path=xl/sharedStrings.xml><?xml version="1.0" encoding="utf-8"?>
<sst xmlns="http://schemas.openxmlformats.org/spreadsheetml/2006/main" count="5551" uniqueCount="732">
  <si>
    <t>Table A-1. Population Estimates for 2015 and Population Projections for 2020-2045, by County, in Region 1 of the St. Johns River Water Management District and the North Florida Regional Water Supply Planning Region of the Suwannee River Water Management District.</t>
  </si>
  <si>
    <t xml:space="preserve">County </t>
  </si>
  <si>
    <t>District</t>
  </si>
  <si>
    <t xml:space="preserve">BEBR County Population </t>
  </si>
  <si>
    <t>BEBR County Population less Institutional</t>
  </si>
  <si>
    <t>District Population</t>
  </si>
  <si>
    <t xml:space="preserve">Public Supply Population </t>
  </si>
  <si>
    <t>Domestic and Small Public Supply Systems Population</t>
  </si>
  <si>
    <t>District Population Percent Change 2015-2045</t>
  </si>
  <si>
    <t>Public Supply Population Percent Change 2015-2045</t>
  </si>
  <si>
    <t>Domestic and Small Public Supply Systems Population Percent Change 2015-2045</t>
  </si>
  <si>
    <t>District Population Change 2015-2045</t>
  </si>
  <si>
    <t>Public Supply Population Change 2015-2045</t>
  </si>
  <si>
    <t>Domestic and Small Public Supply Systems Population Change 2015-2045</t>
  </si>
  <si>
    <t xml:space="preserve">Alachua </t>
  </si>
  <si>
    <t>SJRWMD</t>
  </si>
  <si>
    <t>N/A</t>
  </si>
  <si>
    <t>SRWMD</t>
  </si>
  <si>
    <t xml:space="preserve">Total </t>
  </si>
  <si>
    <t xml:space="preserve">Baker </t>
  </si>
  <si>
    <t xml:space="preserve">Bradford </t>
  </si>
  <si>
    <t xml:space="preserve">Clay </t>
  </si>
  <si>
    <t>Columbia</t>
  </si>
  <si>
    <t xml:space="preserve">Duval </t>
  </si>
  <si>
    <t xml:space="preserve">Flagler </t>
  </si>
  <si>
    <t>Gilchrist</t>
  </si>
  <si>
    <t>Hamilton</t>
  </si>
  <si>
    <t xml:space="preserve">Nassau </t>
  </si>
  <si>
    <t xml:space="preserve">Putnam </t>
  </si>
  <si>
    <t xml:space="preserve">St. Johns </t>
  </si>
  <si>
    <t>Suwannee</t>
  </si>
  <si>
    <t>Union</t>
  </si>
  <si>
    <t xml:space="preserve">SJRWMD Region 1 Total </t>
  </si>
  <si>
    <t xml:space="preserve">SRWMD NFRWSP Total </t>
  </si>
  <si>
    <t xml:space="preserve">NFRWSP Total </t>
  </si>
  <si>
    <t>Notes:</t>
  </si>
  <si>
    <t xml:space="preserve"> </t>
  </si>
  <si>
    <t>1.) Rounding errors account for nominal discrepancies.</t>
  </si>
  <si>
    <t>2.) 2015 county population projections were obtained from BEBR Florida Estimates of Population 2015, Published April 2015.</t>
  </si>
  <si>
    <t>3.) 2020 - 2045 county population projections were obtained from BEBR Population Projections: Volume 53, Bulletin 186, Published January 2020.</t>
  </si>
  <si>
    <t>4.) Population projections shown here are permanent population projections only and do not include any factors such as seasonal residents, tourist population or net commuter population.</t>
  </si>
  <si>
    <t xml:space="preserve">5.) Public water supply utility service areas often include residences that derive their water supply from privately owned (domestic self-supply) wells. Typically, these domestic self-supply water uses existed prior to their locations becoming part of public water supply service areas. For public water supply service areas, the Districts do not have sufficient information to separate the population served by public supply systems from those served by domestic self-supply wells. Therefore, public water supply population estimated by the Districts often include some domestic self-supply population. In certain counties the domestic self-supply population is projected to decrease. </t>
  </si>
  <si>
    <t>6.) BEBR County Population includes institutional, District Population in SRWMD only includes public supply and domestic self-supplied.</t>
  </si>
  <si>
    <t>7.) For SRWMD, BEBR County Population less Institutional was derived from annual BEBR reports; 2018 inmate population was held constant through 2045.</t>
  </si>
  <si>
    <t xml:space="preserve">8.) Although the GRU service area encompasses both Districts, the full population of GRU is reported under SJRWMD. </t>
  </si>
  <si>
    <t>Table A-1 (SRWMD - Western Planning Region). Population Estimates for 2015 and Population Projections for 2020-2045, by County, in the Western Planning Region of the Suwannee River Water Management District.</t>
  </si>
  <si>
    <t>Dixie</t>
  </si>
  <si>
    <t>Jefferson</t>
  </si>
  <si>
    <t>Lafayette</t>
  </si>
  <si>
    <t>Levy</t>
  </si>
  <si>
    <t>Madison</t>
  </si>
  <si>
    <t>Taylor</t>
  </si>
  <si>
    <t xml:space="preserve">SRWMD Western Planning Region Total </t>
  </si>
  <si>
    <t>Table A-2. Water Use for 2015 and 5-in-10 Year Total Water Demand Projections for 2020-2045 and 1-in-10 Year Water Demand Projections for 2045, by Category of Use, in Region 1 of the St. Johns River Water Management District and the North Florida Regional Water Supply Planning Region of the Suwannee River Water Management District.</t>
  </si>
  <si>
    <t>Category</t>
  </si>
  <si>
    <t>Water Use</t>
  </si>
  <si>
    <t>Demand Projections (5-in-10)</t>
  </si>
  <si>
    <t>Percent Change 2015-2045</t>
  </si>
  <si>
    <t>Demand Projections (1-in-10)</t>
  </si>
  <si>
    <t>Change 2015-2045</t>
  </si>
  <si>
    <t xml:space="preserve">Ground </t>
  </si>
  <si>
    <t>Surface</t>
  </si>
  <si>
    <t xml:space="preserve">Public Supply </t>
  </si>
  <si>
    <t xml:space="preserve">Domestic Self-supply and Small Public Supply Systems </t>
  </si>
  <si>
    <t xml:space="preserve">Agricultural Irrigation Self-supply </t>
  </si>
  <si>
    <t xml:space="preserve">Landscape / Recreational Self-supply </t>
  </si>
  <si>
    <t xml:space="preserve">Commercial / Industrial / Institutional Self-supply </t>
  </si>
  <si>
    <t xml:space="preserve">Power Generation Self-supply </t>
  </si>
  <si>
    <t>1.) All water use is shown in million gallons per day.</t>
  </si>
  <si>
    <t>2.) Rounding errors account for nominal discrepancies.</t>
  </si>
  <si>
    <t>3.) Total water use for the Public Supply category includes groundwater, surface water, and water from alternative sources for those utilities exceeding the cap.</t>
  </si>
  <si>
    <t>Table A-2 (SRWMD - Western Planning Region). Water Use for 2015 and 5-in-10 Year Total Water Demand Projections for 2020-2045 and 1-in-10 Year Water Demand Projections for 2045, by Category of Use, in the Western Planning Region of the Suwannee River Water Management District.</t>
  </si>
  <si>
    <t>Table A-3. Total Water Use for 2015 and 5-in-10 Year Water Demand Projections for 2020-2045, and 1-in-10 Year Water Demand Projections for 2045 by County in Region 1 of the St. Johns River Water Management District and the North Florida Regional Water Supply Planning Region of the Suwannee River Water Management District.</t>
  </si>
  <si>
    <t>3.) Total water use for the Public Supply category projections includes groundwater, surface water, and water from alternative sources for those utilities exceeding the cap.</t>
  </si>
  <si>
    <t>Table A-3 (SRWMD - Western Planning Region). Total Water Use for 2015 and 5-in-10 Year Water Demand Projections for 2020-2045, and 1-in-10 Year Water Demand Projections for 2045 by County in the Western Planning Region of the Suwannee River Water Management District.</t>
  </si>
  <si>
    <t>Table A-4. Public Supply Population Served and Water Use for 2015, Public Supply Population and 5-in-10 Year Water Demand Projections for 2020-2045, and 1-in-10 Year Water Demand Projections for 2045 by County in Region 1 of the St. Johns River Water Management District and the North Florida Regional Water Supply Planning Region of the Suwannee River Water Management District.</t>
  </si>
  <si>
    <t>Population Served</t>
  </si>
  <si>
    <t>Population Projections</t>
  </si>
  <si>
    <t>Population Change 2015-2045</t>
  </si>
  <si>
    <t>Population Percent Change 2015-2045</t>
  </si>
  <si>
    <t>Demand Change 2015-2045</t>
  </si>
  <si>
    <t>AWS</t>
  </si>
  <si>
    <t>3.) 1-in-10 rainfall year demand for 2045 calculated as an additional 6 percent of 2045 average demand.</t>
  </si>
  <si>
    <t>Table A-4 (SRWMD - Western Planning Region). Public Supply Population Served and Water Use for 2015, Public Supply Population and 5-in-10 Year Water Demand Projections for 2020-2045, and 1-in-10 Year Water Demand Projections for 2045 by County in the Western Planning Region of the Suwannee River Water Management District.</t>
  </si>
  <si>
    <t>Table A-5. Public Supply Population Served and Water Use for 2015 and Public Supply Population Projections for 2020-2045, 5-in-10 Year Water Demand Projections for 2020-2045 and 1-in-10 Year Water Demand Projections for 2045 by County and Utility, in Region 1 of the St. Johns River Water Management District and the North Florida Regional Water Supply Planning Region of the Suwannee River Water Management District.</t>
  </si>
  <si>
    <t>County</t>
  </si>
  <si>
    <t xml:space="preserve">Utility </t>
  </si>
  <si>
    <t>CUP Number</t>
  </si>
  <si>
    <t xml:space="preserve">Population Projections </t>
  </si>
  <si>
    <t>Buildout</t>
  </si>
  <si>
    <t xml:space="preserve">2014-2018 Avg Gross GPCD </t>
  </si>
  <si>
    <t>DemandChange 2015-2045</t>
  </si>
  <si>
    <t>GW</t>
  </si>
  <si>
    <t>SW</t>
  </si>
  <si>
    <t>Alachua - SJRWMD</t>
  </si>
  <si>
    <t>City of Hawthorne</t>
  </si>
  <si>
    <t>Gainesville Regional Utilities (includes SRWMD)</t>
  </si>
  <si>
    <t>Kincaid Hills Water Company</t>
  </si>
  <si>
    <t xml:space="preserve">Town of Micanopy </t>
  </si>
  <si>
    <t>Arredondo Utility Co / Aqua Source Utilities</t>
  </si>
  <si>
    <t>11364, 132141</t>
  </si>
  <si>
    <t xml:space="preserve">SJRWMD Alachua Total </t>
  </si>
  <si>
    <t>Alachua - SRWMD</t>
  </si>
  <si>
    <t>City Of Newberry</t>
  </si>
  <si>
    <t>City Of Archer</t>
  </si>
  <si>
    <t>City Of High Springs Water Plant</t>
  </si>
  <si>
    <t>City Of Waldo</t>
  </si>
  <si>
    <t>City Of Alachua</t>
  </si>
  <si>
    <t>SRWMD Alachua Total</t>
  </si>
  <si>
    <t>Baker - SJRWMD</t>
  </si>
  <si>
    <t>City of Macclenny</t>
  </si>
  <si>
    <t>Town of Glen St Mary</t>
  </si>
  <si>
    <t xml:space="preserve">SJRWMD Baker Total </t>
  </si>
  <si>
    <t>Bradford - SJRWMD</t>
  </si>
  <si>
    <t xml:space="preserve">Clay County Utility Authority </t>
  </si>
  <si>
    <t xml:space="preserve">SJRWMD Bradford Total </t>
  </si>
  <si>
    <t>Bradford - SRWMD</t>
  </si>
  <si>
    <t>City of Starke</t>
  </si>
  <si>
    <t>City of Lawtey</t>
  </si>
  <si>
    <t xml:space="preserve">SRWMD Bradford Total </t>
  </si>
  <si>
    <t>Clay - SJRWMD</t>
  </si>
  <si>
    <t>416, 431</t>
  </si>
  <si>
    <t>Clay County Utility Authority - Governor's Park DRI</t>
  </si>
  <si>
    <t>Town of Orange Park</t>
  </si>
  <si>
    <t>453</t>
  </si>
  <si>
    <t>City of Green Cove Springs</t>
  </si>
  <si>
    <t>499</t>
  </si>
  <si>
    <t>JEA (Also in Duval, Nassau, St. Johns)</t>
  </si>
  <si>
    <t>88271</t>
  </si>
  <si>
    <t xml:space="preserve">SJRWMD Clay Total </t>
  </si>
  <si>
    <t>Columbia - SRWMD</t>
  </si>
  <si>
    <t>City of Lake City</t>
  </si>
  <si>
    <t>217754</t>
  </si>
  <si>
    <t>Columbia County Board of Commissioners</t>
  </si>
  <si>
    <t>220704</t>
  </si>
  <si>
    <t xml:space="preserve">SRWMD Columbia Total </t>
  </si>
  <si>
    <t>Duval - SJRWMD</t>
  </si>
  <si>
    <t xml:space="preserve">Neighborhood Utilities, Inc. </t>
  </si>
  <si>
    <t>756</t>
  </si>
  <si>
    <t>City of Baldwin</t>
  </si>
  <si>
    <t>784</t>
  </si>
  <si>
    <t>City of Jacksonville Beach</t>
  </si>
  <si>
    <t>793</t>
  </si>
  <si>
    <t xml:space="preserve">Atlantic Beach Utility </t>
  </si>
  <si>
    <t>810</t>
  </si>
  <si>
    <t>City of Neptune Beach</t>
  </si>
  <si>
    <t>842</t>
  </si>
  <si>
    <t>St Johns County Utilities / Intercoastal (Also in St. Johns)</t>
  </si>
  <si>
    <t>1142</t>
  </si>
  <si>
    <t>Normandy Villages Utilities</t>
  </si>
  <si>
    <t>50293</t>
  </si>
  <si>
    <t>JEA (Also in Clay, Nassau, St. Johns)</t>
  </si>
  <si>
    <t xml:space="preserve">SJRWMD Duval Total </t>
  </si>
  <si>
    <t>Flagler - SJRWMD</t>
  </si>
  <si>
    <t>City of Flagler Beach</t>
  </si>
  <si>
    <t>59</t>
  </si>
  <si>
    <t>City of Palm Coast</t>
  </si>
  <si>
    <t>1947</t>
  </si>
  <si>
    <t>Plantation Bay Utility Company (Also in Volusia)</t>
  </si>
  <si>
    <t>1960</t>
  </si>
  <si>
    <t>City of Bunnell</t>
  </si>
  <si>
    <t>1982</t>
  </si>
  <si>
    <t xml:space="preserve">Manufactured Home Communities </t>
  </si>
  <si>
    <t>2002</t>
  </si>
  <si>
    <t>City of Ormond Beach (Also in Volusia)</t>
  </si>
  <si>
    <t>8932</t>
  </si>
  <si>
    <t>Volusia County Utilities (Also in Volusia)</t>
  </si>
  <si>
    <t>50157, 50659, 86278</t>
  </si>
  <si>
    <t xml:space="preserve">Dunes Community Development District </t>
  </si>
  <si>
    <t xml:space="preserve">SJRWMD Flagler Total </t>
  </si>
  <si>
    <t>Gilchrist - SRWMD</t>
  </si>
  <si>
    <t>City of Trenton Water Treatment Plant</t>
  </si>
  <si>
    <t>Fanning Springs (Also in Dixie and Levy)</t>
  </si>
  <si>
    <t xml:space="preserve">SRWMD Gilchrist Total </t>
  </si>
  <si>
    <t>Hamilton - SRWMD</t>
  </si>
  <si>
    <t>Town of Jennings</t>
  </si>
  <si>
    <t>216567</t>
  </si>
  <si>
    <t>Town of White Springs</t>
  </si>
  <si>
    <t>216651</t>
  </si>
  <si>
    <t>Hamilton County Water Facilities</t>
  </si>
  <si>
    <t>220443</t>
  </si>
  <si>
    <t>City of Jasper</t>
  </si>
  <si>
    <t>220463</t>
  </si>
  <si>
    <t xml:space="preserve">SRWMD Hamilton Total </t>
  </si>
  <si>
    <t>Nassau - SJRWMD</t>
  </si>
  <si>
    <t>City of Fernandina Beach</t>
  </si>
  <si>
    <t>122</t>
  </si>
  <si>
    <t xml:space="preserve">Town of Callahan </t>
  </si>
  <si>
    <t>922</t>
  </si>
  <si>
    <t>Town of Hilliard</t>
  </si>
  <si>
    <t>948</t>
  </si>
  <si>
    <t>Nassau Amelia Utilities</t>
  </si>
  <si>
    <t>50087</t>
  </si>
  <si>
    <t>JEA (Also in Clay, Duval, St. Johns / Old 942)</t>
  </si>
  <si>
    <t xml:space="preserve">SJRWMD Nassau Total </t>
  </si>
  <si>
    <t>Putnam - SJRWMD</t>
  </si>
  <si>
    <t>Town of Interlachen</t>
  </si>
  <si>
    <t>1624, 8150</t>
  </si>
  <si>
    <t>City of Crescent City</t>
  </si>
  <si>
    <t>Melrose Water Association</t>
  </si>
  <si>
    <t>River Park Utilities Management Assoc.</t>
  </si>
  <si>
    <t>City of Palatka</t>
  </si>
  <si>
    <t xml:space="preserve">Town of Welaka </t>
  </si>
  <si>
    <t>Putnam County BOCC</t>
  </si>
  <si>
    <t xml:space="preserve">SJRWMD Putnam Total </t>
  </si>
  <si>
    <t>St. Johns - SJRWMD</t>
  </si>
  <si>
    <t xml:space="preserve">North Beach Utilities </t>
  </si>
  <si>
    <t>Wildwood Water Company</t>
  </si>
  <si>
    <t>St. Johns County Utilities / Intercoastal (Also in Duval)</t>
  </si>
  <si>
    <t xml:space="preserve">St. Johns County Utilities </t>
  </si>
  <si>
    <t>City of St. Augustine Utilities</t>
  </si>
  <si>
    <t>JEA (Also in Clay, Duval, Nassau)</t>
  </si>
  <si>
    <t xml:space="preserve">SJRWMD St. Johns Total </t>
  </si>
  <si>
    <t>Suwannee - SRWMD</t>
  </si>
  <si>
    <t>Town of Wellborn</t>
  </si>
  <si>
    <t>Town of Branford</t>
  </si>
  <si>
    <t>Advent Christian Village</t>
  </si>
  <si>
    <t>City of Live Oak</t>
  </si>
  <si>
    <t xml:space="preserve">SRWMD Suwannee Total </t>
  </si>
  <si>
    <t>Union - SRWMD</t>
  </si>
  <si>
    <t>City of Lake Butler</t>
  </si>
  <si>
    <t xml:space="preserve">SRWMD Union Total </t>
  </si>
  <si>
    <t>1.) All water use and demand projections are shown in million gallons per day.</t>
  </si>
  <si>
    <t>3.) Projected population for years 2020 - 2045 are based on BEBR Population Projections: Volume 53, Bulletin 186, Published January 2020. For planning purposes, incarcerated population was removed from the BEBR countywide totals for the counties located within the SRWMD.</t>
  </si>
  <si>
    <t>5.) Population and demand projections for GRU represent both within the SJRWMD and SRWMD.</t>
  </si>
  <si>
    <t xml:space="preserve">6.) Per capita used to calculate demand projections is an average from 2014 - 2018 and is calculated as (Total Water Use / Total Estimated Population). This per capita is commonly referred to as a gross per capita, as it includes all uses within a utility. </t>
  </si>
  <si>
    <t>7.) 1-in-10 rainfall year demand for 2045 calculated as an additional 6 percent of 2045 average demand.</t>
  </si>
  <si>
    <t>8.) SW quantities (allocations) for 2020 - 2045 were obtained from consumptive use permits.</t>
  </si>
  <si>
    <t xml:space="preserve">9.) Public water supply utility service areas often include residences that derive their water supply from privately owned (domestic self-supply) wells. Typically, these domestic self-supply water uses existed prior to their locations becoming part of public water supply service areas. For public water supply service areas, the Districts do not have sufficient information to separate the water use demand served by public supply systems from those served by domestic self-supply wells. Therefore, public water supply water demands estimated often include some domestic self-supply demand.  </t>
  </si>
  <si>
    <t>Table A-5 (SRWMD - Western Planning Region). Public Supply Population Served and Water Use for 2015 and Public Supply Population Projections for 2020-2045, 5-in-10 Year Water Demand Projections for 2020-2045 and 1-in-10 Year Water Demand Projections for 2045 by County and Utility, in the Western Planning Region of the Suwannee River Water Management District.</t>
  </si>
  <si>
    <t>Dixie - SRWMD</t>
  </si>
  <si>
    <t>Town of Cross City</t>
  </si>
  <si>
    <t>Town of Suwannee</t>
  </si>
  <si>
    <t>Town of Horseshoe Beach</t>
  </si>
  <si>
    <t>NCRWA Old Town (Also in Gilchrist and Levy)</t>
  </si>
  <si>
    <t xml:space="preserve">SRWMD Dixie Total </t>
  </si>
  <si>
    <t>Jefferson - SRWMD</t>
  </si>
  <si>
    <t>Jefferson Communities Water System Inc.</t>
  </si>
  <si>
    <t xml:space="preserve">SRWMD Jefferson Total </t>
  </si>
  <si>
    <t>Lafayette - SRWMD</t>
  </si>
  <si>
    <t>Town of Mayo</t>
  </si>
  <si>
    <t xml:space="preserve">SRWMD Lafayette Total </t>
  </si>
  <si>
    <t>Levy - SRWMD</t>
  </si>
  <si>
    <t>Cedar Key SP Water &amp; Sewer District</t>
  </si>
  <si>
    <t>216821</t>
  </si>
  <si>
    <t>City of Chiefland</t>
  </si>
  <si>
    <t>216826</t>
  </si>
  <si>
    <t>Town of Bronson</t>
  </si>
  <si>
    <t>216830</t>
  </si>
  <si>
    <t>City of Fanning Springs (Also in Dixie and Gilchrist)</t>
  </si>
  <si>
    <t>220310</t>
  </si>
  <si>
    <t xml:space="preserve">SRWMD Levy Total </t>
  </si>
  <si>
    <t>Madison - SRWMD</t>
  </si>
  <si>
    <t>City of Madison</t>
  </si>
  <si>
    <t>216506</t>
  </si>
  <si>
    <t>Town of Greenville</t>
  </si>
  <si>
    <t>217127</t>
  </si>
  <si>
    <t>Town of Lee</t>
  </si>
  <si>
    <t>218663</t>
  </si>
  <si>
    <t>Cherry Lake Utilities Corporation Inc.</t>
  </si>
  <si>
    <t>219588</t>
  </si>
  <si>
    <t xml:space="preserve">SRWMD Madison Total </t>
  </si>
  <si>
    <t>Taylor - SRWMD</t>
  </si>
  <si>
    <t>City of Perry</t>
  </si>
  <si>
    <t>Big Bend Water Authority</t>
  </si>
  <si>
    <t>Taylor Coastal</t>
  </si>
  <si>
    <t xml:space="preserve">SRWMD Taylor Total </t>
  </si>
  <si>
    <t xml:space="preserve">5.) Per capita used to calculate demand projections is an average from 2014 - 2018 and is calculated as (Total Water Use / Total Estimated Population). This per capita is commonly referred to as a gross per capita, as it includes all uses within a utility. </t>
  </si>
  <si>
    <t>6.) 1-in-10 rainfall year demand for 2045 calculated as an additional 6 percent of 2045 average demand.</t>
  </si>
  <si>
    <t>7.) SW quantities (allocations) for 2020 - 2045 were obtained from consumptive use permits.</t>
  </si>
  <si>
    <t xml:space="preserve">8.) Public water supply utility service areas often include residences that derive their water supply from privately owned (domestic self-supply) wells. Typically, these domestic self-supply water uses existed prior to their locations becoming part of public water supply service areas. For public water supply service areas, the Districts do not have sufficient information to separate the water use demand served by public supply systems from those served by domestic self-supply wells. Therefore, public water supply water demands estimated often include some domestic self-supply demand.  </t>
  </si>
  <si>
    <t>Table A-5a. 2014-2018 Water Use, Population Served, and Five-Year Gross Per Capita Averages for Public Supply Permitted Equal to or Greater than 0.10 mgd, in Region 1 of the St. Johns River Water Management District and the North Florida Regional Water Supply Planning Region of the Suwannee River Water Management District.</t>
  </si>
  <si>
    <t>Cup Number</t>
  </si>
  <si>
    <t>Owner</t>
  </si>
  <si>
    <t>Alternate Name / Comments</t>
  </si>
  <si>
    <t>Population</t>
  </si>
  <si>
    <t>2014-2018  Average Gross GPCD</t>
  </si>
  <si>
    <t>Notes</t>
  </si>
  <si>
    <t>Alachua</t>
  </si>
  <si>
    <t xml:space="preserve">Gainesville Regional Utilities </t>
  </si>
  <si>
    <t>GRU</t>
  </si>
  <si>
    <t>Kincaid Hills</t>
  </si>
  <si>
    <t>Arredondo Farms</t>
  </si>
  <si>
    <t>City of Newberry</t>
  </si>
  <si>
    <t>PWS 2010207</t>
  </si>
  <si>
    <t>City of Archer</t>
  </si>
  <si>
    <t>PWS 2010199</t>
  </si>
  <si>
    <t>City of High Springs Water Plant</t>
  </si>
  <si>
    <t>PWS 2010201</t>
  </si>
  <si>
    <t>City of Waldo</t>
  </si>
  <si>
    <t>PWS 2010212</t>
  </si>
  <si>
    <t>City of Alachua</t>
  </si>
  <si>
    <t>PWS 2010017</t>
  </si>
  <si>
    <t xml:space="preserve">SRWMD Alachua Total </t>
  </si>
  <si>
    <t>Baker</t>
  </si>
  <si>
    <t>Town of Glen St. Mary</t>
  </si>
  <si>
    <t>PWS 2040211</t>
  </si>
  <si>
    <t>Bradford</t>
  </si>
  <si>
    <t>PWS 2040648</t>
  </si>
  <si>
    <t>Postmaster Village, Keystone Heights, CCUA</t>
  </si>
  <si>
    <r>
      <t xml:space="preserve">Bradford, </t>
    </r>
    <r>
      <rPr>
        <b/>
        <sz val="10"/>
        <rFont val="Arial"/>
        <family val="2"/>
      </rPr>
      <t>Clay</t>
    </r>
  </si>
  <si>
    <t>Clay County Utility served 939 people in SRWMD portion of Bradford County in 2015.</t>
  </si>
  <si>
    <t>Clay</t>
  </si>
  <si>
    <t>PWS 2120630 &amp; 2124372</t>
  </si>
  <si>
    <t>PWS 2124413</t>
  </si>
  <si>
    <t>Buccaneer / Atlantic Beach</t>
  </si>
  <si>
    <t xml:space="preserve">Normandy Villages Utilities </t>
  </si>
  <si>
    <t xml:space="preserve">JEA </t>
  </si>
  <si>
    <r>
      <t xml:space="preserve">Clay, </t>
    </r>
    <r>
      <rPr>
        <b/>
        <sz val="10"/>
        <rFont val="Arial"/>
        <family val="2"/>
      </rPr>
      <t>Duval</t>
    </r>
    <r>
      <rPr>
        <sz val="10"/>
        <rFont val="Arial"/>
        <family val="2"/>
      </rPr>
      <t>, Nassau, St. Johns</t>
    </r>
  </si>
  <si>
    <t>Flagler</t>
  </si>
  <si>
    <t xml:space="preserve">Include Beverly Beach Area </t>
  </si>
  <si>
    <t>Plantation Bay Utility Company</t>
  </si>
  <si>
    <r>
      <rPr>
        <b/>
        <sz val="10"/>
        <rFont val="Arial"/>
        <family val="2"/>
      </rPr>
      <t>Flagler</t>
    </r>
    <r>
      <rPr>
        <sz val="10"/>
        <rFont val="Arial"/>
        <family val="2"/>
      </rPr>
      <t>, Volusia</t>
    </r>
  </si>
  <si>
    <t>Bulow Village Campground</t>
  </si>
  <si>
    <t>Includes Golf Course. Per capita of 188 for just PS.</t>
  </si>
  <si>
    <t>PWS 2211188</t>
  </si>
  <si>
    <t>Fanning Springs</t>
  </si>
  <si>
    <t xml:space="preserve">Wells are outside of Gilshrist County </t>
  </si>
  <si>
    <t>PWS 2240579</t>
  </si>
  <si>
    <t>PWS 2241264</t>
  </si>
  <si>
    <t>PWS 2240570</t>
  </si>
  <si>
    <t>Table A-5a, Continued. 2014-2018 Water Use, Population Served, and Five-Year Gross Per Capita Averages for Public Supply Permitted Equal to or Greater than 0.10 mgd, in Region 1 of the St. Johns River Water Management District and the North Florida Regional Water Supply Planning Region of the Suwannee River Water Management District.</t>
  </si>
  <si>
    <t>Nassau</t>
  </si>
  <si>
    <t>Nassau County Board of County Commissioners</t>
  </si>
  <si>
    <t>Amelia Island</t>
  </si>
  <si>
    <t>Nassau Regional (Old 942)</t>
  </si>
  <si>
    <t>Putnam</t>
  </si>
  <si>
    <t xml:space="preserve">Service area covers Putnam, Clay, Alachua, and Bradford Counties. </t>
  </si>
  <si>
    <t>River Park Utility Mgt. Assoc.</t>
  </si>
  <si>
    <t>East Putnam County Water System. East Palatka &amp; San Mateo</t>
  </si>
  <si>
    <t>St. Johns</t>
  </si>
  <si>
    <t>St. Johns County Utilities</t>
  </si>
  <si>
    <t>Was previously Intercoastal Utilities CUP 1213 (consolidated)</t>
  </si>
  <si>
    <r>
      <t xml:space="preserve">Duval, </t>
    </r>
    <r>
      <rPr>
        <b/>
        <sz val="10"/>
        <rFont val="Arial"/>
        <family val="2"/>
      </rPr>
      <t>St. Johns</t>
    </r>
  </si>
  <si>
    <t>Serves Eagle Creek - PWSID interconnection 2554353</t>
  </si>
  <si>
    <t>Town of Hastings</t>
  </si>
  <si>
    <t xml:space="preserve">City of St. Augustine Utilities </t>
  </si>
  <si>
    <t>PWS 2611246</t>
  </si>
  <si>
    <t>PWS 2610109</t>
  </si>
  <si>
    <t>PWS 2610012</t>
  </si>
  <si>
    <t>PWS 2610203</t>
  </si>
  <si>
    <t>PWS 2630202</t>
  </si>
  <si>
    <t>3.) 2014 - 2018 water use data source is NFSEG master geodatabase with metered and estimated public supply water use.</t>
  </si>
  <si>
    <t>4.) 2014 - 2018 population obtained from Technical Staff Reports, BEBR estimates of population, DEP MOR and Base Facility Report Data, parcel data, and permittee surveys.</t>
  </si>
  <si>
    <t>Table A-5a (SRWMD - Western Planning Region). 2014-2018 Water Use, Population Served, and Five-Year Gross Per Capita Averages for Public Supply Permitted Equal to or Greater than 0.10 mgd, in the Western Planning Region of the Suwannee River Water Management District.</t>
  </si>
  <si>
    <t>PWS 2151140</t>
  </si>
  <si>
    <t>PWS 2150512</t>
  </si>
  <si>
    <t>NCRWA Old Town</t>
  </si>
  <si>
    <t>Wells are outside of Dixie County.</t>
  </si>
  <si>
    <t>Permitted by NWFWMD</t>
  </si>
  <si>
    <t>Jefferson Communities Water System  Inc. - Lloyd System</t>
  </si>
  <si>
    <t>PWS 1330748</t>
  </si>
  <si>
    <t>Wells are in NWFWMD</t>
  </si>
  <si>
    <t>PWS 2341181</t>
  </si>
  <si>
    <t>Cedar Key Sp Water &amp; Sewer District</t>
  </si>
  <si>
    <t>PWS 2380178</t>
  </si>
  <si>
    <t>PWS 2380189</t>
  </si>
  <si>
    <t>PWS 2381178</t>
  </si>
  <si>
    <t>City of Fanning Springs</t>
  </si>
  <si>
    <t>PWS 2381411</t>
  </si>
  <si>
    <t>The per capita was re-calculated to include the whole population estimate for the utility, resulting in a GPCD of 170.</t>
  </si>
  <si>
    <t>PWS 2400205</t>
  </si>
  <si>
    <t>PWS 2400440</t>
  </si>
  <si>
    <t>PWS 2401296</t>
  </si>
  <si>
    <t>Cherry Lake Utilities Corporation  Inc.</t>
  </si>
  <si>
    <t>PWS 2400185</t>
  </si>
  <si>
    <t xml:space="preserve">City of Perry </t>
  </si>
  <si>
    <t>PWS 2620208</t>
  </si>
  <si>
    <t>PWS 2621102</t>
  </si>
  <si>
    <t>PWS 2624165</t>
  </si>
  <si>
    <t>Jefferson Communities Population is not included in the GPCD calculation</t>
  </si>
  <si>
    <t>Table A-6. Domestic Self-supply and Small Public Supply Systems Population and Water Use for 2015 and 5-in-10 Year Water Demand Projections for 2020-2045, and 1-in-10 Year Water Demand Projections for 2045 by County, in Region 1 of the St. Johns River Water Management District and the North Florida Regional Water Supply Planning Region of the Suwannee River Water Management District.</t>
  </si>
  <si>
    <t xml:space="preserve">3.) Public water supply utility service areas often include residences that derive their water supply from privately owned (domestic self-supply) wells. Typically, these domestic self-supply water uses existed prior to their locations becoming part of public water supply service areas. For public water supply service areas, the Districts do not have sufficient information to separate the populations served by public supply systems from those served by domestic self-supply wells. Therefore, public water supply populations estimated often include some domestic self-supply population. </t>
  </si>
  <si>
    <t>4.) 1-in-10 rainfall year demand for 2045 calculated as an additional 6 percent of 2045 average demand.</t>
  </si>
  <si>
    <t>Table A-6 (SRWMD - Western Planning Region). Domestic Self-supply and Small Public Supply Systems Population and Water Use for 2015 and 5-in-10 Year Water Demand Projections for 2020-2045, and 1-in-10 Year Water Demand Projections for 2045 by County, in the Western Planning Region of the Suwannee River Water Management District.</t>
  </si>
  <si>
    <t>Table A-6a. Domestic Self-Supply Population and Water Use for 2015 and Population Projections for 2020-2045, 5-in-10 Year Water Demand Projections for 2020-2045 and 1-in-10 Year Water Demand Projections for 2045 by County, in Region 1 of the St. Johns River Water Management District and the North Florida Regional Water Supply Planning Region of the Suwannee River Water Management District.</t>
  </si>
  <si>
    <t xml:space="preserve">2014-2018 Avg GPCD </t>
  </si>
  <si>
    <t xml:space="preserve">     </t>
  </si>
  <si>
    <t>3.) Projected population for years 2020 - 2045 are based on BEBR Population Projections: Volume 53, Bulletin 186, Published January 2020.</t>
  </si>
  <si>
    <t xml:space="preserve">5.) Per capita used to calculate demand projections is an average from 2014 - 2018 and is calculated as (Total County-wide Residential Water Use / Total Estimated Population). This per capita is commonly referred to as a residential per capita, as it only includes the indoor and outdoor residential uses. </t>
  </si>
  <si>
    <t>7.) All demands are expected to come from groundwater, thus surface water projections are zero.</t>
  </si>
  <si>
    <t>8.) 2015 water use data source is NFSEG master geodatabase with estimated domestic self-supply water use.</t>
  </si>
  <si>
    <t>9.) 2014 - 2018 residential county per capita rates obtained from SJRWMD and SRWMD published water use reports.</t>
  </si>
  <si>
    <t>Table A-6a (SRWMD - Western Planning Region). Domestic Self-Supply Population and Water Use for 2015 and Population Projections for 2020-2045, 5-in-10 Year Water Demand Projections for 2020-2045 and 1-in-10 Year Water Demand Projections for 2045 by County, in the Western Planning Region of the Suwannee River Water Management District.</t>
  </si>
  <si>
    <t>Table A-6b. Small Public Supply Population Served and Water Use for 2015, Small Public Supply Population Projections 2020-2045, 5-in-10 Year Water Demand Projections for 2020-2045 and 1-in-10 Year Water Demand Projections for 2045 by County and Utility, in Region 1 of the St. Johns River Water Management District and the North Florida Regional Water Supply Planning Region of the Suwannee River Water Management District.</t>
  </si>
  <si>
    <t>Bristol Harbour Owners Association</t>
  </si>
  <si>
    <t>Farnsworth Properties</t>
  </si>
  <si>
    <t>Lake Alto Estates Association, Inc.</t>
  </si>
  <si>
    <t>Town of Brooker</t>
  </si>
  <si>
    <t>Erasto Abreu</t>
  </si>
  <si>
    <t>City of Hampton</t>
  </si>
  <si>
    <t>Penney Retirement Community Inc.</t>
  </si>
  <si>
    <t>Penney Farms Water Utility Enterprise</t>
  </si>
  <si>
    <t>Green Cove Springs LP</t>
  </si>
  <si>
    <t>Waters Park</t>
  </si>
  <si>
    <t>B &amp; H Mobile Home Park</t>
  </si>
  <si>
    <t>Timberlane Mobile Home Community</t>
  </si>
  <si>
    <t>Town of Fort White</t>
  </si>
  <si>
    <t>Melvin &amp; Gale Sheppard</t>
  </si>
  <si>
    <t>Azalea Park Subdivision</t>
  </si>
  <si>
    <t>Shady Oak Subdivision</t>
  </si>
  <si>
    <t>Windham Mobile Home Park</t>
  </si>
  <si>
    <t>Palm Villa</t>
  </si>
  <si>
    <t>Consolidated Water Works/Shade Oaks Subdivision</t>
  </si>
  <si>
    <t>McCracken Mobile Home Park</t>
  </si>
  <si>
    <t>Paradise Village Mobile Home Park</t>
  </si>
  <si>
    <t>GLC Properties, LLC</t>
  </si>
  <si>
    <t>Cheryl Kellett Mobile Home Park</t>
  </si>
  <si>
    <t>Timmons Apartments</t>
  </si>
  <si>
    <t>W.R. Smithey Apartments</t>
  </si>
  <si>
    <t>Woodgate Village</t>
  </si>
  <si>
    <t>Lance Water</t>
  </si>
  <si>
    <t>Holiday Travel Park Co-op Inc.</t>
  </si>
  <si>
    <t>Shandy Grove Mobile Home Park</t>
  </si>
  <si>
    <t>Tommy Cannady Residence / Mobile Homes</t>
  </si>
  <si>
    <t>Hamilton County Development Authority</t>
  </si>
  <si>
    <t>Bobby Dollison</t>
  </si>
  <si>
    <t>Callahan Country RV Resort</t>
  </si>
  <si>
    <t xml:space="preserve"> N/A</t>
  </si>
  <si>
    <t>Florida Government Utility Authority</t>
  </si>
  <si>
    <t>Kirkwood Estates</t>
  </si>
  <si>
    <t>Lake Como Water Assoc</t>
  </si>
  <si>
    <t>Hiawatha Management Inc.</t>
  </si>
  <si>
    <t>St. Johns Harbor Water Association</t>
  </si>
  <si>
    <t>Aqua Utilities Florida, Inc. (formerly P-AUF1)</t>
  </si>
  <si>
    <t>Aqua Utilities Florida, Inc. (formerly P-AUF3)</t>
  </si>
  <si>
    <t>Aqua Utilities Florida, Inc. (formerly 7984 &amp; 7988)</t>
  </si>
  <si>
    <t>River Villas Inc. (formerly 8129)</t>
  </si>
  <si>
    <t>Pinkham Pacetti</t>
  </si>
  <si>
    <t>Comachee Cove Yacht Harbor</t>
  </si>
  <si>
    <t>Homeowners Utilities</t>
  </si>
  <si>
    <t>Fruit Cove Utilities</t>
  </si>
  <si>
    <t>Wayne Friar Mobile Home Park</t>
  </si>
  <si>
    <t>Oak Breeze Mobile Home Park</t>
  </si>
  <si>
    <t>Bembry's Trailer Park</t>
  </si>
  <si>
    <t>Morgan's Trailer Park</t>
  </si>
  <si>
    <t>Carl Griffis TRS -052119</t>
  </si>
  <si>
    <t>Glenn S. Howard</t>
  </si>
  <si>
    <t>S. M. Brown, Jr. Mobile Home Park</t>
  </si>
  <si>
    <t>Wallace Johns Mobile Home Park</t>
  </si>
  <si>
    <t>Table A-6b (SRWMD - Western Planning Region). Small Public Supply Population Served and Water Use for 2015, Small Public Supply Population Projections 2020-2045, 5-in-10 Year Water Demand Projections for 2020-2045 and 1-in-10 Year Water Demand Projections for 2045 by County and Utility, in the Western Planning Region of the Suwannee River Water Management District.</t>
  </si>
  <si>
    <t>Charles Carr</t>
  </si>
  <si>
    <t>Larry T. Cannon</t>
  </si>
  <si>
    <t>Jim &amp; Sophie Deal</t>
  </si>
  <si>
    <t xml:space="preserve">Velma Lovelace </t>
  </si>
  <si>
    <t>Jefferson Communities Water System  Inc.  - Lamont System</t>
  </si>
  <si>
    <t>Blevins Propeties, Inc.</t>
  </si>
  <si>
    <t>Fowlers Bluff Water Association</t>
  </si>
  <si>
    <t>University Oaks MHP</t>
  </si>
  <si>
    <t>Manatee Utilities</t>
  </si>
  <si>
    <t xml:space="preserve">Town of Otter Creek </t>
  </si>
  <si>
    <t xml:space="preserve">Springside / Propery Planning </t>
  </si>
  <si>
    <t>Jimmie Ragans</t>
  </si>
  <si>
    <t>M. V. Evans Mobile Home Park</t>
  </si>
  <si>
    <t>ALS Pheonix Water System</t>
  </si>
  <si>
    <t xml:space="preserve">Everett's Mobile Home Park </t>
  </si>
  <si>
    <t>Table A-6c. 2014-2018 Water Use, Population Served, and Five-Year Gross Per Capita Averages for Public Supply Permitted Smaller than 0.10 mgd in Region 1 of the St. Johns River Water Management District and the North Florida Regional Water Supply Planning Region of the Suwannee River Water Management District.</t>
  </si>
  <si>
    <t>Water Use 2014</t>
  </si>
  <si>
    <t>Water Use 2015</t>
  </si>
  <si>
    <t>Water Use 2016</t>
  </si>
  <si>
    <t>Water Use 2017</t>
  </si>
  <si>
    <t>Water Use 2018</t>
  </si>
  <si>
    <t>Population 2014</t>
  </si>
  <si>
    <t>Population 2015</t>
  </si>
  <si>
    <t>Population 2016</t>
  </si>
  <si>
    <t>Population 2017</t>
  </si>
  <si>
    <t>Population 2018</t>
  </si>
  <si>
    <t>2014-2018  Avg GPCD</t>
  </si>
  <si>
    <t>Lake Alto Estates Association Inc.</t>
  </si>
  <si>
    <t>PWS 2010625</t>
  </si>
  <si>
    <t>PWS 2040113</t>
  </si>
  <si>
    <t>PWS 2040456</t>
  </si>
  <si>
    <t>Penney Retirement Community</t>
  </si>
  <si>
    <t>Town of Penney Farms</t>
  </si>
  <si>
    <t>St Johns Landing</t>
  </si>
  <si>
    <t xml:space="preserve"> SJRWMD Clay Total </t>
  </si>
  <si>
    <t>PWS 2124399</t>
  </si>
  <si>
    <t>Consolidated Water Works/Shady Oaks Subdivision</t>
  </si>
  <si>
    <t>SRWMD Columbia Total</t>
  </si>
  <si>
    <t>Holiday Travel Park</t>
  </si>
  <si>
    <t xml:space="preserve"> SJRWMD Flagler Total  </t>
  </si>
  <si>
    <t>Shady Grove Mobile Home Park</t>
  </si>
  <si>
    <t>Tommy Cannady Residence/Mobile Homes</t>
  </si>
  <si>
    <t>SRWMD Hamilton Total</t>
  </si>
  <si>
    <t>American Beach</t>
  </si>
  <si>
    <t xml:space="preserve">SJRWMD Nassau Total  </t>
  </si>
  <si>
    <t xml:space="preserve">Aqua Utilities of Florida, Inc. </t>
  </si>
  <si>
    <t>River Grove</t>
  </si>
  <si>
    <t>Park Manor- Interlachen Lake Estates</t>
  </si>
  <si>
    <t>Hilltop Farms Inc.</t>
  </si>
  <si>
    <t>Lake Como Water Assoc.</t>
  </si>
  <si>
    <t>Village of Lake Como</t>
  </si>
  <si>
    <t>Hiawatha Management</t>
  </si>
  <si>
    <t>Palm Port</t>
  </si>
  <si>
    <t>CUP # 90227 was in house, but never issued - "No permit required."</t>
  </si>
  <si>
    <t>Aqua Utilities of Florida, Inc. (formerly P-AUF1)</t>
  </si>
  <si>
    <t xml:space="preserve">Wootens MHP (PWSID 2541280), Beechers Point (2540070) do not have any record of CUPs. Two other PWSABs have expired CUPs # 64974  (Silver Lake Oaks - PWSID 2544258) and 82918  (Saratoga - PWSIDs 2541008, 2541242).  </t>
  </si>
  <si>
    <t>Aqua Utilities of Florida, Inc. (formerly P-AUF3)</t>
  </si>
  <si>
    <t>Pomona Park</t>
  </si>
  <si>
    <t>Aqua Utilities of Florida, Inc. (formerly 7984 &amp; 7988)</t>
  </si>
  <si>
    <t>CUPs 7984 (Hermits Cove - PWSID 2540482) and 7988 (St Johns Highlands / Hermits Cove - PWSID 2540482) expired in 1992 and were not renewed - "No permit required." St Johns River Club Utilities PWSID 2544266 does not have any record of a CUP.</t>
  </si>
  <si>
    <t>Mr. W. Herrington</t>
  </si>
  <si>
    <t>River Villas Inc.</t>
  </si>
  <si>
    <t>CUP 8129 was closed in 2003, no permit required.</t>
  </si>
  <si>
    <t>Pacetti's Marina &amp; Campground</t>
  </si>
  <si>
    <t>Porpoise Point</t>
  </si>
  <si>
    <t>St. Johns County Board of County Commissioners</t>
  </si>
  <si>
    <t xml:space="preserve">Fruit Cove Oaks. Was previously owned by  Fruit Cove Properties Joint Venture. </t>
  </si>
  <si>
    <t>Table A-6c, Continued. 2014-2018 Water Use, Population Served, and Five-Year Gross Per Capita Averages for Public Supply Permitted Smaller than 0.10 mgd in Region 1 of the St. Johns River Water Management District and the North Florida Regional Water Supply Planning Region of the Suwannee River Water Management District.</t>
  </si>
  <si>
    <t>PWS ID 2611239</t>
  </si>
  <si>
    <t>Carl Griffis TRS -052118</t>
  </si>
  <si>
    <t>SJRWMD Region 1 Total</t>
  </si>
  <si>
    <t>SRWMD NFRWSP Total</t>
  </si>
  <si>
    <t>NFRWSP Total</t>
  </si>
  <si>
    <t>3.) 2014 - 2018 water use data source is NFSEG master geodatabase with metered and estimated small public supply water use.</t>
  </si>
  <si>
    <t>Table A-6c (SRWMD - Western Planning Region). 2014-2018 Water Use, Population Served, and Five-Year Gross Per Capita Averages for Public Supply Permitted Smaller than 0.10 mgd in the Western Planning Region of the Suwannee River Water Management District.</t>
  </si>
  <si>
    <t>SRWMD Dixie Total</t>
  </si>
  <si>
    <t>PWS 1330754</t>
  </si>
  <si>
    <t>SRWMD Jefferson Total</t>
  </si>
  <si>
    <t>Blevins Properties, Inc.</t>
  </si>
  <si>
    <t>PWS 2380387</t>
  </si>
  <si>
    <t>PWS 2380854</t>
  </si>
  <si>
    <t>Springside/Property Planning</t>
  </si>
  <si>
    <t>SRWMD Levy Total</t>
  </si>
  <si>
    <t>SRWMD Madison Total</t>
  </si>
  <si>
    <t>SRWMD Taylor Total</t>
  </si>
  <si>
    <t>SRWMD Western Planning Region Total</t>
  </si>
  <si>
    <t>Table A-7. Agricultural Irrigation Self-supply Water Use, Miscellaneous Agricultural Water Use, and Acreage for 2015, 5-in-10 Year Water Demand Projections for 2020-2045, Acreage Projections for 2020-2045, and 1-in-10 Year Water Demand Projections for 2045 by County, in Region 1 of the St. Johns River Water Management District and the North Florida Regional Water Supply Planning Region of the Suwannee River Water Management District.</t>
  </si>
  <si>
    <t>Demand</t>
  </si>
  <si>
    <t>Acreage</t>
  </si>
  <si>
    <t xml:space="preserve">Acreage  </t>
  </si>
  <si>
    <t>Acreage Projections</t>
  </si>
  <si>
    <t>Acreage Change 2015-2045</t>
  </si>
  <si>
    <t xml:space="preserve">Gilchrist </t>
  </si>
  <si>
    <t>3.) 2015 water use data source is NFSEG master geodatabase with metered and estimated agricultural water use.</t>
  </si>
  <si>
    <t xml:space="preserve">4.) 2015 acreage source is FSAID IV published June 30, 2017 by The Balmoral Group for the Florida Department of Agriculture and Consumer Services. </t>
  </si>
  <si>
    <t xml:space="preserve">5.) 2020 - 2045 acreage projections and 2020 - 2045 average and 1-in-10 water demand projections derived from FSAID VII, published June 30, 2020 from The Balmoral Group for the Florida Department of Agriculture and Consumer Services. </t>
  </si>
  <si>
    <t>6.) 2020 - 2045 groundwater / surface water split estimated using 2015 ratios.</t>
  </si>
  <si>
    <t>Table A-7 (SRWMD - Western Planning Region). Agricultural Irrigation Self-supply Water Use, Miscellaneous Agricultural Water Use, and Acreage for 2015, 5-in-10 Year Water Demand Projections for 2020-2045, Acreage Projections for 2020-2045, and 1-in-10 Year Water Demand Projections for 2045 by County, in the Western Planning Region of the Suwannee River Water Management District.</t>
  </si>
  <si>
    <t xml:space="preserve">Levy </t>
  </si>
  <si>
    <t>Table A-7a. Agricultural Irrigation Self-supply Water Use (Including Miscellaneous Water Use) and Acreage for 2015, 5-in-10 Year Water Demand Projections and Acreage Projections for 2020-2045, and 1-in-10 Year Water Demand Projections for 2045, by Crop Category by County, in Region 1 of the St. Johns River Water Management District and the North Florida Regional Water Supply Planning Region of the Suwannee River Water Management District.</t>
  </si>
  <si>
    <t>Crop Category</t>
  </si>
  <si>
    <t>2015 Estimated Agriculture</t>
  </si>
  <si>
    <t>2020 Projected Agriculture</t>
  </si>
  <si>
    <t>2025 Projected Agriculture</t>
  </si>
  <si>
    <t>2030 Projected Agriculture</t>
  </si>
  <si>
    <t>2035 Projected Agriculture</t>
  </si>
  <si>
    <t>2040 Projected Agriculture</t>
  </si>
  <si>
    <t>2045 Projected Agriculture</t>
  </si>
  <si>
    <t>2045 (1-in-10) Demand</t>
  </si>
  <si>
    <t>Acres</t>
  </si>
  <si>
    <t>MGD</t>
  </si>
  <si>
    <t xml:space="preserve">Alachua - SJRWMD </t>
  </si>
  <si>
    <t>Citrus</t>
  </si>
  <si>
    <t>Fruit (Non-citrus)</t>
  </si>
  <si>
    <t>Potatoes</t>
  </si>
  <si>
    <t>Vegetables (Fresh Market)</t>
  </si>
  <si>
    <t>Field Crops</t>
  </si>
  <si>
    <t>Greenhouse/Nursery</t>
  </si>
  <si>
    <t>Hay</t>
  </si>
  <si>
    <t>Sod</t>
  </si>
  <si>
    <t>Sugarcane</t>
  </si>
  <si>
    <t>Miscellaneous</t>
  </si>
  <si>
    <t xml:space="preserve">Alachua - SRWMD </t>
  </si>
  <si>
    <t xml:space="preserve">Alachua - Total </t>
  </si>
  <si>
    <t xml:space="preserve">Baker - SJRWMD </t>
  </si>
  <si>
    <t xml:space="preserve">Baker - SRWMD </t>
  </si>
  <si>
    <t xml:space="preserve">Baker - Total </t>
  </si>
  <si>
    <t>Table A-7a, Continued. Agricultural Irrigation Self-supply Water Use (Including Miscellaneous Water Use) and Acreage for 2015, 5-in-10 Year Water Demand Projections and Acreage Projections for 2020-2045, and 1-in-10 Year Water Demand Projections for 2045, by Crop Category by County, in Region 1 of the St. Johns River Water Management District and the North Florida Regional Water Supply Planning Region of the Suwannee River Water Management District.</t>
  </si>
  <si>
    <t xml:space="preserve">Bradford- SJRWMD </t>
  </si>
  <si>
    <t xml:space="preserve">Bradford - SRWMD </t>
  </si>
  <si>
    <t xml:space="preserve">Bradford - Total </t>
  </si>
  <si>
    <t xml:space="preserve">3.) 2015 total water use data source is NFSEG master geodatabase with metered and estimated agricultural water use. The 2015 water use by crop was estimated using 2020 FSAID VII ratios. </t>
  </si>
  <si>
    <t xml:space="preserve">5.) 2020 - 2045 acreage projections and 2020 - 2045 average and 1-in-10 water demand projections derived from FSAID VII published June 30, 2020 by The Balmoral Group for the Florida Department of Agriculture and Consumer Services. </t>
  </si>
  <si>
    <t>Table A-7a (SRWMD - Western Planning Region). Agricultural Irrigation Self-supply Water Use (Including Miscellaneous Water Use) and Acreage for 2015, 5-in-10 Year Water Demand Projections and Acreage Projections for 2020-2045, and 1-in-10 Year Water Demand Projections for 2045, by Crop Category by County, in the Western Planning Region of the Suwannee River Water Management District.</t>
  </si>
  <si>
    <t>Table A-7a (SRWMD - Western Planning Region), Continued. Agricultural Irrigation Self-supply Water Use (Including Miscellaneous Water Use) and Acreage for 2015, 5-in-10 Year Water Demand Projections and Acreage Projections for 2020-2045, and 1-in-10 Year Water Demand Projections for 2045, by Crop Category by County, in the Western Planning Region of the Suwannee River Water Management District.</t>
  </si>
  <si>
    <t xml:space="preserve">SRWMD  Western Planning Region Total </t>
  </si>
  <si>
    <t>Table A-7b. Miscellaneous Agricultural Self-supply Water Use for 2015, 5-in-10 Year Demand Projections for 2020-2045, and 1-in-10 Year Demand Projections for 2045 by County, in Region 1 of the St. Johns River Water Management District and the North Florida Regional Water Supply Planning Region of the Suwannee River Water Management District.</t>
  </si>
  <si>
    <t>2015 Water Use</t>
  </si>
  <si>
    <t>2020-2045 Demand Projections</t>
  </si>
  <si>
    <t>Percent Change Change 2015-2045</t>
  </si>
  <si>
    <t>Dairy</t>
  </si>
  <si>
    <t>Livestock</t>
  </si>
  <si>
    <t>Aquaculture</t>
  </si>
  <si>
    <t xml:space="preserve">3.) 2015 total water use data source is NFSEG master geodatabase with metered and estimated agricultural water use. The 2015 water use by category was estimated using 2020 FSAID VII ratios. </t>
  </si>
  <si>
    <t>4.) 2020 - 2045 projected water demand derived from FSAID VII AG layer, published June 30, 2020 by the Balmoral Group for the Florida Department of Agriculture and Consumer Services.</t>
  </si>
  <si>
    <t>5.) FSAID VII AG layer, published June 30, 2020 by the Balmoral Group for the Florida Department of Agriculture and Consumer Services assumes no increase for 1-in-10 year drought conditions.</t>
  </si>
  <si>
    <t>Table A-7b (SRWMD - Western Planning Region). Miscellaneous Agricultural Self-supply Water Use for 2015, 5-in-10 Year Demand Projections for 2020-2045, and 1-in-10 Year Demand Projections for 2045 by County, in the Western Planning Region of the Suwannee River Water Management District.</t>
  </si>
  <si>
    <t>Table A-8. Landscape / Recreational Self-supply Water Use for 2015 and 5-in-10 Year Demand Projections for 2020-2045, and 1-in-10 Year Demand Projections for 2045 by County, in Region 1 of the St. Johns River Water Management District and the North Florida Regional Water Supply Planning Region of the Suwannee River Water Management District.</t>
  </si>
  <si>
    <t>Duval</t>
  </si>
  <si>
    <t xml:space="preserve">3.) 2015 water use data source is NFSEG master geodatabase with metered and estimated landscape/recreational water use. </t>
  </si>
  <si>
    <t xml:space="preserve">4.) 2020 - 2045 projected surface water demand was interpolated based on 2015 percentages. </t>
  </si>
  <si>
    <t>5.) 2045 1-in-10 rainfall year demands estimated using percentage above average from highest water year from 2014 - 2018.</t>
  </si>
  <si>
    <t>Table A-8 (SRWMD - Western Planning Region). Landscape / Recreational Self-supply Water Use for 2015 and 5-in-10 Year Demand Projections for 2020-2045, and 1-in-10 Year Demand Projections for 2045 by County, in the Western Planning Region of the Suwannee River Water Management District.</t>
  </si>
  <si>
    <t>Table A-8a. 2014-2018 Water Use, Total County Population, and Five-Year Gross Per Capita Averages for Landscape / Recreational Self-supply and Landscape/Recreational Self-supply Water Demand Increases, in Region 1 of the St. Johns River Water Management District and the North Florida Regional Water Supply Planning Region of the Suwannee River Water Management District.</t>
  </si>
  <si>
    <t>Total County Water Use</t>
  </si>
  <si>
    <t>2014-2018 Average</t>
  </si>
  <si>
    <t>High Year</t>
  </si>
  <si>
    <t>% Above Average</t>
  </si>
  <si>
    <t>County Population Within District</t>
  </si>
  <si>
    <t>2014-2018  Average GPCD</t>
  </si>
  <si>
    <t>County Population Projections Within District</t>
  </si>
  <si>
    <t xml:space="preserve">Increase in County Population Within District </t>
  </si>
  <si>
    <t>Change in Landscape / Recreational Self-supply Water Demand</t>
  </si>
  <si>
    <t>2015-2020</t>
  </si>
  <si>
    <t>2020-2025</t>
  </si>
  <si>
    <t>2025-2030</t>
  </si>
  <si>
    <t>2030-2035</t>
  </si>
  <si>
    <t>2035-2040</t>
  </si>
  <si>
    <t>2040-2045</t>
  </si>
  <si>
    <t>3.) 2014 - 2018 water use data source is NFSEG master geodatabase with metered and estimated landscape / recreational water use.</t>
  </si>
  <si>
    <t>4.) 2014 - 2018 population obtained from Technical Staff Reports, BEBR estimates of population, DEP MOR and Base Facility Report Data, parcel data, published annual reports, and permittee surveys.</t>
  </si>
  <si>
    <t>5.) Projected population for years 2020 - 2045 are based on BEBR Population Projections: Volume 53, Bulletin 186, Published January 2020.</t>
  </si>
  <si>
    <t>Table A-8a (SRWMD - Western Planning Region). 2014-2018 Water Use, Total County Population, and Five-Year Gross Per Capita Averages for Landscape / Recreational Self-supply and Landscape/Recreational/Aesthetic Self-supply Water Demand Increases, in the Western Planning Region of the Suwannee River Water Management District.</t>
  </si>
  <si>
    <t>Table A-9. Commercial / Industrial / Institutional and Mining / Dewatering Self-supply Water Use for 2015 and 5-in-10 Year Demand Projections for 2020-2045, by County, in Region 1 of the St. Johns River Water Management District and the North Florida Regional Water Supply Planning Region of the Suwannee River Water Management District.</t>
  </si>
  <si>
    <t>3.) 2015 water use data source is NFSEG master geodatabase with metered and estimated commercial/industrial/institutional and mining/dewatering water use.</t>
  </si>
  <si>
    <t>4.) 2020 - 2045 projected surface water demand was interpolated based on 2015 percentages.</t>
  </si>
  <si>
    <t>5.) The commercial/industrial/institutional and mining/dewatering water use category is not impacted by drought conditions, therefore the 5-in-10 2045 water demand also serves as the 1-in-10 water demand.</t>
  </si>
  <si>
    <t>Table A-9 (SRWMD - Western Planning Region). Commercial / Industrial / Institutional and Mining / Dewatering Self-supply Water Use for 2015 and 5-in-10 Year Demand Projections for 2020-2045, by County, in the Western Planning Region of the Suwannee River Water Management District.</t>
  </si>
  <si>
    <t>Table A-9a. 2014-2018 Water Use, Total County Population, and Five-Year Gross Per Capita Averages for Commercial / Industrial / Institutional and Mining / Dewatering Self-supply Water Demand Increases, in Region 1 of the St. Johns River Water Management District and the North Florida Regional Water Supply Planning Region of the Suwannee River Water Management District.</t>
  </si>
  <si>
    <t>Change in Commercial / Industrial / Institutional and Mining / Dewatering Self-supply Water Demand</t>
  </si>
  <si>
    <t>3.) 2014 - 2018 water use data source is NFSEG master geodatabase with metered and estimated commercial / industrial / institutional and mining / dewatering water use.</t>
  </si>
  <si>
    <t>6.) Hamilton, Nassau, and Putnam counties projections were adjusted to hold pulp, paper mill, and large industrial quantities constant; total water use shown for calculations does not include pulp, paper mill, and large industrial quantities.</t>
  </si>
  <si>
    <t>Table A-9a (SRWMD - Western Planning Region). 2014-2018 Water Use, Total County Population, and Five-Year Gross Per Capita Averages for Commercial / Industrial / Institutional and Mining / Dewatering Self-supply Water Demand Increases, in the Western Planning Region of the Suwannee River Water Management District.</t>
  </si>
  <si>
    <t>5.) Projected population for years 2020 - 2045 are based on BEBR Population Projections: Volume 53, Bulletin 186, Published January 2020, using a parcel population projection model.</t>
  </si>
  <si>
    <t>6.) Taylor Countiy projections were adjusted to hold pulp, paper mill, and large industrial quantities constant; total water use shown for calculations does not include pulp, paper mill, and large industrial quantities.</t>
  </si>
  <si>
    <t>Table A-10. Power Generation Self-supply Water use for 2015 and 5-in-10 Year Demand Projections for 2020-2045, by County, in Region 1 of the St. Johns River Water Management District and the North Florida Regional Water Supply Planning Region of the Suwannee River Water Management District.</t>
  </si>
  <si>
    <t>Non-consumptive Saline and Fresh Surface Water Use Cooling</t>
  </si>
  <si>
    <t>3.) The power generation water use category is not impacted by drought conditions, therefore the 5-in-10 2045 water demand also serves as the 1-in-10 water demand.</t>
  </si>
  <si>
    <t>4.) Consumptive surface water is assumed to be 2 percent of total surface water to account for losses.</t>
  </si>
  <si>
    <t>Table A-10 (SRWMD - Western Planning Region). Power Generation Self-supply Water use for 2015 and 5-in-10 Year Demand Projections for 2020-2045, by County, in the Western Planning Region of the Suwannee River Water Management District.</t>
  </si>
  <si>
    <t>Table A-10a. Power Generation Self-supply water use for 2015 and 5-in-10 Year Demand Projections for 2020-2045, by County and Facility, in Region 1 of the St. Johns River Water Management District and the North Florida Regional Water Supply Planning Region of the Suwannee River Water Management District.</t>
  </si>
  <si>
    <t xml:space="preserve">Facility </t>
  </si>
  <si>
    <t xml:space="preserve">Water Use </t>
  </si>
  <si>
    <t>Non-consumptive Saline and Fresh Surface Water Use for Cooling</t>
  </si>
  <si>
    <t>Gainesville Regional Utilities - J R Kelly (11374)</t>
  </si>
  <si>
    <t>Deerhaven Renewable Plant (220496)</t>
  </si>
  <si>
    <r>
      <t>Gainesville Regional Utilities - Deerhaven Power Plant</t>
    </r>
    <r>
      <rPr>
        <i/>
        <sz val="10"/>
        <color theme="1"/>
        <rFont val="Arial"/>
        <family val="2"/>
      </rPr>
      <t xml:space="preserve"> (PA 74-04)</t>
    </r>
  </si>
  <si>
    <t>JEA - Northside (721)</t>
  </si>
  <si>
    <t>JEA - Brandy Branch (140370)</t>
  </si>
  <si>
    <t>SJR Power Park (140634)</t>
  </si>
  <si>
    <t>Cedar Bay Generating Facility (PA 88-24G)</t>
  </si>
  <si>
    <t>Total</t>
  </si>
  <si>
    <r>
      <t xml:space="preserve">Florida Power &amp; Light - Puntam </t>
    </r>
    <r>
      <rPr>
        <i/>
        <sz val="10"/>
        <color theme="1"/>
        <rFont val="Arial"/>
        <family val="2"/>
      </rPr>
      <t>(PA 74-01)</t>
    </r>
  </si>
  <si>
    <t>Seminole Electric Cooperative - Palatka (140536)</t>
  </si>
  <si>
    <t>Duke - Ellaville (219872)</t>
  </si>
  <si>
    <t>3.) 2015 water use data source is NFSEG master geodatabase with metered and estimated power generation water use.</t>
  </si>
  <si>
    <t>5.) The power generation water use category is not impacted by drought conditions, therefore the 5-in-10 2045 water demand also serves as the 1-in-10 water demand.</t>
  </si>
  <si>
    <t>Table A-10b. 2014-2018 Water Use and Megawatts, Five-Year Gross Per Mega Watt Averages, and 2020-2045 Demand Projections for Power Generation Self-supply Water Demand Increases, in Region 1 of the St. Johns River Water Management District and the North Florida Regional Water Supply Planning Region the Suwannee River Water Management District.</t>
  </si>
  <si>
    <t>Table A-10b, Continued. 2014-2018 Water Use and Megawatts, Five-Year Gross Per Mega Watt Averages, and 2020-2045 Demand Projections for Power Generation Self-supply Water Demand Increases, in Region 1 of the St. Johns River Water Management District and the North Florida Regional Water Supply Planning Region of the Suwannee River Water Management District.</t>
  </si>
  <si>
    <t>Groundwater Water Use</t>
  </si>
  <si>
    <t>Historic Megawatts</t>
  </si>
  <si>
    <t>2014-2018 Gallons (Consumptive) Per Megawatt Average</t>
  </si>
  <si>
    <t>2014-2018 Gallons (Non-Consumptive) Per Megawatt Average</t>
  </si>
  <si>
    <t>Projected Megawatts</t>
  </si>
  <si>
    <t>Projected Groundwater Demand</t>
  </si>
  <si>
    <t>Projected Non-consumptive Saline and Fresh Surface Water Demand for Cooling</t>
  </si>
  <si>
    <r>
      <t>Gainesville Regional Utilities - Deerhaven Power Plant</t>
    </r>
    <r>
      <rPr>
        <i/>
        <sz val="10"/>
        <rFont val="Arial"/>
        <family val="2"/>
      </rPr>
      <t xml:space="preserve"> (PA 74-04)</t>
    </r>
  </si>
  <si>
    <t>9/10/20 email from Tom Bartol notes no change in groundwater demand but to use allocation. Allocation is much greater than historic average; used NFRWSP methodology.</t>
  </si>
  <si>
    <t>JEA - SJR Power Park (140634)</t>
  </si>
  <si>
    <r>
      <t>Cedar Bay Generating Facility (</t>
    </r>
    <r>
      <rPr>
        <i/>
        <sz val="10"/>
        <rFont val="Arial"/>
        <family val="2"/>
      </rPr>
      <t>PA 88-24G</t>
    </r>
    <r>
      <rPr>
        <sz val="10"/>
        <rFont val="Arial"/>
        <family val="2"/>
      </rPr>
      <t>)</t>
    </r>
  </si>
  <si>
    <t>Decommissioned in 2018</t>
  </si>
  <si>
    <r>
      <t>Cedar Bay Generating Facility (</t>
    </r>
    <r>
      <rPr>
        <i/>
        <sz val="10"/>
        <color theme="1"/>
        <rFont val="Arial"/>
        <family val="2"/>
      </rPr>
      <t>PA 88-24G</t>
    </r>
    <r>
      <rPr>
        <sz val="10"/>
        <color theme="1"/>
        <rFont val="Arial"/>
        <family val="2"/>
      </rPr>
      <t>)</t>
    </r>
  </si>
  <si>
    <r>
      <t xml:space="preserve">Florida Power &amp; Light - Puntam </t>
    </r>
    <r>
      <rPr>
        <i/>
        <sz val="10"/>
        <rFont val="Arial"/>
        <family val="2"/>
      </rPr>
      <t>(PA 74-01)</t>
    </r>
  </si>
  <si>
    <t>Decommissioned in 2017/2018</t>
  </si>
  <si>
    <t>Duke Energy - Ellaville (219872)</t>
  </si>
  <si>
    <t>9/9/20 email from Ilia Balcom notes no new groundwater demand - use historic average.</t>
  </si>
  <si>
    <t>3.) 2014 - 2018 water use data source is NFSEG master geodatabase with metered and estimated power generation water use.</t>
  </si>
  <si>
    <t xml:space="preserve">4.) GRU historic and projected customers and historic and projected megawatts obtained from Schedules 2.3 and 3.2, 2020 Ten-Year Site Plan. </t>
  </si>
  <si>
    <t xml:space="preserve">5.) JEA historic and projected customers and historic and projected megawatts obtained from Schedules 2.3 and 3.2, 2020 Ten-Year Site Plan. </t>
  </si>
  <si>
    <t xml:space="preserve">6.) SEC historic and projected customers and historic and projected megawatts obtained from Schedules 2.3 and 3.2, 2020 Ten-Year Site Plan. </t>
  </si>
  <si>
    <t>Table A-11. Public Supply and Domestic Self-supply and Small Public Supply 2015 Water Use, 5-in-10 Year Water Demand Projections for 2020-2045, and 1-in-10 Year Water Demand Projections for 2045, by County, in Region 1 of the St. Johns River Water Management District and the North Florida Regional Water Supply Planning Region of the Suwannee River Water Management District.</t>
  </si>
  <si>
    <t>2020 Demand Projections (5-in-10)</t>
  </si>
  <si>
    <t>2025 Demand Projections (5-in-10)</t>
  </si>
  <si>
    <t>2030 Demand Projections (5-in-10)</t>
  </si>
  <si>
    <t>2035 Demand Projections (5-in-10)</t>
  </si>
  <si>
    <t>2040 Demand Projections (5-in-10)</t>
  </si>
  <si>
    <t>2045 Demand Projections (5-in-10)</t>
  </si>
  <si>
    <t xml:space="preserve">Percent Change 2015-2045 </t>
  </si>
  <si>
    <t>2045 Demand Projections (1-in-10)</t>
  </si>
  <si>
    <t>Public Supply</t>
  </si>
  <si>
    <t>DSS &amp; Small</t>
  </si>
  <si>
    <t xml:space="preserve">Domestic Self-Supply and Small Public Supply </t>
  </si>
  <si>
    <t xml:space="preserve">Alachua Total </t>
  </si>
  <si>
    <t xml:space="preserve">Baker Total </t>
  </si>
  <si>
    <t xml:space="preserve">Bradford Total </t>
  </si>
  <si>
    <t xml:space="preserve">Columbia </t>
  </si>
  <si>
    <t>3.) Water use for the Public Supply category includes groundwater, surface water, and water from alternative sources for those utilities exceeding the cap.</t>
  </si>
  <si>
    <t>Table A-11 (SRWMD - Western Planning Region). Public Supply and Domestic Self-supply and Small Public Supply 2015 Water Use, 5-in-10 Year Water Demand Projections for 2020-2045, and 1-in-10 Year Water Demand Projections for 2045, by County, in the Western Planning Region of the Suwannee River Water Management District.</t>
  </si>
  <si>
    <t>Table A-12 (1 - Alachua County). Water Use for 2015 and 5-in-10 Year Total Water Demand Projections for 2020-2045 and 1-in-10 Year Water Demand Projections for 2045, by Category of Use and by District in Alachua County for the North Florida Regional Water Supply Plan.</t>
  </si>
  <si>
    <t xml:space="preserve">Alachua County Total </t>
  </si>
  <si>
    <t>Alachua County Total</t>
  </si>
  <si>
    <t>Table A-12 (2 - Baker County). Water Use for 2015 and 5-in-10 Year Total Water Demand Projections for 2020-2045 and 1-in-10 Year Water Demand Projections for 2045, by Category of Use and by District in Baker County for the North Florida Regional Water Supply Plan.</t>
  </si>
  <si>
    <t xml:space="preserve">Baker County Total </t>
  </si>
  <si>
    <t>Baker County Total</t>
  </si>
  <si>
    <t>Table A-12 (3 - Bradford County). Water Use for 2015 and 5-in-10 Year Total Water Demand Projections for 2020-2045 and 1-in-10 Year Water Demand Projections for 2045, by Category of Use and by District in Bradford County for the North Florida Regional Water Supply Plan.</t>
  </si>
  <si>
    <t xml:space="preserve">Bradford County Total </t>
  </si>
  <si>
    <t>Bradford County Total</t>
  </si>
  <si>
    <t>Table A-12 (4 - Clay County). Water Use for 2015 and 5-in-10 Year Total Water Demand Projections for 2020-2045 and 1-in-10 Year Water Demand Projections for 2045, by Category of Use in Clay County in the St. Johns River Water Management District for the North Florida Regional Water Supply Plan.</t>
  </si>
  <si>
    <t xml:space="preserve">Clay County Total </t>
  </si>
  <si>
    <t>Table A-12 (5 - Columbia County). Water Use for 2015 and 5-in-10 Year Total Water Demand Projections for 2020-2045 and 1-in-10 Year Water Demand Projections for 2045, by Category of Use in Columbia County in the Suwannee River Water Management District for the North Florida Regional Water Supply Plan.</t>
  </si>
  <si>
    <t xml:space="preserve">Columbia County Total </t>
  </si>
  <si>
    <t>Table A-12 (6 - Duval County). Water Use for 2015 and 5-in-10 Year Total Water Demand Projections for 2020-2045 and 1-in-10 Year Water Demand Projections for 2045, by Category of Use in Duval County in the St. Johns River Water Management District for the North Florida Regional Water Supply Plan.</t>
  </si>
  <si>
    <t xml:space="preserve">Duval County Total </t>
  </si>
  <si>
    <t>Table A-12 (7 - Flagler County). Water Use for 2015 and 5-in-10 Year Total Water Demand Projections for 2020-2045 and 1-in-10 Year Water Demand Projections for 2045, by Category of Use in Flagler County in the St. Johns River Water Management District for the North Florida Regional Water Supply Plan.</t>
  </si>
  <si>
    <t xml:space="preserve">Flagler County Total </t>
  </si>
  <si>
    <t>Table A-12 (8 - Gilchrist County). Water Use for 2015 and 5-in-10 Year Total Water Demand Projections for 2020-2045 and 1-in-10 Year Water Demand Projections for 2045, by Category of Use in Gilchrist County in the Suwannee River Water Management District for the North Florida Regional Water Supply Plan.</t>
  </si>
  <si>
    <t xml:space="preserve">Gilchrist County Total </t>
  </si>
  <si>
    <t>Table A-12 (9 - Hamilton County). Water Use for 2015 and 5-in-10 Year Total Water Demand Projections for 2020-2045 and 1-in-10 Year Water Demand Projections for 2045, by Category of Use in Hamilton County in the Suwannee River Water Management District for the North Florida Regional Water Supply Plan.</t>
  </si>
  <si>
    <t xml:space="preserve">Hamilton County Total </t>
  </si>
  <si>
    <t>Table A-12 (10 - Nassau County). Water Use for 2015 and 5-in-10 Year Total Water Demand Projections for 2020-2045 and 1-in-10 Year Water Demand Projections for 2045, by Category of Use in Nassau County in the St. Johns River Water Management District for the North Florida Regional Water Supply Plan.</t>
  </si>
  <si>
    <t xml:space="preserve">Nassau County Total </t>
  </si>
  <si>
    <t>Table A-12 (11 - Putnam County). Water Use for 2015 and 5-in-10 Year Total Water Demand Projections for 2020-2045 and 1-in-10 Year Water Demand Projections for 2045, by Category of Use in Putnam County in the St. Johns River Water Management District for the North Florida Regional Water Supply Plan.</t>
  </si>
  <si>
    <t xml:space="preserve">Putnam County Total </t>
  </si>
  <si>
    <t>Table A-12 (12 - St. Johns County). Water Use for 2015 and 5-in-10 Year Total Water Demand Projections for 2020-2045 and 1-in-10 Year Water Demand Projections for 2045, by Category of Use in St. Johns County in the St. Johns River Water Management District for the North Florida Regional Water Supply Plan.</t>
  </si>
  <si>
    <t xml:space="preserve">St. Johns County Total </t>
  </si>
  <si>
    <t>Table A-12 (13- Suwannee County). Water Use for 2015 and 5-in-10 Year Total Water Demand Projections for 2020-2045 and 1-in-10 Year Water Demand Projections for 2045, by Category of Use in Suwannee County in the Suwannee River Water Management District for the North Florida Regional Water Supply Plan.</t>
  </si>
  <si>
    <t xml:space="preserve">Suwannee County Total </t>
  </si>
  <si>
    <t>Table A-12 (14 - Union County). Water Use for 2015 and 5-in-10 Year Total Water Demand Projections for 2020-2045 and 1-in-10 Year Water Demand Projections for 2045, by Category of Use in Union County in the Suwannee River Water Management District for the North Florida Regional Water Supply Plan.</t>
  </si>
  <si>
    <t xml:space="preserve">Union County Total </t>
  </si>
  <si>
    <t>Table A-12 (15 - Dixie County). Water Use for 2015 and 5-in-10 Year Total Water Demand Projections for 2020-2045 and 1-in-10 Year Water Demand Projections for 2045, by Category of Use in Dixie County in the Suwannee River Water Management District for the Western Planning Region.</t>
  </si>
  <si>
    <t xml:space="preserve">Dixie County Total </t>
  </si>
  <si>
    <t>Table A-12 (16 - Jefferson County). Water Use for 2015 and 5-in-10 Year Total Water Demand Projections for 2020-2045 and 1-in-10 Year Water Demand Projections for 2045, by Category of Use in Jefferson County in the Suwannee River Water Management District for the Western Planning Region.</t>
  </si>
  <si>
    <t xml:space="preserve">Jefferson County Total </t>
  </si>
  <si>
    <t>Table A-12 (17 - Lafayette County). Water Use for 2015 and 5-in-10 Year Total Water Demand Projections for 2020-2045 and 1-in-10 Year Water Demand Projections for 2045, by Category of Use in Lafayette County in the Suwannee River Water Management District for the Western Planning Region.</t>
  </si>
  <si>
    <t xml:space="preserve">Lafayette County Total </t>
  </si>
  <si>
    <t>Table A-12 (18 - Levy County). Water Use for 2015 and 5-in-10 Year Total Water Demand Projections for 2020-2045 and 1-in-10 Year Water Demand Projections for 2045, by Category of Use in Levy County in the Suwannee River Water Management District for the Western Planning Region.</t>
  </si>
  <si>
    <t xml:space="preserve">Levy County Total </t>
  </si>
  <si>
    <t>Table A-12 (19 - Madison County). Water Use for 2015 and 5-in-10 Year Total Water Demand Projections for 2020-2045 and 1-in-10 Year Water Demand Projections for 2045, by Category of Use in Madison County in the Suwannee River Water Management District for the Western Planning Region.</t>
  </si>
  <si>
    <t xml:space="preserve">Madison County Total </t>
  </si>
  <si>
    <t>Table A-12 (20 - Taylor County). Water Use for 2015 and 5-in-10 Year Total Water Demand Projections for 2020-2045 and 1-in-10 Year Water Demand Projections for 2045, by Category of Use in Taylor County in the Suwannee River Water Management District for the Western Planning Region.</t>
  </si>
  <si>
    <t xml:space="preserve">Taylor County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</si>
</sst>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
    <numFmt numFmtId="165" formatCode="General_)"/>
    <numFmt numFmtId="166" formatCode="#,##0.000"/>
    <numFmt numFmtId="167" formatCode="0.0"/>
    <numFmt numFmtId="168" formatCode="0.00000"/>
    <numFmt numFmtId="169" formatCode="#,##0.0"/>
    <numFmt numFmtId="170" formatCode="0.0000"/>
  </numFmts>
  <fonts count="72">
    <font>
      <sz val="11"/>
      <color theme="1"/>
      <name val="Calibri"/>
      <family val="2"/>
      <scheme val="minor"/>
    </font>
    <font>
      <sz val="10"/>
      <name val="MS Sans Serif"/>
      <family val="2"/>
    </font>
    <font>
      <sz val="11"/>
      <color theme="1"/>
      <name val="Calibri"/>
      <family val="2"/>
      <scheme val="minor"/>
    </font>
    <font>
      <sz val="12"/>
      <color theme="1"/>
      <name val="Arial"/>
      <family val="2"/>
    </font>
    <font>
      <b/>
      <sz val="11"/>
      <color theme="1"/>
      <name val="Calibri"/>
      <family val="2"/>
      <scheme val="minor"/>
    </font>
    <font>
      <sz val="11"/>
      <color rgb="FFFF0000"/>
      <name val="Calibri"/>
      <family val="2"/>
      <scheme val="minor"/>
    </font>
    <font>
      <sz val="10"/>
      <color theme="1"/>
      <name val="Arial"/>
      <family val="2"/>
    </font>
    <font>
      <sz val="10"/>
      <name val="Arial"/>
      <family val="2"/>
    </font>
    <font>
      <b/>
      <sz val="10"/>
      <color theme="1"/>
      <name val="Arial"/>
      <family val="2"/>
    </font>
    <font>
      <b/>
      <sz val="10"/>
      <name val="Arial"/>
      <family val="2"/>
    </font>
    <font>
      <sz val="10"/>
      <color rgb="FF000000"/>
      <name val="Arial"/>
      <family val="2"/>
    </font>
    <font>
      <b/>
      <sz val="10"/>
      <color rgb="FF000000"/>
      <name val="Arial"/>
      <family val="2"/>
    </font>
    <font>
      <u/>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Courier"/>
      <family val="3"/>
    </font>
    <font>
      <b/>
      <sz val="10"/>
      <color indexed="8"/>
      <name val="Arial"/>
      <family val="2"/>
    </font>
    <font>
      <u/>
      <sz val="10"/>
      <name val="Arial"/>
      <family val="2"/>
    </font>
    <font>
      <sz val="10"/>
      <color rgb="FF00B050"/>
      <name val="Arial"/>
      <family val="2"/>
    </font>
    <font>
      <sz val="10"/>
      <color rgb="FFFF0000"/>
      <name val="Arial"/>
      <family val="2"/>
    </font>
    <font>
      <sz val="12"/>
      <name val="Helvetic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rgb="FFFF0000"/>
      <name val="Arial"/>
      <family val="2"/>
    </font>
    <font>
      <sz val="10"/>
      <name val="Calibri"/>
      <family val="2"/>
    </font>
    <font>
      <i/>
      <sz val="10"/>
      <name val="Arial"/>
      <family val="2"/>
    </font>
    <font>
      <i/>
      <sz val="10"/>
      <color theme="1"/>
      <name val="Arial"/>
      <family val="2"/>
    </font>
    <font>
      <sz val="9"/>
      <color indexed="81"/>
      <name val="Tahoma"/>
      <family val="2"/>
    </font>
    <font>
      <b/>
      <sz val="9"/>
      <color indexed="81"/>
      <name val="Tahoma"/>
      <family val="2"/>
    </font>
    <font>
      <sz val="11"/>
      <name val="Calibri"/>
      <family val="2"/>
      <scheme val="minor"/>
    </font>
    <font>
      <b/>
      <sz val="11"/>
      <name val="Calibri"/>
      <family val="2"/>
      <scheme val="minor"/>
    </font>
    <font>
      <sz val="8"/>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267">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right/>
      <top/>
      <bottom style="thin">
        <color indexed="64"/>
      </bottom>
      <diagonal/>
    </border>
    <border>
      <left/>
      <right/>
      <top style="double">
        <color indexed="64"/>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top/>
      <bottom style="thin">
        <color indexed="64"/>
      </bottom>
      <diagonal/>
    </border>
    <border>
      <left/>
      <right style="medium">
        <color indexed="64"/>
      </right>
      <top/>
      <bottom/>
      <diagonal/>
    </border>
    <border>
      <left style="double">
        <color indexed="64"/>
      </left>
      <right/>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double">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medium">
        <color indexed="64"/>
      </top>
      <bottom style="thin">
        <color indexed="64"/>
      </bottom>
      <diagonal/>
    </border>
    <border>
      <left style="double">
        <color indexed="64"/>
      </left>
      <right style="medium">
        <color indexed="64"/>
      </right>
      <top/>
      <bottom/>
      <diagonal/>
    </border>
    <border>
      <left style="double">
        <color indexed="64"/>
      </left>
      <right/>
      <top/>
      <bottom/>
      <diagonal/>
    </border>
    <border>
      <left style="double">
        <color indexed="64"/>
      </left>
      <right style="medium">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double">
        <color indexed="64"/>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double">
        <color indexed="64"/>
      </top>
      <bottom/>
      <diagonal/>
    </border>
    <border>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thin">
        <color indexed="64"/>
      </top>
      <bottom/>
      <diagonal/>
    </border>
    <border>
      <left style="double">
        <color indexed="64"/>
      </left>
      <right style="medium">
        <color indexed="64"/>
      </right>
      <top style="thin">
        <color indexed="64"/>
      </top>
      <bottom/>
      <diagonal/>
    </border>
    <border>
      <left style="double">
        <color indexed="64"/>
      </left>
      <right/>
      <top style="thin">
        <color indexed="64"/>
      </top>
      <bottom/>
      <diagonal/>
    </border>
    <border>
      <left style="thin">
        <color indexed="64"/>
      </left>
      <right style="double">
        <color indexed="64"/>
      </right>
      <top style="medium">
        <color indexed="64"/>
      </top>
      <bottom/>
      <diagonal/>
    </border>
    <border>
      <left style="double">
        <color indexed="64"/>
      </left>
      <right/>
      <top style="double">
        <color indexed="64"/>
      </top>
      <bottom/>
      <diagonal/>
    </border>
    <border>
      <left/>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medium">
        <color indexed="64"/>
      </top>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double">
        <color indexed="64"/>
      </left>
      <right style="thin">
        <color indexed="64"/>
      </right>
      <top style="double">
        <color indexed="64"/>
      </top>
      <bottom style="medium">
        <color indexed="64"/>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diagonal/>
    </border>
    <border>
      <left/>
      <right/>
      <top style="thin">
        <color auto="1"/>
      </top>
      <bottom/>
      <diagonal/>
    </border>
    <border>
      <left style="double">
        <color indexed="64"/>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medium">
        <color indexed="64"/>
      </right>
      <top style="medium">
        <color indexed="64"/>
      </top>
      <bottom style="thin">
        <color rgb="FF000000"/>
      </bottom>
      <diagonal/>
    </border>
    <border>
      <left style="double">
        <color indexed="64"/>
      </left>
      <right style="medium">
        <color indexed="64"/>
      </right>
      <top/>
      <bottom style="thin">
        <color rgb="FF000000"/>
      </bottom>
      <diagonal/>
    </border>
    <border>
      <left style="double">
        <color indexed="64"/>
      </left>
      <right/>
      <top style="medium">
        <color indexed="64"/>
      </top>
      <bottom style="thin">
        <color rgb="FF000000"/>
      </bottom>
      <diagonal/>
    </border>
    <border>
      <left style="double">
        <color indexed="64"/>
      </left>
      <right/>
      <top/>
      <bottom style="thin">
        <color rgb="FF000000"/>
      </bottom>
      <diagonal/>
    </border>
    <border>
      <left style="double">
        <color indexed="64"/>
      </left>
      <right style="medium">
        <color indexed="64"/>
      </right>
      <top/>
      <bottom style="double">
        <color rgb="FF000000"/>
      </bottom>
      <diagonal/>
    </border>
    <border>
      <left style="thin">
        <color indexed="64"/>
      </left>
      <right style="medium">
        <color rgb="FF000000"/>
      </right>
      <top style="medium">
        <color indexed="64"/>
      </top>
      <bottom style="thin">
        <color indexed="64"/>
      </bottom>
      <diagonal/>
    </border>
    <border>
      <left/>
      <right style="medium">
        <color rgb="FF000000"/>
      </right>
      <top style="medium">
        <color indexed="64"/>
      </top>
      <bottom style="medium">
        <color indexed="64"/>
      </bottom>
      <diagonal/>
    </border>
    <border>
      <left style="thin">
        <color rgb="FF000000"/>
      </left>
      <right style="thin">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bottom style="double">
        <color indexed="64"/>
      </bottom>
      <diagonal/>
    </border>
  </borders>
  <cellStyleXfs count="31377">
    <xf numFmtId="0" fontId="0" fillId="0" borderId="0"/>
    <xf numFmtId="0" fontId="1" fillId="0" borderId="0"/>
    <xf numFmtId="0" fontId="1" fillId="0" borderId="0"/>
    <xf numFmtId="0" fontId="1" fillId="0" borderId="0"/>
    <xf numFmtId="0" fontId="3" fillId="0" borderId="0"/>
    <xf numFmtId="9" fontId="2" fillId="0" borderId="0" applyFont="0" applyFill="0" applyBorder="0" applyAlignment="0" applyProtection="0"/>
    <xf numFmtId="0" fontId="13" fillId="0" borderId="0" applyNumberFormat="0" applyFill="0" applyBorder="0" applyAlignment="0" applyProtection="0"/>
    <xf numFmtId="0" fontId="14" fillId="0" borderId="88" applyNumberFormat="0" applyFill="0" applyAlignment="0" applyProtection="0"/>
    <xf numFmtId="0" fontId="15" fillId="0" borderId="89" applyNumberFormat="0" applyFill="0" applyAlignment="0" applyProtection="0"/>
    <xf numFmtId="0" fontId="16" fillId="0" borderId="90"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91" applyNumberFormat="0" applyAlignment="0" applyProtection="0"/>
    <xf numFmtId="0" fontId="21" fillId="6" borderId="92" applyNumberFormat="0" applyAlignment="0" applyProtection="0"/>
    <xf numFmtId="0" fontId="22" fillId="6" borderId="91" applyNumberFormat="0" applyAlignment="0" applyProtection="0"/>
    <xf numFmtId="0" fontId="23" fillId="0" borderId="93" applyNumberFormat="0" applyFill="0" applyAlignment="0" applyProtection="0"/>
    <xf numFmtId="0" fontId="24" fillId="7" borderId="94" applyNumberFormat="0" applyAlignment="0" applyProtection="0"/>
    <xf numFmtId="0" fontId="5" fillId="0" borderId="0" applyNumberFormat="0" applyFill="0" applyBorder="0" applyAlignment="0" applyProtection="0"/>
    <xf numFmtId="0" fontId="2" fillId="8" borderId="95" applyNumberFormat="0" applyFont="0" applyAlignment="0" applyProtection="0"/>
    <xf numFmtId="0" fontId="25" fillId="0" borderId="0" applyNumberFormat="0" applyFill="0" applyBorder="0" applyAlignment="0" applyProtection="0"/>
    <xf numFmtId="0" fontId="4" fillId="0" borderId="96" applyNumberFormat="0" applyFill="0" applyAlignment="0" applyProtection="0"/>
    <xf numFmtId="0" fontId="2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6" fillId="32" borderId="0" applyNumberFormat="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27" fillId="0" borderId="0"/>
    <xf numFmtId="165" fontId="27" fillId="0" borderId="0"/>
    <xf numFmtId="165" fontId="27" fillId="0" borderId="0"/>
    <xf numFmtId="165" fontId="27" fillId="0" borderId="0"/>
    <xf numFmtId="165" fontId="27" fillId="0" borderId="0"/>
    <xf numFmtId="37" fontId="27" fillId="0" borderId="0"/>
    <xf numFmtId="0" fontId="7" fillId="0" borderId="0"/>
    <xf numFmtId="0" fontId="7" fillId="0" borderId="0"/>
    <xf numFmtId="0" fontId="6" fillId="0" borderId="0"/>
    <xf numFmtId="0" fontId="2" fillId="0" borderId="0"/>
    <xf numFmtId="37" fontId="27" fillId="0" borderId="0"/>
    <xf numFmtId="0" fontId="1" fillId="0" borderId="0"/>
    <xf numFmtId="0" fontId="6" fillId="0" borderId="0"/>
    <xf numFmtId="0" fontId="7" fillId="0" borderId="0"/>
    <xf numFmtId="0" fontId="7" fillId="0" borderId="0"/>
    <xf numFmtId="0" fontId="7" fillId="0" borderId="0"/>
    <xf numFmtId="0" fontId="7" fillId="0" borderId="0"/>
    <xf numFmtId="0" fontId="7" fillId="0" borderId="0"/>
    <xf numFmtId="165" fontId="27"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2" fillId="0" borderId="0"/>
    <xf numFmtId="0" fontId="6" fillId="0" borderId="0"/>
    <xf numFmtId="0" fontId="6" fillId="0" borderId="0"/>
    <xf numFmtId="0" fontId="2" fillId="0" borderId="0"/>
    <xf numFmtId="0" fontId="1" fillId="0" borderId="0"/>
    <xf numFmtId="0" fontId="6" fillId="0" borderId="0"/>
    <xf numFmtId="0" fontId="6" fillId="0" borderId="0"/>
    <xf numFmtId="0" fontId="6" fillId="0" borderId="0"/>
    <xf numFmtId="0" fontId="1" fillId="0" borderId="0"/>
    <xf numFmtId="0" fontId="7" fillId="0" borderId="0"/>
    <xf numFmtId="0" fontId="6" fillId="0" borderId="0"/>
    <xf numFmtId="0" fontId="7" fillId="0" borderId="0"/>
    <xf numFmtId="0" fontId="6" fillId="0" borderId="0"/>
    <xf numFmtId="0" fontId="2" fillId="0" borderId="0"/>
    <xf numFmtId="0" fontId="7" fillId="0" borderId="0"/>
    <xf numFmtId="0" fontId="7" fillId="0" borderId="0"/>
    <xf numFmtId="0" fontId="6" fillId="0" borderId="0"/>
    <xf numFmtId="0" fontId="1" fillId="0" borderId="0"/>
    <xf numFmtId="0" fontId="7" fillId="0" borderId="0"/>
    <xf numFmtId="0" fontId="6" fillId="0" borderId="0"/>
    <xf numFmtId="0" fontId="2" fillId="0" borderId="0"/>
    <xf numFmtId="0" fontId="7" fillId="0" borderId="0"/>
    <xf numFmtId="0" fontId="6" fillId="0" borderId="0"/>
    <xf numFmtId="0" fontId="6" fillId="0" borderId="0"/>
    <xf numFmtId="0" fontId="6" fillId="0" borderId="0"/>
    <xf numFmtId="0" fontId="7" fillId="0" borderId="0"/>
    <xf numFmtId="0" fontId="6" fillId="0" borderId="0"/>
    <xf numFmtId="0" fontId="2" fillId="0" borderId="0"/>
    <xf numFmtId="0" fontId="6" fillId="0" borderId="0"/>
    <xf numFmtId="0" fontId="7" fillId="0" borderId="0"/>
    <xf numFmtId="0" fontId="7" fillId="0" borderId="0"/>
    <xf numFmtId="0" fontId="1" fillId="0" borderId="0"/>
    <xf numFmtId="0" fontId="6" fillId="0" borderId="0"/>
    <xf numFmtId="0" fontId="2" fillId="0" borderId="0"/>
    <xf numFmtId="0" fontId="6" fillId="0" borderId="0"/>
    <xf numFmtId="0" fontId="7" fillId="0" borderId="0"/>
    <xf numFmtId="0" fontId="1"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37" fontId="27" fillId="0" borderId="0"/>
    <xf numFmtId="37" fontId="27" fillId="0" borderId="0"/>
    <xf numFmtId="0" fontId="6" fillId="0" borderId="0"/>
    <xf numFmtId="0" fontId="6" fillId="0" borderId="0"/>
    <xf numFmtId="0" fontId="6" fillId="0" borderId="0"/>
    <xf numFmtId="0" fontId="6" fillId="0" borderId="0"/>
    <xf numFmtId="0" fontId="6" fillId="0" borderId="0"/>
    <xf numFmtId="0" fontId="1" fillId="0" borderId="0"/>
    <xf numFmtId="165" fontId="27" fillId="0" borderId="0"/>
    <xf numFmtId="0" fontId="2" fillId="0" borderId="0"/>
    <xf numFmtId="0" fontId="6" fillId="0" borderId="0"/>
    <xf numFmtId="0" fontId="1" fillId="0" borderId="0"/>
    <xf numFmtId="0" fontId="6" fillId="0" borderId="0"/>
    <xf numFmtId="0" fontId="6" fillId="0" borderId="0"/>
    <xf numFmtId="0" fontId="6" fillId="0" borderId="0"/>
    <xf numFmtId="0" fontId="1" fillId="0" borderId="0"/>
    <xf numFmtId="165" fontId="27" fillId="0" borderId="0"/>
    <xf numFmtId="0" fontId="6" fillId="0" borderId="0"/>
    <xf numFmtId="0" fontId="1" fillId="0" borderId="0"/>
    <xf numFmtId="0" fontId="1" fillId="0" borderId="0"/>
    <xf numFmtId="165" fontId="27" fillId="0" borderId="0"/>
    <xf numFmtId="165" fontId="27" fillId="0" borderId="0"/>
    <xf numFmtId="165" fontId="27"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32" fillId="0" borderId="0"/>
    <xf numFmtId="43" fontId="32" fillId="0" borderId="0" applyFont="0" applyFill="0" applyBorder="0" applyAlignment="0" applyProtection="0"/>
    <xf numFmtId="0" fontId="32" fillId="0" borderId="0"/>
    <xf numFmtId="43" fontId="7" fillId="0" borderId="0" applyFont="0" applyFill="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33" borderId="119" applyNumberFormat="0" applyAlignment="0" applyProtection="0"/>
    <xf numFmtId="0" fontId="36" fillId="33" borderId="119" applyNumberFormat="0" applyAlignment="0" applyProtection="0"/>
    <xf numFmtId="0" fontId="37" fillId="48" borderId="120" applyNumberFormat="0" applyAlignment="0" applyProtection="0"/>
    <xf numFmtId="0" fontId="37" fillId="48" borderId="120"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36" borderId="0" applyNumberFormat="0" applyBorder="0" applyAlignment="0" applyProtection="0"/>
    <xf numFmtId="0" fontId="39" fillId="36" borderId="0" applyNumberFormat="0" applyBorder="0" applyAlignment="0" applyProtection="0"/>
    <xf numFmtId="0" fontId="40" fillId="0" borderId="121" applyNumberFormat="0" applyFill="0" applyAlignment="0" applyProtection="0"/>
    <xf numFmtId="0" fontId="40" fillId="0" borderId="121" applyNumberFormat="0" applyFill="0" applyAlignment="0" applyProtection="0"/>
    <xf numFmtId="0" fontId="41" fillId="0" borderId="122" applyNumberFormat="0" applyFill="0" applyAlignment="0" applyProtection="0"/>
    <xf numFmtId="0" fontId="41" fillId="0" borderId="122" applyNumberFormat="0" applyFill="0" applyAlignment="0" applyProtection="0"/>
    <xf numFmtId="0" fontId="42" fillId="0" borderId="123" applyNumberFormat="0" applyFill="0" applyAlignment="0" applyProtection="0"/>
    <xf numFmtId="0" fontId="42" fillId="0" borderId="12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5" borderId="119" applyNumberFormat="0" applyAlignment="0" applyProtection="0"/>
    <xf numFmtId="0" fontId="43" fillId="35" borderId="119" applyNumberFormat="0" applyAlignment="0" applyProtection="0"/>
    <xf numFmtId="0" fontId="44" fillId="0" borderId="124" applyNumberFormat="0" applyFill="0" applyAlignment="0" applyProtection="0"/>
    <xf numFmtId="0" fontId="44" fillId="0" borderId="124" applyNumberFormat="0" applyFill="0" applyAlignment="0" applyProtection="0"/>
    <xf numFmtId="0" fontId="45" fillId="42" borderId="0" applyNumberFormat="0" applyBorder="0" applyAlignment="0" applyProtection="0"/>
    <xf numFmtId="0" fontId="45" fillId="4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37" borderId="12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7" fillId="37" borderId="12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46" fillId="33" borderId="126" applyNumberFormat="0" applyAlignment="0" applyProtection="0"/>
    <xf numFmtId="0" fontId="46" fillId="33" borderId="1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27" applyNumberFormat="0" applyFill="0" applyAlignment="0" applyProtection="0"/>
    <xf numFmtId="0" fontId="48" fillId="0" borderId="127"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2" fillId="6" borderId="91" applyNumberFormat="0" applyAlignment="0" applyProtection="0"/>
    <xf numFmtId="0" fontId="5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2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2" fillId="6" borderId="91" applyNumberFormat="0" applyAlignment="0" applyProtection="0"/>
    <xf numFmtId="0" fontId="53" fillId="7" borderId="94" applyNumberFormat="0" applyAlignment="0" applyProtection="0"/>
    <xf numFmtId="0" fontId="53"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24"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3" fillId="7" borderId="94"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6" fillId="0" borderId="88" applyNumberFormat="0" applyFill="0" applyAlignment="0" applyProtection="0"/>
    <xf numFmtId="0" fontId="56"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14"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6" fillId="0" borderId="88"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15"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7" fillId="0" borderId="89"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16"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5" borderId="91" applyNumberFormat="0" applyAlignment="0" applyProtection="0"/>
    <xf numFmtId="0" fontId="59"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20"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59" fillId="5" borderId="91" applyNumberFormat="0" applyAlignment="0" applyProtection="0"/>
    <xf numFmtId="0" fontId="60" fillId="0" borderId="93" applyNumberFormat="0" applyFill="0" applyAlignment="0" applyProtection="0"/>
    <xf numFmtId="0" fontId="60"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23"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0" fillId="0" borderId="93" applyNumberFormat="0" applyFill="0" applyAlignment="0" applyProtection="0"/>
    <xf numFmtId="0" fontId="61" fillId="4" borderId="0" applyNumberFormat="0" applyBorder="0" applyAlignment="0" applyProtection="0"/>
    <xf numFmtId="0" fontId="61"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7" fillId="0" borderId="0"/>
    <xf numFmtId="0" fontId="32" fillId="0" borderId="0"/>
    <xf numFmtId="0" fontId="32" fillId="0" borderId="0"/>
    <xf numFmtId="0" fontId="32" fillId="0" borderId="0"/>
    <xf numFmtId="0" fontId="32" fillId="0" borderId="0"/>
    <xf numFmtId="0" fontId="7" fillId="0" borderId="0"/>
    <xf numFmtId="0" fontId="32" fillId="0" borderId="0"/>
    <xf numFmtId="0" fontId="32" fillId="0" borderId="0"/>
    <xf numFmtId="0" fontId="7"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8" borderId="95" applyNumberFormat="0" applyFont="0" applyAlignment="0" applyProtection="0"/>
    <xf numFmtId="0" fontId="6"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 fillId="8" borderId="95" applyNumberFormat="0" applyFont="0" applyAlignment="0" applyProtection="0"/>
    <xf numFmtId="0" fontId="62" fillId="6" borderId="92" applyNumberFormat="0" applyAlignment="0" applyProtection="0"/>
    <xf numFmtId="0" fontId="62"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21"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62" fillId="6" borderId="92" applyNumberFormat="0" applyAlignment="0" applyProtection="0"/>
    <xf numFmtId="0" fontId="8" fillId="0" borderId="96" applyNumberFormat="0" applyFill="0" applyAlignment="0" applyProtection="0"/>
    <xf numFmtId="0" fontId="8"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4"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8" fillId="0" borderId="9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36" fillId="33" borderId="119" applyNumberFormat="0" applyAlignment="0" applyProtection="0"/>
    <xf numFmtId="0" fontId="36" fillId="33" borderId="119" applyNumberFormat="0" applyAlignment="0" applyProtection="0"/>
    <xf numFmtId="0" fontId="43" fillId="35" borderId="119" applyNumberFormat="0" applyAlignment="0" applyProtection="0"/>
    <xf numFmtId="0" fontId="43" fillId="35" borderId="119" applyNumberFormat="0" applyAlignment="0" applyProtection="0"/>
    <xf numFmtId="0" fontId="7" fillId="37" borderId="125" applyNumberFormat="0" applyFont="0" applyAlignment="0" applyProtection="0"/>
    <xf numFmtId="0" fontId="7" fillId="37" borderId="125" applyNumberFormat="0" applyFont="0" applyAlignment="0" applyProtection="0"/>
    <xf numFmtId="0" fontId="46" fillId="33" borderId="126" applyNumberFormat="0" applyAlignment="0" applyProtection="0"/>
    <xf numFmtId="0" fontId="46" fillId="33" borderId="126" applyNumberFormat="0" applyAlignment="0" applyProtection="0"/>
    <xf numFmtId="0" fontId="48" fillId="0" borderId="127" applyNumberFormat="0" applyFill="0" applyAlignment="0" applyProtection="0"/>
    <xf numFmtId="0" fontId="48" fillId="0" borderId="127" applyNumberFormat="0" applyFill="0" applyAlignment="0" applyProtection="0"/>
    <xf numFmtId="0" fontId="3" fillId="0" borderId="0"/>
    <xf numFmtId="0" fontId="1" fillId="0" borderId="0"/>
    <xf numFmtId="0" fontId="1" fillId="0" borderId="0"/>
    <xf numFmtId="0" fontId="1" fillId="0" borderId="0"/>
    <xf numFmtId="0" fontId="32" fillId="0" borderId="0"/>
    <xf numFmtId="43" fontId="32" fillId="0" borderId="0" applyFont="0" applyFill="0" applyBorder="0" applyAlignment="0" applyProtection="0"/>
    <xf numFmtId="0" fontId="32" fillId="0" borderId="0"/>
    <xf numFmtId="0" fontId="36" fillId="33" borderId="119" applyNumberFormat="0" applyAlignment="0" applyProtection="0"/>
    <xf numFmtId="0" fontId="36" fillId="33" borderId="119" applyNumberFormat="0" applyAlignment="0" applyProtection="0"/>
    <xf numFmtId="0" fontId="43" fillId="35" borderId="119" applyNumberFormat="0" applyAlignment="0" applyProtection="0"/>
    <xf numFmtId="0" fontId="43" fillId="35" borderId="119" applyNumberFormat="0" applyAlignment="0" applyProtection="0"/>
    <xf numFmtId="0" fontId="7" fillId="37" borderId="125" applyNumberFormat="0" applyFont="0" applyAlignment="0" applyProtection="0"/>
    <xf numFmtId="0" fontId="7" fillId="37" borderId="125" applyNumberFormat="0" applyFont="0" applyAlignment="0" applyProtection="0"/>
    <xf numFmtId="0" fontId="46" fillId="33" borderId="126" applyNumberFormat="0" applyAlignment="0" applyProtection="0"/>
    <xf numFmtId="0" fontId="46" fillId="33" borderId="126" applyNumberFormat="0" applyAlignment="0" applyProtection="0"/>
    <xf numFmtId="0" fontId="48" fillId="0" borderId="127" applyNumberFormat="0" applyFill="0" applyAlignment="0" applyProtection="0"/>
    <xf numFmtId="0" fontId="48" fillId="0" borderId="127" applyNumberFormat="0" applyFill="0" applyAlignment="0" applyProtection="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32" fillId="0" borderId="0"/>
    <xf numFmtId="0" fontId="32"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37" borderId="125" applyNumberFormat="0" applyFont="0" applyAlignment="0" applyProtection="0"/>
    <xf numFmtId="0" fontId="43" fillId="35" borderId="119" applyNumberFormat="0" applyAlignment="0" applyProtection="0"/>
    <xf numFmtId="0" fontId="43" fillId="35" borderId="119" applyNumberFormat="0" applyAlignment="0" applyProtection="0"/>
    <xf numFmtId="0" fontId="36" fillId="33" borderId="119" applyNumberFormat="0" applyAlignment="0" applyProtection="0"/>
    <xf numFmtId="0" fontId="36" fillId="33" borderId="119" applyNumberFormat="0" applyAlignment="0" applyProtection="0"/>
    <xf numFmtId="0" fontId="48" fillId="0" borderId="127" applyNumberFormat="0" applyFill="0" applyAlignment="0" applyProtection="0"/>
    <xf numFmtId="0" fontId="48" fillId="0" borderId="127" applyNumberFormat="0" applyFill="0" applyAlignment="0" applyProtection="0"/>
    <xf numFmtId="0" fontId="46" fillId="33" borderId="126" applyNumberFormat="0" applyAlignment="0" applyProtection="0"/>
    <xf numFmtId="0" fontId="46" fillId="33" borderId="126" applyNumberFormat="0" applyAlignment="0" applyProtection="0"/>
    <xf numFmtId="0" fontId="7" fillId="37" borderId="125" applyNumberFormat="0" applyFont="0" applyAlignment="0" applyProtection="0"/>
    <xf numFmtId="0" fontId="7" fillId="37" borderId="125" applyNumberFormat="0" applyFont="0" applyAlignment="0" applyProtection="0"/>
    <xf numFmtId="0" fontId="43" fillId="35" borderId="119" applyNumberFormat="0" applyAlignment="0" applyProtection="0"/>
    <xf numFmtId="0" fontId="43" fillId="35" borderId="119" applyNumberFormat="0" applyAlignment="0" applyProtection="0"/>
    <xf numFmtId="0" fontId="36" fillId="33" borderId="119" applyNumberFormat="0" applyAlignment="0" applyProtection="0"/>
    <xf numFmtId="0" fontId="36" fillId="33" borderId="119" applyNumberFormat="0" applyAlignment="0" applyProtection="0"/>
    <xf numFmtId="0" fontId="48" fillId="0" borderId="127" applyNumberFormat="0" applyFill="0" applyAlignment="0" applyProtection="0"/>
    <xf numFmtId="0" fontId="48" fillId="0" borderId="127" applyNumberFormat="0" applyFill="0" applyAlignment="0" applyProtection="0"/>
    <xf numFmtId="0" fontId="46" fillId="33" borderId="126" applyNumberFormat="0" applyAlignment="0" applyProtection="0"/>
    <xf numFmtId="0" fontId="46" fillId="33" borderId="126" applyNumberFormat="0" applyAlignment="0" applyProtection="0"/>
    <xf numFmtId="0" fontId="7" fillId="37" borderId="125" applyNumberFormat="0" applyFont="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25" applyNumberFormat="0" applyFont="0" applyAlignment="0" applyProtection="0"/>
    <xf numFmtId="0" fontId="7" fillId="37" borderId="125" applyNumberFormat="0" applyFont="0" applyAlignment="0" applyProtection="0"/>
    <xf numFmtId="0" fontId="37" fillId="48" borderId="1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48" borderId="12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25" applyNumberFormat="0" applyFont="0" applyAlignment="0" applyProtection="0"/>
    <xf numFmtId="0" fontId="7" fillId="37" borderId="125" applyNumberFormat="0" applyFont="0" applyAlignment="0" applyProtection="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8" borderId="95" applyNumberFormat="0" applyFont="0" applyAlignment="0" applyProtection="0"/>
    <xf numFmtId="0" fontId="2" fillId="0" borderId="0"/>
    <xf numFmtId="0" fontId="36" fillId="33" borderId="119" applyNumberFormat="0" applyAlignment="0" applyProtection="0"/>
    <xf numFmtId="0" fontId="36" fillId="33" borderId="119" applyNumberFormat="0" applyAlignment="0" applyProtection="0"/>
    <xf numFmtId="0" fontId="43" fillId="35" borderId="119" applyNumberFormat="0" applyAlignment="0" applyProtection="0"/>
    <xf numFmtId="0" fontId="43" fillId="35" borderId="119" applyNumberFormat="0" applyAlignment="0" applyProtection="0"/>
    <xf numFmtId="0" fontId="7" fillId="37" borderId="125" applyNumberFormat="0" applyFont="0" applyAlignment="0" applyProtection="0"/>
    <xf numFmtId="0" fontId="7" fillId="37" borderId="125" applyNumberFormat="0" applyFont="0" applyAlignment="0" applyProtection="0"/>
    <xf numFmtId="0" fontId="46" fillId="33" borderId="126" applyNumberFormat="0" applyAlignment="0" applyProtection="0"/>
    <xf numFmtId="0" fontId="46" fillId="33" borderId="126" applyNumberFormat="0" applyAlignment="0" applyProtection="0"/>
    <xf numFmtId="0" fontId="48" fillId="0" borderId="127" applyNumberFormat="0" applyFill="0" applyAlignment="0" applyProtection="0"/>
    <xf numFmtId="0" fontId="48" fillId="0" borderId="127" applyNumberFormat="0" applyFill="0" applyAlignment="0" applyProtection="0"/>
    <xf numFmtId="0" fontId="36" fillId="33" borderId="119" applyNumberFormat="0" applyAlignment="0" applyProtection="0"/>
    <xf numFmtId="0" fontId="36" fillId="33" borderId="119" applyNumberFormat="0" applyAlignment="0" applyProtection="0"/>
    <xf numFmtId="0" fontId="43" fillId="35" borderId="119" applyNumberFormat="0" applyAlignment="0" applyProtection="0"/>
    <xf numFmtId="0" fontId="43" fillId="35" borderId="119" applyNumberFormat="0" applyAlignment="0" applyProtection="0"/>
    <xf numFmtId="0" fontId="7" fillId="37" borderId="125" applyNumberFormat="0" applyFont="0" applyAlignment="0" applyProtection="0"/>
    <xf numFmtId="0" fontId="7" fillId="37" borderId="125" applyNumberFormat="0" applyFont="0" applyAlignment="0" applyProtection="0"/>
    <xf numFmtId="0" fontId="46" fillId="33" borderId="126" applyNumberFormat="0" applyAlignment="0" applyProtection="0"/>
    <xf numFmtId="0" fontId="46" fillId="33" borderId="126" applyNumberFormat="0" applyAlignment="0" applyProtection="0"/>
    <xf numFmtId="0" fontId="48" fillId="0" borderId="127" applyNumberFormat="0" applyFill="0" applyAlignment="0" applyProtection="0"/>
    <xf numFmtId="0" fontId="48" fillId="0" borderId="127" applyNumberFormat="0" applyFill="0" applyAlignment="0" applyProtection="0"/>
    <xf numFmtId="0" fontId="7" fillId="37" borderId="125" applyNumberFormat="0" applyFont="0" applyAlignment="0" applyProtection="0"/>
    <xf numFmtId="0" fontId="43" fillId="35" borderId="119" applyNumberFormat="0" applyAlignment="0" applyProtection="0"/>
    <xf numFmtId="0" fontId="43" fillId="35" borderId="119" applyNumberFormat="0" applyAlignment="0" applyProtection="0"/>
    <xf numFmtId="0" fontId="36" fillId="33" borderId="119" applyNumberFormat="0" applyAlignment="0" applyProtection="0"/>
    <xf numFmtId="0" fontId="36" fillId="33" borderId="119" applyNumberFormat="0" applyAlignment="0" applyProtection="0"/>
    <xf numFmtId="0" fontId="48" fillId="0" borderId="127" applyNumberFormat="0" applyFill="0" applyAlignment="0" applyProtection="0"/>
    <xf numFmtId="0" fontId="48" fillId="0" borderId="127" applyNumberFormat="0" applyFill="0" applyAlignment="0" applyProtection="0"/>
    <xf numFmtId="0" fontId="46" fillId="33" borderId="126" applyNumberFormat="0" applyAlignment="0" applyProtection="0"/>
    <xf numFmtId="0" fontId="46" fillId="33" borderId="126" applyNumberFormat="0" applyAlignment="0" applyProtection="0"/>
    <xf numFmtId="0" fontId="7" fillId="37" borderId="125" applyNumberFormat="0" applyFont="0" applyAlignment="0" applyProtection="0"/>
    <xf numFmtId="0" fontId="7" fillId="37" borderId="125" applyNumberFormat="0" applyFont="0" applyAlignment="0" applyProtection="0"/>
    <xf numFmtId="0" fontId="43" fillId="35" borderId="119" applyNumberFormat="0" applyAlignment="0" applyProtection="0"/>
    <xf numFmtId="0" fontId="43" fillId="35" borderId="119" applyNumberFormat="0" applyAlignment="0" applyProtection="0"/>
    <xf numFmtId="0" fontId="36" fillId="33" borderId="119" applyNumberFormat="0" applyAlignment="0" applyProtection="0"/>
    <xf numFmtId="0" fontId="36" fillId="33" borderId="119" applyNumberFormat="0" applyAlignment="0" applyProtection="0"/>
    <xf numFmtId="0" fontId="48" fillId="0" borderId="127" applyNumberFormat="0" applyFill="0" applyAlignment="0" applyProtection="0"/>
    <xf numFmtId="0" fontId="48" fillId="0" borderId="127" applyNumberFormat="0" applyFill="0" applyAlignment="0" applyProtection="0"/>
    <xf numFmtId="0" fontId="46" fillId="33" borderId="126" applyNumberFormat="0" applyAlignment="0" applyProtection="0"/>
    <xf numFmtId="0" fontId="46" fillId="33" borderId="126" applyNumberFormat="0" applyAlignment="0" applyProtection="0"/>
    <xf numFmtId="0" fontId="7" fillId="37" borderId="125" applyNumberFormat="0" applyFont="0" applyAlignment="0" applyProtection="0"/>
    <xf numFmtId="0" fontId="7" fillId="37" borderId="125" applyNumberFormat="0" applyFont="0" applyAlignment="0" applyProtection="0"/>
    <xf numFmtId="0" fontId="7" fillId="37" borderId="125" applyNumberFormat="0" applyFont="0" applyAlignment="0" applyProtection="0"/>
    <xf numFmtId="0" fontId="7" fillId="37" borderId="125" applyNumberFormat="0" applyFont="0" applyAlignment="0" applyProtection="0"/>
    <xf numFmtId="0" fontId="7" fillId="37" borderId="125" applyNumberFormat="0" applyFont="0" applyAlignment="0" applyProtection="0"/>
    <xf numFmtId="0" fontId="1" fillId="0" borderId="0"/>
    <xf numFmtId="43"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32" fillId="0" borderId="0"/>
    <xf numFmtId="43" fontId="32" fillId="0" borderId="0" applyFont="0" applyFill="0" applyBorder="0" applyAlignment="0" applyProtection="0"/>
    <xf numFmtId="37" fontId="27" fillId="0" borderId="0"/>
    <xf numFmtId="9" fontId="7" fillId="0" borderId="0" applyFont="0" applyFill="0" applyBorder="0" applyAlignment="0" applyProtection="0"/>
    <xf numFmtId="0" fontId="7" fillId="0" borderId="0"/>
    <xf numFmtId="0" fontId="7" fillId="0" borderId="0"/>
    <xf numFmtId="0" fontId="2" fillId="0" borderId="0"/>
    <xf numFmtId="0" fontId="7" fillId="0" borderId="0"/>
    <xf numFmtId="0" fontId="36" fillId="33" borderId="152" applyNumberForma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36" fillId="33" borderId="152" applyNumberForma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36" fillId="33" borderId="152" applyNumberForma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36" fillId="33" borderId="152"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36" fillId="33" borderId="152"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36" fillId="33" borderId="152" applyNumberForma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36" fillId="33" borderId="152" applyNumberForma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36" fillId="33" borderId="152"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36" fillId="33" borderId="152"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36" fillId="33" borderId="158" applyNumberFormat="0" applyAlignment="0" applyProtection="0"/>
    <xf numFmtId="0" fontId="36" fillId="33" borderId="158" applyNumberFormat="0" applyAlignment="0" applyProtection="0"/>
    <xf numFmtId="0" fontId="43" fillId="35" borderId="158" applyNumberFormat="0" applyAlignment="0" applyProtection="0"/>
    <xf numFmtId="0" fontId="43" fillId="35" borderId="158"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46" fillId="33" borderId="160" applyNumberFormat="0" applyAlignment="0" applyProtection="0"/>
    <xf numFmtId="0" fontId="46" fillId="33" borderId="160"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36" fillId="33" borderId="158" applyNumberFormat="0" applyAlignment="0" applyProtection="0"/>
    <xf numFmtId="0" fontId="36" fillId="33" borderId="158" applyNumberFormat="0" applyAlignment="0" applyProtection="0"/>
    <xf numFmtId="0" fontId="43" fillId="35" borderId="158" applyNumberFormat="0" applyAlignment="0" applyProtection="0"/>
    <xf numFmtId="0" fontId="43" fillId="35" borderId="158"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46" fillId="33" borderId="160" applyNumberFormat="0" applyAlignment="0" applyProtection="0"/>
    <xf numFmtId="0" fontId="46" fillId="33" borderId="160"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36" fillId="33" borderId="158" applyNumberFormat="0" applyAlignment="0" applyProtection="0"/>
    <xf numFmtId="0" fontId="36" fillId="33" borderId="158" applyNumberFormat="0" applyAlignment="0" applyProtection="0"/>
    <xf numFmtId="0" fontId="43" fillId="35" borderId="158" applyNumberFormat="0" applyAlignment="0" applyProtection="0"/>
    <xf numFmtId="0" fontId="43" fillId="35" borderId="158"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46" fillId="33" borderId="160" applyNumberFormat="0" applyAlignment="0" applyProtection="0"/>
    <xf numFmtId="0" fontId="46" fillId="33" borderId="160"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7" fillId="37" borderId="159" applyNumberFormat="0" applyFont="0" applyAlignment="0" applyProtection="0"/>
    <xf numFmtId="0" fontId="43" fillId="35" borderId="158" applyNumberFormat="0" applyAlignment="0" applyProtection="0"/>
    <xf numFmtId="0" fontId="43" fillId="35" borderId="158" applyNumberFormat="0" applyAlignment="0" applyProtection="0"/>
    <xf numFmtId="0" fontId="36" fillId="33" borderId="158" applyNumberFormat="0" applyAlignment="0" applyProtection="0"/>
    <xf numFmtId="0" fontId="36" fillId="33" borderId="158"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46" fillId="33" borderId="160" applyNumberFormat="0" applyAlignment="0" applyProtection="0"/>
    <xf numFmtId="0" fontId="46" fillId="33" borderId="160"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43" fillId="35" borderId="158" applyNumberFormat="0" applyAlignment="0" applyProtection="0"/>
    <xf numFmtId="0" fontId="43" fillId="35" borderId="158" applyNumberFormat="0" applyAlignment="0" applyProtection="0"/>
    <xf numFmtId="0" fontId="36" fillId="33" borderId="158" applyNumberFormat="0" applyAlignment="0" applyProtection="0"/>
    <xf numFmtId="0" fontId="36" fillId="33" borderId="158"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46" fillId="33" borderId="160" applyNumberFormat="0" applyAlignment="0" applyProtection="0"/>
    <xf numFmtId="0" fontId="46" fillId="33" borderId="160"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7" fillId="37" borderId="159" applyNumberFormat="0" applyFont="0" applyAlignment="0" applyProtection="0"/>
    <xf numFmtId="0" fontId="7" fillId="37" borderId="159" applyNumberFormat="0" applyFont="0" applyAlignment="0" applyProtection="0"/>
    <xf numFmtId="0" fontId="7" fillId="37" borderId="159" applyNumberFormat="0" applyFont="0" applyAlignment="0" applyProtection="0"/>
    <xf numFmtId="0" fontId="36" fillId="33" borderId="158" applyNumberFormat="0" applyAlignment="0" applyProtection="0"/>
    <xf numFmtId="0" fontId="36" fillId="33" borderId="158" applyNumberFormat="0" applyAlignment="0" applyProtection="0"/>
    <xf numFmtId="0" fontId="43" fillId="35" borderId="158" applyNumberFormat="0" applyAlignment="0" applyProtection="0"/>
    <xf numFmtId="0" fontId="43" fillId="35" borderId="158"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46" fillId="33" borderId="160" applyNumberFormat="0" applyAlignment="0" applyProtection="0"/>
    <xf numFmtId="0" fontId="46" fillId="33" borderId="160"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36" fillId="33" borderId="158" applyNumberFormat="0" applyAlignment="0" applyProtection="0"/>
    <xf numFmtId="0" fontId="36" fillId="33" borderId="158" applyNumberFormat="0" applyAlignment="0" applyProtection="0"/>
    <xf numFmtId="0" fontId="43" fillId="35" borderId="158" applyNumberFormat="0" applyAlignment="0" applyProtection="0"/>
    <xf numFmtId="0" fontId="43" fillId="35" borderId="158"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46" fillId="33" borderId="160" applyNumberFormat="0" applyAlignment="0" applyProtection="0"/>
    <xf numFmtId="0" fontId="46" fillId="33" borderId="160"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7" fillId="37" borderId="159" applyNumberFormat="0" applyFont="0" applyAlignment="0" applyProtection="0"/>
    <xf numFmtId="0" fontId="43" fillId="35" borderId="158" applyNumberFormat="0" applyAlignment="0" applyProtection="0"/>
    <xf numFmtId="0" fontId="43" fillId="35" borderId="158" applyNumberFormat="0" applyAlignment="0" applyProtection="0"/>
    <xf numFmtId="0" fontId="36" fillId="33" borderId="158" applyNumberFormat="0" applyAlignment="0" applyProtection="0"/>
    <xf numFmtId="0" fontId="36" fillId="33" borderId="158"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46" fillId="33" borderId="160" applyNumberFormat="0" applyAlignment="0" applyProtection="0"/>
    <xf numFmtId="0" fontId="46" fillId="33" borderId="160"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43" fillId="35" borderId="158" applyNumberFormat="0" applyAlignment="0" applyProtection="0"/>
    <xf numFmtId="0" fontId="43" fillId="35" borderId="158" applyNumberFormat="0" applyAlignment="0" applyProtection="0"/>
    <xf numFmtId="0" fontId="36" fillId="33" borderId="158" applyNumberFormat="0" applyAlignment="0" applyProtection="0"/>
    <xf numFmtId="0" fontId="36" fillId="33" borderId="158" applyNumberFormat="0" applyAlignment="0" applyProtection="0"/>
    <xf numFmtId="0" fontId="48" fillId="0" borderId="161" applyNumberFormat="0" applyFill="0" applyAlignment="0" applyProtection="0"/>
    <xf numFmtId="0" fontId="48" fillId="0" borderId="161" applyNumberFormat="0" applyFill="0" applyAlignment="0" applyProtection="0"/>
    <xf numFmtId="0" fontId="46" fillId="33" borderId="160" applyNumberFormat="0" applyAlignment="0" applyProtection="0"/>
    <xf numFmtId="0" fontId="46" fillId="33" borderId="160" applyNumberFormat="0" applyAlignment="0" applyProtection="0"/>
    <xf numFmtId="0" fontId="7" fillId="37" borderId="159" applyNumberFormat="0" applyFont="0" applyAlignment="0" applyProtection="0"/>
    <xf numFmtId="0" fontId="7" fillId="37" borderId="159" applyNumberFormat="0" applyFont="0" applyAlignment="0" applyProtection="0"/>
    <xf numFmtId="0" fontId="7" fillId="37" borderId="159" applyNumberFormat="0" applyFont="0" applyAlignment="0" applyProtection="0"/>
    <xf numFmtId="0" fontId="7" fillId="37" borderId="159" applyNumberFormat="0" applyFont="0" applyAlignment="0" applyProtection="0"/>
    <xf numFmtId="0" fontId="7" fillId="37" borderId="159" applyNumberFormat="0" applyFont="0" applyAlignment="0" applyProtection="0"/>
    <xf numFmtId="0" fontId="36" fillId="33" borderId="162" applyNumberFormat="0" applyAlignment="0" applyProtection="0"/>
    <xf numFmtId="0" fontId="36" fillId="33" borderId="162" applyNumberFormat="0" applyAlignment="0" applyProtection="0"/>
    <xf numFmtId="0" fontId="43" fillId="35" borderId="162" applyNumberFormat="0" applyAlignment="0" applyProtection="0"/>
    <xf numFmtId="0" fontId="43" fillId="35" borderId="162"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46" fillId="33" borderId="164" applyNumberFormat="0" applyAlignment="0" applyProtection="0"/>
    <xf numFmtId="0" fontId="46" fillId="33" borderId="164"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36" fillId="33" borderId="162" applyNumberFormat="0" applyAlignment="0" applyProtection="0"/>
    <xf numFmtId="0" fontId="36" fillId="33" borderId="162" applyNumberFormat="0" applyAlignment="0" applyProtection="0"/>
    <xf numFmtId="0" fontId="43" fillId="35" borderId="162" applyNumberFormat="0" applyAlignment="0" applyProtection="0"/>
    <xf numFmtId="0" fontId="43" fillId="35" borderId="162"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46" fillId="33" borderId="164" applyNumberFormat="0" applyAlignment="0" applyProtection="0"/>
    <xf numFmtId="0" fontId="46" fillId="33" borderId="164"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36" fillId="33" borderId="162" applyNumberFormat="0" applyAlignment="0" applyProtection="0"/>
    <xf numFmtId="0" fontId="36" fillId="33" borderId="162" applyNumberFormat="0" applyAlignment="0" applyProtection="0"/>
    <xf numFmtId="0" fontId="43" fillId="35" borderId="162" applyNumberFormat="0" applyAlignment="0" applyProtection="0"/>
    <xf numFmtId="0" fontId="43" fillId="35" borderId="162"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46" fillId="33" borderId="164" applyNumberFormat="0" applyAlignment="0" applyProtection="0"/>
    <xf numFmtId="0" fontId="46" fillId="33" borderId="164"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7" fillId="37" borderId="163" applyNumberFormat="0" applyFont="0" applyAlignment="0" applyProtection="0"/>
    <xf numFmtId="0" fontId="43" fillId="35" borderId="162" applyNumberFormat="0" applyAlignment="0" applyProtection="0"/>
    <xf numFmtId="0" fontId="43" fillId="35" borderId="162" applyNumberFormat="0" applyAlignment="0" applyProtection="0"/>
    <xf numFmtId="0" fontId="36" fillId="33" borderId="162" applyNumberFormat="0" applyAlignment="0" applyProtection="0"/>
    <xf numFmtId="0" fontId="36" fillId="33" borderId="162"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46" fillId="33" borderId="164" applyNumberFormat="0" applyAlignment="0" applyProtection="0"/>
    <xf numFmtId="0" fontId="46" fillId="33" borderId="164"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43" fillId="35" borderId="162" applyNumberFormat="0" applyAlignment="0" applyProtection="0"/>
    <xf numFmtId="0" fontId="43" fillId="35" borderId="162" applyNumberFormat="0" applyAlignment="0" applyProtection="0"/>
    <xf numFmtId="0" fontId="36" fillId="33" borderId="162" applyNumberFormat="0" applyAlignment="0" applyProtection="0"/>
    <xf numFmtId="0" fontId="36" fillId="33" borderId="162"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46" fillId="33" borderId="164" applyNumberFormat="0" applyAlignment="0" applyProtection="0"/>
    <xf numFmtId="0" fontId="46" fillId="33" borderId="164"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7" fillId="37" borderId="163" applyNumberFormat="0" applyFont="0" applyAlignment="0" applyProtection="0"/>
    <xf numFmtId="0" fontId="7" fillId="37" borderId="163" applyNumberFormat="0" applyFont="0" applyAlignment="0" applyProtection="0"/>
    <xf numFmtId="0" fontId="7" fillId="37" borderId="163" applyNumberFormat="0" applyFont="0" applyAlignment="0" applyProtection="0"/>
    <xf numFmtId="0" fontId="36" fillId="33" borderId="162" applyNumberFormat="0" applyAlignment="0" applyProtection="0"/>
    <xf numFmtId="0" fontId="36" fillId="33" borderId="162" applyNumberFormat="0" applyAlignment="0" applyProtection="0"/>
    <xf numFmtId="0" fontId="43" fillId="35" borderId="162" applyNumberFormat="0" applyAlignment="0" applyProtection="0"/>
    <xf numFmtId="0" fontId="43" fillId="35" borderId="162"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46" fillId="33" borderId="164" applyNumberFormat="0" applyAlignment="0" applyProtection="0"/>
    <xf numFmtId="0" fontId="46" fillId="33" borderId="164"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36" fillId="33" borderId="162" applyNumberFormat="0" applyAlignment="0" applyProtection="0"/>
    <xf numFmtId="0" fontId="36" fillId="33" borderId="162" applyNumberFormat="0" applyAlignment="0" applyProtection="0"/>
    <xf numFmtId="0" fontId="43" fillId="35" borderId="162" applyNumberFormat="0" applyAlignment="0" applyProtection="0"/>
    <xf numFmtId="0" fontId="43" fillId="35" borderId="162"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46" fillId="33" borderId="164" applyNumberFormat="0" applyAlignment="0" applyProtection="0"/>
    <xf numFmtId="0" fontId="46" fillId="33" borderId="164"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7" fillId="37" borderId="163" applyNumberFormat="0" applyFont="0" applyAlignment="0" applyProtection="0"/>
    <xf numFmtId="0" fontId="43" fillId="35" borderId="162" applyNumberFormat="0" applyAlignment="0" applyProtection="0"/>
    <xf numFmtId="0" fontId="43" fillId="35" borderId="162" applyNumberFormat="0" applyAlignment="0" applyProtection="0"/>
    <xf numFmtId="0" fontId="36" fillId="33" borderId="162" applyNumberFormat="0" applyAlignment="0" applyProtection="0"/>
    <xf numFmtId="0" fontId="36" fillId="33" borderId="162"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46" fillId="33" borderId="164" applyNumberFormat="0" applyAlignment="0" applyProtection="0"/>
    <xf numFmtId="0" fontId="46" fillId="33" borderId="164"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43" fillId="35" borderId="162" applyNumberFormat="0" applyAlignment="0" applyProtection="0"/>
    <xf numFmtId="0" fontId="43" fillId="35" borderId="162" applyNumberFormat="0" applyAlignment="0" applyProtection="0"/>
    <xf numFmtId="0" fontId="36" fillId="33" borderId="162" applyNumberFormat="0" applyAlignment="0" applyProtection="0"/>
    <xf numFmtId="0" fontId="36" fillId="33" borderId="162" applyNumberFormat="0" applyAlignment="0" applyProtection="0"/>
    <xf numFmtId="0" fontId="48" fillId="0" borderId="165" applyNumberFormat="0" applyFill="0" applyAlignment="0" applyProtection="0"/>
    <xf numFmtId="0" fontId="48" fillId="0" borderId="165" applyNumberFormat="0" applyFill="0" applyAlignment="0" applyProtection="0"/>
    <xf numFmtId="0" fontId="46" fillId="33" borderId="164" applyNumberFormat="0" applyAlignment="0" applyProtection="0"/>
    <xf numFmtId="0" fontId="46" fillId="33" borderId="164" applyNumberFormat="0" applyAlignment="0" applyProtection="0"/>
    <xf numFmtId="0" fontId="7" fillId="37" borderId="163" applyNumberFormat="0" applyFont="0" applyAlignment="0" applyProtection="0"/>
    <xf numFmtId="0" fontId="7" fillId="37" borderId="163" applyNumberFormat="0" applyFont="0" applyAlignment="0" applyProtection="0"/>
    <xf numFmtId="0" fontId="7" fillId="37" borderId="163" applyNumberFormat="0" applyFont="0" applyAlignment="0" applyProtection="0"/>
    <xf numFmtId="0" fontId="7" fillId="37" borderId="163" applyNumberFormat="0" applyFont="0" applyAlignment="0" applyProtection="0"/>
    <xf numFmtId="0" fontId="7" fillId="37" borderId="163" applyNumberFormat="0" applyFont="0" applyAlignment="0" applyProtection="0"/>
    <xf numFmtId="0" fontId="7" fillId="37" borderId="153" applyNumberFormat="0" applyFon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3" fillId="35"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7" fillId="37" borderId="153" applyNumberFormat="0" applyFont="0" applyAlignment="0" applyProtection="0"/>
    <xf numFmtId="0" fontId="43" fillId="35"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7" fillId="37" borderId="153" applyNumberFormat="0" applyFont="0" applyAlignment="0" applyProtection="0"/>
    <xf numFmtId="0" fontId="43" fillId="35"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43" fillId="35" borderId="152" applyNumberFormat="0" applyAlignment="0" applyProtection="0"/>
    <xf numFmtId="0" fontId="36" fillId="33"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64" fillId="0" borderId="0">
      <alignment horizontal="left" indent="1"/>
    </xf>
    <xf numFmtId="0" fontId="36" fillId="33"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43" fillId="35"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43" fillId="35"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53" applyNumberFormat="0" applyFont="0" applyAlignment="0" applyProtection="0"/>
    <xf numFmtId="0" fontId="36" fillId="33"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7" fillId="37" borderId="153" applyNumberFormat="0" applyFont="0" applyAlignment="0" applyProtection="0"/>
    <xf numFmtId="0" fontId="36" fillId="33" borderId="152" applyNumberForma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36" fillId="33" borderId="167" applyNumberFormat="0" applyAlignment="0" applyProtection="0"/>
    <xf numFmtId="0" fontId="36" fillId="33" borderId="167" applyNumberFormat="0" applyAlignment="0" applyProtection="0"/>
    <xf numFmtId="0" fontId="43" fillId="35" borderId="167" applyNumberFormat="0" applyAlignment="0" applyProtection="0"/>
    <xf numFmtId="0" fontId="43" fillId="35" borderId="167"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69" applyNumberFormat="0" applyAlignment="0" applyProtection="0"/>
    <xf numFmtId="0" fontId="46" fillId="33" borderId="169"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43" fillId="35" borderId="167" applyNumberFormat="0" applyAlignment="0" applyProtection="0"/>
    <xf numFmtId="0" fontId="43" fillId="35" borderId="167" applyNumberFormat="0" applyAlignment="0" applyProtection="0"/>
    <xf numFmtId="0" fontId="36" fillId="33" borderId="167" applyNumberFormat="0" applyAlignment="0" applyProtection="0"/>
    <xf numFmtId="0" fontId="36" fillId="33" borderId="167" applyNumberFormat="0" applyAlignment="0" applyProtection="0"/>
    <xf numFmtId="0" fontId="48" fillId="0" borderId="170" applyNumberFormat="0" applyFill="0" applyAlignment="0" applyProtection="0"/>
    <xf numFmtId="0" fontId="48" fillId="0" borderId="170" applyNumberFormat="0" applyFill="0" applyAlignment="0" applyProtection="0"/>
    <xf numFmtId="0" fontId="46" fillId="33" borderId="169" applyNumberFormat="0" applyAlignment="0" applyProtection="0"/>
    <xf numFmtId="0" fontId="46" fillId="33" borderId="169" applyNumberForma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7" fillId="37" borderId="168" applyNumberFormat="0" applyFon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48" fillId="0" borderId="155" applyNumberFormat="0" applyFill="0" applyAlignment="0" applyProtection="0"/>
    <xf numFmtId="0" fontId="48" fillId="0" borderId="155" applyNumberFormat="0" applyFill="0" applyAlignment="0" applyProtection="0"/>
    <xf numFmtId="0" fontId="46" fillId="33" borderId="154" applyNumberFormat="0" applyAlignment="0" applyProtection="0"/>
    <xf numFmtId="0" fontId="46" fillId="33" borderId="154" applyNumberFormat="0" applyAlignment="0" applyProtection="0"/>
    <xf numFmtId="0" fontId="7" fillId="37" borderId="153" applyNumberFormat="0" applyFont="0" applyAlignment="0" applyProtection="0"/>
    <xf numFmtId="0" fontId="36" fillId="33" borderId="152" applyNumberForma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36" fillId="33" borderId="152" applyNumberForma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36" fillId="33" borderId="152" applyNumberFormat="0" applyAlignment="0" applyProtection="0"/>
    <xf numFmtId="0" fontId="36" fillId="33" borderId="152" applyNumberFormat="0" applyAlignment="0" applyProtection="0"/>
    <xf numFmtId="0" fontId="43" fillId="35" borderId="152" applyNumberFormat="0" applyAlignment="0" applyProtection="0"/>
    <xf numFmtId="0" fontId="43" fillId="35"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43" fillId="35" borderId="152" applyNumberFormat="0" applyAlignment="0" applyProtection="0"/>
    <xf numFmtId="0" fontId="43" fillId="35" borderId="152" applyNumberFormat="0" applyAlignment="0" applyProtection="0"/>
    <xf numFmtId="0" fontId="36" fillId="33" borderId="152" applyNumberFormat="0" applyAlignment="0" applyProtection="0"/>
    <xf numFmtId="0" fontId="36" fillId="33" borderId="152" applyNumberForma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7" fillId="37" borderId="153" applyNumberFormat="0" applyFont="0" applyAlignment="0" applyProtection="0"/>
    <xf numFmtId="0" fontId="2" fillId="0" borderId="0"/>
    <xf numFmtId="0" fontId="1" fillId="0" borderId="0"/>
    <xf numFmtId="0" fontId="1" fillId="0" borderId="0"/>
    <xf numFmtId="0" fontId="1" fillId="0" borderId="0"/>
    <xf numFmtId="9" fontId="2" fillId="0" borderId="0" applyFont="0" applyFill="0" applyBorder="0" applyAlignment="0" applyProtection="0"/>
    <xf numFmtId="0" fontId="2" fillId="8" borderId="95" applyNumberFormat="0" applyFont="0" applyAlignment="0" applyProtection="0"/>
    <xf numFmtId="43" fontId="7" fillId="0" borderId="0" applyFont="0" applyFill="0" applyBorder="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7" fillId="37" borderId="174" applyNumberFormat="0" applyFont="0" applyAlignment="0" applyProtection="0"/>
    <xf numFmtId="0" fontId="43" fillId="35"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7" fillId="37" borderId="174" applyNumberFormat="0" applyFont="0" applyAlignment="0" applyProtection="0"/>
    <xf numFmtId="0" fontId="43" fillId="35"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43" fillId="35" borderId="173" applyNumberFormat="0" applyAlignment="0" applyProtection="0"/>
    <xf numFmtId="0" fontId="36" fillId="33"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43" fillId="35"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43" fillId="35"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48" fillId="0" borderId="176" applyNumberFormat="0" applyFill="0" applyAlignment="0" applyProtection="0"/>
    <xf numFmtId="0" fontId="48" fillId="0" borderId="176" applyNumberFormat="0" applyFill="0" applyAlignment="0" applyProtection="0"/>
    <xf numFmtId="0" fontId="46" fillId="33" borderId="175" applyNumberFormat="0" applyAlignment="0" applyProtection="0"/>
    <xf numFmtId="0" fontId="46" fillId="33" borderId="175" applyNumberForma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3" applyNumberFormat="0" applyAlignment="0" applyProtection="0"/>
    <xf numFmtId="0" fontId="36" fillId="33" borderId="173" applyNumberFormat="0" applyAlignment="0" applyProtection="0"/>
    <xf numFmtId="0" fontId="43" fillId="35" borderId="173" applyNumberFormat="0" applyAlignment="0" applyProtection="0"/>
    <xf numFmtId="0" fontId="43" fillId="35"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43" fillId="35" borderId="173" applyNumberFormat="0" applyAlignment="0" applyProtection="0"/>
    <xf numFmtId="0" fontId="43" fillId="35" borderId="173" applyNumberFormat="0" applyAlignment="0" applyProtection="0"/>
    <xf numFmtId="0" fontId="36" fillId="33" borderId="173" applyNumberFormat="0" applyAlignment="0" applyProtection="0"/>
    <xf numFmtId="0" fontId="36" fillId="33" borderId="173" applyNumberForma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7" fillId="37" borderId="174"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48" fillId="0" borderId="180" applyNumberFormat="0" applyFill="0" applyAlignment="0" applyProtection="0"/>
    <xf numFmtId="0" fontId="48" fillId="0" borderId="180" applyNumberFormat="0" applyFill="0" applyAlignment="0" applyProtection="0"/>
    <xf numFmtId="0" fontId="46" fillId="33" borderId="179" applyNumberFormat="0" applyAlignment="0" applyProtection="0"/>
    <xf numFmtId="0" fontId="46" fillId="33" borderId="179" applyNumberForma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77" applyNumberFormat="0" applyAlignment="0" applyProtection="0"/>
    <xf numFmtId="0" fontId="36" fillId="33" borderId="177" applyNumberFormat="0" applyAlignment="0" applyProtection="0"/>
    <xf numFmtId="0" fontId="43" fillId="35" borderId="177" applyNumberFormat="0" applyAlignment="0" applyProtection="0"/>
    <xf numFmtId="0" fontId="43" fillId="35"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43" fillId="35" borderId="177" applyNumberFormat="0" applyAlignment="0" applyProtection="0"/>
    <xf numFmtId="0" fontId="43" fillId="35" borderId="177" applyNumberFormat="0" applyAlignment="0" applyProtection="0"/>
    <xf numFmtId="0" fontId="36" fillId="33" borderId="177" applyNumberFormat="0" applyAlignment="0" applyProtection="0"/>
    <xf numFmtId="0" fontId="36" fillId="33" borderId="177" applyNumberForma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7" fillId="37" borderId="178" applyNumberFormat="0" applyFont="0" applyAlignment="0" applyProtection="0"/>
    <xf numFmtId="0" fontId="36" fillId="33" borderId="186" applyNumberFormat="0" applyAlignment="0" applyProtection="0"/>
    <xf numFmtId="0" fontId="36" fillId="33" borderId="186" applyNumberFormat="0" applyAlignment="0" applyProtection="0"/>
    <xf numFmtId="0" fontId="43" fillId="35" borderId="186" applyNumberFormat="0" applyAlignment="0" applyProtection="0"/>
    <xf numFmtId="0" fontId="43" fillId="35" borderId="186"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46" fillId="33" borderId="188" applyNumberFormat="0" applyAlignment="0" applyProtection="0"/>
    <xf numFmtId="0" fontId="46" fillId="33" borderId="188"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36" fillId="33" borderId="186" applyNumberFormat="0" applyAlignment="0" applyProtection="0"/>
    <xf numFmtId="0" fontId="36" fillId="33" borderId="186" applyNumberFormat="0" applyAlignment="0" applyProtection="0"/>
    <xf numFmtId="0" fontId="43" fillId="35" borderId="186" applyNumberFormat="0" applyAlignment="0" applyProtection="0"/>
    <xf numFmtId="0" fontId="43" fillId="35" borderId="186"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46" fillId="33" borderId="188" applyNumberFormat="0" applyAlignment="0" applyProtection="0"/>
    <xf numFmtId="0" fontId="46" fillId="33" borderId="188"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36" fillId="33" borderId="186" applyNumberFormat="0" applyAlignment="0" applyProtection="0"/>
    <xf numFmtId="0" fontId="36" fillId="33" borderId="186" applyNumberFormat="0" applyAlignment="0" applyProtection="0"/>
    <xf numFmtId="0" fontId="43" fillId="35" borderId="186" applyNumberFormat="0" applyAlignment="0" applyProtection="0"/>
    <xf numFmtId="0" fontId="43" fillId="35" borderId="186"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46" fillId="33" borderId="188" applyNumberFormat="0" applyAlignment="0" applyProtection="0"/>
    <xf numFmtId="0" fontId="46" fillId="33" borderId="188"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7" fillId="37" borderId="187" applyNumberFormat="0" applyFont="0" applyAlignment="0" applyProtection="0"/>
    <xf numFmtId="0" fontId="43" fillId="35" borderId="186" applyNumberFormat="0" applyAlignment="0" applyProtection="0"/>
    <xf numFmtId="0" fontId="43" fillId="35" borderId="186" applyNumberFormat="0" applyAlignment="0" applyProtection="0"/>
    <xf numFmtId="0" fontId="36" fillId="33" borderId="186" applyNumberFormat="0" applyAlignment="0" applyProtection="0"/>
    <xf numFmtId="0" fontId="36" fillId="33" borderId="186"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46" fillId="33" borderId="188" applyNumberFormat="0" applyAlignment="0" applyProtection="0"/>
    <xf numFmtId="0" fontId="46" fillId="33" borderId="188"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43" fillId="35" borderId="186" applyNumberFormat="0" applyAlignment="0" applyProtection="0"/>
    <xf numFmtId="0" fontId="43" fillId="35" borderId="186" applyNumberFormat="0" applyAlignment="0" applyProtection="0"/>
    <xf numFmtId="0" fontId="36" fillId="33" borderId="186" applyNumberFormat="0" applyAlignment="0" applyProtection="0"/>
    <xf numFmtId="0" fontId="36" fillId="33" borderId="186"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46" fillId="33" borderId="188" applyNumberFormat="0" applyAlignment="0" applyProtection="0"/>
    <xf numFmtId="0" fontId="46" fillId="33" borderId="188"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7" fillId="37" borderId="187" applyNumberFormat="0" applyFont="0" applyAlignment="0" applyProtection="0"/>
    <xf numFmtId="0" fontId="7" fillId="37" borderId="187" applyNumberFormat="0" applyFont="0" applyAlignment="0" applyProtection="0"/>
    <xf numFmtId="0" fontId="7" fillId="37" borderId="187" applyNumberFormat="0" applyFont="0" applyAlignment="0" applyProtection="0"/>
    <xf numFmtId="0" fontId="36" fillId="33" borderId="186" applyNumberFormat="0" applyAlignment="0" applyProtection="0"/>
    <xf numFmtId="0" fontId="36" fillId="33" borderId="186" applyNumberFormat="0" applyAlignment="0" applyProtection="0"/>
    <xf numFmtId="0" fontId="43" fillId="35" borderId="186" applyNumberFormat="0" applyAlignment="0" applyProtection="0"/>
    <xf numFmtId="0" fontId="43" fillId="35" borderId="186"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46" fillId="33" borderId="188" applyNumberFormat="0" applyAlignment="0" applyProtection="0"/>
    <xf numFmtId="0" fontId="46" fillId="33" borderId="188"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36" fillId="33" borderId="186" applyNumberFormat="0" applyAlignment="0" applyProtection="0"/>
    <xf numFmtId="0" fontId="36" fillId="33" borderId="186" applyNumberFormat="0" applyAlignment="0" applyProtection="0"/>
    <xf numFmtId="0" fontId="43" fillId="35" borderId="186" applyNumberFormat="0" applyAlignment="0" applyProtection="0"/>
    <xf numFmtId="0" fontId="43" fillId="35" borderId="186"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46" fillId="33" borderId="188" applyNumberFormat="0" applyAlignment="0" applyProtection="0"/>
    <xf numFmtId="0" fontId="46" fillId="33" borderId="188"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7" fillId="37" borderId="187" applyNumberFormat="0" applyFont="0" applyAlignment="0" applyProtection="0"/>
    <xf numFmtId="0" fontId="43" fillId="35" borderId="186" applyNumberFormat="0" applyAlignment="0" applyProtection="0"/>
    <xf numFmtId="0" fontId="43" fillId="35" borderId="186" applyNumberFormat="0" applyAlignment="0" applyProtection="0"/>
    <xf numFmtId="0" fontId="36" fillId="33" borderId="186" applyNumberFormat="0" applyAlignment="0" applyProtection="0"/>
    <xf numFmtId="0" fontId="36" fillId="33" borderId="186"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46" fillId="33" borderId="188" applyNumberFormat="0" applyAlignment="0" applyProtection="0"/>
    <xf numFmtId="0" fontId="46" fillId="33" borderId="188"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43" fillId="35" borderId="186" applyNumberFormat="0" applyAlignment="0" applyProtection="0"/>
    <xf numFmtId="0" fontId="43" fillId="35" borderId="186" applyNumberFormat="0" applyAlignment="0" applyProtection="0"/>
    <xf numFmtId="0" fontId="36" fillId="33" borderId="186" applyNumberFormat="0" applyAlignment="0" applyProtection="0"/>
    <xf numFmtId="0" fontId="36" fillId="33" borderId="186" applyNumberFormat="0" applyAlignment="0" applyProtection="0"/>
    <xf numFmtId="0" fontId="48" fillId="0" borderId="189" applyNumberFormat="0" applyFill="0" applyAlignment="0" applyProtection="0"/>
    <xf numFmtId="0" fontId="48" fillId="0" borderId="189" applyNumberFormat="0" applyFill="0" applyAlignment="0" applyProtection="0"/>
    <xf numFmtId="0" fontId="46" fillId="33" borderId="188" applyNumberFormat="0" applyAlignment="0" applyProtection="0"/>
    <xf numFmtId="0" fontId="46" fillId="33" borderId="188" applyNumberFormat="0" applyAlignment="0" applyProtection="0"/>
    <xf numFmtId="0" fontId="7" fillId="37" borderId="187" applyNumberFormat="0" applyFont="0" applyAlignment="0" applyProtection="0"/>
    <xf numFmtId="0" fontId="7" fillId="37" borderId="187" applyNumberFormat="0" applyFont="0" applyAlignment="0" applyProtection="0"/>
    <xf numFmtId="0" fontId="7" fillId="37" borderId="187" applyNumberFormat="0" applyFont="0" applyAlignment="0" applyProtection="0"/>
    <xf numFmtId="0" fontId="7" fillId="37" borderId="187" applyNumberFormat="0" applyFont="0" applyAlignment="0" applyProtection="0"/>
    <xf numFmtId="0" fontId="7" fillId="37" borderId="187" applyNumberFormat="0" applyFont="0" applyAlignment="0" applyProtection="0"/>
    <xf numFmtId="0" fontId="6"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cellStyleXfs>
  <cellXfs count="3491">
    <xf numFmtId="0" fontId="0" fillId="0" borderId="0" xfId="0"/>
    <xf numFmtId="0" fontId="6" fillId="0" borderId="0" xfId="0" applyFont="1"/>
    <xf numFmtId="0" fontId="7" fillId="0" borderId="0" xfId="0" applyFont="1"/>
    <xf numFmtId="2" fontId="10" fillId="0" borderId="1" xfId="0" applyNumberFormat="1" applyFont="1" applyBorder="1" applyAlignment="1">
      <alignment horizontal="right" wrapText="1"/>
    </xf>
    <xf numFmtId="2" fontId="10" fillId="0" borderId="10" xfId="0" applyNumberFormat="1" applyFont="1" applyBorder="1" applyAlignment="1">
      <alignment horizontal="right" wrapText="1"/>
    </xf>
    <xf numFmtId="2" fontId="10" fillId="0" borderId="12" xfId="0" applyNumberFormat="1" applyFont="1" applyBorder="1" applyAlignment="1">
      <alignment horizontal="right" wrapText="1"/>
    </xf>
    <xf numFmtId="2" fontId="7" fillId="0" borderId="10" xfId="0" applyNumberFormat="1" applyFont="1" applyBorder="1"/>
    <xf numFmtId="2" fontId="7" fillId="0" borderId="15" xfId="0" applyNumberFormat="1" applyFont="1" applyBorder="1"/>
    <xf numFmtId="2" fontId="9" fillId="0" borderId="19" xfId="0" applyNumberFormat="1" applyFont="1" applyBorder="1"/>
    <xf numFmtId="2" fontId="7" fillId="0" borderId="1" xfId="0" applyNumberFormat="1" applyFont="1" applyBorder="1"/>
    <xf numFmtId="2" fontId="7" fillId="0" borderId="12" xfId="0" applyNumberFormat="1" applyFont="1" applyBorder="1"/>
    <xf numFmtId="2" fontId="9" fillId="0" borderId="20" xfId="0" applyNumberFormat="1" applyFont="1" applyBorder="1"/>
    <xf numFmtId="3" fontId="10" fillId="0" borderId="2" xfId="0" applyNumberFormat="1" applyFont="1" applyBorder="1" applyAlignment="1">
      <alignment horizontal="right" wrapText="1"/>
    </xf>
    <xf numFmtId="9" fontId="10" fillId="0" borderId="3" xfId="5" applyFont="1" applyBorder="1" applyAlignment="1">
      <alignment horizontal="right" wrapText="1"/>
    </xf>
    <xf numFmtId="2" fontId="6" fillId="0" borderId="12" xfId="0" applyNumberFormat="1" applyFont="1" applyBorder="1"/>
    <xf numFmtId="2" fontId="8" fillId="0" borderId="20" xfId="0" applyNumberFormat="1" applyFont="1" applyBorder="1"/>
    <xf numFmtId="2" fontId="10" fillId="0" borderId="4" xfId="0" applyNumberFormat="1" applyFont="1" applyBorder="1" applyAlignment="1">
      <alignment horizontal="right" wrapText="1"/>
    </xf>
    <xf numFmtId="2" fontId="9" fillId="0" borderId="43" xfId="0" applyNumberFormat="1" applyFont="1" applyBorder="1"/>
    <xf numFmtId="2" fontId="7" fillId="0" borderId="4" xfId="0" applyNumberFormat="1" applyFont="1" applyBorder="1"/>
    <xf numFmtId="2" fontId="11" fillId="0" borderId="43" xfId="0" applyNumberFormat="1" applyFont="1" applyBorder="1" applyAlignment="1">
      <alignment horizontal="right" wrapText="1"/>
    </xf>
    <xf numFmtId="2" fontId="8" fillId="0" borderId="70" xfId="0" applyNumberFormat="1" applyFont="1" applyBorder="1"/>
    <xf numFmtId="2" fontId="8" fillId="0" borderId="50" xfId="0" applyNumberFormat="1" applyFont="1" applyBorder="1"/>
    <xf numFmtId="0" fontId="8" fillId="0" borderId="0" xfId="0" applyFont="1"/>
    <xf numFmtId="2" fontId="6" fillId="0" borderId="0" xfId="0" applyNumberFormat="1" applyFont="1"/>
    <xf numFmtId="164" fontId="6" fillId="0" borderId="0" xfId="0" applyNumberFormat="1" applyFont="1"/>
    <xf numFmtId="2" fontId="11" fillId="0" borderId="64" xfId="0" applyNumberFormat="1" applyFont="1" applyBorder="1" applyAlignment="1">
      <alignment horizontal="right"/>
    </xf>
    <xf numFmtId="2" fontId="11" fillId="0" borderId="68" xfId="0" applyNumberFormat="1" applyFont="1" applyBorder="1" applyAlignment="1">
      <alignment horizontal="right"/>
    </xf>
    <xf numFmtId="2" fontId="11" fillId="0" borderId="69" xfId="0" applyNumberFormat="1" applyFont="1" applyBorder="1" applyAlignment="1">
      <alignment horizontal="right"/>
    </xf>
    <xf numFmtId="2" fontId="11" fillId="0" borderId="67" xfId="0" applyNumberFormat="1" applyFont="1" applyBorder="1" applyAlignment="1">
      <alignment horizontal="right"/>
    </xf>
    <xf numFmtId="2" fontId="11" fillId="0" borderId="70" xfId="0" applyNumberFormat="1" applyFont="1" applyBorder="1" applyAlignment="1">
      <alignment horizontal="right"/>
    </xf>
    <xf numFmtId="2" fontId="11" fillId="0" borderId="50" xfId="0" applyNumberFormat="1" applyFont="1" applyBorder="1" applyAlignment="1">
      <alignment horizontal="right"/>
    </xf>
    <xf numFmtId="2" fontId="9" fillId="0" borderId="67" xfId="0" applyNumberFormat="1" applyFont="1" applyBorder="1"/>
    <xf numFmtId="2" fontId="9" fillId="0" borderId="68" xfId="0" applyNumberFormat="1" applyFont="1" applyBorder="1"/>
    <xf numFmtId="2" fontId="9" fillId="0" borderId="75" xfId="0" applyNumberFormat="1" applyFont="1" applyBorder="1"/>
    <xf numFmtId="2" fontId="8" fillId="0" borderId="64" xfId="0" applyNumberFormat="1" applyFont="1" applyBorder="1"/>
    <xf numFmtId="2" fontId="8" fillId="0" borderId="67" xfId="0" applyNumberFormat="1" applyFont="1" applyBorder="1"/>
    <xf numFmtId="2" fontId="9" fillId="0" borderId="64" xfId="0" applyNumberFormat="1" applyFont="1" applyBorder="1"/>
    <xf numFmtId="0" fontId="9" fillId="0" borderId="70" xfId="0" applyFont="1" applyBorder="1"/>
    <xf numFmtId="2" fontId="9" fillId="0" borderId="50" xfId="0" applyNumberFormat="1" applyFont="1" applyBorder="1"/>
    <xf numFmtId="2" fontId="11" fillId="0" borderId="75" xfId="0" applyNumberFormat="1" applyFont="1" applyBorder="1" applyAlignment="1">
      <alignment horizontal="right"/>
    </xf>
    <xf numFmtId="3" fontId="11" fillId="0" borderId="65" xfId="0" applyNumberFormat="1" applyFont="1" applyBorder="1" applyAlignment="1">
      <alignment horizontal="right"/>
    </xf>
    <xf numFmtId="2" fontId="7" fillId="0" borderId="4" xfId="0" applyNumberFormat="1" applyFont="1" applyBorder="1" applyAlignment="1">
      <alignment horizontal="right"/>
    </xf>
    <xf numFmtId="2" fontId="10" fillId="0" borderId="0" xfId="0" applyNumberFormat="1" applyFont="1" applyAlignment="1">
      <alignment horizontal="right" wrapText="1"/>
    </xf>
    <xf numFmtId="9" fontId="6" fillId="0" borderId="3" xfId="5" applyFont="1" applyBorder="1"/>
    <xf numFmtId="9" fontId="8" fillId="0" borderId="66" xfId="5" applyFont="1" applyBorder="1"/>
    <xf numFmtId="3" fontId="10" fillId="0" borderId="10" xfId="0" applyNumberFormat="1" applyFont="1" applyBorder="1" applyAlignment="1">
      <alignment horizontal="right" wrapText="1"/>
    </xf>
    <xf numFmtId="2" fontId="11" fillId="0" borderId="49" xfId="0" applyNumberFormat="1" applyFont="1" applyBorder="1" applyAlignment="1">
      <alignment horizontal="right"/>
    </xf>
    <xf numFmtId="2" fontId="6" fillId="0" borderId="1" xfId="0" applyNumberFormat="1" applyFont="1" applyBorder="1"/>
    <xf numFmtId="2" fontId="6" fillId="0" borderId="4" xfId="0" applyNumberFormat="1" applyFont="1" applyBorder="1"/>
    <xf numFmtId="2" fontId="8" fillId="0" borderId="41" xfId="0" applyNumberFormat="1" applyFont="1" applyBorder="1"/>
    <xf numFmtId="2" fontId="9" fillId="0" borderId="41" xfId="0" applyNumberFormat="1" applyFont="1" applyBorder="1"/>
    <xf numFmtId="2" fontId="9" fillId="0" borderId="41" xfId="0" applyNumberFormat="1" applyFont="1" applyBorder="1" applyAlignment="1">
      <alignment horizontal="right"/>
    </xf>
    <xf numFmtId="4" fontId="11" fillId="0" borderId="67" xfId="0" applyNumberFormat="1" applyFont="1" applyBorder="1" applyAlignment="1">
      <alignment horizontal="right"/>
    </xf>
    <xf numFmtId="2" fontId="9" fillId="0" borderId="71" xfId="0" applyNumberFormat="1" applyFont="1" applyBorder="1"/>
    <xf numFmtId="0" fontId="29" fillId="0" borderId="0" xfId="0" applyFont="1"/>
    <xf numFmtId="3" fontId="6" fillId="0" borderId="0" xfId="0" applyNumberFormat="1" applyFont="1"/>
    <xf numFmtId="2" fontId="8" fillId="0" borderId="116" xfId="0" applyNumberFormat="1" applyFont="1" applyBorder="1"/>
    <xf numFmtId="2" fontId="6" fillId="0" borderId="3" xfId="0" applyNumberFormat="1" applyFont="1" applyBorder="1"/>
    <xf numFmtId="3" fontId="8" fillId="0" borderId="26" xfId="0" applyNumberFormat="1" applyFont="1" applyBorder="1"/>
    <xf numFmtId="4" fontId="8" fillId="0" borderId="38" xfId="0" applyNumberFormat="1" applyFont="1" applyBorder="1"/>
    <xf numFmtId="4" fontId="8" fillId="0" borderId="26" xfId="0" applyNumberFormat="1" applyFont="1" applyBorder="1"/>
    <xf numFmtId="2" fontId="8" fillId="0" borderId="38" xfId="0" applyNumberFormat="1" applyFont="1" applyBorder="1"/>
    <xf numFmtId="3" fontId="8" fillId="0" borderId="57" xfId="0" applyNumberFormat="1" applyFont="1" applyBorder="1"/>
    <xf numFmtId="0" fontId="7" fillId="0" borderId="60" xfId="0" applyFont="1" applyBorder="1"/>
    <xf numFmtId="3" fontId="9" fillId="0" borderId="23" xfId="0" applyNumberFormat="1" applyFont="1" applyBorder="1" applyAlignment="1">
      <alignment horizontal="right"/>
    </xf>
    <xf numFmtId="3" fontId="9" fillId="0" borderId="73" xfId="0" applyNumberFormat="1" applyFont="1" applyBorder="1" applyAlignment="1">
      <alignment horizontal="right"/>
    </xf>
    <xf numFmtId="3" fontId="9" fillId="0" borderId="72" xfId="0" applyNumberFormat="1" applyFont="1" applyBorder="1" applyAlignment="1">
      <alignment horizontal="right"/>
    </xf>
    <xf numFmtId="0" fontId="9" fillId="0" borderId="0" xfId="0" applyFont="1"/>
    <xf numFmtId="0" fontId="8" fillId="0" borderId="52" xfId="4" applyFont="1" applyBorder="1" applyAlignment="1">
      <alignment horizontal="center" wrapText="1"/>
    </xf>
    <xf numFmtId="0" fontId="8" fillId="0" borderId="51" xfId="4" applyFont="1" applyBorder="1" applyAlignment="1">
      <alignment horizontal="center" wrapText="1"/>
    </xf>
    <xf numFmtId="0" fontId="8" fillId="0" borderId="60" xfId="4" applyFont="1" applyBorder="1" applyAlignment="1">
      <alignment horizontal="center" wrapText="1"/>
    </xf>
    <xf numFmtId="0" fontId="6" fillId="0" borderId="0" xfId="4" applyFont="1"/>
    <xf numFmtId="3" fontId="7" fillId="0" borderId="1" xfId="0" applyNumberFormat="1" applyFont="1" applyBorder="1"/>
    <xf numFmtId="4" fontId="6" fillId="0" borderId="10" xfId="0" applyNumberFormat="1" applyFont="1" applyBorder="1"/>
    <xf numFmtId="0" fontId="7" fillId="0" borderId="2" xfId="0" applyFont="1" applyBorder="1"/>
    <xf numFmtId="164" fontId="7" fillId="0" borderId="2" xfId="0" applyNumberFormat="1" applyFont="1" applyBorder="1"/>
    <xf numFmtId="3" fontId="7" fillId="0" borderId="2" xfId="0" applyNumberFormat="1" applyFont="1" applyBorder="1"/>
    <xf numFmtId="3" fontId="8" fillId="0" borderId="68" xfId="0" applyNumberFormat="1" applyFont="1" applyBorder="1"/>
    <xf numFmtId="0" fontId="7" fillId="0" borderId="0" xfId="0" applyFont="1" applyAlignment="1">
      <alignment wrapText="1"/>
    </xf>
    <xf numFmtId="0" fontId="7" fillId="0" borderId="82" xfId="0" applyFont="1" applyBorder="1" applyAlignment="1">
      <alignment wrapText="1"/>
    </xf>
    <xf numFmtId="0" fontId="7" fillId="0" borderId="63" xfId="0" applyFont="1" applyBorder="1" applyAlignment="1">
      <alignment wrapText="1"/>
    </xf>
    <xf numFmtId="0" fontId="7" fillId="0" borderId="81" xfId="0" applyFont="1" applyBorder="1" applyAlignment="1">
      <alignment wrapText="1"/>
    </xf>
    <xf numFmtId="164" fontId="6" fillId="0" borderId="52" xfId="0" applyNumberFormat="1" applyFont="1" applyBorder="1"/>
    <xf numFmtId="164" fontId="7" fillId="0" borderId="52" xfId="0" applyNumberFormat="1" applyFont="1" applyBorder="1"/>
    <xf numFmtId="164" fontId="9" fillId="0" borderId="67" xfId="0" applyNumberFormat="1" applyFont="1" applyBorder="1"/>
    <xf numFmtId="164" fontId="9" fillId="0" borderId="49" xfId="0" applyNumberFormat="1" applyFont="1" applyBorder="1"/>
    <xf numFmtId="164" fontId="7" fillId="0" borderId="112" xfId="0" applyNumberFormat="1" applyFont="1" applyBorder="1"/>
    <xf numFmtId="164" fontId="7" fillId="0" borderId="60" xfId="0" applyNumberFormat="1" applyFont="1" applyBorder="1"/>
    <xf numFmtId="164" fontId="9" fillId="0" borderId="73" xfId="0" applyNumberFormat="1" applyFont="1" applyBorder="1"/>
    <xf numFmtId="0" fontId="12" fillId="0" borderId="0" xfId="0" applyFont="1"/>
    <xf numFmtId="4" fontId="6" fillId="0" borderId="12" xfId="0" applyNumberFormat="1" applyFont="1" applyBorder="1"/>
    <xf numFmtId="3" fontId="7" fillId="0" borderId="51" xfId="0" applyNumberFormat="1" applyFont="1" applyBorder="1" applyAlignment="1">
      <alignment horizontal="right"/>
    </xf>
    <xf numFmtId="3" fontId="7" fillId="0" borderId="52" xfId="0" applyNumberFormat="1" applyFont="1" applyBorder="1" applyAlignment="1">
      <alignment horizontal="right"/>
    </xf>
    <xf numFmtId="3" fontId="7" fillId="0" borderId="1" xfId="0" applyNumberFormat="1" applyFont="1" applyBorder="1" applyAlignment="1">
      <alignment horizontal="right"/>
    </xf>
    <xf numFmtId="3" fontId="7" fillId="0" borderId="2" xfId="0" applyNumberFormat="1" applyFont="1" applyBorder="1" applyAlignment="1">
      <alignment horizontal="right"/>
    </xf>
    <xf numFmtId="3" fontId="7" fillId="0" borderId="4" xfId="0" applyNumberFormat="1" applyFont="1" applyBorder="1" applyAlignment="1">
      <alignment horizontal="right"/>
    </xf>
    <xf numFmtId="3" fontId="8" fillId="0" borderId="84" xfId="0" applyNumberFormat="1" applyFont="1" applyBorder="1"/>
    <xf numFmtId="3" fontId="8" fillId="0" borderId="50" xfId="0" applyNumberFormat="1" applyFont="1" applyBorder="1"/>
    <xf numFmtId="4" fontId="9" fillId="0" borderId="48" xfId="0" applyNumberFormat="1" applyFont="1" applyBorder="1"/>
    <xf numFmtId="4" fontId="7" fillId="0" borderId="59" xfId="0" applyNumberFormat="1" applyFont="1" applyBorder="1"/>
    <xf numFmtId="4" fontId="8" fillId="0" borderId="67" xfId="0" applyNumberFormat="1" applyFont="1" applyBorder="1"/>
    <xf numFmtId="4" fontId="8" fillId="0" borderId="49" xfId="0" applyNumberFormat="1" applyFont="1" applyBorder="1"/>
    <xf numFmtId="4" fontId="6" fillId="0" borderId="60" xfId="0" applyNumberFormat="1" applyFont="1" applyBorder="1"/>
    <xf numFmtId="2" fontId="8" fillId="0" borderId="0" xfId="0" applyNumberFormat="1" applyFont="1"/>
    <xf numFmtId="2" fontId="8" fillId="0" borderId="30" xfId="0" applyNumberFormat="1" applyFont="1" applyBorder="1"/>
    <xf numFmtId="2" fontId="8" fillId="0" borderId="69" xfId="0" applyNumberFormat="1" applyFont="1" applyBorder="1"/>
    <xf numFmtId="4" fontId="8" fillId="0" borderId="30" xfId="0" applyNumberFormat="1" applyFont="1" applyBorder="1"/>
    <xf numFmtId="4" fontId="9" fillId="0" borderId="68" xfId="0" applyNumberFormat="1" applyFont="1" applyBorder="1"/>
    <xf numFmtId="4" fontId="8" fillId="0" borderId="70" xfId="0" applyNumberFormat="1" applyFont="1" applyBorder="1"/>
    <xf numFmtId="4" fontId="7" fillId="0" borderId="60" xfId="0" applyNumberFormat="1" applyFont="1" applyBorder="1"/>
    <xf numFmtId="4" fontId="7" fillId="0" borderId="37" xfId="0" applyNumberFormat="1" applyFont="1" applyBorder="1"/>
    <xf numFmtId="2" fontId="8" fillId="0" borderId="117" xfId="0" applyNumberFormat="1" applyFont="1" applyBorder="1"/>
    <xf numFmtId="4" fontId="7" fillId="0" borderId="12" xfId="0" applyNumberFormat="1" applyFont="1" applyBorder="1"/>
    <xf numFmtId="2" fontId="7" fillId="0" borderId="76" xfId="0" applyNumberFormat="1" applyFont="1" applyBorder="1"/>
    <xf numFmtId="4" fontId="7" fillId="0" borderId="8" xfId="0" applyNumberFormat="1" applyFont="1" applyBorder="1"/>
    <xf numFmtId="3" fontId="9" fillId="0" borderId="0" xfId="0" applyNumberFormat="1" applyFont="1" applyAlignment="1">
      <alignment horizontal="right"/>
    </xf>
    <xf numFmtId="2" fontId="8" fillId="0" borderId="75" xfId="0" applyNumberFormat="1" applyFont="1" applyBorder="1"/>
    <xf numFmtId="4" fontId="6" fillId="0" borderId="108" xfId="0" applyNumberFormat="1" applyFont="1" applyBorder="1"/>
    <xf numFmtId="4" fontId="7" fillId="0" borderId="15" xfId="0" applyNumberFormat="1" applyFont="1" applyBorder="1"/>
    <xf numFmtId="4" fontId="9" fillId="0" borderId="49" xfId="0" applyNumberFormat="1" applyFont="1" applyBorder="1"/>
    <xf numFmtId="4" fontId="9" fillId="0" borderId="67" xfId="0" applyNumberFormat="1" applyFont="1" applyBorder="1"/>
    <xf numFmtId="4" fontId="7" fillId="0" borderId="10" xfId="0" applyNumberFormat="1" applyFont="1" applyBorder="1"/>
    <xf numFmtId="4" fontId="7" fillId="0" borderId="61" xfId="0" applyNumberFormat="1" applyFont="1" applyBorder="1"/>
    <xf numFmtId="2" fontId="7" fillId="0" borderId="108" xfId="0" applyNumberFormat="1" applyFont="1" applyBorder="1"/>
    <xf numFmtId="4" fontId="7" fillId="0" borderId="29" xfId="0" applyNumberFormat="1" applyFont="1" applyBorder="1"/>
    <xf numFmtId="3" fontId="6" fillId="0" borderId="15" xfId="0" applyNumberFormat="1" applyFont="1" applyBorder="1"/>
    <xf numFmtId="3" fontId="8" fillId="0" borderId="0" xfId="0" applyNumberFormat="1" applyFont="1"/>
    <xf numFmtId="3" fontId="6" fillId="0" borderId="76" xfId="0" applyNumberFormat="1" applyFont="1" applyBorder="1"/>
    <xf numFmtId="4" fontId="9" fillId="0" borderId="70" xfId="0" applyNumberFormat="1" applyFont="1" applyBorder="1"/>
    <xf numFmtId="164" fontId="7" fillId="0" borderId="1" xfId="0" applyNumberFormat="1" applyFont="1" applyBorder="1"/>
    <xf numFmtId="0" fontId="6" fillId="0" borderId="52" xfId="0" applyFont="1" applyBorder="1"/>
    <xf numFmtId="0" fontId="6" fillId="0" borderId="51" xfId="0" applyFont="1" applyBorder="1"/>
    <xf numFmtId="164" fontId="7" fillId="0" borderId="53" xfId="0" applyNumberFormat="1" applyFont="1" applyBorder="1"/>
    <xf numFmtId="0" fontId="6" fillId="0" borderId="63" xfId="0" applyFont="1" applyBorder="1"/>
    <xf numFmtId="0" fontId="6" fillId="0" borderId="101" xfId="0" applyFont="1" applyBorder="1"/>
    <xf numFmtId="3" fontId="10" fillId="0" borderId="52" xfId="0" applyNumberFormat="1" applyFont="1" applyBorder="1" applyAlignment="1">
      <alignment horizontal="right" wrapText="1"/>
    </xf>
    <xf numFmtId="2" fontId="6" fillId="0" borderId="35" xfId="0" applyNumberFormat="1" applyFont="1" applyBorder="1"/>
    <xf numFmtId="2" fontId="6" fillId="0" borderId="103" xfId="0" applyNumberFormat="1" applyFont="1" applyBorder="1"/>
    <xf numFmtId="2" fontId="6" fillId="0" borderId="24" xfId="0" applyNumberFormat="1" applyFont="1" applyBorder="1"/>
    <xf numFmtId="2" fontId="8" fillId="0" borderId="24" xfId="0" applyNumberFormat="1" applyFont="1" applyBorder="1"/>
    <xf numFmtId="2" fontId="8" fillId="0" borderId="26" xfId="0" applyNumberFormat="1" applyFont="1" applyBorder="1"/>
    <xf numFmtId="2" fontId="8" fillId="0" borderId="71" xfId="0" applyNumberFormat="1" applyFont="1" applyBorder="1"/>
    <xf numFmtId="2" fontId="11" fillId="0" borderId="67" xfId="0" applyNumberFormat="1" applyFont="1" applyBorder="1" applyAlignment="1">
      <alignment horizontal="right" wrapText="1"/>
    </xf>
    <xf numFmtId="2" fontId="9" fillId="0" borderId="115" xfId="0" applyNumberFormat="1" applyFont="1" applyBorder="1"/>
    <xf numFmtId="9" fontId="10" fillId="0" borderId="53" xfId="5" applyFont="1" applyBorder="1" applyAlignment="1">
      <alignment horizontal="right" wrapText="1"/>
    </xf>
    <xf numFmtId="2" fontId="8" fillId="0" borderId="42" xfId="0" applyNumberFormat="1" applyFont="1" applyBorder="1"/>
    <xf numFmtId="2" fontId="9" fillId="0" borderId="107" xfId="0" applyNumberFormat="1" applyFont="1" applyBorder="1"/>
    <xf numFmtId="2" fontId="9" fillId="0" borderId="49" xfId="0" applyNumberFormat="1" applyFont="1" applyBorder="1"/>
    <xf numFmtId="2" fontId="8" fillId="0" borderId="109" xfId="0" applyNumberFormat="1" applyFont="1" applyBorder="1"/>
    <xf numFmtId="2" fontId="6" fillId="0" borderId="51" xfId="0" applyNumberFormat="1" applyFont="1" applyBorder="1"/>
    <xf numFmtId="2" fontId="8" fillId="0" borderId="62" xfId="0" applyNumberFormat="1" applyFont="1" applyBorder="1"/>
    <xf numFmtId="2" fontId="7" fillId="0" borderId="51" xfId="0" applyNumberFormat="1" applyFont="1" applyBorder="1"/>
    <xf numFmtId="2" fontId="9" fillId="0" borderId="62" xfId="0" applyNumberFormat="1" applyFont="1" applyBorder="1"/>
    <xf numFmtId="9" fontId="6" fillId="0" borderId="53" xfId="5" applyFont="1" applyBorder="1"/>
    <xf numFmtId="2" fontId="9" fillId="0" borderId="69" xfId="0" applyNumberFormat="1" applyFont="1" applyBorder="1"/>
    <xf numFmtId="3" fontId="10" fillId="0" borderId="60" xfId="0" applyNumberFormat="1" applyFont="1" applyBorder="1" applyAlignment="1">
      <alignment horizontal="right" wrapText="1"/>
    </xf>
    <xf numFmtId="2" fontId="7" fillId="0" borderId="35" xfId="0" applyNumberFormat="1" applyFont="1" applyBorder="1"/>
    <xf numFmtId="2" fontId="6" fillId="0" borderId="105" xfId="0" applyNumberFormat="1" applyFont="1" applyBorder="1"/>
    <xf numFmtId="2" fontId="7" fillId="0" borderId="24" xfId="0" applyNumberFormat="1" applyFont="1" applyBorder="1"/>
    <xf numFmtId="2" fontId="6" fillId="0" borderId="108" xfId="0" applyNumberFormat="1" applyFont="1" applyBorder="1"/>
    <xf numFmtId="2" fontId="8" fillId="0" borderId="107" xfId="0" applyNumberFormat="1" applyFont="1" applyBorder="1"/>
    <xf numFmtId="0" fontId="8" fillId="0" borderId="49" xfId="0" applyFont="1" applyBorder="1"/>
    <xf numFmtId="0" fontId="7" fillId="0" borderId="10" xfId="0" applyFont="1" applyBorder="1"/>
    <xf numFmtId="0" fontId="7" fillId="0" borderId="62" xfId="0" applyFont="1" applyBorder="1"/>
    <xf numFmtId="2" fontId="10" fillId="0" borderId="108" xfId="0" applyNumberFormat="1" applyFont="1" applyBorder="1" applyAlignment="1">
      <alignment horizontal="right" wrapText="1"/>
    </xf>
    <xf numFmtId="2" fontId="9" fillId="0" borderId="70" xfId="0" applyNumberFormat="1" applyFont="1" applyBorder="1"/>
    <xf numFmtId="4" fontId="8" fillId="0" borderId="50" xfId="0" applyNumberFormat="1" applyFont="1" applyBorder="1"/>
    <xf numFmtId="3" fontId="8" fillId="0" borderId="66" xfId="0" applyNumberFormat="1" applyFont="1" applyBorder="1"/>
    <xf numFmtId="3" fontId="6" fillId="0" borderId="1" xfId="0" applyNumberFormat="1" applyFont="1" applyBorder="1"/>
    <xf numFmtId="3" fontId="6" fillId="0" borderId="52" xfId="0" applyNumberFormat="1" applyFont="1" applyBorder="1"/>
    <xf numFmtId="3" fontId="6" fillId="0" borderId="51" xfId="0" applyNumberFormat="1" applyFont="1" applyBorder="1"/>
    <xf numFmtId="3" fontId="6" fillId="0" borderId="53" xfId="0" applyNumberFormat="1" applyFont="1" applyBorder="1"/>
    <xf numFmtId="3" fontId="8" fillId="0" borderId="23" xfId="0" applyNumberFormat="1" applyFont="1" applyBorder="1"/>
    <xf numFmtId="3" fontId="8" fillId="0" borderId="25" xfId="0" applyNumberFormat="1" applyFont="1" applyBorder="1"/>
    <xf numFmtId="0" fontId="10" fillId="0" borderId="0" xfId="0" applyFont="1"/>
    <xf numFmtId="0" fontId="6" fillId="0" borderId="63" xfId="0" applyFont="1" applyBorder="1" applyAlignment="1">
      <alignment wrapText="1"/>
    </xf>
    <xf numFmtId="0" fontId="7" fillId="0" borderId="37" xfId="4" applyFont="1" applyBorder="1"/>
    <xf numFmtId="164" fontId="7" fillId="0" borderId="3" xfId="0" applyNumberFormat="1" applyFont="1" applyBorder="1"/>
    <xf numFmtId="0" fontId="6" fillId="0" borderId="49" xfId="0" applyFont="1" applyBorder="1" applyAlignment="1">
      <alignment wrapText="1"/>
    </xf>
    <xf numFmtId="2" fontId="8" fillId="0" borderId="19" xfId="0" applyNumberFormat="1" applyFont="1" applyBorder="1"/>
    <xf numFmtId="2" fontId="8" fillId="0" borderId="43" xfId="0" applyNumberFormat="1" applyFont="1" applyBorder="1"/>
    <xf numFmtId="2" fontId="6" fillId="0" borderId="2" xfId="0" applyNumberFormat="1" applyFont="1" applyBorder="1"/>
    <xf numFmtId="4" fontId="8" fillId="0" borderId="131" xfId="0" applyNumberFormat="1" applyFont="1" applyBorder="1"/>
    <xf numFmtId="9" fontId="11" fillId="0" borderId="66" xfId="5" applyFont="1" applyBorder="1" applyAlignment="1">
      <alignment horizontal="right" wrapText="1"/>
    </xf>
    <xf numFmtId="2" fontId="8" fillId="0" borderId="77" xfId="0" applyNumberFormat="1" applyFont="1" applyBorder="1"/>
    <xf numFmtId="0" fontId="6" fillId="0" borderId="27" xfId="0" applyFont="1" applyBorder="1"/>
    <xf numFmtId="2" fontId="6" fillId="0" borderId="60" xfId="0" applyNumberFormat="1" applyFont="1" applyBorder="1"/>
    <xf numFmtId="4" fontId="8" fillId="0" borderId="149" xfId="0" applyNumberFormat="1" applyFont="1" applyBorder="1"/>
    <xf numFmtId="3" fontId="8" fillId="0" borderId="87" xfId="0" applyNumberFormat="1" applyFont="1" applyBorder="1"/>
    <xf numFmtId="3" fontId="8" fillId="0" borderId="72" xfId="0" applyNumberFormat="1" applyFont="1" applyBorder="1"/>
    <xf numFmtId="3" fontId="8" fillId="0" borderId="73" xfId="0" applyNumberFormat="1" applyFont="1" applyBorder="1"/>
    <xf numFmtId="2" fontId="8" fillId="0" borderId="131" xfId="0" applyNumberFormat="1" applyFont="1" applyBorder="1"/>
    <xf numFmtId="2" fontId="8" fillId="0" borderId="72" xfId="0" applyNumberFormat="1" applyFont="1" applyBorder="1"/>
    <xf numFmtId="9" fontId="6" fillId="0" borderId="81" xfId="5" applyFont="1" applyBorder="1"/>
    <xf numFmtId="9" fontId="6" fillId="0" borderId="63" xfId="5" applyFont="1" applyBorder="1"/>
    <xf numFmtId="9" fontId="8" fillId="0" borderId="83" xfId="5" applyFont="1" applyBorder="1"/>
    <xf numFmtId="9" fontId="6" fillId="0" borderId="81" xfId="5" applyFont="1" applyFill="1" applyBorder="1"/>
    <xf numFmtId="9" fontId="6" fillId="0" borderId="63" xfId="5" applyFont="1" applyFill="1" applyBorder="1"/>
    <xf numFmtId="9" fontId="10" fillId="0" borderId="8" xfId="5" applyFont="1" applyBorder="1" applyAlignment="1">
      <alignment horizontal="right" wrapText="1"/>
    </xf>
    <xf numFmtId="9" fontId="10" fillId="0" borderId="61" xfId="5" applyFont="1" applyBorder="1" applyAlignment="1">
      <alignment horizontal="right" wrapText="1"/>
    </xf>
    <xf numFmtId="9" fontId="11" fillId="0" borderId="49" xfId="5" applyFont="1" applyBorder="1" applyAlignment="1">
      <alignment horizontal="right" wrapText="1"/>
    </xf>
    <xf numFmtId="9" fontId="6" fillId="0" borderId="82" xfId="5" applyFont="1" applyBorder="1"/>
    <xf numFmtId="9" fontId="8" fillId="0" borderId="83" xfId="5" applyFont="1" applyFill="1" applyBorder="1"/>
    <xf numFmtId="9" fontId="10" fillId="0" borderId="82" xfId="5" applyFont="1" applyBorder="1" applyAlignment="1">
      <alignment horizontal="right" wrapText="1"/>
    </xf>
    <xf numFmtId="9" fontId="10" fillId="0" borderId="81" xfId="5" applyFont="1" applyBorder="1" applyAlignment="1">
      <alignment horizontal="right" wrapText="1"/>
    </xf>
    <xf numFmtId="9" fontId="10" fillId="0" borderId="63" xfId="5" applyFont="1" applyBorder="1" applyAlignment="1">
      <alignment horizontal="right" wrapText="1"/>
    </xf>
    <xf numFmtId="9" fontId="11" fillId="0" borderId="83" xfId="5" applyFont="1" applyBorder="1" applyAlignment="1">
      <alignment horizontal="right" wrapText="1"/>
    </xf>
    <xf numFmtId="9" fontId="11" fillId="0" borderId="83" xfId="5" applyFont="1" applyBorder="1" applyAlignment="1">
      <alignment horizontal="right"/>
    </xf>
    <xf numFmtId="9" fontId="6" fillId="0" borderId="81" xfId="5" applyFont="1" applyFill="1" applyBorder="1" applyAlignment="1"/>
    <xf numFmtId="9" fontId="6" fillId="0" borderId="63" xfId="5" applyFont="1" applyFill="1" applyBorder="1" applyAlignment="1"/>
    <xf numFmtId="9" fontId="8" fillId="0" borderId="101" xfId="5" applyFont="1" applyFill="1" applyBorder="1" applyAlignment="1"/>
    <xf numFmtId="9" fontId="6" fillId="0" borderId="20" xfId="5" applyFont="1" applyBorder="1"/>
    <xf numFmtId="3" fontId="7" fillId="0" borderId="0" xfId="0" applyNumberFormat="1" applyFont="1"/>
    <xf numFmtId="3" fontId="8" fillId="0" borderId="49" xfId="0" applyNumberFormat="1" applyFont="1" applyBorder="1"/>
    <xf numFmtId="3" fontId="9" fillId="0" borderId="87" xfId="0" applyNumberFormat="1" applyFont="1" applyBorder="1" applyAlignment="1">
      <alignment horizontal="right"/>
    </xf>
    <xf numFmtId="9" fontId="6" fillId="0" borderId="101" xfId="5" applyFont="1" applyFill="1" applyBorder="1" applyAlignment="1">
      <alignment horizontal="right"/>
    </xf>
    <xf numFmtId="9" fontId="6" fillId="0" borderId="63" xfId="5" applyFont="1" applyFill="1" applyBorder="1" applyAlignment="1">
      <alignment horizontal="right"/>
    </xf>
    <xf numFmtId="9" fontId="8" fillId="0" borderId="83" xfId="5" applyFont="1" applyFill="1" applyBorder="1" applyAlignment="1">
      <alignment horizontal="right"/>
    </xf>
    <xf numFmtId="9" fontId="6" fillId="0" borderId="81" xfId="5" applyFont="1" applyFill="1" applyBorder="1" applyAlignment="1">
      <alignment horizontal="right"/>
    </xf>
    <xf numFmtId="9" fontId="6" fillId="0" borderId="97" xfId="5" applyFont="1" applyFill="1" applyBorder="1" applyAlignment="1">
      <alignment horizontal="right"/>
    </xf>
    <xf numFmtId="9" fontId="7" fillId="0" borderId="81" xfId="5" applyFont="1" applyBorder="1"/>
    <xf numFmtId="9" fontId="7" fillId="0" borderId="81" xfId="5" applyFont="1" applyFill="1" applyBorder="1" applyAlignment="1"/>
    <xf numFmtId="9" fontId="7" fillId="0" borderId="63" xfId="5" applyFont="1" applyFill="1" applyBorder="1" applyAlignment="1"/>
    <xf numFmtId="9" fontId="9" fillId="0" borderId="83" xfId="5" applyFont="1" applyBorder="1" applyAlignment="1"/>
    <xf numFmtId="9" fontId="7" fillId="0" borderId="82" xfId="5" applyFont="1" applyFill="1" applyBorder="1" applyAlignment="1"/>
    <xf numFmtId="9" fontId="9" fillId="0" borderId="101" xfId="5" applyFont="1" applyFill="1" applyBorder="1" applyAlignment="1">
      <alignment horizontal="right"/>
    </xf>
    <xf numFmtId="9" fontId="7" fillId="0" borderId="81" xfId="5" applyFont="1" applyFill="1" applyBorder="1" applyAlignment="1">
      <alignment horizontal="right"/>
    </xf>
    <xf numFmtId="9" fontId="7" fillId="0" borderId="63" xfId="5" applyFont="1" applyFill="1" applyBorder="1" applyAlignment="1">
      <alignment horizontal="right"/>
    </xf>
    <xf numFmtId="9" fontId="9" fillId="0" borderId="142" xfId="5" applyFont="1" applyFill="1" applyBorder="1" applyAlignment="1">
      <alignment horizontal="right"/>
    </xf>
    <xf numFmtId="9" fontId="6" fillId="0" borderId="82" xfId="5" applyFont="1" applyFill="1" applyBorder="1" applyAlignment="1">
      <alignment horizontal="right"/>
    </xf>
    <xf numFmtId="9" fontId="6" fillId="0" borderId="98" xfId="5" applyFont="1" applyFill="1" applyBorder="1" applyAlignment="1">
      <alignment horizontal="right"/>
    </xf>
    <xf numFmtId="9" fontId="8" fillId="0" borderId="101" xfId="5" applyFont="1" applyFill="1" applyBorder="1" applyAlignment="1">
      <alignment horizontal="right"/>
    </xf>
    <xf numFmtId="9" fontId="6" fillId="0" borderId="102" xfId="5" applyFont="1" applyFill="1" applyBorder="1" applyAlignment="1">
      <alignment horizontal="right"/>
    </xf>
    <xf numFmtId="9" fontId="9" fillId="0" borderId="83" xfId="5" applyFont="1" applyFill="1" applyBorder="1" applyAlignment="1"/>
    <xf numFmtId="9" fontId="6" fillId="0" borderId="63" xfId="5" applyFont="1" applyBorder="1" applyAlignment="1">
      <alignment horizontal="right"/>
    </xf>
    <xf numFmtId="0" fontId="8" fillId="0" borderId="142" xfId="0" applyFont="1" applyBorder="1" applyAlignment="1">
      <alignment horizontal="center"/>
    </xf>
    <xf numFmtId="9" fontId="6" fillId="0" borderId="97" xfId="5" applyFont="1" applyFill="1" applyBorder="1"/>
    <xf numFmtId="9" fontId="8" fillId="0" borderId="142" xfId="5" applyFont="1" applyBorder="1"/>
    <xf numFmtId="9" fontId="6" fillId="0" borderId="81" xfId="5" applyFont="1" applyBorder="1" applyAlignment="1">
      <alignment horizontal="right"/>
    </xf>
    <xf numFmtId="9" fontId="6" fillId="0" borderId="82" xfId="5" applyFont="1" applyBorder="1" applyAlignment="1">
      <alignment horizontal="right"/>
    </xf>
    <xf numFmtId="9" fontId="6" fillId="0" borderId="20" xfId="5" applyFont="1" applyBorder="1" applyAlignment="1">
      <alignment horizontal="right"/>
    </xf>
    <xf numFmtId="9" fontId="8" fillId="0" borderId="101" xfId="5" applyFont="1" applyFill="1" applyBorder="1"/>
    <xf numFmtId="9" fontId="8" fillId="0" borderId="38" xfId="5" applyFont="1" applyFill="1" applyBorder="1"/>
    <xf numFmtId="3" fontId="6" fillId="0" borderId="8" xfId="0" applyNumberFormat="1" applyFont="1" applyBorder="1"/>
    <xf numFmtId="9" fontId="8" fillId="0" borderId="25" xfId="5" applyFont="1" applyBorder="1"/>
    <xf numFmtId="2" fontId="6" fillId="0" borderId="26" xfId="0" applyNumberFormat="1" applyFont="1" applyBorder="1"/>
    <xf numFmtId="2" fontId="6" fillId="0" borderId="10" xfId="0" applyNumberFormat="1" applyFont="1" applyBorder="1"/>
    <xf numFmtId="3" fontId="6" fillId="0" borderId="10" xfId="0" applyNumberFormat="1" applyFont="1" applyBorder="1"/>
    <xf numFmtId="2" fontId="8" fillId="0" borderId="87" xfId="0" applyNumberFormat="1" applyFont="1" applyBorder="1"/>
    <xf numFmtId="3" fontId="6" fillId="0" borderId="2" xfId="0" applyNumberFormat="1" applyFont="1" applyBorder="1"/>
    <xf numFmtId="3" fontId="6" fillId="0" borderId="3" xfId="0" applyNumberFormat="1" applyFont="1" applyBorder="1"/>
    <xf numFmtId="3" fontId="8" fillId="0" borderId="65" xfId="0" applyNumberFormat="1" applyFont="1" applyBorder="1"/>
    <xf numFmtId="9" fontId="8" fillId="0" borderId="83" xfId="5" applyFont="1" applyBorder="1" applyAlignment="1">
      <alignment horizontal="right"/>
    </xf>
    <xf numFmtId="2" fontId="8" fillId="0" borderId="149" xfId="0" applyNumberFormat="1" applyFont="1" applyBorder="1"/>
    <xf numFmtId="3" fontId="8" fillId="0" borderId="67" xfId="0" applyNumberFormat="1" applyFont="1" applyBorder="1"/>
    <xf numFmtId="0" fontId="6" fillId="0" borderId="0" xfId="0" applyFont="1" applyAlignment="1">
      <alignment horizontal="left"/>
    </xf>
    <xf numFmtId="0" fontId="31" fillId="0" borderId="0" xfId="0" applyFont="1"/>
    <xf numFmtId="2" fontId="31" fillId="0" borderId="0" xfId="0" applyNumberFormat="1" applyFont="1"/>
    <xf numFmtId="9" fontId="31" fillId="0" borderId="0" xfId="5" applyFont="1"/>
    <xf numFmtId="0" fontId="31" fillId="0" borderId="49" xfId="0" applyFont="1" applyBorder="1"/>
    <xf numFmtId="3" fontId="8" fillId="0" borderId="73" xfId="4" applyNumberFormat="1" applyFont="1" applyBorder="1" applyAlignment="1">
      <alignment horizontal="right"/>
    </xf>
    <xf numFmtId="3" fontId="8" fillId="0" borderId="65" xfId="4" applyNumberFormat="1" applyFont="1" applyBorder="1" applyAlignment="1">
      <alignment horizontal="right"/>
    </xf>
    <xf numFmtId="0" fontId="7" fillId="0" borderId="59" xfId="4" applyFont="1" applyBorder="1" applyAlignment="1">
      <alignment horizontal="center"/>
    </xf>
    <xf numFmtId="3" fontId="8" fillId="0" borderId="72" xfId="4" applyNumberFormat="1" applyFont="1" applyBorder="1"/>
    <xf numFmtId="3" fontId="8" fillId="0" borderId="72" xfId="4" applyNumberFormat="1" applyFont="1" applyBorder="1" applyAlignment="1">
      <alignment horizontal="right"/>
    </xf>
    <xf numFmtId="3" fontId="9" fillId="0" borderId="74" xfId="4" applyNumberFormat="1" applyFont="1" applyBorder="1"/>
    <xf numFmtId="3" fontId="8" fillId="0" borderId="80" xfId="4" applyNumberFormat="1" applyFont="1" applyBorder="1" applyAlignment="1">
      <alignment horizontal="right"/>
    </xf>
    <xf numFmtId="0" fontId="7" fillId="0" borderId="81" xfId="4" applyFont="1" applyBorder="1" applyAlignment="1">
      <alignment horizontal="center"/>
    </xf>
    <xf numFmtId="0" fontId="7" fillId="0" borderId="63" xfId="4" applyFont="1" applyBorder="1" applyAlignment="1">
      <alignment horizontal="center"/>
    </xf>
    <xf numFmtId="164" fontId="7" fillId="0" borderId="8" xfId="0" applyNumberFormat="1" applyFont="1" applyBorder="1"/>
    <xf numFmtId="3" fontId="6" fillId="0" borderId="62" xfId="0" applyNumberFormat="1" applyFont="1" applyBorder="1"/>
    <xf numFmtId="3" fontId="8" fillId="0" borderId="74" xfId="4" applyNumberFormat="1" applyFont="1" applyBorder="1" applyAlignment="1">
      <alignment horizontal="right"/>
    </xf>
    <xf numFmtId="3" fontId="8" fillId="0" borderId="50" xfId="4" applyNumberFormat="1" applyFont="1" applyBorder="1" applyAlignment="1">
      <alignment horizontal="right"/>
    </xf>
    <xf numFmtId="3" fontId="8" fillId="0" borderId="73" xfId="4" applyNumberFormat="1" applyFont="1" applyBorder="1"/>
    <xf numFmtId="3" fontId="9" fillId="0" borderId="65" xfId="0" applyNumberFormat="1" applyFont="1" applyBorder="1" applyAlignment="1">
      <alignment horizontal="right"/>
    </xf>
    <xf numFmtId="0" fontId="7" fillId="0" borderId="28" xfId="4" applyFont="1" applyBorder="1" applyAlignment="1">
      <alignment horizontal="center"/>
    </xf>
    <xf numFmtId="3" fontId="8" fillId="0" borderId="131" xfId="4" applyNumberFormat="1" applyFont="1" applyBorder="1" applyAlignment="1">
      <alignment horizontal="right"/>
    </xf>
    <xf numFmtId="3" fontId="8" fillId="0" borderId="64" xfId="4" applyNumberFormat="1" applyFont="1" applyBorder="1" applyAlignment="1">
      <alignment horizontal="right"/>
    </xf>
    <xf numFmtId="3" fontId="8" fillId="0" borderId="131" xfId="4" applyNumberFormat="1" applyFont="1" applyBorder="1"/>
    <xf numFmtId="0" fontId="9" fillId="0" borderId="83" xfId="0" applyFont="1" applyBorder="1"/>
    <xf numFmtId="164" fontId="9" fillId="0" borderId="65" xfId="0" applyNumberFormat="1" applyFont="1" applyBorder="1"/>
    <xf numFmtId="3" fontId="8" fillId="0" borderId="80" xfId="4" applyNumberFormat="1" applyFont="1" applyBorder="1"/>
    <xf numFmtId="0" fontId="6" fillId="0" borderId="81" xfId="0" applyFont="1" applyBorder="1" applyAlignment="1">
      <alignment wrapText="1"/>
    </xf>
    <xf numFmtId="3" fontId="9" fillId="0" borderId="64" xfId="0" applyNumberFormat="1" applyFont="1" applyBorder="1" applyAlignment="1">
      <alignment horizontal="right"/>
    </xf>
    <xf numFmtId="3" fontId="8" fillId="0" borderId="66" xfId="4" applyNumberFormat="1" applyFont="1" applyBorder="1"/>
    <xf numFmtId="3" fontId="8" fillId="0" borderId="74" xfId="4" applyNumberFormat="1" applyFont="1" applyBorder="1"/>
    <xf numFmtId="3" fontId="9" fillId="0" borderId="73" xfId="4" applyNumberFormat="1" applyFont="1" applyBorder="1"/>
    <xf numFmtId="164" fontId="9" fillId="0" borderId="68" xfId="0" applyNumberFormat="1" applyFont="1" applyBorder="1"/>
    <xf numFmtId="0" fontId="7" fillId="0" borderId="98" xfId="0" applyFont="1" applyBorder="1" applyAlignment="1">
      <alignment wrapText="1"/>
    </xf>
    <xf numFmtId="164" fontId="7" fillId="0" borderId="61" xfId="0" applyNumberFormat="1" applyFont="1" applyBorder="1"/>
    <xf numFmtId="3" fontId="8" fillId="0" borderId="38" xfId="0" applyNumberFormat="1" applyFont="1" applyBorder="1"/>
    <xf numFmtId="3" fontId="6" fillId="0" borderId="20" xfId="0" applyNumberFormat="1" applyFont="1" applyBorder="1"/>
    <xf numFmtId="0" fontId="7" fillId="0" borderId="81" xfId="4" applyFont="1" applyBorder="1"/>
    <xf numFmtId="3" fontId="9" fillId="0" borderId="0" xfId="4" applyNumberFormat="1" applyFont="1"/>
    <xf numFmtId="0" fontId="7" fillId="0" borderId="103" xfId="0" applyFont="1" applyBorder="1" applyAlignment="1">
      <alignment horizontal="right"/>
    </xf>
    <xf numFmtId="0" fontId="7" fillId="0" borderId="82" xfId="4" applyFont="1" applyBorder="1"/>
    <xf numFmtId="0" fontId="7" fillId="0" borderId="37" xfId="4" applyFont="1" applyBorder="1" applyAlignment="1">
      <alignment horizontal="center"/>
    </xf>
    <xf numFmtId="0" fontId="7" fillId="0" borderId="49" xfId="0" applyFont="1" applyBorder="1" applyAlignment="1">
      <alignment horizontal="left"/>
    </xf>
    <xf numFmtId="9" fontId="8" fillId="0" borderId="130" xfId="5" applyFont="1" applyFill="1" applyBorder="1" applyAlignment="1">
      <alignment horizontal="right"/>
    </xf>
    <xf numFmtId="4" fontId="6" fillId="0" borderId="184" xfId="0" applyNumberFormat="1" applyFont="1" applyBorder="1"/>
    <xf numFmtId="9" fontId="6" fillId="0" borderId="181" xfId="5" applyFont="1" applyFill="1" applyBorder="1" applyAlignment="1">
      <alignment horizontal="right"/>
    </xf>
    <xf numFmtId="9" fontId="6" fillId="0" borderId="181" xfId="5" applyFont="1" applyBorder="1" applyAlignment="1">
      <alignment horizontal="right"/>
    </xf>
    <xf numFmtId="9" fontId="8" fillId="0" borderId="101" xfId="5" applyFont="1" applyBorder="1" applyAlignment="1">
      <alignment horizontal="right"/>
    </xf>
    <xf numFmtId="2" fontId="8" fillId="0" borderId="49" xfId="0" applyNumberFormat="1" applyFont="1" applyBorder="1"/>
    <xf numFmtId="3" fontId="9" fillId="0" borderId="83" xfId="0" applyNumberFormat="1" applyFont="1" applyBorder="1" applyAlignment="1">
      <alignment horizontal="right"/>
    </xf>
    <xf numFmtId="3" fontId="6" fillId="0" borderId="181" xfId="0" applyNumberFormat="1" applyFont="1" applyBorder="1"/>
    <xf numFmtId="3" fontId="9" fillId="0" borderId="80" xfId="0" applyNumberFormat="1" applyFont="1" applyBorder="1" applyAlignment="1">
      <alignment horizontal="right"/>
    </xf>
    <xf numFmtId="3" fontId="7" fillId="0" borderId="23" xfId="0" applyNumberFormat="1" applyFont="1" applyBorder="1" applyAlignment="1">
      <alignment horizontal="right"/>
    </xf>
    <xf numFmtId="3" fontId="9" fillId="0" borderId="131" xfId="0" applyNumberFormat="1" applyFont="1" applyBorder="1" applyAlignment="1">
      <alignment horizontal="right"/>
    </xf>
    <xf numFmtId="0" fontId="7" fillId="0" borderId="181" xfId="0" applyFont="1" applyBorder="1" applyAlignment="1">
      <alignment wrapText="1"/>
    </xf>
    <xf numFmtId="9" fontId="7" fillId="0" borderId="81" xfId="5" applyFont="1" applyBorder="1" applyAlignment="1">
      <alignment horizontal="right"/>
    </xf>
    <xf numFmtId="9" fontId="9" fillId="0" borderId="101" xfId="5" applyFont="1" applyBorder="1"/>
    <xf numFmtId="9" fontId="7" fillId="0" borderId="63" xfId="5" applyFont="1" applyBorder="1"/>
    <xf numFmtId="9" fontId="9" fillId="0" borderId="83" xfId="5" applyFont="1" applyBorder="1"/>
    <xf numFmtId="9" fontId="7" fillId="0" borderId="82" xfId="5" applyFont="1" applyBorder="1"/>
    <xf numFmtId="2" fontId="9" fillId="0" borderId="116" xfId="0" applyNumberFormat="1" applyFont="1" applyBorder="1"/>
    <xf numFmtId="2" fontId="9" fillId="0" borderId="30" xfId="0" applyNumberFormat="1" applyFont="1" applyBorder="1"/>
    <xf numFmtId="2" fontId="9" fillId="0" borderId="0" xfId="0" applyNumberFormat="1" applyFont="1"/>
    <xf numFmtId="2" fontId="9" fillId="0" borderId="57" xfId="0" applyNumberFormat="1" applyFont="1" applyBorder="1"/>
    <xf numFmtId="9" fontId="6" fillId="0" borderId="181" xfId="5" applyFont="1" applyBorder="1"/>
    <xf numFmtId="2" fontId="8" fillId="0" borderId="79" xfId="0" applyNumberFormat="1" applyFont="1" applyBorder="1"/>
    <xf numFmtId="2" fontId="7" fillId="0" borderId="184" xfId="0" applyNumberFormat="1" applyFont="1" applyBorder="1"/>
    <xf numFmtId="2" fontId="6" fillId="0" borderId="184" xfId="0" applyNumberFormat="1" applyFont="1" applyBorder="1"/>
    <xf numFmtId="2" fontId="8" fillId="0" borderId="78" xfId="0" applyNumberFormat="1" applyFont="1" applyBorder="1"/>
    <xf numFmtId="3" fontId="6" fillId="0" borderId="60" xfId="0" applyNumberFormat="1" applyFont="1" applyBorder="1"/>
    <xf numFmtId="0" fontId="6" fillId="0" borderId="8" xfId="0" applyFont="1" applyBorder="1"/>
    <xf numFmtId="0" fontId="6" fillId="0" borderId="113" xfId="0" applyFont="1" applyBorder="1"/>
    <xf numFmtId="2" fontId="8" fillId="0" borderId="118" xfId="0" applyNumberFormat="1" applyFont="1" applyBorder="1"/>
    <xf numFmtId="3" fontId="7" fillId="0" borderId="24" xfId="0" applyNumberFormat="1" applyFont="1" applyBorder="1" applyAlignment="1">
      <alignment horizontal="right"/>
    </xf>
    <xf numFmtId="3" fontId="7" fillId="0" borderId="35" xfId="0" applyNumberFormat="1" applyFont="1" applyBorder="1" applyAlignment="1">
      <alignment horizontal="right"/>
    </xf>
    <xf numFmtId="3" fontId="7" fillId="0" borderId="31" xfId="0" applyNumberFormat="1" applyFont="1" applyBorder="1" applyAlignment="1">
      <alignment horizontal="right"/>
    </xf>
    <xf numFmtId="3" fontId="9" fillId="0" borderId="49" xfId="0" applyNumberFormat="1" applyFont="1" applyBorder="1" applyAlignment="1">
      <alignment horizontal="right"/>
    </xf>
    <xf numFmtId="3" fontId="8" fillId="0" borderId="74" xfId="0" applyNumberFormat="1" applyFont="1" applyBorder="1"/>
    <xf numFmtId="9" fontId="8" fillId="0" borderId="50" xfId="5" applyFont="1" applyFill="1" applyBorder="1" applyAlignment="1">
      <alignment horizontal="right" vertical="center" wrapText="1"/>
    </xf>
    <xf numFmtId="9" fontId="8" fillId="0" borderId="50" xfId="5" applyFont="1" applyBorder="1" applyAlignment="1">
      <alignment horizontal="right"/>
    </xf>
    <xf numFmtId="3" fontId="7" fillId="0" borderId="3" xfId="0" applyNumberFormat="1" applyFont="1" applyBorder="1"/>
    <xf numFmtId="3" fontId="6" fillId="0" borderId="1" xfId="4" applyNumberFormat="1" applyFont="1" applyBorder="1"/>
    <xf numFmtId="3" fontId="6" fillId="0" borderId="10" xfId="4" applyNumberFormat="1" applyFont="1" applyBorder="1"/>
    <xf numFmtId="3" fontId="6" fillId="0" borderId="1" xfId="4" applyNumberFormat="1" applyFont="1" applyBorder="1" applyAlignment="1">
      <alignment horizontal="right"/>
    </xf>
    <xf numFmtId="0" fontId="9" fillId="0" borderId="83" xfId="4" applyFont="1" applyBorder="1"/>
    <xf numFmtId="3" fontId="8" fillId="0" borderId="65" xfId="4" applyNumberFormat="1" applyFont="1" applyBorder="1"/>
    <xf numFmtId="0" fontId="8" fillId="0" borderId="83" xfId="4" applyFont="1" applyBorder="1"/>
    <xf numFmtId="0" fontId="8" fillId="0" borderId="48" xfId="4" applyFont="1" applyBorder="1" applyAlignment="1">
      <alignment horizontal="center"/>
    </xf>
    <xf numFmtId="3" fontId="6" fillId="0" borderId="2" xfId="4" applyNumberFormat="1" applyFont="1" applyBorder="1"/>
    <xf numFmtId="3" fontId="6" fillId="0" borderId="23" xfId="4" applyNumberFormat="1" applyFont="1" applyBorder="1"/>
    <xf numFmtId="3" fontId="8" fillId="0" borderId="64" xfId="4" applyNumberFormat="1" applyFont="1" applyBorder="1"/>
    <xf numFmtId="3" fontId="6" fillId="0" borderId="51" xfId="4" applyNumberFormat="1" applyFont="1" applyBorder="1" applyAlignment="1">
      <alignment horizontal="right"/>
    </xf>
    <xf numFmtId="3" fontId="6" fillId="0" borderId="52" xfId="4" applyNumberFormat="1" applyFont="1" applyBorder="1"/>
    <xf numFmtId="3" fontId="6" fillId="0" borderId="31" xfId="4" applyNumberFormat="1" applyFont="1" applyBorder="1"/>
    <xf numFmtId="3" fontId="6" fillId="0" borderId="3" xfId="4" applyNumberFormat="1" applyFont="1" applyBorder="1"/>
    <xf numFmtId="3" fontId="6" fillId="0" borderId="53" xfId="4" applyNumberFormat="1" applyFont="1" applyBorder="1"/>
    <xf numFmtId="3" fontId="7" fillId="0" borderId="59" xfId="0" applyNumberFormat="1" applyFont="1" applyBorder="1" applyAlignment="1">
      <alignment horizontal="right"/>
    </xf>
    <xf numFmtId="2" fontId="10" fillId="0" borderId="184" xfId="0" applyNumberFormat="1" applyFont="1" applyBorder="1" applyAlignment="1">
      <alignment horizontal="right" wrapText="1"/>
    </xf>
    <xf numFmtId="2" fontId="9" fillId="0" borderId="38" xfId="0" applyNumberFormat="1" applyFont="1" applyBorder="1"/>
    <xf numFmtId="2" fontId="7" fillId="0" borderId="57" xfId="0" applyNumberFormat="1" applyFont="1" applyBorder="1"/>
    <xf numFmtId="2" fontId="7" fillId="0" borderId="30" xfId="0" applyNumberFormat="1" applyFont="1" applyBorder="1"/>
    <xf numFmtId="2" fontId="9" fillId="0" borderId="24" xfId="0" applyNumberFormat="1" applyFont="1" applyBorder="1"/>
    <xf numFmtId="0" fontId="6" fillId="0" borderId="185" xfId="0" applyFont="1" applyBorder="1"/>
    <xf numFmtId="2" fontId="9" fillId="0" borderId="191" xfId="0" applyNumberFormat="1" applyFont="1" applyBorder="1"/>
    <xf numFmtId="2" fontId="11" fillId="0" borderId="0" xfId="0" applyNumberFormat="1" applyFont="1" applyAlignment="1">
      <alignment horizontal="right"/>
    </xf>
    <xf numFmtId="2" fontId="6" fillId="0" borderId="30" xfId="0" applyNumberFormat="1" applyFont="1" applyBorder="1"/>
    <xf numFmtId="9" fontId="6" fillId="0" borderId="3" xfId="5" applyFont="1" applyBorder="1" applyAlignment="1">
      <alignment horizontal="right"/>
    </xf>
    <xf numFmtId="9" fontId="6" fillId="0" borderId="53" xfId="5" applyFont="1" applyBorder="1" applyAlignment="1">
      <alignment horizontal="right"/>
    </xf>
    <xf numFmtId="9" fontId="8" fillId="0" borderId="66" xfId="5" applyFont="1" applyBorder="1" applyAlignment="1">
      <alignment horizontal="right"/>
    </xf>
    <xf numFmtId="0" fontId="7" fillId="0" borderId="181" xfId="4" applyFont="1" applyBorder="1"/>
    <xf numFmtId="0" fontId="6" fillId="0" borderId="181" xfId="0" applyFont="1" applyBorder="1"/>
    <xf numFmtId="2" fontId="6" fillId="0" borderId="204" xfId="0" applyNumberFormat="1" applyFont="1" applyBorder="1"/>
    <xf numFmtId="2" fontId="8" fillId="0" borderId="182" xfId="0" applyNumberFormat="1" applyFont="1" applyBorder="1"/>
    <xf numFmtId="3" fontId="6" fillId="0" borderId="201" xfId="0" applyNumberFormat="1" applyFont="1" applyBorder="1"/>
    <xf numFmtId="3" fontId="6" fillId="0" borderId="202" xfId="0" applyNumberFormat="1" applyFont="1" applyBorder="1"/>
    <xf numFmtId="3" fontId="7" fillId="0" borderId="8" xfId="0" applyNumberFormat="1" applyFont="1" applyBorder="1" applyAlignment="1">
      <alignment horizontal="right" wrapText="1"/>
    </xf>
    <xf numFmtId="3" fontId="7" fillId="0" borderId="2" xfId="0" applyNumberFormat="1" applyFont="1" applyBorder="1" applyAlignment="1">
      <alignment horizontal="right" wrapText="1"/>
    </xf>
    <xf numFmtId="3" fontId="7" fillId="0" borderId="82" xfId="0" applyNumberFormat="1" applyFont="1" applyBorder="1" applyAlignment="1">
      <alignment horizontal="right" wrapText="1"/>
    </xf>
    <xf numFmtId="3" fontId="7" fillId="0" borderId="101" xfId="0" applyNumberFormat="1" applyFont="1" applyBorder="1" applyAlignment="1">
      <alignment horizontal="right" wrapText="1"/>
    </xf>
    <xf numFmtId="3" fontId="7" fillId="0" borderId="0" xfId="0" applyNumberFormat="1" applyFont="1" applyAlignment="1">
      <alignment horizontal="right" wrapText="1"/>
    </xf>
    <xf numFmtId="3" fontId="7" fillId="0" borderId="23" xfId="0" applyNumberFormat="1" applyFont="1" applyBorder="1" applyAlignment="1">
      <alignment horizontal="right" wrapText="1"/>
    </xf>
    <xf numFmtId="3" fontId="7" fillId="0" borderId="98" xfId="0" applyNumberFormat="1" applyFont="1" applyBorder="1" applyAlignment="1">
      <alignment horizontal="right" wrapText="1"/>
    </xf>
    <xf numFmtId="3" fontId="7" fillId="0" borderId="36" xfId="0" applyNumberFormat="1" applyFont="1" applyBorder="1" applyAlignment="1">
      <alignment horizontal="right" wrapText="1"/>
    </xf>
    <xf numFmtId="3" fontId="7" fillId="0" borderId="31" xfId="0" applyNumberFormat="1" applyFont="1" applyBorder="1" applyAlignment="1">
      <alignment horizontal="right" wrapText="1"/>
    </xf>
    <xf numFmtId="3" fontId="9" fillId="0" borderId="83" xfId="0" applyNumberFormat="1" applyFont="1" applyBorder="1" applyAlignment="1">
      <alignment horizontal="right" wrapText="1"/>
    </xf>
    <xf numFmtId="3" fontId="9" fillId="0" borderId="49" xfId="0" applyNumberFormat="1" applyFont="1" applyBorder="1" applyAlignment="1">
      <alignment horizontal="right" wrapText="1"/>
    </xf>
    <xf numFmtId="3" fontId="9" fillId="0" borderId="65" xfId="0" applyNumberFormat="1" applyFont="1" applyBorder="1" applyAlignment="1">
      <alignment horizontal="right" wrapText="1"/>
    </xf>
    <xf numFmtId="3" fontId="9" fillId="0" borderId="101" xfId="0" applyNumberFormat="1" applyFont="1" applyBorder="1" applyAlignment="1">
      <alignment horizontal="right" wrapText="1"/>
    </xf>
    <xf numFmtId="3" fontId="9" fillId="0" borderId="101" xfId="0" applyNumberFormat="1" applyFont="1" applyBorder="1" applyAlignment="1">
      <alignment horizontal="right"/>
    </xf>
    <xf numFmtId="9" fontId="10" fillId="0" borderId="0" xfId="5" applyFont="1" applyBorder="1" applyAlignment="1">
      <alignment horizontal="right" wrapText="1"/>
    </xf>
    <xf numFmtId="2" fontId="11" fillId="0" borderId="27" xfId="0" applyNumberFormat="1" applyFont="1" applyBorder="1" applyAlignment="1">
      <alignment horizontal="right"/>
    </xf>
    <xf numFmtId="2" fontId="11" fillId="0" borderId="57" xfId="0" applyNumberFormat="1" applyFont="1" applyBorder="1" applyAlignment="1">
      <alignment horizontal="right"/>
    </xf>
    <xf numFmtId="2" fontId="11" fillId="0" borderId="117" xfId="0" applyNumberFormat="1" applyFont="1" applyBorder="1" applyAlignment="1">
      <alignment horizontal="right"/>
    </xf>
    <xf numFmtId="2" fontId="11" fillId="0" borderId="30" xfId="0" applyNumberFormat="1" applyFont="1" applyBorder="1" applyAlignment="1">
      <alignment horizontal="right"/>
    </xf>
    <xf numFmtId="2" fontId="11" fillId="0" borderId="38" xfId="0" applyNumberFormat="1" applyFont="1" applyBorder="1" applyAlignment="1">
      <alignment horizontal="right"/>
    </xf>
    <xf numFmtId="2" fontId="11" fillId="0" borderId="38" xfId="0" applyNumberFormat="1" applyFont="1" applyBorder="1" applyAlignment="1">
      <alignment horizontal="right" wrapText="1"/>
    </xf>
    <xf numFmtId="3" fontId="7" fillId="0" borderId="181" xfId="0" applyNumberFormat="1" applyFont="1" applyBorder="1" applyAlignment="1">
      <alignment horizontal="right"/>
    </xf>
    <xf numFmtId="2" fontId="9" fillId="0" borderId="182" xfId="0" applyNumberFormat="1" applyFont="1" applyBorder="1"/>
    <xf numFmtId="2" fontId="11" fillId="0" borderId="183" xfId="0" applyNumberFormat="1" applyFont="1" applyBorder="1" applyAlignment="1">
      <alignment horizontal="right"/>
    </xf>
    <xf numFmtId="3" fontId="7" fillId="0" borderId="181" xfId="0" applyNumberFormat="1" applyFont="1" applyBorder="1" applyAlignment="1">
      <alignment horizontal="right" wrapText="1"/>
    </xf>
    <xf numFmtId="2" fontId="9" fillId="0" borderId="183" xfId="0" applyNumberFormat="1" applyFont="1" applyBorder="1"/>
    <xf numFmtId="2" fontId="11" fillId="0" borderId="56" xfId="0" applyNumberFormat="1" applyFont="1" applyBorder="1" applyAlignment="1">
      <alignment horizontal="right"/>
    </xf>
    <xf numFmtId="2" fontId="11" fillId="0" borderId="72" xfId="0" applyNumberFormat="1" applyFont="1" applyBorder="1" applyAlignment="1">
      <alignment horizontal="right"/>
    </xf>
    <xf numFmtId="2" fontId="11" fillId="0" borderId="55" xfId="0" applyNumberFormat="1" applyFont="1" applyBorder="1" applyAlignment="1">
      <alignment horizontal="right"/>
    </xf>
    <xf numFmtId="2" fontId="11" fillId="0" borderId="87" xfId="0" applyNumberFormat="1" applyFont="1" applyBorder="1" applyAlignment="1">
      <alignment horizontal="right"/>
    </xf>
    <xf numFmtId="2" fontId="11" fillId="0" borderId="80" xfId="0" applyNumberFormat="1" applyFont="1" applyBorder="1" applyAlignment="1">
      <alignment horizontal="right"/>
    </xf>
    <xf numFmtId="2" fontId="11" fillId="0" borderId="58" xfId="0" applyNumberFormat="1" applyFont="1" applyBorder="1" applyAlignment="1">
      <alignment horizontal="right"/>
    </xf>
    <xf numFmtId="0" fontId="9" fillId="0" borderId="140" xfId="4" applyFont="1" applyBorder="1"/>
    <xf numFmtId="0" fontId="9" fillId="0" borderId="150" xfId="4" applyFont="1" applyBorder="1" applyAlignment="1">
      <alignment horizontal="center"/>
    </xf>
    <xf numFmtId="3" fontId="7" fillId="0" borderId="81" xfId="0" applyNumberFormat="1" applyFont="1" applyBorder="1" applyAlignment="1">
      <alignment horizontal="right" wrapText="1"/>
    </xf>
    <xf numFmtId="3" fontId="7" fillId="0" borderId="61" xfId="0" applyNumberFormat="1" applyFont="1" applyBorder="1" applyAlignment="1">
      <alignment horizontal="right" wrapText="1"/>
    </xf>
    <xf numFmtId="3" fontId="7" fillId="0" borderId="52" xfId="0" applyNumberFormat="1" applyFont="1" applyBorder="1" applyAlignment="1">
      <alignment horizontal="right" wrapText="1"/>
    </xf>
    <xf numFmtId="2" fontId="9" fillId="0" borderId="40" xfId="0" applyNumberFormat="1" applyFont="1" applyBorder="1"/>
    <xf numFmtId="2" fontId="9" fillId="0" borderId="18" xfId="0" applyNumberFormat="1" applyFont="1" applyBorder="1"/>
    <xf numFmtId="9" fontId="10" fillId="0" borderId="36" xfId="5" applyFont="1" applyBorder="1" applyAlignment="1">
      <alignment horizontal="right" wrapText="1"/>
    </xf>
    <xf numFmtId="2" fontId="7" fillId="0" borderId="205" xfId="0" applyNumberFormat="1" applyFont="1" applyBorder="1"/>
    <xf numFmtId="2" fontId="9" fillId="0" borderId="118" xfId="0" applyNumberFormat="1" applyFont="1" applyBorder="1"/>
    <xf numFmtId="2" fontId="7" fillId="0" borderId="204" xfId="0" applyNumberFormat="1" applyFont="1" applyBorder="1"/>
    <xf numFmtId="2" fontId="9" fillId="0" borderId="42" xfId="0" applyNumberFormat="1" applyFont="1" applyBorder="1"/>
    <xf numFmtId="3" fontId="7" fillId="0" borderId="201" xfId="0" applyNumberFormat="1" applyFont="1" applyBorder="1" applyAlignment="1">
      <alignment horizontal="right" wrapText="1"/>
    </xf>
    <xf numFmtId="3" fontId="9" fillId="0" borderId="102" xfId="0" applyNumberFormat="1" applyFont="1" applyBorder="1" applyAlignment="1">
      <alignment horizontal="right"/>
    </xf>
    <xf numFmtId="3" fontId="9" fillId="0" borderId="56" xfId="0" applyNumberFormat="1" applyFont="1" applyBorder="1" applyAlignment="1">
      <alignment horizontal="right"/>
    </xf>
    <xf numFmtId="3" fontId="9" fillId="0" borderId="32" xfId="0" applyNumberFormat="1" applyFont="1" applyBorder="1" applyAlignment="1">
      <alignment horizontal="right"/>
    </xf>
    <xf numFmtId="3" fontId="9" fillId="0" borderId="55" xfId="0" applyNumberFormat="1" applyFont="1" applyBorder="1" applyAlignment="1">
      <alignment horizontal="right"/>
    </xf>
    <xf numFmtId="3" fontId="9" fillId="0" borderId="142" xfId="0" applyNumberFormat="1" applyFont="1" applyBorder="1" applyAlignment="1">
      <alignment horizontal="right"/>
    </xf>
    <xf numFmtId="3" fontId="9" fillId="0" borderId="74" xfId="0" applyNumberFormat="1" applyFont="1" applyBorder="1" applyAlignment="1">
      <alignment horizontal="right"/>
    </xf>
    <xf numFmtId="2" fontId="11" fillId="0" borderId="47" xfId="0" applyNumberFormat="1" applyFont="1" applyBorder="1" applyAlignment="1">
      <alignment horizontal="right"/>
    </xf>
    <xf numFmtId="2" fontId="11" fillId="0" borderId="131" xfId="0" applyNumberFormat="1" applyFont="1" applyBorder="1" applyAlignment="1">
      <alignment horizontal="right"/>
    </xf>
    <xf numFmtId="2" fontId="11" fillId="0" borderId="206" xfId="0" applyNumberFormat="1" applyFont="1" applyBorder="1" applyAlignment="1">
      <alignment horizontal="right"/>
    </xf>
    <xf numFmtId="2" fontId="11" fillId="0" borderId="193" xfId="0" applyNumberFormat="1" applyFont="1" applyBorder="1" applyAlignment="1">
      <alignment horizontal="right"/>
    </xf>
    <xf numFmtId="2" fontId="11" fillId="0" borderId="148" xfId="0" applyNumberFormat="1" applyFont="1" applyBorder="1" applyAlignment="1">
      <alignment horizontal="right"/>
    </xf>
    <xf numFmtId="2" fontId="11" fillId="0" borderId="149" xfId="0" applyNumberFormat="1" applyFont="1" applyBorder="1" applyAlignment="1">
      <alignment horizontal="right"/>
    </xf>
    <xf numFmtId="2" fontId="11" fillId="0" borderId="46" xfId="0" applyNumberFormat="1" applyFont="1" applyBorder="1" applyAlignment="1">
      <alignment horizontal="right"/>
    </xf>
    <xf numFmtId="2" fontId="11" fillId="0" borderId="133" xfId="0" applyNumberFormat="1" applyFont="1" applyBorder="1" applyAlignment="1">
      <alignment horizontal="right"/>
    </xf>
    <xf numFmtId="2" fontId="11" fillId="0" borderId="166" xfId="0" applyNumberFormat="1" applyFont="1" applyBorder="1" applyAlignment="1">
      <alignment horizontal="right"/>
    </xf>
    <xf numFmtId="2" fontId="11" fillId="0" borderId="135" xfId="0" applyNumberFormat="1" applyFont="1" applyBorder="1" applyAlignment="1">
      <alignment horizontal="right"/>
    </xf>
    <xf numFmtId="3" fontId="9" fillId="0" borderId="140" xfId="0" applyNumberFormat="1" applyFont="1" applyBorder="1" applyAlignment="1">
      <alignment horizontal="right" wrapText="1"/>
    </xf>
    <xf numFmtId="3" fontId="9" fillId="0" borderId="9" xfId="0" applyNumberFormat="1" applyFont="1" applyBorder="1" applyAlignment="1">
      <alignment horizontal="right" wrapText="1"/>
    </xf>
    <xf numFmtId="3" fontId="9" fillId="0" borderId="6" xfId="0" applyNumberFormat="1" applyFont="1" applyBorder="1" applyAlignment="1">
      <alignment horizontal="right" wrapText="1"/>
    </xf>
    <xf numFmtId="9" fontId="11" fillId="0" borderId="9" xfId="5" applyFont="1" applyBorder="1" applyAlignment="1">
      <alignment horizontal="right" wrapText="1"/>
    </xf>
    <xf numFmtId="2" fontId="9" fillId="0" borderId="21" xfId="0" applyNumberFormat="1" applyFont="1" applyBorder="1"/>
    <xf numFmtId="2" fontId="9" fillId="0" borderId="22" xfId="0" applyNumberFormat="1" applyFont="1" applyBorder="1"/>
    <xf numFmtId="2" fontId="9" fillId="0" borderId="14" xfId="0" applyNumberFormat="1" applyFont="1" applyBorder="1"/>
    <xf numFmtId="9" fontId="11" fillId="0" borderId="0" xfId="5" applyFont="1" applyBorder="1" applyAlignment="1">
      <alignment horizontal="right" wrapText="1"/>
    </xf>
    <xf numFmtId="2" fontId="11" fillId="0" borderId="65" xfId="0" applyNumberFormat="1" applyFont="1" applyBorder="1" applyAlignment="1">
      <alignment horizontal="right"/>
    </xf>
    <xf numFmtId="2" fontId="10" fillId="0" borderId="204" xfId="0" applyNumberFormat="1" applyFont="1" applyBorder="1" applyAlignment="1">
      <alignment horizontal="right" wrapText="1"/>
    </xf>
    <xf numFmtId="2" fontId="10" fillId="0" borderId="13" xfId="0" applyNumberFormat="1" applyFont="1" applyBorder="1" applyAlignment="1">
      <alignment horizontal="right" wrapText="1"/>
    </xf>
    <xf numFmtId="2" fontId="7" fillId="0" borderId="60" xfId="0" applyNumberFormat="1" applyFont="1" applyBorder="1"/>
    <xf numFmtId="0" fontId="7" fillId="0" borderId="82" xfId="0" applyFont="1" applyBorder="1"/>
    <xf numFmtId="2" fontId="7" fillId="0" borderId="1" xfId="0" applyNumberFormat="1" applyFont="1" applyBorder="1" applyAlignment="1">
      <alignment horizontal="right" wrapText="1"/>
    </xf>
    <xf numFmtId="2" fontId="7" fillId="0" borderId="15" xfId="0" applyNumberFormat="1" applyFont="1" applyBorder="1" applyAlignment="1">
      <alignment horizontal="right" wrapText="1"/>
    </xf>
    <xf numFmtId="2" fontId="7" fillId="0" borderId="7" xfId="0" applyNumberFormat="1" applyFont="1" applyBorder="1" applyAlignment="1">
      <alignment horizontal="right" wrapText="1"/>
    </xf>
    <xf numFmtId="4" fontId="9" fillId="0" borderId="38" xfId="0" applyNumberFormat="1" applyFont="1" applyBorder="1"/>
    <xf numFmtId="4" fontId="9" fillId="0" borderId="192" xfId="0" applyNumberFormat="1" applyFont="1" applyBorder="1"/>
    <xf numFmtId="2" fontId="9" fillId="0" borderId="19" xfId="0" applyNumberFormat="1" applyFont="1" applyBorder="1" applyAlignment="1">
      <alignment horizontal="right" wrapText="1"/>
    </xf>
    <xf numFmtId="2" fontId="9" fillId="0" borderId="20" xfId="0" applyNumberFormat="1" applyFont="1" applyBorder="1" applyAlignment="1">
      <alignment horizontal="right" wrapText="1"/>
    </xf>
    <xf numFmtId="4" fontId="7" fillId="0" borderId="184" xfId="0" applyNumberFormat="1" applyFont="1" applyBorder="1"/>
    <xf numFmtId="2" fontId="7" fillId="0" borderId="196" xfId="0" applyNumberFormat="1" applyFont="1" applyBorder="1" applyAlignment="1">
      <alignment horizontal="right" wrapText="1"/>
    </xf>
    <xf numFmtId="4" fontId="9" fillId="0" borderId="182" xfId="0" applyNumberFormat="1" applyFont="1" applyBorder="1"/>
    <xf numFmtId="2" fontId="9" fillId="0" borderId="183" xfId="0" applyNumberFormat="1" applyFont="1" applyBorder="1" applyAlignment="1">
      <alignment horizontal="right" wrapText="1"/>
    </xf>
    <xf numFmtId="0" fontId="7" fillId="0" borderId="181" xfId="0" applyFont="1" applyBorder="1"/>
    <xf numFmtId="0" fontId="7" fillId="0" borderId="185" xfId="0" applyFont="1" applyBorder="1"/>
    <xf numFmtId="4" fontId="7" fillId="0" borderId="190" xfId="0" applyNumberFormat="1" applyFont="1" applyBorder="1"/>
    <xf numFmtId="0" fontId="7" fillId="0" borderId="101" xfId="0" applyFont="1" applyBorder="1"/>
    <xf numFmtId="2" fontId="7" fillId="0" borderId="24" xfId="0" applyNumberFormat="1" applyFont="1" applyBorder="1" applyAlignment="1">
      <alignment horizontal="right" wrapText="1"/>
    </xf>
    <xf numFmtId="2" fontId="7" fillId="0" borderId="57" xfId="0" applyNumberFormat="1" applyFont="1" applyBorder="1" applyAlignment="1">
      <alignment horizontal="right" wrapText="1"/>
    </xf>
    <xf numFmtId="2" fontId="7" fillId="0" borderId="200" xfId="0" applyNumberFormat="1" applyFont="1" applyBorder="1" applyAlignment="1">
      <alignment horizontal="right" wrapText="1"/>
    </xf>
    <xf numFmtId="4" fontId="7" fillId="0" borderId="76" xfId="0" applyNumberFormat="1" applyFont="1" applyBorder="1"/>
    <xf numFmtId="4" fontId="7" fillId="0" borderId="108" xfId="0" applyNumberFormat="1" applyFont="1" applyBorder="1"/>
    <xf numFmtId="2" fontId="7" fillId="0" borderId="51" xfId="0" applyNumberFormat="1" applyFont="1" applyBorder="1" applyAlignment="1">
      <alignment horizontal="right" wrapText="1"/>
    </xf>
    <xf numFmtId="2" fontId="7" fillId="0" borderId="76" xfId="0" applyNumberFormat="1" applyFont="1" applyBorder="1" applyAlignment="1">
      <alignment horizontal="right" wrapText="1"/>
    </xf>
    <xf numFmtId="2" fontId="7" fillId="0" borderId="136" xfId="0" applyNumberFormat="1" applyFont="1" applyBorder="1" applyAlignment="1">
      <alignment horizontal="right" wrapText="1"/>
    </xf>
    <xf numFmtId="2" fontId="7" fillId="0" borderId="4" xfId="0" applyNumberFormat="1" applyFont="1" applyBorder="1" applyAlignment="1">
      <alignment horizontal="right" wrapText="1"/>
    </xf>
    <xf numFmtId="4" fontId="9" fillId="0" borderId="138" xfId="0" applyNumberFormat="1" applyFont="1" applyBorder="1"/>
    <xf numFmtId="4" fontId="9" fillId="0" borderId="50" xfId="0" applyNumberFormat="1" applyFont="1" applyBorder="1"/>
    <xf numFmtId="2" fontId="9" fillId="0" borderId="64" xfId="0" applyNumberFormat="1" applyFont="1" applyBorder="1" applyAlignment="1">
      <alignment horizontal="right" wrapText="1"/>
    </xf>
    <xf numFmtId="2" fontId="9" fillId="0" borderId="68" xfId="0" applyNumberFormat="1" applyFont="1" applyBorder="1" applyAlignment="1">
      <alignment horizontal="right" wrapText="1"/>
    </xf>
    <xf numFmtId="2" fontId="9" fillId="0" borderId="75" xfId="0" applyNumberFormat="1" applyFont="1" applyBorder="1" applyAlignment="1">
      <alignment horizontal="right" wrapText="1"/>
    </xf>
    <xf numFmtId="2" fontId="9" fillId="0" borderId="139" xfId="0" applyNumberFormat="1" applyFont="1" applyBorder="1" applyAlignment="1">
      <alignment horizontal="right" wrapText="1"/>
    </xf>
    <xf numFmtId="2" fontId="9" fillId="0" borderId="50" xfId="0" applyNumberFormat="1" applyFont="1" applyBorder="1" applyAlignment="1">
      <alignment horizontal="right" wrapText="1"/>
    </xf>
    <xf numFmtId="0" fontId="7" fillId="0" borderId="81" xfId="0" applyFont="1" applyBorder="1"/>
    <xf numFmtId="0" fontId="9" fillId="0" borderId="101" xfId="0" applyFont="1" applyBorder="1"/>
    <xf numFmtId="4" fontId="9" fillId="0" borderId="0" xfId="0" applyNumberFormat="1" applyFont="1"/>
    <xf numFmtId="4" fontId="9" fillId="0" borderId="57" xfId="0" applyNumberFormat="1" applyFont="1" applyBorder="1"/>
    <xf numFmtId="4" fontId="9" fillId="0" borderId="199" xfId="0" applyNumberFormat="1" applyFont="1" applyBorder="1"/>
    <xf numFmtId="4" fontId="9" fillId="0" borderId="27" xfId="0" applyNumberFormat="1" applyFont="1" applyBorder="1"/>
    <xf numFmtId="4" fontId="9" fillId="0" borderId="30" xfId="0" applyNumberFormat="1" applyFont="1" applyBorder="1"/>
    <xf numFmtId="2" fontId="9" fillId="0" borderId="24" xfId="0" applyNumberFormat="1" applyFont="1" applyBorder="1" applyAlignment="1">
      <alignment horizontal="right" wrapText="1"/>
    </xf>
    <xf numFmtId="2" fontId="9" fillId="0" borderId="57" xfId="0" applyNumberFormat="1" applyFont="1" applyBorder="1" applyAlignment="1">
      <alignment horizontal="right" wrapText="1"/>
    </xf>
    <xf numFmtId="2" fontId="9" fillId="0" borderId="117" xfId="0" applyNumberFormat="1" applyFont="1" applyBorder="1" applyAlignment="1">
      <alignment horizontal="right" wrapText="1"/>
    </xf>
    <xf numFmtId="2" fontId="9" fillId="0" borderId="200" xfId="0" applyNumberFormat="1" applyFont="1" applyBorder="1" applyAlignment="1">
      <alignment horizontal="right" wrapText="1"/>
    </xf>
    <xf numFmtId="2" fontId="9" fillId="0" borderId="38" xfId="0" applyNumberFormat="1" applyFont="1" applyBorder="1" applyAlignment="1">
      <alignment horizontal="right" wrapText="1"/>
    </xf>
    <xf numFmtId="9" fontId="8" fillId="0" borderId="25" xfId="5" applyFont="1" applyBorder="1" applyAlignment="1">
      <alignment horizontal="right"/>
    </xf>
    <xf numFmtId="4" fontId="9" fillId="0" borderId="133" xfId="0" applyNumberFormat="1" applyFont="1" applyBorder="1"/>
    <xf numFmtId="4" fontId="9" fillId="0" borderId="87" xfId="0" applyNumberFormat="1" applyFont="1" applyBorder="1"/>
    <xf numFmtId="4" fontId="9" fillId="0" borderId="207" xfId="0" applyNumberFormat="1" applyFont="1" applyBorder="1"/>
    <xf numFmtId="4" fontId="9" fillId="0" borderId="132" xfId="0" applyNumberFormat="1" applyFont="1" applyBorder="1"/>
    <xf numFmtId="4" fontId="9" fillId="0" borderId="149" xfId="0" applyNumberFormat="1" applyFont="1" applyBorder="1"/>
    <xf numFmtId="2" fontId="9" fillId="0" borderId="72" xfId="0" applyNumberFormat="1" applyFont="1" applyBorder="1" applyAlignment="1">
      <alignment horizontal="right" wrapText="1"/>
    </xf>
    <xf numFmtId="2" fontId="9" fillId="0" borderId="87" xfId="0" applyNumberFormat="1" applyFont="1" applyBorder="1" applyAlignment="1">
      <alignment horizontal="right" wrapText="1"/>
    </xf>
    <xf numFmtId="2" fontId="9" fillId="0" borderId="148" xfId="0" applyNumberFormat="1" applyFont="1" applyBorder="1" applyAlignment="1">
      <alignment horizontal="right" wrapText="1"/>
    </xf>
    <xf numFmtId="2" fontId="9" fillId="0" borderId="208" xfId="0" applyNumberFormat="1" applyFont="1" applyBorder="1" applyAlignment="1">
      <alignment horizontal="right" wrapText="1"/>
    </xf>
    <xf numFmtId="2" fontId="9" fillId="0" borderId="131" xfId="0" applyNumberFormat="1" applyFont="1" applyBorder="1" applyAlignment="1">
      <alignment horizontal="right" wrapText="1"/>
    </xf>
    <xf numFmtId="9" fontId="8" fillId="0" borderId="74" xfId="5" applyFont="1" applyBorder="1" applyAlignment="1">
      <alignment horizontal="right"/>
    </xf>
    <xf numFmtId="4" fontId="8" fillId="0" borderId="80" xfId="0" applyNumberFormat="1" applyFont="1" applyBorder="1"/>
    <xf numFmtId="2" fontId="9" fillId="0" borderId="80" xfId="0" applyNumberFormat="1" applyFont="1" applyBorder="1"/>
    <xf numFmtId="2" fontId="9" fillId="0" borderId="87" xfId="0" applyNumberFormat="1" applyFont="1" applyBorder="1"/>
    <xf numFmtId="2" fontId="9" fillId="0" borderId="207" xfId="0" applyNumberFormat="1" applyFont="1" applyBorder="1"/>
    <xf numFmtId="2" fontId="9" fillId="0" borderId="72" xfId="0" applyNumberFormat="1" applyFont="1" applyBorder="1"/>
    <xf numFmtId="2" fontId="9" fillId="0" borderId="149" xfId="0" applyNumberFormat="1" applyFont="1" applyBorder="1"/>
    <xf numFmtId="2" fontId="9" fillId="0" borderId="133" xfId="0" applyNumberFormat="1" applyFont="1" applyBorder="1"/>
    <xf numFmtId="0" fontId="7" fillId="0" borderId="27" xfId="0" applyFont="1" applyBorder="1" applyAlignment="1">
      <alignment horizontal="center"/>
    </xf>
    <xf numFmtId="0" fontId="7" fillId="0" borderId="37" xfId="0" applyFont="1" applyBorder="1" applyAlignment="1">
      <alignment horizontal="center"/>
    </xf>
    <xf numFmtId="0" fontId="7" fillId="0" borderId="181" xfId="0" applyFont="1" applyBorder="1" applyAlignment="1">
      <alignment horizontal="center"/>
    </xf>
    <xf numFmtId="0" fontId="7" fillId="0" borderId="59" xfId="0" applyFont="1" applyBorder="1" applyAlignment="1">
      <alignment horizontal="center"/>
    </xf>
    <xf numFmtId="2" fontId="7" fillId="0" borderId="51" xfId="0" applyNumberFormat="1" applyFont="1" applyBorder="1" applyAlignment="1">
      <alignment horizontal="right"/>
    </xf>
    <xf numFmtId="2" fontId="7" fillId="0" borderId="76" xfId="0" applyNumberFormat="1" applyFont="1" applyBorder="1" applyAlignment="1">
      <alignment horizontal="right"/>
    </xf>
    <xf numFmtId="2" fontId="7" fillId="0" borderId="136" xfId="0" applyNumberFormat="1" applyFont="1" applyBorder="1" applyAlignment="1">
      <alignment horizontal="right"/>
    </xf>
    <xf numFmtId="4" fontId="9" fillId="0" borderId="107" xfId="0" applyNumberFormat="1" applyFont="1" applyBorder="1"/>
    <xf numFmtId="4" fontId="9" fillId="0" borderId="198" xfId="0" applyNumberFormat="1" applyFont="1" applyBorder="1"/>
    <xf numFmtId="4" fontId="9" fillId="0" borderId="197" xfId="0" applyNumberFormat="1" applyFont="1" applyBorder="1"/>
    <xf numFmtId="4" fontId="9" fillId="0" borderId="34" xfId="0" applyNumberFormat="1" applyFont="1" applyBorder="1"/>
    <xf numFmtId="4" fontId="9" fillId="0" borderId="62" xfId="0" applyNumberFormat="1" applyFont="1" applyBorder="1"/>
    <xf numFmtId="2" fontId="9" fillId="0" borderId="62" xfId="0" applyNumberFormat="1" applyFont="1" applyBorder="1" applyAlignment="1">
      <alignment horizontal="right" wrapText="1"/>
    </xf>
    <xf numFmtId="2" fontId="9" fillId="0" borderId="62" xfId="0" applyNumberFormat="1" applyFont="1" applyBorder="1" applyAlignment="1">
      <alignment horizontal="right"/>
    </xf>
    <xf numFmtId="2" fontId="9" fillId="0" borderId="115" xfId="0" applyNumberFormat="1" applyFont="1" applyBorder="1" applyAlignment="1">
      <alignment horizontal="right" wrapText="1"/>
    </xf>
    <xf numFmtId="2" fontId="9" fillId="0" borderId="115" xfId="0" applyNumberFormat="1" applyFont="1" applyBorder="1" applyAlignment="1">
      <alignment horizontal="right"/>
    </xf>
    <xf numFmtId="2" fontId="9" fillId="0" borderId="192" xfId="0" applyNumberFormat="1" applyFont="1" applyBorder="1" applyAlignment="1">
      <alignment horizontal="right" wrapText="1"/>
    </xf>
    <xf numFmtId="2" fontId="9" fillId="0" borderId="43" xfId="0" applyNumberFormat="1" applyFont="1" applyBorder="1" applyAlignment="1">
      <alignment horizontal="right" wrapText="1"/>
    </xf>
    <xf numFmtId="4" fontId="9" fillId="0" borderId="131" xfId="0" applyNumberFormat="1" applyFont="1" applyBorder="1"/>
    <xf numFmtId="2" fontId="9" fillId="0" borderId="131" xfId="0" applyNumberFormat="1" applyFont="1" applyBorder="1"/>
    <xf numFmtId="4" fontId="9" fillId="0" borderId="116" xfId="0" applyNumberFormat="1" applyFont="1" applyBorder="1"/>
    <xf numFmtId="4" fontId="9" fillId="0" borderId="117" xfId="0" applyNumberFormat="1" applyFont="1" applyBorder="1"/>
    <xf numFmtId="4" fontId="7" fillId="0" borderId="205" xfId="0" applyNumberFormat="1" applyFont="1" applyBorder="1"/>
    <xf numFmtId="4" fontId="9" fillId="0" borderId="41" xfId="0" applyNumberFormat="1" applyFont="1" applyBorder="1"/>
    <xf numFmtId="4" fontId="9" fillId="0" borderId="43" xfId="0" applyNumberFormat="1" applyFont="1" applyBorder="1"/>
    <xf numFmtId="2" fontId="7" fillId="0" borderId="205" xfId="0" applyNumberFormat="1" applyFont="1" applyBorder="1" applyAlignment="1">
      <alignment horizontal="right" wrapText="1"/>
    </xf>
    <xf numFmtId="2" fontId="7" fillId="0" borderId="209" xfId="0" applyNumberFormat="1" applyFont="1" applyBorder="1" applyAlignment="1">
      <alignment horizontal="right" wrapText="1"/>
    </xf>
    <xf numFmtId="4" fontId="9" fillId="0" borderId="69" xfId="0" applyNumberFormat="1" applyFont="1" applyBorder="1"/>
    <xf numFmtId="4" fontId="9" fillId="0" borderId="75" xfId="0" applyNumberFormat="1" applyFont="1" applyBorder="1"/>
    <xf numFmtId="2" fontId="9" fillId="0" borderId="64" xfId="0" applyNumberFormat="1" applyFont="1" applyBorder="1" applyAlignment="1">
      <alignment horizontal="right"/>
    </xf>
    <xf numFmtId="2" fontId="9" fillId="0" borderId="68" xfId="0" applyNumberFormat="1" applyFont="1" applyBorder="1" applyAlignment="1">
      <alignment horizontal="right"/>
    </xf>
    <xf numFmtId="2" fontId="9" fillId="0" borderId="75" xfId="0" applyNumberFormat="1" applyFont="1" applyBorder="1" applyAlignment="1">
      <alignment horizontal="right"/>
    </xf>
    <xf numFmtId="2" fontId="9" fillId="0" borderId="139" xfId="0" applyNumberFormat="1" applyFont="1" applyBorder="1" applyAlignment="1">
      <alignment horizontal="right"/>
    </xf>
    <xf numFmtId="2" fontId="9" fillId="0" borderId="50" xfId="0" applyNumberFormat="1" applyFont="1" applyBorder="1" applyAlignment="1">
      <alignment horizontal="right"/>
    </xf>
    <xf numFmtId="0" fontId="7" fillId="0" borderId="28" xfId="0" applyFont="1" applyBorder="1" applyAlignment="1">
      <alignment horizontal="center"/>
    </xf>
    <xf numFmtId="2" fontId="7" fillId="0" borderId="205" xfId="0" applyNumberFormat="1" applyFont="1" applyBorder="1" applyAlignment="1">
      <alignment horizontal="right"/>
    </xf>
    <xf numFmtId="2" fontId="9" fillId="0" borderId="43" xfId="0" applyNumberFormat="1" applyFont="1" applyBorder="1" applyAlignment="1">
      <alignment horizontal="right"/>
    </xf>
    <xf numFmtId="2" fontId="7" fillId="0" borderId="209" xfId="0" applyNumberFormat="1" applyFont="1" applyBorder="1" applyAlignment="1">
      <alignment horizontal="right"/>
    </xf>
    <xf numFmtId="9" fontId="6" fillId="0" borderId="5" xfId="5" applyFont="1" applyBorder="1" applyAlignment="1">
      <alignment horizontal="right"/>
    </xf>
    <xf numFmtId="2" fontId="11" fillId="0" borderId="0" xfId="0" applyNumberFormat="1" applyFont="1" applyAlignment="1">
      <alignment horizontal="right" wrapText="1"/>
    </xf>
    <xf numFmtId="9" fontId="10" fillId="0" borderId="181" xfId="5" applyFont="1" applyBorder="1" applyAlignment="1">
      <alignment horizontal="right" wrapText="1"/>
    </xf>
    <xf numFmtId="9" fontId="10" fillId="0" borderId="101" xfId="5" applyFont="1" applyBorder="1" applyAlignment="1">
      <alignment horizontal="right" wrapText="1"/>
    </xf>
    <xf numFmtId="9" fontId="11" fillId="0" borderId="101" xfId="5" applyFont="1" applyBorder="1" applyAlignment="1">
      <alignment horizontal="right" wrapText="1"/>
    </xf>
    <xf numFmtId="2" fontId="11" fillId="0" borderId="24" xfId="0" applyNumberFormat="1" applyFont="1" applyBorder="1" applyAlignment="1">
      <alignment horizontal="right" wrapText="1"/>
    </xf>
    <xf numFmtId="2" fontId="11" fillId="0" borderId="30" xfId="0" applyNumberFormat="1" applyFont="1" applyBorder="1" applyAlignment="1">
      <alignment horizontal="right" wrapText="1"/>
    </xf>
    <xf numFmtId="9" fontId="11" fillId="0" borderId="142" xfId="5" applyFont="1" applyBorder="1" applyAlignment="1">
      <alignment horizontal="right" wrapText="1"/>
    </xf>
    <xf numFmtId="2" fontId="11" fillId="0" borderId="72" xfId="0" applyNumberFormat="1" applyFont="1" applyBorder="1" applyAlignment="1">
      <alignment horizontal="right" wrapText="1"/>
    </xf>
    <xf numFmtId="2" fontId="11" fillId="0" borderId="149" xfId="0" applyNumberFormat="1" applyFont="1" applyBorder="1" applyAlignment="1">
      <alignment horizontal="right" wrapText="1"/>
    </xf>
    <xf numFmtId="2" fontId="9" fillId="0" borderId="30" xfId="0" applyNumberFormat="1" applyFont="1" applyBorder="1" applyAlignment="1">
      <alignment horizontal="right" wrapText="1"/>
    </xf>
    <xf numFmtId="2" fontId="9" fillId="0" borderId="70" xfId="0" applyNumberFormat="1" applyFont="1" applyBorder="1" applyAlignment="1">
      <alignment horizontal="right" wrapText="1"/>
    </xf>
    <xf numFmtId="2" fontId="7" fillId="0" borderId="35" xfId="0" applyNumberFormat="1" applyFont="1" applyBorder="1" applyAlignment="1">
      <alignment horizontal="right" wrapText="1"/>
    </xf>
    <xf numFmtId="2" fontId="7" fillId="0" borderId="13" xfId="0" applyNumberFormat="1" applyFont="1" applyBorder="1" applyAlignment="1">
      <alignment horizontal="right" wrapText="1"/>
    </xf>
    <xf numFmtId="2" fontId="9" fillId="0" borderId="42" xfId="0" applyNumberFormat="1" applyFont="1" applyBorder="1" applyAlignment="1">
      <alignment horizontal="right" wrapText="1"/>
    </xf>
    <xf numFmtId="2" fontId="7" fillId="0" borderId="108" xfId="0" applyNumberFormat="1" applyFont="1" applyBorder="1" applyAlignment="1">
      <alignment horizontal="right" wrapText="1"/>
    </xf>
    <xf numFmtId="2" fontId="7" fillId="0" borderId="184" xfId="0" applyNumberFormat="1" applyFont="1" applyBorder="1" applyAlignment="1">
      <alignment horizontal="right" wrapText="1"/>
    </xf>
    <xf numFmtId="2" fontId="9" fillId="0" borderId="149" xfId="0" applyNumberFormat="1" applyFont="1" applyBorder="1" applyAlignment="1">
      <alignment horizontal="right" wrapText="1"/>
    </xf>
    <xf numFmtId="2" fontId="7" fillId="0" borderId="204" xfId="0" applyNumberFormat="1" applyFont="1" applyBorder="1" applyAlignment="1">
      <alignment horizontal="right" wrapText="1"/>
    </xf>
    <xf numFmtId="9" fontId="9" fillId="0" borderId="142" xfId="5" applyFont="1" applyBorder="1"/>
    <xf numFmtId="9" fontId="10" fillId="0" borderId="25" xfId="5" applyFont="1" applyBorder="1" applyAlignment="1">
      <alignment horizontal="right" wrapText="1"/>
    </xf>
    <xf numFmtId="2" fontId="9" fillId="0" borderId="117" xfId="0" applyNumberFormat="1" applyFont="1" applyBorder="1"/>
    <xf numFmtId="2" fontId="11" fillId="0" borderId="117" xfId="0" applyNumberFormat="1" applyFont="1" applyBorder="1" applyAlignment="1">
      <alignment horizontal="right" wrapText="1"/>
    </xf>
    <xf numFmtId="9" fontId="11" fillId="0" borderId="25" xfId="5" applyFont="1" applyBorder="1" applyAlignment="1">
      <alignment horizontal="right" wrapText="1"/>
    </xf>
    <xf numFmtId="2" fontId="9" fillId="0" borderId="192" xfId="0" applyNumberFormat="1" applyFont="1" applyBorder="1"/>
    <xf numFmtId="2" fontId="7" fillId="0" borderId="26" xfId="0" applyNumberFormat="1" applyFont="1" applyBorder="1"/>
    <xf numFmtId="0" fontId="6" fillId="0" borderId="0" xfId="0" applyFont="1" applyAlignment="1">
      <alignment wrapText="1"/>
    </xf>
    <xf numFmtId="3" fontId="11" fillId="0" borderId="67" xfId="0" applyNumberFormat="1" applyFont="1" applyBorder="1" applyAlignment="1">
      <alignment horizontal="right"/>
    </xf>
    <xf numFmtId="164" fontId="31" fillId="0" borderId="0" xfId="0" applyNumberFormat="1" applyFont="1"/>
    <xf numFmtId="0" fontId="7" fillId="0" borderId="49" xfId="0" applyFont="1" applyBorder="1"/>
    <xf numFmtId="2" fontId="11" fillId="0" borderId="183" xfId="0" applyNumberFormat="1" applyFont="1" applyBorder="1" applyAlignment="1">
      <alignment horizontal="right" wrapText="1"/>
    </xf>
    <xf numFmtId="2" fontId="9" fillId="0" borderId="148" xfId="0" applyNumberFormat="1" applyFont="1" applyBorder="1"/>
    <xf numFmtId="2" fontId="11" fillId="0" borderId="148" xfId="0" applyNumberFormat="1" applyFont="1" applyBorder="1" applyAlignment="1">
      <alignment horizontal="right" wrapText="1"/>
    </xf>
    <xf numFmtId="3" fontId="11" fillId="0" borderId="26" xfId="0" applyNumberFormat="1" applyFont="1" applyBorder="1" applyAlignment="1">
      <alignment horizontal="right" wrapText="1"/>
    </xf>
    <xf numFmtId="3" fontId="11" fillId="0" borderId="23" xfId="0" applyNumberFormat="1" applyFont="1" applyBorder="1" applyAlignment="1">
      <alignment horizontal="right" wrapText="1"/>
    </xf>
    <xf numFmtId="0" fontId="7" fillId="0" borderId="63" xfId="0" applyFont="1" applyBorder="1"/>
    <xf numFmtId="3" fontId="10" fillId="0" borderId="201" xfId="0" applyNumberFormat="1" applyFont="1" applyBorder="1" applyAlignment="1">
      <alignment horizontal="right" wrapText="1"/>
    </xf>
    <xf numFmtId="9" fontId="10" fillId="0" borderId="202" xfId="5" applyFont="1" applyBorder="1" applyAlignment="1">
      <alignment horizontal="right" wrapText="1"/>
    </xf>
    <xf numFmtId="3" fontId="11" fillId="0" borderId="67" xfId="0" applyNumberFormat="1" applyFont="1" applyBorder="1" applyAlignment="1">
      <alignment horizontal="right" wrapText="1"/>
    </xf>
    <xf numFmtId="3" fontId="11" fillId="0" borderId="65" xfId="0" applyNumberFormat="1" applyFont="1" applyBorder="1" applyAlignment="1">
      <alignment horizontal="right" wrapText="1"/>
    </xf>
    <xf numFmtId="2" fontId="7" fillId="0" borderId="10" xfId="0" applyNumberFormat="1" applyFont="1" applyBorder="1" applyAlignment="1">
      <alignment horizontal="right" wrapText="1"/>
    </xf>
    <xf numFmtId="2" fontId="7" fillId="0" borderId="12" xfId="0" applyNumberFormat="1" applyFont="1" applyBorder="1" applyAlignment="1">
      <alignment horizontal="right" wrapText="1"/>
    </xf>
    <xf numFmtId="2" fontId="9" fillId="0" borderId="26" xfId="0" applyNumberFormat="1" applyFont="1" applyBorder="1"/>
    <xf numFmtId="2" fontId="9" fillId="0" borderId="26" xfId="0" applyNumberFormat="1" applyFont="1" applyBorder="1" applyAlignment="1">
      <alignment horizontal="right" wrapText="1"/>
    </xf>
    <xf numFmtId="2" fontId="7" fillId="0" borderId="60" xfId="0" applyNumberFormat="1" applyFont="1" applyBorder="1" applyAlignment="1">
      <alignment horizontal="right" wrapText="1"/>
    </xf>
    <xf numFmtId="2" fontId="9" fillId="0" borderId="67" xfId="0" applyNumberFormat="1" applyFont="1" applyBorder="1" applyAlignment="1">
      <alignment horizontal="right" wrapText="1"/>
    </xf>
    <xf numFmtId="2" fontId="7" fillId="0" borderId="30" xfId="0" applyNumberFormat="1" applyFont="1" applyBorder="1" applyAlignment="1">
      <alignment horizontal="right" wrapText="1"/>
    </xf>
    <xf numFmtId="2" fontId="7" fillId="0" borderId="26" xfId="0" applyNumberFormat="1" applyFont="1" applyBorder="1" applyAlignment="1">
      <alignment horizontal="right" wrapText="1"/>
    </xf>
    <xf numFmtId="2" fontId="9" fillId="0" borderId="67" xfId="0" applyNumberFormat="1" applyFont="1" applyBorder="1" applyAlignment="1">
      <alignment horizontal="right"/>
    </xf>
    <xf numFmtId="2" fontId="9" fillId="0" borderId="70" xfId="0" applyNumberFormat="1" applyFont="1" applyBorder="1" applyAlignment="1">
      <alignment horizontal="right"/>
    </xf>
    <xf numFmtId="2" fontId="11" fillId="0" borderId="26" xfId="0" applyNumberFormat="1" applyFont="1" applyBorder="1" applyAlignment="1">
      <alignment horizontal="right" wrapText="1"/>
    </xf>
    <xf numFmtId="2" fontId="11" fillId="0" borderId="57" xfId="0" applyNumberFormat="1" applyFont="1" applyBorder="1" applyAlignment="1">
      <alignment horizontal="right" wrapText="1"/>
    </xf>
    <xf numFmtId="9" fontId="11" fillId="0" borderId="140" xfId="5" applyFont="1" applyBorder="1" applyAlignment="1">
      <alignment horizontal="right" wrapText="1"/>
    </xf>
    <xf numFmtId="2" fontId="11" fillId="0" borderId="80" xfId="0" applyNumberFormat="1" applyFont="1" applyBorder="1" applyAlignment="1">
      <alignment horizontal="right" wrapText="1"/>
    </xf>
    <xf numFmtId="2" fontId="11" fillId="0" borderId="87" xfId="0" applyNumberFormat="1" applyFont="1" applyBorder="1" applyAlignment="1">
      <alignment horizontal="right" wrapText="1"/>
    </xf>
    <xf numFmtId="3" fontId="11" fillId="0" borderId="80" xfId="0" applyNumberFormat="1" applyFont="1" applyBorder="1" applyAlignment="1">
      <alignment horizontal="right" wrapText="1"/>
    </xf>
    <xf numFmtId="3" fontId="11" fillId="0" borderId="73" xfId="0" applyNumberFormat="1" applyFont="1" applyBorder="1" applyAlignment="1">
      <alignment horizontal="right" wrapText="1"/>
    </xf>
    <xf numFmtId="9" fontId="11" fillId="0" borderId="74" xfId="5" applyFont="1" applyBorder="1" applyAlignment="1">
      <alignment horizontal="right" wrapText="1"/>
    </xf>
    <xf numFmtId="3" fontId="9" fillId="0" borderId="142" xfId="0" applyNumberFormat="1" applyFont="1" applyBorder="1" applyAlignment="1">
      <alignment horizontal="right" wrapText="1"/>
    </xf>
    <xf numFmtId="2" fontId="8" fillId="0" borderId="191" xfId="0" applyNumberFormat="1" applyFont="1" applyBorder="1"/>
    <xf numFmtId="2" fontId="6" fillId="0" borderId="16" xfId="0" applyNumberFormat="1" applyFont="1" applyBorder="1"/>
    <xf numFmtId="2" fontId="6" fillId="0" borderId="136" xfId="0" applyNumberFormat="1" applyFont="1" applyBorder="1"/>
    <xf numFmtId="2" fontId="6" fillId="0" borderId="210" xfId="0" applyNumberFormat="1" applyFont="1" applyBorder="1"/>
    <xf numFmtId="0" fontId="7" fillId="0" borderId="98" xfId="0" applyFont="1" applyBorder="1"/>
    <xf numFmtId="0" fontId="7" fillId="0" borderId="42" xfId="0" applyFont="1" applyBorder="1"/>
    <xf numFmtId="2" fontId="7" fillId="0" borderId="11" xfId="0" applyNumberFormat="1" applyFont="1" applyBorder="1" applyAlignment="1">
      <alignment horizontal="right"/>
    </xf>
    <xf numFmtId="2" fontId="7" fillId="0" borderId="16" xfId="0" applyNumberFormat="1" applyFont="1" applyBorder="1" applyAlignment="1">
      <alignment horizontal="right"/>
    </xf>
    <xf numFmtId="2" fontId="9" fillId="0" borderId="39" xfId="0" applyNumberFormat="1" applyFont="1" applyBorder="1" applyAlignment="1">
      <alignment horizontal="right"/>
    </xf>
    <xf numFmtId="2" fontId="7" fillId="0" borderId="35" xfId="0" applyNumberFormat="1" applyFont="1" applyBorder="1" applyAlignment="1">
      <alignment horizontal="right"/>
    </xf>
    <xf numFmtId="2" fontId="7" fillId="0" borderId="13" xfId="0" applyNumberFormat="1" applyFont="1" applyBorder="1" applyAlignment="1">
      <alignment horizontal="right"/>
    </xf>
    <xf numFmtId="2" fontId="9" fillId="0" borderId="42" xfId="0" applyNumberFormat="1" applyFont="1" applyBorder="1" applyAlignment="1">
      <alignment horizontal="right"/>
    </xf>
    <xf numFmtId="2" fontId="7" fillId="0" borderId="11" xfId="0" applyNumberFormat="1" applyFont="1" applyBorder="1" applyAlignment="1">
      <alignment horizontal="right" wrapText="1"/>
    </xf>
    <xf numFmtId="2" fontId="7" fillId="0" borderId="16" xfId="0" applyNumberFormat="1" applyFont="1" applyBorder="1" applyAlignment="1">
      <alignment horizontal="right" wrapText="1"/>
    </xf>
    <xf numFmtId="2" fontId="9" fillId="0" borderId="39" xfId="0" applyNumberFormat="1" applyFont="1" applyBorder="1" applyAlignment="1">
      <alignment horizontal="right" wrapText="1"/>
    </xf>
    <xf numFmtId="0" fontId="9" fillId="0" borderId="38" xfId="0" applyFont="1" applyBorder="1"/>
    <xf numFmtId="2" fontId="9" fillId="0" borderId="26" xfId="0" applyNumberFormat="1" applyFont="1" applyBorder="1" applyAlignment="1">
      <alignment horizontal="right"/>
    </xf>
    <xf numFmtId="2" fontId="9" fillId="0" borderId="57" xfId="0" applyNumberFormat="1" applyFont="1" applyBorder="1" applyAlignment="1">
      <alignment horizontal="right"/>
    </xf>
    <xf numFmtId="2" fontId="9" fillId="0" borderId="117" xfId="0" applyNumberFormat="1" applyFont="1" applyBorder="1" applyAlignment="1">
      <alignment horizontal="right"/>
    </xf>
    <xf numFmtId="2" fontId="9" fillId="0" borderId="24" xfId="0" applyNumberFormat="1" applyFont="1" applyBorder="1" applyAlignment="1">
      <alignment horizontal="right"/>
    </xf>
    <xf numFmtId="2" fontId="9" fillId="0" borderId="30" xfId="0" applyNumberFormat="1" applyFont="1" applyBorder="1" applyAlignment="1">
      <alignment horizontal="right"/>
    </xf>
    <xf numFmtId="2" fontId="9" fillId="0" borderId="38" xfId="0" applyNumberFormat="1" applyFont="1" applyBorder="1" applyAlignment="1">
      <alignment horizontal="right"/>
    </xf>
    <xf numFmtId="2" fontId="7" fillId="0" borderId="60" xfId="0" applyNumberFormat="1" applyFont="1" applyBorder="1" applyAlignment="1">
      <alignment horizontal="right"/>
    </xf>
    <xf numFmtId="2" fontId="7" fillId="0" borderId="108" xfId="0" applyNumberFormat="1" applyFont="1" applyBorder="1" applyAlignment="1">
      <alignment horizontal="right"/>
    </xf>
    <xf numFmtId="2" fontId="7" fillId="0" borderId="204" xfId="0" applyNumberFormat="1" applyFont="1" applyBorder="1" applyAlignment="1">
      <alignment horizontal="right"/>
    </xf>
    <xf numFmtId="0" fontId="9" fillId="0" borderId="50" xfId="0" applyFont="1" applyBorder="1"/>
    <xf numFmtId="2" fontId="9" fillId="0" borderId="183" xfId="0" applyNumberFormat="1" applyFont="1" applyBorder="1" applyAlignment="1">
      <alignment horizontal="right"/>
    </xf>
    <xf numFmtId="2" fontId="7" fillId="0" borderId="184" xfId="0" applyNumberFormat="1" applyFont="1" applyBorder="1" applyAlignment="1">
      <alignment horizontal="right"/>
    </xf>
    <xf numFmtId="2" fontId="9" fillId="0" borderId="192" xfId="0" applyNumberFormat="1" applyFont="1" applyBorder="1" applyAlignment="1">
      <alignment horizontal="right"/>
    </xf>
    <xf numFmtId="2" fontId="9" fillId="0" borderId="191" xfId="0" applyNumberFormat="1" applyFont="1" applyBorder="1" applyAlignment="1">
      <alignment horizontal="right"/>
    </xf>
    <xf numFmtId="2" fontId="9" fillId="0" borderId="182" xfId="0" applyNumberFormat="1" applyFont="1" applyBorder="1" applyAlignment="1">
      <alignment horizontal="right"/>
    </xf>
    <xf numFmtId="2" fontId="7" fillId="0" borderId="26" xfId="0" applyNumberFormat="1" applyFont="1" applyBorder="1" applyAlignment="1">
      <alignment horizontal="right"/>
    </xf>
    <xf numFmtId="2" fontId="7" fillId="0" borderId="57" xfId="0" applyNumberFormat="1" applyFont="1" applyBorder="1" applyAlignment="1">
      <alignment horizontal="right"/>
    </xf>
    <xf numFmtId="2" fontId="7" fillId="0" borderId="24" xfId="0" applyNumberFormat="1" applyFont="1" applyBorder="1" applyAlignment="1">
      <alignment horizontal="right"/>
    </xf>
    <xf numFmtId="2" fontId="7" fillId="0" borderId="30" xfId="0" applyNumberFormat="1" applyFont="1" applyBorder="1" applyAlignment="1">
      <alignment horizontal="right"/>
    </xf>
    <xf numFmtId="2" fontId="9" fillId="0" borderId="116" xfId="0" applyNumberFormat="1" applyFont="1" applyBorder="1" applyAlignment="1">
      <alignment horizontal="right"/>
    </xf>
    <xf numFmtId="2" fontId="9" fillId="0" borderId="0" xfId="0" applyNumberFormat="1" applyFont="1" applyAlignment="1">
      <alignment horizontal="right" wrapText="1"/>
    </xf>
    <xf numFmtId="2" fontId="9" fillId="0" borderId="116" xfId="0" applyNumberFormat="1" applyFont="1" applyBorder="1" applyAlignment="1">
      <alignment horizontal="right" wrapText="1"/>
    </xf>
    <xf numFmtId="2" fontId="9" fillId="0" borderId="182" xfId="0" applyNumberFormat="1" applyFont="1" applyBorder="1" applyAlignment="1">
      <alignment horizontal="right" wrapText="1"/>
    </xf>
    <xf numFmtId="2" fontId="9" fillId="0" borderId="8" xfId="0" applyNumberFormat="1" applyFont="1" applyBorder="1" applyAlignment="1">
      <alignment horizontal="right" wrapText="1"/>
    </xf>
    <xf numFmtId="2" fontId="9" fillId="0" borderId="191" xfId="0" applyNumberFormat="1" applyFont="1" applyBorder="1" applyAlignment="1">
      <alignment horizontal="right" wrapText="1"/>
    </xf>
    <xf numFmtId="2" fontId="9" fillId="0" borderId="41" xfId="0" applyNumberFormat="1" applyFont="1" applyBorder="1" applyAlignment="1">
      <alignment horizontal="right" wrapText="1"/>
    </xf>
    <xf numFmtId="2" fontId="9" fillId="0" borderId="135" xfId="0" applyNumberFormat="1" applyFont="1" applyBorder="1" applyAlignment="1">
      <alignment horizontal="right" wrapText="1"/>
    </xf>
    <xf numFmtId="2" fontId="9" fillId="0" borderId="49" xfId="0" applyNumberFormat="1" applyFont="1" applyBorder="1" applyAlignment="1">
      <alignment horizontal="right"/>
    </xf>
    <xf numFmtId="2" fontId="9" fillId="0" borderId="69" xfId="0" applyNumberFormat="1" applyFont="1" applyBorder="1" applyAlignment="1">
      <alignment horizontal="right"/>
    </xf>
    <xf numFmtId="9" fontId="7" fillId="0" borderId="98" xfId="5" applyFont="1" applyFill="1" applyBorder="1"/>
    <xf numFmtId="9" fontId="9" fillId="0" borderId="101" xfId="5" applyFont="1" applyFill="1" applyBorder="1"/>
    <xf numFmtId="2" fontId="9" fillId="0" borderId="80" xfId="0" applyNumberFormat="1" applyFont="1" applyBorder="1" applyAlignment="1">
      <alignment horizontal="right" wrapText="1"/>
    </xf>
    <xf numFmtId="2" fontId="9" fillId="0" borderId="133" xfId="0" applyNumberFormat="1" applyFont="1" applyBorder="1" applyAlignment="1">
      <alignment horizontal="right" wrapText="1"/>
    </xf>
    <xf numFmtId="9" fontId="9" fillId="0" borderId="142" xfId="5" applyFont="1" applyFill="1" applyBorder="1"/>
    <xf numFmtId="2" fontId="10" fillId="0" borderId="26" xfId="0" applyNumberFormat="1" applyFont="1" applyBorder="1" applyAlignment="1">
      <alignment horizontal="right" wrapText="1"/>
    </xf>
    <xf numFmtId="2" fontId="9" fillId="0" borderId="61" xfId="0" applyNumberFormat="1" applyFont="1" applyBorder="1"/>
    <xf numFmtId="9" fontId="7" fillId="0" borderId="101" xfId="5" applyFont="1" applyBorder="1"/>
    <xf numFmtId="2" fontId="7" fillId="0" borderId="0" xfId="0" applyNumberFormat="1" applyFont="1" applyAlignment="1">
      <alignment horizontal="right" wrapText="1"/>
    </xf>
    <xf numFmtId="2" fontId="9" fillId="0" borderId="69" xfId="0" applyNumberFormat="1" applyFont="1" applyBorder="1" applyAlignment="1">
      <alignment horizontal="right" wrapText="1"/>
    </xf>
    <xf numFmtId="2" fontId="7" fillId="0" borderId="16" xfId="0" applyNumberFormat="1" applyFont="1" applyBorder="1"/>
    <xf numFmtId="2" fontId="7" fillId="0" borderId="11" xfId="0" applyNumberFormat="1" applyFont="1" applyBorder="1"/>
    <xf numFmtId="2" fontId="7" fillId="0" borderId="13" xfId="0" applyNumberFormat="1" applyFont="1" applyBorder="1"/>
    <xf numFmtId="2" fontId="9" fillId="0" borderId="36" xfId="0" applyNumberFormat="1" applyFont="1" applyBorder="1"/>
    <xf numFmtId="0" fontId="7" fillId="0" borderId="190" xfId="0" applyFont="1" applyBorder="1" applyAlignment="1">
      <alignment horizontal="center"/>
    </xf>
    <xf numFmtId="2" fontId="9" fillId="0" borderId="27" xfId="0" applyNumberFormat="1" applyFont="1" applyBorder="1"/>
    <xf numFmtId="2" fontId="9" fillId="0" borderId="48" xfId="0" applyNumberFormat="1" applyFont="1" applyBorder="1" applyAlignment="1">
      <alignment horizontal="right"/>
    </xf>
    <xf numFmtId="2" fontId="9" fillId="0" borderId="132" xfId="0" applyNumberFormat="1" applyFont="1" applyBorder="1"/>
    <xf numFmtId="2" fontId="9" fillId="0" borderId="132" xfId="0" applyNumberFormat="1" applyFont="1" applyBorder="1" applyAlignment="1">
      <alignment horizontal="right" wrapText="1"/>
    </xf>
    <xf numFmtId="2" fontId="9" fillId="0" borderId="138" xfId="0" applyNumberFormat="1" applyFont="1" applyBorder="1" applyAlignment="1">
      <alignment horizontal="right"/>
    </xf>
    <xf numFmtId="0" fontId="9" fillId="0" borderId="130" xfId="0" applyFont="1" applyBorder="1" applyAlignment="1">
      <alignment horizontal="center"/>
    </xf>
    <xf numFmtId="4" fontId="10" fillId="0" borderId="26" xfId="0" applyNumberFormat="1" applyFont="1" applyBorder="1" applyAlignment="1">
      <alignment horizontal="right" wrapText="1"/>
    </xf>
    <xf numFmtId="4" fontId="11" fillId="0" borderId="26" xfId="0" applyNumberFormat="1" applyFont="1" applyBorder="1" applyAlignment="1">
      <alignment horizontal="right" wrapText="1"/>
    </xf>
    <xf numFmtId="2" fontId="9" fillId="0" borderId="0" xfId="0" applyNumberFormat="1" applyFont="1" applyAlignment="1">
      <alignment horizontal="right"/>
    </xf>
    <xf numFmtId="2" fontId="9" fillId="0" borderId="9" xfId="0" applyNumberFormat="1" applyFont="1" applyBorder="1" applyAlignment="1">
      <alignment horizontal="right"/>
    </xf>
    <xf numFmtId="2" fontId="9" fillId="0" borderId="40" xfId="0" applyNumberFormat="1" applyFont="1" applyBorder="1" applyAlignment="1">
      <alignment horizontal="right"/>
    </xf>
    <xf numFmtId="2" fontId="7" fillId="0" borderId="8" xfId="0" applyNumberFormat="1" applyFont="1" applyBorder="1" applyAlignment="1">
      <alignment horizontal="right" wrapText="1"/>
    </xf>
    <xf numFmtId="2" fontId="9" fillId="0" borderId="107" xfId="0" applyNumberFormat="1" applyFont="1" applyBorder="1" applyAlignment="1">
      <alignment horizontal="right"/>
    </xf>
    <xf numFmtId="2" fontId="9" fillId="0" borderId="61" xfId="0" applyNumberFormat="1" applyFont="1" applyBorder="1" applyAlignment="1">
      <alignment horizontal="right"/>
    </xf>
    <xf numFmtId="2" fontId="7" fillId="0" borderId="61" xfId="0" applyNumberFormat="1" applyFont="1" applyBorder="1" applyAlignment="1">
      <alignment horizontal="right" wrapText="1"/>
    </xf>
    <xf numFmtId="2" fontId="9" fillId="0" borderId="107" xfId="0" applyNumberFormat="1" applyFont="1" applyBorder="1" applyAlignment="1">
      <alignment horizontal="right" wrapText="1"/>
    </xf>
    <xf numFmtId="2" fontId="9" fillId="0" borderId="49" xfId="0" applyNumberFormat="1" applyFont="1" applyBorder="1" applyAlignment="1">
      <alignment horizontal="right" wrapText="1"/>
    </xf>
    <xf numFmtId="2" fontId="10" fillId="0" borderId="60" xfId="0" applyNumberFormat="1" applyFont="1" applyBorder="1" applyAlignment="1">
      <alignment horizontal="right" wrapText="1"/>
    </xf>
    <xf numFmtId="0" fontId="9" fillId="0" borderId="140" xfId="0" applyFont="1" applyBorder="1"/>
    <xf numFmtId="2" fontId="9" fillId="0" borderId="21" xfId="0" applyNumberFormat="1" applyFont="1" applyBorder="1" applyAlignment="1">
      <alignment horizontal="right"/>
    </xf>
    <xf numFmtId="2" fontId="9" fillId="0" borderId="22" xfId="0" applyNumberFormat="1" applyFont="1" applyBorder="1" applyAlignment="1">
      <alignment horizontal="right"/>
    </xf>
    <xf numFmtId="2" fontId="9" fillId="0" borderId="17" xfId="0" applyNumberFormat="1" applyFont="1" applyBorder="1" applyAlignment="1">
      <alignment horizontal="right"/>
    </xf>
    <xf numFmtId="2" fontId="9" fillId="0" borderId="14" xfId="0" applyNumberFormat="1" applyFont="1" applyBorder="1" applyAlignment="1">
      <alignment horizontal="right"/>
    </xf>
    <xf numFmtId="2" fontId="9" fillId="0" borderId="21"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22" xfId="0" applyNumberFormat="1" applyFont="1" applyBorder="1" applyAlignment="1">
      <alignment horizontal="right" wrapText="1"/>
    </xf>
    <xf numFmtId="2" fontId="9" fillId="0" borderId="40" xfId="0" applyNumberFormat="1" applyFont="1" applyBorder="1" applyAlignment="1">
      <alignment horizontal="right" wrapText="1"/>
    </xf>
    <xf numFmtId="2" fontId="11" fillId="0" borderId="17" xfId="0" applyNumberFormat="1" applyFont="1" applyBorder="1" applyAlignment="1">
      <alignment horizontal="right" wrapText="1"/>
    </xf>
    <xf numFmtId="2" fontId="7" fillId="0" borderId="36" xfId="0" applyNumberFormat="1" applyFont="1" applyBorder="1" applyAlignment="1">
      <alignment horizontal="right" wrapText="1"/>
    </xf>
    <xf numFmtId="2" fontId="6" fillId="0" borderId="202" xfId="0" applyNumberFormat="1" applyFont="1" applyBorder="1"/>
    <xf numFmtId="0" fontId="9" fillId="0" borderId="150" xfId="0" applyFont="1" applyBorder="1" applyAlignment="1">
      <alignment horizontal="center"/>
    </xf>
    <xf numFmtId="2" fontId="9" fillId="0" borderId="72" xfId="0" applyNumberFormat="1" applyFont="1" applyBorder="1" applyAlignment="1">
      <alignment horizontal="right"/>
    </xf>
    <xf numFmtId="2" fontId="9" fillId="0" borderId="87" xfId="0" applyNumberFormat="1" applyFont="1" applyBorder="1" applyAlignment="1">
      <alignment horizontal="right"/>
    </xf>
    <xf numFmtId="2" fontId="9" fillId="0" borderId="135" xfId="0" applyNumberFormat="1" applyFont="1" applyBorder="1" applyAlignment="1">
      <alignment horizontal="right"/>
    </xf>
    <xf numFmtId="2" fontId="9" fillId="0" borderId="80" xfId="0" applyNumberFormat="1" applyFont="1" applyBorder="1" applyAlignment="1">
      <alignment horizontal="right"/>
    </xf>
    <xf numFmtId="2" fontId="9" fillId="0" borderId="149" xfId="0" applyNumberFormat="1" applyFont="1" applyBorder="1" applyAlignment="1">
      <alignment horizontal="right"/>
    </xf>
    <xf numFmtId="2" fontId="9" fillId="0" borderId="133" xfId="0" applyNumberFormat="1" applyFont="1" applyBorder="1" applyAlignment="1">
      <alignment horizontal="right"/>
    </xf>
    <xf numFmtId="4" fontId="11" fillId="0" borderId="72" xfId="0" applyNumberFormat="1" applyFont="1" applyBorder="1" applyAlignment="1">
      <alignment horizontal="right" wrapText="1"/>
    </xf>
    <xf numFmtId="2" fontId="8" fillId="0" borderId="23" xfId="0" applyNumberFormat="1" applyFont="1" applyBorder="1"/>
    <xf numFmtId="2" fontId="6" fillId="0" borderId="52" xfId="0" applyNumberFormat="1" applyFont="1" applyBorder="1"/>
    <xf numFmtId="1" fontId="6" fillId="0" borderId="81" xfId="0" applyNumberFormat="1" applyFont="1" applyBorder="1"/>
    <xf numFmtId="1" fontId="6" fillId="0" borderId="63" xfId="0" applyNumberFormat="1" applyFont="1" applyBorder="1"/>
    <xf numFmtId="1" fontId="8" fillId="0" borderId="83" xfId="0" applyNumberFormat="1" applyFont="1" applyBorder="1"/>
    <xf numFmtId="2" fontId="8" fillId="0" borderId="73" xfId="0" applyNumberFormat="1" applyFont="1" applyBorder="1"/>
    <xf numFmtId="1" fontId="8" fillId="0" borderId="27" xfId="0" applyNumberFormat="1" applyFont="1" applyBorder="1"/>
    <xf numFmtId="1" fontId="8" fillId="0" borderId="48" xfId="0" applyNumberFormat="1" applyFont="1" applyBorder="1"/>
    <xf numFmtId="3" fontId="8" fillId="0" borderId="131" xfId="0" applyNumberFormat="1" applyFont="1" applyBorder="1"/>
    <xf numFmtId="3" fontId="8" fillId="0" borderId="133" xfId="0" applyNumberFormat="1" applyFont="1" applyBorder="1"/>
    <xf numFmtId="3" fontId="6" fillId="0" borderId="205" xfId="0" applyNumberFormat="1" applyFont="1" applyBorder="1"/>
    <xf numFmtId="2" fontId="6" fillId="0" borderId="201" xfId="0" applyNumberFormat="1" applyFont="1" applyBorder="1"/>
    <xf numFmtId="9" fontId="7" fillId="0" borderId="98" xfId="5" applyFont="1" applyFill="1" applyBorder="1" applyAlignment="1">
      <alignment horizontal="right"/>
    </xf>
    <xf numFmtId="9" fontId="9" fillId="0" borderId="83" xfId="5" applyFont="1" applyFill="1" applyBorder="1" applyAlignment="1">
      <alignment horizontal="right"/>
    </xf>
    <xf numFmtId="9" fontId="7" fillId="0" borderId="181" xfId="5" applyFont="1" applyFill="1" applyBorder="1" applyAlignment="1">
      <alignment horizontal="right"/>
    </xf>
    <xf numFmtId="9" fontId="7" fillId="0" borderId="185" xfId="5" applyFont="1" applyFill="1" applyBorder="1" applyAlignment="1">
      <alignment horizontal="right"/>
    </xf>
    <xf numFmtId="9" fontId="7" fillId="0" borderId="101" xfId="5" applyFont="1" applyFill="1" applyBorder="1" applyAlignment="1">
      <alignment horizontal="right"/>
    </xf>
    <xf numFmtId="3" fontId="7" fillId="0" borderId="185" xfId="0" applyNumberFormat="1" applyFont="1" applyBorder="1" applyAlignment="1">
      <alignment horizontal="right" wrapText="1"/>
    </xf>
    <xf numFmtId="3" fontId="7" fillId="0" borderId="63" xfId="0" applyNumberFormat="1" applyFont="1" applyBorder="1" applyAlignment="1">
      <alignment horizontal="right" wrapText="1"/>
    </xf>
    <xf numFmtId="9" fontId="6" fillId="0" borderId="202" xfId="5" applyFont="1" applyBorder="1"/>
    <xf numFmtId="2" fontId="8" fillId="0" borderId="84" xfId="0" applyNumberFormat="1" applyFont="1" applyBorder="1"/>
    <xf numFmtId="9" fontId="8" fillId="0" borderId="74" xfId="5" applyFont="1" applyBorder="1"/>
    <xf numFmtId="3" fontId="7" fillId="0" borderId="3" xfId="4" applyNumberFormat="1" applyFont="1" applyBorder="1"/>
    <xf numFmtId="3" fontId="9" fillId="0" borderId="66" xfId="4" applyNumberFormat="1" applyFont="1" applyBorder="1"/>
    <xf numFmtId="3" fontId="7" fillId="0" borderId="53" xfId="4" applyNumberFormat="1" applyFont="1" applyBorder="1"/>
    <xf numFmtId="3" fontId="9" fillId="0" borderId="66" xfId="4" applyNumberFormat="1" applyFont="1" applyBorder="1" applyAlignment="1">
      <alignment horizontal="right"/>
    </xf>
    <xf numFmtId="3" fontId="7" fillId="0" borderId="15" xfId="4" applyNumberFormat="1" applyFont="1" applyBorder="1"/>
    <xf numFmtId="0" fontId="7" fillId="0" borderId="59" xfId="4" applyFont="1" applyBorder="1"/>
    <xf numFmtId="0" fontId="7" fillId="0" borderId="181" xfId="4" applyFont="1" applyBorder="1" applyAlignment="1">
      <alignment horizontal="center"/>
    </xf>
    <xf numFmtId="0" fontId="7" fillId="0" borderId="82" xfId="4" applyFont="1" applyBorder="1" applyAlignment="1">
      <alignment horizontal="center"/>
    </xf>
    <xf numFmtId="0" fontId="9" fillId="0" borderId="83" xfId="4" applyFont="1" applyBorder="1" applyAlignment="1">
      <alignment horizontal="center"/>
    </xf>
    <xf numFmtId="0" fontId="8" fillId="0" borderId="48" xfId="4" applyFont="1" applyBorder="1"/>
    <xf numFmtId="0" fontId="8" fillId="0" borderId="83" xfId="4" applyFont="1" applyBorder="1" applyAlignment="1">
      <alignment horizontal="center"/>
    </xf>
    <xf numFmtId="0" fontId="6" fillId="0" borderId="63" xfId="4" applyFont="1" applyBorder="1" applyAlignment="1">
      <alignment horizontal="center"/>
    </xf>
    <xf numFmtId="0" fontId="9" fillId="0" borderId="48" xfId="4" applyFont="1" applyBorder="1"/>
    <xf numFmtId="3" fontId="9" fillId="0" borderId="133" xfId="0" applyNumberFormat="1" applyFont="1" applyBorder="1" applyAlignment="1">
      <alignment horizontal="right"/>
    </xf>
    <xf numFmtId="3" fontId="7" fillId="0" borderId="27" xfId="0" applyNumberFormat="1" applyFont="1" applyBorder="1" applyAlignment="1">
      <alignment horizontal="right"/>
    </xf>
    <xf numFmtId="3" fontId="9" fillId="0" borderId="27" xfId="0" applyNumberFormat="1" applyFont="1" applyBorder="1" applyAlignment="1">
      <alignment horizontal="right"/>
    </xf>
    <xf numFmtId="3" fontId="9" fillId="0" borderId="48" xfId="0" applyNumberFormat="1" applyFont="1" applyBorder="1" applyAlignment="1">
      <alignment horizontal="right"/>
    </xf>
    <xf numFmtId="3" fontId="7" fillId="0" borderId="28" xfId="0" applyNumberFormat="1" applyFont="1" applyBorder="1" applyAlignment="1">
      <alignment horizontal="right"/>
    </xf>
    <xf numFmtId="3" fontId="7" fillId="0" borderId="37" xfId="0" applyNumberFormat="1" applyFont="1" applyBorder="1" applyAlignment="1">
      <alignment horizontal="right"/>
    </xf>
    <xf numFmtId="3" fontId="7" fillId="0" borderId="201" xfId="0" applyNumberFormat="1" applyFont="1" applyBorder="1" applyAlignment="1">
      <alignment horizontal="right"/>
    </xf>
    <xf numFmtId="3" fontId="9" fillId="0" borderId="24" xfId="0" applyNumberFormat="1" applyFont="1" applyBorder="1" applyAlignment="1">
      <alignment horizontal="right"/>
    </xf>
    <xf numFmtId="9" fontId="7" fillId="0" borderId="82" xfId="5" applyFont="1" applyFill="1" applyBorder="1"/>
    <xf numFmtId="9" fontId="6" fillId="0" borderId="202" xfId="5" applyFont="1" applyBorder="1" applyAlignment="1">
      <alignment horizontal="right"/>
    </xf>
    <xf numFmtId="164" fontId="7" fillId="0" borderId="201" xfId="0" applyNumberFormat="1" applyFont="1" applyBorder="1"/>
    <xf numFmtId="164" fontId="7" fillId="0" borderId="202" xfId="0" applyNumberFormat="1" applyFont="1" applyBorder="1"/>
    <xf numFmtId="3" fontId="6" fillId="0" borderId="61" xfId="0" applyNumberFormat="1" applyFont="1" applyBorder="1"/>
    <xf numFmtId="0" fontId="7" fillId="0" borderId="201" xfId="0" applyFont="1" applyBorder="1"/>
    <xf numFmtId="0" fontId="7" fillId="0" borderId="52" xfId="0" applyFont="1" applyBorder="1"/>
    <xf numFmtId="0" fontId="6" fillId="0" borderId="97" xfId="0" applyFont="1" applyBorder="1" applyAlignment="1">
      <alignment wrapText="1"/>
    </xf>
    <xf numFmtId="0" fontId="6" fillId="0" borderId="31" xfId="0" applyFont="1" applyBorder="1"/>
    <xf numFmtId="0" fontId="6" fillId="0" borderId="20" xfId="0" applyFont="1" applyBorder="1"/>
    <xf numFmtId="0" fontId="6" fillId="0" borderId="32" xfId="0" applyFont="1" applyBorder="1"/>
    <xf numFmtId="2" fontId="6" fillId="0" borderId="205" xfId="0" applyNumberFormat="1" applyFont="1" applyBorder="1"/>
    <xf numFmtId="2" fontId="8" fillId="0" borderId="57" xfId="0" applyNumberFormat="1" applyFont="1" applyBorder="1"/>
    <xf numFmtId="2" fontId="6" fillId="0" borderId="76" xfId="0" applyNumberFormat="1" applyFont="1" applyBorder="1"/>
    <xf numFmtId="2" fontId="8" fillId="0" borderId="68" xfId="0" applyNumberFormat="1" applyFont="1" applyBorder="1"/>
    <xf numFmtId="2" fontId="8" fillId="0" borderId="183" xfId="0" applyNumberFormat="1" applyFont="1" applyBorder="1"/>
    <xf numFmtId="2" fontId="6" fillId="0" borderId="106" xfId="0" applyNumberFormat="1" applyFont="1" applyBorder="1"/>
    <xf numFmtId="2" fontId="6" fillId="0" borderId="15" xfId="0" applyNumberFormat="1" applyFont="1" applyBorder="1"/>
    <xf numFmtId="2" fontId="8" fillId="0" borderId="113" xfId="0" applyNumberFormat="1" applyFont="1" applyBorder="1"/>
    <xf numFmtId="2" fontId="8" fillId="0" borderId="111" xfId="0" applyNumberFormat="1" applyFont="1" applyBorder="1"/>
    <xf numFmtId="2" fontId="8" fillId="0" borderId="114" xfId="0" applyNumberFormat="1" applyFont="1" applyBorder="1"/>
    <xf numFmtId="2" fontId="8" fillId="0" borderId="61" xfId="0" applyNumberFormat="1" applyFont="1" applyBorder="1"/>
    <xf numFmtId="2" fontId="8" fillId="0" borderId="115" xfId="0" applyNumberFormat="1" applyFont="1" applyBorder="1"/>
    <xf numFmtId="2" fontId="6" fillId="0" borderId="1" xfId="5" applyNumberFormat="1" applyFont="1" applyFill="1" applyBorder="1" applyAlignment="1">
      <alignment horizontal="right"/>
    </xf>
    <xf numFmtId="2" fontId="6" fillId="0" borderId="4" xfId="5" applyNumberFormat="1" applyFont="1" applyFill="1" applyBorder="1" applyAlignment="1">
      <alignment horizontal="right"/>
    </xf>
    <xf numFmtId="2" fontId="6" fillId="0" borderId="201" xfId="5" applyNumberFormat="1" applyFont="1" applyFill="1" applyBorder="1" applyAlignment="1">
      <alignment horizontal="right"/>
    </xf>
    <xf numFmtId="2" fontId="8" fillId="0" borderId="24" xfId="5" applyNumberFormat="1" applyFont="1" applyFill="1" applyBorder="1" applyAlignment="1">
      <alignment horizontal="right"/>
    </xf>
    <xf numFmtId="2" fontId="6" fillId="0" borderId="51" xfId="5" applyNumberFormat="1" applyFont="1" applyFill="1" applyBorder="1" applyAlignment="1">
      <alignment horizontal="right"/>
    </xf>
    <xf numFmtId="2" fontId="6" fillId="0" borderId="52" xfId="5" applyNumberFormat="1" applyFont="1" applyFill="1" applyBorder="1" applyAlignment="1">
      <alignment horizontal="right"/>
    </xf>
    <xf numFmtId="2" fontId="8" fillId="0" borderId="64" xfId="5" applyNumberFormat="1" applyFont="1" applyFill="1" applyBorder="1" applyAlignment="1">
      <alignment horizontal="right"/>
    </xf>
    <xf numFmtId="2" fontId="8" fillId="0" borderId="65" xfId="0" applyNumberFormat="1" applyFont="1" applyBorder="1"/>
    <xf numFmtId="2" fontId="6" fillId="0" borderId="103" xfId="5" applyNumberFormat="1" applyFont="1" applyFill="1" applyBorder="1" applyAlignment="1">
      <alignment horizontal="right"/>
    </xf>
    <xf numFmtId="2" fontId="6" fillId="0" borderId="112" xfId="5" applyNumberFormat="1" applyFont="1" applyFill="1" applyBorder="1" applyAlignment="1">
      <alignment horizontal="right"/>
    </xf>
    <xf numFmtId="2" fontId="6" fillId="0" borderId="112" xfId="0" applyNumberFormat="1" applyFont="1" applyBorder="1"/>
    <xf numFmtId="2" fontId="6" fillId="0" borderId="2" xfId="5" applyNumberFormat="1" applyFont="1" applyFill="1" applyBorder="1" applyAlignment="1">
      <alignment horizontal="right"/>
    </xf>
    <xf numFmtId="4" fontId="8" fillId="0" borderId="64" xfId="5" applyNumberFormat="1" applyFont="1" applyFill="1" applyBorder="1" applyAlignment="1">
      <alignment horizontal="right"/>
    </xf>
    <xf numFmtId="4" fontId="8" fillId="0" borderId="65" xfId="5" applyNumberFormat="1" applyFont="1" applyFill="1" applyBorder="1" applyAlignment="1">
      <alignment horizontal="right"/>
    </xf>
    <xf numFmtId="4" fontId="8" fillId="0" borderId="65" xfId="0" applyNumberFormat="1" applyFont="1" applyBorder="1"/>
    <xf numFmtId="4" fontId="8" fillId="0" borderId="49" xfId="5" applyNumberFormat="1" applyFont="1" applyFill="1" applyBorder="1" applyAlignment="1">
      <alignment horizontal="right"/>
    </xf>
    <xf numFmtId="2" fontId="6" fillId="0" borderId="110" xfId="0" applyNumberFormat="1" applyFont="1" applyBorder="1"/>
    <xf numFmtId="2" fontId="8" fillId="0" borderId="8" xfId="0" applyNumberFormat="1" applyFont="1" applyBorder="1"/>
    <xf numFmtId="9" fontId="8" fillId="0" borderId="142" xfId="5" applyFont="1" applyFill="1" applyBorder="1" applyAlignment="1">
      <alignment horizontal="right"/>
    </xf>
    <xf numFmtId="4" fontId="11" fillId="0" borderId="73" xfId="0" applyNumberFormat="1" applyFont="1" applyBorder="1" applyAlignment="1">
      <alignment horizontal="right" wrapText="1"/>
    </xf>
    <xf numFmtId="2" fontId="10" fillId="0" borderId="2" xfId="0" applyNumberFormat="1" applyFont="1" applyBorder="1" applyAlignment="1">
      <alignment horizontal="right" wrapText="1"/>
    </xf>
    <xf numFmtId="2" fontId="11" fillId="0" borderId="6" xfId="0" applyNumberFormat="1" applyFont="1" applyBorder="1" applyAlignment="1">
      <alignment horizontal="right" wrapText="1"/>
    </xf>
    <xf numFmtId="2" fontId="10" fillId="0" borderId="52" xfId="0" applyNumberFormat="1" applyFont="1" applyBorder="1" applyAlignment="1">
      <alignment horizontal="right" wrapText="1"/>
    </xf>
    <xf numFmtId="2" fontId="10" fillId="0" borderId="201" xfId="0" applyNumberFormat="1" applyFont="1" applyBorder="1" applyAlignment="1">
      <alignment horizontal="right" wrapText="1"/>
    </xf>
    <xf numFmtId="2" fontId="11" fillId="0" borderId="65" xfId="0" applyNumberFormat="1" applyFont="1" applyBorder="1" applyAlignment="1">
      <alignment horizontal="right" wrapText="1"/>
    </xf>
    <xf numFmtId="4" fontId="10" fillId="0" borderId="23" xfId="0" applyNumberFormat="1" applyFont="1" applyBorder="1" applyAlignment="1">
      <alignment horizontal="right" wrapText="1"/>
    </xf>
    <xf numFmtId="4" fontId="11" fillId="0" borderId="23" xfId="0" applyNumberFormat="1" applyFont="1" applyBorder="1" applyAlignment="1">
      <alignment horizontal="right" wrapText="1"/>
    </xf>
    <xf numFmtId="4" fontId="11" fillId="0" borderId="65" xfId="0" applyNumberFormat="1" applyFont="1" applyBorder="1" applyAlignment="1">
      <alignment horizontal="right"/>
    </xf>
    <xf numFmtId="1" fontId="6" fillId="0" borderId="82" xfId="0" applyNumberFormat="1" applyFont="1" applyBorder="1"/>
    <xf numFmtId="1" fontId="6" fillId="0" borderId="181" xfId="0" applyNumberFormat="1" applyFont="1" applyBorder="1"/>
    <xf numFmtId="1" fontId="8" fillId="0" borderId="132" xfId="0" applyNumberFormat="1" applyFont="1" applyBorder="1"/>
    <xf numFmtId="0" fontId="6" fillId="0" borderId="181" xfId="0" applyFont="1" applyBorder="1" applyAlignment="1">
      <alignment wrapText="1"/>
    </xf>
    <xf numFmtId="3" fontId="7" fillId="0" borderId="98" xfId="0" applyNumberFormat="1" applyFont="1" applyBorder="1" applyAlignment="1">
      <alignment horizontal="right"/>
    </xf>
    <xf numFmtId="0" fontId="6" fillId="0" borderId="49" xfId="0" applyFont="1" applyBorder="1"/>
    <xf numFmtId="3" fontId="6" fillId="0" borderId="223" xfId="0" applyNumberFormat="1" applyFont="1" applyBorder="1"/>
    <xf numFmtId="2" fontId="6" fillId="0" borderId="217" xfId="0" applyNumberFormat="1" applyFont="1" applyBorder="1"/>
    <xf numFmtId="2" fontId="8" fillId="0" borderId="19" xfId="0" applyNumberFormat="1" applyFont="1" applyBorder="1" applyAlignment="1">
      <alignment horizontal="right" wrapText="1"/>
    </xf>
    <xf numFmtId="2" fontId="8" fillId="0" borderId="43" xfId="0" applyNumberFormat="1" applyFont="1" applyBorder="1" applyAlignment="1">
      <alignment horizontal="right" wrapText="1"/>
    </xf>
    <xf numFmtId="2" fontId="11" fillId="0" borderId="133" xfId="0" applyNumberFormat="1" applyFont="1" applyBorder="1" applyAlignment="1">
      <alignment horizontal="right" wrapText="1"/>
    </xf>
    <xf numFmtId="9" fontId="10" fillId="0" borderId="98" xfId="5" applyFont="1" applyBorder="1" applyAlignment="1">
      <alignment horizontal="right" wrapText="1"/>
    </xf>
    <xf numFmtId="3" fontId="7" fillId="0" borderId="222" xfId="0" applyNumberFormat="1" applyFont="1" applyBorder="1"/>
    <xf numFmtId="2" fontId="11" fillId="0" borderId="116" xfId="0" applyNumberFormat="1" applyFont="1" applyBorder="1" applyAlignment="1">
      <alignment horizontal="right" wrapText="1"/>
    </xf>
    <xf numFmtId="164" fontId="7" fillId="0" borderId="215" xfId="0" applyNumberFormat="1" applyFont="1" applyBorder="1"/>
    <xf numFmtId="0" fontId="7" fillId="0" borderId="217" xfId="0" applyFont="1" applyBorder="1"/>
    <xf numFmtId="2" fontId="8" fillId="0" borderId="71" xfId="0" applyNumberFormat="1" applyFont="1" applyBorder="1" applyAlignment="1">
      <alignment horizontal="right" wrapText="1"/>
    </xf>
    <xf numFmtId="2" fontId="11" fillId="0" borderId="182" xfId="0" applyNumberFormat="1" applyFont="1" applyBorder="1" applyAlignment="1">
      <alignment horizontal="right" wrapText="1"/>
    </xf>
    <xf numFmtId="3" fontId="7" fillId="0" borderId="216" xfId="0" applyNumberFormat="1" applyFont="1" applyBorder="1"/>
    <xf numFmtId="3" fontId="7" fillId="0" borderId="217" xfId="0" applyNumberFormat="1" applyFont="1" applyBorder="1"/>
    <xf numFmtId="2" fontId="8" fillId="0" borderId="41" xfId="0" applyNumberFormat="1" applyFont="1" applyBorder="1" applyAlignment="1">
      <alignment horizontal="right" wrapText="1"/>
    </xf>
    <xf numFmtId="2" fontId="11" fillId="0" borderId="191" xfId="0" applyNumberFormat="1" applyFont="1" applyBorder="1" applyAlignment="1">
      <alignment horizontal="right" wrapText="1"/>
    </xf>
    <xf numFmtId="164" fontId="7" fillId="0" borderId="221" xfId="0" applyNumberFormat="1" applyFont="1" applyBorder="1"/>
    <xf numFmtId="164" fontId="7" fillId="0" borderId="216" xfId="0" applyNumberFormat="1" applyFont="1" applyBorder="1"/>
    <xf numFmtId="164" fontId="7" fillId="0" borderId="217" xfId="0" applyNumberFormat="1" applyFont="1" applyBorder="1"/>
    <xf numFmtId="2" fontId="6" fillId="0" borderId="219" xfId="0" applyNumberFormat="1" applyFont="1" applyBorder="1"/>
    <xf numFmtId="2" fontId="11" fillId="0" borderId="41" xfId="0" applyNumberFormat="1" applyFont="1" applyBorder="1" applyAlignment="1">
      <alignment horizontal="right" wrapText="1"/>
    </xf>
    <xf numFmtId="170" fontId="6" fillId="0" borderId="0" xfId="0" applyNumberFormat="1" applyFont="1"/>
    <xf numFmtId="2" fontId="6" fillId="0" borderId="215" xfId="0" applyNumberFormat="1" applyFont="1" applyBorder="1"/>
    <xf numFmtId="3" fontId="7" fillId="0" borderId="215" xfId="0" applyNumberFormat="1" applyFont="1" applyBorder="1"/>
    <xf numFmtId="3" fontId="10" fillId="0" borderId="26" xfId="0" applyNumberFormat="1" applyFont="1" applyBorder="1" applyAlignment="1">
      <alignment horizontal="right" wrapText="1"/>
    </xf>
    <xf numFmtId="3" fontId="10" fillId="0" borderId="23" xfId="0" applyNumberFormat="1" applyFont="1" applyBorder="1" applyAlignment="1">
      <alignment horizontal="right" wrapText="1"/>
    </xf>
    <xf numFmtId="2" fontId="7" fillId="0" borderId="215" xfId="0" applyNumberFormat="1" applyFont="1" applyBorder="1" applyAlignment="1">
      <alignment horizontal="right" wrapText="1"/>
    </xf>
    <xf numFmtId="2" fontId="10" fillId="0" borderId="24" xfId="0" applyNumberFormat="1" applyFont="1" applyBorder="1" applyAlignment="1">
      <alignment horizontal="right" wrapText="1"/>
    </xf>
    <xf numFmtId="2" fontId="10" fillId="0" borderId="30" xfId="0" applyNumberFormat="1" applyFont="1" applyBorder="1" applyAlignment="1">
      <alignment horizontal="right" wrapText="1"/>
    </xf>
    <xf numFmtId="2" fontId="8" fillId="0" borderId="218" xfId="0" applyNumberFormat="1" applyFont="1" applyBorder="1"/>
    <xf numFmtId="2" fontId="9" fillId="0" borderId="0" xfId="48" applyNumberFormat="1" applyFont="1" applyAlignment="1">
      <alignment horizontal="center" vertical="center"/>
    </xf>
    <xf numFmtId="3" fontId="9" fillId="0" borderId="219" xfId="47" applyNumberFormat="1" applyFont="1" applyBorder="1" applyAlignment="1">
      <alignment horizontal="center" vertical="center"/>
    </xf>
    <xf numFmtId="2" fontId="9" fillId="0" borderId="38" xfId="48" applyNumberFormat="1" applyFont="1" applyBorder="1" applyAlignment="1">
      <alignment horizontal="center" vertical="center"/>
    </xf>
    <xf numFmtId="3" fontId="28" fillId="0" borderId="219" xfId="47" applyNumberFormat="1" applyFont="1" applyBorder="1" applyAlignment="1">
      <alignment horizontal="center" vertical="center"/>
    </xf>
    <xf numFmtId="2" fontId="0" fillId="0" borderId="216" xfId="0" applyNumberFormat="1" applyBorder="1"/>
    <xf numFmtId="2" fontId="0" fillId="0" borderId="222" xfId="0" applyNumberFormat="1" applyBorder="1"/>
    <xf numFmtId="9" fontId="0" fillId="0" borderId="60" xfId="5" applyFont="1" applyBorder="1"/>
    <xf numFmtId="9" fontId="0" fillId="0" borderId="226" xfId="5" applyFont="1" applyBorder="1"/>
    <xf numFmtId="9" fontId="0" fillId="0" borderId="76" xfId="5" applyFont="1" applyBorder="1"/>
    <xf numFmtId="9" fontId="0" fillId="0" borderId="222" xfId="5" applyFont="1" applyBorder="1"/>
    <xf numFmtId="2" fontId="0" fillId="0" borderId="181" xfId="0" applyNumberFormat="1" applyBorder="1"/>
    <xf numFmtId="0" fontId="4" fillId="0" borderId="66" xfId="0" applyFont="1" applyBorder="1"/>
    <xf numFmtId="2" fontId="4" fillId="0" borderId="66" xfId="0" applyNumberFormat="1" applyFont="1" applyBorder="1"/>
    <xf numFmtId="9" fontId="4" fillId="0" borderId="67" xfId="5" applyFont="1" applyBorder="1"/>
    <xf numFmtId="9" fontId="4" fillId="0" borderId="68" xfId="5" applyFont="1" applyBorder="1"/>
    <xf numFmtId="2" fontId="0" fillId="0" borderId="63" xfId="0" applyNumberFormat="1" applyBorder="1"/>
    <xf numFmtId="3" fontId="0" fillId="0" borderId="51" xfId="0" applyNumberFormat="1" applyBorder="1"/>
    <xf numFmtId="3" fontId="0" fillId="0" borderId="215" xfId="0" applyNumberFormat="1" applyBorder="1"/>
    <xf numFmtId="3" fontId="0" fillId="0" borderId="4" xfId="0" applyNumberFormat="1" applyBorder="1"/>
    <xf numFmtId="3" fontId="4" fillId="0" borderId="64" xfId="0" applyNumberFormat="1" applyFont="1" applyBorder="1"/>
    <xf numFmtId="2" fontId="0" fillId="0" borderId="76" xfId="0" applyNumberFormat="1" applyBorder="1"/>
    <xf numFmtId="2" fontId="4" fillId="0" borderId="68" xfId="0" applyNumberFormat="1" applyFont="1" applyBorder="1"/>
    <xf numFmtId="2" fontId="0" fillId="0" borderId="53" xfId="0" applyNumberFormat="1" applyBorder="1"/>
    <xf numFmtId="2" fontId="0" fillId="0" borderId="81" xfId="0" applyNumberFormat="1" applyBorder="1"/>
    <xf numFmtId="2" fontId="4" fillId="0" borderId="83" xfId="0" applyNumberFormat="1" applyFont="1" applyBorder="1"/>
    <xf numFmtId="3" fontId="8" fillId="0" borderId="24" xfId="0" applyNumberFormat="1" applyFont="1" applyBorder="1"/>
    <xf numFmtId="3" fontId="8" fillId="0" borderId="64" xfId="0" applyNumberFormat="1" applyFont="1" applyBorder="1"/>
    <xf numFmtId="9" fontId="0" fillId="0" borderId="222" xfId="5" applyFont="1" applyBorder="1" applyAlignment="1">
      <alignment horizontal="right"/>
    </xf>
    <xf numFmtId="9" fontId="0" fillId="0" borderId="226" xfId="5" applyFont="1" applyBorder="1" applyAlignment="1">
      <alignment horizontal="right"/>
    </xf>
    <xf numFmtId="2" fontId="6" fillId="0" borderId="222" xfId="0" applyNumberFormat="1" applyFont="1" applyBorder="1"/>
    <xf numFmtId="3" fontId="6" fillId="0" borderId="4" xfId="0" applyNumberFormat="1" applyFont="1" applyBorder="1"/>
    <xf numFmtId="3" fontId="0" fillId="0" borderId="0" xfId="0" applyNumberFormat="1"/>
    <xf numFmtId="2" fontId="0" fillId="0" borderId="0" xfId="0" applyNumberFormat="1"/>
    <xf numFmtId="3" fontId="6" fillId="0" borderId="215" xfId="0" applyNumberFormat="1" applyFont="1" applyBorder="1"/>
    <xf numFmtId="164" fontId="9" fillId="0" borderId="6" xfId="0" applyNumberFormat="1" applyFont="1" applyBorder="1"/>
    <xf numFmtId="164" fontId="7" fillId="0" borderId="224" xfId="0" applyNumberFormat="1" applyFont="1" applyBorder="1"/>
    <xf numFmtId="164" fontId="7" fillId="0" borderId="201" xfId="0" applyNumberFormat="1" applyFont="1" applyBorder="1" applyAlignment="1">
      <alignment horizontal="right"/>
    </xf>
    <xf numFmtId="0" fontId="6" fillId="0" borderId="218" xfId="0" applyFont="1" applyBorder="1"/>
    <xf numFmtId="164" fontId="7" fillId="0" borderId="223" xfId="0" applyNumberFormat="1" applyFont="1" applyBorder="1"/>
    <xf numFmtId="2" fontId="6" fillId="0" borderId="226" xfId="0" applyNumberFormat="1" applyFont="1" applyBorder="1"/>
    <xf numFmtId="3" fontId="6" fillId="0" borderId="221" xfId="0" applyNumberFormat="1" applyFont="1" applyBorder="1"/>
    <xf numFmtId="3" fontId="6" fillId="0" borderId="217" xfId="0" applyNumberFormat="1" applyFont="1" applyBorder="1"/>
    <xf numFmtId="3" fontId="6" fillId="0" borderId="216" xfId="0" applyNumberFormat="1" applyFont="1" applyBorder="1"/>
    <xf numFmtId="2" fontId="8" fillId="0" borderId="220" xfId="0" applyNumberFormat="1" applyFont="1" applyBorder="1"/>
    <xf numFmtId="2" fontId="7" fillId="0" borderId="224" xfId="0" applyNumberFormat="1" applyFont="1" applyBorder="1"/>
    <xf numFmtId="2" fontId="9" fillId="0" borderId="220" xfId="0" applyNumberFormat="1" applyFont="1" applyBorder="1"/>
    <xf numFmtId="0" fontId="8" fillId="0" borderId="204" xfId="0" applyFont="1" applyBorder="1" applyAlignment="1">
      <alignment horizontal="center"/>
    </xf>
    <xf numFmtId="9" fontId="0" fillId="0" borderId="60" xfId="5" applyFont="1" applyBorder="1" applyAlignment="1">
      <alignment horizontal="right"/>
    </xf>
    <xf numFmtId="9" fontId="0" fillId="0" borderId="76" xfId="5" applyFont="1" applyBorder="1" applyAlignment="1">
      <alignment horizontal="right"/>
    </xf>
    <xf numFmtId="9" fontId="4" fillId="0" borderId="67" xfId="5" applyFont="1" applyBorder="1" applyAlignment="1">
      <alignment horizontal="right"/>
    </xf>
    <xf numFmtId="9" fontId="4" fillId="0" borderId="68" xfId="5" applyFont="1" applyBorder="1" applyAlignment="1">
      <alignment horizontal="right"/>
    </xf>
    <xf numFmtId="9" fontId="7" fillId="0" borderId="81" xfId="5" applyFont="1" applyFill="1" applyBorder="1" applyAlignment="1">
      <alignment vertical="center"/>
    </xf>
    <xf numFmtId="2" fontId="7" fillId="0" borderId="215" xfId="0" applyNumberFormat="1" applyFont="1" applyBorder="1"/>
    <xf numFmtId="2" fontId="7" fillId="0" borderId="222" xfId="0" applyNumberFormat="1" applyFont="1" applyBorder="1"/>
    <xf numFmtId="2" fontId="7" fillId="0" borderId="226" xfId="0" applyNumberFormat="1" applyFont="1" applyBorder="1"/>
    <xf numFmtId="2" fontId="10" fillId="0" borderId="57" xfId="0" applyNumberFormat="1" applyFont="1" applyBorder="1" applyAlignment="1">
      <alignment horizontal="right" wrapText="1"/>
    </xf>
    <xf numFmtId="3" fontId="7" fillId="0" borderId="202" xfId="4" applyNumberFormat="1" applyFont="1" applyBorder="1"/>
    <xf numFmtId="3" fontId="8" fillId="0" borderId="67" xfId="4" applyNumberFormat="1" applyFont="1" applyBorder="1" applyAlignment="1">
      <alignment horizontal="right"/>
    </xf>
    <xf numFmtId="3" fontId="6" fillId="0" borderId="215" xfId="4" applyNumberFormat="1" applyFont="1" applyBorder="1"/>
    <xf numFmtId="3" fontId="6" fillId="0" borderId="217" xfId="4" applyNumberFormat="1" applyFont="1" applyBorder="1"/>
    <xf numFmtId="3" fontId="6" fillId="0" borderId="216" xfId="4" applyNumberFormat="1" applyFont="1" applyBorder="1"/>
    <xf numFmtId="3" fontId="6" fillId="0" borderId="226" xfId="4" applyNumberFormat="1" applyFont="1" applyBorder="1"/>
    <xf numFmtId="3" fontId="7" fillId="0" borderId="216" xfId="4" applyNumberFormat="1" applyFont="1" applyBorder="1"/>
    <xf numFmtId="3" fontId="7" fillId="0" borderId="222" xfId="4" applyNumberFormat="1" applyFont="1" applyBorder="1"/>
    <xf numFmtId="3" fontId="6" fillId="0" borderId="219" xfId="4" applyNumberFormat="1" applyFont="1" applyBorder="1"/>
    <xf numFmtId="3" fontId="6" fillId="0" borderId="201" xfId="4" applyNumberFormat="1" applyFont="1" applyBorder="1"/>
    <xf numFmtId="3" fontId="6" fillId="0" borderId="202" xfId="4" applyNumberFormat="1" applyFont="1" applyBorder="1"/>
    <xf numFmtId="3" fontId="6" fillId="0" borderId="224" xfId="4" applyNumberFormat="1" applyFont="1" applyBorder="1"/>
    <xf numFmtId="3" fontId="7" fillId="0" borderId="205" xfId="4" applyNumberFormat="1" applyFont="1" applyBorder="1"/>
    <xf numFmtId="3" fontId="8" fillId="0" borderId="211" xfId="4" applyNumberFormat="1" applyFont="1" applyBorder="1"/>
    <xf numFmtId="3" fontId="8" fillId="0" borderId="213" xfId="4" applyNumberFormat="1" applyFont="1" applyBorder="1"/>
    <xf numFmtId="3" fontId="8" fillId="0" borderId="214" xfId="4" applyNumberFormat="1" applyFont="1" applyBorder="1"/>
    <xf numFmtId="3" fontId="8" fillId="0" borderId="171" xfId="4" applyNumberFormat="1" applyFont="1" applyBorder="1"/>
    <xf numFmtId="3" fontId="9" fillId="0" borderId="214" xfId="4" applyNumberFormat="1" applyFont="1" applyBorder="1"/>
    <xf numFmtId="3" fontId="9" fillId="0" borderId="212" xfId="4" applyNumberFormat="1" applyFont="1" applyBorder="1"/>
    <xf numFmtId="9" fontId="8" fillId="0" borderId="203" xfId="5" applyFont="1" applyBorder="1"/>
    <xf numFmtId="0" fontId="7" fillId="0" borderId="225" xfId="4" applyFont="1" applyBorder="1" applyAlignment="1">
      <alignment horizontal="center"/>
    </xf>
    <xf numFmtId="0" fontId="7" fillId="0" borderId="185" xfId="4" applyFont="1" applyBorder="1"/>
    <xf numFmtId="2" fontId="11" fillId="0" borderId="223" xfId="0" applyNumberFormat="1" applyFont="1" applyBorder="1" applyAlignment="1">
      <alignment horizontal="right" wrapText="1"/>
    </xf>
    <xf numFmtId="2" fontId="9" fillId="0" borderId="221" xfId="0" applyNumberFormat="1" applyFont="1" applyBorder="1" applyAlignment="1">
      <alignment horizontal="right" wrapText="1"/>
    </xf>
    <xf numFmtId="2" fontId="11" fillId="0" borderId="221" xfId="0" applyNumberFormat="1" applyFont="1" applyBorder="1" applyAlignment="1">
      <alignment horizontal="right" wrapText="1"/>
    </xf>
    <xf numFmtId="3" fontId="11" fillId="0" borderId="50" xfId="0" applyNumberFormat="1" applyFont="1" applyBorder="1" applyAlignment="1">
      <alignment horizontal="right"/>
    </xf>
    <xf numFmtId="3" fontId="10" fillId="0" borderId="0" xfId="0" applyNumberFormat="1" applyFont="1" applyAlignment="1">
      <alignment horizontal="right" wrapText="1"/>
    </xf>
    <xf numFmtId="2" fontId="9" fillId="0" borderId="218" xfId="0" applyNumberFormat="1" applyFont="1" applyBorder="1"/>
    <xf numFmtId="2" fontId="7" fillId="0" borderId="226" xfId="0" applyNumberFormat="1" applyFont="1" applyBorder="1" applyAlignment="1">
      <alignment horizontal="right" wrapText="1"/>
    </xf>
    <xf numFmtId="2" fontId="7" fillId="0" borderId="222" xfId="0" applyNumberFormat="1" applyFont="1" applyBorder="1" applyAlignment="1">
      <alignment horizontal="right" wrapText="1"/>
    </xf>
    <xf numFmtId="3" fontId="10" fillId="0" borderId="226" xfId="0" applyNumberFormat="1" applyFont="1" applyBorder="1" applyAlignment="1">
      <alignment horizontal="right" wrapText="1"/>
    </xf>
    <xf numFmtId="3" fontId="10" fillId="0" borderId="217" xfId="0" applyNumberFormat="1" applyFont="1" applyBorder="1" applyAlignment="1">
      <alignment horizontal="right" wrapText="1"/>
    </xf>
    <xf numFmtId="9" fontId="10" fillId="0" borderId="216" xfId="5" applyFont="1" applyBorder="1" applyAlignment="1">
      <alignment horizontal="right" wrapText="1"/>
    </xf>
    <xf numFmtId="2" fontId="10" fillId="0" borderId="226" xfId="0" applyNumberFormat="1" applyFont="1" applyBorder="1" applyAlignment="1">
      <alignment horizontal="right" wrapText="1"/>
    </xf>
    <xf numFmtId="2" fontId="10" fillId="0" borderId="222" xfId="0" applyNumberFormat="1" applyFont="1" applyBorder="1" applyAlignment="1">
      <alignment horizontal="right" wrapText="1"/>
    </xf>
    <xf numFmtId="2" fontId="10" fillId="0" borderId="215" xfId="0" applyNumberFormat="1" applyFont="1" applyBorder="1" applyAlignment="1">
      <alignment horizontal="right" wrapText="1"/>
    </xf>
    <xf numFmtId="2" fontId="7" fillId="0" borderId="219" xfId="0" applyNumberFormat="1" applyFont="1" applyBorder="1"/>
    <xf numFmtId="2" fontId="11" fillId="0" borderId="75" xfId="0" applyNumberFormat="1" applyFont="1" applyBorder="1" applyAlignment="1">
      <alignment horizontal="right" wrapText="1"/>
    </xf>
    <xf numFmtId="2" fontId="11" fillId="0" borderId="49" xfId="0" applyNumberFormat="1" applyFont="1" applyBorder="1" applyAlignment="1">
      <alignment horizontal="right" wrapText="1"/>
    </xf>
    <xf numFmtId="2" fontId="11" fillId="0" borderId="69" xfId="0" applyNumberFormat="1" applyFont="1" applyBorder="1" applyAlignment="1">
      <alignment horizontal="right" wrapText="1"/>
    </xf>
    <xf numFmtId="2" fontId="10" fillId="0" borderId="224" xfId="0" applyNumberFormat="1" applyFont="1" applyBorder="1" applyAlignment="1">
      <alignment horizontal="right" wrapText="1"/>
    </xf>
    <xf numFmtId="2" fontId="10" fillId="0" borderId="205" xfId="0" applyNumberFormat="1" applyFont="1" applyBorder="1" applyAlignment="1">
      <alignment horizontal="right" wrapText="1"/>
    </xf>
    <xf numFmtId="3" fontId="10" fillId="0" borderId="224" xfId="0" applyNumberFormat="1" applyFont="1" applyBorder="1" applyAlignment="1">
      <alignment horizontal="right" wrapText="1"/>
    </xf>
    <xf numFmtId="2" fontId="10" fillId="0" borderId="35" xfId="0" applyNumberFormat="1" applyFont="1" applyBorder="1" applyAlignment="1">
      <alignment horizontal="right" wrapText="1"/>
    </xf>
    <xf numFmtId="0" fontId="69" fillId="0" borderId="216" xfId="0" applyFont="1" applyBorder="1"/>
    <xf numFmtId="0" fontId="69" fillId="0" borderId="202" xfId="0" applyFont="1" applyBorder="1"/>
    <xf numFmtId="0" fontId="69" fillId="0" borderId="53" xfId="0" applyFont="1" applyBorder="1"/>
    <xf numFmtId="0" fontId="5" fillId="0" borderId="0" xfId="0" applyFont="1"/>
    <xf numFmtId="3" fontId="5" fillId="0" borderId="0" xfId="0" applyNumberFormat="1" applyFont="1"/>
    <xf numFmtId="0" fontId="31" fillId="0" borderId="0" xfId="0" applyFont="1" applyAlignment="1">
      <alignment horizontal="left" wrapText="1"/>
    </xf>
    <xf numFmtId="3" fontId="69" fillId="0" borderId="4" xfId="0" applyNumberFormat="1" applyFont="1" applyBorder="1"/>
    <xf numFmtId="2" fontId="69" fillId="0" borderId="63" xfId="0" applyNumberFormat="1" applyFont="1" applyBorder="1"/>
    <xf numFmtId="0" fontId="9" fillId="0" borderId="130" xfId="0" applyFont="1" applyBorder="1"/>
    <xf numFmtId="2" fontId="9" fillId="0" borderId="218" xfId="0" applyNumberFormat="1" applyFont="1" applyBorder="1" applyAlignment="1">
      <alignment horizontal="right" wrapText="1"/>
    </xf>
    <xf numFmtId="2" fontId="8" fillId="0" borderId="20" xfId="0" applyNumberFormat="1" applyFont="1" applyBorder="1" applyAlignment="1">
      <alignment horizontal="right" wrapText="1"/>
    </xf>
    <xf numFmtId="2" fontId="8" fillId="0" borderId="220" xfId="0" applyNumberFormat="1" applyFont="1" applyBorder="1" applyAlignment="1">
      <alignment horizontal="right" wrapText="1"/>
    </xf>
    <xf numFmtId="2" fontId="9" fillId="0" borderId="220" xfId="0" applyNumberFormat="1" applyFont="1" applyBorder="1" applyAlignment="1">
      <alignment horizontal="right" wrapText="1"/>
    </xf>
    <xf numFmtId="2" fontId="11" fillId="0" borderId="218" xfId="0" applyNumberFormat="1" applyFont="1" applyBorder="1" applyAlignment="1">
      <alignment horizontal="right" wrapText="1"/>
    </xf>
    <xf numFmtId="2" fontId="11" fillId="0" borderId="227" xfId="0" applyNumberFormat="1" applyFont="1" applyBorder="1" applyAlignment="1">
      <alignment horizontal="right" wrapText="1"/>
    </xf>
    <xf numFmtId="2" fontId="11" fillId="0" borderId="220" xfId="0" applyNumberFormat="1" applyFont="1" applyBorder="1" applyAlignment="1">
      <alignment horizontal="right" wrapText="1"/>
    </xf>
    <xf numFmtId="2" fontId="11" fillId="0" borderId="131" xfId="0" applyNumberFormat="1" applyFont="1" applyBorder="1" applyAlignment="1">
      <alignment horizontal="right" wrapText="1"/>
    </xf>
    <xf numFmtId="2" fontId="11" fillId="0" borderId="200" xfId="0" applyNumberFormat="1" applyFont="1" applyBorder="1" applyAlignment="1">
      <alignment horizontal="right" wrapText="1"/>
    </xf>
    <xf numFmtId="2" fontId="11" fillId="0" borderId="208" xfId="0" applyNumberFormat="1" applyFont="1" applyBorder="1" applyAlignment="1">
      <alignment horizontal="right" wrapText="1"/>
    </xf>
    <xf numFmtId="2" fontId="11" fillId="0" borderId="139" xfId="0" applyNumberFormat="1" applyFont="1" applyBorder="1" applyAlignment="1">
      <alignment horizontal="right"/>
    </xf>
    <xf numFmtId="2" fontId="11" fillId="0" borderId="139" xfId="0" applyNumberFormat="1" applyFont="1" applyBorder="1" applyAlignment="1">
      <alignment horizontal="right" wrapText="1"/>
    </xf>
    <xf numFmtId="2" fontId="11" fillId="0" borderId="64" xfId="0" applyNumberFormat="1" applyFont="1" applyBorder="1" applyAlignment="1">
      <alignment horizontal="right" wrapText="1"/>
    </xf>
    <xf numFmtId="2" fontId="10" fillId="0" borderId="196" xfId="0" applyNumberFormat="1" applyFont="1" applyBorder="1" applyAlignment="1">
      <alignment horizontal="right" wrapText="1"/>
    </xf>
    <xf numFmtId="2" fontId="10" fillId="0" borderId="219" xfId="0" applyNumberFormat="1" applyFont="1" applyBorder="1" applyAlignment="1">
      <alignment horizontal="right" wrapText="1"/>
    </xf>
    <xf numFmtId="2" fontId="10" fillId="0" borderId="209" xfId="0" applyNumberFormat="1" applyFont="1" applyBorder="1" applyAlignment="1">
      <alignment horizontal="right" wrapText="1"/>
    </xf>
    <xf numFmtId="2" fontId="10" fillId="0" borderId="200" xfId="0" applyNumberFormat="1" applyFont="1" applyBorder="1" applyAlignment="1">
      <alignment horizontal="right" wrapText="1"/>
    </xf>
    <xf numFmtId="2" fontId="6" fillId="0" borderId="1" xfId="0" applyNumberFormat="1" applyFont="1" applyBorder="1" applyAlignment="1">
      <alignment horizontal="right" wrapText="1"/>
    </xf>
    <xf numFmtId="2" fontId="6" fillId="0" borderId="7" xfId="0" applyNumberFormat="1" applyFont="1" applyBorder="1" applyAlignment="1">
      <alignment horizontal="right" wrapText="1"/>
    </xf>
    <xf numFmtId="2" fontId="6" fillId="0" borderId="4" xfId="0" applyNumberFormat="1" applyFont="1" applyBorder="1" applyAlignment="1">
      <alignment horizontal="right" wrapText="1"/>
    </xf>
    <xf numFmtId="2" fontId="6" fillId="0" borderId="209" xfId="0" applyNumberFormat="1" applyFont="1" applyBorder="1" applyAlignment="1">
      <alignment horizontal="right" wrapText="1"/>
    </xf>
    <xf numFmtId="2" fontId="7" fillId="0" borderId="210" xfId="0" applyNumberFormat="1" applyFont="1" applyBorder="1" applyAlignment="1">
      <alignment horizontal="right" wrapText="1"/>
    </xf>
    <xf numFmtId="3" fontId="10" fillId="0" borderId="20" xfId="0" applyNumberFormat="1" applyFont="1" applyBorder="1" applyAlignment="1">
      <alignment horizontal="right" wrapText="1"/>
    </xf>
    <xf numFmtId="3" fontId="10" fillId="0" borderId="220" xfId="0" applyNumberFormat="1" applyFont="1" applyBorder="1" applyAlignment="1">
      <alignment horizontal="right" wrapText="1"/>
    </xf>
    <xf numFmtId="3" fontId="11" fillId="0" borderId="38" xfId="0" applyNumberFormat="1" applyFont="1" applyBorder="1" applyAlignment="1">
      <alignment horizontal="right" wrapText="1"/>
    </xf>
    <xf numFmtId="3" fontId="10" fillId="0" borderId="62" xfId="0" applyNumberFormat="1" applyFont="1" applyBorder="1" applyAlignment="1">
      <alignment horizontal="right" wrapText="1"/>
    </xf>
    <xf numFmtId="3" fontId="11" fillId="0" borderId="50" xfId="0" applyNumberFormat="1" applyFont="1" applyBorder="1" applyAlignment="1">
      <alignment horizontal="right" wrapText="1"/>
    </xf>
    <xf numFmtId="3" fontId="10" fillId="0" borderId="218" xfId="0" applyNumberFormat="1" applyFont="1" applyBorder="1" applyAlignment="1">
      <alignment horizontal="right" wrapText="1"/>
    </xf>
    <xf numFmtId="3" fontId="10" fillId="0" borderId="227" xfId="0" applyNumberFormat="1" applyFont="1" applyBorder="1" applyAlignment="1">
      <alignment horizontal="right" wrapText="1"/>
    </xf>
    <xf numFmtId="3" fontId="11" fillId="0" borderId="131" xfId="0" applyNumberFormat="1" applyFont="1" applyBorder="1" applyAlignment="1">
      <alignment horizontal="right" wrapText="1"/>
    </xf>
    <xf numFmtId="3" fontId="10" fillId="0" borderId="38" xfId="0" applyNumberFormat="1" applyFont="1" applyBorder="1" applyAlignment="1">
      <alignment horizontal="right" wrapText="1"/>
    </xf>
    <xf numFmtId="3" fontId="69" fillId="0" borderId="60" xfId="0" applyNumberFormat="1" applyFont="1" applyBorder="1"/>
    <xf numFmtId="3" fontId="69" fillId="0" borderId="226" xfId="0" applyNumberFormat="1" applyFont="1" applyBorder="1"/>
    <xf numFmtId="3" fontId="70" fillId="0" borderId="67" xfId="0" applyNumberFormat="1" applyFont="1" applyBorder="1"/>
    <xf numFmtId="2" fontId="69" fillId="0" borderId="76" xfId="0" applyNumberFormat="1" applyFont="1" applyBorder="1"/>
    <xf numFmtId="2" fontId="69" fillId="0" borderId="222" xfId="0" applyNumberFormat="1" applyFont="1" applyBorder="1"/>
    <xf numFmtId="2" fontId="70" fillId="0" borderId="68" xfId="0" applyNumberFormat="1" applyFont="1" applyBorder="1"/>
    <xf numFmtId="3" fontId="69" fillId="0" borderId="51" xfId="0" applyNumberFormat="1" applyFont="1" applyBorder="1"/>
    <xf numFmtId="2" fontId="69" fillId="0" borderId="53" xfId="0" applyNumberFormat="1" applyFont="1" applyBorder="1"/>
    <xf numFmtId="3" fontId="69" fillId="0" borderId="215" xfId="0" applyNumberFormat="1" applyFont="1" applyBorder="1"/>
    <xf numFmtId="2" fontId="69" fillId="0" borderId="3" xfId="0" applyNumberFormat="1" applyFont="1" applyBorder="1"/>
    <xf numFmtId="2" fontId="69" fillId="0" borderId="216" xfId="0" applyNumberFormat="1" applyFont="1" applyBorder="1"/>
    <xf numFmtId="0" fontId="69" fillId="0" borderId="4" xfId="0" applyFont="1" applyBorder="1"/>
    <xf numFmtId="2" fontId="69" fillId="0" borderId="202" xfId="0" applyNumberFormat="1" applyFont="1" applyBorder="1"/>
    <xf numFmtId="3" fontId="70" fillId="0" borderId="64" xfId="0" applyNumberFormat="1" applyFont="1" applyBorder="1"/>
    <xf numFmtId="2" fontId="70" fillId="0" borderId="66" xfId="0" applyNumberFormat="1" applyFont="1" applyBorder="1"/>
    <xf numFmtId="2" fontId="0" fillId="0" borderId="15" xfId="0" applyNumberFormat="1" applyBorder="1"/>
    <xf numFmtId="3" fontId="69" fillId="0" borderId="56" xfId="0" applyNumberFormat="1" applyFont="1" applyBorder="1"/>
    <xf numFmtId="9" fontId="6" fillId="0" borderId="216" xfId="5" applyFont="1" applyBorder="1"/>
    <xf numFmtId="9" fontId="6" fillId="0" borderId="216" xfId="5" applyFont="1" applyBorder="1" applyAlignment="1">
      <alignment horizontal="right"/>
    </xf>
    <xf numFmtId="164" fontId="7" fillId="0" borderId="11" xfId="0" applyNumberFormat="1" applyFont="1" applyBorder="1"/>
    <xf numFmtId="164" fontId="7" fillId="0" borderId="31" xfId="0" applyNumberFormat="1" applyFont="1" applyBorder="1"/>
    <xf numFmtId="164" fontId="7" fillId="0" borderId="36" xfId="0" applyNumberFormat="1" applyFont="1" applyBorder="1"/>
    <xf numFmtId="0" fontId="6" fillId="0" borderId="82" xfId="0" applyFont="1" applyBorder="1" applyAlignment="1">
      <alignment wrapText="1"/>
    </xf>
    <xf numFmtId="0" fontId="8" fillId="0" borderId="73" xfId="0" applyFont="1" applyBorder="1" applyAlignment="1">
      <alignment horizontal="center"/>
    </xf>
    <xf numFmtId="3" fontId="6" fillId="0" borderId="218" xfId="0" applyNumberFormat="1" applyFont="1" applyBorder="1"/>
    <xf numFmtId="9" fontId="6" fillId="0" borderId="185" xfId="5" applyFont="1" applyFill="1" applyBorder="1" applyAlignment="1">
      <alignment horizontal="right"/>
    </xf>
    <xf numFmtId="3" fontId="8" fillId="0" borderId="80" xfId="0" applyNumberFormat="1" applyFont="1" applyBorder="1"/>
    <xf numFmtId="2" fontId="8" fillId="0" borderId="221" xfId="0" applyNumberFormat="1" applyFont="1" applyBorder="1"/>
    <xf numFmtId="9" fontId="6" fillId="0" borderId="185" xfId="5" applyFont="1" applyBorder="1" applyAlignment="1">
      <alignment horizontal="right"/>
    </xf>
    <xf numFmtId="4" fontId="6" fillId="0" borderId="226" xfId="0" applyNumberFormat="1" applyFont="1" applyBorder="1"/>
    <xf numFmtId="4" fontId="7" fillId="0" borderId="225" xfId="0" applyNumberFormat="1" applyFont="1" applyBorder="1"/>
    <xf numFmtId="2" fontId="8" fillId="0" borderId="227" xfId="0" applyNumberFormat="1" applyFont="1" applyBorder="1"/>
    <xf numFmtId="9" fontId="6" fillId="0" borderId="98" xfId="5" applyFont="1" applyBorder="1" applyAlignment="1">
      <alignment horizontal="right"/>
    </xf>
    <xf numFmtId="164" fontId="7" fillId="0" borderId="1" xfId="0" applyNumberFormat="1" applyFont="1" applyBorder="1" applyAlignment="1">
      <alignment horizontal="right"/>
    </xf>
    <xf numFmtId="164" fontId="7" fillId="0" borderId="2" xfId="0" applyNumberFormat="1" applyFont="1" applyBorder="1" applyAlignment="1">
      <alignment horizontal="right"/>
    </xf>
    <xf numFmtId="2" fontId="6" fillId="0" borderId="224" xfId="0" applyNumberFormat="1" applyFont="1" applyBorder="1"/>
    <xf numFmtId="9" fontId="6" fillId="0" borderId="42" xfId="5" applyFont="1" applyFill="1" applyBorder="1" applyAlignment="1">
      <alignment horizontal="right" vertical="center" wrapText="1"/>
    </xf>
    <xf numFmtId="9" fontId="6" fillId="0" borderId="218" xfId="5" applyFont="1" applyFill="1" applyBorder="1" applyAlignment="1">
      <alignment horizontal="right" vertical="center" wrapText="1"/>
    </xf>
    <xf numFmtId="0" fontId="8" fillId="0" borderId="223" xfId="0" applyFont="1" applyBorder="1" applyAlignment="1">
      <alignment horizontal="center"/>
    </xf>
    <xf numFmtId="3" fontId="7" fillId="0" borderId="63" xfId="0" applyNumberFormat="1" applyFont="1" applyBorder="1" applyAlignment="1">
      <alignment horizontal="right"/>
    </xf>
    <xf numFmtId="3" fontId="6" fillId="0" borderId="220" xfId="0" applyNumberFormat="1" applyFont="1" applyBorder="1"/>
    <xf numFmtId="3" fontId="7" fillId="0" borderId="20" xfId="0" applyNumberFormat="1" applyFont="1" applyBorder="1" applyAlignment="1">
      <alignment horizontal="right"/>
    </xf>
    <xf numFmtId="3" fontId="7" fillId="0" borderId="218" xfId="0" applyNumberFormat="1" applyFont="1" applyBorder="1" applyAlignment="1">
      <alignment horizontal="right"/>
    </xf>
    <xf numFmtId="3" fontId="7" fillId="0" borderId="62" xfId="0" applyNumberFormat="1" applyFont="1" applyBorder="1" applyAlignment="1">
      <alignment horizontal="right"/>
    </xf>
    <xf numFmtId="3" fontId="7" fillId="0" borderId="42" xfId="0" applyNumberFormat="1" applyFont="1" applyBorder="1" applyAlignment="1">
      <alignment horizontal="right"/>
    </xf>
    <xf numFmtId="0" fontId="6" fillId="0" borderId="220" xfId="0" applyFont="1" applyBorder="1"/>
    <xf numFmtId="0" fontId="9" fillId="0" borderId="212" xfId="0" applyFont="1" applyBorder="1" applyAlignment="1">
      <alignment horizontal="center"/>
    </xf>
    <xf numFmtId="164" fontId="7" fillId="0" borderId="51" xfId="0" applyNumberFormat="1" applyFont="1" applyBorder="1"/>
    <xf numFmtId="3" fontId="7" fillId="0" borderId="223" xfId="0" applyNumberFormat="1" applyFont="1" applyBorder="1" applyAlignment="1">
      <alignment horizontal="right" wrapText="1"/>
    </xf>
    <xf numFmtId="9" fontId="6" fillId="0" borderId="185" xfId="5" applyFont="1" applyFill="1" applyBorder="1" applyAlignment="1"/>
    <xf numFmtId="4" fontId="6" fillId="0" borderId="224" xfId="0" applyNumberFormat="1" applyFont="1" applyBorder="1"/>
    <xf numFmtId="4" fontId="6" fillId="0" borderId="204" xfId="0" applyNumberFormat="1" applyFont="1" applyBorder="1"/>
    <xf numFmtId="0" fontId="9" fillId="0" borderId="142" xfId="0" applyFont="1" applyBorder="1" applyAlignment="1">
      <alignment horizontal="center"/>
    </xf>
    <xf numFmtId="2" fontId="9" fillId="0" borderId="71" xfId="0" applyNumberFormat="1" applyFont="1" applyBorder="1" applyAlignment="1">
      <alignment horizontal="right"/>
    </xf>
    <xf numFmtId="9" fontId="10" fillId="0" borderId="221" xfId="5" applyFont="1" applyBorder="1" applyAlignment="1">
      <alignment horizontal="right" wrapText="1"/>
    </xf>
    <xf numFmtId="2" fontId="11" fillId="0" borderId="70" xfId="0" applyNumberFormat="1" applyFont="1" applyBorder="1" applyAlignment="1">
      <alignment horizontal="right" wrapText="1"/>
    </xf>
    <xf numFmtId="9" fontId="10" fillId="0" borderId="223" xfId="5" applyFont="1" applyBorder="1" applyAlignment="1">
      <alignment horizontal="right" wrapText="1"/>
    </xf>
    <xf numFmtId="3" fontId="7" fillId="0" borderId="3" xfId="0" applyNumberFormat="1" applyFont="1" applyBorder="1" applyAlignment="1">
      <alignment horizontal="right" wrapText="1"/>
    </xf>
    <xf numFmtId="3" fontId="9" fillId="0" borderId="172" xfId="0" applyNumberFormat="1" applyFont="1" applyBorder="1" applyAlignment="1">
      <alignment horizontal="right" wrapText="1"/>
    </xf>
    <xf numFmtId="3" fontId="7" fillId="0" borderId="53" xfId="0" applyNumberFormat="1" applyFont="1" applyBorder="1" applyAlignment="1">
      <alignment horizontal="right" wrapText="1"/>
    </xf>
    <xf numFmtId="3" fontId="7" fillId="0" borderId="5" xfId="0" applyNumberFormat="1" applyFont="1" applyBorder="1" applyAlignment="1">
      <alignment horizontal="right" wrapText="1"/>
    </xf>
    <xf numFmtId="3" fontId="9" fillId="0" borderId="66" xfId="0" applyNumberFormat="1" applyFont="1" applyBorder="1" applyAlignment="1">
      <alignment horizontal="right" wrapText="1"/>
    </xf>
    <xf numFmtId="3" fontId="7" fillId="0" borderId="202" xfId="0" applyNumberFormat="1" applyFont="1" applyBorder="1" applyAlignment="1">
      <alignment horizontal="right" wrapText="1"/>
    </xf>
    <xf numFmtId="3" fontId="9" fillId="0" borderId="25" xfId="0" applyNumberFormat="1" applyFont="1" applyBorder="1" applyAlignment="1">
      <alignment horizontal="right"/>
    </xf>
    <xf numFmtId="3" fontId="9" fillId="0" borderId="66" xfId="0" applyNumberFormat="1" applyFont="1" applyBorder="1" applyAlignment="1">
      <alignment horizontal="right"/>
    </xf>
    <xf numFmtId="2" fontId="9" fillId="0" borderId="79" xfId="0" applyNumberFormat="1" applyFont="1" applyBorder="1"/>
    <xf numFmtId="0" fontId="7" fillId="0" borderId="63" xfId="4" applyFont="1" applyBorder="1"/>
    <xf numFmtId="3" fontId="7" fillId="0" borderId="217" xfId="0" applyNumberFormat="1" applyFont="1" applyBorder="1" applyAlignment="1">
      <alignment horizontal="right"/>
    </xf>
    <xf numFmtId="2" fontId="11" fillId="0" borderId="116" xfId="0" applyNumberFormat="1" applyFont="1" applyBorder="1" applyAlignment="1">
      <alignment horizontal="right"/>
    </xf>
    <xf numFmtId="0" fontId="6" fillId="0" borderId="98" xfId="0" applyFont="1" applyBorder="1"/>
    <xf numFmtId="2" fontId="11" fillId="0" borderId="39" xfId="0" applyNumberFormat="1" applyFont="1" applyBorder="1" applyAlignment="1">
      <alignment horizontal="right"/>
    </xf>
    <xf numFmtId="2" fontId="11" fillId="0" borderId="42" xfId="0" applyNumberFormat="1" applyFont="1" applyBorder="1" applyAlignment="1">
      <alignment horizontal="right" wrapText="1"/>
    </xf>
    <xf numFmtId="9" fontId="6" fillId="0" borderId="5" xfId="5" applyFont="1" applyBorder="1"/>
    <xf numFmtId="9" fontId="11" fillId="0" borderId="131" xfId="5" applyFont="1" applyBorder="1" applyAlignment="1">
      <alignment horizontal="right" wrapText="1"/>
    </xf>
    <xf numFmtId="9" fontId="11" fillId="0" borderId="50" xfId="5" applyFont="1" applyBorder="1" applyAlignment="1">
      <alignment horizontal="right" wrapText="1"/>
    </xf>
    <xf numFmtId="2" fontId="7" fillId="0" borderId="229" xfId="0" applyNumberFormat="1" applyFont="1" applyBorder="1"/>
    <xf numFmtId="2" fontId="6" fillId="0" borderId="218" xfId="0" applyNumberFormat="1" applyFont="1" applyBorder="1"/>
    <xf numFmtId="2" fontId="11" fillId="0" borderId="43" xfId="0" applyNumberFormat="1" applyFont="1" applyBorder="1" applyAlignment="1">
      <alignment horizontal="right"/>
    </xf>
    <xf numFmtId="2" fontId="11" fillId="0" borderId="50" xfId="0" applyNumberFormat="1" applyFont="1" applyBorder="1" applyAlignment="1">
      <alignment horizontal="right" wrapText="1"/>
    </xf>
    <xf numFmtId="2" fontId="7" fillId="0" borderId="219" xfId="0" applyNumberFormat="1" applyFont="1" applyBorder="1" applyAlignment="1">
      <alignment horizontal="right" wrapText="1"/>
    </xf>
    <xf numFmtId="2" fontId="7" fillId="0" borderId="230" xfId="0" applyNumberFormat="1" applyFont="1" applyBorder="1" applyAlignment="1">
      <alignment horizontal="right" wrapText="1"/>
    </xf>
    <xf numFmtId="9" fontId="6" fillId="0" borderId="231" xfId="5" applyFont="1" applyBorder="1" applyAlignment="1">
      <alignment horizontal="right"/>
    </xf>
    <xf numFmtId="4" fontId="6" fillId="0" borderId="229" xfId="0" applyNumberFormat="1" applyFont="1" applyBorder="1"/>
    <xf numFmtId="4" fontId="7" fillId="0" borderId="221" xfId="0" applyNumberFormat="1" applyFont="1" applyBorder="1"/>
    <xf numFmtId="2" fontId="7" fillId="0" borderId="233" xfId="0" applyNumberFormat="1" applyFont="1" applyBorder="1" applyAlignment="1">
      <alignment horizontal="right" wrapText="1"/>
    </xf>
    <xf numFmtId="4" fontId="7" fillId="0" borderId="223" xfId="0" applyNumberFormat="1" applyFont="1" applyBorder="1"/>
    <xf numFmtId="4" fontId="7" fillId="0" borderId="204" xfId="0" applyNumberFormat="1" applyFont="1" applyBorder="1"/>
    <xf numFmtId="4" fontId="9" fillId="0" borderId="220" xfId="0" applyNumberFormat="1" applyFont="1" applyBorder="1"/>
    <xf numFmtId="3" fontId="7" fillId="0" borderId="38" xfId="0" applyNumberFormat="1" applyFont="1" applyBorder="1" applyAlignment="1">
      <alignment horizontal="right"/>
    </xf>
    <xf numFmtId="3" fontId="7" fillId="0" borderId="220" xfId="0" applyNumberFormat="1" applyFont="1" applyBorder="1" applyAlignment="1">
      <alignment horizontal="right"/>
    </xf>
    <xf numFmtId="3" fontId="9" fillId="0" borderId="38" xfId="0" applyNumberFormat="1" applyFont="1" applyBorder="1" applyAlignment="1">
      <alignment horizontal="right"/>
    </xf>
    <xf numFmtId="3" fontId="9" fillId="0" borderId="50" xfId="0" applyNumberFormat="1" applyFont="1" applyBorder="1" applyAlignment="1">
      <alignment horizontal="right"/>
    </xf>
    <xf numFmtId="3" fontId="7" fillId="0" borderId="215" xfId="0" applyNumberFormat="1" applyFont="1" applyBorder="1" applyAlignment="1">
      <alignment horizontal="right"/>
    </xf>
    <xf numFmtId="0" fontId="63" fillId="0" borderId="0" xfId="0" applyFont="1"/>
    <xf numFmtId="2" fontId="7" fillId="0" borderId="20" xfId="0" applyNumberFormat="1" applyFont="1" applyBorder="1" applyAlignment="1">
      <alignment horizontal="right" wrapText="1"/>
    </xf>
    <xf numFmtId="2" fontId="7" fillId="0" borderId="220" xfId="0" applyNumberFormat="1" applyFont="1" applyBorder="1" applyAlignment="1">
      <alignment horizontal="right" wrapText="1"/>
    </xf>
    <xf numFmtId="2" fontId="7" fillId="0" borderId="38" xfId="0" applyNumberFormat="1" applyFont="1" applyBorder="1" applyAlignment="1">
      <alignment horizontal="right" wrapText="1"/>
    </xf>
    <xf numFmtId="2" fontId="7" fillId="0" borderId="62" xfId="0" applyNumberFormat="1" applyFont="1" applyBorder="1" applyAlignment="1">
      <alignment horizontal="right" wrapText="1"/>
    </xf>
    <xf numFmtId="2" fontId="7" fillId="0" borderId="50" xfId="0" applyNumberFormat="1" applyFont="1" applyBorder="1" applyAlignment="1">
      <alignment horizontal="right" wrapText="1"/>
    </xf>
    <xf numFmtId="2" fontId="7" fillId="0" borderId="62" xfId="0" applyNumberFormat="1" applyFont="1" applyBorder="1" applyAlignment="1">
      <alignment horizontal="right"/>
    </xf>
    <xf numFmtId="2" fontId="7" fillId="0" borderId="42" xfId="0" applyNumberFormat="1" applyFont="1" applyBorder="1" applyAlignment="1">
      <alignment horizontal="right"/>
    </xf>
    <xf numFmtId="2" fontId="7" fillId="0" borderId="50" xfId="0" applyNumberFormat="1" applyFont="1" applyBorder="1" applyAlignment="1">
      <alignment horizontal="right"/>
    </xf>
    <xf numFmtId="2" fontId="7" fillId="0" borderId="218" xfId="0" applyNumberFormat="1" applyFont="1" applyBorder="1" applyAlignment="1">
      <alignment horizontal="right" wrapText="1"/>
    </xf>
    <xf numFmtId="4" fontId="6" fillId="0" borderId="1" xfId="0" applyNumberFormat="1" applyFont="1" applyBorder="1"/>
    <xf numFmtId="0" fontId="7" fillId="0" borderId="225" xfId="0" applyFont="1" applyBorder="1" applyAlignment="1">
      <alignment horizontal="center"/>
    </xf>
    <xf numFmtId="3" fontId="7" fillId="0" borderId="225" xfId="0" applyNumberFormat="1" applyFont="1" applyBorder="1" applyAlignment="1">
      <alignment horizontal="right"/>
    </xf>
    <xf numFmtId="4" fontId="7" fillId="0" borderId="222" xfId="0" applyNumberFormat="1" applyFont="1" applyBorder="1"/>
    <xf numFmtId="4" fontId="9" fillId="0" borderId="218" xfId="0" applyNumberFormat="1" applyFont="1" applyBorder="1"/>
    <xf numFmtId="0" fontId="7" fillId="0" borderId="63" xfId="0" applyFont="1" applyBorder="1" applyAlignment="1">
      <alignment horizontal="center"/>
    </xf>
    <xf numFmtId="4" fontId="6" fillId="0" borderId="4" xfId="0" applyNumberFormat="1" applyFont="1" applyBorder="1"/>
    <xf numFmtId="4" fontId="6" fillId="0" borderId="215" xfId="0" applyNumberFormat="1" applyFont="1" applyBorder="1"/>
    <xf numFmtId="4" fontId="8" fillId="0" borderId="64" xfId="0" applyNumberFormat="1" applyFont="1" applyBorder="1"/>
    <xf numFmtId="3" fontId="8" fillId="0" borderId="84" xfId="4" applyNumberFormat="1" applyFont="1" applyBorder="1"/>
    <xf numFmtId="3" fontId="6" fillId="0" borderId="4" xfId="4" applyNumberFormat="1" applyFont="1" applyBorder="1" applyAlignment="1">
      <alignment horizontal="right"/>
    </xf>
    <xf numFmtId="3" fontId="6" fillId="0" borderId="232" xfId="4" applyNumberFormat="1" applyFont="1" applyBorder="1"/>
    <xf numFmtId="3" fontId="7" fillId="0" borderId="231" xfId="4" applyNumberFormat="1" applyFont="1" applyBorder="1"/>
    <xf numFmtId="3" fontId="6" fillId="0" borderId="4" xfId="4" applyNumberFormat="1" applyFont="1" applyBorder="1"/>
    <xf numFmtId="3" fontId="7" fillId="0" borderId="201" xfId="4" applyNumberFormat="1" applyFont="1" applyBorder="1"/>
    <xf numFmtId="3" fontId="9" fillId="0" borderId="64" xfId="4" applyNumberFormat="1" applyFont="1" applyBorder="1"/>
    <xf numFmtId="3" fontId="9" fillId="0" borderId="65" xfId="4" applyNumberFormat="1" applyFont="1" applyBorder="1"/>
    <xf numFmtId="3" fontId="7" fillId="0" borderId="52" xfId="4" applyNumberFormat="1" applyFont="1" applyBorder="1"/>
    <xf numFmtId="3" fontId="7" fillId="0" borderId="2" xfId="4" applyNumberFormat="1" applyFont="1" applyBorder="1"/>
    <xf numFmtId="3" fontId="7" fillId="0" borderId="215" xfId="4" applyNumberFormat="1" applyFont="1" applyBorder="1"/>
    <xf numFmtId="3" fontId="7" fillId="0" borderId="217" xfId="4" applyNumberFormat="1" applyFont="1" applyBorder="1"/>
    <xf numFmtId="3" fontId="7" fillId="0" borderId="219" xfId="4" applyNumberFormat="1" applyFont="1" applyBorder="1"/>
    <xf numFmtId="3" fontId="7" fillId="0" borderId="232" xfId="4" applyNumberFormat="1" applyFont="1" applyBorder="1"/>
    <xf numFmtId="3" fontId="7" fillId="0" borderId="4" xfId="4" applyNumberFormat="1" applyFont="1" applyBorder="1"/>
    <xf numFmtId="0" fontId="7" fillId="0" borderId="27" xfId="0" applyFont="1" applyBorder="1"/>
    <xf numFmtId="0" fontId="9" fillId="0" borderId="27" xfId="0" applyFont="1" applyBorder="1"/>
    <xf numFmtId="3" fontId="6" fillId="0" borderId="222" xfId="0" applyNumberFormat="1" applyFont="1" applyBorder="1"/>
    <xf numFmtId="3" fontId="6" fillId="0" borderId="224" xfId="0" applyNumberFormat="1" applyFont="1" applyBorder="1"/>
    <xf numFmtId="3" fontId="6" fillId="0" borderId="226" xfId="0" applyNumberFormat="1" applyFont="1" applyBorder="1"/>
    <xf numFmtId="0" fontId="8" fillId="0" borderId="220" xfId="0" applyFont="1" applyBorder="1" applyAlignment="1">
      <alignment horizontal="center" vertical="center"/>
    </xf>
    <xf numFmtId="3" fontId="7" fillId="0" borderId="4" xfId="48" applyNumberFormat="1" applyBorder="1" applyAlignment="1">
      <alignment horizontal="right" vertical="center" wrapText="1"/>
    </xf>
    <xf numFmtId="3" fontId="7" fillId="0" borderId="201" xfId="48" applyNumberFormat="1" applyBorder="1" applyAlignment="1">
      <alignment horizontal="right" vertical="center" wrapText="1"/>
    </xf>
    <xf numFmtId="2" fontId="6" fillId="0" borderId="216" xfId="0" applyNumberFormat="1" applyFont="1" applyBorder="1"/>
    <xf numFmtId="2" fontId="6" fillId="0" borderId="20" xfId="0" applyNumberFormat="1" applyFont="1" applyBorder="1"/>
    <xf numFmtId="2" fontId="6" fillId="0" borderId="220" xfId="0" applyNumberFormat="1" applyFont="1" applyBorder="1"/>
    <xf numFmtId="2" fontId="6" fillId="0" borderId="62" xfId="0" applyNumberFormat="1" applyFont="1" applyBorder="1"/>
    <xf numFmtId="0" fontId="8" fillId="0" borderId="50" xfId="0" applyFont="1" applyBorder="1"/>
    <xf numFmtId="0" fontId="8" fillId="0" borderId="65" xfId="0" applyFont="1" applyBorder="1"/>
    <xf numFmtId="2" fontId="6" fillId="0" borderId="221" xfId="0" applyNumberFormat="1" applyFont="1" applyBorder="1"/>
    <xf numFmtId="2" fontId="6" fillId="0" borderId="8" xfId="0" applyNumberFormat="1" applyFont="1" applyBorder="1"/>
    <xf numFmtId="2" fontId="6" fillId="0" borderId="223" xfId="0" applyNumberFormat="1" applyFont="1" applyBorder="1"/>
    <xf numFmtId="3" fontId="8" fillId="0" borderId="48" xfId="0" applyNumberFormat="1" applyFont="1" applyBorder="1"/>
    <xf numFmtId="1" fontId="8" fillId="0" borderId="63" xfId="0" applyNumberFormat="1" applyFont="1" applyBorder="1"/>
    <xf numFmtId="1" fontId="8" fillId="0" borderId="101" xfId="0" applyNumberFormat="1" applyFont="1" applyBorder="1" applyAlignment="1">
      <alignment horizontal="right"/>
    </xf>
    <xf numFmtId="1" fontId="8" fillId="0" borderId="83" xfId="0" applyNumberFormat="1" applyFont="1" applyBorder="1" applyAlignment="1">
      <alignment horizontal="right"/>
    </xf>
    <xf numFmtId="1" fontId="8" fillId="0" borderId="142" xfId="0" applyNumberFormat="1" applyFont="1" applyBorder="1" applyAlignment="1">
      <alignment horizontal="right"/>
    </xf>
    <xf numFmtId="0" fontId="7" fillId="0" borderId="20" xfId="0" applyFont="1" applyBorder="1"/>
    <xf numFmtId="2" fontId="7" fillId="0" borderId="10" xfId="0" applyNumberFormat="1" applyFont="1" applyBorder="1" applyAlignment="1">
      <alignment horizontal="right"/>
    </xf>
    <xf numFmtId="2" fontId="7" fillId="0" borderId="15" xfId="0" applyNumberFormat="1" applyFont="1" applyBorder="1" applyAlignment="1">
      <alignment horizontal="right"/>
    </xf>
    <xf numFmtId="2" fontId="9" fillId="0" borderId="19" xfId="0" applyNumberFormat="1" applyFont="1" applyBorder="1" applyAlignment="1">
      <alignment horizontal="right"/>
    </xf>
    <xf numFmtId="2" fontId="7" fillId="0" borderId="1" xfId="0" applyNumberFormat="1" applyFont="1" applyBorder="1" applyAlignment="1">
      <alignment horizontal="right"/>
    </xf>
    <xf numFmtId="2" fontId="7" fillId="0" borderId="12" xfId="0" applyNumberFormat="1" applyFont="1" applyBorder="1" applyAlignment="1">
      <alignment horizontal="right"/>
    </xf>
    <xf numFmtId="2" fontId="9" fillId="0" borderId="20" xfId="0" applyNumberFormat="1" applyFont="1" applyBorder="1" applyAlignment="1">
      <alignment horizontal="right"/>
    </xf>
    <xf numFmtId="0" fontId="8" fillId="0" borderId="171" xfId="0" applyFont="1" applyBorder="1" applyAlignment="1">
      <alignment horizontal="center"/>
    </xf>
    <xf numFmtId="0" fontId="8" fillId="0" borderId="212" xfId="0" applyFont="1" applyBorder="1" applyAlignment="1">
      <alignment horizontal="center"/>
    </xf>
    <xf numFmtId="0" fontId="8" fillId="0" borderId="236" xfId="0" applyFont="1" applyBorder="1" applyAlignment="1">
      <alignment horizontal="center"/>
    </xf>
    <xf numFmtId="0" fontId="8" fillId="0" borderId="211" xfId="0" applyFont="1" applyBorder="1" applyAlignment="1">
      <alignment horizontal="center"/>
    </xf>
    <xf numFmtId="0" fontId="8" fillId="0" borderId="235" xfId="0" applyFont="1" applyBorder="1" applyAlignment="1">
      <alignment horizontal="center"/>
    </xf>
    <xf numFmtId="0" fontId="8" fillId="0" borderId="234" xfId="0" applyFont="1" applyBorder="1" applyAlignment="1">
      <alignment horizontal="center"/>
    </xf>
    <xf numFmtId="0" fontId="8" fillId="0" borderId="211" xfId="0" applyFont="1" applyBorder="1" applyAlignment="1">
      <alignment horizontal="center" vertical="center"/>
    </xf>
    <xf numFmtId="0" fontId="8" fillId="0" borderId="235" xfId="0" applyFont="1" applyBorder="1" applyAlignment="1">
      <alignment horizontal="center" vertical="center"/>
    </xf>
    <xf numFmtId="0" fontId="8" fillId="0" borderId="234" xfId="0" applyFont="1" applyBorder="1" applyAlignment="1">
      <alignment horizontal="center" vertical="center"/>
    </xf>
    <xf numFmtId="2" fontId="7" fillId="0" borderId="229" xfId="0" applyNumberFormat="1" applyFont="1" applyBorder="1" applyAlignment="1">
      <alignment horizontal="right" wrapText="1"/>
    </xf>
    <xf numFmtId="2" fontId="7" fillId="0" borderId="224" xfId="0" applyNumberFormat="1" applyFont="1" applyBorder="1" applyAlignment="1">
      <alignment horizontal="right" wrapText="1"/>
    </xf>
    <xf numFmtId="0" fontId="7" fillId="0" borderId="218" xfId="0" applyFont="1" applyBorder="1"/>
    <xf numFmtId="2" fontId="7" fillId="0" borderId="226" xfId="0" applyNumberFormat="1" applyFont="1" applyBorder="1" applyAlignment="1">
      <alignment horizontal="right"/>
    </xf>
    <xf numFmtId="2" fontId="7" fillId="0" borderId="222" xfId="0" applyNumberFormat="1" applyFont="1" applyBorder="1" applyAlignment="1">
      <alignment horizontal="right"/>
    </xf>
    <xf numFmtId="2" fontId="7" fillId="0" borderId="215" xfId="0" applyNumberFormat="1" applyFont="1" applyBorder="1" applyAlignment="1">
      <alignment horizontal="right"/>
    </xf>
    <xf numFmtId="2" fontId="9" fillId="0" borderId="218" xfId="0" applyNumberFormat="1" applyFont="1" applyBorder="1" applyAlignment="1">
      <alignment horizontal="right"/>
    </xf>
    <xf numFmtId="0" fontId="7" fillId="0" borderId="225" xfId="4" applyFont="1" applyBorder="1"/>
    <xf numFmtId="2" fontId="7" fillId="0" borderId="2" xfId="0" applyNumberFormat="1" applyFont="1" applyBorder="1"/>
    <xf numFmtId="2" fontId="7" fillId="0" borderId="52" xfId="0" applyNumberFormat="1" applyFont="1" applyBorder="1"/>
    <xf numFmtId="2" fontId="7" fillId="0" borderId="217" xfId="0" applyNumberFormat="1" applyFont="1" applyBorder="1"/>
    <xf numFmtId="2" fontId="7" fillId="0" borderId="201" xfId="0" applyNumberFormat="1" applyFont="1" applyBorder="1"/>
    <xf numFmtId="2" fontId="9" fillId="0" borderId="65" xfId="0" applyNumberFormat="1" applyFont="1" applyBorder="1"/>
    <xf numFmtId="2" fontId="9" fillId="0" borderId="27" xfId="0" applyNumberFormat="1" applyFont="1" applyBorder="1" applyAlignment="1">
      <alignment horizontal="right" wrapText="1"/>
    </xf>
    <xf numFmtId="2" fontId="9" fillId="0" borderId="223" xfId="0" applyNumberFormat="1" applyFont="1" applyBorder="1"/>
    <xf numFmtId="1" fontId="6" fillId="0" borderId="225" xfId="0" applyNumberFormat="1" applyFont="1" applyBorder="1"/>
    <xf numFmtId="1" fontId="6" fillId="0" borderId="0" xfId="0" applyNumberFormat="1" applyFont="1"/>
    <xf numFmtId="0" fontId="8" fillId="0" borderId="66" xfId="0" applyFont="1" applyBorder="1"/>
    <xf numFmtId="0" fontId="31" fillId="0" borderId="82" xfId="0" applyFont="1" applyBorder="1"/>
    <xf numFmtId="0" fontId="31" fillId="0" borderId="101" xfId="0" applyFont="1" applyBorder="1" applyAlignment="1">
      <alignment horizontal="center"/>
    </xf>
    <xf numFmtId="0" fontId="31" fillId="0" borderId="142" xfId="0" applyFont="1" applyBorder="1" applyAlignment="1">
      <alignment horizontal="center"/>
    </xf>
    <xf numFmtId="0" fontId="7" fillId="0" borderId="97" xfId="0" applyFont="1" applyBorder="1" applyAlignment="1">
      <alignment horizontal="center" wrapText="1"/>
    </xf>
    <xf numFmtId="164" fontId="7" fillId="0" borderId="37" xfId="0" applyNumberFormat="1" applyFont="1" applyBorder="1"/>
    <xf numFmtId="164" fontId="7" fillId="0" borderId="8" xfId="5" applyNumberFormat="1" applyFont="1" applyFill="1" applyBorder="1" applyAlignment="1">
      <alignment horizontal="right"/>
    </xf>
    <xf numFmtId="164" fontId="7" fillId="0" borderId="28" xfId="0" applyNumberFormat="1" applyFont="1" applyBorder="1"/>
    <xf numFmtId="0" fontId="7" fillId="0" borderId="45" xfId="0" applyFont="1" applyBorder="1"/>
    <xf numFmtId="164" fontId="9" fillId="0" borderId="77" xfId="0" applyNumberFormat="1" applyFont="1" applyBorder="1"/>
    <xf numFmtId="164" fontId="9" fillId="0" borderId="48" xfId="0" applyNumberFormat="1" applyFont="1" applyBorder="1"/>
    <xf numFmtId="164" fontId="9" fillId="0" borderId="49" xfId="5" applyNumberFormat="1" applyFont="1" applyFill="1" applyBorder="1" applyAlignment="1">
      <alignment horizontal="right"/>
    </xf>
    <xf numFmtId="164" fontId="7" fillId="0" borderId="59" xfId="0" applyNumberFormat="1" applyFont="1" applyBorder="1"/>
    <xf numFmtId="0" fontId="7" fillId="0" borderId="59" xfId="0" applyFont="1" applyBorder="1"/>
    <xf numFmtId="0" fontId="7" fillId="0" borderId="28" xfId="0" applyFont="1" applyBorder="1"/>
    <xf numFmtId="164" fontId="9" fillId="0" borderId="84" xfId="0" applyNumberFormat="1" applyFont="1" applyBorder="1"/>
    <xf numFmtId="164" fontId="9" fillId="0" borderId="86" xfId="0" applyNumberFormat="1" applyFont="1" applyBorder="1"/>
    <xf numFmtId="0" fontId="9" fillId="0" borderId="27" xfId="0" applyFont="1" applyBorder="1" applyAlignment="1">
      <alignment horizontal="right"/>
    </xf>
    <xf numFmtId="0" fontId="9" fillId="0" borderId="23" xfId="0" applyFont="1" applyBorder="1" applyAlignment="1">
      <alignment horizontal="right"/>
    </xf>
    <xf numFmtId="164" fontId="9" fillId="0" borderId="26" xfId="0" applyNumberFormat="1" applyFont="1" applyBorder="1" applyAlignment="1">
      <alignment horizontal="right"/>
    </xf>
    <xf numFmtId="0" fontId="7" fillId="0" borderId="8" xfId="0" applyFont="1" applyBorder="1"/>
    <xf numFmtId="0" fontId="7" fillId="0" borderId="97" xfId="0" applyFont="1" applyBorder="1" applyAlignment="1">
      <alignment wrapText="1"/>
    </xf>
    <xf numFmtId="0" fontId="7" fillId="0" borderId="113" xfId="0" applyFont="1" applyBorder="1"/>
    <xf numFmtId="0" fontId="7" fillId="0" borderId="32" xfId="0" applyFont="1" applyBorder="1"/>
    <xf numFmtId="0" fontId="7" fillId="0" borderId="31" xfId="0" applyFont="1" applyBorder="1"/>
    <xf numFmtId="164" fontId="9" fillId="0" borderId="48" xfId="0" applyNumberFormat="1" applyFont="1" applyBorder="1" applyAlignment="1">
      <alignment vertical="center"/>
    </xf>
    <xf numFmtId="164" fontId="9" fillId="0" borderId="49" xfId="0" applyNumberFormat="1" applyFont="1" applyBorder="1" applyAlignment="1">
      <alignment vertical="center"/>
    </xf>
    <xf numFmtId="166" fontId="9" fillId="0" borderId="132" xfId="0" applyNumberFormat="1" applyFont="1" applyBorder="1"/>
    <xf numFmtId="166" fontId="9" fillId="0" borderId="73" xfId="0" applyNumberFormat="1" applyFont="1" applyBorder="1"/>
    <xf numFmtId="166" fontId="9" fillId="0" borderId="133" xfId="5" applyNumberFormat="1" applyFont="1" applyFill="1" applyBorder="1" applyAlignment="1">
      <alignment horizontal="right"/>
    </xf>
    <xf numFmtId="0" fontId="9" fillId="0" borderId="65" xfId="0" applyFont="1" applyBorder="1"/>
    <xf numFmtId="4" fontId="7" fillId="0" borderId="27" xfId="0" applyNumberFormat="1" applyFont="1" applyBorder="1" applyAlignment="1">
      <alignment horizontal="right" vertical="center"/>
    </xf>
    <xf numFmtId="4" fontId="7" fillId="0" borderId="30" xfId="0" applyNumberFormat="1" applyFont="1" applyBorder="1" applyAlignment="1">
      <alignment horizontal="right" vertical="center"/>
    </xf>
    <xf numFmtId="4" fontId="7" fillId="0" borderId="204" xfId="0" applyNumberFormat="1" applyFont="1" applyBorder="1" applyAlignment="1">
      <alignment horizontal="right" vertical="center"/>
    </xf>
    <xf numFmtId="4" fontId="9" fillId="0" borderId="27" xfId="0" applyNumberFormat="1" applyFont="1" applyBorder="1" applyAlignment="1">
      <alignment horizontal="right"/>
    </xf>
    <xf numFmtId="4" fontId="9" fillId="0" borderId="30" xfId="0" applyNumberFormat="1" applyFont="1" applyBorder="1" applyAlignment="1">
      <alignment horizontal="right"/>
    </xf>
    <xf numFmtId="4" fontId="9" fillId="0" borderId="38" xfId="0" applyNumberFormat="1" applyFont="1" applyBorder="1" applyAlignment="1">
      <alignment horizontal="right"/>
    </xf>
    <xf numFmtId="9" fontId="9" fillId="0" borderId="82" xfId="5" applyFont="1" applyBorder="1"/>
    <xf numFmtId="9" fontId="7" fillId="0" borderId="98" xfId="5" applyFont="1" applyBorder="1"/>
    <xf numFmtId="9" fontId="9" fillId="0" borderId="143" xfId="5" applyFont="1" applyBorder="1"/>
    <xf numFmtId="4" fontId="7" fillId="0" borderId="24" xfId="0" applyNumberFormat="1" applyFont="1" applyBorder="1" applyAlignment="1">
      <alignment horizontal="right"/>
    </xf>
    <xf numFmtId="4" fontId="9" fillId="0" borderId="24" xfId="0" applyNumberFormat="1" applyFont="1" applyBorder="1" applyAlignment="1">
      <alignment horizontal="right"/>
    </xf>
    <xf numFmtId="0" fontId="7" fillId="0" borderId="101" xfId="0" applyFont="1" applyBorder="1" applyAlignment="1">
      <alignment wrapText="1"/>
    </xf>
    <xf numFmtId="0" fontId="7" fillId="0" borderId="27" xfId="0" applyFont="1" applyBorder="1" applyAlignment="1">
      <alignment horizontal="center" wrapText="1"/>
    </xf>
    <xf numFmtId="0" fontId="9" fillId="0" borderId="101" xfId="0" applyFont="1" applyBorder="1" applyAlignment="1">
      <alignment wrapText="1"/>
    </xf>
    <xf numFmtId="0" fontId="9" fillId="0" borderId="27" xfId="0" applyFont="1" applyBorder="1" applyAlignment="1">
      <alignment horizontal="center" wrapText="1"/>
    </xf>
    <xf numFmtId="0" fontId="7" fillId="0" borderId="102" xfId="0" applyFont="1" applyBorder="1" applyAlignment="1">
      <alignment horizontal="center" wrapText="1"/>
    </xf>
    <xf numFmtId="4" fontId="7" fillId="0" borderId="51" xfId="0" applyNumberFormat="1" applyFont="1" applyBorder="1"/>
    <xf numFmtId="2" fontId="7" fillId="0" borderId="61" xfId="0" applyNumberFormat="1" applyFont="1" applyBorder="1" applyAlignment="1">
      <alignment horizontal="right"/>
    </xf>
    <xf numFmtId="4" fontId="7" fillId="0" borderId="59" xfId="0" applyNumberFormat="1" applyFont="1" applyBorder="1" applyAlignment="1">
      <alignment horizontal="right"/>
    </xf>
    <xf numFmtId="4" fontId="7" fillId="0" borderId="108" xfId="0" applyNumberFormat="1" applyFont="1" applyBorder="1" applyAlignment="1">
      <alignment horizontal="right"/>
    </xf>
    <xf numFmtId="4" fontId="9" fillId="0" borderId="62" xfId="0" applyNumberFormat="1" applyFont="1" applyBorder="1" applyAlignment="1">
      <alignment horizontal="right"/>
    </xf>
    <xf numFmtId="4" fontId="7" fillId="0" borderId="0" xfId="0" applyNumberFormat="1" applyFont="1"/>
    <xf numFmtId="4" fontId="7" fillId="0" borderId="204" xfId="0" applyNumberFormat="1" applyFont="1" applyBorder="1" applyAlignment="1">
      <alignment horizontal="right"/>
    </xf>
    <xf numFmtId="0" fontId="9" fillId="0" borderId="83" xfId="0" applyFont="1" applyBorder="1" applyAlignment="1">
      <alignment wrapText="1"/>
    </xf>
    <xf numFmtId="2" fontId="7" fillId="0" borderId="8" xfId="0" applyNumberFormat="1" applyFont="1" applyBorder="1"/>
    <xf numFmtId="2" fontId="7" fillId="0" borderId="37" xfId="0" applyNumberFormat="1" applyFont="1" applyBorder="1"/>
    <xf numFmtId="0" fontId="9" fillId="0" borderId="130" xfId="0" applyFont="1" applyBorder="1" applyAlignment="1">
      <alignment horizontal="center" wrapText="1"/>
    </xf>
    <xf numFmtId="2" fontId="7" fillId="0" borderId="61" xfId="0" applyNumberFormat="1" applyFont="1" applyBorder="1"/>
    <xf numFmtId="4" fontId="7" fillId="0" borderId="28" xfId="0" applyNumberFormat="1" applyFont="1" applyBorder="1"/>
    <xf numFmtId="4" fontId="7" fillId="0" borderId="13" xfId="0" applyNumberFormat="1" applyFont="1" applyBorder="1"/>
    <xf numFmtId="4" fontId="9" fillId="0" borderId="156" xfId="0" applyNumberFormat="1" applyFont="1" applyBorder="1"/>
    <xf numFmtId="4" fontId="9" fillId="0" borderId="147" xfId="0" applyNumberFormat="1" applyFont="1" applyBorder="1"/>
    <xf numFmtId="2" fontId="9" fillId="0" borderId="145" xfId="0" applyNumberFormat="1" applyFont="1" applyBorder="1"/>
    <xf numFmtId="0" fontId="7" fillId="0" borderId="81" xfId="0" applyFont="1" applyBorder="1" applyAlignment="1">
      <alignment horizontal="center" wrapText="1"/>
    </xf>
    <xf numFmtId="2" fontId="7" fillId="0" borderId="36" xfId="0" applyNumberFormat="1" applyFont="1" applyBorder="1"/>
    <xf numFmtId="2" fontId="9" fillId="0" borderId="39" xfId="0" applyNumberFormat="1" applyFont="1" applyBorder="1"/>
    <xf numFmtId="0" fontId="9" fillId="0" borderId="143" xfId="0" applyFont="1" applyBorder="1" applyAlignment="1">
      <alignment wrapText="1"/>
    </xf>
    <xf numFmtId="0" fontId="9" fillId="0" borderId="143" xfId="0" applyFont="1" applyBorder="1" applyAlignment="1">
      <alignment horizontal="center" wrapText="1"/>
    </xf>
    <xf numFmtId="2" fontId="9" fillId="0" borderId="144" xfId="0" applyNumberFormat="1" applyFont="1" applyBorder="1"/>
    <xf numFmtId="2" fontId="9" fillId="0" borderId="151" xfId="0" applyNumberFormat="1" applyFont="1" applyBorder="1"/>
    <xf numFmtId="2" fontId="9" fillId="0" borderId="146" xfId="0" applyNumberFormat="1" applyFont="1" applyBorder="1"/>
    <xf numFmtId="2" fontId="9" fillId="0" borderId="157" xfId="0" applyNumberFormat="1" applyFont="1" applyBorder="1"/>
    <xf numFmtId="4" fontId="9" fillId="0" borderId="24" xfId="0" applyNumberFormat="1" applyFont="1" applyBorder="1"/>
    <xf numFmtId="2" fontId="9" fillId="0" borderId="135" xfId="0" applyNumberFormat="1" applyFont="1" applyBorder="1"/>
    <xf numFmtId="4" fontId="9" fillId="0" borderId="64" xfId="0" applyNumberFormat="1" applyFont="1" applyBorder="1"/>
    <xf numFmtId="2" fontId="11" fillId="0" borderId="68" xfId="0" applyNumberFormat="1" applyFont="1" applyBorder="1" applyAlignment="1">
      <alignment horizontal="right" wrapText="1"/>
    </xf>
    <xf numFmtId="2" fontId="7" fillId="0" borderId="27" xfId="0" applyNumberFormat="1" applyFont="1" applyBorder="1"/>
    <xf numFmtId="2" fontId="9" fillId="0" borderId="48" xfId="0" applyNumberFormat="1" applyFont="1" applyBorder="1"/>
    <xf numFmtId="2" fontId="7" fillId="0" borderId="225" xfId="0" applyNumberFormat="1" applyFont="1" applyBorder="1"/>
    <xf numFmtId="9" fontId="7" fillId="0" borderId="181" xfId="5" applyFont="1" applyBorder="1"/>
    <xf numFmtId="0" fontId="7" fillId="0" borderId="226" xfId="0" applyFont="1" applyBorder="1" applyAlignment="1">
      <alignment horizontal="center" wrapText="1"/>
    </xf>
    <xf numFmtId="0" fontId="7" fillId="0" borderId="224" xfId="0" applyFont="1" applyBorder="1" applyAlignment="1">
      <alignment horizontal="center" wrapText="1"/>
    </xf>
    <xf numFmtId="4" fontId="6" fillId="0" borderId="218" xfId="0" applyNumberFormat="1" applyFont="1" applyBorder="1"/>
    <xf numFmtId="4" fontId="6" fillId="0" borderId="38" xfId="0" applyNumberFormat="1" applyFont="1" applyBorder="1"/>
    <xf numFmtId="4" fontId="6" fillId="0" borderId="227" xfId="0" applyNumberFormat="1" applyFont="1" applyBorder="1"/>
    <xf numFmtId="4" fontId="6" fillId="0" borderId="217" xfId="0" applyNumberFormat="1" applyFont="1" applyBorder="1"/>
    <xf numFmtId="4" fontId="6" fillId="0" borderId="23" xfId="0" applyNumberFormat="1" applyFont="1" applyBorder="1"/>
    <xf numFmtId="4" fontId="6" fillId="0" borderId="232" xfId="0" applyNumberFormat="1" applyFont="1" applyBorder="1"/>
    <xf numFmtId="2" fontId="7" fillId="0" borderId="37" xfId="0" applyNumberFormat="1" applyFont="1" applyBorder="1" applyAlignment="1">
      <alignment horizontal="right" wrapText="1"/>
    </xf>
    <xf numFmtId="2" fontId="7" fillId="0" borderId="225" xfId="0" applyNumberFormat="1" applyFont="1" applyBorder="1" applyAlignment="1">
      <alignment horizontal="right" wrapText="1"/>
    </xf>
    <xf numFmtId="2" fontId="7" fillId="0" borderId="27" xfId="0" applyNumberFormat="1" applyFont="1" applyBorder="1" applyAlignment="1">
      <alignment horizontal="right" wrapText="1"/>
    </xf>
    <xf numFmtId="2" fontId="9" fillId="0" borderId="221" xfId="0" applyNumberFormat="1" applyFont="1" applyBorder="1" applyAlignment="1">
      <alignment horizontal="right"/>
    </xf>
    <xf numFmtId="4" fontId="10" fillId="0" borderId="226" xfId="0" applyNumberFormat="1" applyFont="1" applyBorder="1" applyAlignment="1">
      <alignment horizontal="right" wrapText="1"/>
    </xf>
    <xf numFmtId="4" fontId="10" fillId="0" borderId="217" xfId="0" applyNumberFormat="1" applyFont="1" applyBorder="1" applyAlignment="1">
      <alignment horizontal="right" wrapText="1"/>
    </xf>
    <xf numFmtId="2" fontId="7" fillId="0" borderId="219" xfId="0" applyNumberFormat="1" applyFont="1" applyBorder="1" applyAlignment="1">
      <alignment horizontal="right"/>
    </xf>
    <xf numFmtId="2" fontId="7" fillId="0" borderId="233" xfId="0" applyNumberFormat="1" applyFont="1" applyBorder="1" applyAlignment="1">
      <alignment horizontal="right"/>
    </xf>
    <xf numFmtId="2" fontId="7" fillId="0" borderId="229" xfId="0" applyNumberFormat="1" applyFont="1" applyBorder="1" applyAlignment="1">
      <alignment horizontal="right"/>
    </xf>
    <xf numFmtId="4" fontId="10" fillId="0" borderId="229" xfId="0" applyNumberFormat="1" applyFont="1" applyBorder="1" applyAlignment="1">
      <alignment horizontal="right" wrapText="1"/>
    </xf>
    <xf numFmtId="4" fontId="10" fillId="0" borderId="232" xfId="0" applyNumberFormat="1" applyFont="1" applyBorder="1" applyAlignment="1">
      <alignment horizontal="right" wrapText="1"/>
    </xf>
    <xf numFmtId="2" fontId="7" fillId="0" borderId="224" xfId="0" applyNumberFormat="1" applyFont="1" applyBorder="1" applyAlignment="1">
      <alignment horizontal="right"/>
    </xf>
    <xf numFmtId="2" fontId="9" fillId="0" borderId="223" xfId="0" applyNumberFormat="1" applyFont="1" applyBorder="1" applyAlignment="1">
      <alignment horizontal="right"/>
    </xf>
    <xf numFmtId="4" fontId="10" fillId="0" borderId="224" xfId="0" applyNumberFormat="1" applyFont="1" applyBorder="1" applyAlignment="1">
      <alignment horizontal="right" wrapText="1"/>
    </xf>
    <xf numFmtId="4" fontId="10" fillId="0" borderId="201" xfId="0" applyNumberFormat="1" applyFont="1" applyBorder="1" applyAlignment="1">
      <alignment horizontal="right" wrapText="1"/>
    </xf>
    <xf numFmtId="4" fontId="6" fillId="0" borderId="201" xfId="0" applyNumberFormat="1" applyFont="1" applyBorder="1"/>
    <xf numFmtId="4" fontId="6" fillId="0" borderId="220" xfId="0" applyNumberFormat="1" applyFont="1" applyBorder="1"/>
    <xf numFmtId="2" fontId="9" fillId="0" borderId="48" xfId="0" applyNumberFormat="1" applyFont="1" applyBorder="1" applyAlignment="1">
      <alignment horizontal="right" wrapText="1"/>
    </xf>
    <xf numFmtId="4" fontId="11" fillId="0" borderId="67" xfId="0" applyNumberFormat="1" applyFont="1" applyBorder="1" applyAlignment="1">
      <alignment horizontal="right" wrapText="1"/>
    </xf>
    <xf numFmtId="4" fontId="11" fillId="0" borderId="65" xfId="0" applyNumberFormat="1" applyFont="1" applyBorder="1" applyAlignment="1">
      <alignment horizontal="right" wrapText="1"/>
    </xf>
    <xf numFmtId="0" fontId="7" fillId="0" borderId="220" xfId="0" applyFont="1" applyBorder="1"/>
    <xf numFmtId="164" fontId="7" fillId="0" borderId="220" xfId="0" applyNumberFormat="1" applyFont="1" applyBorder="1" applyAlignment="1">
      <alignment horizontal="right"/>
    </xf>
    <xf numFmtId="164" fontId="9" fillId="0" borderId="24" xfId="0" applyNumberFormat="1" applyFont="1" applyBorder="1"/>
    <xf numFmtId="164" fontId="9" fillId="0" borderId="23" xfId="0" applyNumberFormat="1" applyFont="1" applyBorder="1"/>
    <xf numFmtId="164" fontId="9" fillId="0" borderId="25" xfId="0" applyNumberFormat="1" applyFont="1" applyBorder="1"/>
    <xf numFmtId="164" fontId="9" fillId="0" borderId="38" xfId="0" applyNumberFormat="1" applyFont="1" applyBorder="1"/>
    <xf numFmtId="164" fontId="7" fillId="0" borderId="62" xfId="0" applyNumberFormat="1" applyFont="1" applyBorder="1"/>
    <xf numFmtId="164" fontId="7" fillId="0" borderId="215" xfId="0" applyNumberFormat="1" applyFont="1" applyBorder="1" applyAlignment="1">
      <alignment horizontal="right"/>
    </xf>
    <xf numFmtId="164" fontId="7" fillId="0" borderId="217" xfId="0" applyNumberFormat="1" applyFont="1" applyBorder="1" applyAlignment="1">
      <alignment horizontal="right"/>
    </xf>
    <xf numFmtId="164" fontId="7" fillId="0" borderId="218" xfId="0" applyNumberFormat="1" applyFont="1" applyBorder="1" applyAlignment="1">
      <alignment horizontal="right"/>
    </xf>
    <xf numFmtId="164" fontId="7" fillId="0" borderId="218" xfId="0" applyNumberFormat="1" applyFont="1" applyBorder="1"/>
    <xf numFmtId="164" fontId="7" fillId="0" borderId="20" xfId="0" applyNumberFormat="1" applyFont="1" applyBorder="1"/>
    <xf numFmtId="164" fontId="7" fillId="0" borderId="220" xfId="0" applyNumberFormat="1" applyFont="1" applyBorder="1"/>
    <xf numFmtId="164" fontId="7" fillId="0" borderId="103" xfId="0" applyNumberFormat="1" applyFont="1" applyBorder="1"/>
    <xf numFmtId="164" fontId="7" fillId="0" borderId="104" xfId="0" applyNumberFormat="1" applyFont="1" applyBorder="1"/>
    <xf numFmtId="164" fontId="7" fillId="0" borderId="111" xfId="0" applyNumberFormat="1" applyFont="1" applyBorder="1"/>
    <xf numFmtId="164" fontId="9" fillId="0" borderId="128" xfId="0" applyNumberFormat="1" applyFont="1" applyBorder="1"/>
    <xf numFmtId="164" fontId="9" fillId="0" borderId="79" xfId="0" applyNumberFormat="1" applyFont="1" applyBorder="1"/>
    <xf numFmtId="166" fontId="9" fillId="0" borderId="72" xfId="0" applyNumberFormat="1" applyFont="1" applyBorder="1"/>
    <xf numFmtId="166" fontId="9" fillId="0" borderId="74" xfId="0" applyNumberFormat="1" applyFont="1" applyBorder="1"/>
    <xf numFmtId="166" fontId="9" fillId="0" borderId="131" xfId="0" applyNumberFormat="1" applyFont="1" applyBorder="1"/>
    <xf numFmtId="164" fontId="9" fillId="0" borderId="72" xfId="0" applyNumberFormat="1" applyFont="1" applyBorder="1"/>
    <xf numFmtId="164" fontId="9" fillId="0" borderId="74" xfId="0" applyNumberFormat="1" applyFont="1" applyBorder="1"/>
    <xf numFmtId="168" fontId="9" fillId="0" borderId="101" xfId="0" applyNumberFormat="1" applyFont="1" applyBorder="1"/>
    <xf numFmtId="168" fontId="9" fillId="0" borderId="27" xfId="0" applyNumberFormat="1" applyFont="1" applyBorder="1"/>
    <xf numFmtId="168" fontId="7" fillId="0" borderId="81" xfId="0" applyNumberFormat="1" applyFont="1" applyBorder="1"/>
    <xf numFmtId="168" fontId="7" fillId="0" borderId="181" xfId="0" applyNumberFormat="1" applyFont="1" applyBorder="1"/>
    <xf numFmtId="168" fontId="7" fillId="0" borderId="63" xfId="0" applyNumberFormat="1" applyFont="1" applyBorder="1"/>
    <xf numFmtId="2" fontId="9" fillId="0" borderId="194" xfId="0" applyNumberFormat="1" applyFont="1" applyBorder="1" applyAlignment="1">
      <alignment horizontal="right" wrapText="1"/>
    </xf>
    <xf numFmtId="2" fontId="9" fillId="0" borderId="150" xfId="0" applyNumberFormat="1" applyFont="1" applyBorder="1" applyAlignment="1">
      <alignment horizontal="right" wrapText="1"/>
    </xf>
    <xf numFmtId="2" fontId="7" fillId="0" borderId="59" xfId="0" applyNumberFormat="1" applyFont="1" applyBorder="1" applyAlignment="1">
      <alignment horizontal="right" wrapText="1"/>
    </xf>
    <xf numFmtId="2" fontId="7" fillId="0" borderId="28" xfId="0" applyNumberFormat="1" applyFont="1" applyBorder="1" applyAlignment="1">
      <alignment horizontal="right" wrapText="1"/>
    </xf>
    <xf numFmtId="2" fontId="8" fillId="0" borderId="18" xfId="0" applyNumberFormat="1" applyFont="1" applyBorder="1"/>
    <xf numFmtId="2" fontId="8" fillId="0" borderId="6" xfId="0" applyNumberFormat="1" applyFont="1" applyBorder="1"/>
    <xf numFmtId="4" fontId="8" fillId="0" borderId="23" xfId="0" applyNumberFormat="1" applyFont="1" applyBorder="1"/>
    <xf numFmtId="4" fontId="8" fillId="0" borderId="73" xfId="0" applyNumberFormat="1" applyFont="1" applyBorder="1"/>
    <xf numFmtId="2" fontId="6" fillId="0" borderId="111" xfId="0" applyNumberFormat="1" applyFont="1" applyBorder="1"/>
    <xf numFmtId="0" fontId="7" fillId="0" borderId="37" xfId="0" applyFont="1" applyBorder="1"/>
    <xf numFmtId="4" fontId="7" fillId="0" borderId="1" xfId="0" applyNumberFormat="1" applyFont="1" applyBorder="1"/>
    <xf numFmtId="9" fontId="7" fillId="0" borderId="1" xfId="5" applyFont="1" applyFill="1" applyBorder="1"/>
    <xf numFmtId="9" fontId="7" fillId="0" borderId="12" xfId="5" applyFont="1" applyFill="1" applyBorder="1"/>
    <xf numFmtId="9" fontId="9" fillId="0" borderId="8" xfId="5" applyFont="1" applyFill="1" applyBorder="1"/>
    <xf numFmtId="2" fontId="7" fillId="0" borderId="1" xfId="5" applyNumberFormat="1" applyFont="1" applyFill="1" applyBorder="1"/>
    <xf numFmtId="2" fontId="9" fillId="0" borderId="20" xfId="5" applyNumberFormat="1" applyFont="1" applyFill="1" applyBorder="1"/>
    <xf numFmtId="4" fontId="7" fillId="0" borderId="4" xfId="0" applyNumberFormat="1" applyFont="1" applyBorder="1"/>
    <xf numFmtId="9" fontId="7" fillId="0" borderId="4" xfId="5" applyFont="1" applyFill="1" applyBorder="1"/>
    <xf numFmtId="9" fontId="7" fillId="0" borderId="204" xfId="5" applyFont="1" applyFill="1" applyBorder="1"/>
    <xf numFmtId="2" fontId="7" fillId="0" borderId="4" xfId="5" applyNumberFormat="1" applyFont="1" applyFill="1" applyBorder="1"/>
    <xf numFmtId="2" fontId="7" fillId="0" borderId="204" xfId="5" applyNumberFormat="1" applyFont="1" applyFill="1" applyBorder="1"/>
    <xf numFmtId="2" fontId="9" fillId="0" borderId="41" xfId="5" applyNumberFormat="1" applyFont="1" applyFill="1" applyBorder="1"/>
    <xf numFmtId="2" fontId="7" fillId="0" borderId="63" xfId="0" applyNumberFormat="1" applyFont="1" applyBorder="1"/>
    <xf numFmtId="4" fontId="9" fillId="0" borderId="26" xfId="0" applyNumberFormat="1" applyFont="1" applyBorder="1"/>
    <xf numFmtId="9" fontId="9" fillId="0" borderId="24" xfId="5" applyFont="1" applyFill="1" applyBorder="1"/>
    <xf numFmtId="9" fontId="9" fillId="0" borderId="30" xfId="5" applyFont="1" applyFill="1" applyBorder="1"/>
    <xf numFmtId="9" fontId="9" fillId="0" borderId="0" xfId="5" applyFont="1" applyFill="1" applyBorder="1"/>
    <xf numFmtId="2" fontId="9" fillId="0" borderId="24" xfId="5" applyNumberFormat="1" applyFont="1" applyFill="1" applyBorder="1"/>
    <xf numFmtId="2" fontId="9" fillId="0" borderId="30" xfId="5" applyNumberFormat="1" applyFont="1" applyFill="1" applyBorder="1"/>
    <xf numFmtId="2" fontId="9" fillId="0" borderId="38" xfId="5" applyNumberFormat="1" applyFont="1" applyFill="1" applyBorder="1"/>
    <xf numFmtId="2" fontId="9" fillId="0" borderId="101" xfId="0" applyNumberFormat="1" applyFont="1" applyBorder="1"/>
    <xf numFmtId="9" fontId="7" fillId="0" borderId="51" xfId="5" applyFont="1" applyFill="1" applyBorder="1"/>
    <xf numFmtId="9" fontId="7" fillId="0" borderId="108" xfId="5" applyFont="1" applyFill="1" applyBorder="1"/>
    <xf numFmtId="9" fontId="9" fillId="0" borderId="61" xfId="5" applyFont="1" applyFill="1" applyBorder="1"/>
    <xf numFmtId="2" fontId="7" fillId="0" borderId="51" xfId="5" applyNumberFormat="1" applyFont="1" applyFill="1" applyBorder="1"/>
    <xf numFmtId="2" fontId="7" fillId="0" borderId="108" xfId="5" applyNumberFormat="1" applyFont="1" applyFill="1" applyBorder="1"/>
    <xf numFmtId="2" fontId="9" fillId="0" borderId="62" xfId="5" applyNumberFormat="1" applyFont="1" applyFill="1" applyBorder="1"/>
    <xf numFmtId="2" fontId="7" fillId="0" borderId="81" xfId="0" applyNumberFormat="1" applyFont="1" applyBorder="1"/>
    <xf numFmtId="9" fontId="7" fillId="0" borderId="4" xfId="5" applyFont="1" applyFill="1" applyBorder="1" applyAlignment="1">
      <alignment horizontal="right"/>
    </xf>
    <xf numFmtId="9" fontId="9" fillId="0" borderId="64" xfId="5" applyFont="1" applyFill="1" applyBorder="1"/>
    <xf numFmtId="9" fontId="9" fillId="0" borderId="70" xfId="5" applyFont="1" applyFill="1" applyBorder="1"/>
    <xf numFmtId="9" fontId="9" fillId="0" borderId="49" xfId="5" applyFont="1" applyFill="1" applyBorder="1"/>
    <xf numFmtId="2" fontId="9" fillId="0" borderId="64" xfId="5" applyNumberFormat="1" applyFont="1" applyFill="1" applyBorder="1"/>
    <xf numFmtId="2" fontId="9" fillId="0" borderId="70" xfId="5" applyNumberFormat="1" applyFont="1" applyFill="1" applyBorder="1"/>
    <xf numFmtId="2" fontId="9" fillId="0" borderId="50" xfId="5" applyNumberFormat="1" applyFont="1" applyFill="1" applyBorder="1"/>
    <xf numFmtId="2" fontId="9" fillId="0" borderId="83" xfId="0" applyNumberFormat="1" applyFont="1" applyBorder="1"/>
    <xf numFmtId="2" fontId="7" fillId="0" borderId="184" xfId="5" applyNumberFormat="1" applyFont="1" applyFill="1" applyBorder="1"/>
    <xf numFmtId="2" fontId="7" fillId="0" borderId="181" xfId="0" applyNumberFormat="1" applyFont="1" applyBorder="1"/>
    <xf numFmtId="9" fontId="7" fillId="0" borderId="184" xfId="5" applyFont="1" applyFill="1" applyBorder="1"/>
    <xf numFmtId="0" fontId="7" fillId="0" borderId="190" xfId="0" applyFont="1" applyBorder="1"/>
    <xf numFmtId="2" fontId="9" fillId="0" borderId="185" xfId="0" applyNumberFormat="1" applyFont="1" applyBorder="1"/>
    <xf numFmtId="4" fontId="9" fillId="0" borderId="72" xfId="0" applyNumberFormat="1" applyFont="1" applyBorder="1"/>
    <xf numFmtId="4" fontId="9" fillId="0" borderId="80" xfId="0" applyNumberFormat="1" applyFont="1" applyBorder="1"/>
    <xf numFmtId="9" fontId="9" fillId="0" borderId="72" xfId="5" applyFont="1" applyFill="1" applyBorder="1"/>
    <xf numFmtId="9" fontId="9" fillId="0" borderId="149" xfId="5" applyFont="1" applyFill="1" applyBorder="1"/>
    <xf numFmtId="9" fontId="9" fillId="0" borderId="133" xfId="5" applyFont="1" applyFill="1" applyBorder="1"/>
    <xf numFmtId="2" fontId="9" fillId="0" borderId="131" xfId="5" applyNumberFormat="1" applyFont="1" applyFill="1" applyBorder="1"/>
    <xf numFmtId="2" fontId="9" fillId="0" borderId="142" xfId="0" applyNumberFormat="1" applyFont="1" applyBorder="1"/>
    <xf numFmtId="4" fontId="9" fillId="0" borderId="50" xfId="5" applyNumberFormat="1" applyFont="1" applyFill="1" applyBorder="1"/>
    <xf numFmtId="4" fontId="7" fillId="0" borderId="224" xfId="0" applyNumberFormat="1" applyFont="1" applyBorder="1"/>
    <xf numFmtId="9" fontId="9" fillId="0" borderId="223" xfId="5" applyFont="1" applyFill="1" applyBorder="1"/>
    <xf numFmtId="2" fontId="9" fillId="0" borderId="220" xfId="5" applyNumberFormat="1" applyFont="1" applyFill="1" applyBorder="1"/>
    <xf numFmtId="4" fontId="7" fillId="0" borderId="215" xfId="0" applyNumberFormat="1" applyFont="1" applyBorder="1"/>
    <xf numFmtId="4" fontId="7" fillId="0" borderId="226" xfId="0" applyNumberFormat="1" applyFont="1" applyBorder="1"/>
    <xf numFmtId="9" fontId="7" fillId="0" borderId="215" xfId="5" applyFont="1" applyFill="1" applyBorder="1"/>
    <xf numFmtId="9" fontId="9" fillId="0" borderId="221" xfId="5" applyFont="1" applyFill="1" applyBorder="1"/>
    <xf numFmtId="2" fontId="7" fillId="0" borderId="215" xfId="5" applyNumberFormat="1" applyFont="1" applyFill="1" applyBorder="1"/>
    <xf numFmtId="2" fontId="9" fillId="0" borderId="218" xfId="5" applyNumberFormat="1" applyFont="1" applyFill="1" applyBorder="1"/>
    <xf numFmtId="4" fontId="7" fillId="0" borderId="24" xfId="0" applyNumberFormat="1" applyFont="1" applyBorder="1"/>
    <xf numFmtId="2" fontId="7" fillId="0" borderId="12" xfId="5" applyNumberFormat="1" applyFont="1" applyFill="1" applyBorder="1"/>
    <xf numFmtId="2" fontId="7" fillId="0" borderId="82" xfId="0" applyNumberFormat="1" applyFont="1" applyBorder="1"/>
    <xf numFmtId="0" fontId="7" fillId="0" borderId="225" xfId="0" applyFont="1" applyBorder="1"/>
    <xf numFmtId="4" fontId="7" fillId="0" borderId="26" xfId="0" applyNumberFormat="1" applyFont="1" applyBorder="1"/>
    <xf numFmtId="9" fontId="7" fillId="0" borderId="24" xfId="5" applyFont="1" applyFill="1" applyBorder="1"/>
    <xf numFmtId="9" fontId="7" fillId="0" borderId="30" xfId="5" applyFont="1" applyFill="1" applyBorder="1"/>
    <xf numFmtId="4" fontId="7" fillId="0" borderId="11" xfId="0" applyNumberFormat="1" applyFont="1" applyBorder="1"/>
    <xf numFmtId="4" fontId="7" fillId="0" borderId="35" xfId="0" applyNumberFormat="1" applyFont="1" applyBorder="1"/>
    <xf numFmtId="4" fontId="9" fillId="0" borderId="42" xfId="0" applyNumberFormat="1" applyFont="1" applyBorder="1"/>
    <xf numFmtId="4" fontId="9" fillId="0" borderId="36" xfId="0" applyNumberFormat="1" applyFont="1" applyBorder="1"/>
    <xf numFmtId="9" fontId="7" fillId="0" borderId="98" xfId="5" applyFont="1" applyBorder="1" applyAlignment="1">
      <alignment horizontal="right" wrapText="1"/>
    </xf>
    <xf numFmtId="9" fontId="7" fillId="0" borderId="101" xfId="5" applyFont="1" applyBorder="1" applyAlignment="1">
      <alignment horizontal="right" wrapText="1"/>
    </xf>
    <xf numFmtId="4" fontId="9" fillId="0" borderId="61" xfId="0" applyNumberFormat="1" applyFont="1" applyBorder="1"/>
    <xf numFmtId="9" fontId="7" fillId="0" borderId="81" xfId="5" applyFont="1" applyBorder="1" applyAlignment="1">
      <alignment horizontal="right" wrapText="1"/>
    </xf>
    <xf numFmtId="9" fontId="7" fillId="0" borderId="83" xfId="5" applyFont="1" applyBorder="1" applyAlignment="1">
      <alignment horizontal="right" wrapText="1"/>
    </xf>
    <xf numFmtId="9" fontId="7" fillId="0" borderId="82" xfId="5" applyFont="1" applyBorder="1" applyAlignment="1">
      <alignment horizontal="right" wrapText="1"/>
    </xf>
    <xf numFmtId="9" fontId="7" fillId="0" borderId="181" xfId="5" applyFont="1" applyBorder="1" applyAlignment="1">
      <alignment horizontal="right" wrapText="1"/>
    </xf>
    <xf numFmtId="9" fontId="9" fillId="0" borderId="101" xfId="5" applyFont="1" applyBorder="1" applyAlignment="1">
      <alignment horizontal="right" wrapText="1"/>
    </xf>
    <xf numFmtId="9" fontId="9" fillId="0" borderId="142" xfId="5" applyFont="1" applyBorder="1" applyAlignment="1">
      <alignment horizontal="right" wrapText="1"/>
    </xf>
    <xf numFmtId="4" fontId="9" fillId="0" borderId="64" xfId="0" applyNumberFormat="1" applyFont="1" applyBorder="1" applyAlignment="1">
      <alignment horizontal="right" wrapText="1"/>
    </xf>
    <xf numFmtId="4" fontId="9" fillId="0" borderId="70" xfId="0" applyNumberFormat="1" applyFont="1" applyBorder="1" applyAlignment="1">
      <alignment horizontal="right" wrapText="1"/>
    </xf>
    <xf numFmtId="4" fontId="9" fillId="0" borderId="50" xfId="0" applyNumberFormat="1" applyFont="1" applyBorder="1" applyAlignment="1">
      <alignment horizontal="right" wrapText="1"/>
    </xf>
    <xf numFmtId="4" fontId="9" fillId="0" borderId="49" xfId="0" applyNumberFormat="1" applyFont="1" applyBorder="1" applyAlignment="1">
      <alignment horizontal="right" wrapText="1"/>
    </xf>
    <xf numFmtId="9" fontId="9" fillId="0" borderId="83" xfId="5" applyFont="1" applyBorder="1" applyAlignment="1">
      <alignment horizontal="right" wrapText="1"/>
    </xf>
    <xf numFmtId="4" fontId="7" fillId="0" borderId="30" xfId="0" applyNumberFormat="1" applyFont="1" applyBorder="1"/>
    <xf numFmtId="9" fontId="7" fillId="0" borderId="63" xfId="5" applyFont="1" applyBorder="1" applyAlignment="1">
      <alignment horizontal="right" wrapText="1"/>
    </xf>
    <xf numFmtId="4" fontId="9" fillId="0" borderId="223" xfId="0" applyNumberFormat="1" applyFont="1" applyBorder="1"/>
    <xf numFmtId="164" fontId="6" fillId="0" borderId="61" xfId="5" applyNumberFormat="1" applyFont="1" applyFill="1" applyBorder="1" applyAlignment="1">
      <alignment horizontal="right"/>
    </xf>
    <xf numFmtId="0" fontId="6" fillId="0" borderId="99" xfId="0" applyFont="1" applyBorder="1"/>
    <xf numFmtId="0" fontId="6" fillId="0" borderId="112" xfId="0" applyFont="1" applyBorder="1"/>
    <xf numFmtId="164" fontId="6" fillId="0" borderId="112" xfId="0" applyNumberFormat="1" applyFont="1" applyBorder="1"/>
    <xf numFmtId="164" fontId="6" fillId="0" borderId="113" xfId="5" applyNumberFormat="1" applyFont="1" applyFill="1" applyBorder="1" applyAlignment="1">
      <alignment horizontal="right"/>
    </xf>
    <xf numFmtId="168" fontId="7" fillId="0" borderId="63" xfId="0" applyNumberFormat="1" applyFont="1" applyBorder="1" applyAlignment="1">
      <alignment horizontal="right"/>
    </xf>
    <xf numFmtId="168" fontId="9" fillId="0" borderId="83" xfId="0" applyNumberFormat="1" applyFont="1" applyBorder="1" applyAlignment="1">
      <alignment horizontal="right"/>
    </xf>
    <xf numFmtId="168" fontId="9" fillId="0" borderId="101" xfId="0" applyNumberFormat="1" applyFont="1" applyBorder="1" applyAlignment="1">
      <alignment horizontal="right"/>
    </xf>
    <xf numFmtId="168" fontId="9" fillId="0" borderId="27" xfId="0" applyNumberFormat="1" applyFont="1" applyBorder="1" applyAlignment="1">
      <alignment horizontal="right"/>
    </xf>
    <xf numFmtId="168" fontId="9" fillId="0" borderId="0" xfId="0" applyNumberFormat="1" applyFont="1" applyAlignment="1">
      <alignment horizontal="right"/>
    </xf>
    <xf numFmtId="168" fontId="9" fillId="0" borderId="49" xfId="0" applyNumberFormat="1" applyFont="1" applyBorder="1" applyAlignment="1">
      <alignment horizontal="right"/>
    </xf>
    <xf numFmtId="164" fontId="9" fillId="0" borderId="21" xfId="0" applyNumberFormat="1" applyFont="1" applyBorder="1"/>
    <xf numFmtId="164" fontId="9" fillId="0" borderId="26" xfId="0" applyNumberFormat="1" applyFont="1" applyBorder="1"/>
    <xf numFmtId="164" fontId="9" fillId="0" borderId="0" xfId="0" applyNumberFormat="1" applyFont="1"/>
    <xf numFmtId="164" fontId="9" fillId="0" borderId="27" xfId="0" applyNumberFormat="1" applyFont="1" applyBorder="1"/>
    <xf numFmtId="164" fontId="9" fillId="0" borderId="0" xfId="5" applyNumberFormat="1" applyFont="1" applyFill="1" applyBorder="1" applyAlignment="1">
      <alignment horizontal="right"/>
    </xf>
    <xf numFmtId="164" fontId="9" fillId="0" borderId="172" xfId="0" applyNumberFormat="1" applyFont="1" applyBorder="1"/>
    <xf numFmtId="164" fontId="9" fillId="0" borderId="18" xfId="0" applyNumberFormat="1" applyFont="1" applyBorder="1"/>
    <xf numFmtId="164" fontId="9" fillId="0" borderId="132" xfId="0" applyNumberFormat="1" applyFont="1" applyBorder="1" applyAlignment="1">
      <alignment vertical="center"/>
    </xf>
    <xf numFmtId="164" fontId="9" fillId="0" borderId="73" xfId="0" applyNumberFormat="1" applyFont="1" applyBorder="1" applyAlignment="1">
      <alignment vertical="center"/>
    </xf>
    <xf numFmtId="0" fontId="9" fillId="0" borderId="73" xfId="0" applyFont="1" applyBorder="1" applyAlignment="1">
      <alignment vertical="center"/>
    </xf>
    <xf numFmtId="164" fontId="9" fillId="0" borderId="80" xfId="0" applyNumberFormat="1" applyFont="1" applyBorder="1" applyAlignment="1">
      <alignment vertical="center"/>
    </xf>
    <xf numFmtId="164" fontId="9" fillId="0" borderId="133" xfId="0" applyNumberFormat="1" applyFont="1" applyBorder="1"/>
    <xf numFmtId="168" fontId="9" fillId="0" borderId="142" xfId="0" applyNumberFormat="1" applyFont="1" applyBorder="1" applyAlignment="1">
      <alignment horizontal="right"/>
    </xf>
    <xf numFmtId="168" fontId="9" fillId="0" borderId="133" xfId="0" applyNumberFormat="1" applyFont="1" applyBorder="1" applyAlignment="1">
      <alignment horizontal="right"/>
    </xf>
    <xf numFmtId="167" fontId="6" fillId="0" borderId="4" xfId="0" applyNumberFormat="1" applyFont="1" applyBorder="1"/>
    <xf numFmtId="167" fontId="6" fillId="0" borderId="201" xfId="0" applyNumberFormat="1" applyFont="1" applyBorder="1"/>
    <xf numFmtId="167" fontId="6" fillId="0" borderId="205" xfId="0" applyNumberFormat="1" applyFont="1" applyBorder="1"/>
    <xf numFmtId="167" fontId="7" fillId="0" borderId="201" xfId="0" applyNumberFormat="1" applyFont="1" applyBorder="1"/>
    <xf numFmtId="167" fontId="7" fillId="0" borderId="4" xfId="0" applyNumberFormat="1" applyFont="1" applyBorder="1"/>
    <xf numFmtId="167" fontId="7" fillId="0" borderId="205" xfId="0" applyNumberFormat="1" applyFont="1" applyBorder="1"/>
    <xf numFmtId="167" fontId="9" fillId="0" borderId="24" xfId="0" applyNumberFormat="1" applyFont="1" applyBorder="1"/>
    <xf numFmtId="167" fontId="9" fillId="0" borderId="23" xfId="0" applyNumberFormat="1" applyFont="1" applyBorder="1"/>
    <xf numFmtId="167" fontId="9" fillId="0" borderId="57" xfId="0" applyNumberFormat="1" applyFont="1" applyBorder="1"/>
    <xf numFmtId="167" fontId="7" fillId="0" borderId="1" xfId="0" applyNumberFormat="1" applyFont="1" applyBorder="1"/>
    <xf numFmtId="167" fontId="7" fillId="0" borderId="2" xfId="0" applyNumberFormat="1" applyFont="1" applyBorder="1"/>
    <xf numFmtId="167" fontId="6" fillId="0" borderId="202" xfId="0" applyNumberFormat="1" applyFont="1" applyBorder="1"/>
    <xf numFmtId="167" fontId="8" fillId="0" borderId="24" xfId="0" applyNumberFormat="1" applyFont="1" applyBorder="1"/>
    <xf numFmtId="167" fontId="8" fillId="0" borderId="23" xfId="0" applyNumberFormat="1" applyFont="1" applyBorder="1"/>
    <xf numFmtId="0" fontId="8" fillId="0" borderId="23" xfId="0" applyFont="1" applyBorder="1"/>
    <xf numFmtId="0" fontId="8" fillId="0" borderId="128" xfId="0" applyFont="1" applyBorder="1"/>
    <xf numFmtId="169" fontId="6" fillId="0" borderId="51" xfId="0" applyNumberFormat="1" applyFont="1" applyBorder="1"/>
    <xf numFmtId="169" fontId="6" fillId="0" borderId="52" xfId="0" applyNumberFormat="1" applyFont="1" applyBorder="1"/>
    <xf numFmtId="167" fontId="6" fillId="0" borderId="215" xfId="0" applyNumberFormat="1" applyFont="1" applyBorder="1"/>
    <xf numFmtId="167" fontId="6" fillId="0" borderId="217" xfId="0" applyNumberFormat="1" applyFont="1" applyBorder="1"/>
    <xf numFmtId="169" fontId="6" fillId="0" borderId="53" xfId="0" applyNumberFormat="1" applyFont="1" applyBorder="1"/>
    <xf numFmtId="169" fontId="8" fillId="0" borderId="24" xfId="0" applyNumberFormat="1" applyFont="1" applyBorder="1"/>
    <xf numFmtId="169" fontId="8" fillId="0" borderId="23" xfId="0" applyNumberFormat="1" applyFont="1" applyBorder="1"/>
    <xf numFmtId="169" fontId="8" fillId="0" borderId="77" xfId="0" applyNumberFormat="1" applyFont="1" applyBorder="1"/>
    <xf numFmtId="169" fontId="8" fillId="0" borderId="84" xfId="0" applyNumberFormat="1" applyFont="1" applyBorder="1"/>
    <xf numFmtId="169" fontId="8" fillId="0" borderId="79" xfId="0" applyNumberFormat="1" applyFont="1" applyBorder="1"/>
    <xf numFmtId="169" fontId="8" fillId="0" borderId="57" xfId="0" applyNumberFormat="1" applyFont="1" applyBorder="1"/>
    <xf numFmtId="167" fontId="6" fillId="0" borderId="216" xfId="0" applyNumberFormat="1" applyFont="1" applyBorder="1"/>
    <xf numFmtId="0" fontId="31" fillId="0" borderId="130" xfId="0" applyFont="1" applyBorder="1" applyAlignment="1">
      <alignment horizontal="center"/>
    </xf>
    <xf numFmtId="0" fontId="6" fillId="0" borderId="82" xfId="0" applyFont="1" applyBorder="1" applyAlignment="1">
      <alignment horizontal="center" wrapText="1"/>
    </xf>
    <xf numFmtId="168" fontId="6" fillId="0" borderId="82" xfId="0" applyNumberFormat="1" applyFont="1" applyBorder="1"/>
    <xf numFmtId="168" fontId="6" fillId="0" borderId="37" xfId="0" applyNumberFormat="1" applyFont="1" applyBorder="1"/>
    <xf numFmtId="167" fontId="6" fillId="0" borderId="1" xfId="0" applyNumberFormat="1" applyFont="1" applyBorder="1"/>
    <xf numFmtId="167" fontId="6" fillId="0" borderId="2" xfId="0" applyNumberFormat="1" applyFont="1" applyBorder="1"/>
    <xf numFmtId="167" fontId="6" fillId="0" borderId="53" xfId="0" applyNumberFormat="1" applyFont="1" applyBorder="1"/>
    <xf numFmtId="169" fontId="6" fillId="0" borderId="76" xfId="0" applyNumberFormat="1" applyFont="1" applyBorder="1"/>
    <xf numFmtId="169" fontId="6" fillId="0" borderId="222" xfId="0" applyNumberFormat="1" applyFont="1" applyBorder="1"/>
    <xf numFmtId="169" fontId="6" fillId="0" borderId="215" xfId="0" applyNumberFormat="1" applyFont="1" applyBorder="1"/>
    <xf numFmtId="169" fontId="6" fillId="0" borderId="217" xfId="0" applyNumberFormat="1" applyFont="1" applyBorder="1"/>
    <xf numFmtId="0" fontId="6" fillId="0" borderId="227" xfId="0" applyFont="1" applyBorder="1"/>
    <xf numFmtId="169" fontId="8" fillId="0" borderId="72" xfId="0" applyNumberFormat="1" applyFont="1" applyBorder="1"/>
    <xf numFmtId="169" fontId="8" fillId="0" borderId="73" xfId="0" applyNumberFormat="1" applyFont="1" applyBorder="1"/>
    <xf numFmtId="169" fontId="8" fillId="0" borderId="87" xfId="0" applyNumberFormat="1" applyFont="1" applyBorder="1"/>
    <xf numFmtId="169" fontId="8" fillId="0" borderId="64" xfId="0" applyNumberFormat="1" applyFont="1" applyBorder="1"/>
    <xf numFmtId="169" fontId="8" fillId="0" borderId="65" xfId="0" applyNumberFormat="1" applyFont="1" applyBorder="1"/>
    <xf numFmtId="169" fontId="8" fillId="0" borderId="68" xfId="0" applyNumberFormat="1" applyFont="1" applyBorder="1"/>
    <xf numFmtId="0" fontId="6" fillId="0" borderId="220" xfId="0" applyFont="1" applyBorder="1" applyAlignment="1">
      <alignment horizontal="left" wrapText="1"/>
    </xf>
    <xf numFmtId="0" fontId="6" fillId="0" borderId="111" xfId="0" applyFont="1" applyBorder="1"/>
    <xf numFmtId="0" fontId="7" fillId="0" borderId="111" xfId="0" applyFont="1" applyBorder="1"/>
    <xf numFmtId="167" fontId="7" fillId="0" borderId="112" xfId="0" applyNumberFormat="1" applyFont="1" applyBorder="1" applyAlignment="1">
      <alignment horizontal="right"/>
    </xf>
    <xf numFmtId="0" fontId="7" fillId="0" borderId="112" xfId="0" applyFont="1" applyBorder="1" applyAlignment="1">
      <alignment horizontal="right"/>
    </xf>
    <xf numFmtId="0" fontId="7" fillId="0" borderId="106" xfId="0" applyFont="1" applyBorder="1" applyAlignment="1">
      <alignment horizontal="right"/>
    </xf>
    <xf numFmtId="0" fontId="9" fillId="0" borderId="24" xfId="0" applyFont="1" applyBorder="1" applyAlignment="1">
      <alignment horizontal="right"/>
    </xf>
    <xf numFmtId="167" fontId="9" fillId="0" borderId="23" xfId="0" applyNumberFormat="1" applyFont="1" applyBorder="1" applyAlignment="1">
      <alignment horizontal="right"/>
    </xf>
    <xf numFmtId="0" fontId="9" fillId="0" borderId="57" xfId="0" applyFont="1" applyBorder="1" applyAlignment="1">
      <alignment horizontal="right"/>
    </xf>
    <xf numFmtId="168" fontId="7" fillId="0" borderId="97" xfId="0" applyNumberFormat="1" applyFont="1" applyBorder="1" applyAlignment="1">
      <alignment horizontal="right"/>
    </xf>
    <xf numFmtId="168" fontId="7" fillId="0" borderId="113" xfId="0" applyNumberFormat="1" applyFont="1" applyBorder="1" applyAlignment="1">
      <alignment horizontal="right"/>
    </xf>
    <xf numFmtId="0" fontId="7" fillId="0" borderId="220" xfId="0" applyFont="1" applyBorder="1" applyAlignment="1">
      <alignment horizontal="left" wrapText="1"/>
    </xf>
    <xf numFmtId="169" fontId="7" fillId="0" borderId="4" xfId="0" applyNumberFormat="1" applyFont="1" applyBorder="1"/>
    <xf numFmtId="169" fontId="7" fillId="0" borderId="201" xfId="0" applyNumberFormat="1" applyFont="1" applyBorder="1"/>
    <xf numFmtId="169" fontId="7" fillId="0" borderId="205" xfId="0" applyNumberFormat="1" applyFont="1" applyBorder="1"/>
    <xf numFmtId="169" fontId="9" fillId="0" borderId="24" xfId="0" applyNumberFormat="1" applyFont="1" applyBorder="1"/>
    <xf numFmtId="169" fontId="9" fillId="0" borderId="23" xfId="0" applyNumberFormat="1" applyFont="1" applyBorder="1"/>
    <xf numFmtId="169" fontId="9" fillId="0" borderId="57" xfId="0" applyNumberFormat="1" applyFont="1" applyBorder="1"/>
    <xf numFmtId="169" fontId="7" fillId="0" borderId="202" xfId="0" applyNumberFormat="1" applyFont="1" applyBorder="1"/>
    <xf numFmtId="169" fontId="9" fillId="0" borderId="38" xfId="0" applyNumberFormat="1" applyFont="1" applyBorder="1"/>
    <xf numFmtId="0" fontId="9" fillId="0" borderId="38" xfId="0" applyFont="1" applyBorder="1" applyAlignment="1">
      <alignment horizontal="right"/>
    </xf>
    <xf numFmtId="0" fontId="7" fillId="0" borderId="111" xfId="0" applyFont="1" applyBorder="1" applyAlignment="1">
      <alignment horizontal="right"/>
    </xf>
    <xf numFmtId="169" fontId="9" fillId="0" borderId="132" xfId="0" applyNumberFormat="1" applyFont="1" applyBorder="1"/>
    <xf numFmtId="169" fontId="9" fillId="0" borderId="73" xfId="0" applyNumberFormat="1" applyFont="1" applyBorder="1"/>
    <xf numFmtId="169" fontId="9" fillId="0" borderId="133" xfId="0" applyNumberFormat="1" applyFont="1" applyBorder="1"/>
    <xf numFmtId="0" fontId="8" fillId="0" borderId="205" xfId="0" applyFont="1" applyBorder="1" applyAlignment="1">
      <alignment horizontal="center"/>
    </xf>
    <xf numFmtId="0" fontId="8" fillId="0" borderId="41" xfId="0" applyFont="1" applyBorder="1" applyAlignment="1">
      <alignment horizontal="center"/>
    </xf>
    <xf numFmtId="0" fontId="8" fillId="0" borderId="224" xfId="0" applyFont="1" applyBorder="1" applyAlignment="1">
      <alignment horizontal="center"/>
    </xf>
    <xf numFmtId="4" fontId="8" fillId="0" borderId="204" xfId="0" applyNumberFormat="1" applyFont="1" applyBorder="1" applyAlignment="1">
      <alignment horizontal="center" vertical="center"/>
    </xf>
    <xf numFmtId="0" fontId="6" fillId="0" borderId="141" xfId="0" applyFont="1" applyBorder="1" applyAlignment="1">
      <alignment wrapText="1"/>
    </xf>
    <xf numFmtId="0" fontId="6" fillId="0" borderId="44" xfId="0" applyFont="1" applyBorder="1" applyAlignment="1">
      <alignment wrapText="1"/>
    </xf>
    <xf numFmtId="0" fontId="6" fillId="0" borderId="98" xfId="0" applyFont="1" applyBorder="1" applyAlignment="1">
      <alignment wrapText="1"/>
    </xf>
    <xf numFmtId="0" fontId="6" fillId="0" borderId="28" xfId="0" applyFont="1" applyBorder="1" applyAlignment="1">
      <alignment wrapText="1"/>
    </xf>
    <xf numFmtId="0" fontId="8" fillId="0" borderId="101" xfId="0" applyFont="1" applyBorder="1" applyAlignment="1">
      <alignment wrapText="1"/>
    </xf>
    <xf numFmtId="0" fontId="8" fillId="0" borderId="83" xfId="0" applyFont="1" applyBorder="1" applyAlignment="1">
      <alignment wrapText="1"/>
    </xf>
    <xf numFmtId="0" fontId="6" fillId="0" borderId="37" xfId="0" applyFont="1" applyBorder="1" applyAlignment="1">
      <alignment wrapText="1"/>
    </xf>
    <xf numFmtId="0" fontId="6" fillId="0" borderId="102" xfId="0" applyFont="1" applyBorder="1" applyAlignment="1">
      <alignment wrapText="1"/>
    </xf>
    <xf numFmtId="0" fontId="8" fillId="0" borderId="102" xfId="0" applyFont="1" applyBorder="1" applyAlignment="1">
      <alignment wrapText="1"/>
    </xf>
    <xf numFmtId="0" fontId="8" fillId="0" borderId="97" xfId="0" applyFont="1" applyBorder="1" applyAlignment="1">
      <alignment wrapText="1"/>
    </xf>
    <xf numFmtId="0" fontId="8" fillId="0" borderId="100" xfId="0" applyFont="1" applyBorder="1" applyAlignment="1">
      <alignment wrapText="1"/>
    </xf>
    <xf numFmtId="2" fontId="0" fillId="0" borderId="1" xfId="0" applyNumberFormat="1" applyBorder="1"/>
    <xf numFmtId="2" fontId="4" fillId="0" borderId="77" xfId="0" applyNumberFormat="1" applyFont="1" applyBorder="1"/>
    <xf numFmtId="2" fontId="4" fillId="0" borderId="20" xfId="0" applyNumberFormat="1" applyFont="1" applyBorder="1"/>
    <xf numFmtId="2" fontId="4" fillId="0" borderId="220" xfId="0" applyNumberFormat="1" applyFont="1" applyBorder="1"/>
    <xf numFmtId="2" fontId="4" fillId="0" borderId="79" xfId="0" applyNumberFormat="1" applyFont="1" applyBorder="1"/>
    <xf numFmtId="2" fontId="0" fillId="0" borderId="33" xfId="0" applyNumberFormat="1" applyBorder="1"/>
    <xf numFmtId="2" fontId="0" fillId="0" borderId="204" xfId="0" applyNumberFormat="1" applyBorder="1"/>
    <xf numFmtId="2" fontId="4" fillId="0" borderId="78" xfId="0" applyNumberFormat="1" applyFont="1" applyBorder="1"/>
    <xf numFmtId="0" fontId="8" fillId="0" borderId="130" xfId="0" applyFont="1" applyBorder="1" applyAlignment="1">
      <alignment wrapText="1"/>
    </xf>
    <xf numFmtId="0" fontId="6" fillId="0" borderId="142" xfId="0" applyFont="1" applyBorder="1" applyAlignment="1">
      <alignment wrapText="1"/>
    </xf>
    <xf numFmtId="2" fontId="0" fillId="0" borderId="12" xfId="0" applyNumberFormat="1" applyBorder="1"/>
    <xf numFmtId="2" fontId="4" fillId="0" borderId="72" xfId="0" applyNumberFormat="1" applyFont="1" applyBorder="1"/>
    <xf numFmtId="2" fontId="4" fillId="0" borderId="74" xfId="0" applyNumberFormat="1" applyFont="1" applyBorder="1"/>
    <xf numFmtId="2" fontId="4" fillId="0" borderId="103" xfId="0" applyNumberFormat="1" applyFont="1" applyBorder="1"/>
    <xf numFmtId="2" fontId="4" fillId="0" borderId="104" xfId="0" applyNumberFormat="1" applyFont="1" applyBorder="1"/>
    <xf numFmtId="2" fontId="4" fillId="0" borderId="64" xfId="0" applyNumberFormat="1" applyFont="1" applyBorder="1"/>
    <xf numFmtId="2" fontId="4" fillId="0" borderId="50" xfId="0" applyNumberFormat="1" applyFont="1" applyBorder="1"/>
    <xf numFmtId="9" fontId="4" fillId="0" borderId="79" xfId="0" applyNumberFormat="1" applyFont="1" applyBorder="1"/>
    <xf numFmtId="9" fontId="4" fillId="0" borderId="74" xfId="0" applyNumberFormat="1" applyFont="1" applyBorder="1"/>
    <xf numFmtId="9" fontId="4" fillId="0" borderId="104" xfId="0" applyNumberFormat="1" applyFont="1" applyBorder="1"/>
    <xf numFmtId="9" fontId="4" fillId="0" borderId="66" xfId="0" applyNumberFormat="1" applyFont="1" applyBorder="1"/>
    <xf numFmtId="0" fontId="6" fillId="0" borderId="225" xfId="0" applyFont="1" applyBorder="1" applyAlignment="1">
      <alignment wrapText="1"/>
    </xf>
    <xf numFmtId="2" fontId="0" fillId="0" borderId="215" xfId="0" applyNumberFormat="1" applyBorder="1"/>
    <xf numFmtId="2" fontId="0" fillId="0" borderId="184" xfId="0" applyNumberFormat="1" applyBorder="1"/>
    <xf numFmtId="2" fontId="4" fillId="0" borderId="218" xfId="0" applyNumberFormat="1" applyFont="1" applyBorder="1"/>
    <xf numFmtId="2" fontId="0" fillId="0" borderId="35" xfId="0" applyNumberFormat="1" applyBorder="1"/>
    <xf numFmtId="2" fontId="0" fillId="0" borderId="13" xfId="0" applyNumberFormat="1" applyBorder="1"/>
    <xf numFmtId="2" fontId="4" fillId="0" borderId="42" xfId="0" applyNumberFormat="1" applyFont="1" applyBorder="1"/>
    <xf numFmtId="2" fontId="9" fillId="0" borderId="100" xfId="0" applyNumberFormat="1" applyFont="1" applyBorder="1"/>
    <xf numFmtId="2" fontId="7" fillId="0" borderId="28" xfId="0" applyNumberFormat="1" applyFont="1" applyBorder="1"/>
    <xf numFmtId="2" fontId="7" fillId="0" borderId="223" xfId="0" applyNumberFormat="1" applyFont="1" applyBorder="1"/>
    <xf numFmtId="2" fontId="7" fillId="0" borderId="221" xfId="0" applyNumberFormat="1" applyFont="1" applyBorder="1"/>
    <xf numFmtId="2" fontId="10" fillId="0" borderId="221" xfId="0" applyNumberFormat="1" applyFont="1" applyBorder="1" applyAlignment="1">
      <alignment horizontal="right" wrapText="1"/>
    </xf>
    <xf numFmtId="2" fontId="10" fillId="0" borderId="36" xfId="0" applyNumberFormat="1" applyFont="1" applyBorder="1" applyAlignment="1">
      <alignment horizontal="right" wrapText="1"/>
    </xf>
    <xf numFmtId="2" fontId="9" fillId="0" borderId="78" xfId="0" applyNumberFormat="1" applyFont="1" applyBorder="1"/>
    <xf numFmtId="2" fontId="10" fillId="0" borderId="223" xfId="0" applyNumberFormat="1" applyFont="1" applyBorder="1" applyAlignment="1">
      <alignment horizontal="right" wrapText="1"/>
    </xf>
    <xf numFmtId="9" fontId="4" fillId="0" borderId="79" xfId="0" applyNumberFormat="1" applyFont="1" applyBorder="1" applyAlignment="1">
      <alignment horizontal="right"/>
    </xf>
    <xf numFmtId="2" fontId="4" fillId="0" borderId="131" xfId="0" applyNumberFormat="1" applyFont="1" applyBorder="1"/>
    <xf numFmtId="2" fontId="4" fillId="0" borderId="111" xfId="0" applyNumberFormat="1" applyFont="1" applyBorder="1"/>
    <xf numFmtId="2" fontId="4" fillId="0" borderId="149" xfId="0" applyNumberFormat="1" applyFont="1" applyBorder="1"/>
    <xf numFmtId="2" fontId="4" fillId="0" borderId="110" xfId="0" applyNumberFormat="1" applyFont="1" applyBorder="1"/>
    <xf numFmtId="2" fontId="4" fillId="0" borderId="70" xfId="0" applyNumberFormat="1" applyFont="1" applyBorder="1"/>
    <xf numFmtId="2" fontId="11" fillId="0" borderId="39" xfId="0" applyNumberFormat="1" applyFont="1" applyBorder="1" applyAlignment="1">
      <alignment horizontal="right" wrapText="1"/>
    </xf>
    <xf numFmtId="3" fontId="6" fillId="0" borderId="224" xfId="4" applyNumberFormat="1" applyFont="1" applyBorder="1" applyAlignment="1">
      <alignment horizontal="right"/>
    </xf>
    <xf numFmtId="3" fontId="6" fillId="0" borderId="60" xfId="4" applyNumberFormat="1" applyFont="1" applyBorder="1" applyAlignment="1">
      <alignment horizontal="right"/>
    </xf>
    <xf numFmtId="3" fontId="6" fillId="0" borderId="10" xfId="4" applyNumberFormat="1" applyFont="1" applyBorder="1" applyAlignment="1">
      <alignment horizontal="right"/>
    </xf>
    <xf numFmtId="3" fontId="6" fillId="0" borderId="229" xfId="4" applyNumberFormat="1" applyFont="1" applyBorder="1"/>
    <xf numFmtId="3" fontId="9" fillId="0" borderId="80" xfId="4" applyNumberFormat="1" applyFont="1" applyBorder="1"/>
    <xf numFmtId="0" fontId="7" fillId="0" borderId="98" xfId="4" applyFont="1" applyBorder="1" applyAlignment="1">
      <alignment horizontal="center"/>
    </xf>
    <xf numFmtId="2" fontId="9" fillId="0" borderId="220" xfId="0" applyNumberFormat="1" applyFont="1" applyBorder="1" applyAlignment="1">
      <alignment horizontal="right"/>
    </xf>
    <xf numFmtId="2" fontId="7" fillId="0" borderId="223" xfId="0" applyNumberFormat="1" applyFont="1" applyBorder="1" applyAlignment="1">
      <alignment horizontal="right"/>
    </xf>
    <xf numFmtId="2" fontId="9" fillId="0" borderId="136" xfId="0" applyNumberFormat="1" applyFont="1" applyBorder="1"/>
    <xf numFmtId="2" fontId="9" fillId="0" borderId="210" xfId="0" applyNumberFormat="1" applyFont="1" applyBorder="1"/>
    <xf numFmtId="2" fontId="9" fillId="0" borderId="237" xfId="0" applyNumberFormat="1" applyFont="1" applyBorder="1"/>
    <xf numFmtId="4" fontId="9" fillId="0" borderId="200" xfId="0" applyNumberFormat="1" applyFont="1" applyBorder="1"/>
    <xf numFmtId="2" fontId="9" fillId="0" borderId="208" xfId="0" applyNumberFormat="1" applyFont="1" applyBorder="1"/>
    <xf numFmtId="4" fontId="9" fillId="0" borderId="139" xfId="0" applyNumberFormat="1" applyFont="1" applyBorder="1"/>
    <xf numFmtId="3" fontId="7" fillId="0" borderId="20" xfId="4" applyNumberFormat="1" applyFont="1" applyBorder="1"/>
    <xf numFmtId="3" fontId="7" fillId="0" borderId="220" xfId="4" applyNumberFormat="1" applyFont="1" applyBorder="1"/>
    <xf numFmtId="3" fontId="9" fillId="0" borderId="50" xfId="4" applyNumberFormat="1" applyFont="1" applyBorder="1"/>
    <xf numFmtId="3" fontId="7" fillId="0" borderId="62" xfId="4" applyNumberFormat="1" applyFont="1" applyBorder="1"/>
    <xf numFmtId="3" fontId="7" fillId="0" borderId="218" xfId="4" applyNumberFormat="1" applyFont="1" applyBorder="1"/>
    <xf numFmtId="3" fontId="6" fillId="0" borderId="82" xfId="4" applyNumberFormat="1" applyFont="1" applyBorder="1"/>
    <xf numFmtId="3" fontId="9" fillId="0" borderId="83" xfId="4" applyNumberFormat="1" applyFont="1" applyBorder="1"/>
    <xf numFmtId="3" fontId="7" fillId="0" borderId="81" xfId="4" applyNumberFormat="1" applyFont="1" applyBorder="1"/>
    <xf numFmtId="3" fontId="7" fillId="0" borderId="82" xfId="4" applyNumberFormat="1" applyFont="1" applyBorder="1"/>
    <xf numFmtId="3" fontId="7" fillId="0" borderId="181" xfId="4" applyNumberFormat="1" applyFont="1" applyBorder="1"/>
    <xf numFmtId="3" fontId="7" fillId="0" borderId="185" xfId="4" applyNumberFormat="1" applyFont="1" applyBorder="1"/>
    <xf numFmtId="3" fontId="8" fillId="0" borderId="142" xfId="4" applyNumberFormat="1" applyFont="1" applyBorder="1"/>
    <xf numFmtId="3" fontId="6" fillId="0" borderId="37" xfId="4" applyNumberFormat="1" applyFont="1" applyBorder="1"/>
    <xf numFmtId="3" fontId="9" fillId="0" borderId="48" xfId="4" applyNumberFormat="1" applyFont="1" applyBorder="1"/>
    <xf numFmtId="3" fontId="7" fillId="0" borderId="59" xfId="4" applyNumberFormat="1" applyFont="1" applyBorder="1"/>
    <xf numFmtId="3" fontId="7" fillId="0" borderId="37" xfId="4" applyNumberFormat="1" applyFont="1" applyBorder="1"/>
    <xf numFmtId="3" fontId="7" fillId="0" borderId="225" xfId="4" applyNumberFormat="1" applyFont="1" applyBorder="1"/>
    <xf numFmtId="3" fontId="8" fillId="0" borderId="132" xfId="4" applyNumberFormat="1" applyFont="1" applyBorder="1"/>
    <xf numFmtId="3" fontId="6" fillId="0" borderId="225" xfId="4" applyNumberFormat="1" applyFont="1" applyBorder="1"/>
    <xf numFmtId="3" fontId="8" fillId="0" borderId="238" xfId="4" applyNumberFormat="1" applyFont="1" applyBorder="1"/>
    <xf numFmtId="3" fontId="9" fillId="0" borderId="234" xfId="4" applyNumberFormat="1" applyFont="1" applyBorder="1"/>
    <xf numFmtId="3" fontId="6" fillId="0" borderId="181" xfId="4" applyNumberFormat="1" applyFont="1" applyBorder="1"/>
    <xf numFmtId="3" fontId="8" fillId="0" borderId="203" xfId="4" applyNumberFormat="1" applyFont="1" applyBorder="1"/>
    <xf numFmtId="4" fontId="7" fillId="0" borderId="101" xfId="0" applyNumberFormat="1" applyFont="1" applyBorder="1" applyAlignment="1">
      <alignment horizontal="right" vertical="center"/>
    </xf>
    <xf numFmtId="4" fontId="9" fillId="0" borderId="101" xfId="0" applyNumberFormat="1" applyFont="1" applyBorder="1" applyAlignment="1">
      <alignment horizontal="right"/>
    </xf>
    <xf numFmtId="4" fontId="7" fillId="0" borderId="81" xfId="0" applyNumberFormat="1" applyFont="1" applyBorder="1" applyAlignment="1">
      <alignment horizontal="right"/>
    </xf>
    <xf numFmtId="2" fontId="9" fillId="0" borderId="83" xfId="0" applyNumberFormat="1" applyFont="1" applyBorder="1" applyAlignment="1">
      <alignment horizontal="right"/>
    </xf>
    <xf numFmtId="4" fontId="9" fillId="0" borderId="101" xfId="0" applyNumberFormat="1" applyFont="1" applyBorder="1"/>
    <xf numFmtId="4" fontId="7" fillId="0" borderId="81" xfId="0" applyNumberFormat="1" applyFont="1" applyBorder="1"/>
    <xf numFmtId="4" fontId="9" fillId="0" borderId="83" xfId="0" applyNumberFormat="1" applyFont="1" applyBorder="1"/>
    <xf numFmtId="4" fontId="7" fillId="0" borderId="98" xfId="0" applyNumberFormat="1" applyFont="1" applyBorder="1"/>
    <xf numFmtId="4" fontId="9" fillId="0" borderId="143" xfId="0" applyNumberFormat="1" applyFont="1" applyBorder="1"/>
    <xf numFmtId="4" fontId="9" fillId="0" borderId="142" xfId="0" applyNumberFormat="1" applyFont="1" applyBorder="1"/>
    <xf numFmtId="2" fontId="7" fillId="0" borderId="101" xfId="0" applyNumberFormat="1" applyFont="1" applyBorder="1"/>
    <xf numFmtId="2" fontId="9" fillId="0" borderId="51" xfId="0" applyNumberFormat="1" applyFont="1" applyBorder="1"/>
    <xf numFmtId="2" fontId="9" fillId="0" borderId="35" xfId="0" applyNumberFormat="1" applyFont="1" applyBorder="1"/>
    <xf numFmtId="2" fontId="9" fillId="0" borderId="118" xfId="0" applyNumberFormat="1" applyFont="1" applyBorder="1" applyAlignment="1">
      <alignment horizontal="right" wrapText="1"/>
    </xf>
    <xf numFmtId="2" fontId="7" fillId="0" borderId="221" xfId="0" applyNumberFormat="1" applyFont="1" applyBorder="1" applyAlignment="1">
      <alignment horizontal="right" wrapText="1"/>
    </xf>
    <xf numFmtId="2" fontId="9" fillId="0" borderId="18" xfId="0" applyNumberFormat="1" applyFont="1" applyBorder="1" applyAlignment="1">
      <alignment horizontal="right" wrapText="1"/>
    </xf>
    <xf numFmtId="2" fontId="9" fillId="0" borderId="14" xfId="0" applyNumberFormat="1" applyFont="1" applyBorder="1" applyAlignment="1">
      <alignment horizontal="right" wrapText="1"/>
    </xf>
    <xf numFmtId="2" fontId="7" fillId="0" borderId="239" xfId="0" applyNumberFormat="1" applyFont="1" applyBorder="1" applyAlignment="1">
      <alignment horizontal="right" wrapText="1"/>
    </xf>
    <xf numFmtId="2" fontId="7" fillId="0" borderId="98" xfId="0" applyNumberFormat="1" applyFont="1" applyBorder="1" applyAlignment="1">
      <alignment horizontal="right" wrapText="1"/>
    </xf>
    <xf numFmtId="2" fontId="9" fillId="0" borderId="101" xfId="0" applyNumberFormat="1" applyFont="1" applyBorder="1" applyAlignment="1">
      <alignment horizontal="right" wrapText="1"/>
    </xf>
    <xf numFmtId="2" fontId="7" fillId="0" borderId="81" xfId="0" applyNumberFormat="1" applyFont="1" applyBorder="1" applyAlignment="1">
      <alignment horizontal="right" wrapText="1"/>
    </xf>
    <xf numFmtId="2" fontId="9" fillId="0" borderId="83" xfId="0" applyNumberFormat="1" applyFont="1" applyBorder="1" applyAlignment="1">
      <alignment horizontal="right" wrapText="1"/>
    </xf>
    <xf numFmtId="2" fontId="7" fillId="0" borderId="181" xfId="0" applyNumberFormat="1" applyFont="1" applyBorder="1" applyAlignment="1">
      <alignment horizontal="right" wrapText="1"/>
    </xf>
    <xf numFmtId="2" fontId="9" fillId="0" borderId="142" xfId="0" applyNumberFormat="1" applyFont="1" applyBorder="1" applyAlignment="1">
      <alignment horizontal="right" wrapText="1"/>
    </xf>
    <xf numFmtId="4" fontId="9" fillId="0" borderId="83" xfId="0" applyNumberFormat="1" applyFont="1" applyBorder="1" applyAlignment="1">
      <alignment horizontal="right" wrapText="1"/>
    </xf>
    <xf numFmtId="2" fontId="7" fillId="0" borderId="101" xfId="0" applyNumberFormat="1" applyFont="1" applyBorder="1" applyAlignment="1">
      <alignment horizontal="right" wrapText="1"/>
    </xf>
    <xf numFmtId="2" fontId="7" fillId="0" borderId="223" xfId="0" applyNumberFormat="1" applyFont="1" applyBorder="1" applyAlignment="1">
      <alignment horizontal="right" wrapText="1"/>
    </xf>
    <xf numFmtId="2" fontId="7" fillId="0" borderId="49" xfId="0" applyNumberFormat="1" applyFont="1" applyBorder="1" applyAlignment="1">
      <alignment horizontal="right" wrapText="1"/>
    </xf>
    <xf numFmtId="2" fontId="7" fillId="0" borderId="36" xfId="0" applyNumberFormat="1" applyFont="1" applyBorder="1" applyAlignment="1">
      <alignment horizontal="right"/>
    </xf>
    <xf numFmtId="2" fontId="7" fillId="0" borderId="49" xfId="0" applyNumberFormat="1" applyFont="1" applyBorder="1" applyAlignment="1">
      <alignment horizontal="right"/>
    </xf>
    <xf numFmtId="2" fontId="7" fillId="0" borderId="240" xfId="0" applyNumberFormat="1" applyFont="1" applyBorder="1" applyAlignment="1">
      <alignment horizontal="right" wrapText="1"/>
    </xf>
    <xf numFmtId="2" fontId="7" fillId="0" borderId="70" xfId="0" applyNumberFormat="1" applyFont="1" applyBorder="1" applyAlignment="1">
      <alignment horizontal="right" wrapText="1"/>
    </xf>
    <xf numFmtId="2" fontId="7" fillId="0" borderId="70" xfId="0" applyNumberFormat="1" applyFont="1" applyBorder="1" applyAlignment="1">
      <alignment horizontal="right"/>
    </xf>
    <xf numFmtId="3" fontId="9" fillId="0" borderId="132" xfId="0" applyNumberFormat="1" applyFont="1" applyBorder="1" applyAlignment="1">
      <alignment horizontal="right"/>
    </xf>
    <xf numFmtId="9" fontId="8" fillId="0" borderId="142" xfId="5" applyFont="1" applyBorder="1" applyAlignment="1">
      <alignment horizontal="right"/>
    </xf>
    <xf numFmtId="9" fontId="8" fillId="0" borderId="128" xfId="5" applyFont="1" applyBorder="1"/>
    <xf numFmtId="0" fontId="8" fillId="0" borderId="27" xfId="0" applyFont="1" applyBorder="1"/>
    <xf numFmtId="2" fontId="9" fillId="0" borderId="130" xfId="0" applyNumberFormat="1" applyFont="1" applyBorder="1"/>
    <xf numFmtId="2" fontId="7" fillId="0" borderId="98" xfId="0" applyNumberFormat="1" applyFont="1" applyBorder="1"/>
    <xf numFmtId="2" fontId="7" fillId="0" borderId="185" xfId="0" applyNumberFormat="1" applyFont="1" applyBorder="1"/>
    <xf numFmtId="2" fontId="10" fillId="0" borderId="181" xfId="0" applyNumberFormat="1" applyFont="1" applyBorder="1" applyAlignment="1">
      <alignment horizontal="right" wrapText="1"/>
    </xf>
    <xf numFmtId="2" fontId="10" fillId="0" borderId="98" xfId="0" applyNumberFormat="1" applyFont="1" applyBorder="1" applyAlignment="1">
      <alignment horizontal="right" wrapText="1"/>
    </xf>
    <xf numFmtId="2" fontId="11" fillId="0" borderId="101" xfId="0" applyNumberFormat="1" applyFont="1" applyBorder="1" applyAlignment="1">
      <alignment horizontal="right"/>
    </xf>
    <xf numFmtId="2" fontId="11" fillId="0" borderId="102" xfId="0" applyNumberFormat="1" applyFont="1" applyBorder="1" applyAlignment="1">
      <alignment horizontal="right"/>
    </xf>
    <xf numFmtId="2" fontId="11" fillId="0" borderId="142" xfId="0" applyNumberFormat="1" applyFont="1" applyBorder="1" applyAlignment="1">
      <alignment horizontal="right"/>
    </xf>
    <xf numFmtId="2" fontId="11" fillId="0" borderId="83" xfId="0" applyNumberFormat="1" applyFont="1" applyBorder="1" applyAlignment="1">
      <alignment horizontal="right" wrapText="1"/>
    </xf>
    <xf numFmtId="2" fontId="6" fillId="0" borderId="63" xfId="0" applyNumberFormat="1" applyFont="1" applyBorder="1"/>
    <xf numFmtId="2" fontId="8" fillId="0" borderId="83" xfId="0" applyNumberFormat="1" applyFont="1" applyBorder="1"/>
    <xf numFmtId="2" fontId="6" fillId="0" borderId="81" xfId="0" applyNumberFormat="1" applyFont="1" applyBorder="1"/>
    <xf numFmtId="2" fontId="6" fillId="0" borderId="82" xfId="0" applyNumberFormat="1" applyFont="1" applyBorder="1"/>
    <xf numFmtId="2" fontId="6" fillId="0" borderId="181" xfId="0" applyNumberFormat="1" applyFont="1" applyBorder="1"/>
    <xf numFmtId="2" fontId="6" fillId="0" borderId="185" xfId="0" applyNumberFormat="1" applyFont="1" applyBorder="1"/>
    <xf numFmtId="2" fontId="8" fillId="0" borderId="101" xfId="0" applyNumberFormat="1" applyFont="1" applyBorder="1"/>
    <xf numFmtId="2" fontId="8" fillId="0" borderId="142" xfId="0" applyNumberFormat="1" applyFont="1" applyBorder="1"/>
    <xf numFmtId="2" fontId="6" fillId="0" borderId="97" xfId="0" applyNumberFormat="1" applyFont="1" applyBorder="1"/>
    <xf numFmtId="2" fontId="7" fillId="0" borderId="82" xfId="0" applyNumberFormat="1" applyFont="1" applyBorder="1" applyAlignment="1">
      <alignment horizontal="right" wrapText="1"/>
    </xf>
    <xf numFmtId="2" fontId="10" fillId="0" borderId="101" xfId="0" applyNumberFormat="1" applyFont="1" applyBorder="1" applyAlignment="1">
      <alignment horizontal="right" wrapText="1"/>
    </xf>
    <xf numFmtId="2" fontId="10" fillId="0" borderId="63" xfId="0" applyNumberFormat="1" applyFont="1" applyBorder="1" applyAlignment="1">
      <alignment horizontal="right" wrapText="1"/>
    </xf>
    <xf numFmtId="3" fontId="10" fillId="0" borderId="181" xfId="0" applyNumberFormat="1" applyFont="1" applyBorder="1" applyAlignment="1">
      <alignment horizontal="right" wrapText="1"/>
    </xf>
    <xf numFmtId="3" fontId="10" fillId="0" borderId="101" xfId="0" applyNumberFormat="1" applyFont="1" applyBorder="1" applyAlignment="1">
      <alignment horizontal="right" wrapText="1"/>
    </xf>
    <xf numFmtId="3" fontId="10" fillId="0" borderId="63" xfId="0" applyNumberFormat="1" applyFont="1" applyBorder="1" applyAlignment="1">
      <alignment horizontal="right" wrapText="1"/>
    </xf>
    <xf numFmtId="3" fontId="11" fillId="0" borderId="83" xfId="0" applyNumberFormat="1" applyFont="1" applyBorder="1" applyAlignment="1">
      <alignment horizontal="right" wrapText="1"/>
    </xf>
    <xf numFmtId="3" fontId="10" fillId="0" borderId="82" xfId="0" applyNumberFormat="1" applyFont="1" applyBorder="1" applyAlignment="1">
      <alignment horizontal="right" wrapText="1"/>
    </xf>
    <xf numFmtId="3" fontId="11" fillId="0" borderId="101" xfId="0" applyNumberFormat="1" applyFont="1" applyBorder="1" applyAlignment="1">
      <alignment horizontal="right" wrapText="1"/>
    </xf>
    <xf numFmtId="3" fontId="10" fillId="0" borderId="81" xfId="0" applyNumberFormat="1" applyFont="1" applyBorder="1" applyAlignment="1">
      <alignment horizontal="right" wrapText="1"/>
    </xf>
    <xf numFmtId="3" fontId="10" fillId="0" borderId="185" xfId="0" applyNumberFormat="1" applyFont="1" applyBorder="1" applyAlignment="1">
      <alignment horizontal="right" wrapText="1"/>
    </xf>
    <xf numFmtId="3" fontId="11" fillId="0" borderId="142" xfId="0" applyNumberFormat="1" applyFont="1" applyBorder="1" applyAlignment="1">
      <alignment horizontal="right" wrapText="1"/>
    </xf>
    <xf numFmtId="3" fontId="11" fillId="0" borderId="83" xfId="0" applyNumberFormat="1" applyFont="1" applyBorder="1" applyAlignment="1">
      <alignment horizontal="right"/>
    </xf>
    <xf numFmtId="2" fontId="9" fillId="0" borderId="211" xfId="48" applyNumberFormat="1" applyFont="1" applyBorder="1" applyAlignment="1">
      <alignment horizontal="center" vertical="center"/>
    </xf>
    <xf numFmtId="2" fontId="9" fillId="0" borderId="50" xfId="48" applyNumberFormat="1" applyFont="1" applyBorder="1" applyAlignment="1">
      <alignment horizontal="center" vertical="center"/>
    </xf>
    <xf numFmtId="3" fontId="0" fillId="0" borderId="1" xfId="0" applyNumberFormat="1" applyBorder="1"/>
    <xf numFmtId="2" fontId="0" fillId="0" borderId="3" xfId="0" applyNumberFormat="1" applyBorder="1"/>
    <xf numFmtId="0" fontId="69" fillId="0" borderId="3" xfId="0" applyFont="1" applyBorder="1"/>
    <xf numFmtId="3" fontId="69" fillId="0" borderId="10" xfId="0" applyNumberFormat="1" applyFont="1" applyBorder="1"/>
    <xf numFmtId="9" fontId="0" fillId="0" borderId="10" xfId="5" applyFont="1" applyBorder="1" applyAlignment="1">
      <alignment horizontal="right"/>
    </xf>
    <xf numFmtId="9" fontId="0" fillId="0" borderId="15" xfId="5" applyFont="1" applyBorder="1" applyAlignment="1">
      <alignment horizontal="right"/>
    </xf>
    <xf numFmtId="2" fontId="0" fillId="0" borderId="82" xfId="0" applyNumberFormat="1" applyBorder="1"/>
    <xf numFmtId="2" fontId="7" fillId="0" borderId="200" xfId="0" applyNumberFormat="1" applyFont="1" applyBorder="1" applyAlignment="1">
      <alignment horizontal="right"/>
    </xf>
    <xf numFmtId="0" fontId="9" fillId="0" borderId="211" xfId="0" applyFont="1" applyBorder="1" applyAlignment="1">
      <alignment horizontal="center"/>
    </xf>
    <xf numFmtId="0" fontId="9" fillId="0" borderId="236" xfId="0" applyFont="1" applyBorder="1" applyAlignment="1">
      <alignment horizontal="center"/>
    </xf>
    <xf numFmtId="0" fontId="9" fillId="0" borderId="235" xfId="0" applyFont="1" applyBorder="1" applyAlignment="1">
      <alignment horizontal="center"/>
    </xf>
    <xf numFmtId="0" fontId="9" fillId="0" borderId="234" xfId="0" applyFont="1" applyBorder="1" applyAlignment="1">
      <alignment horizontal="center"/>
    </xf>
    <xf numFmtId="0" fontId="9" fillId="0" borderId="241" xfId="0" applyFont="1" applyBorder="1" applyAlignment="1">
      <alignment horizontal="center"/>
    </xf>
    <xf numFmtId="0" fontId="9" fillId="0" borderId="242" xfId="0" applyFont="1" applyBorder="1" applyAlignment="1">
      <alignment horizontal="center"/>
    </xf>
    <xf numFmtId="0" fontId="9" fillId="0" borderId="195" xfId="0" applyFont="1" applyBorder="1" applyAlignment="1">
      <alignment horizontal="center"/>
    </xf>
    <xf numFmtId="4" fontId="9" fillId="0" borderId="211" xfId="0" applyNumberFormat="1" applyFont="1" applyBorder="1" applyAlignment="1">
      <alignment horizontal="center" vertical="center"/>
    </xf>
    <xf numFmtId="4" fontId="9" fillId="0" borderId="235" xfId="0" applyNumberFormat="1" applyFont="1" applyBorder="1" applyAlignment="1">
      <alignment horizontal="center" vertical="center"/>
    </xf>
    <xf numFmtId="0" fontId="9" fillId="0" borderId="234" xfId="0" applyFont="1" applyBorder="1" applyAlignment="1">
      <alignment horizontal="center" vertical="center"/>
    </xf>
    <xf numFmtId="0" fontId="7" fillId="0" borderId="0" xfId="0" applyFont="1" applyAlignment="1">
      <alignment horizontal="center" wrapText="1"/>
    </xf>
    <xf numFmtId="0" fontId="9" fillId="0" borderId="238" xfId="0" applyFont="1" applyBorder="1" applyAlignment="1">
      <alignment horizontal="center"/>
    </xf>
    <xf numFmtId="4" fontId="9" fillId="0" borderId="20" xfId="0" applyNumberFormat="1" applyFont="1" applyBorder="1"/>
    <xf numFmtId="4" fontId="9" fillId="0" borderId="8" xfId="0" applyNumberFormat="1" applyFont="1" applyBorder="1"/>
    <xf numFmtId="0" fontId="9" fillId="0" borderId="171" xfId="0" applyFont="1" applyBorder="1" applyAlignment="1">
      <alignment horizontal="center"/>
    </xf>
    <xf numFmtId="0" fontId="9" fillId="0" borderId="211" xfId="0" applyFont="1" applyBorder="1" applyAlignment="1">
      <alignment horizontal="center" vertical="center"/>
    </xf>
    <xf numFmtId="2" fontId="9" fillId="0" borderId="235" xfId="0" applyNumberFormat="1" applyFont="1" applyBorder="1" applyAlignment="1">
      <alignment horizontal="center" vertical="center"/>
    </xf>
    <xf numFmtId="0" fontId="7" fillId="0" borderId="82" xfId="0" applyFont="1" applyBorder="1" applyAlignment="1">
      <alignment horizontal="center"/>
    </xf>
    <xf numFmtId="4" fontId="7" fillId="0" borderId="57" xfId="0" applyNumberFormat="1" applyFont="1" applyBorder="1"/>
    <xf numFmtId="4" fontId="7" fillId="0" borderId="27" xfId="0" applyNumberFormat="1" applyFont="1" applyBorder="1"/>
    <xf numFmtId="4" fontId="9" fillId="0" borderId="71" xfId="0" applyNumberFormat="1" applyFont="1" applyBorder="1"/>
    <xf numFmtId="0" fontId="9" fillId="0" borderId="64" xfId="4" applyFont="1" applyBorder="1" applyAlignment="1">
      <alignment horizontal="center" vertical="center"/>
    </xf>
    <xf numFmtId="0" fontId="9" fillId="0" borderId="65" xfId="4" applyFont="1" applyBorder="1" applyAlignment="1">
      <alignment horizontal="center" vertical="center"/>
    </xf>
    <xf numFmtId="0" fontId="9" fillId="0" borderId="73" xfId="4" applyFont="1" applyBorder="1" applyAlignment="1">
      <alignment horizontal="center" vertical="center"/>
    </xf>
    <xf numFmtId="4" fontId="9" fillId="0" borderId="243" xfId="0" applyNumberFormat="1" applyFont="1" applyBorder="1"/>
    <xf numFmtId="0" fontId="8" fillId="0" borderId="195" xfId="0" applyFont="1" applyBorder="1" applyAlignment="1">
      <alignment horizontal="center"/>
    </xf>
    <xf numFmtId="0" fontId="8" fillId="0" borderId="241" xfId="0" applyFont="1" applyBorder="1" applyAlignment="1">
      <alignment horizontal="center"/>
    </xf>
    <xf numFmtId="0" fontId="8" fillId="0" borderId="65" xfId="0" applyFont="1" applyBorder="1" applyAlignment="1">
      <alignment horizontal="center"/>
    </xf>
    <xf numFmtId="0" fontId="8" fillId="0" borderId="238" xfId="0" applyFont="1" applyBorder="1" applyAlignment="1">
      <alignment horizontal="center"/>
    </xf>
    <xf numFmtId="0" fontId="8" fillId="0" borderId="74" xfId="0" applyFont="1" applyBorder="1" applyAlignment="1">
      <alignment horizontal="center"/>
    </xf>
    <xf numFmtId="9" fontId="6" fillId="0" borderId="20" xfId="5" applyFont="1" applyFill="1" applyBorder="1"/>
    <xf numFmtId="9" fontId="6" fillId="0" borderId="38" xfId="5" applyFont="1" applyFill="1" applyBorder="1" applyAlignment="1">
      <alignment horizontal="right" vertical="center" wrapText="1"/>
    </xf>
    <xf numFmtId="0" fontId="8" fillId="0" borderId="171" xfId="0" applyFont="1" applyBorder="1" applyAlignment="1">
      <alignment horizontal="center" vertical="center" wrapText="1"/>
    </xf>
    <xf numFmtId="0" fontId="8" fillId="0" borderId="213" xfId="0" applyFont="1" applyBorder="1" applyAlignment="1">
      <alignment horizontal="center" vertical="center" wrapText="1"/>
    </xf>
    <xf numFmtId="2" fontId="9" fillId="0" borderId="71" xfId="0" applyNumberFormat="1" applyFont="1" applyBorder="1" applyAlignment="1">
      <alignment horizontal="right" wrapText="1"/>
    </xf>
    <xf numFmtId="2" fontId="11" fillId="0" borderId="71" xfId="0" applyNumberFormat="1" applyFont="1" applyBorder="1" applyAlignment="1">
      <alignment horizontal="right" wrapText="1"/>
    </xf>
    <xf numFmtId="3" fontId="9" fillId="0" borderId="171" xfId="47" applyNumberFormat="1" applyFont="1" applyBorder="1" applyAlignment="1">
      <alignment horizontal="center" vertical="center"/>
    </xf>
    <xf numFmtId="2" fontId="9" fillId="0" borderId="49" xfId="48" applyNumberFormat="1" applyFont="1" applyBorder="1" applyAlignment="1">
      <alignment horizontal="center" vertical="center"/>
    </xf>
    <xf numFmtId="3" fontId="9" fillId="0" borderId="211" xfId="47" applyNumberFormat="1" applyFont="1" applyBorder="1" applyAlignment="1">
      <alignment horizontal="center" vertical="center"/>
    </xf>
    <xf numFmtId="3" fontId="28" fillId="0" borderId="211" xfId="47" applyNumberFormat="1" applyFont="1" applyBorder="1" applyAlignment="1">
      <alignment horizontal="center" vertical="center"/>
    </xf>
    <xf numFmtId="3" fontId="28" fillId="0" borderId="171" xfId="47" applyNumberFormat="1" applyFont="1" applyBorder="1" applyAlignment="1">
      <alignment horizontal="center" vertical="center"/>
    </xf>
    <xf numFmtId="2" fontId="9" fillId="0" borderId="171" xfId="48" applyNumberFormat="1" applyFont="1" applyBorder="1" applyAlignment="1">
      <alignment horizontal="center" vertical="center"/>
    </xf>
    <xf numFmtId="0" fontId="8" fillId="0" borderId="213" xfId="0" applyFont="1" applyBorder="1" applyAlignment="1">
      <alignment horizontal="center"/>
    </xf>
    <xf numFmtId="9" fontId="8" fillId="0" borderId="38" xfId="0" applyNumberFormat="1" applyFont="1" applyBorder="1"/>
    <xf numFmtId="9" fontId="8" fillId="0" borderId="50" xfId="0" applyNumberFormat="1" applyFont="1" applyBorder="1"/>
    <xf numFmtId="9" fontId="8" fillId="0" borderId="79" xfId="0" applyNumberFormat="1" applyFont="1" applyBorder="1"/>
    <xf numFmtId="9" fontId="8" fillId="0" borderId="131" xfId="0" applyNumberFormat="1" applyFont="1" applyBorder="1"/>
    <xf numFmtId="9" fontId="6" fillId="0" borderId="62" xfId="0" applyNumberFormat="1" applyFont="1" applyBorder="1"/>
    <xf numFmtId="9" fontId="6" fillId="0" borderId="20" xfId="0" applyNumberFormat="1" applyFont="1" applyBorder="1"/>
    <xf numFmtId="9" fontId="6" fillId="0" borderId="218" xfId="0" applyNumberFormat="1" applyFont="1" applyBorder="1"/>
    <xf numFmtId="9" fontId="6" fillId="0" borderId="220" xfId="0" applyNumberFormat="1" applyFont="1" applyBorder="1"/>
    <xf numFmtId="9" fontId="6" fillId="0" borderId="20" xfId="0" applyNumberFormat="1" applyFont="1" applyBorder="1" applyAlignment="1">
      <alignment horizontal="right"/>
    </xf>
    <xf numFmtId="0" fontId="8" fillId="0" borderId="70" xfId="0" applyFont="1" applyBorder="1" applyAlignment="1">
      <alignment horizontal="center"/>
    </xf>
    <xf numFmtId="9" fontId="6" fillId="0" borderId="223" xfId="0" applyNumberFormat="1" applyFont="1" applyBorder="1" applyAlignment="1">
      <alignment horizontal="right"/>
    </xf>
    <xf numFmtId="9" fontId="8" fillId="0" borderId="49" xfId="0" applyNumberFormat="1" applyFont="1" applyBorder="1"/>
    <xf numFmtId="9" fontId="6" fillId="0" borderId="8" xfId="0" applyNumberFormat="1" applyFont="1" applyBorder="1" applyAlignment="1">
      <alignment horizontal="right"/>
    </xf>
    <xf numFmtId="9" fontId="8" fillId="0" borderId="133" xfId="0" applyNumberFormat="1" applyFont="1" applyBorder="1"/>
    <xf numFmtId="9" fontId="6" fillId="0" borderId="220" xfId="0" applyNumberFormat="1" applyFont="1" applyBorder="1" applyAlignment="1">
      <alignment horizontal="right"/>
    </xf>
    <xf numFmtId="9" fontId="6" fillId="0" borderId="201" xfId="0" applyNumberFormat="1" applyFont="1" applyBorder="1" applyAlignment="1">
      <alignment horizontal="right"/>
    </xf>
    <xf numFmtId="9" fontId="8" fillId="0" borderId="65" xfId="0" applyNumberFormat="1" applyFont="1" applyBorder="1"/>
    <xf numFmtId="9" fontId="6" fillId="0" borderId="2" xfId="0" applyNumberFormat="1" applyFont="1" applyBorder="1" applyAlignment="1">
      <alignment horizontal="right"/>
    </xf>
    <xf numFmtId="9" fontId="8" fillId="0" borderId="73" xfId="0" applyNumberFormat="1" applyFont="1" applyBorder="1"/>
    <xf numFmtId="9" fontId="6" fillId="0" borderId="8" xfId="5" applyFont="1" applyBorder="1" applyAlignment="1">
      <alignment horizontal="right"/>
    </xf>
    <xf numFmtId="9" fontId="6" fillId="0" borderId="2" xfId="5" applyFont="1" applyBorder="1" applyAlignment="1">
      <alignment horizontal="right"/>
    </xf>
    <xf numFmtId="9" fontId="8" fillId="0" borderId="0" xfId="0" applyNumberFormat="1" applyFont="1" applyAlignment="1">
      <alignment horizontal="right"/>
    </xf>
    <xf numFmtId="9" fontId="8" fillId="0" borderId="23" xfId="0" applyNumberFormat="1" applyFont="1" applyBorder="1" applyAlignment="1">
      <alignment horizontal="right"/>
    </xf>
    <xf numFmtId="9" fontId="8" fillId="0" borderId="38" xfId="0" applyNumberFormat="1" applyFont="1" applyBorder="1" applyAlignment="1">
      <alignment horizontal="right"/>
    </xf>
    <xf numFmtId="9" fontId="6" fillId="0" borderId="61" xfId="0" applyNumberFormat="1" applyFont="1" applyBorder="1" applyAlignment="1">
      <alignment horizontal="right"/>
    </xf>
    <xf numFmtId="9" fontId="6" fillId="0" borderId="52" xfId="0" applyNumberFormat="1" applyFont="1" applyBorder="1" applyAlignment="1">
      <alignment horizontal="right"/>
    </xf>
    <xf numFmtId="9" fontId="6" fillId="0" borderId="62" xfId="0" applyNumberFormat="1" applyFont="1" applyBorder="1" applyAlignment="1">
      <alignment horizontal="right"/>
    </xf>
    <xf numFmtId="9" fontId="8" fillId="0" borderId="49" xfId="0" applyNumberFormat="1" applyFont="1" applyBorder="1" applyAlignment="1">
      <alignment horizontal="right"/>
    </xf>
    <xf numFmtId="9" fontId="8" fillId="0" borderId="65" xfId="0" applyNumberFormat="1" applyFont="1" applyBorder="1" applyAlignment="1">
      <alignment horizontal="right"/>
    </xf>
    <xf numFmtId="9" fontId="8" fillId="0" borderId="50" xfId="0" applyNumberFormat="1" applyFont="1" applyBorder="1" applyAlignment="1">
      <alignment horizontal="right"/>
    </xf>
    <xf numFmtId="9" fontId="8" fillId="0" borderId="129" xfId="0" applyNumberFormat="1" applyFont="1" applyBorder="1" applyAlignment="1">
      <alignment horizontal="right"/>
    </xf>
    <xf numFmtId="9" fontId="8" fillId="0" borderId="84" xfId="0" applyNumberFormat="1" applyFont="1" applyBorder="1" applyAlignment="1">
      <alignment horizontal="right"/>
    </xf>
    <xf numFmtId="9" fontId="8" fillId="0" borderId="79" xfId="0" applyNumberFormat="1" applyFont="1" applyBorder="1" applyAlignment="1">
      <alignment horizontal="right"/>
    </xf>
    <xf numFmtId="9" fontId="6" fillId="0" borderId="221" xfId="0" applyNumberFormat="1" applyFont="1" applyBorder="1" applyAlignment="1">
      <alignment horizontal="right"/>
    </xf>
    <xf numFmtId="9" fontId="6" fillId="0" borderId="217" xfId="0" applyNumberFormat="1" applyFont="1" applyBorder="1" applyAlignment="1">
      <alignment horizontal="right"/>
    </xf>
    <xf numFmtId="9" fontId="6" fillId="0" borderId="218" xfId="0" applyNumberFormat="1" applyFont="1" applyBorder="1" applyAlignment="1">
      <alignment horizontal="right"/>
    </xf>
    <xf numFmtId="2" fontId="8" fillId="0" borderId="223" xfId="0" applyNumberFormat="1" applyFont="1" applyBorder="1"/>
    <xf numFmtId="9" fontId="6" fillId="0" borderId="223" xfId="5" applyFont="1" applyBorder="1" applyAlignment="1">
      <alignment horizontal="right"/>
    </xf>
    <xf numFmtId="9" fontId="6" fillId="0" borderId="201" xfId="5" applyFont="1" applyBorder="1" applyAlignment="1">
      <alignment horizontal="right"/>
    </xf>
    <xf numFmtId="9" fontId="6" fillId="0" borderId="220" xfId="5" applyFont="1" applyBorder="1" applyAlignment="1">
      <alignment horizontal="right"/>
    </xf>
    <xf numFmtId="9" fontId="8" fillId="0" borderId="49" xfId="5" applyFont="1" applyBorder="1" applyAlignment="1">
      <alignment horizontal="right"/>
    </xf>
    <xf numFmtId="9" fontId="8" fillId="0" borderId="65" xfId="5" applyFont="1" applyBorder="1" applyAlignment="1">
      <alignment horizontal="right"/>
    </xf>
    <xf numFmtId="9" fontId="7" fillId="0" borderId="82" xfId="5" applyFont="1" applyFill="1" applyBorder="1" applyAlignment="1">
      <alignment horizontal="right"/>
    </xf>
    <xf numFmtId="2" fontId="7" fillId="0" borderId="63" xfId="0" applyNumberFormat="1" applyFont="1" applyBorder="1" applyAlignment="1">
      <alignment horizontal="right" wrapText="1"/>
    </xf>
    <xf numFmtId="2" fontId="7" fillId="0" borderId="185" xfId="0" applyNumberFormat="1" applyFont="1" applyBorder="1" applyAlignment="1">
      <alignment horizontal="right" wrapText="1"/>
    </xf>
    <xf numFmtId="0" fontId="9" fillId="0" borderId="213" xfId="0" applyFont="1" applyBorder="1" applyAlignment="1">
      <alignment horizontal="center" vertical="center"/>
    </xf>
    <xf numFmtId="0" fontId="9" fillId="0" borderId="212" xfId="0" applyFont="1" applyBorder="1" applyAlignment="1">
      <alignment horizontal="center" vertical="center"/>
    </xf>
    <xf numFmtId="0" fontId="8" fillId="0" borderId="212" xfId="0" applyFont="1" applyBorder="1" applyAlignment="1">
      <alignment horizontal="center" vertical="center"/>
    </xf>
    <xf numFmtId="0" fontId="8" fillId="0" borderId="171" xfId="0" applyFont="1" applyBorder="1" applyAlignment="1">
      <alignment horizontal="center" vertical="center"/>
    </xf>
    <xf numFmtId="0" fontId="8" fillId="0" borderId="195" xfId="0" applyFont="1" applyBorder="1" applyAlignment="1">
      <alignment horizontal="center" vertical="center"/>
    </xf>
    <xf numFmtId="0" fontId="8" fillId="0" borderId="214" xfId="0" applyFont="1" applyBorder="1" applyAlignment="1">
      <alignment horizontal="center" vertical="center"/>
    </xf>
    <xf numFmtId="0" fontId="8" fillId="0" borderId="73" xfId="0" applyFont="1" applyBorder="1" applyAlignment="1">
      <alignment horizontal="center" vertical="center"/>
    </xf>
    <xf numFmtId="0" fontId="8" fillId="0" borderId="65" xfId="0" applyFont="1" applyBorder="1" applyAlignment="1">
      <alignment horizontal="center" vertical="center"/>
    </xf>
    <xf numFmtId="9" fontId="7" fillId="0" borderId="82" xfId="5" applyFont="1" applyBorder="1" applyAlignment="1">
      <alignment horizontal="right"/>
    </xf>
    <xf numFmtId="2" fontId="9" fillId="0" borderId="8" xfId="0" applyNumberFormat="1" applyFont="1" applyBorder="1"/>
    <xf numFmtId="2" fontId="9" fillId="0" borderId="221" xfId="0" applyNumberFormat="1" applyFont="1" applyBorder="1"/>
    <xf numFmtId="9" fontId="7" fillId="0" borderId="181" xfId="5" applyFont="1" applyBorder="1" applyAlignment="1"/>
    <xf numFmtId="9" fontId="7" fillId="0" borderId="101" xfId="5" applyFont="1" applyBorder="1" applyAlignment="1"/>
    <xf numFmtId="9" fontId="7" fillId="0" borderId="63" xfId="5" applyFont="1" applyBorder="1" applyAlignment="1"/>
    <xf numFmtId="0" fontId="8" fillId="0" borderId="64" xfId="0" applyFont="1" applyBorder="1" applyAlignment="1">
      <alignment horizontal="center" vertical="center"/>
    </xf>
    <xf numFmtId="0" fontId="8" fillId="0" borderId="68" xfId="0" applyFont="1" applyBorder="1" applyAlignment="1">
      <alignment horizontal="center" vertical="center"/>
    </xf>
    <xf numFmtId="0" fontId="8" fillId="0" borderId="66"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73" xfId="0" applyFont="1" applyBorder="1" applyAlignment="1">
      <alignment horizontal="center" vertical="center"/>
    </xf>
    <xf numFmtId="0" fontId="6" fillId="0" borderId="29" xfId="4" applyFont="1" applyBorder="1"/>
    <xf numFmtId="0" fontId="7" fillId="0" borderId="29" xfId="4" applyFont="1" applyBorder="1"/>
    <xf numFmtId="1" fontId="6" fillId="0" borderId="29" xfId="0" applyNumberFormat="1" applyFont="1" applyBorder="1"/>
    <xf numFmtId="2" fontId="9" fillId="0" borderId="8" xfId="0" applyNumberFormat="1" applyFont="1" applyBorder="1" applyAlignment="1">
      <alignment horizontal="right"/>
    </xf>
    <xf numFmtId="0" fontId="8" fillId="0" borderId="67" xfId="0" applyFont="1" applyBorder="1" applyAlignment="1">
      <alignment horizontal="center" vertical="center"/>
    </xf>
    <xf numFmtId="4" fontId="10" fillId="0" borderId="10" xfId="0" applyNumberFormat="1" applyFont="1" applyBorder="1" applyAlignment="1">
      <alignment horizontal="right" wrapText="1"/>
    </xf>
    <xf numFmtId="4" fontId="10" fillId="0" borderId="2" xfId="0" applyNumberFormat="1" applyFont="1" applyBorder="1" applyAlignment="1">
      <alignment horizontal="right" wrapText="1"/>
    </xf>
    <xf numFmtId="4" fontId="6" fillId="0" borderId="2" xfId="0" applyNumberFormat="1" applyFont="1" applyBorder="1"/>
    <xf numFmtId="4" fontId="6" fillId="0" borderId="20" xfId="0" applyNumberFormat="1" applyFont="1" applyBorder="1"/>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2" fontId="11" fillId="0" borderId="83" xfId="0" applyNumberFormat="1" applyFont="1" applyBorder="1" applyAlignment="1">
      <alignment horizontal="right"/>
    </xf>
    <xf numFmtId="167" fontId="7" fillId="0" borderId="15" xfId="0" applyNumberFormat="1" applyFont="1" applyBorder="1"/>
    <xf numFmtId="168" fontId="7" fillId="0" borderId="82" xfId="0" applyNumberFormat="1" applyFont="1" applyBorder="1" applyAlignment="1">
      <alignment horizontal="right"/>
    </xf>
    <xf numFmtId="168" fontId="7" fillId="0" borderId="37" xfId="0" applyNumberFormat="1" applyFont="1" applyBorder="1" applyAlignment="1">
      <alignment horizontal="right"/>
    </xf>
    <xf numFmtId="164" fontId="7" fillId="0" borderId="20" xfId="0" applyNumberFormat="1" applyFont="1" applyBorder="1" applyAlignment="1">
      <alignment horizontal="right"/>
    </xf>
    <xf numFmtId="0" fontId="9" fillId="0" borderId="80"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72" xfId="0" applyFont="1" applyBorder="1" applyAlignment="1">
      <alignment horizontal="center" vertical="center"/>
    </xf>
    <xf numFmtId="0" fontId="9" fillId="0" borderId="66" xfId="0" applyFont="1" applyBorder="1" applyAlignment="1">
      <alignment horizontal="center" vertical="center"/>
    </xf>
    <xf numFmtId="0" fontId="7" fillId="0" borderId="181" xfId="0" applyFont="1" applyBorder="1" applyAlignment="1">
      <alignment horizontal="center" wrapText="1"/>
    </xf>
    <xf numFmtId="0" fontId="6" fillId="0" borderId="98" xfId="0" applyFont="1" applyBorder="1" applyAlignment="1">
      <alignment horizontal="center" wrapText="1"/>
    </xf>
    <xf numFmtId="167" fontId="6" fillId="0" borderId="76" xfId="0" applyNumberFormat="1" applyFont="1" applyBorder="1"/>
    <xf numFmtId="0" fontId="9" fillId="0" borderId="235" xfId="0" applyFont="1" applyBorder="1" applyAlignment="1">
      <alignment horizontal="center" vertical="center" wrapText="1"/>
    </xf>
    <xf numFmtId="0" fontId="9" fillId="0" borderId="212" xfId="0" applyFont="1" applyBorder="1" applyAlignment="1">
      <alignment horizontal="center" vertical="center" wrapText="1"/>
    </xf>
    <xf numFmtId="0" fontId="9" fillId="0" borderId="241" xfId="0" applyFont="1" applyBorder="1" applyAlignment="1">
      <alignment horizontal="center" vertical="center"/>
    </xf>
    <xf numFmtId="0" fontId="9" fillId="0" borderId="236" xfId="0" applyFont="1" applyBorder="1" applyAlignment="1">
      <alignment horizontal="center" vertical="center"/>
    </xf>
    <xf numFmtId="0" fontId="9" fillId="0" borderId="195" xfId="0" applyFont="1" applyBorder="1" applyAlignment="1">
      <alignment horizontal="center" vertical="center"/>
    </xf>
    <xf numFmtId="9" fontId="7" fillId="0" borderId="215" xfId="5" applyFont="1" applyFill="1" applyBorder="1" applyAlignment="1">
      <alignment horizontal="right"/>
    </xf>
    <xf numFmtId="0" fontId="7" fillId="0" borderId="29" xfId="0" applyFont="1" applyBorder="1"/>
    <xf numFmtId="4" fontId="9" fillId="0" borderId="211" xfId="0" applyNumberFormat="1" applyFont="1" applyBorder="1"/>
    <xf numFmtId="2" fontId="9" fillId="0" borderId="235" xfId="0" applyNumberFormat="1" applyFont="1" applyBorder="1"/>
    <xf numFmtId="2" fontId="9" fillId="0" borderId="234" xfId="0" applyNumberFormat="1" applyFont="1" applyBorder="1"/>
    <xf numFmtId="2" fontId="9" fillId="0" borderId="212" xfId="0" applyNumberFormat="1" applyFont="1" applyBorder="1"/>
    <xf numFmtId="2" fontId="9" fillId="0" borderId="241" xfId="0" applyNumberFormat="1" applyFont="1" applyBorder="1"/>
    <xf numFmtId="4" fontId="9" fillId="0" borderId="171" xfId="0" applyNumberFormat="1" applyFont="1" applyBorder="1"/>
    <xf numFmtId="2" fontId="9" fillId="0" borderId="236" xfId="0" applyNumberFormat="1" applyFont="1" applyBorder="1"/>
    <xf numFmtId="2" fontId="9" fillId="0" borderId="211" xfId="0" applyNumberFormat="1" applyFont="1" applyBorder="1" applyAlignment="1">
      <alignment horizontal="right" wrapText="1"/>
    </xf>
    <xf numFmtId="2" fontId="9" fillId="0" borderId="235" xfId="0" applyNumberFormat="1" applyFont="1" applyBorder="1" applyAlignment="1">
      <alignment horizontal="right" wrapText="1"/>
    </xf>
    <xf numFmtId="2" fontId="9" fillId="0" borderId="171" xfId="0" applyNumberFormat="1" applyFont="1" applyBorder="1" applyAlignment="1">
      <alignment horizontal="right" wrapText="1"/>
    </xf>
    <xf numFmtId="2" fontId="9" fillId="0" borderId="212" xfId="0" applyNumberFormat="1" applyFont="1" applyBorder="1" applyAlignment="1">
      <alignment horizontal="right" wrapText="1"/>
    </xf>
    <xf numFmtId="9" fontId="9" fillId="0" borderId="211" xfId="5" applyFont="1" applyFill="1" applyBorder="1"/>
    <xf numFmtId="9" fontId="9" fillId="0" borderId="235" xfId="5" applyFont="1" applyFill="1" applyBorder="1"/>
    <xf numFmtId="9" fontId="9" fillId="0" borderId="195" xfId="5" applyFont="1" applyFill="1" applyBorder="1"/>
    <xf numFmtId="2" fontId="9" fillId="0" borderId="211" xfId="5" applyNumberFormat="1" applyFont="1" applyFill="1" applyBorder="1"/>
    <xf numFmtId="2" fontId="9" fillId="0" borderId="235" xfId="5" applyNumberFormat="1" applyFont="1" applyFill="1" applyBorder="1"/>
    <xf numFmtId="2" fontId="9" fillId="0" borderId="234" xfId="5" applyNumberFormat="1" applyFont="1" applyFill="1" applyBorder="1"/>
    <xf numFmtId="0" fontId="9" fillId="0" borderId="45" xfId="0" applyFont="1" applyBorder="1" applyAlignment="1">
      <alignment horizontal="center"/>
    </xf>
    <xf numFmtId="0" fontId="9" fillId="0" borderId="142" xfId="0" applyFont="1" applyBorder="1" applyAlignment="1">
      <alignment horizontal="center" vertical="center" wrapText="1"/>
    </xf>
    <xf numFmtId="9" fontId="0" fillId="0" borderId="20" xfId="0" applyNumberFormat="1" applyBorder="1"/>
    <xf numFmtId="9" fontId="0" fillId="0" borderId="218" xfId="0" applyNumberFormat="1" applyBorder="1"/>
    <xf numFmtId="9" fontId="0" fillId="0" borderId="42" xfId="0" applyNumberFormat="1" applyBorder="1" applyAlignment="1">
      <alignment horizontal="right"/>
    </xf>
    <xf numFmtId="9" fontId="0" fillId="0" borderId="42" xfId="0" applyNumberFormat="1" applyBorder="1"/>
    <xf numFmtId="4" fontId="8" fillId="0" borderId="211" xfId="0" applyNumberFormat="1" applyFont="1" applyBorder="1" applyAlignment="1">
      <alignment horizontal="center" vertical="center"/>
    </xf>
    <xf numFmtId="4" fontId="8" fillId="0" borderId="235" xfId="0" applyNumberFormat="1" applyFont="1" applyBorder="1" applyAlignment="1">
      <alignment horizontal="center" vertical="center"/>
    </xf>
    <xf numFmtId="9" fontId="0" fillId="0" borderId="220" xfId="0" applyNumberFormat="1" applyBorder="1"/>
    <xf numFmtId="9" fontId="0" fillId="0" borderId="220" xfId="0" applyNumberFormat="1" applyBorder="1" applyAlignment="1">
      <alignment horizontal="right"/>
    </xf>
    <xf numFmtId="9" fontId="0" fillId="0" borderId="20" xfId="0" applyNumberFormat="1" applyBorder="1" applyAlignment="1">
      <alignment horizontal="right"/>
    </xf>
    <xf numFmtId="2" fontId="0" fillId="0" borderId="98" xfId="0" applyNumberFormat="1" applyBorder="1"/>
    <xf numFmtId="2" fontId="4" fillId="0" borderId="130" xfId="0" applyNumberFormat="1" applyFont="1" applyBorder="1"/>
    <xf numFmtId="2" fontId="4" fillId="0" borderId="142" xfId="0" applyNumberFormat="1" applyFont="1" applyBorder="1"/>
    <xf numFmtId="2" fontId="4" fillId="0" borderId="97" xfId="0" applyNumberFormat="1" applyFont="1" applyBorder="1"/>
    <xf numFmtId="169" fontId="6" fillId="0" borderId="216" xfId="0" applyNumberFormat="1" applyFont="1" applyBorder="1"/>
    <xf numFmtId="0" fontId="6" fillId="0" borderId="63" xfId="4" applyFont="1" applyBorder="1"/>
    <xf numFmtId="3" fontId="7" fillId="0" borderId="29" xfId="4" applyNumberFormat="1" applyFont="1" applyBorder="1"/>
    <xf numFmtId="3" fontId="7" fillId="0" borderId="63" xfId="4" applyNumberFormat="1" applyFont="1" applyBorder="1"/>
    <xf numFmtId="3" fontId="6" fillId="0" borderId="231" xfId="4" applyNumberFormat="1" applyFont="1" applyBorder="1"/>
    <xf numFmtId="3" fontId="7" fillId="0" borderId="190" xfId="4" applyNumberFormat="1" applyFont="1" applyBorder="1"/>
    <xf numFmtId="3" fontId="7" fillId="0" borderId="227" xfId="4" applyNumberFormat="1" applyFont="1" applyBorder="1"/>
    <xf numFmtId="3" fontId="6" fillId="0" borderId="29" xfId="4" applyNumberFormat="1" applyFont="1" applyBorder="1"/>
    <xf numFmtId="3" fontId="6" fillId="0" borderId="63" xfId="4" applyNumberFormat="1" applyFont="1" applyBorder="1"/>
    <xf numFmtId="0" fontId="7" fillId="0" borderId="29" xfId="0" applyFont="1" applyBorder="1" applyAlignment="1">
      <alignment horizontal="center" wrapText="1"/>
    </xf>
    <xf numFmtId="4" fontId="7" fillId="0" borderId="4" xfId="0" applyNumberFormat="1" applyFont="1" applyBorder="1" applyAlignment="1">
      <alignment horizontal="right"/>
    </xf>
    <xf numFmtId="4" fontId="7" fillId="0" borderId="29" xfId="0" applyNumberFormat="1" applyFont="1" applyBorder="1" applyAlignment="1">
      <alignment horizontal="right" vertical="center"/>
    </xf>
    <xf numFmtId="0" fontId="9" fillId="0" borderId="220" xfId="0" applyFont="1" applyBorder="1" applyAlignment="1">
      <alignment horizontal="right" vertical="center"/>
    </xf>
    <xf numFmtId="4" fontId="7" fillId="0" borderId="63" xfId="0" applyNumberFormat="1" applyFont="1" applyBorder="1" applyAlignment="1">
      <alignment horizontal="right" vertical="center"/>
    </xf>
    <xf numFmtId="4" fontId="7" fillId="0" borderId="29" xfId="0" applyNumberFormat="1" applyFont="1" applyBorder="1" applyAlignment="1">
      <alignment horizontal="right"/>
    </xf>
    <xf numFmtId="4" fontId="9" fillId="0" borderId="220" xfId="0" applyNumberFormat="1" applyFont="1" applyBorder="1" applyAlignment="1">
      <alignment horizontal="right"/>
    </xf>
    <xf numFmtId="4" fontId="7" fillId="0" borderId="63" xfId="0" applyNumberFormat="1" applyFont="1" applyBorder="1" applyAlignment="1">
      <alignment horizontal="right"/>
    </xf>
    <xf numFmtId="9" fontId="9" fillId="0" borderId="63" xfId="5" applyFont="1" applyBorder="1"/>
    <xf numFmtId="2" fontId="7" fillId="0" borderId="29" xfId="0" applyNumberFormat="1" applyFont="1" applyBorder="1"/>
    <xf numFmtId="4" fontId="7" fillId="0" borderId="63" xfId="0" applyNumberFormat="1" applyFont="1" applyBorder="1"/>
    <xf numFmtId="9" fontId="7" fillId="0" borderId="63" xfId="5" applyFont="1" applyBorder="1" applyAlignment="1">
      <alignment horizontal="right"/>
    </xf>
    <xf numFmtId="4" fontId="9" fillId="0" borderId="221" xfId="0" applyNumberFormat="1" applyFont="1" applyBorder="1"/>
    <xf numFmtId="4" fontId="7" fillId="0" borderId="229" xfId="0" applyNumberFormat="1" applyFont="1" applyBorder="1"/>
    <xf numFmtId="3" fontId="7" fillId="0" borderId="29" xfId="0" applyNumberFormat="1" applyFont="1" applyBorder="1" applyAlignment="1">
      <alignment horizontal="right"/>
    </xf>
    <xf numFmtId="0" fontId="7" fillId="0" borderId="29" xfId="0" applyFont="1" applyBorder="1" applyAlignment="1">
      <alignment horizontal="center"/>
    </xf>
    <xf numFmtId="0" fontId="7" fillId="0" borderId="29" xfId="0" applyFont="1" applyBorder="1" applyAlignment="1">
      <alignment horizontal="right"/>
    </xf>
    <xf numFmtId="4" fontId="7" fillId="0" borderId="233" xfId="0" applyNumberFormat="1" applyFont="1" applyBorder="1"/>
    <xf numFmtId="4" fontId="7" fillId="0" borderId="239" xfId="0" applyNumberFormat="1" applyFont="1" applyBorder="1"/>
    <xf numFmtId="4" fontId="9" fillId="0" borderId="227" xfId="0" applyNumberFormat="1" applyFont="1" applyBorder="1"/>
    <xf numFmtId="4" fontId="7" fillId="0" borderId="240" xfId="0" applyNumberFormat="1" applyFont="1" applyBorder="1"/>
    <xf numFmtId="2" fontId="9" fillId="0" borderId="227" xfId="0" applyNumberFormat="1" applyFont="1" applyBorder="1" applyAlignment="1">
      <alignment horizontal="right" wrapText="1"/>
    </xf>
    <xf numFmtId="4" fontId="6" fillId="0" borderId="239" xfId="0" applyNumberFormat="1" applyFont="1" applyBorder="1"/>
    <xf numFmtId="2" fontId="7" fillId="0" borderId="227" xfId="0" applyNumberFormat="1" applyFont="1" applyBorder="1" applyAlignment="1">
      <alignment horizontal="right" wrapText="1"/>
    </xf>
    <xf numFmtId="0" fontId="7" fillId="0" borderId="226" xfId="0" applyFont="1" applyBorder="1"/>
    <xf numFmtId="0" fontId="7" fillId="0" borderId="224" xfId="0" applyFont="1" applyBorder="1"/>
    <xf numFmtId="9" fontId="6" fillId="0" borderId="181" xfId="5" applyFont="1" applyFill="1" applyBorder="1"/>
    <xf numFmtId="9" fontId="6" fillId="0" borderId="181" xfId="5" applyFont="1" applyFill="1" applyBorder="1" applyAlignment="1"/>
    <xf numFmtId="9" fontId="7" fillId="0" borderId="181" xfId="5" applyFont="1" applyFill="1" applyBorder="1" applyAlignment="1"/>
    <xf numFmtId="0" fontId="7" fillId="0" borderId="29" xfId="4" applyFont="1" applyBorder="1" applyAlignment="1">
      <alignment horizontal="center"/>
    </xf>
    <xf numFmtId="9" fontId="10" fillId="0" borderId="240" xfId="5" applyFont="1" applyBorder="1" applyAlignment="1">
      <alignment horizontal="right" wrapText="1"/>
    </xf>
    <xf numFmtId="2" fontId="7" fillId="0" borderId="233" xfId="0" applyNumberFormat="1" applyFont="1" applyBorder="1"/>
    <xf numFmtId="2" fontId="7" fillId="0" borderId="239" xfId="0" applyNumberFormat="1" applyFont="1" applyBorder="1"/>
    <xf numFmtId="2" fontId="9" fillId="0" borderId="227" xfId="0" applyNumberFormat="1" applyFont="1" applyBorder="1"/>
    <xf numFmtId="2" fontId="7" fillId="0" borderId="240" xfId="0" applyNumberFormat="1" applyFont="1" applyBorder="1"/>
    <xf numFmtId="2" fontId="10" fillId="0" borderId="239" xfId="0" applyNumberFormat="1" applyFont="1" applyBorder="1" applyAlignment="1">
      <alignment horizontal="right" wrapText="1"/>
    </xf>
    <xf numFmtId="9" fontId="6" fillId="0" borderId="220" xfId="5" applyFont="1" applyFill="1" applyBorder="1"/>
    <xf numFmtId="2" fontId="6" fillId="0" borderId="239" xfId="0" applyNumberFormat="1" applyFont="1" applyBorder="1"/>
    <xf numFmtId="0" fontId="6" fillId="0" borderId="223" xfId="0" applyFont="1" applyBorder="1"/>
    <xf numFmtId="164" fontId="7" fillId="0" borderId="4" xfId="0" applyNumberFormat="1" applyFont="1" applyBorder="1"/>
    <xf numFmtId="3" fontId="10" fillId="0" borderId="229" xfId="0" applyNumberFormat="1" applyFont="1" applyBorder="1" applyAlignment="1">
      <alignment horizontal="right" wrapText="1"/>
    </xf>
    <xf numFmtId="3" fontId="10" fillId="0" borderId="232" xfId="0" applyNumberFormat="1" applyFont="1" applyBorder="1" applyAlignment="1">
      <alignment horizontal="right" wrapText="1"/>
    </xf>
    <xf numFmtId="2" fontId="10" fillId="0" borderId="229" xfId="0" applyNumberFormat="1" applyFont="1" applyBorder="1" applyAlignment="1">
      <alignment horizontal="right" wrapText="1"/>
    </xf>
    <xf numFmtId="2" fontId="10" fillId="0" borderId="233" xfId="0" applyNumberFormat="1" applyFont="1" applyBorder="1" applyAlignment="1">
      <alignment horizontal="right" wrapText="1"/>
    </xf>
    <xf numFmtId="2" fontId="10" fillId="0" borderId="230" xfId="0" applyNumberFormat="1" applyFont="1" applyBorder="1" applyAlignment="1">
      <alignment horizontal="right" wrapText="1"/>
    </xf>
    <xf numFmtId="0" fontId="69" fillId="0" borderId="224" xfId="0" applyFont="1" applyBorder="1"/>
    <xf numFmtId="2" fontId="0" fillId="0" borderId="205" xfId="0" applyNumberFormat="1" applyBorder="1"/>
    <xf numFmtId="2" fontId="69" fillId="0" borderId="205" xfId="0" applyNumberFormat="1" applyFont="1" applyBorder="1"/>
    <xf numFmtId="9" fontId="69" fillId="0" borderId="224" xfId="5" applyFont="1" applyBorder="1" applyAlignment="1">
      <alignment horizontal="right"/>
    </xf>
    <xf numFmtId="9" fontId="69" fillId="0" borderId="205" xfId="5" applyFont="1" applyBorder="1" applyAlignment="1">
      <alignment horizontal="right"/>
    </xf>
    <xf numFmtId="2" fontId="0" fillId="0" borderId="202" xfId="0" applyNumberFormat="1" applyBorder="1"/>
    <xf numFmtId="9" fontId="0" fillId="0" borderId="224" xfId="5" applyFont="1" applyBorder="1" applyAlignment="1">
      <alignment horizontal="right"/>
    </xf>
    <xf numFmtId="9" fontId="0" fillId="0" borderId="205" xfId="5" applyFont="1" applyBorder="1"/>
    <xf numFmtId="9" fontId="0" fillId="0" borderId="205" xfId="5" applyFont="1" applyBorder="1" applyAlignment="1">
      <alignment horizontal="right"/>
    </xf>
    <xf numFmtId="3" fontId="9" fillId="0" borderId="229" xfId="47" applyNumberFormat="1" applyFont="1" applyBorder="1" applyAlignment="1">
      <alignment horizontal="center" vertical="center"/>
    </xf>
    <xf numFmtId="3" fontId="28" fillId="0" borderId="229" xfId="47" applyNumberFormat="1" applyFont="1" applyBorder="1" applyAlignment="1">
      <alignment horizontal="center" vertical="center"/>
    </xf>
    <xf numFmtId="2" fontId="9" fillId="0" borderId="229" xfId="48" applyNumberFormat="1" applyFont="1" applyBorder="1" applyAlignment="1">
      <alignment horizontal="center" vertical="center"/>
    </xf>
    <xf numFmtId="0" fontId="7" fillId="0" borderId="227" xfId="0" applyFont="1" applyBorder="1"/>
    <xf numFmtId="2" fontId="7" fillId="0" borderId="239" xfId="0" applyNumberFormat="1" applyFont="1" applyBorder="1" applyAlignment="1">
      <alignment horizontal="right"/>
    </xf>
    <xf numFmtId="2" fontId="9" fillId="0" borderId="227" xfId="0" applyNumberFormat="1" applyFont="1" applyBorder="1" applyAlignment="1">
      <alignment horizontal="right"/>
    </xf>
    <xf numFmtId="2" fontId="6" fillId="0" borderId="233" xfId="0" applyNumberFormat="1" applyFont="1" applyBorder="1"/>
    <xf numFmtId="2" fontId="9" fillId="0" borderId="240" xfId="0" applyNumberFormat="1" applyFont="1" applyBorder="1" applyAlignment="1">
      <alignment horizontal="right" wrapText="1"/>
    </xf>
    <xf numFmtId="0" fontId="6" fillId="0" borderId="29" xfId="4" applyFont="1" applyBorder="1" applyAlignment="1">
      <alignment horizontal="center"/>
    </xf>
    <xf numFmtId="9" fontId="7" fillId="0" borderId="181" xfId="5" applyFont="1" applyBorder="1" applyAlignment="1">
      <alignment horizontal="right"/>
    </xf>
    <xf numFmtId="2" fontId="9" fillId="0" borderId="240" xfId="0" applyNumberFormat="1" applyFont="1" applyBorder="1"/>
    <xf numFmtId="2" fontId="9" fillId="0" borderId="240" xfId="0" applyNumberFormat="1" applyFont="1" applyBorder="1" applyAlignment="1">
      <alignment horizontal="right"/>
    </xf>
    <xf numFmtId="0" fontId="7" fillId="0" borderId="184" xfId="0" applyFont="1" applyBorder="1" applyAlignment="1">
      <alignment horizontal="right"/>
    </xf>
    <xf numFmtId="2" fontId="7" fillId="0" borderId="29" xfId="0" applyNumberFormat="1" applyFont="1" applyBorder="1" applyAlignment="1">
      <alignment horizontal="right" wrapText="1"/>
    </xf>
    <xf numFmtId="0" fontId="7" fillId="0" borderId="221" xfId="0" applyFont="1" applyBorder="1"/>
    <xf numFmtId="2" fontId="6" fillId="0" borderId="215" xfId="5" applyNumberFormat="1" applyFont="1" applyFill="1" applyBorder="1" applyAlignment="1">
      <alignment horizontal="right"/>
    </xf>
    <xf numFmtId="2" fontId="6" fillId="0" borderId="217" xfId="5" applyNumberFormat="1" applyFont="1" applyFill="1" applyBorder="1" applyAlignment="1">
      <alignment horizontal="right"/>
    </xf>
    <xf numFmtId="0" fontId="7" fillId="0" borderId="223" xfId="0" applyFont="1" applyBorder="1"/>
    <xf numFmtId="164" fontId="7" fillId="0" borderId="29" xfId="0" applyNumberFormat="1" applyFont="1" applyBorder="1"/>
    <xf numFmtId="164" fontId="7" fillId="0" borderId="223" xfId="5" applyNumberFormat="1" applyFont="1" applyFill="1" applyBorder="1" applyAlignment="1">
      <alignment horizontal="right"/>
    </xf>
    <xf numFmtId="0" fontId="31" fillId="0" borderId="63" xfId="0" applyFont="1" applyBorder="1" applyAlignment="1">
      <alignment horizontal="center" wrapText="1"/>
    </xf>
    <xf numFmtId="168" fontId="7" fillId="0" borderId="29" xfId="0" applyNumberFormat="1" applyFont="1" applyBorder="1" applyAlignment="1">
      <alignment horizontal="right"/>
    </xf>
    <xf numFmtId="164" fontId="7" fillId="0" borderId="4" xfId="0" applyNumberFormat="1" applyFont="1" applyBorder="1" applyAlignment="1">
      <alignment horizontal="right"/>
    </xf>
    <xf numFmtId="164" fontId="7" fillId="0" borderId="221" xfId="5" applyNumberFormat="1" applyFont="1" applyFill="1" applyBorder="1" applyAlignment="1">
      <alignment horizontal="right"/>
    </xf>
    <xf numFmtId="164" fontId="6" fillId="0" borderId="221" xfId="5" applyNumberFormat="1" applyFont="1" applyFill="1" applyBorder="1" applyAlignment="1">
      <alignment horizontal="right"/>
    </xf>
    <xf numFmtId="164" fontId="6" fillId="0" borderId="223" xfId="5" applyNumberFormat="1" applyFont="1" applyFill="1" applyBorder="1" applyAlignment="1">
      <alignment horizontal="right"/>
    </xf>
    <xf numFmtId="0" fontId="31" fillId="0" borderId="63" xfId="0" applyFont="1" applyBorder="1" applyAlignment="1">
      <alignment horizontal="center"/>
    </xf>
    <xf numFmtId="168" fontId="7" fillId="0" borderId="29" xfId="0" applyNumberFormat="1" applyFont="1" applyBorder="1"/>
    <xf numFmtId="4" fontId="7" fillId="0" borderId="219" xfId="0" applyNumberFormat="1" applyFont="1" applyBorder="1"/>
    <xf numFmtId="9" fontId="7" fillId="0" borderId="219" xfId="5" applyFont="1" applyFill="1" applyBorder="1"/>
    <xf numFmtId="9" fontId="7" fillId="0" borderId="239" xfId="5" applyFont="1" applyFill="1" applyBorder="1"/>
    <xf numFmtId="0" fontId="8" fillId="0" borderId="4" xfId="0" applyFont="1" applyBorder="1" applyAlignment="1">
      <alignment horizontal="center"/>
    </xf>
    <xf numFmtId="4" fontId="8" fillId="0" borderId="4" xfId="0" applyNumberFormat="1" applyFont="1" applyBorder="1" applyAlignment="1">
      <alignment horizontal="center" vertical="center"/>
    </xf>
    <xf numFmtId="2" fontId="0" fillId="0" borderId="4" xfId="0" applyNumberFormat="1" applyBorder="1"/>
    <xf numFmtId="3" fontId="8" fillId="0" borderId="67" xfId="4" applyNumberFormat="1" applyFont="1" applyBorder="1"/>
    <xf numFmtId="0" fontId="7" fillId="0" borderId="0" xfId="0" applyFont="1" applyAlignment="1">
      <alignment horizontal="left"/>
    </xf>
    <xf numFmtId="3" fontId="6" fillId="0" borderId="11" xfId="4" applyNumberFormat="1" applyFont="1" applyBorder="1" applyAlignment="1">
      <alignment horizontal="right"/>
    </xf>
    <xf numFmtId="3" fontId="6" fillId="0" borderId="26" xfId="4" applyNumberFormat="1" applyFont="1" applyBorder="1"/>
    <xf numFmtId="3" fontId="8" fillId="0" borderId="251" xfId="4" applyNumberFormat="1" applyFont="1" applyBorder="1"/>
    <xf numFmtId="3" fontId="9" fillId="0" borderId="67" xfId="4" applyNumberFormat="1" applyFont="1" applyBorder="1"/>
    <xf numFmtId="3" fontId="7" fillId="0" borderId="226" xfId="4" applyNumberFormat="1" applyFont="1" applyBorder="1"/>
    <xf numFmtId="9" fontId="6" fillId="0" borderId="202" xfId="5" applyFont="1" applyFill="1" applyBorder="1"/>
    <xf numFmtId="3" fontId="7" fillId="0" borderId="62" xfId="0" applyNumberFormat="1" applyFont="1" applyBorder="1" applyAlignment="1">
      <alignment horizontal="right" wrapText="1"/>
    </xf>
    <xf numFmtId="3" fontId="7" fillId="0" borderId="38" xfId="0" applyNumberFormat="1" applyFont="1" applyBorder="1" applyAlignment="1">
      <alignment horizontal="right" wrapText="1"/>
    </xf>
    <xf numFmtId="3" fontId="7" fillId="0" borderId="20" xfId="0" applyNumberFormat="1" applyFont="1" applyBorder="1" applyAlignment="1">
      <alignment horizontal="right" wrapText="1"/>
    </xf>
    <xf numFmtId="3" fontId="7" fillId="0" borderId="220" xfId="0" applyNumberFormat="1" applyFont="1" applyBorder="1" applyAlignment="1">
      <alignment horizontal="right" wrapText="1"/>
    </xf>
    <xf numFmtId="0" fontId="6" fillId="0" borderId="63" xfId="0" applyFont="1" applyBorder="1" applyAlignment="1">
      <alignment horizontal="center"/>
    </xf>
    <xf numFmtId="0" fontId="6" fillId="0" borderId="101" xfId="0" applyFont="1" applyBorder="1" applyAlignment="1">
      <alignment horizontal="center"/>
    </xf>
    <xf numFmtId="0" fontId="6" fillId="0" borderId="181" xfId="0" applyFont="1" applyBorder="1" applyAlignment="1">
      <alignment horizontal="center"/>
    </xf>
    <xf numFmtId="0" fontId="6" fillId="0" borderId="82" xfId="0" applyFont="1" applyBorder="1" applyAlignment="1">
      <alignment horizontal="center"/>
    </xf>
    <xf numFmtId="0" fontId="6" fillId="0" borderId="98" xfId="0" applyFont="1" applyBorder="1" applyAlignment="1">
      <alignment horizontal="center"/>
    </xf>
    <xf numFmtId="3" fontId="7" fillId="0" borderId="4" xfId="0" applyNumberFormat="1" applyFont="1" applyBorder="1" applyAlignment="1">
      <alignment horizontal="right" wrapText="1"/>
    </xf>
    <xf numFmtId="3" fontId="7" fillId="0" borderId="29" xfId="0" applyNumberFormat="1" applyFont="1" applyBorder="1" applyAlignment="1">
      <alignment horizontal="right" wrapText="1"/>
    </xf>
    <xf numFmtId="0" fontId="9" fillId="0" borderId="171" xfId="0" applyFont="1" applyBorder="1" applyAlignment="1">
      <alignment horizontal="center" vertical="center" wrapText="1"/>
    </xf>
    <xf numFmtId="0" fontId="9" fillId="0" borderId="211" xfId="0" applyFont="1" applyBorder="1" applyAlignment="1">
      <alignment horizontal="center" vertical="center" wrapText="1"/>
    </xf>
    <xf numFmtId="0" fontId="9" fillId="0" borderId="50" xfId="0" applyFont="1" applyBorder="1" applyAlignment="1">
      <alignment horizontal="center" vertical="center"/>
    </xf>
    <xf numFmtId="0" fontId="8" fillId="0" borderId="64" xfId="0" applyFont="1" applyBorder="1" applyAlignment="1">
      <alignment horizontal="center"/>
    </xf>
    <xf numFmtId="3" fontId="6" fillId="0" borderId="26" xfId="4" applyNumberFormat="1" applyFont="1" applyBorder="1" applyAlignment="1">
      <alignment horizontal="right"/>
    </xf>
    <xf numFmtId="3" fontId="6" fillId="0" borderId="226" xfId="4" applyNumberFormat="1" applyFont="1" applyBorder="1" applyAlignment="1">
      <alignment horizontal="right"/>
    </xf>
    <xf numFmtId="3" fontId="6" fillId="0" borderId="229" xfId="4" applyNumberFormat="1" applyFont="1" applyBorder="1" applyAlignment="1">
      <alignment horizontal="right"/>
    </xf>
    <xf numFmtId="3" fontId="7" fillId="0" borderId="226" xfId="4" applyNumberFormat="1" applyFont="1" applyBorder="1" applyAlignment="1">
      <alignment horizontal="right"/>
    </xf>
    <xf numFmtId="3" fontId="7" fillId="0" borderId="224" xfId="4" applyNumberFormat="1" applyFont="1" applyBorder="1" applyAlignment="1">
      <alignment horizontal="right"/>
    </xf>
    <xf numFmtId="0" fontId="7" fillId="0" borderId="215" xfId="0" applyFont="1" applyBorder="1" applyAlignment="1">
      <alignment horizontal="left"/>
    </xf>
    <xf numFmtId="0" fontId="7" fillId="0" borderId="222" xfId="0" applyFont="1" applyBorder="1" applyAlignment="1">
      <alignment horizontal="center" vertical="center"/>
    </xf>
    <xf numFmtId="3" fontId="7" fillId="0" borderId="181" xfId="0" applyNumberFormat="1" applyFont="1" applyBorder="1"/>
    <xf numFmtId="3" fontId="7" fillId="0" borderId="226" xfId="0" applyNumberFormat="1" applyFont="1" applyBorder="1"/>
    <xf numFmtId="4" fontId="6" fillId="0" borderId="221" xfId="0" applyNumberFormat="1" applyFont="1" applyBorder="1"/>
    <xf numFmtId="4" fontId="6" fillId="0" borderId="222" xfId="0" applyNumberFormat="1" applyFont="1" applyBorder="1"/>
    <xf numFmtId="4" fontId="6" fillId="0" borderId="225" xfId="0" applyNumberFormat="1" applyFont="1" applyBorder="1"/>
    <xf numFmtId="3" fontId="6" fillId="0" borderId="221" xfId="0" applyNumberFormat="1" applyFont="1" applyBorder="1" applyAlignment="1">
      <alignment horizontal="center" vertical="center" wrapText="1"/>
    </xf>
    <xf numFmtId="3" fontId="7" fillId="0" borderId="225" xfId="0" applyNumberFormat="1" applyFont="1" applyBorder="1"/>
    <xf numFmtId="4" fontId="6" fillId="0" borderId="181" xfId="0" applyNumberFormat="1" applyFont="1" applyBorder="1"/>
    <xf numFmtId="0" fontId="7" fillId="0" borderId="35" xfId="0" applyFont="1" applyBorder="1" applyAlignment="1">
      <alignment horizontal="left"/>
    </xf>
    <xf numFmtId="0" fontId="7" fillId="0" borderId="16" xfId="0" applyFont="1" applyBorder="1" applyAlignment="1">
      <alignment horizontal="center" vertical="center"/>
    </xf>
    <xf numFmtId="3" fontId="7" fillId="0" borderId="98" xfId="0" applyNumberFormat="1" applyFont="1" applyBorder="1"/>
    <xf numFmtId="3" fontId="7" fillId="0" borderId="11" xfId="0" applyNumberFormat="1" applyFont="1" applyBorder="1"/>
    <xf numFmtId="3" fontId="7" fillId="0" borderId="31" xfId="0" applyNumberFormat="1" applyFont="1" applyBorder="1"/>
    <xf numFmtId="3" fontId="7" fillId="0" borderId="16" xfId="0" applyNumberFormat="1" applyFont="1" applyBorder="1"/>
    <xf numFmtId="3" fontId="7" fillId="0" borderId="5" xfId="0" applyNumberFormat="1" applyFont="1" applyBorder="1"/>
    <xf numFmtId="3" fontId="6" fillId="0" borderId="98" xfId="0" applyNumberFormat="1" applyFont="1" applyBorder="1"/>
    <xf numFmtId="4" fontId="6" fillId="0" borderId="36" xfId="0" applyNumberFormat="1" applyFont="1" applyBorder="1"/>
    <xf numFmtId="4" fontId="6" fillId="0" borderId="16" xfId="0" applyNumberFormat="1" applyFont="1" applyBorder="1"/>
    <xf numFmtId="4" fontId="6" fillId="0" borderId="11" xfId="0" applyNumberFormat="1" applyFont="1" applyBorder="1"/>
    <xf numFmtId="4" fontId="6" fillId="0" borderId="28" xfId="0" applyNumberFormat="1" applyFont="1" applyBorder="1"/>
    <xf numFmtId="4" fontId="6" fillId="0" borderId="13" xfId="0" applyNumberFormat="1" applyFont="1" applyBorder="1"/>
    <xf numFmtId="2" fontId="8" fillId="0" borderId="36" xfId="0" applyNumberFormat="1" applyFont="1" applyBorder="1"/>
    <xf numFmtId="3" fontId="6" fillId="0" borderId="36" xfId="0" applyNumberFormat="1" applyFont="1" applyBorder="1" applyAlignment="1">
      <alignment horizontal="center" vertical="center" wrapText="1"/>
    </xf>
    <xf numFmtId="3" fontId="7" fillId="0" borderId="28" xfId="0" applyNumberFormat="1" applyFont="1" applyBorder="1"/>
    <xf numFmtId="4" fontId="6" fillId="0" borderId="98" xfId="0" applyNumberFormat="1" applyFont="1" applyBorder="1"/>
    <xf numFmtId="3" fontId="9" fillId="0" borderId="83" xfId="0" applyNumberFormat="1" applyFont="1" applyBorder="1"/>
    <xf numFmtId="3" fontId="9" fillId="0" borderId="67" xfId="0" applyNumberFormat="1" applyFont="1" applyBorder="1"/>
    <xf numFmtId="3" fontId="9" fillId="0" borderId="65" xfId="0" applyNumberFormat="1" applyFont="1" applyBorder="1"/>
    <xf numFmtId="3" fontId="9" fillId="0" borderId="68" xfId="0" applyNumberFormat="1" applyFont="1" applyBorder="1"/>
    <xf numFmtId="3" fontId="9" fillId="0" borderId="66" xfId="0" applyNumberFormat="1" applyFont="1" applyBorder="1"/>
    <xf numFmtId="3" fontId="8" fillId="0" borderId="83" xfId="0" applyNumberFormat="1" applyFont="1" applyBorder="1"/>
    <xf numFmtId="4" fontId="8" fillId="0" borderId="68" xfId="0" applyNumberFormat="1" applyFont="1" applyBorder="1"/>
    <xf numFmtId="4" fontId="8" fillId="0" borderId="48" xfId="0" applyNumberFormat="1" applyFont="1" applyBorder="1"/>
    <xf numFmtId="3" fontId="9" fillId="0" borderId="48" xfId="0" applyNumberFormat="1" applyFont="1" applyBorder="1"/>
    <xf numFmtId="4" fontId="8" fillId="0" borderId="83" xfId="0" applyNumberFormat="1" applyFont="1" applyBorder="1"/>
    <xf numFmtId="0" fontId="7" fillId="0" borderId="35" xfId="0" applyFont="1" applyBorder="1" applyAlignment="1">
      <alignment horizontal="left" vertical="center"/>
    </xf>
    <xf numFmtId="3" fontId="7" fillId="0" borderId="97" xfId="0" applyNumberFormat="1" applyFont="1" applyBorder="1"/>
    <xf numFmtId="3" fontId="6" fillId="0" borderId="97" xfId="0" applyNumberFormat="1" applyFont="1" applyBorder="1"/>
    <xf numFmtId="3" fontId="6" fillId="0" borderId="36" xfId="0" applyNumberFormat="1" applyFont="1" applyBorder="1" applyAlignment="1">
      <alignment horizontal="center" vertical="center"/>
    </xf>
    <xf numFmtId="0" fontId="7" fillId="0" borderId="103" xfId="0" applyFont="1" applyBorder="1" applyAlignment="1">
      <alignment horizontal="left" vertical="center"/>
    </xf>
    <xf numFmtId="0" fontId="7" fillId="0" borderId="106" xfId="0" applyFont="1" applyBorder="1" applyAlignment="1">
      <alignment horizontal="center" vertical="center"/>
    </xf>
    <xf numFmtId="3" fontId="7" fillId="0" borderId="105" xfId="0" applyNumberFormat="1" applyFont="1" applyBorder="1"/>
    <xf numFmtId="3" fontId="7" fillId="0" borderId="112" xfId="0" applyNumberFormat="1" applyFont="1" applyBorder="1"/>
    <xf numFmtId="3" fontId="7" fillId="0" borderId="106" xfId="0" applyNumberFormat="1" applyFont="1" applyBorder="1"/>
    <xf numFmtId="3" fontId="7" fillId="0" borderId="104" xfId="0" applyNumberFormat="1" applyFont="1" applyBorder="1"/>
    <xf numFmtId="4" fontId="6" fillId="0" borderId="113" xfId="0" applyNumberFormat="1" applyFont="1" applyBorder="1"/>
    <xf numFmtId="4" fontId="6" fillId="0" borderId="106" xfId="0" applyNumberFormat="1" applyFont="1" applyBorder="1"/>
    <xf numFmtId="2" fontId="9" fillId="0" borderId="109" xfId="0" applyNumberFormat="1" applyFont="1" applyBorder="1"/>
    <xf numFmtId="4" fontId="6" fillId="0" borderId="105" xfId="0" applyNumberFormat="1" applyFont="1" applyBorder="1"/>
    <xf numFmtId="4" fontId="6" fillId="0" borderId="99" xfId="0" applyNumberFormat="1" applyFont="1" applyBorder="1"/>
    <xf numFmtId="4" fontId="6" fillId="0" borderId="110" xfId="0" applyNumberFormat="1" applyFont="1" applyBorder="1"/>
    <xf numFmtId="3" fontId="6" fillId="0" borderId="113" xfId="0" applyNumberFormat="1" applyFont="1" applyBorder="1" applyAlignment="1">
      <alignment horizontal="center" vertical="center"/>
    </xf>
    <xf numFmtId="3" fontId="7" fillId="0" borderId="99" xfId="0" applyNumberFormat="1" applyFont="1" applyBorder="1"/>
    <xf numFmtId="4" fontId="6" fillId="0" borderId="97" xfId="0" applyNumberFormat="1" applyFont="1" applyBorder="1"/>
    <xf numFmtId="49" fontId="7" fillId="0" borderId="226" xfId="0" applyNumberFormat="1" applyFont="1" applyBorder="1" applyAlignment="1">
      <alignment wrapText="1"/>
    </xf>
    <xf numFmtId="49" fontId="7" fillId="0" borderId="222" xfId="0" applyNumberFormat="1" applyFont="1" applyBorder="1" applyAlignment="1">
      <alignment horizontal="center" wrapText="1"/>
    </xf>
    <xf numFmtId="2" fontId="8" fillId="0" borderId="182" xfId="0" applyNumberFormat="1" applyFont="1" applyBorder="1" applyAlignment="1">
      <alignment horizontal="right"/>
    </xf>
    <xf numFmtId="2" fontId="8" fillId="0" borderId="221" xfId="0" applyNumberFormat="1" applyFont="1" applyBorder="1" applyAlignment="1">
      <alignment horizontal="right"/>
    </xf>
    <xf numFmtId="2" fontId="8" fillId="0" borderId="218" xfId="0" applyNumberFormat="1" applyFont="1" applyBorder="1" applyAlignment="1">
      <alignment horizontal="right"/>
    </xf>
    <xf numFmtId="1" fontId="6" fillId="0" borderId="221" xfId="0" applyNumberFormat="1" applyFont="1" applyBorder="1" applyAlignment="1">
      <alignment horizontal="center" wrapText="1"/>
    </xf>
    <xf numFmtId="49" fontId="7" fillId="0" borderId="229" xfId="0" applyNumberFormat="1" applyFont="1" applyBorder="1" applyAlignment="1">
      <alignment wrapText="1"/>
    </xf>
    <xf numFmtId="49" fontId="7" fillId="0" borderId="233" xfId="0" applyNumberFormat="1" applyFont="1" applyBorder="1" applyAlignment="1">
      <alignment horizontal="center" wrapText="1"/>
    </xf>
    <xf numFmtId="3" fontId="7" fillId="0" borderId="185" xfId="0" applyNumberFormat="1" applyFont="1" applyBorder="1"/>
    <xf numFmtId="3" fontId="7" fillId="0" borderId="229" xfId="0" applyNumberFormat="1" applyFont="1" applyBorder="1"/>
    <xf numFmtId="3" fontId="7" fillId="0" borderId="232" xfId="0" applyNumberFormat="1" applyFont="1" applyBorder="1"/>
    <xf numFmtId="3" fontId="7" fillId="0" borderId="233" xfId="0" applyNumberFormat="1" applyFont="1" applyBorder="1"/>
    <xf numFmtId="3" fontId="7" fillId="0" borderId="231" xfId="0" applyNumberFormat="1" applyFont="1" applyBorder="1"/>
    <xf numFmtId="3" fontId="6" fillId="0" borderId="185" xfId="0" applyNumberFormat="1" applyFont="1" applyBorder="1"/>
    <xf numFmtId="4" fontId="6" fillId="0" borderId="240" xfId="0" applyNumberFormat="1" applyFont="1" applyBorder="1"/>
    <xf numFmtId="4" fontId="6" fillId="0" borderId="233" xfId="0" applyNumberFormat="1" applyFont="1" applyBorder="1"/>
    <xf numFmtId="4" fontId="6" fillId="0" borderId="190" xfId="0" applyNumberFormat="1" applyFont="1" applyBorder="1"/>
    <xf numFmtId="2" fontId="8" fillId="0" borderId="240" xfId="0" applyNumberFormat="1" applyFont="1" applyBorder="1" applyAlignment="1">
      <alignment horizontal="right"/>
    </xf>
    <xf numFmtId="2" fontId="8" fillId="0" borderId="227" xfId="0" applyNumberFormat="1" applyFont="1" applyBorder="1" applyAlignment="1">
      <alignment horizontal="right"/>
    </xf>
    <xf numFmtId="1" fontId="6" fillId="0" borderId="240" xfId="0" applyNumberFormat="1" applyFont="1" applyBorder="1" applyAlignment="1">
      <alignment horizontal="center" wrapText="1"/>
    </xf>
    <xf numFmtId="3" fontId="7" fillId="0" borderId="190" xfId="0" applyNumberFormat="1" applyFont="1" applyBorder="1"/>
    <xf numFmtId="4" fontId="6" fillId="0" borderId="185" xfId="0" applyNumberFormat="1" applyFont="1" applyBorder="1"/>
    <xf numFmtId="49" fontId="7" fillId="0" borderId="4" xfId="0" applyNumberFormat="1" applyFont="1" applyBorder="1" applyAlignment="1">
      <alignment wrapText="1"/>
    </xf>
    <xf numFmtId="49" fontId="7" fillId="0" borderId="205" xfId="0" applyNumberFormat="1" applyFont="1" applyBorder="1" applyAlignment="1">
      <alignment horizontal="center" wrapText="1"/>
    </xf>
    <xf numFmtId="3" fontId="7" fillId="0" borderId="63" xfId="0" applyNumberFormat="1" applyFont="1" applyBorder="1"/>
    <xf numFmtId="3" fontId="7" fillId="0" borderId="224" xfId="0" applyNumberFormat="1" applyFont="1" applyBorder="1"/>
    <xf numFmtId="3" fontId="7" fillId="0" borderId="201" xfId="0" applyNumberFormat="1" applyFont="1" applyBorder="1"/>
    <xf numFmtId="3" fontId="7" fillId="0" borderId="205" xfId="0" applyNumberFormat="1" applyFont="1" applyBorder="1"/>
    <xf numFmtId="3" fontId="7" fillId="0" borderId="202" xfId="0" applyNumberFormat="1" applyFont="1" applyBorder="1"/>
    <xf numFmtId="3" fontId="6" fillId="0" borderId="63" xfId="0" applyNumberFormat="1" applyFont="1" applyBorder="1"/>
    <xf numFmtId="4" fontId="6" fillId="0" borderId="223" xfId="0" applyNumberFormat="1" applyFont="1" applyBorder="1"/>
    <xf numFmtId="4" fontId="6" fillId="0" borderId="205" xfId="0" applyNumberFormat="1" applyFont="1" applyBorder="1"/>
    <xf numFmtId="2" fontId="8" fillId="0" borderId="43" xfId="0" applyNumberFormat="1" applyFont="1" applyBorder="1" applyAlignment="1">
      <alignment horizontal="right"/>
    </xf>
    <xf numFmtId="4" fontId="6" fillId="0" borderId="29" xfId="0" applyNumberFormat="1" applyFont="1" applyBorder="1"/>
    <xf numFmtId="2" fontId="8" fillId="0" borderId="41" xfId="0" applyNumberFormat="1" applyFont="1" applyBorder="1" applyAlignment="1">
      <alignment horizontal="right"/>
    </xf>
    <xf numFmtId="2" fontId="8" fillId="0" borderId="223" xfId="0" applyNumberFormat="1" applyFont="1" applyBorder="1" applyAlignment="1">
      <alignment horizontal="right"/>
    </xf>
    <xf numFmtId="2" fontId="8" fillId="0" borderId="220" xfId="0" applyNumberFormat="1" applyFont="1" applyBorder="1" applyAlignment="1">
      <alignment horizontal="right"/>
    </xf>
    <xf numFmtId="1" fontId="6" fillId="0" borderId="223" xfId="0" applyNumberFormat="1" applyFont="1" applyBorder="1" applyAlignment="1">
      <alignment horizontal="center" wrapText="1"/>
    </xf>
    <xf numFmtId="3" fontId="7" fillId="0" borderId="29" xfId="0" applyNumberFormat="1" applyFont="1" applyBorder="1"/>
    <xf numFmtId="4" fontId="6" fillId="0" borderId="63" xfId="0" applyNumberFormat="1" applyFont="1" applyBorder="1"/>
    <xf numFmtId="3" fontId="7" fillId="0" borderId="81" xfId="0" applyNumberFormat="1" applyFont="1" applyBorder="1"/>
    <xf numFmtId="49" fontId="7" fillId="0" borderId="215" xfId="0" applyNumberFormat="1" applyFont="1" applyBorder="1" applyAlignment="1">
      <alignment wrapText="1"/>
    </xf>
    <xf numFmtId="0" fontId="9" fillId="0" borderId="49" xfId="0" applyFont="1" applyBorder="1"/>
    <xf numFmtId="0" fontId="63" fillId="0" borderId="49" xfId="0" applyFont="1" applyBorder="1"/>
    <xf numFmtId="0" fontId="9" fillId="0" borderId="133" xfId="0" applyFont="1" applyBorder="1" applyAlignment="1">
      <alignment horizontal="center"/>
    </xf>
    <xf numFmtId="0" fontId="7" fillId="0" borderId="10" xfId="0" applyFont="1" applyBorder="1" applyAlignment="1">
      <alignment horizontal="left" vertical="center"/>
    </xf>
    <xf numFmtId="0" fontId="7" fillId="0" borderId="15" xfId="0" applyFont="1" applyBorder="1" applyAlignment="1">
      <alignment horizontal="center" vertical="center"/>
    </xf>
    <xf numFmtId="3" fontId="7" fillId="0" borderId="82" xfId="0" applyNumberFormat="1" applyFont="1" applyBorder="1" applyAlignment="1">
      <alignment horizontal="right"/>
    </xf>
    <xf numFmtId="3" fontId="7" fillId="0" borderId="10" xfId="0" applyNumberFormat="1" applyFont="1" applyBorder="1" applyAlignment="1">
      <alignment horizontal="right"/>
    </xf>
    <xf numFmtId="3" fontId="7" fillId="0" borderId="8" xfId="0" applyNumberFormat="1" applyFont="1" applyBorder="1" applyAlignment="1">
      <alignment horizontal="right"/>
    </xf>
    <xf numFmtId="3" fontId="7" fillId="0" borderId="15" xfId="0" applyNumberFormat="1" applyFont="1" applyBorder="1" applyAlignment="1">
      <alignment horizontal="right"/>
    </xf>
    <xf numFmtId="3" fontId="6" fillId="0" borderId="101" xfId="0" applyNumberFormat="1" applyFont="1" applyBorder="1" applyAlignment="1">
      <alignment horizontal="right"/>
    </xf>
    <xf numFmtId="4" fontId="6" fillId="0" borderId="0" xfId="0" applyNumberFormat="1" applyFont="1" applyAlignment="1">
      <alignment horizontal="right"/>
    </xf>
    <xf numFmtId="4" fontId="6" fillId="0" borderId="57" xfId="0" applyNumberFormat="1" applyFont="1" applyBorder="1" applyAlignment="1">
      <alignment horizontal="right"/>
    </xf>
    <xf numFmtId="4" fontId="6" fillId="0" borderId="26" xfId="0" applyNumberFormat="1" applyFont="1" applyBorder="1" applyAlignment="1">
      <alignment horizontal="right"/>
    </xf>
    <xf numFmtId="4" fontId="6" fillId="0" borderId="30" xfId="0" applyNumberFormat="1" applyFont="1" applyBorder="1" applyAlignment="1">
      <alignment horizontal="right"/>
    </xf>
    <xf numFmtId="2" fontId="8" fillId="0" borderId="0" xfId="0" applyNumberFormat="1" applyFont="1" applyAlignment="1">
      <alignment horizontal="right"/>
    </xf>
    <xf numFmtId="4" fontId="6" fillId="0" borderId="27" xfId="0" applyNumberFormat="1" applyFont="1" applyBorder="1" applyAlignment="1">
      <alignment horizontal="right"/>
    </xf>
    <xf numFmtId="2" fontId="8" fillId="0" borderId="116" xfId="0" applyNumberFormat="1" applyFont="1" applyBorder="1" applyAlignment="1">
      <alignment horizontal="right"/>
    </xf>
    <xf numFmtId="2" fontId="8" fillId="0" borderId="117" xfId="0" applyNumberFormat="1" applyFont="1" applyBorder="1" applyAlignment="1">
      <alignment horizontal="right"/>
    </xf>
    <xf numFmtId="2" fontId="8" fillId="0" borderId="38" xfId="0" applyNumberFormat="1" applyFont="1" applyBorder="1" applyAlignment="1">
      <alignment horizontal="right"/>
    </xf>
    <xf numFmtId="3" fontId="6" fillId="0" borderId="82" xfId="0" applyNumberFormat="1" applyFont="1" applyBorder="1" applyAlignment="1">
      <alignment horizontal="center" vertical="center"/>
    </xf>
    <xf numFmtId="4" fontId="6" fillId="0" borderId="101" xfId="0" applyNumberFormat="1" applyFont="1" applyBorder="1" applyAlignment="1">
      <alignment horizontal="right"/>
    </xf>
    <xf numFmtId="3" fontId="6" fillId="0" borderId="181" xfId="0" applyNumberFormat="1" applyFont="1" applyBorder="1" applyAlignment="1">
      <alignment horizontal="right"/>
    </xf>
    <xf numFmtId="4" fontId="6" fillId="0" borderId="221" xfId="0" applyNumberFormat="1" applyFont="1" applyBorder="1" applyAlignment="1">
      <alignment horizontal="right"/>
    </xf>
    <xf numFmtId="4" fontId="6" fillId="0" borderId="222" xfId="0" applyNumberFormat="1" applyFont="1" applyBorder="1" applyAlignment="1">
      <alignment horizontal="right"/>
    </xf>
    <xf numFmtId="4" fontId="6" fillId="0" borderId="226" xfId="0" applyNumberFormat="1" applyFont="1" applyBorder="1" applyAlignment="1">
      <alignment horizontal="right"/>
    </xf>
    <xf numFmtId="4" fontId="6" fillId="0" borderId="184" xfId="0" applyNumberFormat="1" applyFont="1" applyBorder="1" applyAlignment="1">
      <alignment horizontal="right"/>
    </xf>
    <xf numFmtId="4" fontId="6" fillId="0" borderId="225" xfId="0" applyNumberFormat="1" applyFont="1" applyBorder="1" applyAlignment="1">
      <alignment horizontal="right"/>
    </xf>
    <xf numFmtId="3" fontId="6" fillId="0" borderId="8" xfId="0" applyNumberFormat="1" applyFont="1" applyBorder="1" applyAlignment="1">
      <alignment horizontal="center" vertical="center"/>
    </xf>
    <xf numFmtId="4" fontId="6" fillId="0" borderId="181" xfId="0" applyNumberFormat="1" applyFont="1" applyBorder="1" applyAlignment="1">
      <alignment horizontal="right"/>
    </xf>
    <xf numFmtId="3" fontId="7" fillId="0" borderId="226" xfId="0" applyNumberFormat="1" applyFont="1" applyBorder="1" applyAlignment="1">
      <alignment horizontal="right"/>
    </xf>
    <xf numFmtId="3" fontId="7" fillId="0" borderId="222" xfId="0" applyNumberFormat="1" applyFont="1" applyBorder="1" applyAlignment="1">
      <alignment horizontal="right"/>
    </xf>
    <xf numFmtId="0" fontId="7" fillId="0" borderId="205" xfId="0" applyFont="1" applyBorder="1" applyAlignment="1">
      <alignment horizontal="center" vertical="center"/>
    </xf>
    <xf numFmtId="3" fontId="7" fillId="0" borderId="205" xfId="0" applyNumberFormat="1" applyFont="1" applyBorder="1" applyAlignment="1">
      <alignment horizontal="right"/>
    </xf>
    <xf numFmtId="3" fontId="6" fillId="0" borderId="63" xfId="0" applyNumberFormat="1" applyFont="1" applyBorder="1" applyAlignment="1">
      <alignment horizontal="right"/>
    </xf>
    <xf numFmtId="4" fontId="6" fillId="0" borderId="223" xfId="0" applyNumberFormat="1" applyFont="1" applyBorder="1" applyAlignment="1">
      <alignment horizontal="right"/>
    </xf>
    <xf numFmtId="4" fontId="6" fillId="0" borderId="205" xfId="0" applyNumberFormat="1" applyFont="1" applyBorder="1" applyAlignment="1">
      <alignment horizontal="right"/>
    </xf>
    <xf numFmtId="4" fontId="6" fillId="0" borderId="224" xfId="0" applyNumberFormat="1" applyFont="1" applyBorder="1" applyAlignment="1">
      <alignment horizontal="right"/>
    </xf>
    <xf numFmtId="4" fontId="6" fillId="0" borderId="204" xfId="0" applyNumberFormat="1" applyFont="1" applyBorder="1" applyAlignment="1">
      <alignment horizontal="right"/>
    </xf>
    <xf numFmtId="4" fontId="6" fillId="0" borderId="29" xfId="0" applyNumberFormat="1" applyFont="1" applyBorder="1" applyAlignment="1">
      <alignment horizontal="right"/>
    </xf>
    <xf numFmtId="3" fontId="6" fillId="0" borderId="223" xfId="0" applyNumberFormat="1" applyFont="1" applyBorder="1" applyAlignment="1">
      <alignment horizontal="center" vertical="center"/>
    </xf>
    <xf numFmtId="4" fontId="6" fillId="0" borderId="63" xfId="0" applyNumberFormat="1" applyFont="1" applyBorder="1" applyAlignment="1">
      <alignment horizontal="right"/>
    </xf>
    <xf numFmtId="3" fontId="9" fillId="0" borderId="67" xfId="0" applyNumberFormat="1" applyFont="1" applyBorder="1" applyAlignment="1">
      <alignment horizontal="right"/>
    </xf>
    <xf numFmtId="3" fontId="9" fillId="0" borderId="68" xfId="0" applyNumberFormat="1" applyFont="1" applyBorder="1" applyAlignment="1">
      <alignment horizontal="right"/>
    </xf>
    <xf numFmtId="3" fontId="8" fillId="0" borderId="83" xfId="0" applyNumberFormat="1" applyFont="1" applyBorder="1" applyAlignment="1">
      <alignment horizontal="right"/>
    </xf>
    <xf numFmtId="4" fontId="8" fillId="0" borderId="49" xfId="0" applyNumberFormat="1" applyFont="1" applyBorder="1" applyAlignment="1">
      <alignment horizontal="right"/>
    </xf>
    <xf numFmtId="4" fontId="8" fillId="0" borderId="68" xfId="0" applyNumberFormat="1" applyFont="1" applyBorder="1" applyAlignment="1">
      <alignment horizontal="right"/>
    </xf>
    <xf numFmtId="4" fontId="8" fillId="0" borderId="67" xfId="0" applyNumberFormat="1" applyFont="1" applyBorder="1" applyAlignment="1">
      <alignment horizontal="right"/>
    </xf>
    <xf numFmtId="4" fontId="8" fillId="0" borderId="70" xfId="0" applyNumberFormat="1" applyFont="1" applyBorder="1" applyAlignment="1">
      <alignment horizontal="right"/>
    </xf>
    <xf numFmtId="2" fontId="8" fillId="0" borderId="49" xfId="0" applyNumberFormat="1" applyFont="1" applyBorder="1" applyAlignment="1">
      <alignment horizontal="right"/>
    </xf>
    <xf numFmtId="4" fontId="8" fillId="0" borderId="48" xfId="0" applyNumberFormat="1" applyFont="1" applyBorder="1" applyAlignment="1">
      <alignment horizontal="right"/>
    </xf>
    <xf numFmtId="2" fontId="8" fillId="0" borderId="69" xfId="0" applyNumberFormat="1" applyFont="1" applyBorder="1" applyAlignment="1">
      <alignment horizontal="right"/>
    </xf>
    <xf numFmtId="2" fontId="8" fillId="0" borderId="75" xfId="0" applyNumberFormat="1" applyFont="1" applyBorder="1" applyAlignment="1">
      <alignment horizontal="right"/>
    </xf>
    <xf numFmtId="2" fontId="8" fillId="0" borderId="50" xfId="0" applyNumberFormat="1" applyFont="1" applyBorder="1" applyAlignment="1">
      <alignment horizontal="right"/>
    </xf>
    <xf numFmtId="4" fontId="8" fillId="0" borderId="83" xfId="0" applyNumberFormat="1" applyFont="1" applyBorder="1" applyAlignment="1">
      <alignment horizontal="right"/>
    </xf>
    <xf numFmtId="0" fontId="7" fillId="0" borderId="229" xfId="0" applyFont="1" applyBorder="1"/>
    <xf numFmtId="0" fontId="7" fillId="0" borderId="233" xfId="0" applyFont="1" applyBorder="1" applyAlignment="1">
      <alignment horizontal="center" vertical="center"/>
    </xf>
    <xf numFmtId="3" fontId="7" fillId="0" borderId="185" xfId="0" applyNumberFormat="1" applyFont="1" applyBorder="1" applyAlignment="1">
      <alignment horizontal="right"/>
    </xf>
    <xf numFmtId="3" fontId="7" fillId="0" borderId="229" xfId="0" applyNumberFormat="1" applyFont="1" applyBorder="1" applyAlignment="1">
      <alignment horizontal="right"/>
    </xf>
    <xf numFmtId="3" fontId="7" fillId="0" borderId="232" xfId="0" applyNumberFormat="1" applyFont="1" applyBorder="1" applyAlignment="1">
      <alignment horizontal="right"/>
    </xf>
    <xf numFmtId="3" fontId="7" fillId="0" borderId="233" xfId="0" applyNumberFormat="1" applyFont="1" applyBorder="1" applyAlignment="1">
      <alignment horizontal="right"/>
    </xf>
    <xf numFmtId="3" fontId="6" fillId="0" borderId="185" xfId="0" applyNumberFormat="1" applyFont="1" applyBorder="1" applyAlignment="1">
      <alignment horizontal="right"/>
    </xf>
    <xf numFmtId="4" fontId="6" fillId="0" borderId="240" xfId="0" applyNumberFormat="1" applyFont="1" applyBorder="1" applyAlignment="1">
      <alignment horizontal="right"/>
    </xf>
    <xf numFmtId="4" fontId="6" fillId="0" borderId="233" xfId="0" applyNumberFormat="1" applyFont="1" applyBorder="1" applyAlignment="1">
      <alignment horizontal="right"/>
    </xf>
    <xf numFmtId="4" fontId="6" fillId="0" borderId="229" xfId="0" applyNumberFormat="1" applyFont="1" applyBorder="1" applyAlignment="1">
      <alignment horizontal="right"/>
    </xf>
    <xf numFmtId="4" fontId="6" fillId="0" borderId="239" xfId="0" applyNumberFormat="1" applyFont="1" applyBorder="1" applyAlignment="1">
      <alignment horizontal="right"/>
    </xf>
    <xf numFmtId="4" fontId="6" fillId="0" borderId="190" xfId="0" applyNumberFormat="1" applyFont="1" applyBorder="1" applyAlignment="1">
      <alignment horizontal="right"/>
    </xf>
    <xf numFmtId="3" fontId="6" fillId="0" borderId="240" xfId="0" applyNumberFormat="1" applyFont="1" applyBorder="1" applyAlignment="1">
      <alignment horizontal="center" vertical="center"/>
    </xf>
    <xf numFmtId="3" fontId="7" fillId="0" borderId="190" xfId="0" applyNumberFormat="1" applyFont="1" applyBorder="1" applyAlignment="1">
      <alignment horizontal="right"/>
    </xf>
    <xf numFmtId="4" fontId="6" fillId="0" borderId="185" xfId="0" applyNumberFormat="1" applyFont="1" applyBorder="1" applyAlignment="1">
      <alignment horizontal="right"/>
    </xf>
    <xf numFmtId="0" fontId="7" fillId="0" borderId="4" xfId="0" applyFont="1" applyBorder="1" applyAlignment="1">
      <alignment horizontal="left" vertical="center"/>
    </xf>
    <xf numFmtId="3" fontId="7" fillId="0" borderId="224" xfId="0" applyNumberFormat="1" applyFont="1" applyBorder="1" applyAlignment="1">
      <alignment horizontal="right"/>
    </xf>
    <xf numFmtId="3" fontId="9" fillId="0" borderId="26" xfId="0" applyNumberFormat="1" applyFont="1" applyBorder="1" applyAlignment="1">
      <alignment horizontal="right"/>
    </xf>
    <xf numFmtId="3" fontId="9" fillId="0" borderId="57" xfId="0" applyNumberFormat="1" applyFont="1" applyBorder="1" applyAlignment="1">
      <alignment horizontal="right"/>
    </xf>
    <xf numFmtId="0" fontId="7" fillId="0" borderId="76" xfId="0" applyFont="1" applyBorder="1" applyAlignment="1">
      <alignment horizontal="center" vertical="center"/>
    </xf>
    <xf numFmtId="3" fontId="7" fillId="0" borderId="76" xfId="0" applyNumberFormat="1" applyFont="1" applyBorder="1" applyAlignment="1">
      <alignment horizontal="right"/>
    </xf>
    <xf numFmtId="3" fontId="6" fillId="0" borderId="81" xfId="0" applyNumberFormat="1" applyFont="1" applyBorder="1" applyAlignment="1">
      <alignment horizontal="right"/>
    </xf>
    <xf numFmtId="4" fontId="6" fillId="0" borderId="61" xfId="0" applyNumberFormat="1" applyFont="1" applyBorder="1" applyAlignment="1">
      <alignment horizontal="right"/>
    </xf>
    <xf numFmtId="4" fontId="6" fillId="0" borderId="76" xfId="0" applyNumberFormat="1" applyFont="1" applyBorder="1" applyAlignment="1">
      <alignment horizontal="right"/>
    </xf>
    <xf numFmtId="4" fontId="6" fillId="0" borderId="60" xfId="0" applyNumberFormat="1" applyFont="1" applyBorder="1" applyAlignment="1">
      <alignment horizontal="right"/>
    </xf>
    <xf numFmtId="4" fontId="6" fillId="0" borderId="108" xfId="0" applyNumberFormat="1" applyFont="1" applyBorder="1" applyAlignment="1">
      <alignment horizontal="right"/>
    </xf>
    <xf numFmtId="2" fontId="8" fillId="0" borderId="61" xfId="0" applyNumberFormat="1" applyFont="1" applyBorder="1" applyAlignment="1">
      <alignment horizontal="right"/>
    </xf>
    <xf numFmtId="4" fontId="6" fillId="0" borderId="59" xfId="0" applyNumberFormat="1" applyFont="1" applyBorder="1" applyAlignment="1">
      <alignment horizontal="right"/>
    </xf>
    <xf numFmtId="2" fontId="8" fillId="0" borderId="107" xfId="0" applyNumberFormat="1" applyFont="1" applyBorder="1" applyAlignment="1">
      <alignment horizontal="right"/>
    </xf>
    <xf numFmtId="2" fontId="8" fillId="0" borderId="62" xfId="0" applyNumberFormat="1" applyFont="1" applyBorder="1" applyAlignment="1">
      <alignment horizontal="right"/>
    </xf>
    <xf numFmtId="1" fontId="6" fillId="0" borderId="61" xfId="0" applyNumberFormat="1" applyFont="1" applyBorder="1" applyAlignment="1">
      <alignment horizontal="center" wrapText="1"/>
    </xf>
    <xf numFmtId="4" fontId="6" fillId="0" borderId="81" xfId="0" applyNumberFormat="1" applyFont="1" applyBorder="1" applyAlignment="1">
      <alignment horizontal="right"/>
    </xf>
    <xf numFmtId="0" fontId="7" fillId="0" borderId="105" xfId="0" applyFont="1" applyBorder="1"/>
    <xf numFmtId="3" fontId="7" fillId="0" borderId="97" xfId="0" applyNumberFormat="1" applyFont="1" applyBorder="1" applyAlignment="1">
      <alignment horizontal="right"/>
    </xf>
    <xf numFmtId="3" fontId="7" fillId="0" borderId="105" xfId="0" applyNumberFormat="1" applyFont="1" applyBorder="1" applyAlignment="1">
      <alignment horizontal="right"/>
    </xf>
    <xf numFmtId="3" fontId="7" fillId="0" borderId="112" xfId="0" applyNumberFormat="1" applyFont="1" applyBorder="1" applyAlignment="1">
      <alignment horizontal="right"/>
    </xf>
    <xf numFmtId="3" fontId="7" fillId="0" borderId="106" xfId="0" applyNumberFormat="1" applyFont="1" applyBorder="1" applyAlignment="1">
      <alignment horizontal="right"/>
    </xf>
    <xf numFmtId="3" fontId="6" fillId="0" borderId="97" xfId="0" applyNumberFormat="1" applyFont="1" applyBorder="1" applyAlignment="1">
      <alignment horizontal="right"/>
    </xf>
    <xf numFmtId="4" fontId="6" fillId="0" borderId="113" xfId="0" applyNumberFormat="1" applyFont="1" applyBorder="1" applyAlignment="1">
      <alignment horizontal="right"/>
    </xf>
    <xf numFmtId="4" fontId="6" fillId="0" borderId="106" xfId="0" applyNumberFormat="1" applyFont="1" applyBorder="1" applyAlignment="1">
      <alignment horizontal="right"/>
    </xf>
    <xf numFmtId="2" fontId="9" fillId="0" borderId="109" xfId="0" applyNumberFormat="1" applyFont="1" applyBorder="1" applyAlignment="1">
      <alignment horizontal="right"/>
    </xf>
    <xf numFmtId="4" fontId="6" fillId="0" borderId="105" xfId="0" applyNumberFormat="1" applyFont="1" applyBorder="1" applyAlignment="1">
      <alignment horizontal="right"/>
    </xf>
    <xf numFmtId="4" fontId="6" fillId="0" borderId="110" xfId="0" applyNumberFormat="1" applyFont="1" applyBorder="1" applyAlignment="1">
      <alignment horizontal="right"/>
    </xf>
    <xf numFmtId="2" fontId="8" fillId="0" borderId="113" xfId="0" applyNumberFormat="1" applyFont="1" applyBorder="1" applyAlignment="1">
      <alignment horizontal="right"/>
    </xf>
    <xf numFmtId="4" fontId="6" fillId="0" borderId="99" xfId="0" applyNumberFormat="1" applyFont="1" applyBorder="1" applyAlignment="1">
      <alignment horizontal="right"/>
    </xf>
    <xf numFmtId="2" fontId="8" fillId="0" borderId="114" xfId="0" applyNumberFormat="1" applyFont="1" applyBorder="1" applyAlignment="1">
      <alignment horizontal="right"/>
    </xf>
    <xf numFmtId="1" fontId="6" fillId="0" borderId="36" xfId="0" applyNumberFormat="1" applyFont="1" applyBorder="1" applyAlignment="1">
      <alignment horizontal="center" wrapText="1"/>
    </xf>
    <xf numFmtId="3" fontId="7" fillId="0" borderId="99" xfId="0" applyNumberFormat="1" applyFont="1" applyBorder="1" applyAlignment="1">
      <alignment horizontal="right"/>
    </xf>
    <xf numFmtId="4" fontId="6" fillId="0" borderId="97" xfId="0" applyNumberFormat="1" applyFont="1" applyBorder="1" applyAlignment="1">
      <alignment horizontal="right"/>
    </xf>
    <xf numFmtId="0" fontId="7" fillId="0" borderId="219" xfId="0" applyFont="1" applyBorder="1" applyAlignment="1">
      <alignment horizontal="left"/>
    </xf>
    <xf numFmtId="4" fontId="8" fillId="0" borderId="27" xfId="0" applyNumberFormat="1" applyFont="1" applyBorder="1" applyAlignment="1">
      <alignment horizontal="right"/>
    </xf>
    <xf numFmtId="4" fontId="8" fillId="0" borderId="30" xfId="0" applyNumberFormat="1" applyFont="1" applyBorder="1" applyAlignment="1">
      <alignment horizontal="right"/>
    </xf>
    <xf numFmtId="3" fontId="6" fillId="0" borderId="0" xfId="0" applyNumberFormat="1" applyFont="1" applyAlignment="1">
      <alignment horizontal="center" vertical="center" wrapText="1"/>
    </xf>
    <xf numFmtId="0" fontId="7" fillId="0" borderId="4" xfId="0" applyFont="1" applyBorder="1" applyAlignment="1">
      <alignment horizontal="left"/>
    </xf>
    <xf numFmtId="3" fontId="6" fillId="0" borderId="223" xfId="0" applyNumberFormat="1" applyFont="1" applyBorder="1" applyAlignment="1">
      <alignment horizontal="center" vertical="center" wrapText="1"/>
    </xf>
    <xf numFmtId="3" fontId="8" fillId="0" borderId="101" xfId="0" applyNumberFormat="1" applyFont="1" applyBorder="1" applyAlignment="1">
      <alignment horizontal="right"/>
    </xf>
    <xf numFmtId="4" fontId="8" fillId="0" borderId="0" xfId="0" applyNumberFormat="1" applyFont="1" applyAlignment="1">
      <alignment horizontal="right"/>
    </xf>
    <xf numFmtId="4" fontId="8" fillId="0" borderId="57" xfId="0" applyNumberFormat="1" applyFont="1" applyBorder="1" applyAlignment="1">
      <alignment horizontal="right"/>
    </xf>
    <xf numFmtId="4" fontId="8" fillId="0" borderId="26" xfId="0" applyNumberFormat="1" applyFont="1" applyBorder="1" applyAlignment="1">
      <alignment horizontal="right"/>
    </xf>
    <xf numFmtId="0" fontId="8" fillId="0" borderId="130" xfId="0" applyFont="1" applyBorder="1" applyAlignment="1">
      <alignment horizontal="center" vertical="center" wrapText="1"/>
    </xf>
    <xf numFmtId="4" fontId="8" fillId="0" borderId="101" xfId="0" applyNumberFormat="1" applyFont="1" applyBorder="1" applyAlignment="1">
      <alignment horizontal="right"/>
    </xf>
    <xf numFmtId="49" fontId="7" fillId="0" borderId="60" xfId="0" applyNumberFormat="1" applyFont="1" applyBorder="1" applyAlignment="1">
      <alignment wrapText="1"/>
    </xf>
    <xf numFmtId="49" fontId="7" fillId="0" borderId="76" xfId="0" applyNumberFormat="1" applyFont="1" applyBorder="1" applyAlignment="1">
      <alignment horizontal="center" wrapText="1"/>
    </xf>
    <xf numFmtId="3" fontId="7" fillId="0" borderId="102" xfId="0" applyNumberFormat="1" applyFont="1" applyBorder="1" applyAlignment="1">
      <alignment horizontal="right"/>
    </xf>
    <xf numFmtId="3" fontId="7" fillId="0" borderId="60" xfId="0" applyNumberFormat="1" applyFont="1" applyBorder="1"/>
    <xf numFmtId="3" fontId="7" fillId="0" borderId="52" xfId="0" applyNumberFormat="1" applyFont="1" applyBorder="1"/>
    <xf numFmtId="3" fontId="7" fillId="0" borderId="76" xfId="0" applyNumberFormat="1" applyFont="1" applyBorder="1"/>
    <xf numFmtId="3" fontId="6" fillId="0" borderId="81" xfId="0" applyNumberFormat="1" applyFont="1" applyBorder="1"/>
    <xf numFmtId="4" fontId="6" fillId="0" borderId="61" xfId="0" applyNumberFormat="1" applyFont="1" applyBorder="1"/>
    <xf numFmtId="4" fontId="6" fillId="0" borderId="76" xfId="0" applyNumberFormat="1" applyFont="1" applyBorder="1"/>
    <xf numFmtId="4" fontId="6" fillId="0" borderId="59" xfId="0" applyNumberFormat="1" applyFont="1" applyBorder="1"/>
    <xf numFmtId="1" fontId="6" fillId="0" borderId="8" xfId="0" applyNumberFormat="1" applyFont="1" applyBorder="1" applyAlignment="1">
      <alignment horizontal="center" wrapText="1"/>
    </xf>
    <xf numFmtId="3" fontId="7" fillId="0" borderId="59" xfId="0" applyNumberFormat="1" applyFont="1" applyBorder="1"/>
    <xf numFmtId="4" fontId="6" fillId="0" borderId="81" xfId="0" applyNumberFormat="1" applyFont="1" applyBorder="1"/>
    <xf numFmtId="49" fontId="7" fillId="0" borderId="224" xfId="0" applyNumberFormat="1" applyFont="1" applyBorder="1" applyAlignment="1">
      <alignment wrapText="1"/>
    </xf>
    <xf numFmtId="3" fontId="9" fillId="0" borderId="26" xfId="0" applyNumberFormat="1" applyFont="1" applyBorder="1"/>
    <xf numFmtId="3" fontId="9" fillId="0" borderId="23" xfId="0" applyNumberFormat="1" applyFont="1" applyBorder="1"/>
    <xf numFmtId="3" fontId="9" fillId="0" borderId="57" xfId="0" applyNumberFormat="1" applyFont="1" applyBorder="1"/>
    <xf numFmtId="3" fontId="8" fillId="0" borderId="101" xfId="0" applyNumberFormat="1" applyFont="1" applyBorder="1"/>
    <xf numFmtId="4" fontId="8" fillId="0" borderId="0" xfId="0" applyNumberFormat="1" applyFont="1"/>
    <xf numFmtId="4" fontId="8" fillId="0" borderId="57" xfId="0" applyNumberFormat="1" applyFont="1" applyBorder="1"/>
    <xf numFmtId="4" fontId="8" fillId="0" borderId="27" xfId="0" applyNumberFormat="1" applyFont="1" applyBorder="1"/>
    <xf numFmtId="3" fontId="9" fillId="0" borderId="27" xfId="0" applyNumberFormat="1" applyFont="1" applyBorder="1"/>
    <xf numFmtId="4" fontId="8" fillId="0" borderId="101" xfId="0" applyNumberFormat="1" applyFont="1" applyBorder="1"/>
    <xf numFmtId="49" fontId="7" fillId="0" borderId="76" xfId="0" applyNumberFormat="1" applyFont="1" applyBorder="1" applyAlignment="1">
      <alignment horizontal="center"/>
    </xf>
    <xf numFmtId="3" fontId="6" fillId="0" borderId="0" xfId="0" applyNumberFormat="1" applyFont="1" applyAlignment="1">
      <alignment horizontal="center"/>
    </xf>
    <xf numFmtId="49" fontId="7" fillId="0" borderId="222" xfId="0" applyNumberFormat="1" applyFont="1" applyBorder="1" applyAlignment="1">
      <alignment horizontal="center"/>
    </xf>
    <xf numFmtId="3" fontId="6" fillId="0" borderId="221" xfId="0" applyNumberFormat="1" applyFont="1" applyBorder="1" applyAlignment="1">
      <alignment horizontal="center"/>
    </xf>
    <xf numFmtId="49" fontId="7" fillId="0" borderId="226" xfId="0" applyNumberFormat="1" applyFont="1" applyBorder="1"/>
    <xf numFmtId="0" fontId="7" fillId="0" borderId="226" xfId="0" applyFont="1" applyBorder="1" applyAlignment="1">
      <alignment wrapText="1"/>
    </xf>
    <xf numFmtId="1" fontId="7" fillId="0" borderId="221" xfId="0" applyNumberFormat="1" applyFont="1" applyBorder="1" applyAlignment="1">
      <alignment horizontal="center"/>
    </xf>
    <xf numFmtId="3" fontId="6" fillId="0" borderId="8" xfId="0" applyNumberFormat="1" applyFont="1" applyBorder="1" applyAlignment="1">
      <alignment horizontal="center"/>
    </xf>
    <xf numFmtId="49" fontId="7" fillId="0" borderId="205" xfId="0" applyNumberFormat="1" applyFont="1" applyBorder="1" applyAlignment="1">
      <alignment horizontal="center"/>
    </xf>
    <xf numFmtId="3" fontId="9" fillId="0" borderId="101" xfId="0" applyNumberFormat="1" applyFont="1" applyBorder="1"/>
    <xf numFmtId="9" fontId="8" fillId="0" borderId="83" xfId="5" applyFont="1" applyFill="1" applyBorder="1" applyAlignment="1"/>
    <xf numFmtId="0" fontId="8" fillId="0" borderId="130" xfId="0" applyFont="1" applyBorder="1" applyAlignment="1">
      <alignment horizontal="center" vertical="center"/>
    </xf>
    <xf numFmtId="49" fontId="7" fillId="0" borderId="60" xfId="0" applyNumberFormat="1" applyFont="1" applyBorder="1"/>
    <xf numFmtId="2" fontId="6" fillId="0" borderId="221" xfId="0" applyNumberFormat="1" applyFont="1" applyBorder="1" applyAlignment="1">
      <alignment horizontal="right"/>
    </xf>
    <xf numFmtId="2" fontId="6" fillId="0" borderId="222" xfId="0" applyNumberFormat="1" applyFont="1" applyBorder="1" applyAlignment="1">
      <alignment horizontal="right"/>
    </xf>
    <xf numFmtId="2" fontId="6" fillId="0" borderId="184" xfId="0" applyNumberFormat="1" applyFont="1" applyBorder="1" applyAlignment="1">
      <alignment horizontal="right"/>
    </xf>
    <xf numFmtId="0" fontId="7" fillId="0" borderId="215" xfId="0" applyFont="1" applyBorder="1"/>
    <xf numFmtId="49" fontId="7" fillId="0" borderId="233" xfId="0" applyNumberFormat="1" applyFont="1" applyBorder="1" applyAlignment="1">
      <alignment horizontal="center"/>
    </xf>
    <xf numFmtId="3" fontId="6" fillId="0" borderId="240" xfId="0" applyNumberFormat="1" applyFont="1" applyBorder="1" applyAlignment="1">
      <alignment horizontal="center"/>
    </xf>
    <xf numFmtId="0" fontId="7" fillId="0" borderId="222" xfId="0" applyFont="1" applyBorder="1" applyAlignment="1">
      <alignment horizontal="center"/>
    </xf>
    <xf numFmtId="0" fontId="7" fillId="0" borderId="205" xfId="0" applyFont="1" applyBorder="1" applyAlignment="1">
      <alignment horizontal="center"/>
    </xf>
    <xf numFmtId="3" fontId="6" fillId="0" borderId="63" xfId="0" applyNumberFormat="1" applyFont="1" applyBorder="1" applyAlignment="1">
      <alignment horizontal="center"/>
    </xf>
    <xf numFmtId="0" fontId="7" fillId="0" borderId="58" xfId="0" applyFont="1" applyBorder="1" applyAlignment="1">
      <alignment horizontal="left" vertical="center"/>
    </xf>
    <xf numFmtId="0" fontId="7" fillId="0" borderId="55" xfId="0" applyFont="1" applyBorder="1" applyAlignment="1">
      <alignment horizontal="center" vertical="center"/>
    </xf>
    <xf numFmtId="3" fontId="7" fillId="0" borderId="102" xfId="0" applyNumberFormat="1" applyFont="1" applyBorder="1"/>
    <xf numFmtId="3" fontId="7" fillId="0" borderId="56" xfId="0" applyNumberFormat="1" applyFont="1" applyBorder="1"/>
    <xf numFmtId="3" fontId="7" fillId="0" borderId="32" xfId="0" applyNumberFormat="1" applyFont="1" applyBorder="1"/>
    <xf numFmtId="3" fontId="7" fillId="0" borderId="55" xfId="0" applyNumberFormat="1" applyFont="1" applyBorder="1"/>
    <xf numFmtId="3" fontId="6" fillId="0" borderId="102" xfId="0" applyNumberFormat="1" applyFont="1" applyBorder="1"/>
    <xf numFmtId="4" fontId="6" fillId="0" borderId="46" xfId="0" applyNumberFormat="1" applyFont="1" applyBorder="1"/>
    <xf numFmtId="4" fontId="6" fillId="0" borderId="55" xfId="0" applyNumberFormat="1" applyFont="1" applyBorder="1"/>
    <xf numFmtId="2" fontId="9" fillId="0" borderId="166" xfId="0" applyNumberFormat="1" applyFont="1" applyBorder="1"/>
    <xf numFmtId="4" fontId="6" fillId="0" borderId="56" xfId="0" applyNumberFormat="1" applyFont="1" applyBorder="1"/>
    <xf numFmtId="4" fontId="6" fillId="0" borderId="45" xfId="0" applyNumberFormat="1" applyFont="1" applyBorder="1"/>
    <xf numFmtId="2" fontId="8" fillId="0" borderId="166" xfId="0" applyNumberFormat="1" applyFont="1" applyBorder="1"/>
    <xf numFmtId="4" fontId="6" fillId="0" borderId="193" xfId="0" applyNumberFormat="1" applyFont="1" applyBorder="1"/>
    <xf numFmtId="2" fontId="8" fillId="0" borderId="46" xfId="0" applyNumberFormat="1" applyFont="1" applyBorder="1"/>
    <xf numFmtId="2" fontId="8" fillId="0" borderId="47" xfId="0" applyNumberFormat="1" applyFont="1" applyBorder="1"/>
    <xf numFmtId="3" fontId="6" fillId="0" borderId="46" xfId="0" applyNumberFormat="1" applyFont="1" applyBorder="1" applyAlignment="1">
      <alignment horizontal="center" vertical="center"/>
    </xf>
    <xf numFmtId="3" fontId="7" fillId="0" borderId="45" xfId="0" applyNumberFormat="1" applyFont="1" applyBorder="1"/>
    <xf numFmtId="4" fontId="6" fillId="0" borderId="102" xfId="0" applyNumberFormat="1" applyFont="1" applyBorder="1"/>
    <xf numFmtId="4" fontId="6" fillId="0" borderId="0" xfId="0" applyNumberFormat="1" applyFont="1"/>
    <xf numFmtId="4" fontId="6" fillId="0" borderId="57" xfId="0" applyNumberFormat="1" applyFont="1" applyBorder="1"/>
    <xf numFmtId="4" fontId="6" fillId="0" borderId="26" xfId="0" applyNumberFormat="1" applyFont="1" applyBorder="1"/>
    <xf numFmtId="4" fontId="6" fillId="0" borderId="27" xfId="0" applyNumberFormat="1" applyFont="1" applyBorder="1"/>
    <xf numFmtId="4" fontId="6" fillId="0" borderId="30" xfId="0" applyNumberFormat="1" applyFont="1" applyBorder="1"/>
    <xf numFmtId="3" fontId="6" fillId="0" borderId="0" xfId="0" applyNumberFormat="1" applyFont="1" applyAlignment="1">
      <alignment horizontal="center" vertical="center"/>
    </xf>
    <xf numFmtId="4" fontId="6" fillId="0" borderId="101" xfId="0" applyNumberFormat="1" applyFont="1" applyBorder="1"/>
    <xf numFmtId="3" fontId="6" fillId="0" borderId="221" xfId="0" applyNumberFormat="1" applyFont="1" applyBorder="1" applyAlignment="1">
      <alignment horizontal="center" vertical="center"/>
    </xf>
    <xf numFmtId="3" fontId="6" fillId="0" borderId="61" xfId="0" applyNumberFormat="1" applyFont="1" applyBorder="1" applyAlignment="1">
      <alignment horizontal="center" vertical="center"/>
    </xf>
    <xf numFmtId="1" fontId="6" fillId="0" borderId="221" xfId="0" applyNumberFormat="1" applyFont="1" applyBorder="1" applyAlignment="1">
      <alignment horizontal="center" vertical="center"/>
    </xf>
    <xf numFmtId="1" fontId="6" fillId="0" borderId="223" xfId="0" applyNumberFormat="1" applyFont="1" applyBorder="1" applyAlignment="1">
      <alignment horizontal="center" vertical="center"/>
    </xf>
    <xf numFmtId="2" fontId="8" fillId="0" borderId="137" xfId="0" applyNumberFormat="1" applyFont="1" applyBorder="1"/>
    <xf numFmtId="4" fontId="8" fillId="0" borderId="100" xfId="0" applyNumberFormat="1" applyFont="1" applyBorder="1"/>
    <xf numFmtId="4" fontId="8" fillId="0" borderId="85" xfId="0" applyNumberFormat="1" applyFont="1" applyBorder="1"/>
    <xf numFmtId="2" fontId="8" fillId="0" borderId="134" xfId="0" applyNumberFormat="1" applyFont="1" applyBorder="1"/>
    <xf numFmtId="4" fontId="8" fillId="0" borderId="129" xfId="0" applyNumberFormat="1" applyFont="1" applyBorder="1"/>
    <xf numFmtId="4" fontId="8" fillId="0" borderId="78" xfId="0" applyNumberFormat="1" applyFont="1" applyBorder="1"/>
    <xf numFmtId="0" fontId="7" fillId="0" borderId="51" xfId="0" applyFont="1" applyBorder="1" applyAlignment="1">
      <alignment horizontal="left" vertical="center"/>
    </xf>
    <xf numFmtId="2" fontId="9" fillId="0" borderId="107" xfId="337" applyNumberFormat="1" applyFont="1" applyBorder="1" applyAlignment="1">
      <alignment vertical="center"/>
    </xf>
    <xf numFmtId="2" fontId="7" fillId="0" borderId="108" xfId="337" applyNumberFormat="1" applyBorder="1" applyAlignment="1">
      <alignment vertical="center"/>
    </xf>
    <xf numFmtId="2" fontId="9" fillId="0" borderId="61" xfId="337" applyNumberFormat="1" applyFont="1" applyBorder="1" applyAlignment="1">
      <alignment vertical="center"/>
    </xf>
    <xf numFmtId="2" fontId="7" fillId="0" borderId="76" xfId="337" applyNumberFormat="1" applyBorder="1" applyAlignment="1">
      <alignment vertical="center"/>
    </xf>
    <xf numFmtId="2" fontId="9" fillId="0" borderId="62" xfId="337" applyNumberFormat="1" applyFont="1" applyBorder="1" applyAlignment="1">
      <alignment vertical="center"/>
    </xf>
    <xf numFmtId="3" fontId="7" fillId="0" borderId="61" xfId="0" applyNumberFormat="1" applyFont="1" applyBorder="1" applyAlignment="1">
      <alignment horizontal="center"/>
    </xf>
    <xf numFmtId="0" fontId="7" fillId="0" borderId="10" xfId="337" applyBorder="1" applyAlignment="1">
      <alignment horizontal="left"/>
    </xf>
    <xf numFmtId="0" fontId="7" fillId="0" borderId="15" xfId="337" applyBorder="1" applyAlignment="1">
      <alignment horizontal="center"/>
    </xf>
    <xf numFmtId="3" fontId="7" fillId="0" borderId="82" xfId="0" applyNumberFormat="1" applyFont="1" applyBorder="1"/>
    <xf numFmtId="3" fontId="7" fillId="0" borderId="10" xfId="0" applyNumberFormat="1" applyFont="1" applyBorder="1"/>
    <xf numFmtId="3" fontId="7" fillId="0" borderId="15" xfId="0" applyNumberFormat="1" applyFont="1" applyBorder="1"/>
    <xf numFmtId="3" fontId="6" fillId="0" borderId="82" xfId="0" applyNumberFormat="1" applyFont="1" applyBorder="1"/>
    <xf numFmtId="2" fontId="8" fillId="0" borderId="8" xfId="0" applyNumberFormat="1" applyFont="1" applyBorder="1" applyAlignment="1">
      <alignment horizontal="right"/>
    </xf>
    <xf numFmtId="2" fontId="8" fillId="0" borderId="20" xfId="0" applyNumberFormat="1" applyFont="1" applyBorder="1" applyAlignment="1">
      <alignment horizontal="right"/>
    </xf>
    <xf numFmtId="3" fontId="7" fillId="0" borderId="8" xfId="0" applyNumberFormat="1" applyFont="1" applyBorder="1" applyAlignment="1">
      <alignment horizontal="center"/>
    </xf>
    <xf numFmtId="3" fontId="7" fillId="0" borderId="37" xfId="0" applyNumberFormat="1" applyFont="1" applyBorder="1"/>
    <xf numFmtId="4" fontId="7" fillId="0" borderId="82" xfId="0" applyNumberFormat="1" applyFont="1" applyBorder="1"/>
    <xf numFmtId="0" fontId="7" fillId="0" borderId="222" xfId="337" applyBorder="1" applyAlignment="1">
      <alignment horizontal="center"/>
    </xf>
    <xf numFmtId="4" fontId="7" fillId="0" borderId="181" xfId="0" applyNumberFormat="1" applyFont="1" applyBorder="1"/>
    <xf numFmtId="0" fontId="7" fillId="0" borderId="226" xfId="337" applyBorder="1" applyAlignment="1">
      <alignment horizontal="left"/>
    </xf>
    <xf numFmtId="0" fontId="7" fillId="0" borderId="205" xfId="337" applyBorder="1" applyAlignment="1">
      <alignment horizontal="center"/>
    </xf>
    <xf numFmtId="1" fontId="7" fillId="0" borderId="223" xfId="0" applyNumberFormat="1" applyFont="1" applyBorder="1" applyAlignment="1">
      <alignment horizontal="center"/>
    </xf>
    <xf numFmtId="3" fontId="8" fillId="0" borderId="49" xfId="0" applyNumberFormat="1" applyFont="1" applyBorder="1" applyAlignment="1">
      <alignment horizontal="center"/>
    </xf>
    <xf numFmtId="0" fontId="7" fillId="0" borderId="215" xfId="337" applyBorder="1" applyAlignment="1">
      <alignment horizontal="left"/>
    </xf>
    <xf numFmtId="3" fontId="9" fillId="0" borderId="86" xfId="0" applyNumberFormat="1" applyFont="1" applyBorder="1"/>
    <xf numFmtId="3" fontId="9" fillId="0" borderId="84" xfId="0" applyNumberFormat="1" applyFont="1" applyBorder="1"/>
    <xf numFmtId="3" fontId="9" fillId="0" borderId="85" xfId="0" applyNumberFormat="1" applyFont="1" applyBorder="1"/>
    <xf numFmtId="2" fontId="9" fillId="0" borderId="69" xfId="337" applyNumberFormat="1" applyFont="1" applyBorder="1"/>
    <xf numFmtId="2" fontId="9" fillId="0" borderId="75" xfId="337" applyNumberFormat="1" applyFont="1" applyBorder="1"/>
    <xf numFmtId="2" fontId="9" fillId="0" borderId="49" xfId="337" applyNumberFormat="1" applyFont="1" applyBorder="1"/>
    <xf numFmtId="2" fontId="9" fillId="0" borderId="50" xfId="337" applyNumberFormat="1" applyFont="1" applyBorder="1"/>
    <xf numFmtId="3" fontId="9" fillId="0" borderId="100" xfId="0" applyNumberFormat="1" applyFont="1" applyBorder="1"/>
    <xf numFmtId="1" fontId="6" fillId="0" borderId="81" xfId="0" applyNumberFormat="1" applyFont="1" applyBorder="1" applyAlignment="1">
      <alignment horizontal="center"/>
    </xf>
    <xf numFmtId="0" fontId="30" fillId="0" borderId="0" xfId="0" applyFont="1"/>
    <xf numFmtId="0" fontId="7" fillId="0" borderId="233" xfId="0" applyFont="1" applyBorder="1" applyAlignment="1">
      <alignment horizontal="center"/>
    </xf>
    <xf numFmtId="1" fontId="6" fillId="0" borderId="185" xfId="0" applyNumberFormat="1" applyFont="1" applyBorder="1" applyAlignment="1">
      <alignment horizontal="center"/>
    </xf>
    <xf numFmtId="1" fontId="6" fillId="0" borderId="181" xfId="0" applyNumberFormat="1" applyFont="1" applyBorder="1" applyAlignment="1">
      <alignment horizontal="center"/>
    </xf>
    <xf numFmtId="0" fontId="7" fillId="0" borderId="4" xfId="0" applyFont="1" applyBorder="1"/>
    <xf numFmtId="1" fontId="6" fillId="0" borderId="63" xfId="0" applyNumberFormat="1" applyFont="1" applyBorder="1" applyAlignment="1">
      <alignment horizontal="center"/>
    </xf>
    <xf numFmtId="0" fontId="8" fillId="0" borderId="83" xfId="0" applyFont="1" applyBorder="1" applyAlignment="1">
      <alignment horizontal="center"/>
    </xf>
    <xf numFmtId="4" fontId="9" fillId="0" borderId="67" xfId="0" applyNumberFormat="1" applyFont="1" applyBorder="1" applyAlignment="1">
      <alignment horizontal="right"/>
    </xf>
    <xf numFmtId="4" fontId="9" fillId="0" borderId="50" xfId="0" applyNumberFormat="1" applyFont="1" applyBorder="1" applyAlignment="1">
      <alignment horizontal="right"/>
    </xf>
    <xf numFmtId="4" fontId="9" fillId="0" borderId="69" xfId="0" applyNumberFormat="1" applyFont="1" applyBorder="1" applyAlignment="1">
      <alignment horizontal="right"/>
    </xf>
    <xf numFmtId="4" fontId="9" fillId="0" borderId="64" xfId="0" applyNumberFormat="1" applyFont="1" applyBorder="1" applyAlignment="1">
      <alignment horizontal="right"/>
    </xf>
    <xf numFmtId="4" fontId="9" fillId="0" borderId="83" xfId="0" applyNumberFormat="1" applyFont="1" applyBorder="1" applyAlignment="1">
      <alignment horizontal="right"/>
    </xf>
    <xf numFmtId="4" fontId="9" fillId="0" borderId="80" xfId="0" applyNumberFormat="1" applyFont="1" applyBorder="1" applyAlignment="1">
      <alignment horizontal="right"/>
    </xf>
    <xf numFmtId="4" fontId="9" fillId="0" borderId="131" xfId="0" applyNumberFormat="1" applyFont="1" applyBorder="1" applyAlignment="1">
      <alignment horizontal="right"/>
    </xf>
    <xf numFmtId="4" fontId="9" fillId="0" borderId="135" xfId="0" applyNumberFormat="1" applyFont="1" applyBorder="1" applyAlignment="1">
      <alignment horizontal="right"/>
    </xf>
    <xf numFmtId="4" fontId="9" fillId="0" borderId="72" xfId="0" applyNumberFormat="1" applyFont="1" applyBorder="1" applyAlignment="1">
      <alignment horizontal="right"/>
    </xf>
    <xf numFmtId="4" fontId="9" fillId="0" borderId="142" xfId="0" applyNumberFormat="1" applyFont="1" applyBorder="1" applyAlignment="1">
      <alignment horizontal="right"/>
    </xf>
    <xf numFmtId="3" fontId="31" fillId="0" borderId="0" xfId="0" applyNumberFormat="1" applyFont="1"/>
    <xf numFmtId="166" fontId="6" fillId="0" borderId="0" xfId="0" applyNumberFormat="1" applyFont="1"/>
    <xf numFmtId="0" fontId="7" fillId="0" borderId="1" xfId="0" applyFont="1" applyBorder="1" applyAlignment="1">
      <alignment horizontal="left"/>
    </xf>
    <xf numFmtId="4" fontId="6" fillId="0" borderId="8" xfId="0" applyNumberFormat="1" applyFont="1" applyBorder="1"/>
    <xf numFmtId="4" fontId="6" fillId="0" borderId="15" xfId="0" applyNumberFormat="1" applyFont="1" applyBorder="1"/>
    <xf numFmtId="4" fontId="6" fillId="0" borderId="37" xfId="0" applyNumberFormat="1" applyFont="1" applyBorder="1"/>
    <xf numFmtId="3" fontId="6" fillId="0" borderId="8" xfId="0" applyNumberFormat="1" applyFont="1" applyBorder="1" applyAlignment="1">
      <alignment horizontal="center" vertical="center" wrapText="1"/>
    </xf>
    <xf numFmtId="4" fontId="6" fillId="0" borderId="82" xfId="0" applyNumberFormat="1" applyFont="1" applyBorder="1"/>
    <xf numFmtId="2" fontId="8" fillId="0" borderId="240" xfId="0" applyNumberFormat="1" applyFont="1" applyBorder="1"/>
    <xf numFmtId="3" fontId="6" fillId="0" borderId="240" xfId="0" applyNumberFormat="1" applyFont="1" applyBorder="1" applyAlignment="1">
      <alignment horizontal="center" vertical="center" wrapText="1"/>
    </xf>
    <xf numFmtId="49" fontId="7" fillId="0" borderId="10" xfId="0" applyNumberFormat="1" applyFont="1" applyBorder="1" applyAlignment="1">
      <alignment wrapText="1"/>
    </xf>
    <xf numFmtId="49" fontId="7" fillId="0" borderId="15" xfId="0" applyNumberFormat="1" applyFont="1" applyBorder="1" applyAlignment="1">
      <alignment horizontal="center" wrapText="1"/>
    </xf>
    <xf numFmtId="3" fontId="6" fillId="0" borderId="46" xfId="0" applyNumberFormat="1" applyFont="1" applyBorder="1" applyAlignment="1">
      <alignment horizontal="center"/>
    </xf>
    <xf numFmtId="1" fontId="6" fillId="0" borderId="223" xfId="0" applyNumberFormat="1" applyFont="1" applyBorder="1" applyAlignment="1">
      <alignment horizontal="center"/>
    </xf>
    <xf numFmtId="1" fontId="9" fillId="0" borderId="213" xfId="0" applyNumberFormat="1" applyFont="1" applyBorder="1" applyAlignment="1">
      <alignment horizontal="center" vertical="center"/>
    </xf>
    <xf numFmtId="1" fontId="9" fillId="0" borderId="195" xfId="0" applyNumberFormat="1" applyFont="1" applyBorder="1" applyAlignment="1">
      <alignment horizontal="center" vertical="center"/>
    </xf>
    <xf numFmtId="1" fontId="9" fillId="0" borderId="214" xfId="0" applyNumberFormat="1" applyFont="1" applyBorder="1" applyAlignment="1">
      <alignment horizontal="center" vertical="center"/>
    </xf>
    <xf numFmtId="1" fontId="9" fillId="0" borderId="212" xfId="0" applyNumberFormat="1" applyFont="1" applyBorder="1" applyAlignment="1">
      <alignment horizontal="center" vertical="center"/>
    </xf>
    <xf numFmtId="1" fontId="9" fillId="0" borderId="49" xfId="0" applyNumberFormat="1" applyFont="1" applyBorder="1" applyAlignment="1">
      <alignment horizontal="center" vertical="center"/>
    </xf>
    <xf numFmtId="0" fontId="7" fillId="0" borderId="1" xfId="0" applyFont="1" applyBorder="1" applyAlignment="1">
      <alignment wrapText="1"/>
    </xf>
    <xf numFmtId="0" fontId="7" fillId="0" borderId="2" xfId="0" applyFont="1" applyBorder="1" applyAlignment="1">
      <alignment wrapText="1"/>
    </xf>
    <xf numFmtId="0" fontId="7" fillId="0" borderId="10" xfId="0" applyFont="1" applyBorder="1" applyAlignment="1">
      <alignment wrapText="1"/>
    </xf>
    <xf numFmtId="0" fontId="7" fillId="0" borderId="15" xfId="0" applyFont="1" applyBorder="1" applyAlignment="1">
      <alignment wrapText="1"/>
    </xf>
    <xf numFmtId="3" fontId="7" fillId="0" borderId="8" xfId="0" applyNumberFormat="1" applyFont="1" applyBorder="1"/>
    <xf numFmtId="0" fontId="7" fillId="0" borderId="20" xfId="0" applyFont="1" applyBorder="1" applyAlignment="1">
      <alignment wrapText="1"/>
    </xf>
    <xf numFmtId="0" fontId="7" fillId="0" borderId="215" xfId="0" applyFont="1" applyBorder="1" applyAlignment="1">
      <alignment wrapText="1"/>
    </xf>
    <xf numFmtId="0" fontId="7" fillId="0" borderId="217" xfId="0" applyFont="1" applyBorder="1" applyAlignment="1">
      <alignment wrapText="1"/>
    </xf>
    <xf numFmtId="0" fontId="7" fillId="0" borderId="222" xfId="0" applyFont="1" applyBorder="1" applyAlignment="1">
      <alignment wrapText="1"/>
    </xf>
    <xf numFmtId="0" fontId="7" fillId="0" borderId="218" xfId="0" applyFont="1" applyBorder="1" applyAlignment="1">
      <alignment wrapText="1"/>
    </xf>
    <xf numFmtId="0" fontId="7" fillId="0" borderId="4" xfId="0" applyFont="1" applyBorder="1" applyAlignment="1">
      <alignment horizontal="right" wrapText="1"/>
    </xf>
    <xf numFmtId="0" fontId="7" fillId="0" borderId="201" xfId="0" applyFont="1" applyBorder="1" applyAlignment="1">
      <alignment wrapText="1"/>
    </xf>
    <xf numFmtId="0" fontId="7" fillId="0" borderId="224" xfId="0" applyFont="1" applyBorder="1" applyAlignment="1">
      <alignment wrapText="1"/>
    </xf>
    <xf numFmtId="0" fontId="7" fillId="0" borderId="205" xfId="0" applyFont="1" applyBorder="1" applyAlignment="1">
      <alignment wrapText="1"/>
    </xf>
    <xf numFmtId="164" fontId="7" fillId="0" borderId="231" xfId="0" applyNumberFormat="1" applyFont="1" applyBorder="1"/>
    <xf numFmtId="3" fontId="7" fillId="0" borderId="240" xfId="0" applyNumberFormat="1" applyFont="1" applyBorder="1"/>
    <xf numFmtId="0" fontId="7" fillId="0" borderId="220" xfId="0" applyFont="1" applyBorder="1" applyAlignment="1">
      <alignment wrapText="1"/>
    </xf>
    <xf numFmtId="164" fontId="8" fillId="0" borderId="26" xfId="0" applyNumberFormat="1" applyFont="1" applyBorder="1"/>
    <xf numFmtId="164" fontId="8" fillId="0" borderId="23" xfId="0" applyNumberFormat="1" applyFont="1" applyBorder="1"/>
    <xf numFmtId="3" fontId="9" fillId="0" borderId="6" xfId="0" applyNumberFormat="1" applyFont="1" applyBorder="1"/>
    <xf numFmtId="3" fontId="9" fillId="0" borderId="22" xfId="0" applyNumberFormat="1" applyFont="1" applyBorder="1"/>
    <xf numFmtId="3" fontId="9" fillId="0" borderId="9" xfId="0" applyNumberFormat="1" applyFont="1" applyBorder="1"/>
    <xf numFmtId="3" fontId="9" fillId="0" borderId="140" xfId="0" applyNumberFormat="1" applyFont="1" applyBorder="1"/>
    <xf numFmtId="0" fontId="7" fillId="0" borderId="38" xfId="0" applyFont="1" applyBorder="1" applyAlignment="1">
      <alignment wrapText="1"/>
    </xf>
    <xf numFmtId="0" fontId="7" fillId="0" borderId="51" xfId="0" applyFont="1" applyBorder="1" applyAlignment="1">
      <alignment horizontal="right"/>
    </xf>
    <xf numFmtId="0" fontId="7" fillId="0" borderId="53" xfId="0" applyFont="1" applyBorder="1" applyAlignment="1">
      <alignment horizontal="left" wrapText="1"/>
    </xf>
    <xf numFmtId="0" fontId="7" fillId="0" borderId="62" xfId="0" applyFont="1" applyBorder="1" applyAlignment="1">
      <alignment wrapText="1"/>
    </xf>
    <xf numFmtId="3" fontId="7" fillId="0" borderId="76" xfId="27807" applyNumberFormat="1" applyFont="1" applyBorder="1" applyAlignment="1"/>
    <xf numFmtId="3" fontId="7" fillId="0" borderId="52" xfId="27807" applyNumberFormat="1" applyFont="1" applyBorder="1" applyAlignment="1"/>
    <xf numFmtId="3" fontId="7" fillId="0" borderId="61" xfId="27807" applyNumberFormat="1" applyFont="1" applyBorder="1" applyAlignment="1"/>
    <xf numFmtId="0" fontId="7" fillId="0" borderId="215" xfId="0" applyFont="1" applyBorder="1" applyAlignment="1">
      <alignment horizontal="right"/>
    </xf>
    <xf numFmtId="0" fontId="6" fillId="0" borderId="217" xfId="0" applyFont="1" applyBorder="1"/>
    <xf numFmtId="0" fontId="7" fillId="0" borderId="216" xfId="0" applyFont="1" applyBorder="1" applyAlignment="1">
      <alignment horizontal="left" wrapText="1"/>
    </xf>
    <xf numFmtId="164" fontId="6" fillId="0" borderId="217" xfId="0" applyNumberFormat="1" applyFont="1" applyBorder="1"/>
    <xf numFmtId="164" fontId="6" fillId="0" borderId="221" xfId="0" applyNumberFormat="1" applyFont="1" applyBorder="1"/>
    <xf numFmtId="3" fontId="7" fillId="0" borderId="222" xfId="27807" applyNumberFormat="1" applyFont="1" applyBorder="1" applyAlignment="1"/>
    <xf numFmtId="3" fontId="7" fillId="0" borderId="217" xfId="27807" applyNumberFormat="1" applyFont="1" applyBorder="1" applyAlignment="1"/>
    <xf numFmtId="3" fontId="7" fillId="0" borderId="8" xfId="27807" applyNumberFormat="1" applyFont="1" applyBorder="1" applyAlignment="1"/>
    <xf numFmtId="0" fontId="7" fillId="0" borderId="219" xfId="0" applyFont="1" applyBorder="1" applyAlignment="1">
      <alignment horizontal="right"/>
    </xf>
    <xf numFmtId="0" fontId="6" fillId="0" borderId="232" xfId="0" applyFont="1" applyBorder="1"/>
    <xf numFmtId="0" fontId="7" fillId="0" borderId="231" xfId="0" applyFont="1" applyBorder="1" applyAlignment="1">
      <alignment horizontal="left" wrapText="1"/>
    </xf>
    <xf numFmtId="0" fontId="7" fillId="0" borderId="227" xfId="0" applyFont="1" applyBorder="1" applyAlignment="1">
      <alignment wrapText="1"/>
    </xf>
    <xf numFmtId="3" fontId="7" fillId="0" borderId="233" xfId="27807" applyNumberFormat="1" applyFont="1" applyBorder="1" applyAlignment="1"/>
    <xf numFmtId="3" fontId="7" fillId="0" borderId="232" xfId="27807" applyNumberFormat="1" applyFont="1" applyBorder="1" applyAlignment="1"/>
    <xf numFmtId="3" fontId="7" fillId="0" borderId="240" xfId="27807" applyNumberFormat="1" applyFont="1" applyBorder="1" applyAlignment="1"/>
    <xf numFmtId="0" fontId="7" fillId="0" borderId="185" xfId="0" applyFont="1" applyBorder="1" applyAlignment="1">
      <alignment wrapText="1"/>
    </xf>
    <xf numFmtId="0" fontId="7" fillId="0" borderId="4" xfId="0" applyFont="1" applyBorder="1" applyAlignment="1">
      <alignment horizontal="right"/>
    </xf>
    <xf numFmtId="0" fontId="6" fillId="0" borderId="201" xfId="0" applyFont="1" applyBorder="1" applyAlignment="1">
      <alignment horizontal="left"/>
    </xf>
    <xf numFmtId="0" fontId="7" fillId="0" borderId="202" xfId="0" applyFont="1" applyBorder="1" applyAlignment="1">
      <alignment horizontal="left" wrapText="1"/>
    </xf>
    <xf numFmtId="164" fontId="6" fillId="0" borderId="201" xfId="0" applyNumberFormat="1" applyFont="1" applyBorder="1"/>
    <xf numFmtId="164" fontId="6" fillId="0" borderId="223" xfId="0" applyNumberFormat="1" applyFont="1" applyBorder="1"/>
    <xf numFmtId="3" fontId="7" fillId="0" borderId="205" xfId="27807" applyNumberFormat="1" applyFont="1" applyBorder="1" applyAlignment="1"/>
    <xf numFmtId="3" fontId="7" fillId="0" borderId="201" xfId="27807" applyNumberFormat="1" applyFont="1" applyBorder="1" applyAlignment="1"/>
    <xf numFmtId="3" fontId="7" fillId="0" borderId="223" xfId="27807" applyNumberFormat="1" applyFont="1" applyBorder="1" applyAlignment="1"/>
    <xf numFmtId="164" fontId="8" fillId="0" borderId="65" xfId="0" applyNumberFormat="1" applyFont="1" applyBorder="1"/>
    <xf numFmtId="164" fontId="8" fillId="0" borderId="49" xfId="0" applyNumberFormat="1" applyFont="1" applyBorder="1"/>
    <xf numFmtId="3" fontId="9" fillId="0" borderId="49" xfId="0" applyNumberFormat="1" applyFont="1" applyBorder="1"/>
    <xf numFmtId="0" fontId="7" fillId="0" borderId="83" xfId="0" applyFont="1" applyBorder="1" applyAlignment="1">
      <alignment wrapText="1"/>
    </xf>
    <xf numFmtId="0" fontId="7" fillId="0" borderId="51" xfId="0" applyFont="1" applyBorder="1" applyAlignment="1">
      <alignment wrapText="1"/>
    </xf>
    <xf numFmtId="0" fontId="7" fillId="0" borderId="52" xfId="0" applyFont="1" applyBorder="1" applyAlignment="1">
      <alignment wrapText="1"/>
    </xf>
    <xf numFmtId="0" fontId="7" fillId="0" borderId="60" xfId="0" applyFont="1" applyBorder="1" applyAlignment="1">
      <alignment wrapText="1"/>
    </xf>
    <xf numFmtId="0" fontId="7" fillId="0" borderId="53" xfId="0" applyFont="1" applyBorder="1" applyAlignment="1">
      <alignment wrapText="1"/>
    </xf>
    <xf numFmtId="3" fontId="7" fillId="0" borderId="61" xfId="0" applyNumberFormat="1" applyFont="1" applyBorder="1"/>
    <xf numFmtId="0" fontId="7" fillId="0" borderId="4" xfId="0" applyFont="1" applyBorder="1" applyAlignment="1">
      <alignment wrapText="1"/>
    </xf>
    <xf numFmtId="0" fontId="7" fillId="0" borderId="202" xfId="0" applyFont="1" applyBorder="1" applyAlignment="1">
      <alignment wrapText="1"/>
    </xf>
    <xf numFmtId="3" fontId="7" fillId="0" borderId="223" xfId="0" applyNumberFormat="1" applyFont="1" applyBorder="1"/>
    <xf numFmtId="164" fontId="9" fillId="0" borderId="66" xfId="0" applyNumberFormat="1" applyFont="1" applyBorder="1"/>
    <xf numFmtId="3" fontId="9" fillId="0" borderId="130" xfId="0" applyNumberFormat="1" applyFont="1" applyBorder="1"/>
    <xf numFmtId="0" fontId="7" fillId="0" borderId="50" xfId="0" applyFont="1" applyBorder="1" applyAlignment="1">
      <alignment wrapText="1"/>
    </xf>
    <xf numFmtId="0" fontId="7" fillId="0" borderId="52" xfId="0" applyFont="1" applyBorder="1" applyAlignment="1">
      <alignment horizontal="left" wrapText="1"/>
    </xf>
    <xf numFmtId="0" fontId="7" fillId="0" borderId="76" xfId="0" applyFont="1" applyBorder="1" applyAlignment="1">
      <alignment horizontal="left" wrapText="1"/>
    </xf>
    <xf numFmtId="164" fontId="6" fillId="0" borderId="61" xfId="0" applyNumberFormat="1" applyFont="1" applyBorder="1"/>
    <xf numFmtId="0" fontId="7" fillId="0" borderId="201" xfId="0" applyFont="1" applyBorder="1" applyAlignment="1">
      <alignment horizontal="left" wrapText="1"/>
    </xf>
    <xf numFmtId="0" fontId="7" fillId="0" borderId="205" xfId="0" applyFont="1" applyBorder="1" applyAlignment="1">
      <alignment horizontal="left" wrapText="1"/>
    </xf>
    <xf numFmtId="164" fontId="8" fillId="0" borderId="67" xfId="0" applyNumberFormat="1" applyFont="1" applyBorder="1"/>
    <xf numFmtId="0" fontId="7" fillId="0" borderId="1" xfId="0" applyFont="1" applyBorder="1" applyAlignment="1">
      <alignment horizontal="right" wrapText="1"/>
    </xf>
    <xf numFmtId="0" fontId="7" fillId="0" borderId="219" xfId="0" applyFont="1" applyBorder="1" applyAlignment="1">
      <alignment wrapText="1"/>
    </xf>
    <xf numFmtId="0" fontId="7" fillId="0" borderId="232" xfId="0" applyFont="1" applyBorder="1" applyAlignment="1">
      <alignment wrapText="1"/>
    </xf>
    <xf numFmtId="0" fontId="7" fillId="0" borderId="233" xfId="0" applyFont="1" applyBorder="1" applyAlignment="1">
      <alignment wrapText="1"/>
    </xf>
    <xf numFmtId="164" fontId="7" fillId="0" borderId="219" xfId="0" applyNumberFormat="1" applyFont="1" applyBorder="1"/>
    <xf numFmtId="164" fontId="7" fillId="0" borderId="232" xfId="0" applyNumberFormat="1" applyFont="1" applyBorder="1"/>
    <xf numFmtId="164" fontId="7" fillId="0" borderId="240" xfId="0" applyNumberFormat="1" applyFont="1" applyBorder="1"/>
    <xf numFmtId="3" fontId="9" fillId="0" borderId="129" xfId="0" applyNumberFormat="1" applyFont="1" applyBorder="1"/>
    <xf numFmtId="0" fontId="7" fillId="0" borderId="79" xfId="0" applyFont="1" applyBorder="1" applyAlignment="1">
      <alignment wrapText="1"/>
    </xf>
    <xf numFmtId="0" fontId="7" fillId="0" borderId="51" xfId="0" applyFont="1" applyBorder="1" applyAlignment="1">
      <alignment horizontal="right" wrapText="1"/>
    </xf>
    <xf numFmtId="0" fontId="7" fillId="0" borderId="81" xfId="0" applyFont="1" applyBorder="1" applyAlignment="1">
      <alignment horizontal="left"/>
    </xf>
    <xf numFmtId="0" fontId="7" fillId="0" borderId="215" xfId="0" applyFont="1" applyBorder="1" applyAlignment="1">
      <alignment horizontal="right" wrapText="1"/>
    </xf>
    <xf numFmtId="0" fontId="7" fillId="0" borderId="222" xfId="0" applyFont="1" applyBorder="1" applyAlignment="1">
      <alignment horizontal="left" wrapText="1"/>
    </xf>
    <xf numFmtId="0" fontId="7" fillId="0" borderId="181" xfId="0" applyFont="1" applyBorder="1" applyAlignment="1">
      <alignment horizontal="left"/>
    </xf>
    <xf numFmtId="164" fontId="7" fillId="0" borderId="15" xfId="0" applyNumberFormat="1" applyFont="1" applyBorder="1"/>
    <xf numFmtId="3" fontId="7" fillId="0" borderId="20" xfId="0" applyNumberFormat="1" applyFont="1" applyBorder="1"/>
    <xf numFmtId="164" fontId="7" fillId="0" borderId="222" xfId="0" applyNumberFormat="1" applyFont="1" applyBorder="1"/>
    <xf numFmtId="164" fontId="7" fillId="0" borderId="205" xfId="0" applyNumberFormat="1" applyFont="1" applyBorder="1"/>
    <xf numFmtId="3" fontId="7" fillId="0" borderId="4" xfId="0" applyNumberFormat="1" applyFont="1" applyBorder="1"/>
    <xf numFmtId="3" fontId="7" fillId="0" borderId="220" xfId="0" applyNumberFormat="1" applyFont="1" applyBorder="1"/>
    <xf numFmtId="164" fontId="8" fillId="0" borderId="68" xfId="0" applyNumberFormat="1" applyFont="1" applyBorder="1"/>
    <xf numFmtId="3" fontId="9" fillId="0" borderId="64" xfId="0" applyNumberFormat="1" applyFont="1" applyBorder="1"/>
    <xf numFmtId="3" fontId="9" fillId="0" borderId="50" xfId="0" applyNumberFormat="1" applyFont="1" applyBorder="1"/>
    <xf numFmtId="0" fontId="7" fillId="0" borderId="76" xfId="0" applyFont="1" applyBorder="1" applyAlignment="1">
      <alignment wrapText="1"/>
    </xf>
    <xf numFmtId="164" fontId="8" fillId="0" borderId="0" xfId="0" applyNumberFormat="1" applyFont="1"/>
    <xf numFmtId="164" fontId="8" fillId="0" borderId="57" xfId="0" applyNumberFormat="1" applyFont="1" applyBorder="1"/>
    <xf numFmtId="3" fontId="9" fillId="0" borderId="77" xfId="0" applyNumberFormat="1" applyFont="1" applyBorder="1"/>
    <xf numFmtId="164" fontId="7" fillId="0" borderId="76" xfId="0" applyNumberFormat="1" applyFont="1" applyBorder="1"/>
    <xf numFmtId="3" fontId="7" fillId="0" borderId="62" xfId="27807" applyNumberFormat="1" applyFont="1" applyBorder="1" applyAlignment="1"/>
    <xf numFmtId="0" fontId="7" fillId="0" borderId="35" xfId="0" applyFont="1" applyBorder="1" applyAlignment="1">
      <alignment horizontal="right"/>
    </xf>
    <xf numFmtId="0" fontId="9" fillId="0" borderId="16" xfId="0" applyFont="1" applyBorder="1" applyAlignment="1">
      <alignment horizontal="center" wrapText="1"/>
    </xf>
    <xf numFmtId="0" fontId="7" fillId="0" borderId="98" xfId="0" applyFont="1" applyBorder="1" applyAlignment="1">
      <alignment horizontal="left"/>
    </xf>
    <xf numFmtId="164" fontId="6" fillId="0" borderId="31" xfId="0" applyNumberFormat="1" applyFont="1" applyBorder="1"/>
    <xf numFmtId="164" fontId="6" fillId="0" borderId="16" xfId="0" applyNumberFormat="1" applyFont="1" applyBorder="1"/>
    <xf numFmtId="3" fontId="7" fillId="0" borderId="16" xfId="27807" applyNumberFormat="1" applyFont="1" applyBorder="1" applyAlignment="1"/>
    <xf numFmtId="3" fontId="7" fillId="0" borderId="31" xfId="27807" applyNumberFormat="1" applyFont="1" applyBorder="1" applyAlignment="1"/>
    <xf numFmtId="3" fontId="7" fillId="0" borderId="42" xfId="27807" applyNumberFormat="1" applyFont="1" applyBorder="1" applyAlignment="1"/>
    <xf numFmtId="3" fontId="9" fillId="0" borderId="21" xfId="0" applyNumberFormat="1" applyFont="1" applyBorder="1"/>
    <xf numFmtId="3" fontId="9" fillId="0" borderId="18" xfId="0" applyNumberFormat="1" applyFont="1" applyBorder="1"/>
    <xf numFmtId="0" fontId="7" fillId="0" borderId="140" xfId="0" applyFont="1" applyBorder="1" applyAlignment="1">
      <alignment wrapText="1"/>
    </xf>
    <xf numFmtId="0" fontId="7" fillId="0" borderId="52" xfId="0" applyFont="1" applyBorder="1" applyAlignment="1">
      <alignment horizontal="left"/>
    </xf>
    <xf numFmtId="164" fontId="6" fillId="0" borderId="76" xfId="0" applyNumberFormat="1" applyFont="1" applyBorder="1"/>
    <xf numFmtId="0" fontId="7" fillId="0" borderId="217" xfId="0" applyFont="1" applyBorder="1" applyAlignment="1">
      <alignment horizontal="left"/>
    </xf>
    <xf numFmtId="0" fontId="7" fillId="0" borderId="222" xfId="0" applyFont="1" applyBorder="1" applyAlignment="1">
      <alignment horizontal="left"/>
    </xf>
    <xf numFmtId="164" fontId="6" fillId="0" borderId="222" xfId="0" applyNumberFormat="1" applyFont="1" applyBorder="1"/>
    <xf numFmtId="3" fontId="7" fillId="0" borderId="218" xfId="27807" applyNumberFormat="1" applyFont="1" applyBorder="1" applyAlignment="1"/>
    <xf numFmtId="0" fontId="6" fillId="0" borderId="201" xfId="0" applyFont="1" applyBorder="1"/>
    <xf numFmtId="0" fontId="7" fillId="0" borderId="63" xfId="0" applyFont="1" applyBorder="1" applyAlignment="1">
      <alignment horizontal="left"/>
    </xf>
    <xf numFmtId="164" fontId="6" fillId="0" borderId="205" xfId="0" applyNumberFormat="1" applyFont="1" applyBorder="1"/>
    <xf numFmtId="3" fontId="7" fillId="0" borderId="220" xfId="27807" applyNumberFormat="1" applyFont="1" applyBorder="1" applyAlignment="1"/>
    <xf numFmtId="164" fontId="7" fillId="0" borderId="10" xfId="0" applyNumberFormat="1" applyFont="1" applyBorder="1"/>
    <xf numFmtId="164" fontId="7" fillId="0" borderId="226" xfId="0" applyNumberFormat="1" applyFont="1" applyBorder="1"/>
    <xf numFmtId="3" fontId="7" fillId="0" borderId="218" xfId="0" applyNumberFormat="1" applyFont="1" applyBorder="1"/>
    <xf numFmtId="0" fontId="9" fillId="0" borderId="61" xfId="0" applyFont="1" applyBorder="1" applyAlignment="1">
      <alignment horizontal="center" wrapText="1"/>
    </xf>
    <xf numFmtId="3" fontId="7" fillId="0" borderId="51" xfId="0" applyNumberFormat="1" applyFont="1" applyBorder="1"/>
    <xf numFmtId="3" fontId="7" fillId="0" borderId="62" xfId="0" applyNumberFormat="1" applyFont="1" applyBorder="1"/>
    <xf numFmtId="0" fontId="7" fillId="0" borderId="232" xfId="0" applyFont="1" applyBorder="1" applyAlignment="1">
      <alignment horizontal="left"/>
    </xf>
    <xf numFmtId="0" fontId="7" fillId="0" borderId="233" xfId="0" applyFont="1" applyBorder="1" applyAlignment="1">
      <alignment horizontal="left" wrapText="1"/>
    </xf>
    <xf numFmtId="0" fontId="7" fillId="0" borderId="185" xfId="0" applyFont="1" applyBorder="1" applyAlignment="1">
      <alignment horizontal="left"/>
    </xf>
    <xf numFmtId="3" fontId="7" fillId="0" borderId="227" xfId="27807" applyNumberFormat="1" applyFont="1" applyBorder="1" applyAlignment="1"/>
    <xf numFmtId="0" fontId="7" fillId="0" borderId="201" xfId="0" applyFont="1" applyBorder="1" applyAlignment="1">
      <alignment horizontal="left"/>
    </xf>
    <xf numFmtId="0" fontId="7" fillId="0" borderId="31" xfId="0" applyFont="1" applyBorder="1" applyAlignment="1">
      <alignment horizontal="left"/>
    </xf>
    <xf numFmtId="0" fontId="7" fillId="0" borderId="16" xfId="0" applyFont="1" applyBorder="1" applyAlignment="1">
      <alignment horizontal="left" wrapText="1"/>
    </xf>
    <xf numFmtId="164" fontId="9" fillId="0" borderId="56" xfId="0" applyNumberFormat="1" applyFont="1" applyBorder="1"/>
    <xf numFmtId="164" fontId="9" fillId="0" borderId="32" xfId="0" applyNumberFormat="1" applyFont="1" applyBorder="1"/>
    <xf numFmtId="164" fontId="9" fillId="0" borderId="55" xfId="0" applyNumberFormat="1" applyFont="1" applyBorder="1"/>
    <xf numFmtId="3" fontId="9" fillId="0" borderId="58" xfId="0" applyNumberFormat="1" applyFont="1" applyBorder="1"/>
    <xf numFmtId="3" fontId="9" fillId="0" borderId="32" xfId="0" applyNumberFormat="1" applyFont="1" applyBorder="1"/>
    <xf numFmtId="3" fontId="9" fillId="0" borderId="55" xfId="0" applyNumberFormat="1" applyFont="1" applyBorder="1"/>
    <xf numFmtId="3" fontId="9" fillId="0" borderId="47" xfId="0" applyNumberFormat="1" applyFont="1" applyBorder="1"/>
    <xf numFmtId="3" fontId="9" fillId="0" borderId="142" xfId="0" applyNumberFormat="1" applyFont="1" applyBorder="1"/>
    <xf numFmtId="0" fontId="7" fillId="0" borderId="131" xfId="0" applyFont="1" applyBorder="1" applyAlignment="1">
      <alignment wrapText="1"/>
    </xf>
    <xf numFmtId="164" fontId="9" fillId="0" borderId="80" xfId="0" applyNumberFormat="1" applyFont="1" applyBorder="1"/>
    <xf numFmtId="164" fontId="9" fillId="0" borderId="87" xfId="0" applyNumberFormat="1" applyFont="1" applyBorder="1"/>
    <xf numFmtId="3" fontId="9" fillId="0" borderId="72" xfId="0" applyNumberFormat="1" applyFont="1" applyBorder="1"/>
    <xf numFmtId="3" fontId="9" fillId="0" borderId="73" xfId="0" applyNumberFormat="1" applyFont="1" applyBorder="1"/>
    <xf numFmtId="3" fontId="9" fillId="0" borderId="131" xfId="0" applyNumberFormat="1" applyFont="1" applyBorder="1"/>
    <xf numFmtId="164" fontId="7" fillId="0" borderId="0" xfId="0" applyNumberFormat="1" applyFont="1"/>
    <xf numFmtId="0" fontId="7" fillId="0" borderId="1" xfId="0" applyFont="1" applyBorder="1" applyAlignment="1">
      <alignment horizontal="right"/>
    </xf>
    <xf numFmtId="0" fontId="7" fillId="0" borderId="2" xfId="0" applyFont="1" applyBorder="1" applyAlignment="1">
      <alignment horizontal="left"/>
    </xf>
    <xf numFmtId="0" fontId="7" fillId="0" borderId="3" xfId="0" applyFont="1" applyBorder="1" applyAlignment="1">
      <alignment horizontal="left" wrapText="1"/>
    </xf>
    <xf numFmtId="0" fontId="7" fillId="0" borderId="82" xfId="0" applyFont="1" applyBorder="1" applyAlignment="1">
      <alignment horizontal="left"/>
    </xf>
    <xf numFmtId="164" fontId="6" fillId="0" borderId="2" xfId="0" applyNumberFormat="1" applyFont="1" applyBorder="1"/>
    <xf numFmtId="3" fontId="7" fillId="0" borderId="15" xfId="27807" applyNumberFormat="1" applyFont="1" applyBorder="1" applyAlignment="1"/>
    <xf numFmtId="3" fontId="7" fillId="0" borderId="2" xfId="27807" applyNumberFormat="1" applyFont="1" applyBorder="1" applyAlignment="1"/>
    <xf numFmtId="0" fontId="7" fillId="0" borderId="216" xfId="0" applyFont="1" applyBorder="1" applyAlignment="1">
      <alignment horizontal="left"/>
    </xf>
    <xf numFmtId="3" fontId="7" fillId="0" borderId="221" xfId="0" applyNumberFormat="1" applyFont="1" applyBorder="1"/>
    <xf numFmtId="0" fontId="7" fillId="0" borderId="202" xfId="0" applyFont="1" applyBorder="1" applyAlignment="1">
      <alignment horizontal="left"/>
    </xf>
    <xf numFmtId="164" fontId="9" fillId="0" borderId="17" xfId="0" applyNumberFormat="1" applyFont="1" applyBorder="1"/>
    <xf numFmtId="0" fontId="7" fillId="0" borderId="130" xfId="0" applyFont="1" applyBorder="1" applyAlignment="1">
      <alignment wrapText="1"/>
    </xf>
    <xf numFmtId="0" fontId="7" fillId="0" borderId="112" xfId="0" applyFont="1" applyBorder="1" applyAlignment="1">
      <alignment horizontal="left"/>
    </xf>
    <xf numFmtId="0" fontId="7" fillId="0" borderId="104" xfId="0" applyFont="1" applyBorder="1" applyAlignment="1">
      <alignment horizontal="left" wrapText="1"/>
    </xf>
    <xf numFmtId="0" fontId="7" fillId="0" borderId="97" xfId="0" applyFont="1" applyBorder="1" applyAlignment="1">
      <alignment horizontal="left"/>
    </xf>
    <xf numFmtId="164" fontId="7" fillId="0" borderId="105" xfId="0" applyNumberFormat="1" applyFont="1" applyBorder="1"/>
    <xf numFmtId="164" fontId="7" fillId="0" borderId="113" xfId="0" applyNumberFormat="1" applyFont="1" applyBorder="1"/>
    <xf numFmtId="164" fontId="7" fillId="0" borderId="106" xfId="0" applyNumberFormat="1" applyFont="1" applyBorder="1"/>
    <xf numFmtId="3" fontId="7" fillId="0" borderId="106" xfId="27807" applyNumberFormat="1" applyFont="1" applyBorder="1" applyAlignment="1">
      <alignment horizontal="right"/>
    </xf>
    <xf numFmtId="3" fontId="7" fillId="0" borderId="112" xfId="27807" applyNumberFormat="1" applyFont="1" applyBorder="1" applyAlignment="1">
      <alignment horizontal="right"/>
    </xf>
    <xf numFmtId="164" fontId="9" fillId="0" borderId="85" xfId="0" applyNumberFormat="1" applyFont="1" applyBorder="1"/>
    <xf numFmtId="164" fontId="6" fillId="0" borderId="226" xfId="0" applyNumberFormat="1" applyFont="1" applyBorder="1"/>
    <xf numFmtId="0" fontId="7" fillId="0" borderId="15" xfId="0" applyFont="1" applyBorder="1" applyAlignment="1">
      <alignment horizontal="left" wrapText="1"/>
    </xf>
    <xf numFmtId="164" fontId="6" fillId="0" borderId="15" xfId="0" applyNumberFormat="1" applyFont="1" applyBorder="1"/>
    <xf numFmtId="164" fontId="6" fillId="0" borderId="224" xfId="0" applyNumberFormat="1" applyFont="1" applyBorder="1"/>
    <xf numFmtId="164" fontId="6" fillId="0" borderId="60" xfId="0" applyNumberFormat="1" applyFont="1" applyBorder="1"/>
    <xf numFmtId="164" fontId="9" fillId="0" borderId="9" xfId="0" applyNumberFormat="1" applyFont="1" applyBorder="1"/>
    <xf numFmtId="3" fontId="7" fillId="0" borderId="52" xfId="15066" applyNumberFormat="1" applyBorder="1"/>
    <xf numFmtId="3" fontId="7" fillId="0" borderId="217" xfId="15066" applyNumberFormat="1" applyBorder="1"/>
    <xf numFmtId="0" fontId="7" fillId="0" borderId="232" xfId="0" applyFont="1" applyBorder="1"/>
    <xf numFmtId="3" fontId="7" fillId="0" borderId="232" xfId="15066" applyNumberFormat="1" applyBorder="1"/>
    <xf numFmtId="3" fontId="7" fillId="0" borderId="201" xfId="15066" applyNumberFormat="1" applyBorder="1"/>
    <xf numFmtId="164" fontId="9" fillId="0" borderId="129" xfId="0" applyNumberFormat="1" applyFont="1" applyBorder="1"/>
    <xf numFmtId="164" fontId="7" fillId="0" borderId="52" xfId="0" applyNumberFormat="1" applyFont="1" applyBorder="1" applyAlignment="1">
      <alignment horizontal="right"/>
    </xf>
    <xf numFmtId="3" fontId="7" fillId="0" borderId="52" xfId="15066" applyNumberFormat="1" applyBorder="1" applyAlignment="1">
      <alignment horizontal="right"/>
    </xf>
    <xf numFmtId="164" fontId="9" fillId="0" borderId="57" xfId="0" applyNumberFormat="1" applyFont="1" applyBorder="1"/>
    <xf numFmtId="3" fontId="7" fillId="0" borderId="51" xfId="15066" applyNumberFormat="1" applyBorder="1"/>
    <xf numFmtId="164" fontId="7" fillId="0" borderId="35" xfId="0" applyNumberFormat="1" applyFont="1" applyBorder="1"/>
    <xf numFmtId="164" fontId="7" fillId="0" borderId="16" xfId="0" applyNumberFormat="1" applyFont="1" applyBorder="1"/>
    <xf numFmtId="3" fontId="7" fillId="0" borderId="35" xfId="15066" applyNumberFormat="1" applyBorder="1"/>
    <xf numFmtId="3" fontId="7" fillId="0" borderId="31" xfId="15066" applyNumberFormat="1" applyBorder="1"/>
    <xf numFmtId="164" fontId="9" fillId="0" borderId="22" xfId="0" applyNumberFormat="1" applyFont="1" applyBorder="1"/>
    <xf numFmtId="3" fontId="7" fillId="0" borderId="215" xfId="15066" applyNumberFormat="1" applyBorder="1"/>
    <xf numFmtId="3" fontId="7" fillId="0" borderId="4" xfId="15066" applyNumberFormat="1" applyBorder="1"/>
    <xf numFmtId="3" fontId="7" fillId="0" borderId="219" xfId="15066" applyNumberFormat="1" applyBorder="1"/>
    <xf numFmtId="164" fontId="9" fillId="0" borderId="64" xfId="0" applyNumberFormat="1" applyFont="1" applyBorder="1"/>
    <xf numFmtId="164" fontId="7" fillId="0" borderId="5" xfId="0" applyNumberFormat="1" applyFont="1" applyBorder="1"/>
    <xf numFmtId="3" fontId="7" fillId="0" borderId="2" xfId="15066" applyNumberFormat="1" applyBorder="1"/>
    <xf numFmtId="3" fontId="7" fillId="0" borderId="112" xfId="15066" applyNumberFormat="1" applyBorder="1" applyAlignment="1">
      <alignment horizontal="right"/>
    </xf>
    <xf numFmtId="0" fontId="7" fillId="0" borderId="203" xfId="0" applyFont="1" applyBorder="1" applyAlignment="1">
      <alignment wrapText="1"/>
    </xf>
    <xf numFmtId="3" fontId="7" fillId="0" borderId="113" xfId="27807" applyNumberFormat="1" applyFont="1" applyBorder="1" applyAlignment="1">
      <alignment horizontal="right"/>
    </xf>
    <xf numFmtId="3" fontId="7" fillId="0" borderId="221" xfId="27807" applyNumberFormat="1" applyFont="1" applyBorder="1" applyAlignment="1"/>
    <xf numFmtId="3" fontId="7" fillId="0" borderId="36" xfId="27807" applyNumberFormat="1" applyFont="1" applyBorder="1" applyAlignment="1"/>
    <xf numFmtId="0" fontId="7" fillId="0" borderId="42" xfId="0" applyFont="1" applyBorder="1" applyAlignment="1">
      <alignment wrapText="1"/>
    </xf>
    <xf numFmtId="1" fontId="9" fillId="0" borderId="171" xfId="0" applyNumberFormat="1" applyFont="1" applyBorder="1" applyAlignment="1">
      <alignment horizontal="center" vertical="center"/>
    </xf>
    <xf numFmtId="3" fontId="7" fillId="0" borderId="10" xfId="15066" applyNumberFormat="1" applyBorder="1"/>
    <xf numFmtId="3" fontId="7" fillId="0" borderId="105" xfId="15066" applyNumberFormat="1" applyBorder="1" applyAlignment="1">
      <alignment horizontal="right"/>
    </xf>
    <xf numFmtId="3" fontId="7" fillId="0" borderId="60" xfId="15066" applyNumberFormat="1" applyBorder="1"/>
    <xf numFmtId="3" fontId="7" fillId="0" borderId="226" xfId="15066" applyNumberFormat="1" applyBorder="1"/>
    <xf numFmtId="3" fontId="7" fillId="0" borderId="11" xfId="15066" applyNumberFormat="1" applyBorder="1"/>
    <xf numFmtId="1" fontId="9" fillId="0" borderId="211" xfId="0" applyNumberFormat="1" applyFont="1" applyBorder="1" applyAlignment="1">
      <alignment horizontal="center" vertical="center"/>
    </xf>
    <xf numFmtId="164" fontId="9" fillId="0" borderId="50" xfId="0" applyNumberFormat="1" applyFont="1" applyBorder="1"/>
    <xf numFmtId="3" fontId="7" fillId="0" borderId="103" xfId="15066" applyNumberFormat="1" applyBorder="1"/>
    <xf numFmtId="3" fontId="7" fillId="0" borderId="112" xfId="15066" applyNumberFormat="1" applyBorder="1"/>
    <xf numFmtId="3" fontId="7" fillId="0" borderId="106" xfId="27807" applyNumberFormat="1" applyFont="1" applyBorder="1" applyAlignment="1"/>
    <xf numFmtId="3" fontId="7" fillId="0" borderId="112" xfId="27807" applyNumberFormat="1" applyFont="1" applyBorder="1" applyAlignment="1"/>
    <xf numFmtId="3" fontId="7" fillId="0" borderId="113" xfId="27807" applyNumberFormat="1" applyFont="1" applyBorder="1" applyAlignment="1"/>
    <xf numFmtId="164" fontId="7" fillId="0" borderId="97" xfId="0" applyNumberFormat="1" applyFont="1" applyBorder="1" applyAlignment="1">
      <alignment horizontal="right"/>
    </xf>
    <xf numFmtId="3" fontId="9" fillId="0" borderId="74" xfId="0" applyNumberFormat="1" applyFont="1" applyBorder="1"/>
    <xf numFmtId="3" fontId="9" fillId="0" borderId="87" xfId="0" applyNumberFormat="1" applyFont="1" applyBorder="1"/>
    <xf numFmtId="0" fontId="31" fillId="0" borderId="0" xfId="0" applyFont="1" applyAlignment="1">
      <alignment horizontal="left"/>
    </xf>
    <xf numFmtId="9" fontId="6" fillId="0" borderId="37" xfId="5" applyFont="1" applyFill="1" applyBorder="1"/>
    <xf numFmtId="3" fontId="6" fillId="0" borderId="82" xfId="0" applyNumberFormat="1" applyFont="1" applyBorder="1" applyAlignment="1">
      <alignment horizontal="center"/>
    </xf>
    <xf numFmtId="9" fontId="6" fillId="0" borderId="29" xfId="5" applyFont="1" applyFill="1" applyBorder="1"/>
    <xf numFmtId="0" fontId="9" fillId="0" borderId="101" xfId="4" applyFont="1" applyBorder="1"/>
    <xf numFmtId="0" fontId="9" fillId="0" borderId="27" xfId="4" applyFont="1" applyBorder="1" applyAlignment="1">
      <alignment horizontal="center"/>
    </xf>
    <xf numFmtId="3" fontId="9" fillId="0" borderId="24" xfId="0" applyNumberFormat="1" applyFont="1" applyBorder="1"/>
    <xf numFmtId="3" fontId="9" fillId="0" borderId="38" xfId="0" applyNumberFormat="1" applyFont="1" applyBorder="1"/>
    <xf numFmtId="2" fontId="8" fillId="0" borderId="228" xfId="0" applyNumberFormat="1" applyFont="1" applyBorder="1"/>
    <xf numFmtId="9" fontId="8" fillId="0" borderId="27" xfId="5" applyFont="1" applyFill="1" applyBorder="1"/>
    <xf numFmtId="3" fontId="8" fillId="0" borderId="101" xfId="0" applyNumberFormat="1" applyFont="1" applyBorder="1" applyAlignment="1">
      <alignment horizontal="center"/>
    </xf>
    <xf numFmtId="9" fontId="6" fillId="0" borderId="62" xfId="5" applyFont="1" applyFill="1" applyBorder="1"/>
    <xf numFmtId="9" fontId="6" fillId="0" borderId="59" xfId="5" applyFont="1" applyFill="1" applyBorder="1"/>
    <xf numFmtId="3" fontId="6" fillId="0" borderId="81" xfId="0" applyNumberFormat="1" applyFont="1" applyBorder="1" applyAlignment="1">
      <alignment horizontal="center"/>
    </xf>
    <xf numFmtId="2" fontId="6" fillId="0" borderId="13" xfId="0" applyNumberFormat="1" applyFont="1" applyBorder="1"/>
    <xf numFmtId="9" fontId="6" fillId="0" borderId="28" xfId="5" applyFont="1" applyFill="1" applyBorder="1"/>
    <xf numFmtId="0" fontId="9" fillId="0" borderId="48" xfId="4" applyFont="1" applyBorder="1" applyAlignment="1">
      <alignment horizontal="center"/>
    </xf>
    <xf numFmtId="9" fontId="8" fillId="0" borderId="50" xfId="5" applyFont="1" applyFill="1" applyBorder="1"/>
    <xf numFmtId="9" fontId="8" fillId="0" borderId="48" xfId="5" applyFont="1" applyFill="1" applyBorder="1"/>
    <xf numFmtId="3" fontId="8" fillId="0" borderId="83" xfId="0" applyNumberFormat="1" applyFont="1" applyBorder="1" applyAlignment="1">
      <alignment horizontal="center"/>
    </xf>
    <xf numFmtId="9" fontId="6" fillId="0" borderId="218" xfId="5" applyFont="1" applyFill="1" applyBorder="1"/>
    <xf numFmtId="3" fontId="6" fillId="0" borderId="181" xfId="0" applyNumberFormat="1" applyFont="1" applyBorder="1" applyAlignment="1">
      <alignment horizontal="center"/>
    </xf>
    <xf numFmtId="3" fontId="7" fillId="0" borderId="219" xfId="0" applyNumberFormat="1" applyFont="1" applyBorder="1"/>
    <xf numFmtId="3" fontId="7" fillId="0" borderId="227" xfId="0" applyNumberFormat="1" applyFont="1" applyBorder="1"/>
    <xf numFmtId="9" fontId="6" fillId="0" borderId="227" xfId="5" applyFont="1" applyFill="1" applyBorder="1"/>
    <xf numFmtId="2" fontId="6" fillId="0" borderId="229" xfId="0" applyNumberFormat="1" applyFont="1" applyBorder="1"/>
    <xf numFmtId="3" fontId="6" fillId="0" borderId="185" xfId="0" applyNumberFormat="1" applyFont="1" applyBorder="1" applyAlignment="1">
      <alignment horizontal="center"/>
    </xf>
    <xf numFmtId="0" fontId="6" fillId="0" borderId="37" xfId="0" applyFont="1" applyBorder="1" applyAlignment="1">
      <alignment horizontal="center"/>
    </xf>
    <xf numFmtId="0" fontId="6" fillId="0" borderId="225" xfId="0" applyFont="1" applyBorder="1" applyAlignment="1">
      <alignment horizontal="center"/>
    </xf>
    <xf numFmtId="9" fontId="6" fillId="0" borderId="225" xfId="5" applyFont="1" applyFill="1" applyBorder="1"/>
    <xf numFmtId="0" fontId="6" fillId="0" borderId="29" xfId="0" applyFont="1" applyBorder="1" applyAlignment="1">
      <alignment horizontal="center"/>
    </xf>
    <xf numFmtId="2" fontId="8" fillId="0" borderId="24" xfId="0" applyNumberFormat="1" applyFont="1" applyBorder="1" applyAlignment="1">
      <alignment horizontal="right"/>
    </xf>
    <xf numFmtId="2" fontId="8" fillId="0" borderId="30" xfId="0" applyNumberFormat="1" applyFont="1" applyBorder="1" applyAlignment="1">
      <alignment horizontal="right"/>
    </xf>
    <xf numFmtId="2" fontId="8" fillId="0" borderId="26" xfId="0" applyNumberFormat="1" applyFont="1" applyBorder="1" applyAlignment="1">
      <alignment horizontal="right"/>
    </xf>
    <xf numFmtId="2" fontId="8" fillId="0" borderId="57" xfId="0" applyNumberFormat="1" applyFont="1" applyBorder="1" applyAlignment="1">
      <alignment horizontal="right"/>
    </xf>
    <xf numFmtId="9" fontId="8" fillId="0" borderId="0" xfId="5" applyFont="1" applyFill="1" applyBorder="1"/>
    <xf numFmtId="0" fontId="8" fillId="0" borderId="101" xfId="0" applyFont="1" applyBorder="1" applyAlignment="1">
      <alignment horizontal="center"/>
    </xf>
    <xf numFmtId="3" fontId="9" fillId="0" borderId="132" xfId="5" applyNumberFormat="1" applyFont="1" applyFill="1" applyBorder="1"/>
    <xf numFmtId="9" fontId="8" fillId="0" borderId="131" xfId="5" applyFont="1" applyFill="1" applyBorder="1"/>
    <xf numFmtId="2" fontId="9" fillId="0" borderId="148" xfId="0" applyNumberFormat="1" applyFont="1" applyBorder="1" applyAlignment="1">
      <alignment horizontal="right"/>
    </xf>
    <xf numFmtId="2" fontId="8" fillId="0" borderId="72" xfId="0" applyNumberFormat="1" applyFont="1" applyBorder="1" applyAlignment="1">
      <alignment horizontal="right"/>
    </xf>
    <xf numFmtId="2" fontId="8" fillId="0" borderId="149" xfId="0" applyNumberFormat="1" applyFont="1" applyBorder="1" applyAlignment="1">
      <alignment horizontal="right"/>
    </xf>
    <xf numFmtId="2" fontId="8" fillId="0" borderId="131" xfId="0" applyNumberFormat="1" applyFont="1" applyBorder="1" applyAlignment="1">
      <alignment horizontal="right"/>
    </xf>
    <xf numFmtId="2" fontId="8" fillId="0" borderId="80" xfId="0" applyNumberFormat="1" applyFont="1" applyBorder="1" applyAlignment="1">
      <alignment horizontal="right"/>
    </xf>
    <xf numFmtId="2" fontId="8" fillId="0" borderId="87" xfId="0" applyNumberFormat="1" applyFont="1" applyBorder="1" applyAlignment="1">
      <alignment horizontal="right"/>
    </xf>
    <xf numFmtId="2" fontId="8" fillId="0" borderId="148" xfId="0" applyNumberFormat="1" applyFont="1" applyBorder="1" applyAlignment="1">
      <alignment horizontal="right"/>
    </xf>
    <xf numFmtId="2" fontId="8" fillId="0" borderId="80" xfId="5" applyNumberFormat="1" applyFont="1" applyFill="1" applyBorder="1" applyAlignment="1">
      <alignment horizontal="right"/>
    </xf>
    <xf numFmtId="9" fontId="8" fillId="0" borderId="133" xfId="5" applyFont="1" applyFill="1" applyBorder="1"/>
    <xf numFmtId="9" fontId="8" fillId="0" borderId="142" xfId="0" applyNumberFormat="1" applyFont="1" applyBorder="1" applyAlignment="1">
      <alignment horizontal="center"/>
    </xf>
    <xf numFmtId="2" fontId="8" fillId="0" borderId="80" xfId="0" applyNumberFormat="1" applyFont="1" applyBorder="1"/>
    <xf numFmtId="3" fontId="8" fillId="0" borderId="142" xfId="0" applyNumberFormat="1" applyFont="1" applyBorder="1"/>
    <xf numFmtId="3" fontId="8" fillId="0" borderId="48" xfId="5" applyNumberFormat="1" applyFont="1" applyFill="1" applyBorder="1"/>
    <xf numFmtId="9" fontId="8" fillId="0" borderId="50" xfId="5" applyFont="1" applyFill="1" applyBorder="1" applyAlignment="1">
      <alignment horizontal="right"/>
    </xf>
    <xf numFmtId="2" fontId="8" fillId="0" borderId="64" xfId="0" applyNumberFormat="1" applyFont="1" applyBorder="1" applyAlignment="1">
      <alignment horizontal="right"/>
    </xf>
    <xf numFmtId="2" fontId="8" fillId="0" borderId="70" xfId="0" applyNumberFormat="1" applyFont="1" applyBorder="1" applyAlignment="1">
      <alignment horizontal="right"/>
    </xf>
    <xf numFmtId="2" fontId="8" fillId="0" borderId="67" xfId="0" applyNumberFormat="1" applyFont="1" applyBorder="1" applyAlignment="1">
      <alignment horizontal="right"/>
    </xf>
    <xf numFmtId="2" fontId="8" fillId="0" borderId="68" xfId="0" applyNumberFormat="1" applyFont="1" applyBorder="1" applyAlignment="1">
      <alignment horizontal="right"/>
    </xf>
    <xf numFmtId="2" fontId="8" fillId="0" borderId="67" xfId="5" applyNumberFormat="1" applyFont="1" applyFill="1" applyBorder="1" applyAlignment="1">
      <alignment horizontal="right"/>
    </xf>
    <xf numFmtId="9" fontId="8" fillId="0" borderId="49" xfId="5" applyFont="1" applyFill="1" applyBorder="1"/>
    <xf numFmtId="9" fontId="8" fillId="0" borderId="83" xfId="0" applyNumberFormat="1" applyFont="1" applyBorder="1" applyAlignment="1">
      <alignment horizontal="center"/>
    </xf>
    <xf numFmtId="3" fontId="29" fillId="0" borderId="0" xfId="0" applyNumberFormat="1" applyFont="1"/>
    <xf numFmtId="9" fontId="6" fillId="0" borderId="0" xfId="5" applyFont="1" applyFill="1" applyBorder="1"/>
    <xf numFmtId="0" fontId="6" fillId="0" borderId="27" xfId="0" applyFont="1" applyBorder="1" applyAlignment="1">
      <alignment horizontal="center"/>
    </xf>
    <xf numFmtId="3" fontId="7" fillId="0" borderId="101" xfId="0" applyNumberFormat="1" applyFont="1" applyBorder="1"/>
    <xf numFmtId="3" fontId="7" fillId="0" borderId="24" xfId="0" applyNumberFormat="1" applyFont="1" applyBorder="1"/>
    <xf numFmtId="3" fontId="7" fillId="0" borderId="23" xfId="0" applyNumberFormat="1" applyFont="1" applyBorder="1"/>
    <xf numFmtId="3" fontId="7" fillId="0" borderId="38" xfId="0" applyNumberFormat="1" applyFont="1" applyBorder="1"/>
    <xf numFmtId="9" fontId="6" fillId="0" borderId="38" xfId="5" applyFont="1" applyFill="1" applyBorder="1"/>
    <xf numFmtId="1" fontId="6" fillId="0" borderId="101" xfId="0" applyNumberFormat="1" applyFont="1" applyBorder="1" applyAlignment="1">
      <alignment horizontal="center"/>
    </xf>
    <xf numFmtId="2" fontId="6" fillId="0" borderId="101" xfId="0" applyNumberFormat="1" applyFont="1" applyBorder="1"/>
    <xf numFmtId="0" fontId="6" fillId="0" borderId="49" xfId="0" applyFont="1" applyBorder="1" applyAlignment="1">
      <alignment horizontal="left"/>
    </xf>
    <xf numFmtId="0" fontId="6" fillId="0" borderId="24" xfId="0" applyFont="1" applyBorder="1" applyAlignment="1">
      <alignment horizontal="left"/>
    </xf>
    <xf numFmtId="0" fontId="6" fillId="0" borderId="26" xfId="0" applyFont="1" applyBorder="1" applyAlignment="1">
      <alignment horizontal="right"/>
    </xf>
    <xf numFmtId="0" fontId="6" fillId="0" borderId="101" xfId="0" applyFont="1" applyBorder="1" applyAlignment="1">
      <alignment horizontal="right"/>
    </xf>
    <xf numFmtId="1" fontId="6" fillId="0" borderId="24" xfId="0" applyNumberFormat="1" applyFont="1" applyBorder="1" applyAlignment="1">
      <alignment horizontal="right"/>
    </xf>
    <xf numFmtId="1" fontId="6" fillId="0" borderId="23" xfId="0" applyNumberFormat="1" applyFont="1" applyBorder="1" applyAlignment="1">
      <alignment horizontal="right"/>
    </xf>
    <xf numFmtId="1" fontId="6" fillId="0" borderId="38" xfId="0" applyNumberFormat="1" applyFont="1" applyBorder="1" applyAlignment="1">
      <alignment horizontal="right"/>
    </xf>
    <xf numFmtId="0" fontId="6" fillId="0" borderId="38" xfId="0" applyFont="1" applyBorder="1" applyAlignment="1">
      <alignment horizontal="right" vertical="center"/>
    </xf>
    <xf numFmtId="2" fontId="6" fillId="0" borderId="57" xfId="0" applyNumberFormat="1" applyFont="1" applyBorder="1" applyAlignment="1">
      <alignment horizontal="right"/>
    </xf>
    <xf numFmtId="2" fontId="6" fillId="0" borderId="24" xfId="0" applyNumberFormat="1" applyFont="1" applyBorder="1" applyAlignment="1">
      <alignment horizontal="right"/>
    </xf>
    <xf numFmtId="3" fontId="6" fillId="0" borderId="27" xfId="0" applyNumberFormat="1" applyFont="1" applyBorder="1" applyAlignment="1">
      <alignment horizontal="center" vertical="center" wrapText="1"/>
    </xf>
    <xf numFmtId="1" fontId="6" fillId="0" borderId="101" xfId="0" applyNumberFormat="1" applyFont="1" applyBorder="1" applyAlignment="1">
      <alignment horizontal="right"/>
    </xf>
    <xf numFmtId="2" fontId="6" fillId="0" borderId="101" xfId="0" applyNumberFormat="1" applyFont="1" applyBorder="1" applyAlignment="1">
      <alignment horizontal="right"/>
    </xf>
    <xf numFmtId="0" fontId="6" fillId="0" borderId="215" xfId="0" applyFont="1" applyBorder="1" applyAlignment="1">
      <alignment horizontal="left"/>
    </xf>
    <xf numFmtId="0" fontId="6" fillId="0" borderId="226" xfId="0" applyFont="1" applyBorder="1" applyAlignment="1">
      <alignment horizontal="right"/>
    </xf>
    <xf numFmtId="0" fontId="6" fillId="0" borderId="181" xfId="0" applyFont="1" applyBorder="1" applyAlignment="1">
      <alignment horizontal="right"/>
    </xf>
    <xf numFmtId="1" fontId="6" fillId="0" borderId="215" xfId="0" applyNumberFormat="1" applyFont="1" applyBorder="1" applyAlignment="1">
      <alignment horizontal="right"/>
    </xf>
    <xf numFmtId="1" fontId="6" fillId="0" borderId="217" xfId="0" applyNumberFormat="1" applyFont="1" applyBorder="1" applyAlignment="1">
      <alignment horizontal="right"/>
    </xf>
    <xf numFmtId="1" fontId="6" fillId="0" borderId="218" xfId="0" applyNumberFormat="1" applyFont="1" applyBorder="1" applyAlignment="1">
      <alignment horizontal="right"/>
    </xf>
    <xf numFmtId="0" fontId="6" fillId="0" borderId="218" xfId="0" applyFont="1" applyBorder="1" applyAlignment="1">
      <alignment horizontal="right" vertical="center"/>
    </xf>
    <xf numFmtId="2" fontId="6" fillId="0" borderId="215" xfId="0" applyNumberFormat="1" applyFont="1" applyBorder="1" applyAlignment="1">
      <alignment horizontal="right"/>
    </xf>
    <xf numFmtId="3" fontId="6" fillId="0" borderId="225" xfId="0" applyNumberFormat="1" applyFont="1" applyBorder="1" applyAlignment="1">
      <alignment horizontal="center" vertical="center" wrapText="1"/>
    </xf>
    <xf numFmtId="1" fontId="6" fillId="0" borderId="181" xfId="0" applyNumberFormat="1" applyFont="1" applyBorder="1" applyAlignment="1">
      <alignment horizontal="right"/>
    </xf>
    <xf numFmtId="2" fontId="6" fillId="0" borderId="181" xfId="0" applyNumberFormat="1" applyFont="1" applyBorder="1" applyAlignment="1">
      <alignment horizontal="right"/>
    </xf>
    <xf numFmtId="0" fontId="6" fillId="0" borderId="35" xfId="0" applyFont="1" applyBorder="1" applyAlignment="1">
      <alignment horizontal="left"/>
    </xf>
    <xf numFmtId="0" fontId="6" fillId="0" borderId="36" xfId="0" applyFont="1" applyBorder="1" applyAlignment="1">
      <alignment horizontal="right"/>
    </xf>
    <xf numFmtId="0" fontId="6" fillId="0" borderId="98" xfId="0" applyFont="1" applyBorder="1" applyAlignment="1">
      <alignment horizontal="right"/>
    </xf>
    <xf numFmtId="1" fontId="6" fillId="0" borderId="35" xfId="0" applyNumberFormat="1" applyFont="1" applyBorder="1" applyAlignment="1">
      <alignment horizontal="right"/>
    </xf>
    <xf numFmtId="1" fontId="6" fillId="0" borderId="31" xfId="0" applyNumberFormat="1" applyFont="1" applyBorder="1" applyAlignment="1">
      <alignment horizontal="right"/>
    </xf>
    <xf numFmtId="1" fontId="6" fillId="0" borderId="42" xfId="0" applyNumberFormat="1" applyFont="1" applyBorder="1" applyAlignment="1">
      <alignment horizontal="right"/>
    </xf>
    <xf numFmtId="0" fontId="6" fillId="0" borderId="42" xfId="0" applyFont="1" applyBorder="1" applyAlignment="1">
      <alignment horizontal="right" vertical="center"/>
    </xf>
    <xf numFmtId="2" fontId="6" fillId="0" borderId="11" xfId="0" applyNumberFormat="1" applyFont="1" applyBorder="1"/>
    <xf numFmtId="2" fontId="6" fillId="0" borderId="16" xfId="0" applyNumberFormat="1" applyFont="1" applyBorder="1" applyAlignment="1">
      <alignment horizontal="right"/>
    </xf>
    <xf numFmtId="2" fontId="8" fillId="0" borderId="118" xfId="0" applyNumberFormat="1" applyFont="1" applyBorder="1" applyAlignment="1">
      <alignment horizontal="right"/>
    </xf>
    <xf numFmtId="2" fontId="6" fillId="0" borderId="35" xfId="0" applyNumberFormat="1" applyFont="1" applyBorder="1" applyAlignment="1">
      <alignment horizontal="right"/>
    </xf>
    <xf numFmtId="3" fontId="6" fillId="0" borderId="28" xfId="0" applyNumberFormat="1" applyFont="1" applyBorder="1" applyAlignment="1">
      <alignment horizontal="center" vertical="center" wrapText="1"/>
    </xf>
    <xf numFmtId="1" fontId="6" fillId="0" borderId="98" xfId="0" applyNumberFormat="1" applyFont="1" applyBorder="1" applyAlignment="1">
      <alignment horizontal="right"/>
    </xf>
    <xf numFmtId="2" fontId="6" fillId="0" borderId="98" xfId="0" applyNumberFormat="1" applyFont="1" applyBorder="1" applyAlignment="1">
      <alignment horizontal="right"/>
    </xf>
    <xf numFmtId="0" fontId="8" fillId="0" borderId="83" xfId="0" applyFont="1" applyBorder="1" applyAlignment="1">
      <alignment horizontal="right"/>
    </xf>
    <xf numFmtId="1" fontId="8" fillId="0" borderId="64" xfId="0" applyNumberFormat="1" applyFont="1" applyBorder="1" applyAlignment="1">
      <alignment horizontal="right"/>
    </xf>
    <xf numFmtId="0" fontId="8" fillId="0" borderId="65" xfId="0" applyFont="1" applyBorder="1" applyAlignment="1">
      <alignment horizontal="right"/>
    </xf>
    <xf numFmtId="1" fontId="8" fillId="0" borderId="50" xfId="0" applyNumberFormat="1" applyFont="1" applyBorder="1" applyAlignment="1">
      <alignment horizontal="right"/>
    </xf>
    <xf numFmtId="0" fontId="8" fillId="0" borderId="50" xfId="0" applyFont="1" applyBorder="1" applyAlignment="1">
      <alignment horizontal="right" vertical="center"/>
    </xf>
    <xf numFmtId="2" fontId="8" fillId="0" borderId="83" xfId="0" applyNumberFormat="1" applyFont="1" applyBorder="1" applyAlignment="1">
      <alignment horizontal="right"/>
    </xf>
    <xf numFmtId="0" fontId="6" fillId="0" borderId="51" xfId="0" applyFont="1" applyBorder="1" applyAlignment="1">
      <alignment horizontal="left" vertical="center"/>
    </xf>
    <xf numFmtId="0" fontId="6" fillId="0" borderId="61" xfId="0" applyFont="1" applyBorder="1" applyAlignment="1">
      <alignment horizontal="right" vertical="center"/>
    </xf>
    <xf numFmtId="0" fontId="6" fillId="0" borderId="81" xfId="0" applyFont="1" applyBorder="1" applyAlignment="1">
      <alignment horizontal="right"/>
    </xf>
    <xf numFmtId="1" fontId="6" fillId="0" borderId="51" xfId="0" applyNumberFormat="1" applyFont="1" applyBorder="1" applyAlignment="1">
      <alignment horizontal="right"/>
    </xf>
    <xf numFmtId="1" fontId="6" fillId="0" borderId="52" xfId="0" applyNumberFormat="1" applyFont="1" applyBorder="1" applyAlignment="1">
      <alignment horizontal="right"/>
    </xf>
    <xf numFmtId="1" fontId="6" fillId="0" borderId="62" xfId="0" applyNumberFormat="1" applyFont="1" applyBorder="1" applyAlignment="1">
      <alignment horizontal="right"/>
    </xf>
    <xf numFmtId="2" fontId="6" fillId="0" borderId="76" xfId="0" applyNumberFormat="1" applyFont="1" applyBorder="1" applyAlignment="1">
      <alignment horizontal="right"/>
    </xf>
    <xf numFmtId="0" fontId="6" fillId="0" borderId="59" xfId="0" applyFont="1" applyBorder="1" applyAlignment="1">
      <alignment horizontal="center"/>
    </xf>
    <xf numFmtId="2" fontId="6" fillId="0" borderId="51" xfId="0" applyNumberFormat="1" applyFont="1" applyBorder="1" applyAlignment="1">
      <alignment horizontal="right"/>
    </xf>
    <xf numFmtId="1" fontId="6" fillId="0" borderId="81" xfId="0" applyNumberFormat="1" applyFont="1" applyBorder="1" applyAlignment="1">
      <alignment horizontal="right"/>
    </xf>
    <xf numFmtId="2" fontId="6" fillId="0" borderId="81" xfId="0" applyNumberFormat="1" applyFont="1" applyBorder="1" applyAlignment="1">
      <alignment horizontal="right"/>
    </xf>
    <xf numFmtId="0" fontId="6" fillId="0" borderId="24" xfId="0" applyFont="1" applyBorder="1" applyAlignment="1">
      <alignment horizontal="left" vertical="center"/>
    </xf>
    <xf numFmtId="0" fontId="6" fillId="0" borderId="0" xfId="0" applyFont="1" applyAlignment="1">
      <alignment horizontal="right" vertical="center"/>
    </xf>
    <xf numFmtId="3" fontId="6" fillId="0" borderId="227" xfId="0" applyNumberFormat="1" applyFont="1" applyBorder="1"/>
    <xf numFmtId="0" fontId="6" fillId="0" borderId="4" xfId="0" applyFont="1" applyBorder="1" applyAlignment="1">
      <alignment horizontal="left" vertical="center"/>
    </xf>
    <xf numFmtId="0" fontId="6" fillId="0" borderId="223" xfId="0" applyFont="1" applyBorder="1" applyAlignment="1">
      <alignment horizontal="right" vertical="center"/>
    </xf>
    <xf numFmtId="0" fontId="6" fillId="0" borderId="63" xfId="0" applyFont="1" applyBorder="1" applyAlignment="1">
      <alignment horizontal="right"/>
    </xf>
    <xf numFmtId="1" fontId="6" fillId="0" borderId="4" xfId="0" applyNumberFormat="1" applyFont="1" applyBorder="1" applyAlignment="1">
      <alignment horizontal="right"/>
    </xf>
    <xf numFmtId="1" fontId="6" fillId="0" borderId="201" xfId="0" applyNumberFormat="1" applyFont="1" applyBorder="1" applyAlignment="1">
      <alignment horizontal="right"/>
    </xf>
    <xf numFmtId="1" fontId="6" fillId="0" borderId="220" xfId="0" applyNumberFormat="1" applyFont="1" applyBorder="1" applyAlignment="1">
      <alignment horizontal="right"/>
    </xf>
    <xf numFmtId="2" fontId="6" fillId="0" borderId="205" xfId="0" applyNumberFormat="1" applyFont="1" applyBorder="1" applyAlignment="1">
      <alignment horizontal="right"/>
    </xf>
    <xf numFmtId="2" fontId="6" fillId="0" borderId="4" xfId="0" applyNumberFormat="1" applyFont="1" applyBorder="1" applyAlignment="1">
      <alignment horizontal="right"/>
    </xf>
    <xf numFmtId="1" fontId="6" fillId="0" borderId="63" xfId="0" applyNumberFormat="1" applyFont="1" applyBorder="1" applyAlignment="1">
      <alignment horizontal="right"/>
    </xf>
    <xf numFmtId="2" fontId="6" fillId="0" borderId="63" xfId="0" applyNumberFormat="1" applyFont="1" applyBorder="1" applyAlignment="1">
      <alignment horizontal="right"/>
    </xf>
    <xf numFmtId="0" fontId="6" fillId="0" borderId="1" xfId="0" applyFont="1" applyBorder="1" applyAlignment="1">
      <alignment wrapText="1"/>
    </xf>
    <xf numFmtId="9" fontId="6" fillId="0" borderId="20" xfId="5" applyFont="1" applyFill="1" applyBorder="1" applyAlignment="1">
      <alignment horizontal="right"/>
    </xf>
    <xf numFmtId="3" fontId="6" fillId="0" borderId="37" xfId="0" applyNumberFormat="1" applyFont="1" applyBorder="1" applyAlignment="1">
      <alignment horizontal="center"/>
    </xf>
    <xf numFmtId="0" fontId="6" fillId="0" borderId="215" xfId="0" applyFont="1" applyBorder="1"/>
    <xf numFmtId="0" fontId="6" fillId="0" borderId="221" xfId="0" applyFont="1" applyBorder="1"/>
    <xf numFmtId="3" fontId="6" fillId="0" borderId="225" xfId="0" applyNumberFormat="1" applyFont="1" applyBorder="1" applyAlignment="1">
      <alignment horizontal="center"/>
    </xf>
    <xf numFmtId="0" fontId="6" fillId="0" borderId="4" xfId="0" applyFont="1" applyBorder="1"/>
    <xf numFmtId="3" fontId="6" fillId="0" borderId="29" xfId="0" applyNumberFormat="1" applyFont="1" applyBorder="1" applyAlignment="1">
      <alignment horizontal="center"/>
    </xf>
    <xf numFmtId="0" fontId="6" fillId="0" borderId="58" xfId="0" applyFont="1" applyBorder="1"/>
    <xf numFmtId="3" fontId="6" fillId="0" borderId="58" xfId="0" applyNumberFormat="1" applyFont="1" applyBorder="1"/>
    <xf numFmtId="3" fontId="6" fillId="0" borderId="32" xfId="0" applyNumberFormat="1" applyFont="1" applyBorder="1"/>
    <xf numFmtId="3" fontId="6" fillId="0" borderId="47" xfId="0" applyNumberFormat="1" applyFont="1" applyBorder="1"/>
    <xf numFmtId="2" fontId="8" fillId="0" borderId="246" xfId="0" applyNumberFormat="1" applyFont="1" applyBorder="1"/>
    <xf numFmtId="2" fontId="8" fillId="0" borderId="247" xfId="0" applyNumberFormat="1" applyFont="1" applyBorder="1"/>
    <xf numFmtId="0" fontId="6" fillId="0" borderId="221" xfId="0" applyFont="1" applyBorder="1" applyAlignment="1">
      <alignment horizontal="right"/>
    </xf>
    <xf numFmtId="0" fontId="6" fillId="0" borderId="215" xfId="0" applyFont="1" applyBorder="1" applyAlignment="1">
      <alignment wrapText="1"/>
    </xf>
    <xf numFmtId="0" fontId="6" fillId="0" borderId="103" xfId="0" applyFont="1" applyBorder="1" applyAlignment="1">
      <alignment wrapText="1"/>
    </xf>
    <xf numFmtId="3" fontId="6" fillId="0" borderId="103" xfId="0" applyNumberFormat="1" applyFont="1" applyBorder="1"/>
    <xf numFmtId="3" fontId="6" fillId="0" borderId="112" xfId="0" applyNumberFormat="1" applyFont="1" applyBorder="1"/>
    <xf numFmtId="3" fontId="6" fillId="0" borderId="111" xfId="0" applyNumberFormat="1" applyFont="1" applyBorder="1"/>
    <xf numFmtId="9" fontId="6" fillId="0" borderId="111" xfId="5" applyFont="1" applyFill="1" applyBorder="1"/>
    <xf numFmtId="3" fontId="6" fillId="0" borderId="99" xfId="0" applyNumberFormat="1" applyFont="1" applyBorder="1" applyAlignment="1">
      <alignment horizontal="center"/>
    </xf>
    <xf numFmtId="0" fontId="6" fillId="0" borderId="60" xfId="0" applyFont="1" applyBorder="1"/>
    <xf numFmtId="0" fontId="6" fillId="0" borderId="56" xfId="0" applyFont="1" applyBorder="1"/>
    <xf numFmtId="9" fontId="6" fillId="0" borderId="102" xfId="5" applyFont="1" applyFill="1" applyBorder="1"/>
    <xf numFmtId="2" fontId="6" fillId="0" borderId="56" xfId="0" applyNumberFormat="1" applyFont="1" applyBorder="1"/>
    <xf numFmtId="2" fontId="6" fillId="0" borderId="58" xfId="0" applyNumberFormat="1" applyFont="1" applyBorder="1"/>
    <xf numFmtId="2" fontId="8" fillId="0" borderId="244" xfId="0" applyNumberFormat="1" applyFont="1" applyBorder="1"/>
    <xf numFmtId="9" fontId="6" fillId="0" borderId="47" xfId="5" applyFont="1" applyFill="1" applyBorder="1"/>
    <xf numFmtId="3" fontId="6" fillId="0" borderId="45" xfId="0" applyNumberFormat="1" applyFont="1" applyBorder="1" applyAlignment="1">
      <alignment horizontal="center"/>
    </xf>
    <xf numFmtId="2" fontId="6" fillId="0" borderId="102" xfId="0" applyNumberFormat="1" applyFont="1" applyBorder="1"/>
    <xf numFmtId="0" fontId="6" fillId="0" borderId="226" xfId="0" applyFont="1" applyBorder="1" applyAlignment="1">
      <alignment wrapText="1"/>
    </xf>
    <xf numFmtId="0" fontId="6" fillId="0" borderId="226" xfId="0" applyFont="1" applyBorder="1"/>
    <xf numFmtId="2" fontId="8" fillId="0" borderId="245" xfId="0" applyNumberFormat="1" applyFont="1" applyBorder="1"/>
    <xf numFmtId="9" fontId="6" fillId="0" borderId="218" xfId="5" applyFont="1" applyFill="1" applyBorder="1" applyAlignment="1">
      <alignment horizontal="right"/>
    </xf>
    <xf numFmtId="0" fontId="6" fillId="0" borderId="224" xfId="0" applyFont="1" applyBorder="1"/>
    <xf numFmtId="0" fontId="6" fillId="0" borderId="11" xfId="0" applyFont="1" applyBorder="1"/>
    <xf numFmtId="3" fontId="6" fillId="0" borderId="35" xfId="0" applyNumberFormat="1" applyFont="1" applyBorder="1"/>
    <xf numFmtId="3" fontId="6" fillId="0" borderId="31" xfId="0" applyNumberFormat="1" applyFont="1" applyBorder="1"/>
    <xf numFmtId="3" fontId="6" fillId="0" borderId="42" xfId="0" applyNumberFormat="1" applyFont="1" applyBorder="1"/>
    <xf numFmtId="9" fontId="8" fillId="0" borderId="98" xfId="5" applyFont="1" applyFill="1" applyBorder="1"/>
    <xf numFmtId="2" fontId="8" fillId="0" borderId="11" xfId="0" applyNumberFormat="1" applyFont="1" applyBorder="1"/>
    <xf numFmtId="4" fontId="8" fillId="0" borderId="16" xfId="0" applyNumberFormat="1" applyFont="1" applyBorder="1"/>
    <xf numFmtId="2" fontId="8" fillId="0" borderId="248" xfId="0" applyNumberFormat="1" applyFont="1" applyBorder="1"/>
    <xf numFmtId="9" fontId="6" fillId="0" borderId="42" xfId="5" applyFont="1" applyFill="1" applyBorder="1"/>
    <xf numFmtId="3" fontId="6" fillId="0" borderId="28" xfId="0" applyNumberFormat="1" applyFont="1" applyBorder="1" applyAlignment="1">
      <alignment horizontal="center"/>
    </xf>
    <xf numFmtId="2" fontId="6" fillId="0" borderId="98" xfId="0" applyNumberFormat="1" applyFont="1" applyBorder="1"/>
    <xf numFmtId="3" fontId="8" fillId="0" borderId="48" xfId="0" applyNumberFormat="1" applyFont="1" applyBorder="1" applyAlignment="1">
      <alignment horizontal="center"/>
    </xf>
    <xf numFmtId="0" fontId="7" fillId="0" borderId="1" xfId="0" applyFont="1" applyBorder="1"/>
    <xf numFmtId="0" fontId="7" fillId="0" borderId="3" xfId="0" applyFont="1" applyBorder="1"/>
    <xf numFmtId="9" fontId="6" fillId="0" borderId="82" xfId="5" applyFont="1" applyFill="1" applyBorder="1"/>
    <xf numFmtId="0" fontId="7" fillId="0" borderId="216" xfId="0" applyFont="1" applyBorder="1"/>
    <xf numFmtId="0" fontId="7" fillId="0" borderId="216" xfId="0" applyFont="1" applyBorder="1" applyAlignment="1">
      <alignment horizontal="right"/>
    </xf>
    <xf numFmtId="0" fontId="7" fillId="0" borderId="3" xfId="0" applyFont="1" applyBorder="1" applyAlignment="1">
      <alignment horizontal="right"/>
    </xf>
    <xf numFmtId="0" fontId="7" fillId="0" borderId="202" xfId="0" applyFont="1" applyBorder="1" applyAlignment="1">
      <alignment horizontal="right"/>
    </xf>
    <xf numFmtId="9" fontId="6" fillId="0" borderId="220" xfId="5" applyFont="1" applyFill="1" applyBorder="1" applyAlignment="1">
      <alignment horizontal="right"/>
    </xf>
    <xf numFmtId="3" fontId="8" fillId="0" borderId="79" xfId="0" applyNumberFormat="1" applyFont="1" applyBorder="1"/>
    <xf numFmtId="9" fontId="8" fillId="0" borderId="38" xfId="5" applyFont="1" applyFill="1" applyBorder="1" applyAlignment="1">
      <alignment horizontal="right"/>
    </xf>
    <xf numFmtId="3" fontId="8" fillId="0" borderId="27" xfId="0" applyNumberFormat="1" applyFont="1" applyBorder="1" applyAlignment="1">
      <alignment horizontal="center"/>
    </xf>
    <xf numFmtId="9" fontId="6" fillId="0" borderId="62" xfId="5" applyFont="1" applyFill="1" applyBorder="1" applyAlignment="1">
      <alignment horizontal="right"/>
    </xf>
    <xf numFmtId="3" fontId="6" fillId="0" borderId="59" xfId="0" applyNumberFormat="1" applyFont="1" applyBorder="1" applyAlignment="1">
      <alignment horizontal="center"/>
    </xf>
    <xf numFmtId="9" fontId="8" fillId="0" borderId="102" xfId="5" applyFont="1" applyFill="1" applyBorder="1"/>
    <xf numFmtId="2" fontId="8" fillId="0" borderId="58" xfId="0" applyNumberFormat="1" applyFont="1" applyBorder="1"/>
    <xf numFmtId="4" fontId="8" fillId="0" borderId="55" xfId="0" applyNumberFormat="1" applyFont="1" applyBorder="1"/>
    <xf numFmtId="2" fontId="8" fillId="0" borderId="56" xfId="0" applyNumberFormat="1" applyFont="1" applyBorder="1"/>
    <xf numFmtId="4" fontId="8" fillId="0" borderId="193" xfId="0" applyNumberFormat="1" applyFont="1" applyBorder="1"/>
    <xf numFmtId="9" fontId="8" fillId="0" borderId="142" xfId="5" applyFont="1" applyFill="1" applyBorder="1"/>
    <xf numFmtId="2" fontId="8" fillId="0" borderId="133" xfId="0" applyNumberFormat="1" applyFont="1" applyBorder="1"/>
    <xf numFmtId="4" fontId="8" fillId="0" borderId="87" xfId="0" applyNumberFormat="1" applyFont="1" applyBorder="1"/>
    <xf numFmtId="2" fontId="8" fillId="0" borderId="135" xfId="0" applyNumberFormat="1" applyFont="1" applyBorder="1"/>
    <xf numFmtId="9" fontId="8" fillId="0" borderId="132" xfId="5" applyFont="1" applyFill="1" applyBorder="1"/>
    <xf numFmtId="3" fontId="8" fillId="0" borderId="142" xfId="0" applyNumberFormat="1" applyFont="1" applyBorder="1" applyAlignment="1">
      <alignment horizontal="center"/>
    </xf>
    <xf numFmtId="0" fontId="6" fillId="0" borderId="0" xfId="0" applyFont="1" applyAlignment="1">
      <alignment horizontal="center"/>
    </xf>
    <xf numFmtId="0" fontId="6" fillId="0" borderId="1" xfId="0" applyFont="1" applyBorder="1"/>
    <xf numFmtId="2" fontId="6" fillId="0" borderId="71" xfId="0" applyNumberFormat="1" applyFont="1" applyBorder="1"/>
    <xf numFmtId="2" fontId="6" fillId="0" borderId="182" xfId="0" applyNumberFormat="1" applyFont="1" applyBorder="1"/>
    <xf numFmtId="2" fontId="6" fillId="0" borderId="41" xfId="0" applyNumberFormat="1" applyFont="1" applyBorder="1"/>
    <xf numFmtId="0" fontId="6" fillId="0" borderId="103" xfId="0" applyFont="1" applyBorder="1" applyAlignment="1">
      <alignment horizontal="left" wrapText="1"/>
    </xf>
    <xf numFmtId="0" fontId="6" fillId="0" borderId="51" xfId="0" applyFont="1" applyBorder="1" applyAlignment="1">
      <alignment horizontal="left"/>
    </xf>
    <xf numFmtId="0" fontId="6" fillId="0" borderId="61" xfId="0" applyFont="1" applyBorder="1" applyAlignment="1">
      <alignment horizontal="right"/>
    </xf>
    <xf numFmtId="1" fontId="6" fillId="0" borderId="26" xfId="0" applyNumberFormat="1" applyFont="1" applyBorder="1" applyAlignment="1">
      <alignment horizontal="right"/>
    </xf>
    <xf numFmtId="3" fontId="6" fillId="0" borderId="38" xfId="0" applyNumberFormat="1" applyFont="1" applyBorder="1" applyAlignment="1">
      <alignment horizontal="right"/>
    </xf>
    <xf numFmtId="9" fontId="6" fillId="0" borderId="101" xfId="5" applyFont="1" applyFill="1" applyBorder="1"/>
    <xf numFmtId="1" fontId="6" fillId="0" borderId="102" xfId="0" applyNumberFormat="1" applyFont="1" applyBorder="1" applyAlignment="1">
      <alignment horizontal="right"/>
    </xf>
    <xf numFmtId="0" fontId="6" fillId="0" borderId="215" xfId="0" applyFont="1" applyBorder="1" applyAlignment="1">
      <alignment horizontal="left" vertical="center"/>
    </xf>
    <xf numFmtId="1" fontId="6" fillId="0" borderId="226" xfId="0" applyNumberFormat="1" applyFont="1" applyBorder="1" applyAlignment="1">
      <alignment horizontal="right"/>
    </xf>
    <xf numFmtId="3" fontId="6" fillId="0" borderId="218" xfId="0" applyNumberFormat="1" applyFont="1" applyBorder="1" applyAlignment="1">
      <alignment horizontal="right"/>
    </xf>
    <xf numFmtId="2" fontId="8" fillId="0" borderId="222" xfId="0" applyNumberFormat="1" applyFont="1" applyBorder="1" applyAlignment="1">
      <alignment horizontal="right"/>
    </xf>
    <xf numFmtId="1" fontId="6" fillId="0" borderId="224" xfId="0" applyNumberFormat="1" applyFont="1" applyBorder="1" applyAlignment="1">
      <alignment horizontal="right"/>
    </xf>
    <xf numFmtId="3" fontId="6" fillId="0" borderId="220" xfId="0" applyNumberFormat="1" applyFont="1" applyBorder="1" applyAlignment="1">
      <alignment horizontal="right"/>
    </xf>
    <xf numFmtId="2" fontId="8" fillId="0" borderId="205" xfId="0" applyNumberFormat="1" applyFont="1" applyBorder="1" applyAlignment="1">
      <alignment horizontal="right"/>
    </xf>
    <xf numFmtId="3" fontId="8" fillId="0" borderId="67" xfId="0" applyNumberFormat="1" applyFont="1" applyBorder="1" applyAlignment="1">
      <alignment horizontal="right"/>
    </xf>
    <xf numFmtId="3" fontId="8" fillId="0" borderId="65" xfId="0" applyNumberFormat="1" applyFont="1" applyBorder="1" applyAlignment="1">
      <alignment horizontal="right"/>
    </xf>
    <xf numFmtId="3" fontId="8" fillId="0" borderId="50" xfId="0" applyNumberFormat="1" applyFont="1" applyBorder="1" applyAlignment="1">
      <alignment horizontal="right"/>
    </xf>
    <xf numFmtId="0" fontId="7" fillId="0" borderId="61" xfId="0" applyFont="1" applyBorder="1" applyAlignment="1">
      <alignment horizontal="right"/>
    </xf>
    <xf numFmtId="0" fontId="6" fillId="0" borderId="60" xfId="0" applyFont="1" applyBorder="1" applyAlignment="1">
      <alignment horizontal="right"/>
    </xf>
    <xf numFmtId="0" fontId="6" fillId="0" borderId="52" xfId="0" applyFont="1" applyBorder="1" applyAlignment="1">
      <alignment horizontal="right"/>
    </xf>
    <xf numFmtId="0" fontId="6" fillId="0" borderId="62" xfId="0" applyFont="1" applyBorder="1" applyAlignment="1">
      <alignment horizontal="right"/>
    </xf>
    <xf numFmtId="3" fontId="6" fillId="0" borderId="62" xfId="0" applyNumberFormat="1" applyFont="1" applyBorder="1" applyAlignment="1">
      <alignment horizontal="right"/>
    </xf>
    <xf numFmtId="9" fontId="8" fillId="0" borderId="81" xfId="5" applyFont="1" applyFill="1" applyBorder="1" applyAlignment="1">
      <alignment horizontal="right"/>
    </xf>
    <xf numFmtId="0" fontId="6" fillId="0" borderId="35" xfId="0" applyFont="1" applyBorder="1"/>
    <xf numFmtId="0" fontId="7" fillId="0" borderId="36" xfId="0" applyFont="1" applyBorder="1" applyAlignment="1">
      <alignment horizontal="right"/>
    </xf>
    <xf numFmtId="3" fontId="6" fillId="0" borderId="83" xfId="0" applyNumberFormat="1" applyFont="1" applyBorder="1" applyAlignment="1">
      <alignment horizontal="right"/>
    </xf>
    <xf numFmtId="0" fontId="6" fillId="0" borderId="67" xfId="0" applyFont="1" applyBorder="1" applyAlignment="1">
      <alignment horizontal="right"/>
    </xf>
    <xf numFmtId="0" fontId="6" fillId="0" borderId="65" xfId="0" applyFont="1" applyBorder="1" applyAlignment="1">
      <alignment horizontal="right"/>
    </xf>
    <xf numFmtId="0" fontId="6" fillId="0" borderId="50" xfId="0" applyFont="1" applyBorder="1" applyAlignment="1">
      <alignment horizontal="right"/>
    </xf>
    <xf numFmtId="3" fontId="6" fillId="0" borderId="50" xfId="0" applyNumberFormat="1" applyFont="1" applyBorder="1" applyAlignment="1">
      <alignment horizontal="right"/>
    </xf>
    <xf numFmtId="2" fontId="6" fillId="0" borderId="67" xfId="0" applyNumberFormat="1" applyFont="1" applyBorder="1"/>
    <xf numFmtId="2" fontId="6" fillId="0" borderId="68" xfId="0" applyNumberFormat="1" applyFont="1" applyBorder="1" applyAlignment="1">
      <alignment horizontal="right"/>
    </xf>
    <xf numFmtId="2" fontId="6" fillId="0" borderId="64" xfId="0" applyNumberFormat="1" applyFont="1" applyBorder="1"/>
    <xf numFmtId="9" fontId="6" fillId="0" borderId="83" xfId="5" applyFont="1" applyFill="1" applyBorder="1" applyAlignment="1">
      <alignment horizontal="right"/>
    </xf>
    <xf numFmtId="0" fontId="6" fillId="0" borderId="48" xfId="0" applyFont="1" applyBorder="1" applyAlignment="1">
      <alignment horizontal="center"/>
    </xf>
    <xf numFmtId="2" fontId="6" fillId="0" borderId="64" xfId="0" applyNumberFormat="1" applyFont="1" applyBorder="1" applyAlignment="1">
      <alignment horizontal="right"/>
    </xf>
    <xf numFmtId="0" fontId="6" fillId="0" borderId="83" xfId="0" applyFont="1" applyBorder="1" applyAlignment="1">
      <alignment horizontal="right"/>
    </xf>
    <xf numFmtId="2" fontId="6" fillId="0" borderId="83" xfId="0" applyNumberFormat="1" applyFont="1" applyBorder="1"/>
    <xf numFmtId="0" fontId="8" fillId="0" borderId="67" xfId="0" applyFont="1" applyBorder="1" applyAlignment="1">
      <alignment horizontal="right"/>
    </xf>
    <xf numFmtId="0" fontId="8" fillId="0" borderId="50" xfId="0" applyFont="1" applyBorder="1" applyAlignment="1">
      <alignment horizontal="right"/>
    </xf>
    <xf numFmtId="3" fontId="6" fillId="0" borderId="98" xfId="0" applyNumberFormat="1" applyFont="1" applyBorder="1" applyAlignment="1">
      <alignment horizontal="right"/>
    </xf>
    <xf numFmtId="0" fontId="6" fillId="0" borderId="11" xfId="0" applyFont="1" applyBorder="1" applyAlignment="1">
      <alignment horizontal="right"/>
    </xf>
    <xf numFmtId="0" fontId="6" fillId="0" borderId="31" xfId="0" applyFont="1" applyBorder="1" applyAlignment="1">
      <alignment horizontal="right"/>
    </xf>
    <xf numFmtId="0" fontId="6" fillId="0" borderId="42" xfId="0" applyFont="1" applyBorder="1" applyAlignment="1">
      <alignment horizontal="right"/>
    </xf>
    <xf numFmtId="3" fontId="6" fillId="0" borderId="42" xfId="0" applyNumberFormat="1" applyFont="1" applyBorder="1" applyAlignment="1">
      <alignment horizontal="right"/>
    </xf>
    <xf numFmtId="9" fontId="8" fillId="0" borderId="98" xfId="5" applyFont="1" applyFill="1" applyBorder="1" applyAlignment="1">
      <alignment horizontal="right"/>
    </xf>
    <xf numFmtId="0" fontId="6" fillId="0" borderId="28" xfId="0" applyFont="1" applyBorder="1" applyAlignment="1">
      <alignment horizontal="center"/>
    </xf>
    <xf numFmtId="0" fontId="8" fillId="0" borderId="72" xfId="0" applyFont="1" applyBorder="1" applyAlignment="1">
      <alignment horizontal="center" wrapText="1"/>
    </xf>
    <xf numFmtId="0" fontId="8" fillId="0" borderId="87" xfId="0" applyFont="1" applyBorder="1" applyAlignment="1">
      <alignment horizontal="center" wrapText="1"/>
    </xf>
    <xf numFmtId="0" fontId="8" fillId="0" borderId="142" xfId="0" applyFont="1" applyBorder="1" applyAlignment="1">
      <alignment horizontal="center" wrapText="1"/>
    </xf>
    <xf numFmtId="164" fontId="9" fillId="0" borderId="73" xfId="0" applyNumberFormat="1" applyFont="1" applyBorder="1" applyAlignment="1">
      <alignment horizontal="center" wrapText="1"/>
    </xf>
    <xf numFmtId="164" fontId="9" fillId="0" borderId="87" xfId="0" applyNumberFormat="1" applyFont="1" applyBorder="1" applyAlignment="1">
      <alignment horizontal="center" wrapText="1"/>
    </xf>
    <xf numFmtId="0" fontId="9" fillId="0" borderId="72" xfId="0" applyFont="1" applyBorder="1" applyAlignment="1">
      <alignment horizontal="center" wrapText="1"/>
    </xf>
    <xf numFmtId="0" fontId="9" fillId="0" borderId="73" xfId="0" applyFont="1" applyBorder="1" applyAlignment="1">
      <alignment horizontal="center" wrapText="1"/>
    </xf>
    <xf numFmtId="0" fontId="9" fillId="0" borderId="87" xfId="0" applyFont="1" applyBorder="1" applyAlignment="1">
      <alignment horizontal="center" wrapText="1"/>
    </xf>
    <xf numFmtId="0" fontId="9" fillId="0" borderId="142" xfId="0" applyFont="1" applyBorder="1" applyAlignment="1">
      <alignment horizontal="center" wrapText="1"/>
    </xf>
    <xf numFmtId="0" fontId="6" fillId="0" borderId="24" xfId="0" applyFont="1" applyBorder="1" applyAlignment="1">
      <alignment horizontal="right"/>
    </xf>
    <xf numFmtId="0" fontId="6" fillId="0" borderId="23" xfId="0" applyFont="1" applyBorder="1" applyAlignment="1">
      <alignment horizontal="left"/>
    </xf>
    <xf numFmtId="0" fontId="8" fillId="0" borderId="76" xfId="0" applyFont="1" applyBorder="1" applyAlignment="1">
      <alignment horizontal="center"/>
    </xf>
    <xf numFmtId="0" fontId="6" fillId="0" borderId="81" xfId="0" applyFont="1" applyBorder="1" applyAlignment="1">
      <alignment horizontal="left"/>
    </xf>
    <xf numFmtId="164" fontId="7" fillId="0" borderId="51" xfId="0" applyNumberFormat="1" applyFont="1" applyBorder="1" applyAlignment="1">
      <alignment horizontal="right"/>
    </xf>
    <xf numFmtId="164" fontId="7" fillId="0" borderId="76" xfId="0" applyNumberFormat="1" applyFont="1" applyBorder="1" applyAlignment="1">
      <alignment horizontal="right"/>
    </xf>
    <xf numFmtId="164" fontId="7" fillId="0" borderId="61" xfId="0" applyNumberFormat="1" applyFont="1" applyBorder="1" applyAlignment="1">
      <alignment horizontal="right"/>
    </xf>
    <xf numFmtId="164" fontId="7" fillId="0" borderId="53" xfId="0" applyNumberFormat="1" applyFont="1" applyBorder="1" applyAlignment="1">
      <alignment horizontal="right"/>
    </xf>
    <xf numFmtId="0" fontId="7" fillId="0" borderId="76" xfId="0" applyFont="1" applyBorder="1" applyAlignment="1">
      <alignment horizontal="right"/>
    </xf>
    <xf numFmtId="0" fontId="7" fillId="0" borderId="52" xfId="0" applyFont="1" applyBorder="1" applyAlignment="1">
      <alignment horizontal="right"/>
    </xf>
    <xf numFmtId="0" fontId="7" fillId="0" borderId="53" xfId="0" applyFont="1" applyBorder="1" applyAlignment="1">
      <alignment horizontal="right"/>
    </xf>
    <xf numFmtId="3" fontId="7" fillId="0" borderId="81" xfId="0" applyNumberFormat="1" applyFont="1" applyBorder="1" applyAlignment="1">
      <alignment horizontal="right"/>
    </xf>
    <xf numFmtId="0" fontId="6" fillId="0" borderId="215" xfId="0" applyFont="1" applyBorder="1" applyAlignment="1">
      <alignment horizontal="right"/>
    </xf>
    <xf numFmtId="0" fontId="6" fillId="0" borderId="217" xfId="0" applyFont="1" applyBorder="1" applyAlignment="1">
      <alignment horizontal="left"/>
    </xf>
    <xf numFmtId="0" fontId="8" fillId="0" borderId="15" xfId="0" applyFont="1" applyBorder="1" applyAlignment="1">
      <alignment horizontal="center"/>
    </xf>
    <xf numFmtId="0" fontId="6" fillId="0" borderId="181" xfId="0" applyFont="1" applyBorder="1" applyAlignment="1">
      <alignment horizontal="left"/>
    </xf>
    <xf numFmtId="164" fontId="7" fillId="0" borderId="15" xfId="0" applyNumberFormat="1" applyFont="1" applyBorder="1" applyAlignment="1">
      <alignment horizontal="right"/>
    </xf>
    <xf numFmtId="164" fontId="7" fillId="0" borderId="8" xfId="0" applyNumberFormat="1" applyFont="1" applyBorder="1" applyAlignment="1">
      <alignment horizontal="right"/>
    </xf>
    <xf numFmtId="164" fontId="7" fillId="0" borderId="3" xfId="0" applyNumberFormat="1" applyFont="1" applyBorder="1" applyAlignment="1">
      <alignment horizontal="right"/>
    </xf>
    <xf numFmtId="0" fontId="7" fillId="0" borderId="15" xfId="0" applyFont="1" applyBorder="1" applyAlignment="1">
      <alignment horizontal="right"/>
    </xf>
    <xf numFmtId="0" fontId="7" fillId="0" borderId="2" xfId="0" applyFont="1" applyBorder="1" applyAlignment="1">
      <alignment horizontal="right"/>
    </xf>
    <xf numFmtId="0" fontId="8" fillId="0" borderId="181" xfId="0" applyFont="1" applyBorder="1" applyAlignment="1">
      <alignment horizontal="center"/>
    </xf>
    <xf numFmtId="0" fontId="6" fillId="0" borderId="35" xfId="0" applyFont="1" applyBorder="1" applyAlignment="1">
      <alignment horizontal="right"/>
    </xf>
    <xf numFmtId="0" fontId="6" fillId="0" borderId="31" xfId="0" applyFont="1" applyBorder="1" applyAlignment="1">
      <alignment horizontal="left"/>
    </xf>
    <xf numFmtId="0" fontId="6" fillId="0" borderId="16" xfId="0" applyFont="1" applyBorder="1" applyAlignment="1">
      <alignment horizontal="left"/>
    </xf>
    <xf numFmtId="0" fontId="6" fillId="0" borderId="98" xfId="0" applyFont="1" applyBorder="1" applyAlignment="1">
      <alignment horizontal="left"/>
    </xf>
    <xf numFmtId="164" fontId="7" fillId="0" borderId="35" xfId="0" applyNumberFormat="1" applyFont="1" applyBorder="1" applyAlignment="1">
      <alignment horizontal="right"/>
    </xf>
    <xf numFmtId="164" fontId="7" fillId="0" borderId="16" xfId="0" applyNumberFormat="1" applyFont="1" applyBorder="1" applyAlignment="1">
      <alignment horizontal="right"/>
    </xf>
    <xf numFmtId="164" fontId="7" fillId="0" borderId="31" xfId="0" applyNumberFormat="1" applyFont="1" applyBorder="1" applyAlignment="1">
      <alignment horizontal="right"/>
    </xf>
    <xf numFmtId="164" fontId="7" fillId="0" borderId="36" xfId="0" applyNumberFormat="1" applyFont="1" applyBorder="1" applyAlignment="1">
      <alignment horizontal="right"/>
    </xf>
    <xf numFmtId="164" fontId="7" fillId="0" borderId="5" xfId="0" applyNumberFormat="1" applyFont="1" applyBorder="1" applyAlignment="1">
      <alignment horizontal="right"/>
    </xf>
    <xf numFmtId="0" fontId="7" fillId="0" borderId="16" xfId="0" applyFont="1" applyBorder="1" applyAlignment="1">
      <alignment horizontal="right"/>
    </xf>
    <xf numFmtId="0" fontId="7" fillId="0" borderId="31" xfId="0" applyFont="1" applyBorder="1" applyAlignment="1">
      <alignment horizontal="right"/>
    </xf>
    <xf numFmtId="0" fontId="7" fillId="0" borderId="5" xfId="0" applyFont="1" applyBorder="1" applyAlignment="1">
      <alignment horizontal="right"/>
    </xf>
    <xf numFmtId="3" fontId="7" fillId="0" borderId="101" xfId="0" applyNumberFormat="1" applyFont="1" applyBorder="1" applyAlignment="1">
      <alignment horizontal="right"/>
    </xf>
    <xf numFmtId="164" fontId="9" fillId="0" borderId="21" xfId="0" applyNumberFormat="1" applyFont="1" applyBorder="1" applyAlignment="1">
      <alignment horizontal="right"/>
    </xf>
    <xf numFmtId="164" fontId="9" fillId="0" borderId="6" xfId="0" applyNumberFormat="1" applyFont="1" applyBorder="1" applyAlignment="1">
      <alignment horizontal="right"/>
    </xf>
    <xf numFmtId="164" fontId="9" fillId="0" borderId="9" xfId="0" applyNumberFormat="1" applyFont="1" applyBorder="1" applyAlignment="1">
      <alignment horizontal="right"/>
    </xf>
    <xf numFmtId="164" fontId="9" fillId="0" borderId="25" xfId="0" applyNumberFormat="1" applyFont="1" applyBorder="1" applyAlignment="1">
      <alignment horizontal="right"/>
    </xf>
    <xf numFmtId="3" fontId="9" fillId="0" borderId="140" xfId="0" applyNumberFormat="1" applyFont="1" applyBorder="1" applyAlignment="1">
      <alignment horizontal="right"/>
    </xf>
    <xf numFmtId="0" fontId="6" fillId="0" borderId="51" xfId="0" applyFont="1" applyBorder="1" applyAlignment="1">
      <alignment horizontal="right"/>
    </xf>
    <xf numFmtId="0" fontId="6" fillId="0" borderId="52" xfId="0" applyFont="1" applyBorder="1" applyAlignment="1">
      <alignment horizontal="left"/>
    </xf>
    <xf numFmtId="0" fontId="6" fillId="0" borderId="76" xfId="0" applyFont="1" applyBorder="1" applyAlignment="1">
      <alignment horizontal="left"/>
    </xf>
    <xf numFmtId="0" fontId="7" fillId="0" borderId="62" xfId="0" applyFont="1" applyBorder="1" applyAlignment="1">
      <alignment horizontal="right"/>
    </xf>
    <xf numFmtId="0" fontId="8" fillId="0" borderId="81" xfId="0" applyFont="1" applyBorder="1" applyAlignment="1">
      <alignment horizontal="center"/>
    </xf>
    <xf numFmtId="0" fontId="6" fillId="0" borderId="57" xfId="0" applyFont="1" applyBorder="1" applyAlignment="1">
      <alignment horizontal="center"/>
    </xf>
    <xf numFmtId="0" fontId="6" fillId="0" borderId="101" xfId="0" applyFont="1" applyBorder="1" applyAlignment="1">
      <alignment horizontal="left"/>
    </xf>
    <xf numFmtId="164" fontId="7" fillId="0" borderId="23" xfId="0" applyNumberFormat="1" applyFont="1" applyBorder="1" applyAlignment="1">
      <alignment horizontal="right"/>
    </xf>
    <xf numFmtId="164" fontId="7" fillId="0" borderId="57" xfId="0" applyNumberFormat="1" applyFont="1" applyBorder="1" applyAlignment="1">
      <alignment horizontal="right"/>
    </xf>
    <xf numFmtId="164" fontId="7" fillId="0" borderId="0" xfId="0" applyNumberFormat="1" applyFont="1" applyAlignment="1">
      <alignment horizontal="right"/>
    </xf>
    <xf numFmtId="0" fontId="7" fillId="0" borderId="24" xfId="0" applyFont="1" applyBorder="1" applyAlignment="1">
      <alignment horizontal="right"/>
    </xf>
    <xf numFmtId="0" fontId="7" fillId="0" borderId="57" xfId="0" applyFont="1" applyBorder="1" applyAlignment="1">
      <alignment horizontal="right"/>
    </xf>
    <xf numFmtId="0" fontId="7" fillId="0" borderId="23" xfId="0" applyFont="1" applyBorder="1" applyAlignment="1">
      <alignment horizontal="right"/>
    </xf>
    <xf numFmtId="0" fontId="7" fillId="0" borderId="38" xfId="0" applyFont="1" applyBorder="1" applyAlignment="1">
      <alignment horizontal="right"/>
    </xf>
    <xf numFmtId="0" fontId="6" fillId="0" borderId="4" xfId="0" applyFont="1" applyBorder="1" applyAlignment="1">
      <alignment horizontal="right"/>
    </xf>
    <xf numFmtId="0" fontId="6" fillId="0" borderId="205" xfId="0" applyFont="1" applyBorder="1" applyAlignment="1">
      <alignment horizontal="left"/>
    </xf>
    <xf numFmtId="0" fontId="6" fillId="0" borderId="63" xfId="0" applyFont="1" applyBorder="1" applyAlignment="1">
      <alignment horizontal="left"/>
    </xf>
    <xf numFmtId="164" fontId="7" fillId="0" borderId="223" xfId="0" applyNumberFormat="1" applyFont="1" applyBorder="1" applyAlignment="1">
      <alignment horizontal="right"/>
    </xf>
    <xf numFmtId="164" fontId="7" fillId="0" borderId="205" xfId="0" applyNumberFormat="1" applyFont="1" applyBorder="1" applyAlignment="1">
      <alignment horizontal="right"/>
    </xf>
    <xf numFmtId="0" fontId="7" fillId="0" borderId="205" xfId="0" applyFont="1" applyBorder="1" applyAlignment="1">
      <alignment horizontal="right"/>
    </xf>
    <xf numFmtId="0" fontId="7" fillId="0" borderId="201" xfId="0" applyFont="1" applyBorder="1" applyAlignment="1">
      <alignment horizontal="right"/>
    </xf>
    <xf numFmtId="0" fontId="7" fillId="0" borderId="220" xfId="0" applyFont="1" applyBorder="1" applyAlignment="1">
      <alignment horizontal="right"/>
    </xf>
    <xf numFmtId="0" fontId="8" fillId="0" borderId="63" xfId="0" applyFont="1" applyBorder="1" applyAlignment="1">
      <alignment horizontal="center"/>
    </xf>
    <xf numFmtId="164" fontId="9" fillId="0" borderId="65" xfId="0" applyNumberFormat="1" applyFont="1" applyBorder="1" applyAlignment="1">
      <alignment horizontal="right"/>
    </xf>
    <xf numFmtId="164" fontId="9" fillId="0" borderId="49" xfId="0" applyNumberFormat="1" applyFont="1" applyBorder="1" applyAlignment="1">
      <alignment horizontal="right"/>
    </xf>
    <xf numFmtId="164" fontId="9" fillId="0" borderId="68" xfId="0" applyNumberFormat="1" applyFont="1" applyBorder="1" applyAlignment="1">
      <alignment horizontal="right"/>
    </xf>
    <xf numFmtId="0" fontId="9" fillId="0" borderId="64" xfId="0" applyFont="1" applyBorder="1" applyAlignment="1">
      <alignment horizontal="right"/>
    </xf>
    <xf numFmtId="0" fontId="9" fillId="0" borderId="65" xfId="0" applyFont="1" applyBorder="1" applyAlignment="1">
      <alignment horizontal="right"/>
    </xf>
    <xf numFmtId="0" fontId="9" fillId="0" borderId="68" xfId="0" applyFont="1" applyBorder="1" applyAlignment="1">
      <alignment horizontal="right"/>
    </xf>
    <xf numFmtId="0" fontId="9" fillId="0" borderId="50" xfId="0" applyFont="1" applyBorder="1" applyAlignment="1">
      <alignment horizontal="right"/>
    </xf>
    <xf numFmtId="3" fontId="7" fillId="0" borderId="83" xfId="0" applyNumberFormat="1" applyFont="1" applyBorder="1" applyAlignment="1">
      <alignment horizontal="right"/>
    </xf>
    <xf numFmtId="0" fontId="6" fillId="0" borderId="2" xfId="0" applyFont="1" applyBorder="1"/>
    <xf numFmtId="0" fontId="6" fillId="0" borderId="15" xfId="0" applyFont="1" applyBorder="1"/>
    <xf numFmtId="0" fontId="6" fillId="0" borderId="82" xfId="0" applyFont="1" applyBorder="1" applyAlignment="1">
      <alignment horizontal="left"/>
    </xf>
    <xf numFmtId="0" fontId="6" fillId="0" borderId="76" xfId="0" applyFont="1" applyBorder="1"/>
    <xf numFmtId="0" fontId="6" fillId="0" borderId="62" xfId="0" applyFont="1" applyBorder="1"/>
    <xf numFmtId="0" fontId="6" fillId="0" borderId="81" xfId="0" applyFont="1" applyBorder="1"/>
    <xf numFmtId="0" fontId="6" fillId="0" borderId="222" xfId="0" applyFont="1" applyBorder="1"/>
    <xf numFmtId="0" fontId="6" fillId="0" borderId="205" xfId="0" applyFont="1" applyBorder="1"/>
    <xf numFmtId="0" fontId="6" fillId="0" borderId="83" xfId="0" applyFont="1" applyBorder="1"/>
    <xf numFmtId="0" fontId="6" fillId="0" borderId="229" xfId="0" applyFont="1" applyBorder="1"/>
    <xf numFmtId="0" fontId="6" fillId="0" borderId="102" xfId="0" applyFont="1" applyBorder="1" applyAlignment="1">
      <alignment horizontal="left"/>
    </xf>
    <xf numFmtId="164" fontId="6" fillId="0" borderId="26" xfId="0" applyNumberFormat="1" applyFont="1" applyBorder="1"/>
    <xf numFmtId="164" fontId="6" fillId="0" borderId="23" xfId="0" applyNumberFormat="1" applyFont="1" applyBorder="1"/>
    <xf numFmtId="164" fontId="6" fillId="0" borderId="57" xfId="0" applyNumberFormat="1" applyFont="1" applyBorder="1"/>
    <xf numFmtId="3" fontId="7" fillId="0" borderId="57" xfId="0" applyNumberFormat="1" applyFont="1" applyBorder="1"/>
    <xf numFmtId="0" fontId="8" fillId="0" borderId="221" xfId="0" applyFont="1" applyBorder="1" applyAlignment="1">
      <alignment horizontal="center"/>
    </xf>
    <xf numFmtId="0" fontId="6" fillId="0" borderId="226" xfId="0" applyFont="1" applyBorder="1" applyAlignment="1">
      <alignment horizontal="left"/>
    </xf>
    <xf numFmtId="0" fontId="6" fillId="0" borderId="221" xfId="0" applyFont="1" applyBorder="1" applyAlignment="1">
      <alignment horizontal="left"/>
    </xf>
    <xf numFmtId="0" fontId="6" fillId="0" borderId="217" xfId="0" applyFont="1" applyBorder="1" applyAlignment="1">
      <alignment wrapText="1"/>
    </xf>
    <xf numFmtId="0" fontId="6" fillId="0" borderId="103" xfId="0" applyFont="1" applyBorder="1"/>
    <xf numFmtId="0" fontId="6" fillId="0" borderId="106" xfId="0" applyFont="1" applyBorder="1"/>
    <xf numFmtId="0" fontId="6" fillId="0" borderId="97" xfId="0" applyFont="1" applyBorder="1" applyAlignment="1">
      <alignment horizontal="left"/>
    </xf>
    <xf numFmtId="3" fontId="7" fillId="0" borderId="103" xfId="0" applyNumberFormat="1" applyFont="1" applyBorder="1"/>
    <xf numFmtId="3" fontId="7" fillId="0" borderId="111" xfId="0" applyNumberFormat="1" applyFont="1" applyBorder="1"/>
    <xf numFmtId="0" fontId="6" fillId="0" borderId="97" xfId="0" applyFont="1" applyBorder="1"/>
    <xf numFmtId="0" fontId="8" fillId="0" borderId="61" xfId="0" applyFont="1" applyBorder="1" applyAlignment="1">
      <alignment horizontal="center"/>
    </xf>
    <xf numFmtId="3" fontId="7" fillId="0" borderId="49" xfId="0" applyNumberFormat="1" applyFont="1" applyBorder="1"/>
    <xf numFmtId="0" fontId="7" fillId="0" borderId="51" xfId="0" applyFont="1" applyBorder="1"/>
    <xf numFmtId="0" fontId="7" fillId="0" borderId="76" xfId="0" applyFont="1" applyBorder="1"/>
    <xf numFmtId="0" fontId="7" fillId="0" borderId="222" xfId="0" applyFont="1" applyBorder="1"/>
    <xf numFmtId="0" fontId="7" fillId="0" borderId="181" xfId="0" applyFont="1" applyBorder="1" applyAlignment="1">
      <alignment horizontal="left" wrapText="1"/>
    </xf>
    <xf numFmtId="0" fontId="7" fillId="0" borderId="82" xfId="0" applyFont="1" applyBorder="1" applyAlignment="1">
      <alignment horizontal="left" wrapText="1"/>
    </xf>
    <xf numFmtId="0" fontId="6" fillId="0" borderId="82" xfId="0" applyFont="1" applyBorder="1"/>
    <xf numFmtId="0" fontId="7" fillId="0" borderId="63" xfId="0" applyFont="1" applyBorder="1" applyAlignment="1">
      <alignment horizontal="left" wrapText="1"/>
    </xf>
    <xf numFmtId="3" fontId="9" fillId="0" borderId="0" xfId="0" applyNumberFormat="1" applyFont="1"/>
    <xf numFmtId="0" fontId="7" fillId="0" borderId="76" xfId="0" applyFont="1" applyBorder="1" applyAlignment="1">
      <alignment horizontal="left"/>
    </xf>
    <xf numFmtId="0" fontId="9" fillId="0" borderId="222" xfId="0" applyFont="1" applyBorder="1" applyAlignment="1">
      <alignment horizontal="center"/>
    </xf>
    <xf numFmtId="0" fontId="9" fillId="0" borderId="205" xfId="0" applyFont="1" applyBorder="1" applyAlignment="1">
      <alignment horizontal="center"/>
    </xf>
    <xf numFmtId="0" fontId="6" fillId="0" borderId="50" xfId="0" applyFont="1" applyBorder="1"/>
    <xf numFmtId="0" fontId="9" fillId="0" borderId="76" xfId="0" applyFont="1" applyBorder="1" applyAlignment="1">
      <alignment horizontal="center"/>
    </xf>
    <xf numFmtId="164" fontId="8" fillId="0" borderId="56" xfId="0" applyNumberFormat="1" applyFont="1" applyBorder="1"/>
    <xf numFmtId="164" fontId="8" fillId="0" borderId="32" xfId="0" applyNumberFormat="1" applyFont="1" applyBorder="1"/>
    <xf numFmtId="164" fontId="8" fillId="0" borderId="55" xfId="0" applyNumberFormat="1" applyFont="1" applyBorder="1"/>
    <xf numFmtId="3" fontId="8" fillId="0" borderId="58" xfId="0" applyNumberFormat="1" applyFont="1" applyBorder="1"/>
    <xf numFmtId="3" fontId="8" fillId="0" borderId="32" xfId="0" applyNumberFormat="1" applyFont="1" applyBorder="1"/>
    <xf numFmtId="3" fontId="8" fillId="0" borderId="56" xfId="0" applyNumberFormat="1" applyFont="1" applyBorder="1"/>
    <xf numFmtId="3" fontId="8" fillId="0" borderId="47" xfId="0" applyNumberFormat="1" applyFont="1" applyBorder="1"/>
    <xf numFmtId="0" fontId="6" fillId="0" borderId="131" xfId="0" applyFont="1" applyBorder="1"/>
    <xf numFmtId="164" fontId="8" fillId="0" borderId="80" xfId="0" applyNumberFormat="1" applyFont="1" applyBorder="1"/>
    <xf numFmtId="0" fontId="6" fillId="0" borderId="142" xfId="0" applyFont="1" applyBorder="1"/>
    <xf numFmtId="3" fontId="7" fillId="0" borderId="35" xfId="0" applyNumberFormat="1" applyFont="1" applyBorder="1"/>
    <xf numFmtId="0" fontId="8" fillId="0" borderId="83" xfId="0" applyFont="1" applyBorder="1"/>
    <xf numFmtId="0" fontId="6" fillId="0" borderId="45" xfId="0" applyFont="1" applyBorder="1"/>
    <xf numFmtId="0" fontId="6" fillId="0" borderId="46" xfId="0" applyFont="1" applyBorder="1"/>
    <xf numFmtId="0" fontId="8" fillId="0" borderId="55" xfId="0" applyFont="1" applyBorder="1" applyAlignment="1">
      <alignment horizontal="center"/>
    </xf>
    <xf numFmtId="164" fontId="6" fillId="0" borderId="56" xfId="0" applyNumberFormat="1" applyFont="1" applyBorder="1"/>
    <xf numFmtId="164" fontId="6" fillId="0" borderId="46" xfId="0" applyNumberFormat="1" applyFont="1" applyBorder="1"/>
    <xf numFmtId="164" fontId="6" fillId="0" borderId="55" xfId="0" applyNumberFormat="1" applyFont="1" applyBorder="1"/>
    <xf numFmtId="3" fontId="7" fillId="0" borderId="58" xfId="0" applyNumberFormat="1" applyFont="1" applyBorder="1"/>
    <xf numFmtId="0" fontId="6" fillId="0" borderId="102" xfId="0" applyFont="1" applyBorder="1"/>
    <xf numFmtId="0" fontId="7" fillId="0" borderId="225" xfId="0" applyFont="1" applyBorder="1" applyAlignment="1">
      <alignment horizontal="right"/>
    </xf>
    <xf numFmtId="0" fontId="7" fillId="0" borderId="221" xfId="0" applyFont="1" applyBorder="1" applyAlignment="1">
      <alignment horizontal="left"/>
    </xf>
    <xf numFmtId="0" fontId="8" fillId="0" borderId="181" xfId="0" applyFont="1" applyBorder="1"/>
    <xf numFmtId="0" fontId="7" fillId="0" borderId="37" xfId="0" applyFont="1" applyBorder="1" applyAlignment="1">
      <alignment horizontal="right"/>
    </xf>
    <xf numFmtId="0" fontId="7" fillId="0" borderId="15" xfId="0" applyFont="1" applyBorder="1" applyAlignment="1">
      <alignment horizontal="left"/>
    </xf>
    <xf numFmtId="0" fontId="8" fillId="0" borderId="82" xfId="0" applyFont="1" applyBorder="1"/>
    <xf numFmtId="0" fontId="7" fillId="0" borderId="8" xfId="0" applyFont="1" applyBorder="1" applyAlignment="1">
      <alignment horizontal="left"/>
    </xf>
    <xf numFmtId="0" fontId="6" fillId="0" borderId="28" xfId="0" applyFont="1" applyBorder="1"/>
    <xf numFmtId="0" fontId="6" fillId="0" borderId="36" xfId="0" applyFont="1" applyBorder="1"/>
    <xf numFmtId="0" fontId="9" fillId="0" borderId="16" xfId="0" applyFont="1" applyBorder="1" applyAlignment="1">
      <alignment horizontal="center"/>
    </xf>
    <xf numFmtId="0" fontId="8" fillId="0" borderId="98" xfId="0" applyFont="1" applyBorder="1"/>
    <xf numFmtId="0" fontId="7" fillId="0" borderId="59" xfId="0" applyFont="1" applyBorder="1" applyAlignment="1">
      <alignment horizontal="right"/>
    </xf>
    <xf numFmtId="0" fontId="8" fillId="0" borderId="81" xfId="0" applyFont="1" applyBorder="1"/>
    <xf numFmtId="0" fontId="7" fillId="0" borderId="28" xfId="0" applyFont="1" applyBorder="1" applyAlignment="1">
      <alignment horizontal="right"/>
    </xf>
    <xf numFmtId="3" fontId="7" fillId="0" borderId="36" xfId="0" applyNumberFormat="1" applyFont="1" applyBorder="1"/>
    <xf numFmtId="3" fontId="7" fillId="0" borderId="46" xfId="0" applyNumberFormat="1" applyFont="1" applyBorder="1"/>
    <xf numFmtId="0" fontId="6" fillId="0" borderId="31" xfId="0" applyFont="1" applyBorder="1" applyAlignment="1">
      <alignment horizontal="left" wrapText="1"/>
    </xf>
    <xf numFmtId="3" fontId="9" fillId="0" borderId="128" xfId="0" applyNumberFormat="1" applyFont="1" applyBorder="1"/>
    <xf numFmtId="3" fontId="9" fillId="0" borderId="79" xfId="0" applyNumberFormat="1" applyFont="1" applyBorder="1"/>
    <xf numFmtId="0" fontId="6" fillId="0" borderId="130" xfId="0" applyFont="1" applyBorder="1"/>
    <xf numFmtId="0" fontId="7" fillId="0" borderId="38" xfId="0" applyFont="1" applyBorder="1"/>
    <xf numFmtId="0" fontId="7" fillId="0" borderId="23" xfId="0" applyFont="1" applyBorder="1"/>
    <xf numFmtId="0" fontId="7" fillId="0" borderId="26" xfId="0" applyFont="1" applyBorder="1"/>
    <xf numFmtId="164" fontId="7" fillId="0" borderId="27" xfId="0" applyNumberFormat="1" applyFont="1" applyBorder="1"/>
    <xf numFmtId="164" fontId="7" fillId="0" borderId="0" xfId="5" applyNumberFormat="1" applyFont="1" applyFill="1" applyBorder="1" applyAlignment="1">
      <alignment horizontal="right"/>
    </xf>
    <xf numFmtId="0" fontId="31" fillId="0" borderId="101" xfId="0" applyFont="1" applyBorder="1"/>
    <xf numFmtId="167" fontId="7" fillId="0" borderId="24" xfId="0" applyNumberFormat="1" applyFont="1" applyBorder="1"/>
    <xf numFmtId="167" fontId="7" fillId="0" borderId="23" xfId="0" applyNumberFormat="1" applyFont="1" applyBorder="1"/>
    <xf numFmtId="167" fontId="7" fillId="0" borderId="57" xfId="0" applyNumberFormat="1" applyFont="1" applyBorder="1"/>
    <xf numFmtId="167" fontId="7" fillId="0" borderId="25" xfId="0" applyNumberFormat="1" applyFont="1" applyBorder="1"/>
    <xf numFmtId="0" fontId="7" fillId="0" borderId="27" xfId="0" applyFont="1" applyBorder="1" applyAlignment="1">
      <alignment wrapText="1"/>
    </xf>
    <xf numFmtId="0" fontId="6" fillId="0" borderId="42" xfId="0" applyFont="1" applyBorder="1"/>
    <xf numFmtId="0" fontId="7" fillId="0" borderId="258" xfId="0" applyFont="1" applyBorder="1"/>
    <xf numFmtId="164" fontId="9" fillId="0" borderId="74" xfId="0" applyNumberFormat="1" applyFont="1" applyBorder="1" applyAlignment="1">
      <alignment vertical="center"/>
    </xf>
    <xf numFmtId="166" fontId="9" fillId="0" borderId="133" xfId="0" applyNumberFormat="1" applyFont="1" applyBorder="1"/>
    <xf numFmtId="169" fontId="8" fillId="0" borderId="133" xfId="0" applyNumberFormat="1" applyFont="1" applyBorder="1"/>
    <xf numFmtId="169" fontId="8" fillId="0" borderId="74" xfId="0" applyNumberFormat="1" applyFont="1" applyBorder="1"/>
    <xf numFmtId="169" fontId="9" fillId="0" borderId="74" xfId="0" applyNumberFormat="1" applyFont="1" applyBorder="1"/>
    <xf numFmtId="169" fontId="9" fillId="0" borderId="87" xfId="0" applyNumberFormat="1" applyFont="1" applyBorder="1"/>
    <xf numFmtId="166" fontId="9" fillId="0" borderId="80" xfId="0" applyNumberFormat="1" applyFont="1" applyBorder="1"/>
    <xf numFmtId="166" fontId="9" fillId="0" borderId="87" xfId="0" applyNumberFormat="1" applyFont="1" applyBorder="1"/>
    <xf numFmtId="0" fontId="31" fillId="0" borderId="27" xfId="0" applyFont="1" applyBorder="1"/>
    <xf numFmtId="164" fontId="7" fillId="0" borderId="37" xfId="0" applyNumberFormat="1" applyFont="1" applyBorder="1" applyAlignment="1">
      <alignment horizontal="right"/>
    </xf>
    <xf numFmtId="164" fontId="7" fillId="0" borderId="222" xfId="0" applyNumberFormat="1" applyFont="1" applyBorder="1" applyAlignment="1">
      <alignment horizontal="right"/>
    </xf>
    <xf numFmtId="4" fontId="6" fillId="0" borderId="51" xfId="0" applyNumberFormat="1" applyFont="1" applyBorder="1"/>
    <xf numFmtId="0" fontId="7" fillId="0" borderId="15" xfId="0" applyFont="1" applyBorder="1" applyAlignment="1">
      <alignment horizontal="center" wrapText="1"/>
    </xf>
    <xf numFmtId="3" fontId="6" fillId="0" borderId="225" xfId="0" applyNumberFormat="1" applyFont="1" applyBorder="1"/>
    <xf numFmtId="3" fontId="6" fillId="0" borderId="101" xfId="0" applyNumberFormat="1" applyFont="1" applyBorder="1"/>
    <xf numFmtId="0" fontId="6" fillId="0" borderId="29" xfId="0" applyFont="1" applyBorder="1"/>
    <xf numFmtId="0" fontId="6" fillId="0" borderId="185" xfId="0" applyFont="1" applyBorder="1" applyAlignment="1">
      <alignment horizontal="left"/>
    </xf>
    <xf numFmtId="0" fontId="6" fillId="0" borderId="16" xfId="0" applyFont="1" applyBorder="1"/>
    <xf numFmtId="9" fontId="8" fillId="0" borderId="130" xfId="5" applyFont="1" applyFill="1" applyBorder="1"/>
    <xf numFmtId="2" fontId="8" fillId="0" borderId="129" xfId="0" applyNumberFormat="1" applyFont="1" applyBorder="1"/>
    <xf numFmtId="3" fontId="8" fillId="0" borderId="77" xfId="0" applyNumberFormat="1" applyFont="1" applyBorder="1"/>
    <xf numFmtId="2" fontId="9" fillId="0" borderId="166" xfId="0" applyNumberFormat="1" applyFont="1" applyBorder="1" applyAlignment="1">
      <alignment horizontal="right"/>
    </xf>
    <xf numFmtId="0" fontId="8" fillId="0" borderId="130" xfId="0" applyFont="1" applyBorder="1" applyAlignment="1">
      <alignment vertical="center" wrapText="1"/>
    </xf>
    <xf numFmtId="3" fontId="8" fillId="0" borderId="130" xfId="0" applyNumberFormat="1" applyFont="1" applyBorder="1"/>
    <xf numFmtId="9" fontId="8" fillId="0" borderId="79" xfId="5" applyFont="1" applyFill="1" applyBorder="1"/>
    <xf numFmtId="164" fontId="8" fillId="0" borderId="86" xfId="0" applyNumberFormat="1" applyFont="1" applyBorder="1"/>
    <xf numFmtId="164" fontId="8" fillId="0" borderId="129" xfId="0" applyNumberFormat="1" applyFont="1" applyBorder="1"/>
    <xf numFmtId="3" fontId="8" fillId="0" borderId="86" xfId="0" applyNumberFormat="1" applyFont="1" applyBorder="1"/>
    <xf numFmtId="3" fontId="9" fillId="0" borderId="130" xfId="0" applyNumberFormat="1" applyFont="1" applyBorder="1" applyAlignment="1">
      <alignment horizontal="right"/>
    </xf>
    <xf numFmtId="0" fontId="8" fillId="0" borderId="202" xfId="0" applyFont="1" applyBorder="1" applyAlignment="1">
      <alignment horizontal="center"/>
    </xf>
    <xf numFmtId="49" fontId="7" fillId="0" borderId="219" xfId="0" applyNumberFormat="1" applyFont="1" applyBorder="1" applyAlignment="1">
      <alignment wrapText="1"/>
    </xf>
    <xf numFmtId="0" fontId="7" fillId="0" borderId="233" xfId="0" applyFont="1" applyBorder="1" applyAlignment="1">
      <alignment horizontal="left"/>
    </xf>
    <xf numFmtId="164" fontId="7" fillId="0" borderId="233" xfId="0" applyNumberFormat="1" applyFont="1" applyBorder="1"/>
    <xf numFmtId="0" fontId="6" fillId="0" borderId="219" xfId="0" applyFont="1" applyBorder="1"/>
    <xf numFmtId="3" fontId="6" fillId="0" borderId="219" xfId="0" applyNumberFormat="1" applyFont="1" applyBorder="1"/>
    <xf numFmtId="3" fontId="6" fillId="0" borderId="232" xfId="0" applyNumberFormat="1" applyFont="1" applyBorder="1"/>
    <xf numFmtId="0" fontId="8" fillId="0" borderId="240" xfId="0" applyFont="1" applyBorder="1" applyAlignment="1">
      <alignment horizontal="center"/>
    </xf>
    <xf numFmtId="164" fontId="6" fillId="0" borderId="229" xfId="0" applyNumberFormat="1" applyFont="1" applyBorder="1"/>
    <xf numFmtId="164" fontId="6" fillId="0" borderId="240" xfId="0" applyNumberFormat="1" applyFont="1" applyBorder="1"/>
    <xf numFmtId="164" fontId="6" fillId="0" borderId="232" xfId="0" applyNumberFormat="1" applyFont="1" applyBorder="1"/>
    <xf numFmtId="164" fontId="6" fillId="0" borderId="233" xfId="0" applyNumberFormat="1" applyFont="1" applyBorder="1"/>
    <xf numFmtId="0" fontId="8" fillId="0" borderId="53" xfId="4" applyFont="1" applyBorder="1" applyAlignment="1">
      <alignment horizontal="center" wrapText="1"/>
    </xf>
    <xf numFmtId="0" fontId="7" fillId="0" borderId="0" xfId="0" applyFont="1" applyAlignment="1">
      <alignment horizontal="left" wrapText="1"/>
    </xf>
    <xf numFmtId="0" fontId="9" fillId="0" borderId="203"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48" xfId="0" applyFont="1" applyBorder="1" applyAlignment="1">
      <alignment horizontal="center"/>
    </xf>
    <xf numFmtId="0" fontId="9" fillId="0" borderId="50" xfId="4" applyFont="1" applyBorder="1" applyAlignment="1">
      <alignment horizontal="center" vertical="center"/>
    </xf>
    <xf numFmtId="0" fontId="9" fillId="0" borderId="27" xfId="0" applyFont="1" applyBorder="1" applyAlignment="1">
      <alignment horizontal="center"/>
    </xf>
    <xf numFmtId="0" fontId="8" fillId="0" borderId="234" xfId="0" applyFont="1" applyBorder="1" applyAlignment="1">
      <alignment horizontal="center" vertical="center" wrapText="1"/>
    </xf>
    <xf numFmtId="0" fontId="8" fillId="0" borderId="132" xfId="0" applyFont="1" applyBorder="1" applyAlignment="1">
      <alignment horizontal="center" vertical="center" wrapText="1"/>
    </xf>
    <xf numFmtId="0" fontId="9" fillId="0" borderId="48" xfId="4" applyFont="1" applyBorder="1" applyAlignment="1">
      <alignment horizontal="center" vertical="center"/>
    </xf>
    <xf numFmtId="0" fontId="8" fillId="0" borderId="83" xfId="0" applyFont="1" applyBorder="1" applyAlignment="1">
      <alignment horizontal="center" vertical="center" wrapText="1"/>
    </xf>
    <xf numFmtId="0" fontId="6" fillId="0" borderId="0" xfId="0" applyFont="1" applyAlignment="1">
      <alignment horizontal="left" wrapText="1"/>
    </xf>
    <xf numFmtId="0" fontId="8" fillId="0" borderId="0" xfId="0" applyFont="1" applyAlignment="1">
      <alignment horizontal="center" vertical="center" wrapText="1"/>
    </xf>
    <xf numFmtId="0" fontId="8" fillId="0" borderId="49" xfId="0" applyFont="1" applyBorder="1" applyAlignment="1">
      <alignment horizontal="center" vertical="center" wrapText="1"/>
    </xf>
    <xf numFmtId="0" fontId="9" fillId="0" borderId="72" xfId="0" applyFont="1" applyBorder="1" applyAlignment="1">
      <alignment horizontal="center"/>
    </xf>
    <xf numFmtId="0" fontId="9" fillId="0" borderId="73" xfId="0" applyFont="1" applyBorder="1" applyAlignment="1">
      <alignment horizontal="center"/>
    </xf>
    <xf numFmtId="0" fontId="9" fillId="0" borderId="64" xfId="0" applyFont="1" applyBorder="1" applyAlignment="1">
      <alignment horizontal="center"/>
    </xf>
    <xf numFmtId="0" fontId="9" fillId="0" borderId="65" xfId="0" applyFont="1" applyBorder="1" applyAlignment="1">
      <alignment horizontal="center"/>
    </xf>
    <xf numFmtId="0" fontId="9" fillId="0" borderId="68" xfId="0" applyFont="1" applyBorder="1" applyAlignment="1">
      <alignment horizontal="center"/>
    </xf>
    <xf numFmtId="0" fontId="9" fillId="0" borderId="133" xfId="0" applyFont="1" applyBorder="1" applyAlignment="1">
      <alignment horizontal="center" wrapText="1"/>
    </xf>
    <xf numFmtId="0" fontId="9" fillId="0" borderId="131" xfId="0" applyFont="1" applyBorder="1" applyAlignment="1">
      <alignment horizontal="center" wrapText="1"/>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0" xfId="0" applyFont="1" applyAlignment="1">
      <alignment horizontal="center" vertical="center"/>
    </xf>
    <xf numFmtId="0" fontId="9" fillId="0" borderId="74" xfId="0" applyFont="1" applyBorder="1" applyAlignment="1">
      <alignment horizontal="center"/>
    </xf>
    <xf numFmtId="0" fontId="8" fillId="0" borderId="27" xfId="0" applyFont="1" applyBorder="1" applyAlignment="1">
      <alignment horizontal="center"/>
    </xf>
    <xf numFmtId="0" fontId="8" fillId="0" borderId="0" xfId="0" applyFont="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8" fillId="0" borderId="100"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8" fillId="0" borderId="132" xfId="0" applyFont="1" applyBorder="1" applyAlignment="1">
      <alignment horizontal="center"/>
    </xf>
    <xf numFmtId="0" fontId="8" fillId="0" borderId="131" xfId="0" applyFont="1" applyBorder="1" applyAlignment="1">
      <alignment horizontal="center"/>
    </xf>
    <xf numFmtId="0" fontId="8" fillId="0" borderId="213" xfId="0" applyFont="1" applyBorder="1" applyAlignment="1">
      <alignment horizontal="center" vertical="center"/>
    </xf>
    <xf numFmtId="0" fontId="8" fillId="0" borderId="133" xfId="0" applyFont="1" applyBorder="1" applyAlignment="1">
      <alignment horizontal="center" vertical="center"/>
    </xf>
    <xf numFmtId="0" fontId="8" fillId="0" borderId="131" xfId="0" applyFont="1" applyBorder="1" applyAlignment="1">
      <alignment horizontal="center" vertical="center"/>
    </xf>
    <xf numFmtId="0" fontId="9" fillId="0" borderId="133" xfId="0" applyFont="1" applyBorder="1" applyAlignment="1">
      <alignment horizontal="center" vertical="center"/>
    </xf>
    <xf numFmtId="0" fontId="9" fillId="0" borderId="73" xfId="0" applyFont="1" applyBorder="1" applyAlignment="1">
      <alignment horizontal="center" vertical="center" wrapText="1"/>
    </xf>
    <xf numFmtId="3" fontId="6" fillId="0" borderId="240" xfId="0" applyNumberFormat="1" applyFont="1" applyBorder="1"/>
    <xf numFmtId="0" fontId="6" fillId="0" borderId="190" xfId="0" applyFont="1" applyBorder="1"/>
    <xf numFmtId="0" fontId="6" fillId="0" borderId="240" xfId="0" applyFont="1" applyBorder="1"/>
    <xf numFmtId="0" fontId="8" fillId="0" borderId="216" xfId="0" applyFont="1" applyBorder="1" applyAlignment="1">
      <alignment horizontal="center"/>
    </xf>
    <xf numFmtId="164" fontId="6" fillId="0" borderId="215" xfId="0" applyNumberFormat="1" applyFont="1" applyBorder="1"/>
    <xf numFmtId="0" fontId="6" fillId="0" borderId="216" xfId="0" applyFont="1" applyBorder="1"/>
    <xf numFmtId="0" fontId="7" fillId="0" borderId="53" xfId="0" applyFont="1" applyBorder="1"/>
    <xf numFmtId="164" fontId="6" fillId="0" borderId="60" xfId="129" applyNumberFormat="1" applyFont="1" applyBorder="1"/>
    <xf numFmtId="0" fontId="7" fillId="0" borderId="36" xfId="0" applyFont="1" applyBorder="1"/>
    <xf numFmtId="164" fontId="6" fillId="0" borderId="11" xfId="129" applyNumberFormat="1" applyFont="1" applyBorder="1"/>
    <xf numFmtId="3" fontId="7" fillId="0" borderId="42" xfId="0" applyNumberFormat="1" applyFont="1" applyBorder="1"/>
    <xf numFmtId="0" fontId="7" fillId="0" borderId="205" xfId="0" applyFont="1" applyBorder="1"/>
    <xf numFmtId="0" fontId="7" fillId="0" borderId="202" xfId="0" applyFont="1" applyBorder="1"/>
    <xf numFmtId="9" fontId="6" fillId="0" borderId="98" xfId="5" applyFont="1" applyFill="1" applyBorder="1"/>
    <xf numFmtId="4" fontId="9" fillId="0" borderId="49" xfId="0" applyNumberFormat="1" applyFont="1" applyBorder="1" applyAlignment="1">
      <alignment horizontal="right"/>
    </xf>
    <xf numFmtId="4" fontId="9" fillId="0" borderId="133" xfId="0" applyNumberFormat="1" applyFont="1" applyBorder="1" applyAlignment="1">
      <alignment horizontal="right"/>
    </xf>
    <xf numFmtId="0" fontId="8" fillId="0" borderId="261" xfId="0" applyFont="1" applyBorder="1" applyAlignment="1">
      <alignment horizontal="center"/>
    </xf>
    <xf numFmtId="2" fontId="8" fillId="0" borderId="262" xfId="0" applyNumberFormat="1" applyFont="1" applyBorder="1"/>
    <xf numFmtId="2" fontId="8" fillId="0" borderId="263" xfId="0" applyNumberFormat="1" applyFont="1" applyBorder="1"/>
    <xf numFmtId="2" fontId="8" fillId="0" borderId="34" xfId="0" applyNumberFormat="1" applyFont="1" applyBorder="1"/>
    <xf numFmtId="2" fontId="8" fillId="0" borderId="138" xfId="0" applyNumberFormat="1" applyFont="1" applyBorder="1"/>
    <xf numFmtId="2" fontId="8" fillId="0" borderId="199" xfId="0" applyNumberFormat="1" applyFont="1" applyBorder="1"/>
    <xf numFmtId="2" fontId="8" fillId="0" borderId="197" xfId="0" applyNumberFormat="1" applyFont="1" applyBorder="1"/>
    <xf numFmtId="2" fontId="8" fillId="0" borderId="198" xfId="0" applyNumberFormat="1" applyFont="1" applyBorder="1"/>
    <xf numFmtId="2" fontId="8" fillId="0" borderId="34" xfId="0" applyNumberFormat="1" applyFont="1" applyBorder="1" applyAlignment="1">
      <alignment horizontal="right"/>
    </xf>
    <xf numFmtId="2" fontId="8" fillId="0" borderId="264" xfId="0" applyNumberFormat="1" applyFont="1" applyBorder="1" applyAlignment="1">
      <alignment horizontal="right"/>
    </xf>
    <xf numFmtId="2" fontId="8" fillId="0" borderId="197" xfId="0" applyNumberFormat="1" applyFont="1" applyBorder="1" applyAlignment="1">
      <alignment horizontal="right"/>
    </xf>
    <xf numFmtId="2" fontId="9" fillId="0" borderId="264" xfId="337" applyNumberFormat="1" applyFont="1" applyBorder="1" applyAlignment="1">
      <alignment vertical="center"/>
    </xf>
    <xf numFmtId="2" fontId="8" fillId="0" borderId="243" xfId="0" applyNumberFormat="1" applyFont="1" applyBorder="1" applyAlignment="1">
      <alignment horizontal="right"/>
    </xf>
    <xf numFmtId="2" fontId="8" fillId="0" borderId="228" xfId="0" applyNumberFormat="1" applyFont="1" applyBorder="1" applyAlignment="1">
      <alignment horizontal="right"/>
    </xf>
    <xf numFmtId="2" fontId="8" fillId="0" borderId="198" xfId="0" applyNumberFormat="1" applyFont="1" applyBorder="1" applyAlignment="1">
      <alignment horizontal="right"/>
    </xf>
    <xf numFmtId="2" fontId="8" fillId="0" borderId="265" xfId="0" applyNumberFormat="1" applyFont="1" applyBorder="1" applyAlignment="1">
      <alignment horizontal="right"/>
    </xf>
    <xf numFmtId="4" fontId="9" fillId="0" borderId="207" xfId="0" applyNumberFormat="1" applyFont="1" applyBorder="1" applyAlignment="1">
      <alignment horizontal="right"/>
    </xf>
    <xf numFmtId="2" fontId="8" fillId="0" borderId="263" xfId="0" applyNumberFormat="1" applyFont="1" applyBorder="1" applyAlignment="1">
      <alignment horizontal="right"/>
    </xf>
    <xf numFmtId="0" fontId="8" fillId="0" borderId="214" xfId="0" applyFont="1" applyBorder="1" applyAlignment="1">
      <alignment horizontal="center"/>
    </xf>
    <xf numFmtId="2" fontId="8" fillId="0" borderId="54" xfId="0" applyNumberFormat="1" applyFont="1" applyBorder="1" applyAlignment="1">
      <alignment horizontal="right"/>
    </xf>
    <xf numFmtId="2" fontId="8" fillId="0" borderId="216" xfId="0" applyNumberFormat="1" applyFont="1" applyBorder="1" applyAlignment="1">
      <alignment horizontal="right"/>
    </xf>
    <xf numFmtId="2" fontId="8" fillId="0" borderId="202" xfId="0" applyNumberFormat="1" applyFont="1" applyBorder="1" applyAlignment="1">
      <alignment horizontal="right"/>
    </xf>
    <xf numFmtId="2" fontId="8" fillId="0" borderId="128" xfId="0" applyNumberFormat="1" applyFont="1" applyBorder="1" applyAlignment="1">
      <alignment horizontal="right"/>
    </xf>
    <xf numFmtId="2" fontId="8" fillId="0" borderId="231" xfId="0" applyNumberFormat="1" applyFont="1" applyBorder="1" applyAlignment="1">
      <alignment horizontal="right"/>
    </xf>
    <xf numFmtId="2" fontId="8" fillId="0" borderId="53" xfId="0" applyNumberFormat="1" applyFont="1" applyBorder="1" applyAlignment="1">
      <alignment horizontal="right"/>
    </xf>
    <xf numFmtId="2" fontId="8" fillId="0" borderId="104" xfId="0" applyNumberFormat="1" applyFont="1" applyBorder="1" applyAlignment="1">
      <alignment horizontal="right"/>
    </xf>
    <xf numFmtId="2" fontId="8" fillId="0" borderId="25" xfId="0" applyNumberFormat="1" applyFont="1" applyBorder="1" applyAlignment="1">
      <alignment horizontal="right"/>
    </xf>
    <xf numFmtId="2" fontId="8" fillId="0" borderId="3" xfId="0" applyNumberFormat="1" applyFont="1" applyBorder="1" applyAlignment="1">
      <alignment horizontal="right"/>
    </xf>
    <xf numFmtId="2" fontId="8" fillId="0" borderId="128" xfId="0" applyNumberFormat="1" applyFont="1" applyBorder="1"/>
    <xf numFmtId="2" fontId="8" fillId="0" borderId="66" xfId="0" applyNumberFormat="1" applyFont="1" applyBorder="1"/>
    <xf numFmtId="2" fontId="8" fillId="0" borderId="172" xfId="0" applyNumberFormat="1" applyFont="1" applyBorder="1"/>
    <xf numFmtId="2" fontId="8" fillId="0" borderId="54" xfId="0" applyNumberFormat="1" applyFont="1" applyBorder="1"/>
    <xf numFmtId="2" fontId="8" fillId="0" borderId="202" xfId="0" applyNumberFormat="1" applyFont="1" applyBorder="1"/>
    <xf numFmtId="2" fontId="8" fillId="0" borderId="25" xfId="0" applyNumberFormat="1" applyFont="1" applyBorder="1"/>
    <xf numFmtId="2" fontId="8" fillId="0" borderId="216" xfId="0" applyNumberFormat="1" applyFont="1" applyBorder="1"/>
    <xf numFmtId="2" fontId="9" fillId="0" borderId="53" xfId="337" applyNumberFormat="1" applyFont="1" applyBorder="1" applyAlignment="1">
      <alignment vertical="center"/>
    </xf>
    <xf numFmtId="2" fontId="9" fillId="0" borderId="128" xfId="337" applyNumberFormat="1" applyFont="1" applyBorder="1"/>
    <xf numFmtId="2" fontId="8" fillId="0" borderId="66" xfId="0" applyNumberFormat="1" applyFont="1" applyBorder="1" applyAlignment="1">
      <alignment horizontal="right"/>
    </xf>
    <xf numFmtId="2" fontId="8" fillId="0" borderId="199" xfId="0" applyNumberFormat="1" applyFont="1" applyBorder="1" applyAlignment="1">
      <alignment horizontal="right"/>
    </xf>
    <xf numFmtId="2" fontId="8" fillId="0" borderId="138" xfId="0" applyNumberFormat="1" applyFont="1" applyBorder="1" applyAlignment="1">
      <alignment horizontal="right"/>
    </xf>
    <xf numFmtId="2" fontId="9" fillId="0" borderId="138" xfId="337" applyNumberFormat="1" applyFont="1" applyBorder="1"/>
    <xf numFmtId="4" fontId="9" fillId="0" borderId="138" xfId="0" applyNumberFormat="1" applyFont="1" applyBorder="1" applyAlignment="1">
      <alignment horizontal="right"/>
    </xf>
    <xf numFmtId="2" fontId="9" fillId="0" borderId="228" xfId="337" applyNumberFormat="1" applyFont="1" applyBorder="1"/>
    <xf numFmtId="2" fontId="8" fillId="0" borderId="262" xfId="0" applyNumberFormat="1" applyFont="1" applyBorder="1" applyAlignment="1">
      <alignment horizontal="right"/>
    </xf>
    <xf numFmtId="2" fontId="8" fillId="0" borderId="42" xfId="0" applyNumberFormat="1" applyFont="1" applyBorder="1" applyAlignment="1">
      <alignment horizontal="right"/>
    </xf>
    <xf numFmtId="2" fontId="8" fillId="0" borderId="47" xfId="0" applyNumberFormat="1" applyFont="1" applyBorder="1" applyAlignment="1">
      <alignment horizontal="right"/>
    </xf>
    <xf numFmtId="2" fontId="8" fillId="0" borderId="243" xfId="0" applyNumberFormat="1" applyFont="1" applyBorder="1"/>
    <xf numFmtId="2" fontId="8" fillId="0" borderId="266" xfId="0" applyNumberFormat="1" applyFont="1" applyBorder="1"/>
    <xf numFmtId="2" fontId="8" fillId="0" borderId="265" xfId="0" applyNumberFormat="1" applyFont="1" applyBorder="1"/>
    <xf numFmtId="0" fontId="6" fillId="0" borderId="38" xfId="0" applyFont="1" applyBorder="1"/>
    <xf numFmtId="0" fontId="8" fillId="0" borderId="231" xfId="0" applyFont="1" applyBorder="1" applyAlignment="1">
      <alignment horizontal="center"/>
    </xf>
    <xf numFmtId="2" fontId="8" fillId="0" borderId="3" xfId="0" applyNumberFormat="1" applyFont="1" applyBorder="1"/>
    <xf numFmtId="2" fontId="8" fillId="0" borderId="231" xfId="0" applyNumberFormat="1" applyFont="1" applyBorder="1"/>
    <xf numFmtId="2" fontId="9" fillId="0" borderId="25" xfId="337" applyNumberFormat="1" applyFont="1" applyBorder="1" applyAlignment="1">
      <alignment vertical="center"/>
    </xf>
    <xf numFmtId="4" fontId="9" fillId="0" borderId="25" xfId="0" applyNumberFormat="1" applyFont="1" applyBorder="1" applyAlignment="1">
      <alignment horizontal="right"/>
    </xf>
    <xf numFmtId="4" fontId="9" fillId="0" borderId="74" xfId="0" applyNumberFormat="1" applyFont="1" applyBorder="1" applyAlignment="1">
      <alignment horizontal="right"/>
    </xf>
    <xf numFmtId="4" fontId="9" fillId="0" borderId="66" xfId="0" applyNumberFormat="1" applyFont="1" applyBorder="1" applyAlignment="1">
      <alignment horizontal="right"/>
    </xf>
    <xf numFmtId="2" fontId="8" fillId="0" borderId="74" xfId="0" applyNumberFormat="1" applyFont="1" applyBorder="1" applyAlignment="1">
      <alignment horizontal="right"/>
    </xf>
    <xf numFmtId="4" fontId="9" fillId="0" borderId="240" xfId="0" applyNumberFormat="1" applyFont="1" applyBorder="1"/>
    <xf numFmtId="2" fontId="9" fillId="0" borderId="223" xfId="0" applyNumberFormat="1" applyFont="1" applyBorder="1" applyAlignment="1">
      <alignment horizontal="right" wrapText="1"/>
    </xf>
    <xf numFmtId="2" fontId="9" fillId="0" borderId="61" xfId="0" applyNumberFormat="1" applyFont="1" applyBorder="1" applyAlignment="1">
      <alignment horizontal="right" wrapText="1"/>
    </xf>
    <xf numFmtId="0" fontId="9" fillId="0" borderId="261" xfId="0" applyFont="1" applyBorder="1" applyAlignment="1">
      <alignment horizontal="center"/>
    </xf>
    <xf numFmtId="4" fontId="9" fillId="0" borderId="264" xfId="0" applyNumberFormat="1" applyFont="1" applyBorder="1"/>
    <xf numFmtId="0" fontId="9" fillId="0" borderId="214" xfId="0" applyFont="1" applyBorder="1" applyAlignment="1">
      <alignment horizontal="center"/>
    </xf>
    <xf numFmtId="4" fontId="9" fillId="0" borderId="202" xfId="0" applyNumberFormat="1" applyFont="1" applyBorder="1"/>
    <xf numFmtId="4" fontId="9" fillId="0" borderId="262" xfId="0" applyNumberFormat="1" applyFont="1" applyBorder="1"/>
    <xf numFmtId="2" fontId="9" fillId="0" borderId="243" xfId="0" applyNumberFormat="1" applyFont="1" applyBorder="1" applyAlignment="1">
      <alignment horizontal="right" wrapText="1"/>
    </xf>
    <xf numFmtId="2" fontId="9" fillId="0" borderId="34" xfId="0" applyNumberFormat="1" applyFont="1" applyBorder="1" applyAlignment="1">
      <alignment horizontal="right" wrapText="1"/>
    </xf>
    <xf numFmtId="2" fontId="9" fillId="0" borderId="199" xfId="0" applyNumberFormat="1" applyFont="1" applyBorder="1" applyAlignment="1">
      <alignment horizontal="right" wrapText="1"/>
    </xf>
    <xf numFmtId="2" fontId="9" fillId="0" borderId="264" xfId="0" applyNumberFormat="1" applyFont="1" applyBorder="1" applyAlignment="1">
      <alignment horizontal="right" wrapText="1"/>
    </xf>
    <xf numFmtId="2" fontId="9" fillId="0" borderId="138" xfId="0" applyNumberFormat="1" applyFont="1" applyBorder="1" applyAlignment="1">
      <alignment horizontal="right" wrapText="1"/>
    </xf>
    <xf numFmtId="2" fontId="9" fillId="0" borderId="264" xfId="0" applyNumberFormat="1" applyFont="1" applyBorder="1" applyAlignment="1">
      <alignment horizontal="right"/>
    </xf>
    <xf numFmtId="2" fontId="9" fillId="0" borderId="34" xfId="0" applyNumberFormat="1" applyFont="1" applyBorder="1" applyAlignment="1">
      <alignment horizontal="right"/>
    </xf>
    <xf numFmtId="2" fontId="9" fillId="0" borderId="197" xfId="0" applyNumberFormat="1" applyFont="1" applyBorder="1" applyAlignment="1">
      <alignment horizontal="right" wrapText="1"/>
    </xf>
    <xf numFmtId="2" fontId="9" fillId="0" borderId="198" xfId="0" applyNumberFormat="1" applyFont="1" applyBorder="1" applyAlignment="1">
      <alignment horizontal="right" wrapText="1"/>
    </xf>
    <xf numFmtId="2" fontId="9" fillId="0" borderId="207" xfId="0" applyNumberFormat="1" applyFont="1" applyBorder="1" applyAlignment="1">
      <alignment horizontal="right" wrapText="1"/>
    </xf>
    <xf numFmtId="2" fontId="9" fillId="0" borderId="266" xfId="0" applyNumberFormat="1" applyFont="1" applyBorder="1" applyAlignment="1">
      <alignment horizontal="right"/>
    </xf>
    <xf numFmtId="0" fontId="8" fillId="0" borderId="261" xfId="0" applyFont="1" applyBorder="1" applyAlignment="1">
      <alignment horizontal="center" vertical="center"/>
    </xf>
    <xf numFmtId="4" fontId="8" fillId="0" borderId="243" xfId="0" applyNumberFormat="1" applyFont="1" applyBorder="1"/>
    <xf numFmtId="4" fontId="8" fillId="0" borderId="34" xfId="0" applyNumberFormat="1" applyFont="1" applyBorder="1"/>
    <xf numFmtId="4" fontId="8" fillId="0" borderId="199" xfId="0" applyNumberFormat="1" applyFont="1" applyBorder="1"/>
    <xf numFmtId="4" fontId="8" fillId="0" borderId="264" xfId="0" applyNumberFormat="1" applyFont="1" applyBorder="1"/>
    <xf numFmtId="4" fontId="8" fillId="0" borderId="138" xfId="0" applyNumberFormat="1" applyFont="1" applyBorder="1"/>
    <xf numFmtId="4" fontId="8" fillId="0" borderId="197" xfId="0" applyNumberFormat="1" applyFont="1" applyBorder="1"/>
    <xf numFmtId="4" fontId="8" fillId="0" borderId="198" xfId="0" applyNumberFormat="1" applyFont="1" applyBorder="1"/>
    <xf numFmtId="4" fontId="8" fillId="0" borderId="207" xfId="0" applyNumberFormat="1" applyFont="1" applyBorder="1"/>
    <xf numFmtId="4" fontId="8" fillId="0" borderId="54" xfId="0" applyNumberFormat="1" applyFont="1" applyBorder="1"/>
    <xf numFmtId="4" fontId="8" fillId="0" borderId="231" xfId="0" applyNumberFormat="1" applyFont="1" applyBorder="1"/>
    <xf numFmtId="4" fontId="8" fillId="0" borderId="25" xfId="0" applyNumberFormat="1" applyFont="1" applyBorder="1"/>
    <xf numFmtId="4" fontId="8" fillId="0" borderId="3" xfId="0" applyNumberFormat="1" applyFont="1" applyBorder="1"/>
    <xf numFmtId="4" fontId="8" fillId="0" borderId="216" xfId="0" applyNumberFormat="1" applyFont="1" applyBorder="1"/>
    <xf numFmtId="4" fontId="8" fillId="0" borderId="66" xfId="0" applyNumberFormat="1" applyFont="1" applyBorder="1"/>
    <xf numFmtId="4" fontId="8" fillId="0" borderId="74" xfId="0" applyNumberFormat="1" applyFont="1" applyBorder="1"/>
    <xf numFmtId="4" fontId="8" fillId="0" borderId="53" xfId="0" applyNumberFormat="1" applyFont="1" applyBorder="1"/>
    <xf numFmtId="2" fontId="9" fillId="0" borderId="53" xfId="0" applyNumberFormat="1" applyFont="1" applyBorder="1" applyAlignment="1">
      <alignment horizontal="right" wrapText="1"/>
    </xf>
    <xf numFmtId="2" fontId="9" fillId="0" borderId="202" xfId="0" applyNumberFormat="1" applyFont="1" applyBorder="1" applyAlignment="1">
      <alignment horizontal="right" wrapText="1"/>
    </xf>
    <xf numFmtId="2" fontId="9" fillId="0" borderId="25" xfId="0" applyNumberFormat="1" applyFont="1" applyBorder="1" applyAlignment="1">
      <alignment horizontal="right" wrapText="1"/>
    </xf>
    <xf numFmtId="2" fontId="9" fillId="0" borderId="66" xfId="0" applyNumberFormat="1" applyFont="1" applyBorder="1" applyAlignment="1">
      <alignment horizontal="right" wrapText="1"/>
    </xf>
    <xf numFmtId="2" fontId="9" fillId="0" borderId="53" xfId="0" applyNumberFormat="1" applyFont="1" applyBorder="1" applyAlignment="1">
      <alignment horizontal="right"/>
    </xf>
    <xf numFmtId="2" fontId="9" fillId="0" borderId="5" xfId="0" applyNumberFormat="1" applyFont="1" applyBorder="1" applyAlignment="1">
      <alignment horizontal="right"/>
    </xf>
    <xf numFmtId="2" fontId="9" fillId="0" borderId="66" xfId="0" applyNumberFormat="1" applyFont="1" applyBorder="1" applyAlignment="1">
      <alignment horizontal="right"/>
    </xf>
    <xf numFmtId="2" fontId="9" fillId="0" borderId="3" xfId="0" applyNumberFormat="1" applyFont="1" applyBorder="1" applyAlignment="1">
      <alignment horizontal="right" wrapText="1"/>
    </xf>
    <xf numFmtId="2" fontId="9" fillId="0" borderId="216" xfId="0" applyNumberFormat="1" applyFont="1" applyBorder="1" applyAlignment="1">
      <alignment horizontal="right" wrapText="1"/>
    </xf>
    <xf numFmtId="2" fontId="9" fillId="0" borderId="231" xfId="0" applyNumberFormat="1" applyFont="1" applyBorder="1" applyAlignment="1">
      <alignment horizontal="right" wrapText="1"/>
    </xf>
    <xf numFmtId="2" fontId="9" fillId="0" borderId="74" xfId="0" applyNumberFormat="1" applyFont="1" applyBorder="1" applyAlignment="1">
      <alignment horizontal="right" wrapText="1"/>
    </xf>
    <xf numFmtId="4" fontId="8" fillId="0" borderId="128" xfId="0" applyNumberFormat="1" applyFont="1" applyBorder="1"/>
    <xf numFmtId="4" fontId="8" fillId="0" borderId="202" xfId="0" applyNumberFormat="1" applyFont="1" applyBorder="1"/>
    <xf numFmtId="4" fontId="9" fillId="0" borderId="38" xfId="0" applyNumberFormat="1" applyFont="1" applyBorder="1" applyAlignment="1">
      <alignment horizontal="right" vertical="center"/>
    </xf>
    <xf numFmtId="0" fontId="7" fillId="0" borderId="0" xfId="0" applyFont="1" applyAlignment="1">
      <alignment horizontal="left" wrapText="1"/>
    </xf>
    <xf numFmtId="0" fontId="9" fillId="0" borderId="48" xfId="4" applyFont="1" applyBorder="1" applyAlignment="1">
      <alignment horizontal="center" wrapText="1"/>
    </xf>
    <xf numFmtId="0" fontId="9" fillId="0" borderId="49" xfId="4" applyFont="1" applyBorder="1" applyAlignment="1">
      <alignment horizontal="center" wrapText="1"/>
    </xf>
    <xf numFmtId="0" fontId="8" fillId="0" borderId="81" xfId="4" applyFont="1" applyBorder="1" applyAlignment="1">
      <alignment horizontal="center" vertical="center"/>
    </xf>
    <xf numFmtId="0" fontId="8" fillId="0" borderId="203" xfId="4" applyFont="1" applyBorder="1" applyAlignment="1">
      <alignment horizontal="center" vertical="center"/>
    </xf>
    <xf numFmtId="0" fontId="8" fillId="0" borderId="47" xfId="4" applyFont="1" applyBorder="1" applyAlignment="1">
      <alignment horizontal="center" vertical="center" wrapText="1"/>
    </xf>
    <xf numFmtId="0" fontId="8" fillId="0" borderId="50" xfId="4" applyFont="1" applyBorder="1" applyAlignment="1">
      <alignment horizontal="center" vertical="center" wrapText="1"/>
    </xf>
    <xf numFmtId="0" fontId="8" fillId="0" borderId="238" xfId="4" applyFont="1" applyBorder="1" applyAlignment="1">
      <alignment horizontal="center"/>
    </xf>
    <xf numFmtId="0" fontId="8" fillId="0" borderId="195" xfId="4" applyFont="1" applyBorder="1" applyAlignment="1">
      <alignment horizontal="center"/>
    </xf>
    <xf numFmtId="0" fontId="8" fillId="0" borderId="234" xfId="4" applyFont="1" applyBorder="1" applyAlignment="1">
      <alignment horizontal="center"/>
    </xf>
    <xf numFmtId="0" fontId="9" fillId="0" borderId="132" xfId="4" applyFont="1" applyBorder="1" applyAlignment="1">
      <alignment horizontal="center"/>
    </xf>
    <xf numFmtId="0" fontId="9" fillId="0" borderId="131" xfId="4" applyFont="1" applyBorder="1" applyAlignment="1">
      <alignment horizontal="center"/>
    </xf>
    <xf numFmtId="0" fontId="9" fillId="0" borderId="48" xfId="4" applyFont="1" applyBorder="1" applyAlignment="1">
      <alignment horizontal="center"/>
    </xf>
    <xf numFmtId="0" fontId="9" fillId="0" borderId="50" xfId="4" applyFont="1" applyBorder="1" applyAlignment="1">
      <alignment horizontal="center"/>
    </xf>
    <xf numFmtId="0" fontId="8" fillId="0" borderId="53" xfId="4" applyFont="1" applyBorder="1" applyAlignment="1">
      <alignment horizontal="center" vertical="center" wrapText="1"/>
    </xf>
    <xf numFmtId="0" fontId="8" fillId="0" borderId="214" xfId="4" applyFont="1" applyBorder="1" applyAlignment="1">
      <alignment horizontal="center" vertical="center" wrapText="1"/>
    </xf>
    <xf numFmtId="0" fontId="8" fillId="0" borderId="81" xfId="4" applyFont="1" applyBorder="1" applyAlignment="1">
      <alignment horizontal="center" wrapText="1"/>
    </xf>
    <xf numFmtId="0" fontId="8" fillId="0" borderId="203" xfId="4" applyFont="1" applyBorder="1" applyAlignment="1">
      <alignment horizontal="center" wrapText="1"/>
    </xf>
    <xf numFmtId="0" fontId="8" fillId="0" borderId="53" xfId="4" applyFont="1" applyBorder="1" applyAlignment="1">
      <alignment horizontal="center" wrapText="1"/>
    </xf>
    <xf numFmtId="0" fontId="8" fillId="0" borderId="214" xfId="4" applyFont="1" applyBorder="1" applyAlignment="1">
      <alignment horizontal="center" wrapText="1"/>
    </xf>
    <xf numFmtId="0" fontId="8" fillId="0" borderId="59" xfId="4" applyFont="1" applyBorder="1" applyAlignment="1">
      <alignment horizontal="center" wrapText="1"/>
    </xf>
    <xf numFmtId="0" fontId="8" fillId="0" borderId="238" xfId="4" applyFont="1" applyBorder="1" applyAlignment="1">
      <alignment horizontal="center" wrapText="1"/>
    </xf>
    <xf numFmtId="0" fontId="8" fillId="0" borderId="62" xfId="4" applyFont="1" applyBorder="1" applyAlignment="1">
      <alignment horizontal="center" wrapText="1"/>
    </xf>
    <xf numFmtId="0" fontId="8" fillId="0" borderId="234" xfId="4" applyFont="1" applyBorder="1" applyAlignment="1">
      <alignment horizontal="center" wrapText="1"/>
    </xf>
    <xf numFmtId="0" fontId="9" fillId="0" borderId="48" xfId="0" applyFont="1" applyBorder="1" applyAlignment="1">
      <alignment horizontal="center"/>
    </xf>
    <xf numFmtId="0" fontId="9" fillId="0" borderId="50" xfId="0" applyFont="1" applyBorder="1" applyAlignment="1">
      <alignment horizontal="center"/>
    </xf>
    <xf numFmtId="0" fontId="9" fillId="0" borderId="81" xfId="4" applyFont="1" applyBorder="1" applyAlignment="1">
      <alignment horizontal="center" vertical="center"/>
    </xf>
    <xf numFmtId="0" fontId="9" fillId="0" borderId="181" xfId="4" applyFont="1" applyBorder="1" applyAlignment="1">
      <alignment horizontal="center" vertical="center"/>
    </xf>
    <xf numFmtId="0" fontId="9" fillId="0" borderId="102" xfId="4" applyFont="1" applyBorder="1" applyAlignment="1">
      <alignment horizontal="center" vertical="center"/>
    </xf>
    <xf numFmtId="0" fontId="9" fillId="0" borderId="101" xfId="4" applyFont="1" applyBorder="1" applyAlignment="1">
      <alignment horizontal="center" vertical="center"/>
    </xf>
    <xf numFmtId="0" fontId="9" fillId="0" borderId="83" xfId="4" applyFont="1" applyBorder="1" applyAlignment="1">
      <alignment horizontal="center" vertical="center"/>
    </xf>
    <xf numFmtId="0" fontId="9" fillId="0" borderId="81" xfId="0" applyFont="1" applyBorder="1" applyAlignment="1">
      <alignment horizontal="center" vertical="center" wrapText="1"/>
    </xf>
    <xf numFmtId="0" fontId="9" fillId="0" borderId="218" xfId="0" applyFont="1" applyBorder="1" applyAlignment="1">
      <alignment horizontal="center" vertical="center" wrapText="1"/>
    </xf>
    <xf numFmtId="0" fontId="9" fillId="0" borderId="20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249"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31" xfId="0" applyFont="1" applyBorder="1" applyAlignment="1">
      <alignment horizontal="center" vertical="center" wrapText="1"/>
    </xf>
    <xf numFmtId="0" fontId="7" fillId="0" borderId="49" xfId="0" applyFont="1" applyBorder="1" applyAlignment="1">
      <alignment horizontal="left" wrapText="1"/>
    </xf>
    <xf numFmtId="0" fontId="9" fillId="0" borderId="47" xfId="4" applyFont="1" applyBorder="1" applyAlignment="1">
      <alignment horizontal="center" vertical="center"/>
    </xf>
    <xf numFmtId="0" fontId="9" fillId="0" borderId="38" xfId="4" applyFont="1" applyBorder="1" applyAlignment="1">
      <alignment horizontal="center" vertical="center"/>
    </xf>
    <xf numFmtId="0" fontId="9" fillId="0" borderId="50" xfId="4" applyFont="1" applyBorder="1" applyAlignment="1">
      <alignment horizontal="center" vertical="center"/>
    </xf>
    <xf numFmtId="0" fontId="9" fillId="0" borderId="181" xfId="0" applyFont="1" applyBorder="1" applyAlignment="1">
      <alignment horizontal="center" vertical="center" wrapText="1"/>
    </xf>
    <xf numFmtId="0" fontId="9" fillId="0" borderId="132" xfId="0" applyFont="1" applyBorder="1" applyAlignment="1">
      <alignment horizontal="center"/>
    </xf>
    <xf numFmtId="0" fontId="9" fillId="0" borderId="131" xfId="0" applyFont="1" applyBorder="1" applyAlignment="1">
      <alignment horizontal="center"/>
    </xf>
    <xf numFmtId="0" fontId="9" fillId="0" borderId="27" xfId="0" applyFont="1" applyBorder="1" applyAlignment="1">
      <alignment horizontal="center"/>
    </xf>
    <xf numFmtId="0" fontId="9" fillId="0" borderId="38" xfId="0" applyFont="1" applyBorder="1" applyAlignment="1">
      <alignment horizontal="center"/>
    </xf>
    <xf numFmtId="0" fontId="9" fillId="0" borderId="102" xfId="0" applyFont="1" applyBorder="1" applyAlignment="1">
      <alignment horizontal="center" vertical="center"/>
    </xf>
    <xf numFmtId="0" fontId="9" fillId="0" borderId="101" xfId="0" applyFont="1" applyBorder="1" applyAlignment="1">
      <alignment horizontal="center" vertical="center"/>
    </xf>
    <xf numFmtId="0" fontId="9" fillId="0" borderId="83" xfId="0" applyFont="1" applyBorder="1" applyAlignment="1">
      <alignment horizontal="center" vertical="center"/>
    </xf>
    <xf numFmtId="0" fontId="9" fillId="0" borderId="48" xfId="0" applyFont="1" applyBorder="1" applyAlignment="1">
      <alignment horizontal="center" wrapText="1"/>
    </xf>
    <xf numFmtId="0" fontId="9" fillId="0" borderId="50" xfId="0" applyFont="1" applyBorder="1" applyAlignment="1">
      <alignment horizontal="center" wrapText="1"/>
    </xf>
    <xf numFmtId="0" fontId="9" fillId="0" borderId="102"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45" xfId="4" applyFont="1" applyBorder="1" applyAlignment="1">
      <alignment horizontal="center" vertical="center"/>
    </xf>
    <xf numFmtId="0" fontId="9" fillId="0" borderId="46" xfId="4" applyFont="1" applyBorder="1" applyAlignment="1">
      <alignment horizontal="center" vertical="center"/>
    </xf>
    <xf numFmtId="0" fontId="9" fillId="0" borderId="48" xfId="4" applyFont="1" applyBorder="1" applyAlignment="1">
      <alignment horizontal="center" vertical="center"/>
    </xf>
    <xf numFmtId="0" fontId="9" fillId="0" borderId="49" xfId="4" applyFont="1" applyBorder="1" applyAlignment="1">
      <alignment horizontal="center" vertical="center"/>
    </xf>
    <xf numFmtId="0" fontId="8" fillId="0" borderId="62" xfId="0" applyFont="1" applyBorder="1" applyAlignment="1">
      <alignment horizontal="center" vertical="center" wrapText="1"/>
    </xf>
    <xf numFmtId="0" fontId="8" fillId="0" borderId="218" xfId="0" applyFont="1" applyBorder="1" applyAlignment="1">
      <alignment horizontal="center" vertical="center" wrapText="1"/>
    </xf>
    <xf numFmtId="0" fontId="8" fillId="0" borderId="23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2" xfId="4" applyFont="1" applyBorder="1" applyAlignment="1">
      <alignment horizontal="center" vertical="center" wrapText="1"/>
    </xf>
    <xf numFmtId="0" fontId="9" fillId="0" borderId="83" xfId="4" applyFont="1" applyBorder="1" applyAlignment="1">
      <alignment horizontal="center" vertical="center" wrapText="1"/>
    </xf>
    <xf numFmtId="0" fontId="9" fillId="0" borderId="48" xfId="0" applyFont="1" applyBorder="1" applyAlignment="1">
      <alignment horizontal="left" wrapText="1"/>
    </xf>
    <xf numFmtId="0" fontId="9" fillId="0" borderId="50" xfId="0" applyFont="1" applyBorder="1" applyAlignment="1">
      <alignment horizontal="left" wrapText="1"/>
    </xf>
    <xf numFmtId="0" fontId="8" fillId="0" borderId="81"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203"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225" xfId="0" applyFont="1" applyBorder="1" applyAlignment="1">
      <alignment horizontal="center" vertical="center" wrapText="1"/>
    </xf>
    <xf numFmtId="0" fontId="8" fillId="0" borderId="238" xfId="0" applyFont="1" applyBorder="1" applyAlignment="1">
      <alignment horizontal="center" vertical="center" wrapText="1"/>
    </xf>
    <xf numFmtId="0" fontId="8" fillId="0" borderId="132" xfId="0" applyFont="1" applyBorder="1" applyAlignment="1">
      <alignment horizontal="center" vertical="center" wrapText="1"/>
    </xf>
    <xf numFmtId="0" fontId="8" fillId="0" borderId="133"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72" xfId="0" applyFont="1" applyBorder="1" applyAlignment="1">
      <alignment horizontal="center"/>
    </xf>
    <xf numFmtId="0" fontId="9" fillId="0" borderId="73" xfId="0" applyFont="1" applyBorder="1" applyAlignment="1">
      <alignment horizontal="center"/>
    </xf>
    <xf numFmtId="0" fontId="9" fillId="0" borderId="87" xfId="0" applyFont="1" applyBorder="1" applyAlignment="1">
      <alignment horizontal="center"/>
    </xf>
    <xf numFmtId="0" fontId="7" fillId="0" borderId="102"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83" xfId="0" applyFont="1" applyBorder="1" applyAlignment="1">
      <alignment horizontal="center" vertical="center" wrapText="1"/>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8" fillId="0" borderId="0" xfId="0" applyFont="1" applyAlignment="1">
      <alignment horizontal="center" vertical="center" wrapText="1"/>
    </xf>
    <xf numFmtId="0" fontId="8" fillId="0" borderId="49" xfId="0" applyFont="1" applyBorder="1" applyAlignment="1">
      <alignment horizontal="center" vertical="center" wrapText="1"/>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7" fillId="0" borderId="181" xfId="0" applyFont="1" applyBorder="1" applyAlignment="1">
      <alignment horizontal="center" vertical="center" wrapText="1"/>
    </xf>
    <xf numFmtId="0" fontId="7" fillId="0" borderId="185" xfId="0" applyFont="1" applyBorder="1" applyAlignment="1">
      <alignment horizontal="center" vertical="center" wrapText="1"/>
    </xf>
    <xf numFmtId="0" fontId="7" fillId="0" borderId="203" xfId="0" applyFont="1" applyBorder="1" applyAlignment="1">
      <alignment horizontal="center" vertical="center" wrapText="1"/>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8" fillId="0" borderId="131" xfId="0" applyFont="1" applyBorder="1" applyAlignment="1">
      <alignment horizontal="center" vertical="center"/>
    </xf>
    <xf numFmtId="0" fontId="7" fillId="0" borderId="81"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8" fillId="0" borderId="102" xfId="0" applyFont="1" applyBorder="1" applyAlignment="1">
      <alignment horizontal="center" vertical="center"/>
    </xf>
    <xf numFmtId="0" fontId="8" fillId="0" borderId="101" xfId="0" applyFont="1" applyBorder="1" applyAlignment="1">
      <alignment horizontal="center" vertical="center"/>
    </xf>
    <xf numFmtId="0" fontId="8" fillId="0" borderId="83" xfId="0" applyFont="1" applyBorder="1" applyAlignment="1">
      <alignment horizontal="center" vertical="center"/>
    </xf>
    <xf numFmtId="0" fontId="8" fillId="0" borderId="102"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83" xfId="0" applyFont="1" applyBorder="1" applyAlignment="1">
      <alignment horizontal="center" vertical="center" wrapText="1"/>
    </xf>
    <xf numFmtId="0" fontId="7" fillId="0" borderId="82" xfId="0" applyFont="1" applyBorder="1" applyAlignment="1">
      <alignment horizontal="center" vertical="center" wrapText="1"/>
    </xf>
    <xf numFmtId="0" fontId="6" fillId="0" borderId="0" xfId="0" applyFont="1" applyAlignment="1">
      <alignment horizontal="left" wrapText="1"/>
    </xf>
    <xf numFmtId="0" fontId="8" fillId="0" borderId="59" xfId="0" applyFont="1" applyBorder="1" applyAlignment="1">
      <alignment horizontal="center" vertical="center"/>
    </xf>
    <xf numFmtId="0" fontId="9" fillId="0" borderId="0" xfId="0" applyFont="1" applyAlignment="1">
      <alignment horizontal="center" vertical="center"/>
    </xf>
    <xf numFmtId="0" fontId="9" fillId="0" borderId="64" xfId="0" applyFont="1" applyBorder="1" applyAlignment="1">
      <alignment horizontal="center"/>
    </xf>
    <xf numFmtId="0" fontId="9" fillId="0" borderId="65" xfId="0" applyFont="1" applyBorder="1" applyAlignment="1">
      <alignment horizontal="center"/>
    </xf>
    <xf numFmtId="0" fontId="9" fillId="0" borderId="68" xfId="0" applyFont="1" applyBorder="1" applyAlignment="1">
      <alignment horizontal="center"/>
    </xf>
    <xf numFmtId="0" fontId="9" fillId="0" borderId="26" xfId="0" applyFont="1" applyBorder="1" applyAlignment="1">
      <alignment horizontal="center" vertical="center"/>
    </xf>
    <xf numFmtId="0" fontId="9" fillId="0" borderId="57" xfId="0" applyFont="1" applyBorder="1" applyAlignment="1">
      <alignment horizontal="center" vertical="center"/>
    </xf>
    <xf numFmtId="0" fontId="9" fillId="0" borderId="252" xfId="0" applyFont="1" applyBorder="1" applyAlignment="1">
      <alignment horizontal="center" vertical="center"/>
    </xf>
    <xf numFmtId="0" fontId="9" fillId="0" borderId="253" xfId="0" applyFont="1" applyBorder="1" applyAlignment="1">
      <alignment horizontal="center" vertical="center"/>
    </xf>
    <xf numFmtId="0" fontId="9" fillId="0" borderId="254" xfId="0" applyFont="1" applyBorder="1" applyAlignment="1">
      <alignment horizontal="center" vertical="center"/>
    </xf>
    <xf numFmtId="0" fontId="9" fillId="0" borderId="255" xfId="0" applyFont="1" applyBorder="1" applyAlignment="1">
      <alignment horizontal="center" vertical="center"/>
    </xf>
    <xf numFmtId="0" fontId="9" fillId="0" borderId="256" xfId="0" applyFont="1" applyBorder="1" applyAlignment="1">
      <alignment horizontal="center" vertical="center"/>
    </xf>
    <xf numFmtId="0" fontId="9" fillId="0" borderId="257" xfId="0" applyFont="1" applyBorder="1" applyAlignment="1">
      <alignment horizontal="center" vertical="center"/>
    </xf>
    <xf numFmtId="0" fontId="8" fillId="0" borderId="47" xfId="0" applyFont="1" applyBorder="1" applyAlignment="1">
      <alignment horizontal="center" vertical="center"/>
    </xf>
    <xf numFmtId="0" fontId="8" fillId="0" borderId="38" xfId="0" applyFont="1" applyBorder="1" applyAlignment="1">
      <alignment horizontal="center" vertical="center"/>
    </xf>
    <xf numFmtId="0" fontId="9" fillId="0" borderId="48" xfId="0" applyFont="1" applyBorder="1" applyAlignment="1">
      <alignment horizontal="center" vertical="center" wrapText="1"/>
    </xf>
    <xf numFmtId="0" fontId="9" fillId="0" borderId="150" xfId="0" applyFont="1" applyBorder="1" applyAlignment="1">
      <alignment horizontal="center" wrapText="1"/>
    </xf>
    <xf numFmtId="0" fontId="9" fillId="0" borderId="9" xfId="0" applyFont="1" applyBorder="1" applyAlignment="1">
      <alignment horizontal="center" wrapText="1"/>
    </xf>
    <xf numFmtId="0" fontId="9" fillId="0" borderId="18" xfId="0" applyFont="1" applyBorder="1" applyAlignment="1">
      <alignment horizontal="center" wrapText="1"/>
    </xf>
    <xf numFmtId="0" fontId="9" fillId="0" borderId="49" xfId="0" applyFont="1" applyBorder="1" applyAlignment="1">
      <alignment horizontal="center" wrapText="1"/>
    </xf>
    <xf numFmtId="0" fontId="9" fillId="0" borderId="132" xfId="0" applyFont="1" applyBorder="1" applyAlignment="1">
      <alignment horizontal="center" wrapText="1"/>
    </xf>
    <xf numFmtId="0" fontId="9" fillId="0" borderId="133" xfId="0" applyFont="1" applyBorder="1" applyAlignment="1">
      <alignment horizontal="center" wrapText="1"/>
    </xf>
    <xf numFmtId="0" fontId="9" fillId="0" borderId="131" xfId="0" applyFont="1" applyBorder="1" applyAlignment="1">
      <alignment horizontal="center" wrapText="1"/>
    </xf>
    <xf numFmtId="0" fontId="9" fillId="0" borderId="171" xfId="0" applyFont="1" applyBorder="1" applyAlignment="1">
      <alignment horizontal="center" vertical="center" wrapText="1"/>
    </xf>
    <xf numFmtId="0" fontId="9" fillId="0" borderId="214" xfId="0" applyFont="1" applyBorder="1" applyAlignment="1">
      <alignment horizontal="center" vertical="center" wrapText="1"/>
    </xf>
    <xf numFmtId="0" fontId="9" fillId="0" borderId="211" xfId="0" applyFont="1" applyBorder="1" applyAlignment="1">
      <alignment horizontal="center" vertical="center" wrapText="1"/>
    </xf>
    <xf numFmtId="0" fontId="9" fillId="0" borderId="213" xfId="0" applyFont="1" applyBorder="1" applyAlignment="1">
      <alignment horizontal="center" vertical="center" wrapText="1"/>
    </xf>
    <xf numFmtId="164" fontId="9" fillId="0" borderId="61" xfId="0" applyNumberFormat="1" applyFont="1" applyBorder="1" applyAlignment="1">
      <alignment horizontal="center" vertical="center"/>
    </xf>
    <xf numFmtId="164" fontId="9" fillId="0" borderId="62" xfId="0" applyNumberFormat="1"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24" xfId="0" applyFont="1" applyBorder="1" applyAlignment="1">
      <alignment horizontal="center" wrapText="1"/>
    </xf>
    <xf numFmtId="0" fontId="9" fillId="0" borderId="23" xfId="0" applyFont="1" applyBorder="1" applyAlignment="1">
      <alignment horizontal="center" wrapText="1"/>
    </xf>
    <xf numFmtId="0" fontId="9" fillId="0" borderId="25" xfId="0" applyFont="1" applyBorder="1" applyAlignment="1">
      <alignment horizontal="center" wrapText="1"/>
    </xf>
    <xf numFmtId="0" fontId="9" fillId="0" borderId="64" xfId="0" applyFont="1" applyBorder="1" applyAlignment="1">
      <alignment horizontal="center" wrapText="1"/>
    </xf>
    <xf numFmtId="0" fontId="9" fillId="0" borderId="65" xfId="0" applyFont="1" applyBorder="1" applyAlignment="1">
      <alignment horizontal="center" wrapText="1"/>
    </xf>
    <xf numFmtId="0" fontId="9" fillId="0" borderId="66" xfId="0" applyFont="1" applyBorder="1" applyAlignment="1">
      <alignment horizontal="center" wrapText="1"/>
    </xf>
    <xf numFmtId="164" fontId="9" fillId="0" borderId="59" xfId="0" applyNumberFormat="1" applyFont="1" applyBorder="1" applyAlignment="1">
      <alignment horizontal="center" vertical="center"/>
    </xf>
    <xf numFmtId="0" fontId="9" fillId="0" borderId="234" xfId="0" applyFont="1" applyBorder="1" applyAlignment="1">
      <alignment horizontal="center" vertical="center" wrapText="1"/>
    </xf>
    <xf numFmtId="0" fontId="9" fillId="0" borderId="59" xfId="0" applyFont="1" applyBorder="1" applyAlignment="1">
      <alignment horizontal="center" vertical="center"/>
    </xf>
    <xf numFmtId="0" fontId="9" fillId="0" borderId="100" xfId="0" applyFont="1" applyBorder="1" applyAlignment="1">
      <alignment horizontal="center" wrapText="1"/>
    </xf>
    <xf numFmtId="0" fontId="9" fillId="0" borderId="129" xfId="0" applyFont="1" applyBorder="1" applyAlignment="1">
      <alignment horizontal="center" wrapText="1"/>
    </xf>
    <xf numFmtId="0" fontId="9" fillId="0" borderId="79" xfId="0" applyFont="1" applyBorder="1" applyAlignment="1">
      <alignment horizontal="center" wrapText="1"/>
    </xf>
    <xf numFmtId="0" fontId="8" fillId="0" borderId="6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4" xfId="0" applyFont="1" applyBorder="1" applyAlignment="1">
      <alignment horizontal="center" wrapText="1"/>
    </xf>
    <xf numFmtId="0" fontId="8" fillId="0" borderId="68" xfId="0" applyFont="1" applyBorder="1" applyAlignment="1">
      <alignment horizontal="center" wrapText="1"/>
    </xf>
    <xf numFmtId="0" fontId="8" fillId="0" borderId="181" xfId="4" applyFont="1" applyBorder="1" applyAlignment="1">
      <alignment horizontal="center" vertical="center"/>
    </xf>
    <xf numFmtId="0" fontId="8" fillId="0" borderId="102" xfId="4" applyFont="1" applyBorder="1" applyAlignment="1">
      <alignment horizontal="center" vertical="center"/>
    </xf>
    <xf numFmtId="0" fontId="8" fillId="0" borderId="101" xfId="4" applyFont="1" applyBorder="1" applyAlignment="1">
      <alignment horizontal="center" vertical="center"/>
    </xf>
    <xf numFmtId="0" fontId="8" fillId="0" borderId="83" xfId="4"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27" xfId="0" applyFont="1" applyBorder="1" applyAlignment="1">
      <alignment horizontal="center"/>
    </xf>
    <xf numFmtId="0" fontId="8" fillId="0" borderId="38" xfId="0" applyFont="1" applyBorder="1" applyAlignment="1">
      <alignment horizontal="center"/>
    </xf>
    <xf numFmtId="0" fontId="8" fillId="0" borderId="58" xfId="0" applyFont="1" applyBorder="1" applyAlignment="1">
      <alignment horizontal="center"/>
    </xf>
    <xf numFmtId="0" fontId="8" fillId="0" borderId="55" xfId="0" applyFont="1" applyBorder="1" applyAlignment="1">
      <alignment horizontal="center"/>
    </xf>
    <xf numFmtId="0" fontId="8" fillId="0" borderId="51" xfId="0" applyFont="1" applyBorder="1" applyAlignment="1">
      <alignment horizontal="center" vertical="center" wrapText="1"/>
    </xf>
    <xf numFmtId="0" fontId="8" fillId="0" borderId="50" xfId="0" applyFont="1" applyBorder="1" applyAlignment="1">
      <alignment horizontal="center" vertical="center"/>
    </xf>
    <xf numFmtId="0" fontId="8" fillId="0" borderId="72" xfId="0" applyFont="1" applyBorder="1" applyAlignment="1">
      <alignment horizontal="center"/>
    </xf>
    <xf numFmtId="0" fontId="8" fillId="0" borderId="87" xfId="0" applyFont="1" applyBorder="1" applyAlignment="1">
      <alignment horizontal="center"/>
    </xf>
    <xf numFmtId="0" fontId="8" fillId="0" borderId="5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8" xfId="0" applyFont="1" applyBorder="1" applyAlignment="1">
      <alignment horizontal="center" vertical="center" wrapText="1"/>
    </xf>
    <xf numFmtId="0" fontId="9" fillId="0" borderId="47" xfId="0" applyFont="1" applyBorder="1" applyAlignment="1">
      <alignment horizontal="center" vertical="center"/>
    </xf>
    <xf numFmtId="0" fontId="9" fillId="0" borderId="50" xfId="0" applyFont="1" applyBorder="1" applyAlignment="1">
      <alignment horizontal="center" vertical="center"/>
    </xf>
    <xf numFmtId="0" fontId="8" fillId="0" borderId="64" xfId="0" applyFont="1" applyBorder="1" applyAlignment="1">
      <alignment horizontal="center"/>
    </xf>
    <xf numFmtId="0" fontId="8" fillId="0" borderId="68" xfId="0" applyFont="1" applyBorder="1" applyAlignment="1">
      <alignment horizontal="center"/>
    </xf>
    <xf numFmtId="0" fontId="8" fillId="0" borderId="24" xfId="0" applyFont="1" applyBorder="1" applyAlignment="1">
      <alignment horizontal="center"/>
    </xf>
    <xf numFmtId="0" fontId="8" fillId="0" borderId="57" xfId="0" applyFont="1" applyBorder="1" applyAlignment="1">
      <alignment horizontal="center"/>
    </xf>
    <xf numFmtId="0" fontId="9" fillId="0" borderId="59" xfId="4" applyFont="1" applyBorder="1" applyAlignment="1">
      <alignment horizontal="center" vertical="center"/>
    </xf>
    <xf numFmtId="0" fontId="9" fillId="0" borderId="225" xfId="4" applyFont="1" applyBorder="1" applyAlignment="1">
      <alignment horizontal="center" vertical="center"/>
    </xf>
    <xf numFmtId="0" fontId="8" fillId="0" borderId="0" xfId="0" applyFont="1" applyAlignment="1">
      <alignment horizontal="center" vertical="center"/>
    </xf>
    <xf numFmtId="0" fontId="8" fillId="0" borderId="5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8" fillId="0" borderId="67" xfId="0" applyFont="1" applyBorder="1" applyAlignment="1">
      <alignment horizontal="center" wrapText="1"/>
    </xf>
    <xf numFmtId="0" fontId="8" fillId="0" borderId="66" xfId="0" applyFont="1" applyBorder="1" applyAlignment="1">
      <alignment horizontal="center" wrapText="1"/>
    </xf>
    <xf numFmtId="0" fontId="8" fillId="0" borderId="24" xfId="0" applyFont="1" applyBorder="1" applyAlignment="1">
      <alignment horizontal="center" wrapText="1"/>
    </xf>
    <xf numFmtId="0" fontId="8" fillId="0" borderId="57" xfId="0" applyFont="1" applyBorder="1" applyAlignment="1">
      <alignment horizontal="center" wrapText="1"/>
    </xf>
    <xf numFmtId="0" fontId="8" fillId="0" borderId="98" xfId="0" applyFont="1" applyBorder="1" applyAlignment="1">
      <alignment horizontal="center" vertical="center" wrapText="1"/>
    </xf>
    <xf numFmtId="0" fontId="8" fillId="0" borderId="250" xfId="0" applyFont="1" applyBorder="1" applyAlignment="1">
      <alignment horizontal="center" vertical="center"/>
    </xf>
    <xf numFmtId="0" fontId="9" fillId="0" borderId="49" xfId="0" applyFont="1" applyBorder="1" applyAlignment="1">
      <alignment horizontal="center"/>
    </xf>
    <xf numFmtId="0" fontId="6" fillId="0" borderId="49" xfId="0" applyFont="1" applyBorder="1" applyAlignment="1">
      <alignment horizontal="left" wrapText="1"/>
    </xf>
    <xf numFmtId="0" fontId="9" fillId="0" borderId="74" xfId="0" applyFont="1" applyBorder="1" applyAlignment="1">
      <alignment horizontal="center"/>
    </xf>
    <xf numFmtId="0" fontId="9" fillId="0" borderId="66" xfId="0" applyFont="1" applyBorder="1" applyAlignment="1">
      <alignment horizontal="center"/>
    </xf>
    <xf numFmtId="0" fontId="8" fillId="0" borderId="0" xfId="0" applyFont="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0" fontId="8" fillId="0" borderId="100" xfId="0" applyFont="1" applyBorder="1" applyAlignment="1">
      <alignment horizontal="center"/>
    </xf>
    <xf numFmtId="0" fontId="8" fillId="0" borderId="129" xfId="0" applyFont="1" applyBorder="1" applyAlignment="1">
      <alignment horizontal="center"/>
    </xf>
    <xf numFmtId="0" fontId="8" fillId="0" borderId="79" xfId="0" applyFont="1" applyBorder="1" applyAlignment="1">
      <alignment horizontal="center"/>
    </xf>
    <xf numFmtId="0" fontId="9" fillId="0" borderId="0" xfId="0" applyFont="1" applyAlignment="1">
      <alignment horizontal="center"/>
    </xf>
    <xf numFmtId="0" fontId="9" fillId="0" borderId="100" xfId="0" applyFont="1" applyBorder="1" applyAlignment="1">
      <alignment horizontal="center"/>
    </xf>
    <xf numFmtId="0" fontId="9" fillId="0" borderId="129" xfId="0" applyFont="1" applyBorder="1" applyAlignment="1">
      <alignment horizontal="center"/>
    </xf>
    <xf numFmtId="0" fontId="9" fillId="0" borderId="79" xfId="0" applyFont="1" applyBorder="1" applyAlignment="1">
      <alignment horizontal="center"/>
    </xf>
    <xf numFmtId="0" fontId="8" fillId="0" borderId="102" xfId="0" applyFont="1" applyBorder="1" applyAlignment="1">
      <alignment horizontal="center"/>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216" xfId="0" applyFont="1" applyBorder="1" applyAlignment="1">
      <alignment horizontal="center" vertical="center" wrapText="1"/>
    </xf>
    <xf numFmtId="0" fontId="8" fillId="0" borderId="214"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1" xfId="0" applyFont="1" applyBorder="1" applyAlignment="1">
      <alignment horizontal="center" vertical="center" wrapText="1"/>
    </xf>
    <xf numFmtId="0" fontId="8" fillId="0" borderId="48" xfId="0" applyFont="1" applyBorder="1" applyAlignment="1">
      <alignment horizontal="center" wrapText="1"/>
    </xf>
    <xf numFmtId="0" fontId="8" fillId="0" borderId="50" xfId="0" applyFont="1" applyBorder="1" applyAlignment="1">
      <alignment horizontal="center" wrapText="1"/>
    </xf>
    <xf numFmtId="0" fontId="9" fillId="0" borderId="3" xfId="0" applyFont="1" applyBorder="1" applyAlignment="1">
      <alignment horizontal="center" vertical="center" wrapText="1"/>
    </xf>
    <xf numFmtId="0" fontId="8" fillId="0" borderId="132" xfId="0" applyFont="1" applyBorder="1" applyAlignment="1">
      <alignment horizontal="center"/>
    </xf>
    <xf numFmtId="0" fontId="8" fillId="0" borderId="131" xfId="0" applyFont="1" applyBorder="1" applyAlignment="1">
      <alignment horizontal="center"/>
    </xf>
    <xf numFmtId="0" fontId="4" fillId="0" borderId="51" xfId="0" applyFont="1" applyBorder="1" applyAlignment="1">
      <alignment horizontal="center" vertical="center"/>
    </xf>
    <xf numFmtId="0" fontId="4" fillId="0" borderId="219" xfId="0" applyFont="1" applyBorder="1" applyAlignment="1">
      <alignment horizontal="center" vertical="center"/>
    </xf>
    <xf numFmtId="0" fontId="4" fillId="0" borderId="53" xfId="0" applyFont="1" applyBorder="1" applyAlignment="1">
      <alignment horizontal="center" vertical="center"/>
    </xf>
    <xf numFmtId="0" fontId="4" fillId="0" borderId="231" xfId="0" applyFont="1" applyBorder="1" applyAlignment="1">
      <alignment horizontal="center" vertical="center"/>
    </xf>
    <xf numFmtId="2" fontId="8" fillId="0" borderId="102" xfId="0" applyNumberFormat="1" applyFont="1" applyBorder="1" applyAlignment="1">
      <alignment horizontal="center" vertical="center" wrapText="1"/>
    </xf>
    <xf numFmtId="2" fontId="8" fillId="0" borderId="101" xfId="0" applyNumberFormat="1" applyFont="1" applyBorder="1" applyAlignment="1">
      <alignment horizontal="center" vertical="center" wrapText="1"/>
    </xf>
    <xf numFmtId="0" fontId="4" fillId="0" borderId="51" xfId="0" applyFont="1" applyBorder="1" applyAlignment="1">
      <alignment horizontal="center" vertical="center" wrapText="1"/>
    </xf>
    <xf numFmtId="0" fontId="4" fillId="0" borderId="215" xfId="0" applyFont="1" applyBorder="1" applyAlignment="1">
      <alignment horizontal="center" vertical="center" wrapText="1"/>
    </xf>
    <xf numFmtId="0" fontId="4" fillId="0" borderId="211" xfId="0" applyFont="1" applyBorder="1" applyAlignment="1">
      <alignment horizontal="center" vertical="center" wrapText="1"/>
    </xf>
    <xf numFmtId="0" fontId="4" fillId="0" borderId="1" xfId="0" applyFont="1" applyBorder="1" applyAlignment="1">
      <alignment horizontal="center" vertical="center" wrapText="1"/>
    </xf>
    <xf numFmtId="2" fontId="8" fillId="0" borderId="83" xfId="0" applyNumberFormat="1" applyFont="1" applyBorder="1" applyAlignment="1">
      <alignment horizontal="center" vertical="center" wrapText="1"/>
    </xf>
    <xf numFmtId="0" fontId="4" fillId="0" borderId="214" xfId="0" applyFont="1" applyBorder="1" applyAlignment="1">
      <alignment horizontal="center" vertical="center"/>
    </xf>
    <xf numFmtId="0" fontId="4" fillId="0" borderId="211" xfId="0" applyFont="1" applyBorder="1" applyAlignment="1">
      <alignment horizontal="center" vertical="center"/>
    </xf>
    <xf numFmtId="0" fontId="8" fillId="0" borderId="102" xfId="0" applyFont="1" applyBorder="1" applyAlignment="1">
      <alignment horizontal="center" wrapText="1"/>
    </xf>
    <xf numFmtId="0" fontId="8" fillId="0" borderId="101" xfId="0" applyFont="1" applyBorder="1" applyAlignment="1">
      <alignment horizontal="center" wrapText="1"/>
    </xf>
    <xf numFmtId="0" fontId="8" fillId="0" borderId="83" xfId="0" applyFont="1" applyBorder="1" applyAlignment="1">
      <alignment horizontal="center" wrapText="1"/>
    </xf>
    <xf numFmtId="0" fontId="8" fillId="0" borderId="133" xfId="0" applyFont="1" applyBorder="1" applyAlignment="1">
      <alignment horizontal="center"/>
    </xf>
    <xf numFmtId="0" fontId="8" fillId="0" borderId="60"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226" xfId="0" applyFont="1" applyBorder="1" applyAlignment="1">
      <alignment horizontal="center" vertical="center"/>
    </xf>
    <xf numFmtId="0" fontId="8" fillId="0" borderId="217" xfId="0" applyFont="1" applyBorder="1" applyAlignment="1">
      <alignment horizontal="center" vertical="center"/>
    </xf>
    <xf numFmtId="0" fontId="8" fillId="0" borderId="216" xfId="0" applyFont="1" applyBorder="1" applyAlignment="1">
      <alignment horizontal="center" vertical="center"/>
    </xf>
    <xf numFmtId="0" fontId="8" fillId="0" borderId="211" xfId="0" applyFont="1" applyBorder="1" applyAlignment="1">
      <alignment horizontal="center" vertical="center" wrapText="1"/>
    </xf>
    <xf numFmtId="0" fontId="9" fillId="0" borderId="64" xfId="4" applyFont="1" applyBorder="1" applyAlignment="1">
      <alignment horizontal="center" wrapText="1"/>
    </xf>
    <xf numFmtId="0" fontId="9" fillId="0" borderId="68" xfId="4" applyFont="1" applyBorder="1" applyAlignment="1">
      <alignment horizontal="center" wrapText="1"/>
    </xf>
    <xf numFmtId="0" fontId="8" fillId="0" borderId="213" xfId="0" applyFont="1" applyBorder="1" applyAlignment="1">
      <alignment horizontal="center" vertical="center"/>
    </xf>
    <xf numFmtId="0" fontId="9" fillId="0" borderId="24" xfId="4" applyFont="1" applyBorder="1" applyAlignment="1">
      <alignment horizontal="center"/>
    </xf>
    <xf numFmtId="0" fontId="9" fillId="0" borderId="57" xfId="4" applyFont="1" applyBorder="1" applyAlignment="1">
      <alignment horizontal="center"/>
    </xf>
    <xf numFmtId="0" fontId="9" fillId="0" borderId="72" xfId="4" applyFont="1" applyBorder="1" applyAlignment="1">
      <alignment horizontal="center"/>
    </xf>
    <xf numFmtId="0" fontId="9" fillId="0" borderId="87" xfId="4" applyFont="1" applyBorder="1" applyAlignment="1">
      <alignment horizontal="center"/>
    </xf>
    <xf numFmtId="0" fontId="8" fillId="0" borderId="46" xfId="4" applyFont="1" applyBorder="1" applyAlignment="1">
      <alignment horizontal="center" vertical="center" wrapText="1"/>
    </xf>
    <xf numFmtId="0" fontId="8" fillId="0" borderId="49" xfId="4" applyFont="1" applyBorder="1" applyAlignment="1">
      <alignment horizontal="center" vertical="center" wrapText="1"/>
    </xf>
    <xf numFmtId="0" fontId="9" fillId="0" borderId="64" xfId="4" applyFont="1" applyBorder="1" applyAlignment="1">
      <alignment horizontal="center"/>
    </xf>
    <xf numFmtId="0" fontId="9" fillId="0" borderId="68" xfId="4" applyFont="1" applyBorder="1" applyAlignment="1">
      <alignment horizontal="center"/>
    </xf>
    <xf numFmtId="0" fontId="9" fillId="0" borderId="185" xfId="0" applyFont="1" applyBorder="1" applyAlignment="1">
      <alignment horizontal="center" vertical="center" wrapText="1"/>
    </xf>
    <xf numFmtId="0" fontId="9" fillId="0" borderId="238" xfId="0" applyFont="1" applyBorder="1" applyAlignment="1">
      <alignment horizontal="center" vertical="center" wrapText="1"/>
    </xf>
    <xf numFmtId="0" fontId="8" fillId="0" borderId="59" xfId="4" applyFont="1" applyBorder="1" applyAlignment="1">
      <alignment horizontal="center" vertical="center"/>
    </xf>
    <xf numFmtId="0" fontId="8" fillId="0" borderId="238" xfId="4" applyFont="1" applyBorder="1" applyAlignment="1">
      <alignment horizontal="center" vertical="center"/>
    </xf>
    <xf numFmtId="0" fontId="8" fillId="0" borderId="102" xfId="4" applyFont="1" applyBorder="1" applyAlignment="1">
      <alignment horizontal="center" vertical="center" wrapText="1"/>
    </xf>
    <xf numFmtId="0" fontId="8" fillId="0" borderId="83" xfId="4" applyFont="1" applyBorder="1" applyAlignment="1">
      <alignment horizontal="center" vertical="center" wrapText="1"/>
    </xf>
    <xf numFmtId="0" fontId="8" fillId="0" borderId="185"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8" fillId="0" borderId="259" xfId="0" applyFont="1" applyBorder="1" applyAlignment="1">
      <alignment horizontal="center" vertical="center"/>
    </xf>
    <xf numFmtId="0" fontId="8" fillId="0" borderId="260" xfId="0" applyFont="1" applyBorder="1" applyAlignment="1">
      <alignment horizontal="center" vertical="center"/>
    </xf>
    <xf numFmtId="0" fontId="8" fillId="0" borderId="156" xfId="0" applyFont="1" applyBorder="1" applyAlignment="1">
      <alignment horizontal="center"/>
    </xf>
    <xf numFmtId="0" fontId="8" fillId="0" borderId="145" xfId="0" applyFont="1" applyBorder="1" applyAlignment="1">
      <alignment horizontal="center"/>
    </xf>
    <xf numFmtId="0" fontId="9" fillId="0" borderId="133" xfId="0" applyFont="1" applyBorder="1" applyAlignment="1">
      <alignment horizont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8" fillId="0" borderId="100" xfId="0" applyFont="1" applyBorder="1" applyAlignment="1">
      <alignment horizontal="center" wrapText="1"/>
    </xf>
    <xf numFmtId="0" fontId="8" fillId="0" borderId="79" xfId="0" applyFont="1" applyBorder="1" applyAlignment="1">
      <alignment horizontal="center" wrapText="1"/>
    </xf>
    <xf numFmtId="0" fontId="8" fillId="0" borderId="63" xfId="0" applyFont="1" applyBorder="1" applyAlignment="1">
      <alignment horizontal="center" vertical="center" wrapText="1"/>
    </xf>
    <xf numFmtId="0" fontId="9" fillId="0" borderId="98" xfId="4" applyFont="1" applyBorder="1" applyAlignment="1">
      <alignment horizontal="center" vertical="center"/>
    </xf>
    <xf numFmtId="0" fontId="9" fillId="0" borderId="203" xfId="0" applyFont="1" applyBorder="1" applyAlignment="1"/>
    <xf numFmtId="0" fontId="69" fillId="0" borderId="9" xfId="0" applyFont="1" applyBorder="1" applyAlignment="1"/>
    <xf numFmtId="0" fontId="69" fillId="0" borderId="18" xfId="0" applyFont="1" applyBorder="1" applyAlignment="1"/>
    <xf numFmtId="0" fontId="8" fillId="0" borderId="203" xfId="0" applyFont="1" applyBorder="1" applyAlignment="1"/>
    <xf numFmtId="0" fontId="9" fillId="0" borderId="238" xfId="0" applyFont="1" applyBorder="1" applyAlignment="1"/>
    <xf numFmtId="0" fontId="9" fillId="0" borderId="63" xfId="0" applyFont="1" applyBorder="1" applyAlignment="1"/>
  </cellXfs>
  <cellStyles count="31377">
    <cellStyle name="20% - Accent1" xfId="24" builtinId="30" customBuiltin="1"/>
    <cellStyle name="20% - Accent1 10" xfId="1649" xr:uid="{00000000-0005-0000-0000-000001000000}"/>
    <cellStyle name="20% - Accent1 11" xfId="1650" xr:uid="{00000000-0005-0000-0000-000002000000}"/>
    <cellStyle name="20% - Accent1 12" xfId="1651" xr:uid="{00000000-0005-0000-0000-000003000000}"/>
    <cellStyle name="20% - Accent1 12 2" xfId="27192" xr:uid="{00000000-0005-0000-0000-000004000000}"/>
    <cellStyle name="20% - Accent1 13" xfId="1652" xr:uid="{00000000-0005-0000-0000-000005000000}"/>
    <cellStyle name="20% - Accent1 13 2" xfId="27193" xr:uid="{00000000-0005-0000-0000-000006000000}"/>
    <cellStyle name="20% - Accent1 14" xfId="1653" xr:uid="{00000000-0005-0000-0000-000007000000}"/>
    <cellStyle name="20% - Accent1 14 2" xfId="27194" xr:uid="{00000000-0005-0000-0000-000008000000}"/>
    <cellStyle name="20% - Accent1 15" xfId="1654" xr:uid="{00000000-0005-0000-0000-000009000000}"/>
    <cellStyle name="20% - Accent1 15 2" xfId="27195" xr:uid="{00000000-0005-0000-0000-00000A000000}"/>
    <cellStyle name="20% - Accent1 16" xfId="1655" xr:uid="{00000000-0005-0000-0000-00000B000000}"/>
    <cellStyle name="20% - Accent1 16 2" xfId="27196" xr:uid="{00000000-0005-0000-0000-00000C000000}"/>
    <cellStyle name="20% - Accent1 17" xfId="1656" xr:uid="{00000000-0005-0000-0000-00000D000000}"/>
    <cellStyle name="20% - Accent1 17 2" xfId="27197" xr:uid="{00000000-0005-0000-0000-00000E000000}"/>
    <cellStyle name="20% - Accent1 18" xfId="1657" xr:uid="{00000000-0005-0000-0000-00000F000000}"/>
    <cellStyle name="20% - Accent1 18 2" xfId="27198" xr:uid="{00000000-0005-0000-0000-000010000000}"/>
    <cellStyle name="20% - Accent1 19" xfId="1658" xr:uid="{00000000-0005-0000-0000-000011000000}"/>
    <cellStyle name="20% - Accent1 19 2" xfId="27199" xr:uid="{00000000-0005-0000-0000-000012000000}"/>
    <cellStyle name="20% - Accent1 2" xfId="1526" xr:uid="{00000000-0005-0000-0000-000013000000}"/>
    <cellStyle name="20% - Accent1 2 10" xfId="1659" xr:uid="{00000000-0005-0000-0000-000014000000}"/>
    <cellStyle name="20% - Accent1 2 11" xfId="1660" xr:uid="{00000000-0005-0000-0000-000015000000}"/>
    <cellStyle name="20% - Accent1 2 12" xfId="1661" xr:uid="{00000000-0005-0000-0000-000016000000}"/>
    <cellStyle name="20% - Accent1 2 13" xfId="1662" xr:uid="{00000000-0005-0000-0000-000017000000}"/>
    <cellStyle name="20% - Accent1 2 14" xfId="1663" xr:uid="{00000000-0005-0000-0000-000018000000}"/>
    <cellStyle name="20% - Accent1 2 15" xfId="1664" xr:uid="{00000000-0005-0000-0000-000019000000}"/>
    <cellStyle name="20% - Accent1 2 16" xfId="31352" xr:uid="{00000000-0005-0000-0000-00001A000000}"/>
    <cellStyle name="20% - Accent1 2 2" xfId="1665" xr:uid="{00000000-0005-0000-0000-00001B000000}"/>
    <cellStyle name="20% - Accent1 2 3" xfId="1666" xr:uid="{00000000-0005-0000-0000-00001C000000}"/>
    <cellStyle name="20% - Accent1 2 4" xfId="1667" xr:uid="{00000000-0005-0000-0000-00001D000000}"/>
    <cellStyle name="20% - Accent1 2 5" xfId="1668" xr:uid="{00000000-0005-0000-0000-00001E000000}"/>
    <cellStyle name="20% - Accent1 2 6" xfId="1669" xr:uid="{00000000-0005-0000-0000-00001F000000}"/>
    <cellStyle name="20% - Accent1 2 7" xfId="1670" xr:uid="{00000000-0005-0000-0000-000020000000}"/>
    <cellStyle name="20% - Accent1 2 8" xfId="1671" xr:uid="{00000000-0005-0000-0000-000021000000}"/>
    <cellStyle name="20% - Accent1 2 9" xfId="1672" xr:uid="{00000000-0005-0000-0000-000022000000}"/>
    <cellStyle name="20% - Accent1 20" xfId="1673" xr:uid="{00000000-0005-0000-0000-000023000000}"/>
    <cellStyle name="20% - Accent1 20 2" xfId="27200" xr:uid="{00000000-0005-0000-0000-000024000000}"/>
    <cellStyle name="20% - Accent1 21" xfId="1674" xr:uid="{00000000-0005-0000-0000-000025000000}"/>
    <cellStyle name="20% - Accent1 21 2" xfId="27201" xr:uid="{00000000-0005-0000-0000-000026000000}"/>
    <cellStyle name="20% - Accent1 22" xfId="1675" xr:uid="{00000000-0005-0000-0000-000027000000}"/>
    <cellStyle name="20% - Accent1 22 2" xfId="27202" xr:uid="{00000000-0005-0000-0000-000028000000}"/>
    <cellStyle name="20% - Accent1 23" xfId="1676" xr:uid="{00000000-0005-0000-0000-000029000000}"/>
    <cellStyle name="20% - Accent1 23 2" xfId="27203" xr:uid="{00000000-0005-0000-0000-00002A000000}"/>
    <cellStyle name="20% - Accent1 24" xfId="1677" xr:uid="{00000000-0005-0000-0000-00002B000000}"/>
    <cellStyle name="20% - Accent1 24 2" xfId="27204" xr:uid="{00000000-0005-0000-0000-00002C000000}"/>
    <cellStyle name="20% - Accent1 3" xfId="1527" xr:uid="{00000000-0005-0000-0000-00002D000000}"/>
    <cellStyle name="20% - Accent1 3 2" xfId="31365" xr:uid="{00000000-0005-0000-0000-00002E000000}"/>
    <cellStyle name="20% - Accent1 4" xfId="1678" xr:uid="{00000000-0005-0000-0000-00002F000000}"/>
    <cellStyle name="20% - Accent1 5" xfId="1679" xr:uid="{00000000-0005-0000-0000-000030000000}"/>
    <cellStyle name="20% - Accent1 6" xfId="1680" xr:uid="{00000000-0005-0000-0000-000031000000}"/>
    <cellStyle name="20% - Accent1 7" xfId="1681" xr:uid="{00000000-0005-0000-0000-000032000000}"/>
    <cellStyle name="20% - Accent1 8" xfId="1682" xr:uid="{00000000-0005-0000-0000-000033000000}"/>
    <cellStyle name="20% - Accent1 9" xfId="1683" xr:uid="{00000000-0005-0000-0000-000034000000}"/>
    <cellStyle name="20% - Accent2" xfId="28" builtinId="34" customBuiltin="1"/>
    <cellStyle name="20% - Accent2 10" xfId="1684" xr:uid="{00000000-0005-0000-0000-000036000000}"/>
    <cellStyle name="20% - Accent2 11" xfId="1685" xr:uid="{00000000-0005-0000-0000-000037000000}"/>
    <cellStyle name="20% - Accent2 12" xfId="1686" xr:uid="{00000000-0005-0000-0000-000038000000}"/>
    <cellStyle name="20% - Accent2 12 2" xfId="27205" xr:uid="{00000000-0005-0000-0000-000039000000}"/>
    <cellStyle name="20% - Accent2 13" xfId="1687" xr:uid="{00000000-0005-0000-0000-00003A000000}"/>
    <cellStyle name="20% - Accent2 13 2" xfId="27206" xr:uid="{00000000-0005-0000-0000-00003B000000}"/>
    <cellStyle name="20% - Accent2 14" xfId="1688" xr:uid="{00000000-0005-0000-0000-00003C000000}"/>
    <cellStyle name="20% - Accent2 14 2" xfId="27207" xr:uid="{00000000-0005-0000-0000-00003D000000}"/>
    <cellStyle name="20% - Accent2 15" xfId="1689" xr:uid="{00000000-0005-0000-0000-00003E000000}"/>
    <cellStyle name="20% - Accent2 15 2" xfId="27208" xr:uid="{00000000-0005-0000-0000-00003F000000}"/>
    <cellStyle name="20% - Accent2 16" xfId="1690" xr:uid="{00000000-0005-0000-0000-000040000000}"/>
    <cellStyle name="20% - Accent2 16 2" xfId="27209" xr:uid="{00000000-0005-0000-0000-000041000000}"/>
    <cellStyle name="20% - Accent2 17" xfId="1691" xr:uid="{00000000-0005-0000-0000-000042000000}"/>
    <cellStyle name="20% - Accent2 17 2" xfId="27210" xr:uid="{00000000-0005-0000-0000-000043000000}"/>
    <cellStyle name="20% - Accent2 18" xfId="1692" xr:uid="{00000000-0005-0000-0000-000044000000}"/>
    <cellStyle name="20% - Accent2 18 2" xfId="27211" xr:uid="{00000000-0005-0000-0000-000045000000}"/>
    <cellStyle name="20% - Accent2 19" xfId="1693" xr:uid="{00000000-0005-0000-0000-000046000000}"/>
    <cellStyle name="20% - Accent2 19 2" xfId="27212" xr:uid="{00000000-0005-0000-0000-000047000000}"/>
    <cellStyle name="20% - Accent2 2" xfId="1528" xr:uid="{00000000-0005-0000-0000-000048000000}"/>
    <cellStyle name="20% - Accent2 2 10" xfId="1694" xr:uid="{00000000-0005-0000-0000-000049000000}"/>
    <cellStyle name="20% - Accent2 2 11" xfId="1695" xr:uid="{00000000-0005-0000-0000-00004A000000}"/>
    <cellStyle name="20% - Accent2 2 12" xfId="1696" xr:uid="{00000000-0005-0000-0000-00004B000000}"/>
    <cellStyle name="20% - Accent2 2 13" xfId="1697" xr:uid="{00000000-0005-0000-0000-00004C000000}"/>
    <cellStyle name="20% - Accent2 2 14" xfId="1698" xr:uid="{00000000-0005-0000-0000-00004D000000}"/>
    <cellStyle name="20% - Accent2 2 15" xfId="1699" xr:uid="{00000000-0005-0000-0000-00004E000000}"/>
    <cellStyle name="20% - Accent2 2 16" xfId="31354" xr:uid="{00000000-0005-0000-0000-00004F000000}"/>
    <cellStyle name="20% - Accent2 2 2" xfId="1700" xr:uid="{00000000-0005-0000-0000-000050000000}"/>
    <cellStyle name="20% - Accent2 2 3" xfId="1701" xr:uid="{00000000-0005-0000-0000-000051000000}"/>
    <cellStyle name="20% - Accent2 2 4" xfId="1702" xr:uid="{00000000-0005-0000-0000-000052000000}"/>
    <cellStyle name="20% - Accent2 2 5" xfId="1703" xr:uid="{00000000-0005-0000-0000-000053000000}"/>
    <cellStyle name="20% - Accent2 2 6" xfId="1704" xr:uid="{00000000-0005-0000-0000-000054000000}"/>
    <cellStyle name="20% - Accent2 2 7" xfId="1705" xr:uid="{00000000-0005-0000-0000-000055000000}"/>
    <cellStyle name="20% - Accent2 2 8" xfId="1706" xr:uid="{00000000-0005-0000-0000-000056000000}"/>
    <cellStyle name="20% - Accent2 2 9" xfId="1707" xr:uid="{00000000-0005-0000-0000-000057000000}"/>
    <cellStyle name="20% - Accent2 20" xfId="1708" xr:uid="{00000000-0005-0000-0000-000058000000}"/>
    <cellStyle name="20% - Accent2 20 2" xfId="27213" xr:uid="{00000000-0005-0000-0000-000059000000}"/>
    <cellStyle name="20% - Accent2 21" xfId="1709" xr:uid="{00000000-0005-0000-0000-00005A000000}"/>
    <cellStyle name="20% - Accent2 21 2" xfId="27214" xr:uid="{00000000-0005-0000-0000-00005B000000}"/>
    <cellStyle name="20% - Accent2 22" xfId="1710" xr:uid="{00000000-0005-0000-0000-00005C000000}"/>
    <cellStyle name="20% - Accent2 22 2" xfId="27215" xr:uid="{00000000-0005-0000-0000-00005D000000}"/>
    <cellStyle name="20% - Accent2 23" xfId="1711" xr:uid="{00000000-0005-0000-0000-00005E000000}"/>
    <cellStyle name="20% - Accent2 23 2" xfId="27216" xr:uid="{00000000-0005-0000-0000-00005F000000}"/>
    <cellStyle name="20% - Accent2 24" xfId="1712" xr:uid="{00000000-0005-0000-0000-000060000000}"/>
    <cellStyle name="20% - Accent2 24 2" xfId="27217" xr:uid="{00000000-0005-0000-0000-000061000000}"/>
    <cellStyle name="20% - Accent2 3" xfId="1529" xr:uid="{00000000-0005-0000-0000-000062000000}"/>
    <cellStyle name="20% - Accent2 3 2" xfId="31367" xr:uid="{00000000-0005-0000-0000-000063000000}"/>
    <cellStyle name="20% - Accent2 4" xfId="1713" xr:uid="{00000000-0005-0000-0000-000064000000}"/>
    <cellStyle name="20% - Accent2 5" xfId="1714" xr:uid="{00000000-0005-0000-0000-000065000000}"/>
    <cellStyle name="20% - Accent2 6" xfId="1715" xr:uid="{00000000-0005-0000-0000-000066000000}"/>
    <cellStyle name="20% - Accent2 7" xfId="1716" xr:uid="{00000000-0005-0000-0000-000067000000}"/>
    <cellStyle name="20% - Accent2 8" xfId="1717" xr:uid="{00000000-0005-0000-0000-000068000000}"/>
    <cellStyle name="20% - Accent2 9" xfId="1718" xr:uid="{00000000-0005-0000-0000-000069000000}"/>
    <cellStyle name="20% - Accent3" xfId="32" builtinId="38" customBuiltin="1"/>
    <cellStyle name="20% - Accent3 10" xfId="1719" xr:uid="{00000000-0005-0000-0000-00006B000000}"/>
    <cellStyle name="20% - Accent3 11" xfId="1720" xr:uid="{00000000-0005-0000-0000-00006C000000}"/>
    <cellStyle name="20% - Accent3 12" xfId="1721" xr:uid="{00000000-0005-0000-0000-00006D000000}"/>
    <cellStyle name="20% - Accent3 12 2" xfId="27218" xr:uid="{00000000-0005-0000-0000-00006E000000}"/>
    <cellStyle name="20% - Accent3 13" xfId="1722" xr:uid="{00000000-0005-0000-0000-00006F000000}"/>
    <cellStyle name="20% - Accent3 13 2" xfId="27219" xr:uid="{00000000-0005-0000-0000-000070000000}"/>
    <cellStyle name="20% - Accent3 14" xfId="1723" xr:uid="{00000000-0005-0000-0000-000071000000}"/>
    <cellStyle name="20% - Accent3 14 2" xfId="27220" xr:uid="{00000000-0005-0000-0000-000072000000}"/>
    <cellStyle name="20% - Accent3 15" xfId="1724" xr:uid="{00000000-0005-0000-0000-000073000000}"/>
    <cellStyle name="20% - Accent3 15 2" xfId="27221" xr:uid="{00000000-0005-0000-0000-000074000000}"/>
    <cellStyle name="20% - Accent3 16" xfId="1725" xr:uid="{00000000-0005-0000-0000-000075000000}"/>
    <cellStyle name="20% - Accent3 16 2" xfId="27222" xr:uid="{00000000-0005-0000-0000-000076000000}"/>
    <cellStyle name="20% - Accent3 17" xfId="1726" xr:uid="{00000000-0005-0000-0000-000077000000}"/>
    <cellStyle name="20% - Accent3 17 2" xfId="27223" xr:uid="{00000000-0005-0000-0000-000078000000}"/>
    <cellStyle name="20% - Accent3 18" xfId="1727" xr:uid="{00000000-0005-0000-0000-000079000000}"/>
    <cellStyle name="20% - Accent3 18 2" xfId="27224" xr:uid="{00000000-0005-0000-0000-00007A000000}"/>
    <cellStyle name="20% - Accent3 19" xfId="1728" xr:uid="{00000000-0005-0000-0000-00007B000000}"/>
    <cellStyle name="20% - Accent3 19 2" xfId="27225" xr:uid="{00000000-0005-0000-0000-00007C000000}"/>
    <cellStyle name="20% - Accent3 2" xfId="1530" xr:uid="{00000000-0005-0000-0000-00007D000000}"/>
    <cellStyle name="20% - Accent3 2 10" xfId="1729" xr:uid="{00000000-0005-0000-0000-00007E000000}"/>
    <cellStyle name="20% - Accent3 2 11" xfId="1730" xr:uid="{00000000-0005-0000-0000-00007F000000}"/>
    <cellStyle name="20% - Accent3 2 12" xfId="1731" xr:uid="{00000000-0005-0000-0000-000080000000}"/>
    <cellStyle name="20% - Accent3 2 13" xfId="1732" xr:uid="{00000000-0005-0000-0000-000081000000}"/>
    <cellStyle name="20% - Accent3 2 14" xfId="1733" xr:uid="{00000000-0005-0000-0000-000082000000}"/>
    <cellStyle name="20% - Accent3 2 15" xfId="1734" xr:uid="{00000000-0005-0000-0000-000083000000}"/>
    <cellStyle name="20% - Accent3 2 16" xfId="31356" xr:uid="{00000000-0005-0000-0000-000084000000}"/>
    <cellStyle name="20% - Accent3 2 2" xfId="1735" xr:uid="{00000000-0005-0000-0000-000085000000}"/>
    <cellStyle name="20% - Accent3 2 3" xfId="1736" xr:uid="{00000000-0005-0000-0000-000086000000}"/>
    <cellStyle name="20% - Accent3 2 4" xfId="1737" xr:uid="{00000000-0005-0000-0000-000087000000}"/>
    <cellStyle name="20% - Accent3 2 5" xfId="1738" xr:uid="{00000000-0005-0000-0000-000088000000}"/>
    <cellStyle name="20% - Accent3 2 6" xfId="1739" xr:uid="{00000000-0005-0000-0000-000089000000}"/>
    <cellStyle name="20% - Accent3 2 7" xfId="1740" xr:uid="{00000000-0005-0000-0000-00008A000000}"/>
    <cellStyle name="20% - Accent3 2 8" xfId="1741" xr:uid="{00000000-0005-0000-0000-00008B000000}"/>
    <cellStyle name="20% - Accent3 2 9" xfId="1742" xr:uid="{00000000-0005-0000-0000-00008C000000}"/>
    <cellStyle name="20% - Accent3 20" xfId="1743" xr:uid="{00000000-0005-0000-0000-00008D000000}"/>
    <cellStyle name="20% - Accent3 20 2" xfId="27226" xr:uid="{00000000-0005-0000-0000-00008E000000}"/>
    <cellStyle name="20% - Accent3 21" xfId="1744" xr:uid="{00000000-0005-0000-0000-00008F000000}"/>
    <cellStyle name="20% - Accent3 21 2" xfId="27227" xr:uid="{00000000-0005-0000-0000-000090000000}"/>
    <cellStyle name="20% - Accent3 22" xfId="1745" xr:uid="{00000000-0005-0000-0000-000091000000}"/>
    <cellStyle name="20% - Accent3 22 2" xfId="27228" xr:uid="{00000000-0005-0000-0000-000092000000}"/>
    <cellStyle name="20% - Accent3 23" xfId="1746" xr:uid="{00000000-0005-0000-0000-000093000000}"/>
    <cellStyle name="20% - Accent3 23 2" xfId="27229" xr:uid="{00000000-0005-0000-0000-000094000000}"/>
    <cellStyle name="20% - Accent3 24" xfId="1747" xr:uid="{00000000-0005-0000-0000-000095000000}"/>
    <cellStyle name="20% - Accent3 24 2" xfId="27230" xr:uid="{00000000-0005-0000-0000-000096000000}"/>
    <cellStyle name="20% - Accent3 3" xfId="1531" xr:uid="{00000000-0005-0000-0000-000097000000}"/>
    <cellStyle name="20% - Accent3 3 2" xfId="31369" xr:uid="{00000000-0005-0000-0000-000098000000}"/>
    <cellStyle name="20% - Accent3 4" xfId="1748" xr:uid="{00000000-0005-0000-0000-000099000000}"/>
    <cellStyle name="20% - Accent3 5" xfId="1749" xr:uid="{00000000-0005-0000-0000-00009A000000}"/>
    <cellStyle name="20% - Accent3 6" xfId="1750" xr:uid="{00000000-0005-0000-0000-00009B000000}"/>
    <cellStyle name="20% - Accent3 7" xfId="1751" xr:uid="{00000000-0005-0000-0000-00009C000000}"/>
    <cellStyle name="20% - Accent3 8" xfId="1752" xr:uid="{00000000-0005-0000-0000-00009D000000}"/>
    <cellStyle name="20% - Accent3 9" xfId="1753" xr:uid="{00000000-0005-0000-0000-00009E000000}"/>
    <cellStyle name="20% - Accent4" xfId="36" builtinId="42" customBuiltin="1"/>
    <cellStyle name="20% - Accent4 10" xfId="1754" xr:uid="{00000000-0005-0000-0000-0000A0000000}"/>
    <cellStyle name="20% - Accent4 11" xfId="1755" xr:uid="{00000000-0005-0000-0000-0000A1000000}"/>
    <cellStyle name="20% - Accent4 12" xfId="1756" xr:uid="{00000000-0005-0000-0000-0000A2000000}"/>
    <cellStyle name="20% - Accent4 12 2" xfId="27231" xr:uid="{00000000-0005-0000-0000-0000A3000000}"/>
    <cellStyle name="20% - Accent4 13" xfId="1757" xr:uid="{00000000-0005-0000-0000-0000A4000000}"/>
    <cellStyle name="20% - Accent4 13 2" xfId="27232" xr:uid="{00000000-0005-0000-0000-0000A5000000}"/>
    <cellStyle name="20% - Accent4 14" xfId="1758" xr:uid="{00000000-0005-0000-0000-0000A6000000}"/>
    <cellStyle name="20% - Accent4 14 2" xfId="27233" xr:uid="{00000000-0005-0000-0000-0000A7000000}"/>
    <cellStyle name="20% - Accent4 15" xfId="1759" xr:uid="{00000000-0005-0000-0000-0000A8000000}"/>
    <cellStyle name="20% - Accent4 15 2" xfId="27234" xr:uid="{00000000-0005-0000-0000-0000A9000000}"/>
    <cellStyle name="20% - Accent4 16" xfId="1760" xr:uid="{00000000-0005-0000-0000-0000AA000000}"/>
    <cellStyle name="20% - Accent4 16 2" xfId="27235" xr:uid="{00000000-0005-0000-0000-0000AB000000}"/>
    <cellStyle name="20% - Accent4 17" xfId="1761" xr:uid="{00000000-0005-0000-0000-0000AC000000}"/>
    <cellStyle name="20% - Accent4 17 2" xfId="27236" xr:uid="{00000000-0005-0000-0000-0000AD000000}"/>
    <cellStyle name="20% - Accent4 18" xfId="1762" xr:uid="{00000000-0005-0000-0000-0000AE000000}"/>
    <cellStyle name="20% - Accent4 18 2" xfId="27237" xr:uid="{00000000-0005-0000-0000-0000AF000000}"/>
    <cellStyle name="20% - Accent4 19" xfId="1763" xr:uid="{00000000-0005-0000-0000-0000B0000000}"/>
    <cellStyle name="20% - Accent4 19 2" xfId="27238" xr:uid="{00000000-0005-0000-0000-0000B1000000}"/>
    <cellStyle name="20% - Accent4 2" xfId="1532" xr:uid="{00000000-0005-0000-0000-0000B2000000}"/>
    <cellStyle name="20% - Accent4 2 10" xfId="1764" xr:uid="{00000000-0005-0000-0000-0000B3000000}"/>
    <cellStyle name="20% - Accent4 2 11" xfId="1765" xr:uid="{00000000-0005-0000-0000-0000B4000000}"/>
    <cellStyle name="20% - Accent4 2 12" xfId="1766" xr:uid="{00000000-0005-0000-0000-0000B5000000}"/>
    <cellStyle name="20% - Accent4 2 13" xfId="1767" xr:uid="{00000000-0005-0000-0000-0000B6000000}"/>
    <cellStyle name="20% - Accent4 2 14" xfId="1768" xr:uid="{00000000-0005-0000-0000-0000B7000000}"/>
    <cellStyle name="20% - Accent4 2 15" xfId="1769" xr:uid="{00000000-0005-0000-0000-0000B8000000}"/>
    <cellStyle name="20% - Accent4 2 16" xfId="31358" xr:uid="{00000000-0005-0000-0000-0000B9000000}"/>
    <cellStyle name="20% - Accent4 2 2" xfId="1770" xr:uid="{00000000-0005-0000-0000-0000BA000000}"/>
    <cellStyle name="20% - Accent4 2 3" xfId="1771" xr:uid="{00000000-0005-0000-0000-0000BB000000}"/>
    <cellStyle name="20% - Accent4 2 4" xfId="1772" xr:uid="{00000000-0005-0000-0000-0000BC000000}"/>
    <cellStyle name="20% - Accent4 2 5" xfId="1773" xr:uid="{00000000-0005-0000-0000-0000BD000000}"/>
    <cellStyle name="20% - Accent4 2 6" xfId="1774" xr:uid="{00000000-0005-0000-0000-0000BE000000}"/>
    <cellStyle name="20% - Accent4 2 7" xfId="1775" xr:uid="{00000000-0005-0000-0000-0000BF000000}"/>
    <cellStyle name="20% - Accent4 2 8" xfId="1776" xr:uid="{00000000-0005-0000-0000-0000C0000000}"/>
    <cellStyle name="20% - Accent4 2 9" xfId="1777" xr:uid="{00000000-0005-0000-0000-0000C1000000}"/>
    <cellStyle name="20% - Accent4 20" xfId="1778" xr:uid="{00000000-0005-0000-0000-0000C2000000}"/>
    <cellStyle name="20% - Accent4 20 2" xfId="27239" xr:uid="{00000000-0005-0000-0000-0000C3000000}"/>
    <cellStyle name="20% - Accent4 21" xfId="1779" xr:uid="{00000000-0005-0000-0000-0000C4000000}"/>
    <cellStyle name="20% - Accent4 21 2" xfId="27240" xr:uid="{00000000-0005-0000-0000-0000C5000000}"/>
    <cellStyle name="20% - Accent4 22" xfId="1780" xr:uid="{00000000-0005-0000-0000-0000C6000000}"/>
    <cellStyle name="20% - Accent4 22 2" xfId="27241" xr:uid="{00000000-0005-0000-0000-0000C7000000}"/>
    <cellStyle name="20% - Accent4 23" xfId="1781" xr:uid="{00000000-0005-0000-0000-0000C8000000}"/>
    <cellStyle name="20% - Accent4 23 2" xfId="27242" xr:uid="{00000000-0005-0000-0000-0000C9000000}"/>
    <cellStyle name="20% - Accent4 24" xfId="1782" xr:uid="{00000000-0005-0000-0000-0000CA000000}"/>
    <cellStyle name="20% - Accent4 24 2" xfId="27243" xr:uid="{00000000-0005-0000-0000-0000CB000000}"/>
    <cellStyle name="20% - Accent4 3" xfId="1533" xr:uid="{00000000-0005-0000-0000-0000CC000000}"/>
    <cellStyle name="20% - Accent4 3 2" xfId="31371" xr:uid="{00000000-0005-0000-0000-0000CD000000}"/>
    <cellStyle name="20% - Accent4 4" xfId="1783" xr:uid="{00000000-0005-0000-0000-0000CE000000}"/>
    <cellStyle name="20% - Accent4 5" xfId="1784" xr:uid="{00000000-0005-0000-0000-0000CF000000}"/>
    <cellStyle name="20% - Accent4 6" xfId="1785" xr:uid="{00000000-0005-0000-0000-0000D0000000}"/>
    <cellStyle name="20% - Accent4 7" xfId="1786" xr:uid="{00000000-0005-0000-0000-0000D1000000}"/>
    <cellStyle name="20% - Accent4 8" xfId="1787" xr:uid="{00000000-0005-0000-0000-0000D2000000}"/>
    <cellStyle name="20% - Accent4 9" xfId="1788" xr:uid="{00000000-0005-0000-0000-0000D3000000}"/>
    <cellStyle name="20% - Accent5" xfId="40" builtinId="46" customBuiltin="1"/>
    <cellStyle name="20% - Accent5 10" xfId="1789" xr:uid="{00000000-0005-0000-0000-0000D5000000}"/>
    <cellStyle name="20% - Accent5 11" xfId="1790" xr:uid="{00000000-0005-0000-0000-0000D6000000}"/>
    <cellStyle name="20% - Accent5 12" xfId="1791" xr:uid="{00000000-0005-0000-0000-0000D7000000}"/>
    <cellStyle name="20% - Accent5 12 2" xfId="27244" xr:uid="{00000000-0005-0000-0000-0000D8000000}"/>
    <cellStyle name="20% - Accent5 13" xfId="1792" xr:uid="{00000000-0005-0000-0000-0000D9000000}"/>
    <cellStyle name="20% - Accent5 13 2" xfId="27245" xr:uid="{00000000-0005-0000-0000-0000DA000000}"/>
    <cellStyle name="20% - Accent5 14" xfId="1793" xr:uid="{00000000-0005-0000-0000-0000DB000000}"/>
    <cellStyle name="20% - Accent5 14 2" xfId="27246" xr:uid="{00000000-0005-0000-0000-0000DC000000}"/>
    <cellStyle name="20% - Accent5 15" xfId="1794" xr:uid="{00000000-0005-0000-0000-0000DD000000}"/>
    <cellStyle name="20% - Accent5 15 2" xfId="27247" xr:uid="{00000000-0005-0000-0000-0000DE000000}"/>
    <cellStyle name="20% - Accent5 16" xfId="1795" xr:uid="{00000000-0005-0000-0000-0000DF000000}"/>
    <cellStyle name="20% - Accent5 16 2" xfId="27248" xr:uid="{00000000-0005-0000-0000-0000E0000000}"/>
    <cellStyle name="20% - Accent5 17" xfId="1796" xr:uid="{00000000-0005-0000-0000-0000E1000000}"/>
    <cellStyle name="20% - Accent5 17 2" xfId="27249" xr:uid="{00000000-0005-0000-0000-0000E2000000}"/>
    <cellStyle name="20% - Accent5 18" xfId="1797" xr:uid="{00000000-0005-0000-0000-0000E3000000}"/>
    <cellStyle name="20% - Accent5 18 2" xfId="27250" xr:uid="{00000000-0005-0000-0000-0000E4000000}"/>
    <cellStyle name="20% - Accent5 19" xfId="1798" xr:uid="{00000000-0005-0000-0000-0000E5000000}"/>
    <cellStyle name="20% - Accent5 19 2" xfId="27251" xr:uid="{00000000-0005-0000-0000-0000E6000000}"/>
    <cellStyle name="20% - Accent5 2" xfId="1534" xr:uid="{00000000-0005-0000-0000-0000E7000000}"/>
    <cellStyle name="20% - Accent5 2 10" xfId="1799" xr:uid="{00000000-0005-0000-0000-0000E8000000}"/>
    <cellStyle name="20% - Accent5 2 11" xfId="1800" xr:uid="{00000000-0005-0000-0000-0000E9000000}"/>
    <cellStyle name="20% - Accent5 2 12" xfId="1801" xr:uid="{00000000-0005-0000-0000-0000EA000000}"/>
    <cellStyle name="20% - Accent5 2 13" xfId="1802" xr:uid="{00000000-0005-0000-0000-0000EB000000}"/>
    <cellStyle name="20% - Accent5 2 14" xfId="1803" xr:uid="{00000000-0005-0000-0000-0000EC000000}"/>
    <cellStyle name="20% - Accent5 2 15" xfId="1804" xr:uid="{00000000-0005-0000-0000-0000ED000000}"/>
    <cellStyle name="20% - Accent5 2 16" xfId="31360" xr:uid="{00000000-0005-0000-0000-0000EE000000}"/>
    <cellStyle name="20% - Accent5 2 2" xfId="1805" xr:uid="{00000000-0005-0000-0000-0000EF000000}"/>
    <cellStyle name="20% - Accent5 2 3" xfId="1806" xr:uid="{00000000-0005-0000-0000-0000F0000000}"/>
    <cellStyle name="20% - Accent5 2 4" xfId="1807" xr:uid="{00000000-0005-0000-0000-0000F1000000}"/>
    <cellStyle name="20% - Accent5 2 5" xfId="1808" xr:uid="{00000000-0005-0000-0000-0000F2000000}"/>
    <cellStyle name="20% - Accent5 2 6" xfId="1809" xr:uid="{00000000-0005-0000-0000-0000F3000000}"/>
    <cellStyle name="20% - Accent5 2 7" xfId="1810" xr:uid="{00000000-0005-0000-0000-0000F4000000}"/>
    <cellStyle name="20% - Accent5 2 8" xfId="1811" xr:uid="{00000000-0005-0000-0000-0000F5000000}"/>
    <cellStyle name="20% - Accent5 2 9" xfId="1812" xr:uid="{00000000-0005-0000-0000-0000F6000000}"/>
    <cellStyle name="20% - Accent5 20" xfId="1813" xr:uid="{00000000-0005-0000-0000-0000F7000000}"/>
    <cellStyle name="20% - Accent5 20 2" xfId="27252" xr:uid="{00000000-0005-0000-0000-0000F8000000}"/>
    <cellStyle name="20% - Accent5 21" xfId="1814" xr:uid="{00000000-0005-0000-0000-0000F9000000}"/>
    <cellStyle name="20% - Accent5 21 2" xfId="27253" xr:uid="{00000000-0005-0000-0000-0000FA000000}"/>
    <cellStyle name="20% - Accent5 22" xfId="1815" xr:uid="{00000000-0005-0000-0000-0000FB000000}"/>
    <cellStyle name="20% - Accent5 22 2" xfId="27254" xr:uid="{00000000-0005-0000-0000-0000FC000000}"/>
    <cellStyle name="20% - Accent5 23" xfId="1816" xr:uid="{00000000-0005-0000-0000-0000FD000000}"/>
    <cellStyle name="20% - Accent5 23 2" xfId="27255" xr:uid="{00000000-0005-0000-0000-0000FE000000}"/>
    <cellStyle name="20% - Accent5 24" xfId="1817" xr:uid="{00000000-0005-0000-0000-0000FF000000}"/>
    <cellStyle name="20% - Accent5 24 2" xfId="27256" xr:uid="{00000000-0005-0000-0000-000000010000}"/>
    <cellStyle name="20% - Accent5 3" xfId="1535" xr:uid="{00000000-0005-0000-0000-000001010000}"/>
    <cellStyle name="20% - Accent5 3 2" xfId="31373" xr:uid="{00000000-0005-0000-0000-000002010000}"/>
    <cellStyle name="20% - Accent5 4" xfId="1818" xr:uid="{00000000-0005-0000-0000-000003010000}"/>
    <cellStyle name="20% - Accent5 5" xfId="1819" xr:uid="{00000000-0005-0000-0000-000004010000}"/>
    <cellStyle name="20% - Accent5 6" xfId="1820" xr:uid="{00000000-0005-0000-0000-000005010000}"/>
    <cellStyle name="20% - Accent5 7" xfId="1821" xr:uid="{00000000-0005-0000-0000-000006010000}"/>
    <cellStyle name="20% - Accent5 8" xfId="1822" xr:uid="{00000000-0005-0000-0000-000007010000}"/>
    <cellStyle name="20% - Accent5 9" xfId="1823" xr:uid="{00000000-0005-0000-0000-000008010000}"/>
    <cellStyle name="20% - Accent6" xfId="44" builtinId="50" customBuiltin="1"/>
    <cellStyle name="20% - Accent6 10" xfId="1824" xr:uid="{00000000-0005-0000-0000-00000A010000}"/>
    <cellStyle name="20% - Accent6 11" xfId="1825" xr:uid="{00000000-0005-0000-0000-00000B010000}"/>
    <cellStyle name="20% - Accent6 12" xfId="1826" xr:uid="{00000000-0005-0000-0000-00000C010000}"/>
    <cellStyle name="20% - Accent6 12 2" xfId="27257" xr:uid="{00000000-0005-0000-0000-00000D010000}"/>
    <cellStyle name="20% - Accent6 13" xfId="1827" xr:uid="{00000000-0005-0000-0000-00000E010000}"/>
    <cellStyle name="20% - Accent6 13 2" xfId="27258" xr:uid="{00000000-0005-0000-0000-00000F010000}"/>
    <cellStyle name="20% - Accent6 14" xfId="1828" xr:uid="{00000000-0005-0000-0000-000010010000}"/>
    <cellStyle name="20% - Accent6 14 2" xfId="27259" xr:uid="{00000000-0005-0000-0000-000011010000}"/>
    <cellStyle name="20% - Accent6 15" xfId="1829" xr:uid="{00000000-0005-0000-0000-000012010000}"/>
    <cellStyle name="20% - Accent6 15 2" xfId="27260" xr:uid="{00000000-0005-0000-0000-000013010000}"/>
    <cellStyle name="20% - Accent6 16" xfId="1830" xr:uid="{00000000-0005-0000-0000-000014010000}"/>
    <cellStyle name="20% - Accent6 16 2" xfId="27261" xr:uid="{00000000-0005-0000-0000-000015010000}"/>
    <cellStyle name="20% - Accent6 17" xfId="1831" xr:uid="{00000000-0005-0000-0000-000016010000}"/>
    <cellStyle name="20% - Accent6 17 2" xfId="27262" xr:uid="{00000000-0005-0000-0000-000017010000}"/>
    <cellStyle name="20% - Accent6 18" xfId="1832" xr:uid="{00000000-0005-0000-0000-000018010000}"/>
    <cellStyle name="20% - Accent6 18 2" xfId="27263" xr:uid="{00000000-0005-0000-0000-000019010000}"/>
    <cellStyle name="20% - Accent6 19" xfId="1833" xr:uid="{00000000-0005-0000-0000-00001A010000}"/>
    <cellStyle name="20% - Accent6 19 2" xfId="27264" xr:uid="{00000000-0005-0000-0000-00001B010000}"/>
    <cellStyle name="20% - Accent6 2" xfId="1536" xr:uid="{00000000-0005-0000-0000-00001C010000}"/>
    <cellStyle name="20% - Accent6 2 10" xfId="1834" xr:uid="{00000000-0005-0000-0000-00001D010000}"/>
    <cellStyle name="20% - Accent6 2 11" xfId="1835" xr:uid="{00000000-0005-0000-0000-00001E010000}"/>
    <cellStyle name="20% - Accent6 2 12" xfId="1836" xr:uid="{00000000-0005-0000-0000-00001F010000}"/>
    <cellStyle name="20% - Accent6 2 13" xfId="1837" xr:uid="{00000000-0005-0000-0000-000020010000}"/>
    <cellStyle name="20% - Accent6 2 14" xfId="1838" xr:uid="{00000000-0005-0000-0000-000021010000}"/>
    <cellStyle name="20% - Accent6 2 15" xfId="1839" xr:uid="{00000000-0005-0000-0000-000022010000}"/>
    <cellStyle name="20% - Accent6 2 16" xfId="31362" xr:uid="{00000000-0005-0000-0000-000023010000}"/>
    <cellStyle name="20% - Accent6 2 2" xfId="1840" xr:uid="{00000000-0005-0000-0000-000024010000}"/>
    <cellStyle name="20% - Accent6 2 3" xfId="1841" xr:uid="{00000000-0005-0000-0000-000025010000}"/>
    <cellStyle name="20% - Accent6 2 4" xfId="1842" xr:uid="{00000000-0005-0000-0000-000026010000}"/>
    <cellStyle name="20% - Accent6 2 5" xfId="1843" xr:uid="{00000000-0005-0000-0000-000027010000}"/>
    <cellStyle name="20% - Accent6 2 6" xfId="1844" xr:uid="{00000000-0005-0000-0000-000028010000}"/>
    <cellStyle name="20% - Accent6 2 7" xfId="1845" xr:uid="{00000000-0005-0000-0000-000029010000}"/>
    <cellStyle name="20% - Accent6 2 8" xfId="1846" xr:uid="{00000000-0005-0000-0000-00002A010000}"/>
    <cellStyle name="20% - Accent6 2 9" xfId="1847" xr:uid="{00000000-0005-0000-0000-00002B010000}"/>
    <cellStyle name="20% - Accent6 20" xfId="1848" xr:uid="{00000000-0005-0000-0000-00002C010000}"/>
    <cellStyle name="20% - Accent6 20 2" xfId="27265" xr:uid="{00000000-0005-0000-0000-00002D010000}"/>
    <cellStyle name="20% - Accent6 21" xfId="1849" xr:uid="{00000000-0005-0000-0000-00002E010000}"/>
    <cellStyle name="20% - Accent6 21 2" xfId="27266" xr:uid="{00000000-0005-0000-0000-00002F010000}"/>
    <cellStyle name="20% - Accent6 22" xfId="1850" xr:uid="{00000000-0005-0000-0000-000030010000}"/>
    <cellStyle name="20% - Accent6 22 2" xfId="27267" xr:uid="{00000000-0005-0000-0000-000031010000}"/>
    <cellStyle name="20% - Accent6 23" xfId="1851" xr:uid="{00000000-0005-0000-0000-000032010000}"/>
    <cellStyle name="20% - Accent6 23 2" xfId="27268" xr:uid="{00000000-0005-0000-0000-000033010000}"/>
    <cellStyle name="20% - Accent6 24" xfId="1852" xr:uid="{00000000-0005-0000-0000-000034010000}"/>
    <cellStyle name="20% - Accent6 24 2" xfId="27269" xr:uid="{00000000-0005-0000-0000-000035010000}"/>
    <cellStyle name="20% - Accent6 3" xfId="1537" xr:uid="{00000000-0005-0000-0000-000036010000}"/>
    <cellStyle name="20% - Accent6 3 2" xfId="31375" xr:uid="{00000000-0005-0000-0000-000037010000}"/>
    <cellStyle name="20% - Accent6 4" xfId="1853" xr:uid="{00000000-0005-0000-0000-000038010000}"/>
    <cellStyle name="20% - Accent6 5" xfId="1854" xr:uid="{00000000-0005-0000-0000-000039010000}"/>
    <cellStyle name="20% - Accent6 6" xfId="1855" xr:uid="{00000000-0005-0000-0000-00003A010000}"/>
    <cellStyle name="20% - Accent6 7" xfId="1856" xr:uid="{00000000-0005-0000-0000-00003B010000}"/>
    <cellStyle name="20% - Accent6 8" xfId="1857" xr:uid="{00000000-0005-0000-0000-00003C010000}"/>
    <cellStyle name="20% - Accent6 9" xfId="1858" xr:uid="{00000000-0005-0000-0000-00003D010000}"/>
    <cellStyle name="40% - Accent1" xfId="25" builtinId="31" customBuiltin="1"/>
    <cellStyle name="40% - Accent1 10" xfId="1859" xr:uid="{00000000-0005-0000-0000-00003F010000}"/>
    <cellStyle name="40% - Accent1 11" xfId="1860" xr:uid="{00000000-0005-0000-0000-000040010000}"/>
    <cellStyle name="40% - Accent1 12" xfId="1861" xr:uid="{00000000-0005-0000-0000-000041010000}"/>
    <cellStyle name="40% - Accent1 12 2" xfId="27270" xr:uid="{00000000-0005-0000-0000-000042010000}"/>
    <cellStyle name="40% - Accent1 13" xfId="1862" xr:uid="{00000000-0005-0000-0000-000043010000}"/>
    <cellStyle name="40% - Accent1 13 2" xfId="27271" xr:uid="{00000000-0005-0000-0000-000044010000}"/>
    <cellStyle name="40% - Accent1 14" xfId="1863" xr:uid="{00000000-0005-0000-0000-000045010000}"/>
    <cellStyle name="40% - Accent1 14 2" xfId="27272" xr:uid="{00000000-0005-0000-0000-000046010000}"/>
    <cellStyle name="40% - Accent1 15" xfId="1864" xr:uid="{00000000-0005-0000-0000-000047010000}"/>
    <cellStyle name="40% - Accent1 15 2" xfId="27273" xr:uid="{00000000-0005-0000-0000-000048010000}"/>
    <cellStyle name="40% - Accent1 16" xfId="1865" xr:uid="{00000000-0005-0000-0000-000049010000}"/>
    <cellStyle name="40% - Accent1 16 2" xfId="27274" xr:uid="{00000000-0005-0000-0000-00004A010000}"/>
    <cellStyle name="40% - Accent1 17" xfId="1866" xr:uid="{00000000-0005-0000-0000-00004B010000}"/>
    <cellStyle name="40% - Accent1 17 2" xfId="27275" xr:uid="{00000000-0005-0000-0000-00004C010000}"/>
    <cellStyle name="40% - Accent1 18" xfId="1867" xr:uid="{00000000-0005-0000-0000-00004D010000}"/>
    <cellStyle name="40% - Accent1 18 2" xfId="27276" xr:uid="{00000000-0005-0000-0000-00004E010000}"/>
    <cellStyle name="40% - Accent1 19" xfId="1868" xr:uid="{00000000-0005-0000-0000-00004F010000}"/>
    <cellStyle name="40% - Accent1 19 2" xfId="27277" xr:uid="{00000000-0005-0000-0000-000050010000}"/>
    <cellStyle name="40% - Accent1 2" xfId="1538" xr:uid="{00000000-0005-0000-0000-000051010000}"/>
    <cellStyle name="40% - Accent1 2 10" xfId="1869" xr:uid="{00000000-0005-0000-0000-000052010000}"/>
    <cellStyle name="40% - Accent1 2 11" xfId="1870" xr:uid="{00000000-0005-0000-0000-000053010000}"/>
    <cellStyle name="40% - Accent1 2 12" xfId="1871" xr:uid="{00000000-0005-0000-0000-000054010000}"/>
    <cellStyle name="40% - Accent1 2 13" xfId="1872" xr:uid="{00000000-0005-0000-0000-000055010000}"/>
    <cellStyle name="40% - Accent1 2 14" xfId="1873" xr:uid="{00000000-0005-0000-0000-000056010000}"/>
    <cellStyle name="40% - Accent1 2 15" xfId="1874" xr:uid="{00000000-0005-0000-0000-000057010000}"/>
    <cellStyle name="40% - Accent1 2 16" xfId="31353" xr:uid="{00000000-0005-0000-0000-000058010000}"/>
    <cellStyle name="40% - Accent1 2 2" xfId="1875" xr:uid="{00000000-0005-0000-0000-000059010000}"/>
    <cellStyle name="40% - Accent1 2 3" xfId="1876" xr:uid="{00000000-0005-0000-0000-00005A010000}"/>
    <cellStyle name="40% - Accent1 2 4" xfId="1877" xr:uid="{00000000-0005-0000-0000-00005B010000}"/>
    <cellStyle name="40% - Accent1 2 5" xfId="1878" xr:uid="{00000000-0005-0000-0000-00005C010000}"/>
    <cellStyle name="40% - Accent1 2 6" xfId="1879" xr:uid="{00000000-0005-0000-0000-00005D010000}"/>
    <cellStyle name="40% - Accent1 2 7" xfId="1880" xr:uid="{00000000-0005-0000-0000-00005E010000}"/>
    <cellStyle name="40% - Accent1 2 8" xfId="1881" xr:uid="{00000000-0005-0000-0000-00005F010000}"/>
    <cellStyle name="40% - Accent1 2 9" xfId="1882" xr:uid="{00000000-0005-0000-0000-000060010000}"/>
    <cellStyle name="40% - Accent1 20" xfId="1883" xr:uid="{00000000-0005-0000-0000-000061010000}"/>
    <cellStyle name="40% - Accent1 20 2" xfId="27278" xr:uid="{00000000-0005-0000-0000-000062010000}"/>
    <cellStyle name="40% - Accent1 21" xfId="1884" xr:uid="{00000000-0005-0000-0000-000063010000}"/>
    <cellStyle name="40% - Accent1 21 2" xfId="27279" xr:uid="{00000000-0005-0000-0000-000064010000}"/>
    <cellStyle name="40% - Accent1 22" xfId="1885" xr:uid="{00000000-0005-0000-0000-000065010000}"/>
    <cellStyle name="40% - Accent1 22 2" xfId="27280" xr:uid="{00000000-0005-0000-0000-000066010000}"/>
    <cellStyle name="40% - Accent1 23" xfId="1886" xr:uid="{00000000-0005-0000-0000-000067010000}"/>
    <cellStyle name="40% - Accent1 23 2" xfId="27281" xr:uid="{00000000-0005-0000-0000-000068010000}"/>
    <cellStyle name="40% - Accent1 24" xfId="1887" xr:uid="{00000000-0005-0000-0000-000069010000}"/>
    <cellStyle name="40% - Accent1 24 2" xfId="27282" xr:uid="{00000000-0005-0000-0000-00006A010000}"/>
    <cellStyle name="40% - Accent1 3" xfId="1539" xr:uid="{00000000-0005-0000-0000-00006B010000}"/>
    <cellStyle name="40% - Accent1 3 2" xfId="31366" xr:uid="{00000000-0005-0000-0000-00006C010000}"/>
    <cellStyle name="40% - Accent1 4" xfId="1888" xr:uid="{00000000-0005-0000-0000-00006D010000}"/>
    <cellStyle name="40% - Accent1 5" xfId="1889" xr:uid="{00000000-0005-0000-0000-00006E010000}"/>
    <cellStyle name="40% - Accent1 6" xfId="1890" xr:uid="{00000000-0005-0000-0000-00006F010000}"/>
    <cellStyle name="40% - Accent1 7" xfId="1891" xr:uid="{00000000-0005-0000-0000-000070010000}"/>
    <cellStyle name="40% - Accent1 8" xfId="1892" xr:uid="{00000000-0005-0000-0000-000071010000}"/>
    <cellStyle name="40% - Accent1 9" xfId="1893" xr:uid="{00000000-0005-0000-0000-000072010000}"/>
    <cellStyle name="40% - Accent2" xfId="29" builtinId="35" customBuiltin="1"/>
    <cellStyle name="40% - Accent2 10" xfId="1894" xr:uid="{00000000-0005-0000-0000-000074010000}"/>
    <cellStyle name="40% - Accent2 11" xfId="1895" xr:uid="{00000000-0005-0000-0000-000075010000}"/>
    <cellStyle name="40% - Accent2 12" xfId="1896" xr:uid="{00000000-0005-0000-0000-000076010000}"/>
    <cellStyle name="40% - Accent2 12 2" xfId="27283" xr:uid="{00000000-0005-0000-0000-000077010000}"/>
    <cellStyle name="40% - Accent2 13" xfId="1897" xr:uid="{00000000-0005-0000-0000-000078010000}"/>
    <cellStyle name="40% - Accent2 13 2" xfId="27284" xr:uid="{00000000-0005-0000-0000-000079010000}"/>
    <cellStyle name="40% - Accent2 14" xfId="1898" xr:uid="{00000000-0005-0000-0000-00007A010000}"/>
    <cellStyle name="40% - Accent2 14 2" xfId="27285" xr:uid="{00000000-0005-0000-0000-00007B010000}"/>
    <cellStyle name="40% - Accent2 15" xfId="1899" xr:uid="{00000000-0005-0000-0000-00007C010000}"/>
    <cellStyle name="40% - Accent2 15 2" xfId="27286" xr:uid="{00000000-0005-0000-0000-00007D010000}"/>
    <cellStyle name="40% - Accent2 16" xfId="1900" xr:uid="{00000000-0005-0000-0000-00007E010000}"/>
    <cellStyle name="40% - Accent2 16 2" xfId="27287" xr:uid="{00000000-0005-0000-0000-00007F010000}"/>
    <cellStyle name="40% - Accent2 17" xfId="1901" xr:uid="{00000000-0005-0000-0000-000080010000}"/>
    <cellStyle name="40% - Accent2 17 2" xfId="27288" xr:uid="{00000000-0005-0000-0000-000081010000}"/>
    <cellStyle name="40% - Accent2 18" xfId="1902" xr:uid="{00000000-0005-0000-0000-000082010000}"/>
    <cellStyle name="40% - Accent2 18 2" xfId="27289" xr:uid="{00000000-0005-0000-0000-000083010000}"/>
    <cellStyle name="40% - Accent2 19" xfId="1903" xr:uid="{00000000-0005-0000-0000-000084010000}"/>
    <cellStyle name="40% - Accent2 19 2" xfId="27290" xr:uid="{00000000-0005-0000-0000-000085010000}"/>
    <cellStyle name="40% - Accent2 2" xfId="1540" xr:uid="{00000000-0005-0000-0000-000086010000}"/>
    <cellStyle name="40% - Accent2 2 10" xfId="1904" xr:uid="{00000000-0005-0000-0000-000087010000}"/>
    <cellStyle name="40% - Accent2 2 11" xfId="1905" xr:uid="{00000000-0005-0000-0000-000088010000}"/>
    <cellStyle name="40% - Accent2 2 12" xfId="1906" xr:uid="{00000000-0005-0000-0000-000089010000}"/>
    <cellStyle name="40% - Accent2 2 13" xfId="1907" xr:uid="{00000000-0005-0000-0000-00008A010000}"/>
    <cellStyle name="40% - Accent2 2 14" xfId="1908" xr:uid="{00000000-0005-0000-0000-00008B010000}"/>
    <cellStyle name="40% - Accent2 2 15" xfId="1909" xr:uid="{00000000-0005-0000-0000-00008C010000}"/>
    <cellStyle name="40% - Accent2 2 16" xfId="31355" xr:uid="{00000000-0005-0000-0000-00008D010000}"/>
    <cellStyle name="40% - Accent2 2 2" xfId="1910" xr:uid="{00000000-0005-0000-0000-00008E010000}"/>
    <cellStyle name="40% - Accent2 2 3" xfId="1911" xr:uid="{00000000-0005-0000-0000-00008F010000}"/>
    <cellStyle name="40% - Accent2 2 4" xfId="1912" xr:uid="{00000000-0005-0000-0000-000090010000}"/>
    <cellStyle name="40% - Accent2 2 5" xfId="1913" xr:uid="{00000000-0005-0000-0000-000091010000}"/>
    <cellStyle name="40% - Accent2 2 6" xfId="1914" xr:uid="{00000000-0005-0000-0000-000092010000}"/>
    <cellStyle name="40% - Accent2 2 7" xfId="1915" xr:uid="{00000000-0005-0000-0000-000093010000}"/>
    <cellStyle name="40% - Accent2 2 8" xfId="1916" xr:uid="{00000000-0005-0000-0000-000094010000}"/>
    <cellStyle name="40% - Accent2 2 9" xfId="1917" xr:uid="{00000000-0005-0000-0000-000095010000}"/>
    <cellStyle name="40% - Accent2 20" xfId="1918" xr:uid="{00000000-0005-0000-0000-000096010000}"/>
    <cellStyle name="40% - Accent2 20 2" xfId="27291" xr:uid="{00000000-0005-0000-0000-000097010000}"/>
    <cellStyle name="40% - Accent2 21" xfId="1919" xr:uid="{00000000-0005-0000-0000-000098010000}"/>
    <cellStyle name="40% - Accent2 21 2" xfId="27292" xr:uid="{00000000-0005-0000-0000-000099010000}"/>
    <cellStyle name="40% - Accent2 22" xfId="1920" xr:uid="{00000000-0005-0000-0000-00009A010000}"/>
    <cellStyle name="40% - Accent2 22 2" xfId="27293" xr:uid="{00000000-0005-0000-0000-00009B010000}"/>
    <cellStyle name="40% - Accent2 23" xfId="1921" xr:uid="{00000000-0005-0000-0000-00009C010000}"/>
    <cellStyle name="40% - Accent2 23 2" xfId="27294" xr:uid="{00000000-0005-0000-0000-00009D010000}"/>
    <cellStyle name="40% - Accent2 24" xfId="1922" xr:uid="{00000000-0005-0000-0000-00009E010000}"/>
    <cellStyle name="40% - Accent2 24 2" xfId="27295" xr:uid="{00000000-0005-0000-0000-00009F010000}"/>
    <cellStyle name="40% - Accent2 3" xfId="1541" xr:uid="{00000000-0005-0000-0000-0000A0010000}"/>
    <cellStyle name="40% - Accent2 3 2" xfId="31368" xr:uid="{00000000-0005-0000-0000-0000A1010000}"/>
    <cellStyle name="40% - Accent2 4" xfId="1923" xr:uid="{00000000-0005-0000-0000-0000A2010000}"/>
    <cellStyle name="40% - Accent2 5" xfId="1924" xr:uid="{00000000-0005-0000-0000-0000A3010000}"/>
    <cellStyle name="40% - Accent2 6" xfId="1925" xr:uid="{00000000-0005-0000-0000-0000A4010000}"/>
    <cellStyle name="40% - Accent2 7" xfId="1926" xr:uid="{00000000-0005-0000-0000-0000A5010000}"/>
    <cellStyle name="40% - Accent2 8" xfId="1927" xr:uid="{00000000-0005-0000-0000-0000A6010000}"/>
    <cellStyle name="40% - Accent2 9" xfId="1928" xr:uid="{00000000-0005-0000-0000-0000A7010000}"/>
    <cellStyle name="40% - Accent3" xfId="33" builtinId="39" customBuiltin="1"/>
    <cellStyle name="40% - Accent3 10" xfId="1929" xr:uid="{00000000-0005-0000-0000-0000A9010000}"/>
    <cellStyle name="40% - Accent3 11" xfId="1930" xr:uid="{00000000-0005-0000-0000-0000AA010000}"/>
    <cellStyle name="40% - Accent3 12" xfId="1931" xr:uid="{00000000-0005-0000-0000-0000AB010000}"/>
    <cellStyle name="40% - Accent3 12 2" xfId="27296" xr:uid="{00000000-0005-0000-0000-0000AC010000}"/>
    <cellStyle name="40% - Accent3 13" xfId="1932" xr:uid="{00000000-0005-0000-0000-0000AD010000}"/>
    <cellStyle name="40% - Accent3 13 2" xfId="27297" xr:uid="{00000000-0005-0000-0000-0000AE010000}"/>
    <cellStyle name="40% - Accent3 14" xfId="1933" xr:uid="{00000000-0005-0000-0000-0000AF010000}"/>
    <cellStyle name="40% - Accent3 14 2" xfId="27298" xr:uid="{00000000-0005-0000-0000-0000B0010000}"/>
    <cellStyle name="40% - Accent3 15" xfId="1934" xr:uid="{00000000-0005-0000-0000-0000B1010000}"/>
    <cellStyle name="40% - Accent3 15 2" xfId="27299" xr:uid="{00000000-0005-0000-0000-0000B2010000}"/>
    <cellStyle name="40% - Accent3 16" xfId="1935" xr:uid="{00000000-0005-0000-0000-0000B3010000}"/>
    <cellStyle name="40% - Accent3 16 2" xfId="27300" xr:uid="{00000000-0005-0000-0000-0000B4010000}"/>
    <cellStyle name="40% - Accent3 17" xfId="1936" xr:uid="{00000000-0005-0000-0000-0000B5010000}"/>
    <cellStyle name="40% - Accent3 17 2" xfId="27301" xr:uid="{00000000-0005-0000-0000-0000B6010000}"/>
    <cellStyle name="40% - Accent3 18" xfId="1937" xr:uid="{00000000-0005-0000-0000-0000B7010000}"/>
    <cellStyle name="40% - Accent3 18 2" xfId="27302" xr:uid="{00000000-0005-0000-0000-0000B8010000}"/>
    <cellStyle name="40% - Accent3 19" xfId="1938" xr:uid="{00000000-0005-0000-0000-0000B9010000}"/>
    <cellStyle name="40% - Accent3 19 2" xfId="27303" xr:uid="{00000000-0005-0000-0000-0000BA010000}"/>
    <cellStyle name="40% - Accent3 2" xfId="1542" xr:uid="{00000000-0005-0000-0000-0000BB010000}"/>
    <cellStyle name="40% - Accent3 2 10" xfId="1939" xr:uid="{00000000-0005-0000-0000-0000BC010000}"/>
    <cellStyle name="40% - Accent3 2 11" xfId="1940" xr:uid="{00000000-0005-0000-0000-0000BD010000}"/>
    <cellStyle name="40% - Accent3 2 12" xfId="1941" xr:uid="{00000000-0005-0000-0000-0000BE010000}"/>
    <cellStyle name="40% - Accent3 2 13" xfId="1942" xr:uid="{00000000-0005-0000-0000-0000BF010000}"/>
    <cellStyle name="40% - Accent3 2 14" xfId="1943" xr:uid="{00000000-0005-0000-0000-0000C0010000}"/>
    <cellStyle name="40% - Accent3 2 15" xfId="1944" xr:uid="{00000000-0005-0000-0000-0000C1010000}"/>
    <cellStyle name="40% - Accent3 2 16" xfId="31357" xr:uid="{00000000-0005-0000-0000-0000C2010000}"/>
    <cellStyle name="40% - Accent3 2 2" xfId="1945" xr:uid="{00000000-0005-0000-0000-0000C3010000}"/>
    <cellStyle name="40% - Accent3 2 3" xfId="1946" xr:uid="{00000000-0005-0000-0000-0000C4010000}"/>
    <cellStyle name="40% - Accent3 2 4" xfId="1947" xr:uid="{00000000-0005-0000-0000-0000C5010000}"/>
    <cellStyle name="40% - Accent3 2 5" xfId="1948" xr:uid="{00000000-0005-0000-0000-0000C6010000}"/>
    <cellStyle name="40% - Accent3 2 6" xfId="1949" xr:uid="{00000000-0005-0000-0000-0000C7010000}"/>
    <cellStyle name="40% - Accent3 2 7" xfId="1950" xr:uid="{00000000-0005-0000-0000-0000C8010000}"/>
    <cellStyle name="40% - Accent3 2 8" xfId="1951" xr:uid="{00000000-0005-0000-0000-0000C9010000}"/>
    <cellStyle name="40% - Accent3 2 9" xfId="1952" xr:uid="{00000000-0005-0000-0000-0000CA010000}"/>
    <cellStyle name="40% - Accent3 20" xfId="1953" xr:uid="{00000000-0005-0000-0000-0000CB010000}"/>
    <cellStyle name="40% - Accent3 20 2" xfId="27304" xr:uid="{00000000-0005-0000-0000-0000CC010000}"/>
    <cellStyle name="40% - Accent3 21" xfId="1954" xr:uid="{00000000-0005-0000-0000-0000CD010000}"/>
    <cellStyle name="40% - Accent3 21 2" xfId="27305" xr:uid="{00000000-0005-0000-0000-0000CE010000}"/>
    <cellStyle name="40% - Accent3 22" xfId="1955" xr:uid="{00000000-0005-0000-0000-0000CF010000}"/>
    <cellStyle name="40% - Accent3 22 2" xfId="27306" xr:uid="{00000000-0005-0000-0000-0000D0010000}"/>
    <cellStyle name="40% - Accent3 23" xfId="1956" xr:uid="{00000000-0005-0000-0000-0000D1010000}"/>
    <cellStyle name="40% - Accent3 23 2" xfId="27307" xr:uid="{00000000-0005-0000-0000-0000D2010000}"/>
    <cellStyle name="40% - Accent3 24" xfId="1957" xr:uid="{00000000-0005-0000-0000-0000D3010000}"/>
    <cellStyle name="40% - Accent3 24 2" xfId="27308" xr:uid="{00000000-0005-0000-0000-0000D4010000}"/>
    <cellStyle name="40% - Accent3 3" xfId="1543" xr:uid="{00000000-0005-0000-0000-0000D5010000}"/>
    <cellStyle name="40% - Accent3 3 2" xfId="31370" xr:uid="{00000000-0005-0000-0000-0000D6010000}"/>
    <cellStyle name="40% - Accent3 4" xfId="1958" xr:uid="{00000000-0005-0000-0000-0000D7010000}"/>
    <cellStyle name="40% - Accent3 5" xfId="1959" xr:uid="{00000000-0005-0000-0000-0000D8010000}"/>
    <cellStyle name="40% - Accent3 6" xfId="1960" xr:uid="{00000000-0005-0000-0000-0000D9010000}"/>
    <cellStyle name="40% - Accent3 7" xfId="1961" xr:uid="{00000000-0005-0000-0000-0000DA010000}"/>
    <cellStyle name="40% - Accent3 8" xfId="1962" xr:uid="{00000000-0005-0000-0000-0000DB010000}"/>
    <cellStyle name="40% - Accent3 9" xfId="1963" xr:uid="{00000000-0005-0000-0000-0000DC010000}"/>
    <cellStyle name="40% - Accent4" xfId="37" builtinId="43" customBuiltin="1"/>
    <cellStyle name="40% - Accent4 10" xfId="1964" xr:uid="{00000000-0005-0000-0000-0000DE010000}"/>
    <cellStyle name="40% - Accent4 11" xfId="1965" xr:uid="{00000000-0005-0000-0000-0000DF010000}"/>
    <cellStyle name="40% - Accent4 12" xfId="1966" xr:uid="{00000000-0005-0000-0000-0000E0010000}"/>
    <cellStyle name="40% - Accent4 12 2" xfId="27309" xr:uid="{00000000-0005-0000-0000-0000E1010000}"/>
    <cellStyle name="40% - Accent4 13" xfId="1967" xr:uid="{00000000-0005-0000-0000-0000E2010000}"/>
    <cellStyle name="40% - Accent4 13 2" xfId="27310" xr:uid="{00000000-0005-0000-0000-0000E3010000}"/>
    <cellStyle name="40% - Accent4 14" xfId="1968" xr:uid="{00000000-0005-0000-0000-0000E4010000}"/>
    <cellStyle name="40% - Accent4 14 2" xfId="27311" xr:uid="{00000000-0005-0000-0000-0000E5010000}"/>
    <cellStyle name="40% - Accent4 15" xfId="1969" xr:uid="{00000000-0005-0000-0000-0000E6010000}"/>
    <cellStyle name="40% - Accent4 15 2" xfId="27312" xr:uid="{00000000-0005-0000-0000-0000E7010000}"/>
    <cellStyle name="40% - Accent4 16" xfId="1970" xr:uid="{00000000-0005-0000-0000-0000E8010000}"/>
    <cellStyle name="40% - Accent4 16 2" xfId="27313" xr:uid="{00000000-0005-0000-0000-0000E9010000}"/>
    <cellStyle name="40% - Accent4 17" xfId="1971" xr:uid="{00000000-0005-0000-0000-0000EA010000}"/>
    <cellStyle name="40% - Accent4 17 2" xfId="27314" xr:uid="{00000000-0005-0000-0000-0000EB010000}"/>
    <cellStyle name="40% - Accent4 18" xfId="1972" xr:uid="{00000000-0005-0000-0000-0000EC010000}"/>
    <cellStyle name="40% - Accent4 18 2" xfId="27315" xr:uid="{00000000-0005-0000-0000-0000ED010000}"/>
    <cellStyle name="40% - Accent4 19" xfId="1973" xr:uid="{00000000-0005-0000-0000-0000EE010000}"/>
    <cellStyle name="40% - Accent4 19 2" xfId="27316" xr:uid="{00000000-0005-0000-0000-0000EF010000}"/>
    <cellStyle name="40% - Accent4 2" xfId="1544" xr:uid="{00000000-0005-0000-0000-0000F0010000}"/>
    <cellStyle name="40% - Accent4 2 10" xfId="1974" xr:uid="{00000000-0005-0000-0000-0000F1010000}"/>
    <cellStyle name="40% - Accent4 2 11" xfId="1975" xr:uid="{00000000-0005-0000-0000-0000F2010000}"/>
    <cellStyle name="40% - Accent4 2 12" xfId="1976" xr:uid="{00000000-0005-0000-0000-0000F3010000}"/>
    <cellStyle name="40% - Accent4 2 13" xfId="1977" xr:uid="{00000000-0005-0000-0000-0000F4010000}"/>
    <cellStyle name="40% - Accent4 2 14" xfId="1978" xr:uid="{00000000-0005-0000-0000-0000F5010000}"/>
    <cellStyle name="40% - Accent4 2 15" xfId="1979" xr:uid="{00000000-0005-0000-0000-0000F6010000}"/>
    <cellStyle name="40% - Accent4 2 16" xfId="31359" xr:uid="{00000000-0005-0000-0000-0000F7010000}"/>
    <cellStyle name="40% - Accent4 2 2" xfId="1980" xr:uid="{00000000-0005-0000-0000-0000F8010000}"/>
    <cellStyle name="40% - Accent4 2 3" xfId="1981" xr:uid="{00000000-0005-0000-0000-0000F9010000}"/>
    <cellStyle name="40% - Accent4 2 4" xfId="1982" xr:uid="{00000000-0005-0000-0000-0000FA010000}"/>
    <cellStyle name="40% - Accent4 2 5" xfId="1983" xr:uid="{00000000-0005-0000-0000-0000FB010000}"/>
    <cellStyle name="40% - Accent4 2 6" xfId="1984" xr:uid="{00000000-0005-0000-0000-0000FC010000}"/>
    <cellStyle name="40% - Accent4 2 7" xfId="1985" xr:uid="{00000000-0005-0000-0000-0000FD010000}"/>
    <cellStyle name="40% - Accent4 2 8" xfId="1986" xr:uid="{00000000-0005-0000-0000-0000FE010000}"/>
    <cellStyle name="40% - Accent4 2 9" xfId="1987" xr:uid="{00000000-0005-0000-0000-0000FF010000}"/>
    <cellStyle name="40% - Accent4 20" xfId="1988" xr:uid="{00000000-0005-0000-0000-000000020000}"/>
    <cellStyle name="40% - Accent4 20 2" xfId="27317" xr:uid="{00000000-0005-0000-0000-000001020000}"/>
    <cellStyle name="40% - Accent4 21" xfId="1989" xr:uid="{00000000-0005-0000-0000-000002020000}"/>
    <cellStyle name="40% - Accent4 21 2" xfId="27318" xr:uid="{00000000-0005-0000-0000-000003020000}"/>
    <cellStyle name="40% - Accent4 22" xfId="1990" xr:uid="{00000000-0005-0000-0000-000004020000}"/>
    <cellStyle name="40% - Accent4 22 2" xfId="27319" xr:uid="{00000000-0005-0000-0000-000005020000}"/>
    <cellStyle name="40% - Accent4 23" xfId="1991" xr:uid="{00000000-0005-0000-0000-000006020000}"/>
    <cellStyle name="40% - Accent4 23 2" xfId="27320" xr:uid="{00000000-0005-0000-0000-000007020000}"/>
    <cellStyle name="40% - Accent4 24" xfId="1992" xr:uid="{00000000-0005-0000-0000-000008020000}"/>
    <cellStyle name="40% - Accent4 24 2" xfId="27321" xr:uid="{00000000-0005-0000-0000-000009020000}"/>
    <cellStyle name="40% - Accent4 3" xfId="1545" xr:uid="{00000000-0005-0000-0000-00000A020000}"/>
    <cellStyle name="40% - Accent4 3 2" xfId="31372" xr:uid="{00000000-0005-0000-0000-00000B020000}"/>
    <cellStyle name="40% - Accent4 4" xfId="1993" xr:uid="{00000000-0005-0000-0000-00000C020000}"/>
    <cellStyle name="40% - Accent4 5" xfId="1994" xr:uid="{00000000-0005-0000-0000-00000D020000}"/>
    <cellStyle name="40% - Accent4 6" xfId="1995" xr:uid="{00000000-0005-0000-0000-00000E020000}"/>
    <cellStyle name="40% - Accent4 7" xfId="1996" xr:uid="{00000000-0005-0000-0000-00000F020000}"/>
    <cellStyle name="40% - Accent4 8" xfId="1997" xr:uid="{00000000-0005-0000-0000-000010020000}"/>
    <cellStyle name="40% - Accent4 9" xfId="1998" xr:uid="{00000000-0005-0000-0000-000011020000}"/>
    <cellStyle name="40% - Accent5" xfId="41" builtinId="47" customBuiltin="1"/>
    <cellStyle name="40% - Accent5 10" xfId="1999" xr:uid="{00000000-0005-0000-0000-000013020000}"/>
    <cellStyle name="40% - Accent5 11" xfId="2000" xr:uid="{00000000-0005-0000-0000-000014020000}"/>
    <cellStyle name="40% - Accent5 12" xfId="2001" xr:uid="{00000000-0005-0000-0000-000015020000}"/>
    <cellStyle name="40% - Accent5 12 2" xfId="27322" xr:uid="{00000000-0005-0000-0000-000016020000}"/>
    <cellStyle name="40% - Accent5 13" xfId="2002" xr:uid="{00000000-0005-0000-0000-000017020000}"/>
    <cellStyle name="40% - Accent5 13 2" xfId="27323" xr:uid="{00000000-0005-0000-0000-000018020000}"/>
    <cellStyle name="40% - Accent5 14" xfId="2003" xr:uid="{00000000-0005-0000-0000-000019020000}"/>
    <cellStyle name="40% - Accent5 14 2" xfId="27324" xr:uid="{00000000-0005-0000-0000-00001A020000}"/>
    <cellStyle name="40% - Accent5 15" xfId="2004" xr:uid="{00000000-0005-0000-0000-00001B020000}"/>
    <cellStyle name="40% - Accent5 15 2" xfId="27325" xr:uid="{00000000-0005-0000-0000-00001C020000}"/>
    <cellStyle name="40% - Accent5 16" xfId="2005" xr:uid="{00000000-0005-0000-0000-00001D020000}"/>
    <cellStyle name="40% - Accent5 16 2" xfId="27326" xr:uid="{00000000-0005-0000-0000-00001E020000}"/>
    <cellStyle name="40% - Accent5 17" xfId="2006" xr:uid="{00000000-0005-0000-0000-00001F020000}"/>
    <cellStyle name="40% - Accent5 17 2" xfId="27327" xr:uid="{00000000-0005-0000-0000-000020020000}"/>
    <cellStyle name="40% - Accent5 18" xfId="2007" xr:uid="{00000000-0005-0000-0000-000021020000}"/>
    <cellStyle name="40% - Accent5 18 2" xfId="27328" xr:uid="{00000000-0005-0000-0000-000022020000}"/>
    <cellStyle name="40% - Accent5 19" xfId="2008" xr:uid="{00000000-0005-0000-0000-000023020000}"/>
    <cellStyle name="40% - Accent5 19 2" xfId="27329" xr:uid="{00000000-0005-0000-0000-000024020000}"/>
    <cellStyle name="40% - Accent5 2" xfId="1546" xr:uid="{00000000-0005-0000-0000-000025020000}"/>
    <cellStyle name="40% - Accent5 2 10" xfId="2009" xr:uid="{00000000-0005-0000-0000-000026020000}"/>
    <cellStyle name="40% - Accent5 2 11" xfId="2010" xr:uid="{00000000-0005-0000-0000-000027020000}"/>
    <cellStyle name="40% - Accent5 2 12" xfId="2011" xr:uid="{00000000-0005-0000-0000-000028020000}"/>
    <cellStyle name="40% - Accent5 2 13" xfId="2012" xr:uid="{00000000-0005-0000-0000-000029020000}"/>
    <cellStyle name="40% - Accent5 2 14" xfId="2013" xr:uid="{00000000-0005-0000-0000-00002A020000}"/>
    <cellStyle name="40% - Accent5 2 15" xfId="2014" xr:uid="{00000000-0005-0000-0000-00002B020000}"/>
    <cellStyle name="40% - Accent5 2 16" xfId="31361" xr:uid="{00000000-0005-0000-0000-00002C020000}"/>
    <cellStyle name="40% - Accent5 2 2" xfId="2015" xr:uid="{00000000-0005-0000-0000-00002D020000}"/>
    <cellStyle name="40% - Accent5 2 3" xfId="2016" xr:uid="{00000000-0005-0000-0000-00002E020000}"/>
    <cellStyle name="40% - Accent5 2 4" xfId="2017" xr:uid="{00000000-0005-0000-0000-00002F020000}"/>
    <cellStyle name="40% - Accent5 2 5" xfId="2018" xr:uid="{00000000-0005-0000-0000-000030020000}"/>
    <cellStyle name="40% - Accent5 2 6" xfId="2019" xr:uid="{00000000-0005-0000-0000-000031020000}"/>
    <cellStyle name="40% - Accent5 2 7" xfId="2020" xr:uid="{00000000-0005-0000-0000-000032020000}"/>
    <cellStyle name="40% - Accent5 2 8" xfId="2021" xr:uid="{00000000-0005-0000-0000-000033020000}"/>
    <cellStyle name="40% - Accent5 2 9" xfId="2022" xr:uid="{00000000-0005-0000-0000-000034020000}"/>
    <cellStyle name="40% - Accent5 20" xfId="2023" xr:uid="{00000000-0005-0000-0000-000035020000}"/>
    <cellStyle name="40% - Accent5 20 2" xfId="27330" xr:uid="{00000000-0005-0000-0000-000036020000}"/>
    <cellStyle name="40% - Accent5 21" xfId="2024" xr:uid="{00000000-0005-0000-0000-000037020000}"/>
    <cellStyle name="40% - Accent5 21 2" xfId="27331" xr:uid="{00000000-0005-0000-0000-000038020000}"/>
    <cellStyle name="40% - Accent5 22" xfId="2025" xr:uid="{00000000-0005-0000-0000-000039020000}"/>
    <cellStyle name="40% - Accent5 22 2" xfId="27332" xr:uid="{00000000-0005-0000-0000-00003A020000}"/>
    <cellStyle name="40% - Accent5 23" xfId="2026" xr:uid="{00000000-0005-0000-0000-00003B020000}"/>
    <cellStyle name="40% - Accent5 23 2" xfId="27333" xr:uid="{00000000-0005-0000-0000-00003C020000}"/>
    <cellStyle name="40% - Accent5 24" xfId="2027" xr:uid="{00000000-0005-0000-0000-00003D020000}"/>
    <cellStyle name="40% - Accent5 24 2" xfId="27334" xr:uid="{00000000-0005-0000-0000-00003E020000}"/>
    <cellStyle name="40% - Accent5 3" xfId="1547" xr:uid="{00000000-0005-0000-0000-00003F020000}"/>
    <cellStyle name="40% - Accent5 3 2" xfId="31374" xr:uid="{00000000-0005-0000-0000-000040020000}"/>
    <cellStyle name="40% - Accent5 4" xfId="2028" xr:uid="{00000000-0005-0000-0000-000041020000}"/>
    <cellStyle name="40% - Accent5 5" xfId="2029" xr:uid="{00000000-0005-0000-0000-000042020000}"/>
    <cellStyle name="40% - Accent5 6" xfId="2030" xr:uid="{00000000-0005-0000-0000-000043020000}"/>
    <cellStyle name="40% - Accent5 7" xfId="2031" xr:uid="{00000000-0005-0000-0000-000044020000}"/>
    <cellStyle name="40% - Accent5 8" xfId="2032" xr:uid="{00000000-0005-0000-0000-000045020000}"/>
    <cellStyle name="40% - Accent5 9" xfId="2033" xr:uid="{00000000-0005-0000-0000-000046020000}"/>
    <cellStyle name="40% - Accent6" xfId="45" builtinId="51" customBuiltin="1"/>
    <cellStyle name="40% - Accent6 10" xfId="2034" xr:uid="{00000000-0005-0000-0000-000048020000}"/>
    <cellStyle name="40% - Accent6 11" xfId="2035" xr:uid="{00000000-0005-0000-0000-000049020000}"/>
    <cellStyle name="40% - Accent6 12" xfId="2036" xr:uid="{00000000-0005-0000-0000-00004A020000}"/>
    <cellStyle name="40% - Accent6 12 2" xfId="27335" xr:uid="{00000000-0005-0000-0000-00004B020000}"/>
    <cellStyle name="40% - Accent6 13" xfId="2037" xr:uid="{00000000-0005-0000-0000-00004C020000}"/>
    <cellStyle name="40% - Accent6 13 2" xfId="27336" xr:uid="{00000000-0005-0000-0000-00004D020000}"/>
    <cellStyle name="40% - Accent6 14" xfId="2038" xr:uid="{00000000-0005-0000-0000-00004E020000}"/>
    <cellStyle name="40% - Accent6 14 2" xfId="27337" xr:uid="{00000000-0005-0000-0000-00004F020000}"/>
    <cellStyle name="40% - Accent6 15" xfId="2039" xr:uid="{00000000-0005-0000-0000-000050020000}"/>
    <cellStyle name="40% - Accent6 15 2" xfId="27338" xr:uid="{00000000-0005-0000-0000-000051020000}"/>
    <cellStyle name="40% - Accent6 16" xfId="2040" xr:uid="{00000000-0005-0000-0000-000052020000}"/>
    <cellStyle name="40% - Accent6 16 2" xfId="27339" xr:uid="{00000000-0005-0000-0000-000053020000}"/>
    <cellStyle name="40% - Accent6 17" xfId="2041" xr:uid="{00000000-0005-0000-0000-000054020000}"/>
    <cellStyle name="40% - Accent6 17 2" xfId="27340" xr:uid="{00000000-0005-0000-0000-000055020000}"/>
    <cellStyle name="40% - Accent6 18" xfId="2042" xr:uid="{00000000-0005-0000-0000-000056020000}"/>
    <cellStyle name="40% - Accent6 18 2" xfId="27341" xr:uid="{00000000-0005-0000-0000-000057020000}"/>
    <cellStyle name="40% - Accent6 19" xfId="2043" xr:uid="{00000000-0005-0000-0000-000058020000}"/>
    <cellStyle name="40% - Accent6 19 2" xfId="27342" xr:uid="{00000000-0005-0000-0000-000059020000}"/>
    <cellStyle name="40% - Accent6 2" xfId="1548" xr:uid="{00000000-0005-0000-0000-00005A020000}"/>
    <cellStyle name="40% - Accent6 2 10" xfId="2044" xr:uid="{00000000-0005-0000-0000-00005B020000}"/>
    <cellStyle name="40% - Accent6 2 11" xfId="2045" xr:uid="{00000000-0005-0000-0000-00005C020000}"/>
    <cellStyle name="40% - Accent6 2 12" xfId="2046" xr:uid="{00000000-0005-0000-0000-00005D020000}"/>
    <cellStyle name="40% - Accent6 2 13" xfId="2047" xr:uid="{00000000-0005-0000-0000-00005E020000}"/>
    <cellStyle name="40% - Accent6 2 14" xfId="2048" xr:uid="{00000000-0005-0000-0000-00005F020000}"/>
    <cellStyle name="40% - Accent6 2 15" xfId="2049" xr:uid="{00000000-0005-0000-0000-000060020000}"/>
    <cellStyle name="40% - Accent6 2 16" xfId="31363" xr:uid="{00000000-0005-0000-0000-000061020000}"/>
    <cellStyle name="40% - Accent6 2 2" xfId="2050" xr:uid="{00000000-0005-0000-0000-000062020000}"/>
    <cellStyle name="40% - Accent6 2 3" xfId="2051" xr:uid="{00000000-0005-0000-0000-000063020000}"/>
    <cellStyle name="40% - Accent6 2 4" xfId="2052" xr:uid="{00000000-0005-0000-0000-000064020000}"/>
    <cellStyle name="40% - Accent6 2 5" xfId="2053" xr:uid="{00000000-0005-0000-0000-000065020000}"/>
    <cellStyle name="40% - Accent6 2 6" xfId="2054" xr:uid="{00000000-0005-0000-0000-000066020000}"/>
    <cellStyle name="40% - Accent6 2 7" xfId="2055" xr:uid="{00000000-0005-0000-0000-000067020000}"/>
    <cellStyle name="40% - Accent6 2 8" xfId="2056" xr:uid="{00000000-0005-0000-0000-000068020000}"/>
    <cellStyle name="40% - Accent6 2 9" xfId="2057" xr:uid="{00000000-0005-0000-0000-000069020000}"/>
    <cellStyle name="40% - Accent6 20" xfId="2058" xr:uid="{00000000-0005-0000-0000-00006A020000}"/>
    <cellStyle name="40% - Accent6 20 2" xfId="27343" xr:uid="{00000000-0005-0000-0000-00006B020000}"/>
    <cellStyle name="40% - Accent6 21" xfId="2059" xr:uid="{00000000-0005-0000-0000-00006C020000}"/>
    <cellStyle name="40% - Accent6 21 2" xfId="27344" xr:uid="{00000000-0005-0000-0000-00006D020000}"/>
    <cellStyle name="40% - Accent6 22" xfId="2060" xr:uid="{00000000-0005-0000-0000-00006E020000}"/>
    <cellStyle name="40% - Accent6 22 2" xfId="27345" xr:uid="{00000000-0005-0000-0000-00006F020000}"/>
    <cellStyle name="40% - Accent6 23" xfId="2061" xr:uid="{00000000-0005-0000-0000-000070020000}"/>
    <cellStyle name="40% - Accent6 23 2" xfId="27346" xr:uid="{00000000-0005-0000-0000-000071020000}"/>
    <cellStyle name="40% - Accent6 24" xfId="2062" xr:uid="{00000000-0005-0000-0000-000072020000}"/>
    <cellStyle name="40% - Accent6 24 2" xfId="27347" xr:uid="{00000000-0005-0000-0000-000073020000}"/>
    <cellStyle name="40% - Accent6 3" xfId="1549" xr:uid="{00000000-0005-0000-0000-000074020000}"/>
    <cellStyle name="40% - Accent6 3 2" xfId="31376" xr:uid="{00000000-0005-0000-0000-000075020000}"/>
    <cellStyle name="40% - Accent6 4" xfId="2063" xr:uid="{00000000-0005-0000-0000-000076020000}"/>
    <cellStyle name="40% - Accent6 5" xfId="2064" xr:uid="{00000000-0005-0000-0000-000077020000}"/>
    <cellStyle name="40% - Accent6 6" xfId="2065" xr:uid="{00000000-0005-0000-0000-000078020000}"/>
    <cellStyle name="40% - Accent6 7" xfId="2066" xr:uid="{00000000-0005-0000-0000-000079020000}"/>
    <cellStyle name="40% - Accent6 8" xfId="2067" xr:uid="{00000000-0005-0000-0000-00007A020000}"/>
    <cellStyle name="40% - Accent6 9" xfId="2068" xr:uid="{00000000-0005-0000-0000-00007B020000}"/>
    <cellStyle name="60% - Accent1" xfId="26" builtinId="32" customBuiltin="1"/>
    <cellStyle name="60% - Accent1 10" xfId="2069" xr:uid="{00000000-0005-0000-0000-00007D020000}"/>
    <cellStyle name="60% - Accent1 11" xfId="2070" xr:uid="{00000000-0005-0000-0000-00007E020000}"/>
    <cellStyle name="60% - Accent1 12" xfId="2071" xr:uid="{00000000-0005-0000-0000-00007F020000}"/>
    <cellStyle name="60% - Accent1 13" xfId="2072" xr:uid="{00000000-0005-0000-0000-000080020000}"/>
    <cellStyle name="60% - Accent1 14" xfId="2073" xr:uid="{00000000-0005-0000-0000-000081020000}"/>
    <cellStyle name="60% - Accent1 15" xfId="2074" xr:uid="{00000000-0005-0000-0000-000082020000}"/>
    <cellStyle name="60% - Accent1 16" xfId="2075" xr:uid="{00000000-0005-0000-0000-000083020000}"/>
    <cellStyle name="60% - Accent1 17" xfId="2076" xr:uid="{00000000-0005-0000-0000-000084020000}"/>
    <cellStyle name="60% - Accent1 18" xfId="2077" xr:uid="{00000000-0005-0000-0000-000085020000}"/>
    <cellStyle name="60% - Accent1 19" xfId="2078" xr:uid="{00000000-0005-0000-0000-000086020000}"/>
    <cellStyle name="60% - Accent1 2" xfId="1550" xr:uid="{00000000-0005-0000-0000-000087020000}"/>
    <cellStyle name="60% - Accent1 2 10" xfId="2079" xr:uid="{00000000-0005-0000-0000-000088020000}"/>
    <cellStyle name="60% - Accent1 2 11" xfId="2080" xr:uid="{00000000-0005-0000-0000-000089020000}"/>
    <cellStyle name="60% - Accent1 2 12" xfId="2081" xr:uid="{00000000-0005-0000-0000-00008A020000}"/>
    <cellStyle name="60% - Accent1 2 13" xfId="2082" xr:uid="{00000000-0005-0000-0000-00008B020000}"/>
    <cellStyle name="60% - Accent1 2 14" xfId="2083" xr:uid="{00000000-0005-0000-0000-00008C020000}"/>
    <cellStyle name="60% - Accent1 2 15" xfId="2084" xr:uid="{00000000-0005-0000-0000-00008D020000}"/>
    <cellStyle name="60% - Accent1 2 2" xfId="2085" xr:uid="{00000000-0005-0000-0000-00008E020000}"/>
    <cellStyle name="60% - Accent1 2 3" xfId="2086" xr:uid="{00000000-0005-0000-0000-00008F020000}"/>
    <cellStyle name="60% - Accent1 2 4" xfId="2087" xr:uid="{00000000-0005-0000-0000-000090020000}"/>
    <cellStyle name="60% - Accent1 2 5" xfId="2088" xr:uid="{00000000-0005-0000-0000-000091020000}"/>
    <cellStyle name="60% - Accent1 2 6" xfId="2089" xr:uid="{00000000-0005-0000-0000-000092020000}"/>
    <cellStyle name="60% - Accent1 2 7" xfId="2090" xr:uid="{00000000-0005-0000-0000-000093020000}"/>
    <cellStyle name="60% - Accent1 2 8" xfId="2091" xr:uid="{00000000-0005-0000-0000-000094020000}"/>
    <cellStyle name="60% - Accent1 2 9" xfId="2092" xr:uid="{00000000-0005-0000-0000-000095020000}"/>
    <cellStyle name="60% - Accent1 20" xfId="2093" xr:uid="{00000000-0005-0000-0000-000096020000}"/>
    <cellStyle name="60% - Accent1 21" xfId="2094" xr:uid="{00000000-0005-0000-0000-000097020000}"/>
    <cellStyle name="60% - Accent1 22" xfId="2095" xr:uid="{00000000-0005-0000-0000-000098020000}"/>
    <cellStyle name="60% - Accent1 23" xfId="2096" xr:uid="{00000000-0005-0000-0000-000099020000}"/>
    <cellStyle name="60% - Accent1 24" xfId="2097" xr:uid="{00000000-0005-0000-0000-00009A020000}"/>
    <cellStyle name="60% - Accent1 3" xfId="1551" xr:uid="{00000000-0005-0000-0000-00009B020000}"/>
    <cellStyle name="60% - Accent1 4" xfId="2098" xr:uid="{00000000-0005-0000-0000-00009C020000}"/>
    <cellStyle name="60% - Accent1 5" xfId="2099" xr:uid="{00000000-0005-0000-0000-00009D020000}"/>
    <cellStyle name="60% - Accent1 6" xfId="2100" xr:uid="{00000000-0005-0000-0000-00009E020000}"/>
    <cellStyle name="60% - Accent1 7" xfId="2101" xr:uid="{00000000-0005-0000-0000-00009F020000}"/>
    <cellStyle name="60% - Accent1 8" xfId="2102" xr:uid="{00000000-0005-0000-0000-0000A0020000}"/>
    <cellStyle name="60% - Accent1 9" xfId="2103" xr:uid="{00000000-0005-0000-0000-0000A1020000}"/>
    <cellStyle name="60% - Accent2" xfId="30" builtinId="36" customBuiltin="1"/>
    <cellStyle name="60% - Accent2 10" xfId="2104" xr:uid="{00000000-0005-0000-0000-0000A3020000}"/>
    <cellStyle name="60% - Accent2 11" xfId="2105" xr:uid="{00000000-0005-0000-0000-0000A4020000}"/>
    <cellStyle name="60% - Accent2 12" xfId="2106" xr:uid="{00000000-0005-0000-0000-0000A5020000}"/>
    <cellStyle name="60% - Accent2 13" xfId="2107" xr:uid="{00000000-0005-0000-0000-0000A6020000}"/>
    <cellStyle name="60% - Accent2 14" xfId="2108" xr:uid="{00000000-0005-0000-0000-0000A7020000}"/>
    <cellStyle name="60% - Accent2 15" xfId="2109" xr:uid="{00000000-0005-0000-0000-0000A8020000}"/>
    <cellStyle name="60% - Accent2 16" xfId="2110" xr:uid="{00000000-0005-0000-0000-0000A9020000}"/>
    <cellStyle name="60% - Accent2 17" xfId="2111" xr:uid="{00000000-0005-0000-0000-0000AA020000}"/>
    <cellStyle name="60% - Accent2 18" xfId="2112" xr:uid="{00000000-0005-0000-0000-0000AB020000}"/>
    <cellStyle name="60% - Accent2 19" xfId="2113" xr:uid="{00000000-0005-0000-0000-0000AC020000}"/>
    <cellStyle name="60% - Accent2 2" xfId="1552" xr:uid="{00000000-0005-0000-0000-0000AD020000}"/>
    <cellStyle name="60% - Accent2 2 10" xfId="2114" xr:uid="{00000000-0005-0000-0000-0000AE020000}"/>
    <cellStyle name="60% - Accent2 2 11" xfId="2115" xr:uid="{00000000-0005-0000-0000-0000AF020000}"/>
    <cellStyle name="60% - Accent2 2 12" xfId="2116" xr:uid="{00000000-0005-0000-0000-0000B0020000}"/>
    <cellStyle name="60% - Accent2 2 13" xfId="2117" xr:uid="{00000000-0005-0000-0000-0000B1020000}"/>
    <cellStyle name="60% - Accent2 2 14" xfId="2118" xr:uid="{00000000-0005-0000-0000-0000B2020000}"/>
    <cellStyle name="60% - Accent2 2 15" xfId="2119" xr:uid="{00000000-0005-0000-0000-0000B3020000}"/>
    <cellStyle name="60% - Accent2 2 2" xfId="2120" xr:uid="{00000000-0005-0000-0000-0000B4020000}"/>
    <cellStyle name="60% - Accent2 2 3" xfId="2121" xr:uid="{00000000-0005-0000-0000-0000B5020000}"/>
    <cellStyle name="60% - Accent2 2 4" xfId="2122" xr:uid="{00000000-0005-0000-0000-0000B6020000}"/>
    <cellStyle name="60% - Accent2 2 5" xfId="2123" xr:uid="{00000000-0005-0000-0000-0000B7020000}"/>
    <cellStyle name="60% - Accent2 2 6" xfId="2124" xr:uid="{00000000-0005-0000-0000-0000B8020000}"/>
    <cellStyle name="60% - Accent2 2 7" xfId="2125" xr:uid="{00000000-0005-0000-0000-0000B9020000}"/>
    <cellStyle name="60% - Accent2 2 8" xfId="2126" xr:uid="{00000000-0005-0000-0000-0000BA020000}"/>
    <cellStyle name="60% - Accent2 2 9" xfId="2127" xr:uid="{00000000-0005-0000-0000-0000BB020000}"/>
    <cellStyle name="60% - Accent2 20" xfId="2128" xr:uid="{00000000-0005-0000-0000-0000BC020000}"/>
    <cellStyle name="60% - Accent2 21" xfId="2129" xr:uid="{00000000-0005-0000-0000-0000BD020000}"/>
    <cellStyle name="60% - Accent2 22" xfId="2130" xr:uid="{00000000-0005-0000-0000-0000BE020000}"/>
    <cellStyle name="60% - Accent2 23" xfId="2131" xr:uid="{00000000-0005-0000-0000-0000BF020000}"/>
    <cellStyle name="60% - Accent2 24" xfId="2132" xr:uid="{00000000-0005-0000-0000-0000C0020000}"/>
    <cellStyle name="60% - Accent2 3" xfId="1553" xr:uid="{00000000-0005-0000-0000-0000C1020000}"/>
    <cellStyle name="60% - Accent2 4" xfId="2133" xr:uid="{00000000-0005-0000-0000-0000C2020000}"/>
    <cellStyle name="60% - Accent2 5" xfId="2134" xr:uid="{00000000-0005-0000-0000-0000C3020000}"/>
    <cellStyle name="60% - Accent2 6" xfId="2135" xr:uid="{00000000-0005-0000-0000-0000C4020000}"/>
    <cellStyle name="60% - Accent2 7" xfId="2136" xr:uid="{00000000-0005-0000-0000-0000C5020000}"/>
    <cellStyle name="60% - Accent2 8" xfId="2137" xr:uid="{00000000-0005-0000-0000-0000C6020000}"/>
    <cellStyle name="60% - Accent2 9" xfId="2138" xr:uid="{00000000-0005-0000-0000-0000C7020000}"/>
    <cellStyle name="60% - Accent3" xfId="34" builtinId="40" customBuiltin="1"/>
    <cellStyle name="60% - Accent3 10" xfId="2139" xr:uid="{00000000-0005-0000-0000-0000C9020000}"/>
    <cellStyle name="60% - Accent3 11" xfId="2140" xr:uid="{00000000-0005-0000-0000-0000CA020000}"/>
    <cellStyle name="60% - Accent3 12" xfId="2141" xr:uid="{00000000-0005-0000-0000-0000CB020000}"/>
    <cellStyle name="60% - Accent3 13" xfId="2142" xr:uid="{00000000-0005-0000-0000-0000CC020000}"/>
    <cellStyle name="60% - Accent3 14" xfId="2143" xr:uid="{00000000-0005-0000-0000-0000CD020000}"/>
    <cellStyle name="60% - Accent3 15" xfId="2144" xr:uid="{00000000-0005-0000-0000-0000CE020000}"/>
    <cellStyle name="60% - Accent3 16" xfId="2145" xr:uid="{00000000-0005-0000-0000-0000CF020000}"/>
    <cellStyle name="60% - Accent3 17" xfId="2146" xr:uid="{00000000-0005-0000-0000-0000D0020000}"/>
    <cellStyle name="60% - Accent3 18" xfId="2147" xr:uid="{00000000-0005-0000-0000-0000D1020000}"/>
    <cellStyle name="60% - Accent3 19" xfId="2148" xr:uid="{00000000-0005-0000-0000-0000D2020000}"/>
    <cellStyle name="60% - Accent3 2" xfId="1554" xr:uid="{00000000-0005-0000-0000-0000D3020000}"/>
    <cellStyle name="60% - Accent3 2 10" xfId="2149" xr:uid="{00000000-0005-0000-0000-0000D4020000}"/>
    <cellStyle name="60% - Accent3 2 11" xfId="2150" xr:uid="{00000000-0005-0000-0000-0000D5020000}"/>
    <cellStyle name="60% - Accent3 2 12" xfId="2151" xr:uid="{00000000-0005-0000-0000-0000D6020000}"/>
    <cellStyle name="60% - Accent3 2 13" xfId="2152" xr:uid="{00000000-0005-0000-0000-0000D7020000}"/>
    <cellStyle name="60% - Accent3 2 14" xfId="2153" xr:uid="{00000000-0005-0000-0000-0000D8020000}"/>
    <cellStyle name="60% - Accent3 2 15" xfId="2154" xr:uid="{00000000-0005-0000-0000-0000D9020000}"/>
    <cellStyle name="60% - Accent3 2 2" xfId="2155" xr:uid="{00000000-0005-0000-0000-0000DA020000}"/>
    <cellStyle name="60% - Accent3 2 3" xfId="2156" xr:uid="{00000000-0005-0000-0000-0000DB020000}"/>
    <cellStyle name="60% - Accent3 2 4" xfId="2157" xr:uid="{00000000-0005-0000-0000-0000DC020000}"/>
    <cellStyle name="60% - Accent3 2 5" xfId="2158" xr:uid="{00000000-0005-0000-0000-0000DD020000}"/>
    <cellStyle name="60% - Accent3 2 6" xfId="2159" xr:uid="{00000000-0005-0000-0000-0000DE020000}"/>
    <cellStyle name="60% - Accent3 2 7" xfId="2160" xr:uid="{00000000-0005-0000-0000-0000DF020000}"/>
    <cellStyle name="60% - Accent3 2 8" xfId="2161" xr:uid="{00000000-0005-0000-0000-0000E0020000}"/>
    <cellStyle name="60% - Accent3 2 9" xfId="2162" xr:uid="{00000000-0005-0000-0000-0000E1020000}"/>
    <cellStyle name="60% - Accent3 20" xfId="2163" xr:uid="{00000000-0005-0000-0000-0000E2020000}"/>
    <cellStyle name="60% - Accent3 21" xfId="2164" xr:uid="{00000000-0005-0000-0000-0000E3020000}"/>
    <cellStyle name="60% - Accent3 22" xfId="2165" xr:uid="{00000000-0005-0000-0000-0000E4020000}"/>
    <cellStyle name="60% - Accent3 23" xfId="2166" xr:uid="{00000000-0005-0000-0000-0000E5020000}"/>
    <cellStyle name="60% - Accent3 24" xfId="2167" xr:uid="{00000000-0005-0000-0000-0000E6020000}"/>
    <cellStyle name="60% - Accent3 3" xfId="1555" xr:uid="{00000000-0005-0000-0000-0000E7020000}"/>
    <cellStyle name="60% - Accent3 4" xfId="2168" xr:uid="{00000000-0005-0000-0000-0000E8020000}"/>
    <cellStyle name="60% - Accent3 5" xfId="2169" xr:uid="{00000000-0005-0000-0000-0000E9020000}"/>
    <cellStyle name="60% - Accent3 6" xfId="2170" xr:uid="{00000000-0005-0000-0000-0000EA020000}"/>
    <cellStyle name="60% - Accent3 7" xfId="2171" xr:uid="{00000000-0005-0000-0000-0000EB020000}"/>
    <cellStyle name="60% - Accent3 8" xfId="2172" xr:uid="{00000000-0005-0000-0000-0000EC020000}"/>
    <cellStyle name="60% - Accent3 9" xfId="2173" xr:uid="{00000000-0005-0000-0000-0000ED020000}"/>
    <cellStyle name="60% - Accent4" xfId="38" builtinId="44" customBuiltin="1"/>
    <cellStyle name="60% - Accent4 10" xfId="2174" xr:uid="{00000000-0005-0000-0000-0000EF020000}"/>
    <cellStyle name="60% - Accent4 11" xfId="2175" xr:uid="{00000000-0005-0000-0000-0000F0020000}"/>
    <cellStyle name="60% - Accent4 12" xfId="2176" xr:uid="{00000000-0005-0000-0000-0000F1020000}"/>
    <cellStyle name="60% - Accent4 13" xfId="2177" xr:uid="{00000000-0005-0000-0000-0000F2020000}"/>
    <cellStyle name="60% - Accent4 14" xfId="2178" xr:uid="{00000000-0005-0000-0000-0000F3020000}"/>
    <cellStyle name="60% - Accent4 15" xfId="2179" xr:uid="{00000000-0005-0000-0000-0000F4020000}"/>
    <cellStyle name="60% - Accent4 16" xfId="2180" xr:uid="{00000000-0005-0000-0000-0000F5020000}"/>
    <cellStyle name="60% - Accent4 17" xfId="2181" xr:uid="{00000000-0005-0000-0000-0000F6020000}"/>
    <cellStyle name="60% - Accent4 18" xfId="2182" xr:uid="{00000000-0005-0000-0000-0000F7020000}"/>
    <cellStyle name="60% - Accent4 19" xfId="2183" xr:uid="{00000000-0005-0000-0000-0000F8020000}"/>
    <cellStyle name="60% - Accent4 2" xfId="1556" xr:uid="{00000000-0005-0000-0000-0000F9020000}"/>
    <cellStyle name="60% - Accent4 2 10" xfId="2184" xr:uid="{00000000-0005-0000-0000-0000FA020000}"/>
    <cellStyle name="60% - Accent4 2 11" xfId="2185" xr:uid="{00000000-0005-0000-0000-0000FB020000}"/>
    <cellStyle name="60% - Accent4 2 12" xfId="2186" xr:uid="{00000000-0005-0000-0000-0000FC020000}"/>
    <cellStyle name="60% - Accent4 2 13" xfId="2187" xr:uid="{00000000-0005-0000-0000-0000FD020000}"/>
    <cellStyle name="60% - Accent4 2 14" xfId="2188" xr:uid="{00000000-0005-0000-0000-0000FE020000}"/>
    <cellStyle name="60% - Accent4 2 15" xfId="2189" xr:uid="{00000000-0005-0000-0000-0000FF020000}"/>
    <cellStyle name="60% - Accent4 2 2" xfId="2190" xr:uid="{00000000-0005-0000-0000-000000030000}"/>
    <cellStyle name="60% - Accent4 2 3" xfId="2191" xr:uid="{00000000-0005-0000-0000-000001030000}"/>
    <cellStyle name="60% - Accent4 2 4" xfId="2192" xr:uid="{00000000-0005-0000-0000-000002030000}"/>
    <cellStyle name="60% - Accent4 2 5" xfId="2193" xr:uid="{00000000-0005-0000-0000-000003030000}"/>
    <cellStyle name="60% - Accent4 2 6" xfId="2194" xr:uid="{00000000-0005-0000-0000-000004030000}"/>
    <cellStyle name="60% - Accent4 2 7" xfId="2195" xr:uid="{00000000-0005-0000-0000-000005030000}"/>
    <cellStyle name="60% - Accent4 2 8" xfId="2196" xr:uid="{00000000-0005-0000-0000-000006030000}"/>
    <cellStyle name="60% - Accent4 2 9" xfId="2197" xr:uid="{00000000-0005-0000-0000-000007030000}"/>
    <cellStyle name="60% - Accent4 20" xfId="2198" xr:uid="{00000000-0005-0000-0000-000008030000}"/>
    <cellStyle name="60% - Accent4 21" xfId="2199" xr:uid="{00000000-0005-0000-0000-000009030000}"/>
    <cellStyle name="60% - Accent4 22" xfId="2200" xr:uid="{00000000-0005-0000-0000-00000A030000}"/>
    <cellStyle name="60% - Accent4 23" xfId="2201" xr:uid="{00000000-0005-0000-0000-00000B030000}"/>
    <cellStyle name="60% - Accent4 24" xfId="2202" xr:uid="{00000000-0005-0000-0000-00000C030000}"/>
    <cellStyle name="60% - Accent4 3" xfId="1557" xr:uid="{00000000-0005-0000-0000-00000D030000}"/>
    <cellStyle name="60% - Accent4 4" xfId="2203" xr:uid="{00000000-0005-0000-0000-00000E030000}"/>
    <cellStyle name="60% - Accent4 5" xfId="2204" xr:uid="{00000000-0005-0000-0000-00000F030000}"/>
    <cellStyle name="60% - Accent4 6" xfId="2205" xr:uid="{00000000-0005-0000-0000-000010030000}"/>
    <cellStyle name="60% - Accent4 7" xfId="2206" xr:uid="{00000000-0005-0000-0000-000011030000}"/>
    <cellStyle name="60% - Accent4 8" xfId="2207" xr:uid="{00000000-0005-0000-0000-000012030000}"/>
    <cellStyle name="60% - Accent4 9" xfId="2208" xr:uid="{00000000-0005-0000-0000-000013030000}"/>
    <cellStyle name="60% - Accent5" xfId="42" builtinId="48" customBuiltin="1"/>
    <cellStyle name="60% - Accent5 10" xfId="2209" xr:uid="{00000000-0005-0000-0000-000015030000}"/>
    <cellStyle name="60% - Accent5 11" xfId="2210" xr:uid="{00000000-0005-0000-0000-000016030000}"/>
    <cellStyle name="60% - Accent5 12" xfId="2211" xr:uid="{00000000-0005-0000-0000-000017030000}"/>
    <cellStyle name="60% - Accent5 13" xfId="2212" xr:uid="{00000000-0005-0000-0000-000018030000}"/>
    <cellStyle name="60% - Accent5 14" xfId="2213" xr:uid="{00000000-0005-0000-0000-000019030000}"/>
    <cellStyle name="60% - Accent5 15" xfId="2214" xr:uid="{00000000-0005-0000-0000-00001A030000}"/>
    <cellStyle name="60% - Accent5 16" xfId="2215" xr:uid="{00000000-0005-0000-0000-00001B030000}"/>
    <cellStyle name="60% - Accent5 17" xfId="2216" xr:uid="{00000000-0005-0000-0000-00001C030000}"/>
    <cellStyle name="60% - Accent5 18" xfId="2217" xr:uid="{00000000-0005-0000-0000-00001D030000}"/>
    <cellStyle name="60% - Accent5 19" xfId="2218" xr:uid="{00000000-0005-0000-0000-00001E030000}"/>
    <cellStyle name="60% - Accent5 2" xfId="1558" xr:uid="{00000000-0005-0000-0000-00001F030000}"/>
    <cellStyle name="60% - Accent5 2 10" xfId="2219" xr:uid="{00000000-0005-0000-0000-000020030000}"/>
    <cellStyle name="60% - Accent5 2 11" xfId="2220" xr:uid="{00000000-0005-0000-0000-000021030000}"/>
    <cellStyle name="60% - Accent5 2 12" xfId="2221" xr:uid="{00000000-0005-0000-0000-000022030000}"/>
    <cellStyle name="60% - Accent5 2 13" xfId="2222" xr:uid="{00000000-0005-0000-0000-000023030000}"/>
    <cellStyle name="60% - Accent5 2 14" xfId="2223" xr:uid="{00000000-0005-0000-0000-000024030000}"/>
    <cellStyle name="60% - Accent5 2 15" xfId="2224" xr:uid="{00000000-0005-0000-0000-000025030000}"/>
    <cellStyle name="60% - Accent5 2 2" xfId="2225" xr:uid="{00000000-0005-0000-0000-000026030000}"/>
    <cellStyle name="60% - Accent5 2 3" xfId="2226" xr:uid="{00000000-0005-0000-0000-000027030000}"/>
    <cellStyle name="60% - Accent5 2 4" xfId="2227" xr:uid="{00000000-0005-0000-0000-000028030000}"/>
    <cellStyle name="60% - Accent5 2 5" xfId="2228" xr:uid="{00000000-0005-0000-0000-000029030000}"/>
    <cellStyle name="60% - Accent5 2 6" xfId="2229" xr:uid="{00000000-0005-0000-0000-00002A030000}"/>
    <cellStyle name="60% - Accent5 2 7" xfId="2230" xr:uid="{00000000-0005-0000-0000-00002B030000}"/>
    <cellStyle name="60% - Accent5 2 8" xfId="2231" xr:uid="{00000000-0005-0000-0000-00002C030000}"/>
    <cellStyle name="60% - Accent5 2 9" xfId="2232" xr:uid="{00000000-0005-0000-0000-00002D030000}"/>
    <cellStyle name="60% - Accent5 20" xfId="2233" xr:uid="{00000000-0005-0000-0000-00002E030000}"/>
    <cellStyle name="60% - Accent5 21" xfId="2234" xr:uid="{00000000-0005-0000-0000-00002F030000}"/>
    <cellStyle name="60% - Accent5 22" xfId="2235" xr:uid="{00000000-0005-0000-0000-000030030000}"/>
    <cellStyle name="60% - Accent5 23" xfId="2236" xr:uid="{00000000-0005-0000-0000-000031030000}"/>
    <cellStyle name="60% - Accent5 24" xfId="2237" xr:uid="{00000000-0005-0000-0000-000032030000}"/>
    <cellStyle name="60% - Accent5 3" xfId="1559" xr:uid="{00000000-0005-0000-0000-000033030000}"/>
    <cellStyle name="60% - Accent5 4" xfId="2238" xr:uid="{00000000-0005-0000-0000-000034030000}"/>
    <cellStyle name="60% - Accent5 5" xfId="2239" xr:uid="{00000000-0005-0000-0000-000035030000}"/>
    <cellStyle name="60% - Accent5 6" xfId="2240" xr:uid="{00000000-0005-0000-0000-000036030000}"/>
    <cellStyle name="60% - Accent5 7" xfId="2241" xr:uid="{00000000-0005-0000-0000-000037030000}"/>
    <cellStyle name="60% - Accent5 8" xfId="2242" xr:uid="{00000000-0005-0000-0000-000038030000}"/>
    <cellStyle name="60% - Accent5 9" xfId="2243" xr:uid="{00000000-0005-0000-0000-000039030000}"/>
    <cellStyle name="60% - Accent6" xfId="46" builtinId="52" customBuiltin="1"/>
    <cellStyle name="60% - Accent6 10" xfId="2244" xr:uid="{00000000-0005-0000-0000-00003B030000}"/>
    <cellStyle name="60% - Accent6 11" xfId="2245" xr:uid="{00000000-0005-0000-0000-00003C030000}"/>
    <cellStyle name="60% - Accent6 12" xfId="2246" xr:uid="{00000000-0005-0000-0000-00003D030000}"/>
    <cellStyle name="60% - Accent6 13" xfId="2247" xr:uid="{00000000-0005-0000-0000-00003E030000}"/>
    <cellStyle name="60% - Accent6 14" xfId="2248" xr:uid="{00000000-0005-0000-0000-00003F030000}"/>
    <cellStyle name="60% - Accent6 15" xfId="2249" xr:uid="{00000000-0005-0000-0000-000040030000}"/>
    <cellStyle name="60% - Accent6 16" xfId="2250" xr:uid="{00000000-0005-0000-0000-000041030000}"/>
    <cellStyle name="60% - Accent6 17" xfId="2251" xr:uid="{00000000-0005-0000-0000-000042030000}"/>
    <cellStyle name="60% - Accent6 18" xfId="2252" xr:uid="{00000000-0005-0000-0000-000043030000}"/>
    <cellStyle name="60% - Accent6 19" xfId="2253" xr:uid="{00000000-0005-0000-0000-000044030000}"/>
    <cellStyle name="60% - Accent6 2" xfId="1560" xr:uid="{00000000-0005-0000-0000-000045030000}"/>
    <cellStyle name="60% - Accent6 2 10" xfId="2254" xr:uid="{00000000-0005-0000-0000-000046030000}"/>
    <cellStyle name="60% - Accent6 2 11" xfId="2255" xr:uid="{00000000-0005-0000-0000-000047030000}"/>
    <cellStyle name="60% - Accent6 2 12" xfId="2256" xr:uid="{00000000-0005-0000-0000-000048030000}"/>
    <cellStyle name="60% - Accent6 2 13" xfId="2257" xr:uid="{00000000-0005-0000-0000-000049030000}"/>
    <cellStyle name="60% - Accent6 2 14" xfId="2258" xr:uid="{00000000-0005-0000-0000-00004A030000}"/>
    <cellStyle name="60% - Accent6 2 15" xfId="2259" xr:uid="{00000000-0005-0000-0000-00004B030000}"/>
    <cellStyle name="60% - Accent6 2 2" xfId="2260" xr:uid="{00000000-0005-0000-0000-00004C030000}"/>
    <cellStyle name="60% - Accent6 2 3" xfId="2261" xr:uid="{00000000-0005-0000-0000-00004D030000}"/>
    <cellStyle name="60% - Accent6 2 4" xfId="2262" xr:uid="{00000000-0005-0000-0000-00004E030000}"/>
    <cellStyle name="60% - Accent6 2 5" xfId="2263" xr:uid="{00000000-0005-0000-0000-00004F030000}"/>
    <cellStyle name="60% - Accent6 2 6" xfId="2264" xr:uid="{00000000-0005-0000-0000-000050030000}"/>
    <cellStyle name="60% - Accent6 2 7" xfId="2265" xr:uid="{00000000-0005-0000-0000-000051030000}"/>
    <cellStyle name="60% - Accent6 2 8" xfId="2266" xr:uid="{00000000-0005-0000-0000-000052030000}"/>
    <cellStyle name="60% - Accent6 2 9" xfId="2267" xr:uid="{00000000-0005-0000-0000-000053030000}"/>
    <cellStyle name="60% - Accent6 20" xfId="2268" xr:uid="{00000000-0005-0000-0000-000054030000}"/>
    <cellStyle name="60% - Accent6 21" xfId="2269" xr:uid="{00000000-0005-0000-0000-000055030000}"/>
    <cellStyle name="60% - Accent6 22" xfId="2270" xr:uid="{00000000-0005-0000-0000-000056030000}"/>
    <cellStyle name="60% - Accent6 23" xfId="2271" xr:uid="{00000000-0005-0000-0000-000057030000}"/>
    <cellStyle name="60% - Accent6 24" xfId="2272" xr:uid="{00000000-0005-0000-0000-000058030000}"/>
    <cellStyle name="60% - Accent6 3" xfId="1561" xr:uid="{00000000-0005-0000-0000-000059030000}"/>
    <cellStyle name="60% - Accent6 4" xfId="2273" xr:uid="{00000000-0005-0000-0000-00005A030000}"/>
    <cellStyle name="60% - Accent6 5" xfId="2274" xr:uid="{00000000-0005-0000-0000-00005B030000}"/>
    <cellStyle name="60% - Accent6 6" xfId="2275" xr:uid="{00000000-0005-0000-0000-00005C030000}"/>
    <cellStyle name="60% - Accent6 7" xfId="2276" xr:uid="{00000000-0005-0000-0000-00005D030000}"/>
    <cellStyle name="60% - Accent6 8" xfId="2277" xr:uid="{00000000-0005-0000-0000-00005E030000}"/>
    <cellStyle name="60% - Accent6 9" xfId="2278" xr:uid="{00000000-0005-0000-0000-00005F030000}"/>
    <cellStyle name="Accent1" xfId="23" builtinId="29" customBuiltin="1"/>
    <cellStyle name="Accent1 10" xfId="2279" xr:uid="{00000000-0005-0000-0000-000061030000}"/>
    <cellStyle name="Accent1 11" xfId="2280" xr:uid="{00000000-0005-0000-0000-000062030000}"/>
    <cellStyle name="Accent1 12" xfId="2281" xr:uid="{00000000-0005-0000-0000-000063030000}"/>
    <cellStyle name="Accent1 13" xfId="2282" xr:uid="{00000000-0005-0000-0000-000064030000}"/>
    <cellStyle name="Accent1 14" xfId="2283" xr:uid="{00000000-0005-0000-0000-000065030000}"/>
    <cellStyle name="Accent1 15" xfId="2284" xr:uid="{00000000-0005-0000-0000-000066030000}"/>
    <cellStyle name="Accent1 16" xfId="2285" xr:uid="{00000000-0005-0000-0000-000067030000}"/>
    <cellStyle name="Accent1 17" xfId="2286" xr:uid="{00000000-0005-0000-0000-000068030000}"/>
    <cellStyle name="Accent1 18" xfId="2287" xr:uid="{00000000-0005-0000-0000-000069030000}"/>
    <cellStyle name="Accent1 19" xfId="2288" xr:uid="{00000000-0005-0000-0000-00006A030000}"/>
    <cellStyle name="Accent1 2" xfId="1562" xr:uid="{00000000-0005-0000-0000-00006B030000}"/>
    <cellStyle name="Accent1 2 10" xfId="2289" xr:uid="{00000000-0005-0000-0000-00006C030000}"/>
    <cellStyle name="Accent1 2 11" xfId="2290" xr:uid="{00000000-0005-0000-0000-00006D030000}"/>
    <cellStyle name="Accent1 2 12" xfId="2291" xr:uid="{00000000-0005-0000-0000-00006E030000}"/>
    <cellStyle name="Accent1 2 13" xfId="2292" xr:uid="{00000000-0005-0000-0000-00006F030000}"/>
    <cellStyle name="Accent1 2 14" xfId="2293" xr:uid="{00000000-0005-0000-0000-000070030000}"/>
    <cellStyle name="Accent1 2 15" xfId="2294" xr:uid="{00000000-0005-0000-0000-000071030000}"/>
    <cellStyle name="Accent1 2 2" xfId="2295" xr:uid="{00000000-0005-0000-0000-000072030000}"/>
    <cellStyle name="Accent1 2 3" xfId="2296" xr:uid="{00000000-0005-0000-0000-000073030000}"/>
    <cellStyle name="Accent1 2 4" xfId="2297" xr:uid="{00000000-0005-0000-0000-000074030000}"/>
    <cellStyle name="Accent1 2 5" xfId="2298" xr:uid="{00000000-0005-0000-0000-000075030000}"/>
    <cellStyle name="Accent1 2 6" xfId="2299" xr:uid="{00000000-0005-0000-0000-000076030000}"/>
    <cellStyle name="Accent1 2 7" xfId="2300" xr:uid="{00000000-0005-0000-0000-000077030000}"/>
    <cellStyle name="Accent1 2 8" xfId="2301" xr:uid="{00000000-0005-0000-0000-000078030000}"/>
    <cellStyle name="Accent1 2 9" xfId="2302" xr:uid="{00000000-0005-0000-0000-000079030000}"/>
    <cellStyle name="Accent1 20" xfId="2303" xr:uid="{00000000-0005-0000-0000-00007A030000}"/>
    <cellStyle name="Accent1 21" xfId="2304" xr:uid="{00000000-0005-0000-0000-00007B030000}"/>
    <cellStyle name="Accent1 22" xfId="2305" xr:uid="{00000000-0005-0000-0000-00007C030000}"/>
    <cellStyle name="Accent1 23" xfId="2306" xr:uid="{00000000-0005-0000-0000-00007D030000}"/>
    <cellStyle name="Accent1 24" xfId="2307" xr:uid="{00000000-0005-0000-0000-00007E030000}"/>
    <cellStyle name="Accent1 3" xfId="1563" xr:uid="{00000000-0005-0000-0000-00007F030000}"/>
    <cellStyle name="Accent1 4" xfId="2308" xr:uid="{00000000-0005-0000-0000-000080030000}"/>
    <cellStyle name="Accent1 5" xfId="2309" xr:uid="{00000000-0005-0000-0000-000081030000}"/>
    <cellStyle name="Accent1 6" xfId="2310" xr:uid="{00000000-0005-0000-0000-000082030000}"/>
    <cellStyle name="Accent1 7" xfId="2311" xr:uid="{00000000-0005-0000-0000-000083030000}"/>
    <cellStyle name="Accent1 8" xfId="2312" xr:uid="{00000000-0005-0000-0000-000084030000}"/>
    <cellStyle name="Accent1 9" xfId="2313" xr:uid="{00000000-0005-0000-0000-000085030000}"/>
    <cellStyle name="Accent2" xfId="27" builtinId="33" customBuiltin="1"/>
    <cellStyle name="Accent2 10" xfId="2314" xr:uid="{00000000-0005-0000-0000-000087030000}"/>
    <cellStyle name="Accent2 11" xfId="2315" xr:uid="{00000000-0005-0000-0000-000088030000}"/>
    <cellStyle name="Accent2 12" xfId="2316" xr:uid="{00000000-0005-0000-0000-000089030000}"/>
    <cellStyle name="Accent2 13" xfId="2317" xr:uid="{00000000-0005-0000-0000-00008A030000}"/>
    <cellStyle name="Accent2 14" xfId="2318" xr:uid="{00000000-0005-0000-0000-00008B030000}"/>
    <cellStyle name="Accent2 15" xfId="2319" xr:uid="{00000000-0005-0000-0000-00008C030000}"/>
    <cellStyle name="Accent2 16" xfId="2320" xr:uid="{00000000-0005-0000-0000-00008D030000}"/>
    <cellStyle name="Accent2 17" xfId="2321" xr:uid="{00000000-0005-0000-0000-00008E030000}"/>
    <cellStyle name="Accent2 18" xfId="2322" xr:uid="{00000000-0005-0000-0000-00008F030000}"/>
    <cellStyle name="Accent2 19" xfId="2323" xr:uid="{00000000-0005-0000-0000-000090030000}"/>
    <cellStyle name="Accent2 2" xfId="1564" xr:uid="{00000000-0005-0000-0000-000091030000}"/>
    <cellStyle name="Accent2 2 10" xfId="2324" xr:uid="{00000000-0005-0000-0000-000092030000}"/>
    <cellStyle name="Accent2 2 11" xfId="2325" xr:uid="{00000000-0005-0000-0000-000093030000}"/>
    <cellStyle name="Accent2 2 12" xfId="2326" xr:uid="{00000000-0005-0000-0000-000094030000}"/>
    <cellStyle name="Accent2 2 13" xfId="2327" xr:uid="{00000000-0005-0000-0000-000095030000}"/>
    <cellStyle name="Accent2 2 14" xfId="2328" xr:uid="{00000000-0005-0000-0000-000096030000}"/>
    <cellStyle name="Accent2 2 15" xfId="2329" xr:uid="{00000000-0005-0000-0000-000097030000}"/>
    <cellStyle name="Accent2 2 2" xfId="2330" xr:uid="{00000000-0005-0000-0000-000098030000}"/>
    <cellStyle name="Accent2 2 3" xfId="2331" xr:uid="{00000000-0005-0000-0000-000099030000}"/>
    <cellStyle name="Accent2 2 4" xfId="2332" xr:uid="{00000000-0005-0000-0000-00009A030000}"/>
    <cellStyle name="Accent2 2 5" xfId="2333" xr:uid="{00000000-0005-0000-0000-00009B030000}"/>
    <cellStyle name="Accent2 2 6" xfId="2334" xr:uid="{00000000-0005-0000-0000-00009C030000}"/>
    <cellStyle name="Accent2 2 7" xfId="2335" xr:uid="{00000000-0005-0000-0000-00009D030000}"/>
    <cellStyle name="Accent2 2 8" xfId="2336" xr:uid="{00000000-0005-0000-0000-00009E030000}"/>
    <cellStyle name="Accent2 2 9" xfId="2337" xr:uid="{00000000-0005-0000-0000-00009F030000}"/>
    <cellStyle name="Accent2 20" xfId="2338" xr:uid="{00000000-0005-0000-0000-0000A0030000}"/>
    <cellStyle name="Accent2 21" xfId="2339" xr:uid="{00000000-0005-0000-0000-0000A1030000}"/>
    <cellStyle name="Accent2 22" xfId="2340" xr:uid="{00000000-0005-0000-0000-0000A2030000}"/>
    <cellStyle name="Accent2 23" xfId="2341" xr:uid="{00000000-0005-0000-0000-0000A3030000}"/>
    <cellStyle name="Accent2 24" xfId="2342" xr:uid="{00000000-0005-0000-0000-0000A4030000}"/>
    <cellStyle name="Accent2 3" xfId="1565" xr:uid="{00000000-0005-0000-0000-0000A5030000}"/>
    <cellStyle name="Accent2 4" xfId="2343" xr:uid="{00000000-0005-0000-0000-0000A6030000}"/>
    <cellStyle name="Accent2 5" xfId="2344" xr:uid="{00000000-0005-0000-0000-0000A7030000}"/>
    <cellStyle name="Accent2 6" xfId="2345" xr:uid="{00000000-0005-0000-0000-0000A8030000}"/>
    <cellStyle name="Accent2 7" xfId="2346" xr:uid="{00000000-0005-0000-0000-0000A9030000}"/>
    <cellStyle name="Accent2 8" xfId="2347" xr:uid="{00000000-0005-0000-0000-0000AA030000}"/>
    <cellStyle name="Accent2 9" xfId="2348" xr:uid="{00000000-0005-0000-0000-0000AB030000}"/>
    <cellStyle name="Accent3" xfId="31" builtinId="37" customBuiltin="1"/>
    <cellStyle name="Accent3 10" xfId="2349" xr:uid="{00000000-0005-0000-0000-0000AD030000}"/>
    <cellStyle name="Accent3 11" xfId="2350" xr:uid="{00000000-0005-0000-0000-0000AE030000}"/>
    <cellStyle name="Accent3 12" xfId="2351" xr:uid="{00000000-0005-0000-0000-0000AF030000}"/>
    <cellStyle name="Accent3 13" xfId="2352" xr:uid="{00000000-0005-0000-0000-0000B0030000}"/>
    <cellStyle name="Accent3 14" xfId="2353" xr:uid="{00000000-0005-0000-0000-0000B1030000}"/>
    <cellStyle name="Accent3 15" xfId="2354" xr:uid="{00000000-0005-0000-0000-0000B2030000}"/>
    <cellStyle name="Accent3 16" xfId="2355" xr:uid="{00000000-0005-0000-0000-0000B3030000}"/>
    <cellStyle name="Accent3 17" xfId="2356" xr:uid="{00000000-0005-0000-0000-0000B4030000}"/>
    <cellStyle name="Accent3 18" xfId="2357" xr:uid="{00000000-0005-0000-0000-0000B5030000}"/>
    <cellStyle name="Accent3 19" xfId="2358" xr:uid="{00000000-0005-0000-0000-0000B6030000}"/>
    <cellStyle name="Accent3 2" xfId="1566" xr:uid="{00000000-0005-0000-0000-0000B7030000}"/>
    <cellStyle name="Accent3 2 10" xfId="2359" xr:uid="{00000000-0005-0000-0000-0000B8030000}"/>
    <cellStyle name="Accent3 2 11" xfId="2360" xr:uid="{00000000-0005-0000-0000-0000B9030000}"/>
    <cellStyle name="Accent3 2 12" xfId="2361" xr:uid="{00000000-0005-0000-0000-0000BA030000}"/>
    <cellStyle name="Accent3 2 13" xfId="2362" xr:uid="{00000000-0005-0000-0000-0000BB030000}"/>
    <cellStyle name="Accent3 2 14" xfId="2363" xr:uid="{00000000-0005-0000-0000-0000BC030000}"/>
    <cellStyle name="Accent3 2 15" xfId="2364" xr:uid="{00000000-0005-0000-0000-0000BD030000}"/>
    <cellStyle name="Accent3 2 2" xfId="2365" xr:uid="{00000000-0005-0000-0000-0000BE030000}"/>
    <cellStyle name="Accent3 2 3" xfId="2366" xr:uid="{00000000-0005-0000-0000-0000BF030000}"/>
    <cellStyle name="Accent3 2 4" xfId="2367" xr:uid="{00000000-0005-0000-0000-0000C0030000}"/>
    <cellStyle name="Accent3 2 5" xfId="2368" xr:uid="{00000000-0005-0000-0000-0000C1030000}"/>
    <cellStyle name="Accent3 2 6" xfId="2369" xr:uid="{00000000-0005-0000-0000-0000C2030000}"/>
    <cellStyle name="Accent3 2 7" xfId="2370" xr:uid="{00000000-0005-0000-0000-0000C3030000}"/>
    <cellStyle name="Accent3 2 8" xfId="2371" xr:uid="{00000000-0005-0000-0000-0000C4030000}"/>
    <cellStyle name="Accent3 2 9" xfId="2372" xr:uid="{00000000-0005-0000-0000-0000C5030000}"/>
    <cellStyle name="Accent3 20" xfId="2373" xr:uid="{00000000-0005-0000-0000-0000C6030000}"/>
    <cellStyle name="Accent3 21" xfId="2374" xr:uid="{00000000-0005-0000-0000-0000C7030000}"/>
    <cellStyle name="Accent3 22" xfId="2375" xr:uid="{00000000-0005-0000-0000-0000C8030000}"/>
    <cellStyle name="Accent3 23" xfId="2376" xr:uid="{00000000-0005-0000-0000-0000C9030000}"/>
    <cellStyle name="Accent3 24" xfId="2377" xr:uid="{00000000-0005-0000-0000-0000CA030000}"/>
    <cellStyle name="Accent3 3" xfId="1567" xr:uid="{00000000-0005-0000-0000-0000CB030000}"/>
    <cellStyle name="Accent3 4" xfId="2378" xr:uid="{00000000-0005-0000-0000-0000CC030000}"/>
    <cellStyle name="Accent3 5" xfId="2379" xr:uid="{00000000-0005-0000-0000-0000CD030000}"/>
    <cellStyle name="Accent3 6" xfId="2380" xr:uid="{00000000-0005-0000-0000-0000CE030000}"/>
    <cellStyle name="Accent3 7" xfId="2381" xr:uid="{00000000-0005-0000-0000-0000CF030000}"/>
    <cellStyle name="Accent3 8" xfId="2382" xr:uid="{00000000-0005-0000-0000-0000D0030000}"/>
    <cellStyle name="Accent3 9" xfId="2383" xr:uid="{00000000-0005-0000-0000-0000D1030000}"/>
    <cellStyle name="Accent4" xfId="35" builtinId="41" customBuiltin="1"/>
    <cellStyle name="Accent4 10" xfId="2384" xr:uid="{00000000-0005-0000-0000-0000D3030000}"/>
    <cellStyle name="Accent4 11" xfId="2385" xr:uid="{00000000-0005-0000-0000-0000D4030000}"/>
    <cellStyle name="Accent4 12" xfId="2386" xr:uid="{00000000-0005-0000-0000-0000D5030000}"/>
    <cellStyle name="Accent4 13" xfId="2387" xr:uid="{00000000-0005-0000-0000-0000D6030000}"/>
    <cellStyle name="Accent4 14" xfId="2388" xr:uid="{00000000-0005-0000-0000-0000D7030000}"/>
    <cellStyle name="Accent4 15" xfId="2389" xr:uid="{00000000-0005-0000-0000-0000D8030000}"/>
    <cellStyle name="Accent4 16" xfId="2390" xr:uid="{00000000-0005-0000-0000-0000D9030000}"/>
    <cellStyle name="Accent4 17" xfId="2391" xr:uid="{00000000-0005-0000-0000-0000DA030000}"/>
    <cellStyle name="Accent4 18" xfId="2392" xr:uid="{00000000-0005-0000-0000-0000DB030000}"/>
    <cellStyle name="Accent4 19" xfId="2393" xr:uid="{00000000-0005-0000-0000-0000DC030000}"/>
    <cellStyle name="Accent4 2" xfId="1568" xr:uid="{00000000-0005-0000-0000-0000DD030000}"/>
    <cellStyle name="Accent4 2 10" xfId="2394" xr:uid="{00000000-0005-0000-0000-0000DE030000}"/>
    <cellStyle name="Accent4 2 11" xfId="2395" xr:uid="{00000000-0005-0000-0000-0000DF030000}"/>
    <cellStyle name="Accent4 2 12" xfId="2396" xr:uid="{00000000-0005-0000-0000-0000E0030000}"/>
    <cellStyle name="Accent4 2 13" xfId="2397" xr:uid="{00000000-0005-0000-0000-0000E1030000}"/>
    <cellStyle name="Accent4 2 14" xfId="2398" xr:uid="{00000000-0005-0000-0000-0000E2030000}"/>
    <cellStyle name="Accent4 2 15" xfId="2399" xr:uid="{00000000-0005-0000-0000-0000E3030000}"/>
    <cellStyle name="Accent4 2 2" xfId="2400" xr:uid="{00000000-0005-0000-0000-0000E4030000}"/>
    <cellStyle name="Accent4 2 3" xfId="2401" xr:uid="{00000000-0005-0000-0000-0000E5030000}"/>
    <cellStyle name="Accent4 2 4" xfId="2402" xr:uid="{00000000-0005-0000-0000-0000E6030000}"/>
    <cellStyle name="Accent4 2 5" xfId="2403" xr:uid="{00000000-0005-0000-0000-0000E7030000}"/>
    <cellStyle name="Accent4 2 6" xfId="2404" xr:uid="{00000000-0005-0000-0000-0000E8030000}"/>
    <cellStyle name="Accent4 2 7" xfId="2405" xr:uid="{00000000-0005-0000-0000-0000E9030000}"/>
    <cellStyle name="Accent4 2 8" xfId="2406" xr:uid="{00000000-0005-0000-0000-0000EA030000}"/>
    <cellStyle name="Accent4 2 9" xfId="2407" xr:uid="{00000000-0005-0000-0000-0000EB030000}"/>
    <cellStyle name="Accent4 20" xfId="2408" xr:uid="{00000000-0005-0000-0000-0000EC030000}"/>
    <cellStyle name="Accent4 21" xfId="2409" xr:uid="{00000000-0005-0000-0000-0000ED030000}"/>
    <cellStyle name="Accent4 22" xfId="2410" xr:uid="{00000000-0005-0000-0000-0000EE030000}"/>
    <cellStyle name="Accent4 23" xfId="2411" xr:uid="{00000000-0005-0000-0000-0000EF030000}"/>
    <cellStyle name="Accent4 24" xfId="2412" xr:uid="{00000000-0005-0000-0000-0000F0030000}"/>
    <cellStyle name="Accent4 3" xfId="1569" xr:uid="{00000000-0005-0000-0000-0000F1030000}"/>
    <cellStyle name="Accent4 4" xfId="2413" xr:uid="{00000000-0005-0000-0000-0000F2030000}"/>
    <cellStyle name="Accent4 5" xfId="2414" xr:uid="{00000000-0005-0000-0000-0000F3030000}"/>
    <cellStyle name="Accent4 6" xfId="2415" xr:uid="{00000000-0005-0000-0000-0000F4030000}"/>
    <cellStyle name="Accent4 7" xfId="2416" xr:uid="{00000000-0005-0000-0000-0000F5030000}"/>
    <cellStyle name="Accent4 8" xfId="2417" xr:uid="{00000000-0005-0000-0000-0000F6030000}"/>
    <cellStyle name="Accent4 9" xfId="2418" xr:uid="{00000000-0005-0000-0000-0000F7030000}"/>
    <cellStyle name="Accent5" xfId="39" builtinId="45" customBuiltin="1"/>
    <cellStyle name="Accent5 10" xfId="2419" xr:uid="{00000000-0005-0000-0000-0000F9030000}"/>
    <cellStyle name="Accent5 11" xfId="2420" xr:uid="{00000000-0005-0000-0000-0000FA030000}"/>
    <cellStyle name="Accent5 12" xfId="2421" xr:uid="{00000000-0005-0000-0000-0000FB030000}"/>
    <cellStyle name="Accent5 13" xfId="2422" xr:uid="{00000000-0005-0000-0000-0000FC030000}"/>
    <cellStyle name="Accent5 14" xfId="2423" xr:uid="{00000000-0005-0000-0000-0000FD030000}"/>
    <cellStyle name="Accent5 15" xfId="2424" xr:uid="{00000000-0005-0000-0000-0000FE030000}"/>
    <cellStyle name="Accent5 16" xfId="2425" xr:uid="{00000000-0005-0000-0000-0000FF030000}"/>
    <cellStyle name="Accent5 17" xfId="2426" xr:uid="{00000000-0005-0000-0000-000000040000}"/>
    <cellStyle name="Accent5 18" xfId="2427" xr:uid="{00000000-0005-0000-0000-000001040000}"/>
    <cellStyle name="Accent5 19" xfId="2428" xr:uid="{00000000-0005-0000-0000-000002040000}"/>
    <cellStyle name="Accent5 2" xfId="1570" xr:uid="{00000000-0005-0000-0000-000003040000}"/>
    <cellStyle name="Accent5 2 10" xfId="2429" xr:uid="{00000000-0005-0000-0000-000004040000}"/>
    <cellStyle name="Accent5 2 11" xfId="2430" xr:uid="{00000000-0005-0000-0000-000005040000}"/>
    <cellStyle name="Accent5 2 12" xfId="2431" xr:uid="{00000000-0005-0000-0000-000006040000}"/>
    <cellStyle name="Accent5 2 13" xfId="2432" xr:uid="{00000000-0005-0000-0000-000007040000}"/>
    <cellStyle name="Accent5 2 14" xfId="2433" xr:uid="{00000000-0005-0000-0000-000008040000}"/>
    <cellStyle name="Accent5 2 15" xfId="2434" xr:uid="{00000000-0005-0000-0000-000009040000}"/>
    <cellStyle name="Accent5 2 2" xfId="2435" xr:uid="{00000000-0005-0000-0000-00000A040000}"/>
    <cellStyle name="Accent5 2 3" xfId="2436" xr:uid="{00000000-0005-0000-0000-00000B040000}"/>
    <cellStyle name="Accent5 2 4" xfId="2437" xr:uid="{00000000-0005-0000-0000-00000C040000}"/>
    <cellStyle name="Accent5 2 5" xfId="2438" xr:uid="{00000000-0005-0000-0000-00000D040000}"/>
    <cellStyle name="Accent5 2 6" xfId="2439" xr:uid="{00000000-0005-0000-0000-00000E040000}"/>
    <cellStyle name="Accent5 2 7" xfId="2440" xr:uid="{00000000-0005-0000-0000-00000F040000}"/>
    <cellStyle name="Accent5 2 8" xfId="2441" xr:uid="{00000000-0005-0000-0000-000010040000}"/>
    <cellStyle name="Accent5 2 9" xfId="2442" xr:uid="{00000000-0005-0000-0000-000011040000}"/>
    <cellStyle name="Accent5 20" xfId="2443" xr:uid="{00000000-0005-0000-0000-000012040000}"/>
    <cellStyle name="Accent5 21" xfId="2444" xr:uid="{00000000-0005-0000-0000-000013040000}"/>
    <cellStyle name="Accent5 22" xfId="2445" xr:uid="{00000000-0005-0000-0000-000014040000}"/>
    <cellStyle name="Accent5 23" xfId="2446" xr:uid="{00000000-0005-0000-0000-000015040000}"/>
    <cellStyle name="Accent5 24" xfId="2447" xr:uid="{00000000-0005-0000-0000-000016040000}"/>
    <cellStyle name="Accent5 3" xfId="1571" xr:uid="{00000000-0005-0000-0000-000017040000}"/>
    <cellStyle name="Accent5 4" xfId="2448" xr:uid="{00000000-0005-0000-0000-000018040000}"/>
    <cellStyle name="Accent5 5" xfId="2449" xr:uid="{00000000-0005-0000-0000-000019040000}"/>
    <cellStyle name="Accent5 6" xfId="2450" xr:uid="{00000000-0005-0000-0000-00001A040000}"/>
    <cellStyle name="Accent5 7" xfId="2451" xr:uid="{00000000-0005-0000-0000-00001B040000}"/>
    <cellStyle name="Accent5 8" xfId="2452" xr:uid="{00000000-0005-0000-0000-00001C040000}"/>
    <cellStyle name="Accent5 9" xfId="2453" xr:uid="{00000000-0005-0000-0000-00001D040000}"/>
    <cellStyle name="Accent6" xfId="43" builtinId="49" customBuiltin="1"/>
    <cellStyle name="Accent6 10" xfId="2454" xr:uid="{00000000-0005-0000-0000-00001F040000}"/>
    <cellStyle name="Accent6 11" xfId="2455" xr:uid="{00000000-0005-0000-0000-000020040000}"/>
    <cellStyle name="Accent6 12" xfId="2456" xr:uid="{00000000-0005-0000-0000-000021040000}"/>
    <cellStyle name="Accent6 13" xfId="2457" xr:uid="{00000000-0005-0000-0000-000022040000}"/>
    <cellStyle name="Accent6 14" xfId="2458" xr:uid="{00000000-0005-0000-0000-000023040000}"/>
    <cellStyle name="Accent6 15" xfId="2459" xr:uid="{00000000-0005-0000-0000-000024040000}"/>
    <cellStyle name="Accent6 16" xfId="2460" xr:uid="{00000000-0005-0000-0000-000025040000}"/>
    <cellStyle name="Accent6 17" xfId="2461" xr:uid="{00000000-0005-0000-0000-000026040000}"/>
    <cellStyle name="Accent6 18" xfId="2462" xr:uid="{00000000-0005-0000-0000-000027040000}"/>
    <cellStyle name="Accent6 19" xfId="2463" xr:uid="{00000000-0005-0000-0000-000028040000}"/>
    <cellStyle name="Accent6 2" xfId="1572" xr:uid="{00000000-0005-0000-0000-000029040000}"/>
    <cellStyle name="Accent6 2 10" xfId="2464" xr:uid="{00000000-0005-0000-0000-00002A040000}"/>
    <cellStyle name="Accent6 2 11" xfId="2465" xr:uid="{00000000-0005-0000-0000-00002B040000}"/>
    <cellStyle name="Accent6 2 12" xfId="2466" xr:uid="{00000000-0005-0000-0000-00002C040000}"/>
    <cellStyle name="Accent6 2 13" xfId="2467" xr:uid="{00000000-0005-0000-0000-00002D040000}"/>
    <cellStyle name="Accent6 2 14" xfId="2468" xr:uid="{00000000-0005-0000-0000-00002E040000}"/>
    <cellStyle name="Accent6 2 15" xfId="2469" xr:uid="{00000000-0005-0000-0000-00002F040000}"/>
    <cellStyle name="Accent6 2 2" xfId="2470" xr:uid="{00000000-0005-0000-0000-000030040000}"/>
    <cellStyle name="Accent6 2 3" xfId="2471" xr:uid="{00000000-0005-0000-0000-000031040000}"/>
    <cellStyle name="Accent6 2 4" xfId="2472" xr:uid="{00000000-0005-0000-0000-000032040000}"/>
    <cellStyle name="Accent6 2 5" xfId="2473" xr:uid="{00000000-0005-0000-0000-000033040000}"/>
    <cellStyle name="Accent6 2 6" xfId="2474" xr:uid="{00000000-0005-0000-0000-000034040000}"/>
    <cellStyle name="Accent6 2 7" xfId="2475" xr:uid="{00000000-0005-0000-0000-000035040000}"/>
    <cellStyle name="Accent6 2 8" xfId="2476" xr:uid="{00000000-0005-0000-0000-000036040000}"/>
    <cellStyle name="Accent6 2 9" xfId="2477" xr:uid="{00000000-0005-0000-0000-000037040000}"/>
    <cellStyle name="Accent6 20" xfId="2478" xr:uid="{00000000-0005-0000-0000-000038040000}"/>
    <cellStyle name="Accent6 21" xfId="2479" xr:uid="{00000000-0005-0000-0000-000039040000}"/>
    <cellStyle name="Accent6 22" xfId="2480" xr:uid="{00000000-0005-0000-0000-00003A040000}"/>
    <cellStyle name="Accent6 23" xfId="2481" xr:uid="{00000000-0005-0000-0000-00003B040000}"/>
    <cellStyle name="Accent6 24" xfId="2482" xr:uid="{00000000-0005-0000-0000-00003C040000}"/>
    <cellStyle name="Accent6 3" xfId="1573" xr:uid="{00000000-0005-0000-0000-00003D040000}"/>
    <cellStyle name="Accent6 4" xfId="2483" xr:uid="{00000000-0005-0000-0000-00003E040000}"/>
    <cellStyle name="Accent6 5" xfId="2484" xr:uid="{00000000-0005-0000-0000-00003F040000}"/>
    <cellStyle name="Accent6 6" xfId="2485" xr:uid="{00000000-0005-0000-0000-000040040000}"/>
    <cellStyle name="Accent6 7" xfId="2486" xr:uid="{00000000-0005-0000-0000-000041040000}"/>
    <cellStyle name="Accent6 8" xfId="2487" xr:uid="{00000000-0005-0000-0000-000042040000}"/>
    <cellStyle name="Accent6 9" xfId="2488" xr:uid="{00000000-0005-0000-0000-000043040000}"/>
    <cellStyle name="Bad" xfId="12" builtinId="27" customBuiltin="1"/>
    <cellStyle name="Bad 10" xfId="2489" xr:uid="{00000000-0005-0000-0000-000045040000}"/>
    <cellStyle name="Bad 11" xfId="2490" xr:uid="{00000000-0005-0000-0000-000046040000}"/>
    <cellStyle name="Bad 12" xfId="2491" xr:uid="{00000000-0005-0000-0000-000047040000}"/>
    <cellStyle name="Bad 13" xfId="2492" xr:uid="{00000000-0005-0000-0000-000048040000}"/>
    <cellStyle name="Bad 14" xfId="2493" xr:uid="{00000000-0005-0000-0000-000049040000}"/>
    <cellStyle name="Bad 15" xfId="2494" xr:uid="{00000000-0005-0000-0000-00004A040000}"/>
    <cellStyle name="Bad 16" xfId="2495" xr:uid="{00000000-0005-0000-0000-00004B040000}"/>
    <cellStyle name="Bad 17" xfId="2496" xr:uid="{00000000-0005-0000-0000-00004C040000}"/>
    <cellStyle name="Bad 18" xfId="2497" xr:uid="{00000000-0005-0000-0000-00004D040000}"/>
    <cellStyle name="Bad 19" xfId="2498" xr:uid="{00000000-0005-0000-0000-00004E040000}"/>
    <cellStyle name="Bad 2" xfId="1574" xr:uid="{00000000-0005-0000-0000-00004F040000}"/>
    <cellStyle name="Bad 2 10" xfId="2499" xr:uid="{00000000-0005-0000-0000-000050040000}"/>
    <cellStyle name="Bad 2 11" xfId="2500" xr:uid="{00000000-0005-0000-0000-000051040000}"/>
    <cellStyle name="Bad 2 12" xfId="2501" xr:uid="{00000000-0005-0000-0000-000052040000}"/>
    <cellStyle name="Bad 2 13" xfId="2502" xr:uid="{00000000-0005-0000-0000-000053040000}"/>
    <cellStyle name="Bad 2 14" xfId="2503" xr:uid="{00000000-0005-0000-0000-000054040000}"/>
    <cellStyle name="Bad 2 15" xfId="2504" xr:uid="{00000000-0005-0000-0000-000055040000}"/>
    <cellStyle name="Bad 2 2" xfId="2505" xr:uid="{00000000-0005-0000-0000-000056040000}"/>
    <cellStyle name="Bad 2 3" xfId="2506" xr:uid="{00000000-0005-0000-0000-000057040000}"/>
    <cellStyle name="Bad 2 4" xfId="2507" xr:uid="{00000000-0005-0000-0000-000058040000}"/>
    <cellStyle name="Bad 2 5" xfId="2508" xr:uid="{00000000-0005-0000-0000-000059040000}"/>
    <cellStyle name="Bad 2 6" xfId="2509" xr:uid="{00000000-0005-0000-0000-00005A040000}"/>
    <cellStyle name="Bad 2 7" xfId="2510" xr:uid="{00000000-0005-0000-0000-00005B040000}"/>
    <cellStyle name="Bad 2 8" xfId="2511" xr:uid="{00000000-0005-0000-0000-00005C040000}"/>
    <cellStyle name="Bad 2 9" xfId="2512" xr:uid="{00000000-0005-0000-0000-00005D040000}"/>
    <cellStyle name="Bad 20" xfId="2513" xr:uid="{00000000-0005-0000-0000-00005E040000}"/>
    <cellStyle name="Bad 21" xfId="2514" xr:uid="{00000000-0005-0000-0000-00005F040000}"/>
    <cellStyle name="Bad 22" xfId="2515" xr:uid="{00000000-0005-0000-0000-000060040000}"/>
    <cellStyle name="Bad 23" xfId="2516" xr:uid="{00000000-0005-0000-0000-000061040000}"/>
    <cellStyle name="Bad 24" xfId="2517" xr:uid="{00000000-0005-0000-0000-000062040000}"/>
    <cellStyle name="Bad 3" xfId="1575" xr:uid="{00000000-0005-0000-0000-000063040000}"/>
    <cellStyle name="Bad 4" xfId="2518" xr:uid="{00000000-0005-0000-0000-000064040000}"/>
    <cellStyle name="Bad 5" xfId="2519" xr:uid="{00000000-0005-0000-0000-000065040000}"/>
    <cellStyle name="Bad 6" xfId="2520" xr:uid="{00000000-0005-0000-0000-000066040000}"/>
    <cellStyle name="Bad 7" xfId="2521" xr:uid="{00000000-0005-0000-0000-000067040000}"/>
    <cellStyle name="Bad 8" xfId="2522" xr:uid="{00000000-0005-0000-0000-000068040000}"/>
    <cellStyle name="Bad 9" xfId="2523" xr:uid="{00000000-0005-0000-0000-000069040000}"/>
    <cellStyle name="Calculation" xfId="16" builtinId="22" customBuiltin="1"/>
    <cellStyle name="Calculation 10" xfId="2524" xr:uid="{00000000-0005-0000-0000-00006B040000}"/>
    <cellStyle name="Calculation 11" xfId="2525" xr:uid="{00000000-0005-0000-0000-00006C040000}"/>
    <cellStyle name="Calculation 12" xfId="2526" xr:uid="{00000000-0005-0000-0000-00006D040000}"/>
    <cellStyle name="Calculation 13" xfId="2527" xr:uid="{00000000-0005-0000-0000-00006E040000}"/>
    <cellStyle name="Calculation 14" xfId="2528" xr:uid="{00000000-0005-0000-0000-00006F040000}"/>
    <cellStyle name="Calculation 15" xfId="2529" xr:uid="{00000000-0005-0000-0000-000070040000}"/>
    <cellStyle name="Calculation 16" xfId="2530" xr:uid="{00000000-0005-0000-0000-000071040000}"/>
    <cellStyle name="Calculation 17" xfId="2531" xr:uid="{00000000-0005-0000-0000-000072040000}"/>
    <cellStyle name="Calculation 18" xfId="2532" xr:uid="{00000000-0005-0000-0000-000073040000}"/>
    <cellStyle name="Calculation 19" xfId="2533" xr:uid="{00000000-0005-0000-0000-000074040000}"/>
    <cellStyle name="Calculation 2" xfId="1576" xr:uid="{00000000-0005-0000-0000-000075040000}"/>
    <cellStyle name="Calculation 2 10" xfId="2534" xr:uid="{00000000-0005-0000-0000-000076040000}"/>
    <cellStyle name="Calculation 2 11" xfId="2535" xr:uid="{00000000-0005-0000-0000-000077040000}"/>
    <cellStyle name="Calculation 2 12" xfId="2536" xr:uid="{00000000-0005-0000-0000-000078040000}"/>
    <cellStyle name="Calculation 2 13" xfId="2537" xr:uid="{00000000-0005-0000-0000-000079040000}"/>
    <cellStyle name="Calculation 2 14" xfId="2538" xr:uid="{00000000-0005-0000-0000-00007A040000}"/>
    <cellStyle name="Calculation 2 15" xfId="2539" xr:uid="{00000000-0005-0000-0000-00007B040000}"/>
    <cellStyle name="Calculation 2 16" xfId="14959" xr:uid="{00000000-0005-0000-0000-00007C040000}"/>
    <cellStyle name="Calculation 2 16 10" xfId="31269" xr:uid="{00000000-0005-0000-0000-00007D040000}"/>
    <cellStyle name="Calculation 2 16 2" xfId="15011" xr:uid="{00000000-0005-0000-0000-00007E040000}"/>
    <cellStyle name="Calculation 2 16 2 2" xfId="27396" xr:uid="{00000000-0005-0000-0000-00007F040000}"/>
    <cellStyle name="Calculation 2 16 2 2 2" xfId="27507" xr:uid="{00000000-0005-0000-0000-000080040000}"/>
    <cellStyle name="Calculation 2 16 2 2 2 2" xfId="27973" xr:uid="{00000000-0005-0000-0000-000081040000}"/>
    <cellStyle name="Calculation 2 16 2 2 2 2 2" xfId="28960" xr:uid="{00000000-0005-0000-0000-000082040000}"/>
    <cellStyle name="Calculation 2 16 2 2 2 2 2 2" xfId="30920" xr:uid="{00000000-0005-0000-0000-000083040000}"/>
    <cellStyle name="Calculation 2 16 2 2 2 2 3" xfId="29940" xr:uid="{00000000-0005-0000-0000-000084040000}"/>
    <cellStyle name="Calculation 2 16 2 2 2 3" xfId="28495" xr:uid="{00000000-0005-0000-0000-000085040000}"/>
    <cellStyle name="Calculation 2 16 2 2 2 3 2" xfId="30455" xr:uid="{00000000-0005-0000-0000-000086040000}"/>
    <cellStyle name="Calculation 2 16 2 2 2 4" xfId="29475" xr:uid="{00000000-0005-0000-0000-000087040000}"/>
    <cellStyle name="Calculation 2 16 2 2 3" xfId="27605" xr:uid="{00000000-0005-0000-0000-000088040000}"/>
    <cellStyle name="Calculation 2 16 2 2 3 2" xfId="28071" xr:uid="{00000000-0005-0000-0000-000089040000}"/>
    <cellStyle name="Calculation 2 16 2 2 3 2 2" xfId="29058" xr:uid="{00000000-0005-0000-0000-00008A040000}"/>
    <cellStyle name="Calculation 2 16 2 2 3 2 2 2" xfId="31018" xr:uid="{00000000-0005-0000-0000-00008B040000}"/>
    <cellStyle name="Calculation 2 16 2 2 3 2 3" xfId="30038" xr:uid="{00000000-0005-0000-0000-00008C040000}"/>
    <cellStyle name="Calculation 2 16 2 2 3 3" xfId="27759" xr:uid="{00000000-0005-0000-0000-00008D040000}"/>
    <cellStyle name="Calculation 2 16 2 2 3 3 2" xfId="28747" xr:uid="{00000000-0005-0000-0000-00008E040000}"/>
    <cellStyle name="Calculation 2 16 2 2 3 3 2 2" xfId="30707" xr:uid="{00000000-0005-0000-0000-00008F040000}"/>
    <cellStyle name="Calculation 2 16 2 2 3 3 3" xfId="29727" xr:uid="{00000000-0005-0000-0000-000090040000}"/>
    <cellStyle name="Calculation 2 16 2 2 3 4" xfId="28593" xr:uid="{00000000-0005-0000-0000-000091040000}"/>
    <cellStyle name="Calculation 2 16 2 2 3 4 2" xfId="30553" xr:uid="{00000000-0005-0000-0000-000092040000}"/>
    <cellStyle name="Calculation 2 16 2 2 3 5" xfId="29573" xr:uid="{00000000-0005-0000-0000-000093040000}"/>
    <cellStyle name="Calculation 2 16 2 2 4" xfId="27703" xr:uid="{00000000-0005-0000-0000-000094040000}"/>
    <cellStyle name="Calculation 2 16 2 2 4 2" xfId="28169" xr:uid="{00000000-0005-0000-0000-000095040000}"/>
    <cellStyle name="Calculation 2 16 2 2 4 2 2" xfId="29156" xr:uid="{00000000-0005-0000-0000-000096040000}"/>
    <cellStyle name="Calculation 2 16 2 2 4 2 2 2" xfId="31116" xr:uid="{00000000-0005-0000-0000-000097040000}"/>
    <cellStyle name="Calculation 2 16 2 2 4 2 3" xfId="30136" xr:uid="{00000000-0005-0000-0000-000098040000}"/>
    <cellStyle name="Calculation 2 16 2 2 4 3" xfId="28296" xr:uid="{00000000-0005-0000-0000-000099040000}"/>
    <cellStyle name="Calculation 2 16 2 2 4 3 2" xfId="29283" xr:uid="{00000000-0005-0000-0000-00009A040000}"/>
    <cellStyle name="Calculation 2 16 2 2 4 3 2 2" xfId="31243" xr:uid="{00000000-0005-0000-0000-00009B040000}"/>
    <cellStyle name="Calculation 2 16 2 2 4 3 3" xfId="30263" xr:uid="{00000000-0005-0000-0000-00009C040000}"/>
    <cellStyle name="Calculation 2 16 2 2 4 4" xfId="28691" xr:uid="{00000000-0005-0000-0000-00009D040000}"/>
    <cellStyle name="Calculation 2 16 2 2 4 4 2" xfId="30651" xr:uid="{00000000-0005-0000-0000-00009E040000}"/>
    <cellStyle name="Calculation 2 16 2 2 4 5" xfId="29671" xr:uid="{00000000-0005-0000-0000-00009F040000}"/>
    <cellStyle name="Calculation 2 16 2 2 5" xfId="27875" xr:uid="{00000000-0005-0000-0000-0000A0040000}"/>
    <cellStyle name="Calculation 2 16 2 2 5 2" xfId="28862" xr:uid="{00000000-0005-0000-0000-0000A1040000}"/>
    <cellStyle name="Calculation 2 16 2 2 5 2 2" xfId="30822" xr:uid="{00000000-0005-0000-0000-0000A2040000}"/>
    <cellStyle name="Calculation 2 16 2 2 5 3" xfId="29842" xr:uid="{00000000-0005-0000-0000-0000A3040000}"/>
    <cellStyle name="Calculation 2 16 2 2 6" xfId="28397" xr:uid="{00000000-0005-0000-0000-0000A4040000}"/>
    <cellStyle name="Calculation 2 16 2 2 6 2" xfId="30357" xr:uid="{00000000-0005-0000-0000-0000A5040000}"/>
    <cellStyle name="Calculation 2 16 2 2 7" xfId="29377" xr:uid="{00000000-0005-0000-0000-0000A6040000}"/>
    <cellStyle name="Calculation 2 16 2 2 8" xfId="31337" xr:uid="{00000000-0005-0000-0000-0000A7040000}"/>
    <cellStyle name="Calculation 2 16 2 3" xfId="27463" xr:uid="{00000000-0005-0000-0000-0000A8040000}"/>
    <cellStyle name="Calculation 2 16 2 3 2" xfId="27929" xr:uid="{00000000-0005-0000-0000-0000A9040000}"/>
    <cellStyle name="Calculation 2 16 2 3 2 2" xfId="28916" xr:uid="{00000000-0005-0000-0000-0000AA040000}"/>
    <cellStyle name="Calculation 2 16 2 3 2 2 2" xfId="30876" xr:uid="{00000000-0005-0000-0000-0000AB040000}"/>
    <cellStyle name="Calculation 2 16 2 3 2 3" xfId="29896" xr:uid="{00000000-0005-0000-0000-0000AC040000}"/>
    <cellStyle name="Calculation 2 16 2 3 3" xfId="28451" xr:uid="{00000000-0005-0000-0000-0000AD040000}"/>
    <cellStyle name="Calculation 2 16 2 3 3 2" xfId="30411" xr:uid="{00000000-0005-0000-0000-0000AE040000}"/>
    <cellStyle name="Calculation 2 16 2 3 4" xfId="29431" xr:uid="{00000000-0005-0000-0000-0000AF040000}"/>
    <cellStyle name="Calculation 2 16 2 4" xfId="27561" xr:uid="{00000000-0005-0000-0000-0000B0040000}"/>
    <cellStyle name="Calculation 2 16 2 4 2" xfId="28027" xr:uid="{00000000-0005-0000-0000-0000B1040000}"/>
    <cellStyle name="Calculation 2 16 2 4 2 2" xfId="29014" xr:uid="{00000000-0005-0000-0000-0000B2040000}"/>
    <cellStyle name="Calculation 2 16 2 4 2 2 2" xfId="30974" xr:uid="{00000000-0005-0000-0000-0000B3040000}"/>
    <cellStyle name="Calculation 2 16 2 4 2 3" xfId="29994" xr:uid="{00000000-0005-0000-0000-0000B4040000}"/>
    <cellStyle name="Calculation 2 16 2 4 3" xfId="27749" xr:uid="{00000000-0005-0000-0000-0000B5040000}"/>
    <cellStyle name="Calculation 2 16 2 4 3 2" xfId="28737" xr:uid="{00000000-0005-0000-0000-0000B6040000}"/>
    <cellStyle name="Calculation 2 16 2 4 3 2 2" xfId="30697" xr:uid="{00000000-0005-0000-0000-0000B7040000}"/>
    <cellStyle name="Calculation 2 16 2 4 3 3" xfId="29717" xr:uid="{00000000-0005-0000-0000-0000B8040000}"/>
    <cellStyle name="Calculation 2 16 2 4 4" xfId="28549" xr:uid="{00000000-0005-0000-0000-0000B9040000}"/>
    <cellStyle name="Calculation 2 16 2 4 4 2" xfId="30509" xr:uid="{00000000-0005-0000-0000-0000BA040000}"/>
    <cellStyle name="Calculation 2 16 2 4 5" xfId="29529" xr:uid="{00000000-0005-0000-0000-0000BB040000}"/>
    <cellStyle name="Calculation 2 16 2 5" xfId="27659" xr:uid="{00000000-0005-0000-0000-0000BC040000}"/>
    <cellStyle name="Calculation 2 16 2 5 2" xfId="28125" xr:uid="{00000000-0005-0000-0000-0000BD040000}"/>
    <cellStyle name="Calculation 2 16 2 5 2 2" xfId="29112" xr:uid="{00000000-0005-0000-0000-0000BE040000}"/>
    <cellStyle name="Calculation 2 16 2 5 2 2 2" xfId="31072" xr:uid="{00000000-0005-0000-0000-0000BF040000}"/>
    <cellStyle name="Calculation 2 16 2 5 2 3" xfId="30092" xr:uid="{00000000-0005-0000-0000-0000C0040000}"/>
    <cellStyle name="Calculation 2 16 2 5 3" xfId="28268" xr:uid="{00000000-0005-0000-0000-0000C1040000}"/>
    <cellStyle name="Calculation 2 16 2 5 3 2" xfId="29255" xr:uid="{00000000-0005-0000-0000-0000C2040000}"/>
    <cellStyle name="Calculation 2 16 2 5 3 2 2" xfId="31215" xr:uid="{00000000-0005-0000-0000-0000C3040000}"/>
    <cellStyle name="Calculation 2 16 2 5 3 3" xfId="30235" xr:uid="{00000000-0005-0000-0000-0000C4040000}"/>
    <cellStyle name="Calculation 2 16 2 5 4" xfId="28647" xr:uid="{00000000-0005-0000-0000-0000C5040000}"/>
    <cellStyle name="Calculation 2 16 2 5 4 2" xfId="30607" xr:uid="{00000000-0005-0000-0000-0000C6040000}"/>
    <cellStyle name="Calculation 2 16 2 5 5" xfId="29627" xr:uid="{00000000-0005-0000-0000-0000C7040000}"/>
    <cellStyle name="Calculation 2 16 2 6" xfId="27799" xr:uid="{00000000-0005-0000-0000-0000C8040000}"/>
    <cellStyle name="Calculation 2 16 2 6 2" xfId="28787" xr:uid="{00000000-0005-0000-0000-0000C9040000}"/>
    <cellStyle name="Calculation 2 16 2 6 2 2" xfId="30747" xr:uid="{00000000-0005-0000-0000-0000CA040000}"/>
    <cellStyle name="Calculation 2 16 2 6 3" xfId="29767" xr:uid="{00000000-0005-0000-0000-0000CB040000}"/>
    <cellStyle name="Calculation 2 16 2 7" xfId="28353" xr:uid="{00000000-0005-0000-0000-0000CC040000}"/>
    <cellStyle name="Calculation 2 16 2 7 2" xfId="30313" xr:uid="{00000000-0005-0000-0000-0000CD040000}"/>
    <cellStyle name="Calculation 2 16 2 8" xfId="29333" xr:uid="{00000000-0005-0000-0000-0000CE040000}"/>
    <cellStyle name="Calculation 2 16 2 9" xfId="31293" xr:uid="{00000000-0005-0000-0000-0000CF040000}"/>
    <cellStyle name="Calculation 2 16 3" xfId="27372" xr:uid="{00000000-0005-0000-0000-0000D0040000}"/>
    <cellStyle name="Calculation 2 16 3 2" xfId="27483" xr:uid="{00000000-0005-0000-0000-0000D1040000}"/>
    <cellStyle name="Calculation 2 16 3 2 2" xfId="27949" xr:uid="{00000000-0005-0000-0000-0000D2040000}"/>
    <cellStyle name="Calculation 2 16 3 2 2 2" xfId="28936" xr:uid="{00000000-0005-0000-0000-0000D3040000}"/>
    <cellStyle name="Calculation 2 16 3 2 2 2 2" xfId="30896" xr:uid="{00000000-0005-0000-0000-0000D4040000}"/>
    <cellStyle name="Calculation 2 16 3 2 2 3" xfId="29916" xr:uid="{00000000-0005-0000-0000-0000D5040000}"/>
    <cellStyle name="Calculation 2 16 3 2 3" xfId="28471" xr:uid="{00000000-0005-0000-0000-0000D6040000}"/>
    <cellStyle name="Calculation 2 16 3 2 3 2" xfId="30431" xr:uid="{00000000-0005-0000-0000-0000D7040000}"/>
    <cellStyle name="Calculation 2 16 3 2 4" xfId="29451" xr:uid="{00000000-0005-0000-0000-0000D8040000}"/>
    <cellStyle name="Calculation 2 16 3 3" xfId="27581" xr:uid="{00000000-0005-0000-0000-0000D9040000}"/>
    <cellStyle name="Calculation 2 16 3 3 2" xfId="28047" xr:uid="{00000000-0005-0000-0000-0000DA040000}"/>
    <cellStyle name="Calculation 2 16 3 3 2 2" xfId="29034" xr:uid="{00000000-0005-0000-0000-0000DB040000}"/>
    <cellStyle name="Calculation 2 16 3 3 2 2 2" xfId="30994" xr:uid="{00000000-0005-0000-0000-0000DC040000}"/>
    <cellStyle name="Calculation 2 16 3 3 2 3" xfId="30014" xr:uid="{00000000-0005-0000-0000-0000DD040000}"/>
    <cellStyle name="Calculation 2 16 3 3 3" xfId="27753" xr:uid="{00000000-0005-0000-0000-0000DE040000}"/>
    <cellStyle name="Calculation 2 16 3 3 3 2" xfId="28741" xr:uid="{00000000-0005-0000-0000-0000DF040000}"/>
    <cellStyle name="Calculation 2 16 3 3 3 2 2" xfId="30701" xr:uid="{00000000-0005-0000-0000-0000E0040000}"/>
    <cellStyle name="Calculation 2 16 3 3 3 3" xfId="29721" xr:uid="{00000000-0005-0000-0000-0000E1040000}"/>
    <cellStyle name="Calculation 2 16 3 3 4" xfId="28569" xr:uid="{00000000-0005-0000-0000-0000E2040000}"/>
    <cellStyle name="Calculation 2 16 3 3 4 2" xfId="30529" xr:uid="{00000000-0005-0000-0000-0000E3040000}"/>
    <cellStyle name="Calculation 2 16 3 3 5" xfId="29549" xr:uid="{00000000-0005-0000-0000-0000E4040000}"/>
    <cellStyle name="Calculation 2 16 3 4" xfId="27679" xr:uid="{00000000-0005-0000-0000-0000E5040000}"/>
    <cellStyle name="Calculation 2 16 3 4 2" xfId="28145" xr:uid="{00000000-0005-0000-0000-0000E6040000}"/>
    <cellStyle name="Calculation 2 16 3 4 2 2" xfId="29132" xr:uid="{00000000-0005-0000-0000-0000E7040000}"/>
    <cellStyle name="Calculation 2 16 3 4 2 2 2" xfId="31092" xr:uid="{00000000-0005-0000-0000-0000E8040000}"/>
    <cellStyle name="Calculation 2 16 3 4 2 3" xfId="30112" xr:uid="{00000000-0005-0000-0000-0000E9040000}"/>
    <cellStyle name="Calculation 2 16 3 4 3" xfId="28280" xr:uid="{00000000-0005-0000-0000-0000EA040000}"/>
    <cellStyle name="Calculation 2 16 3 4 3 2" xfId="29267" xr:uid="{00000000-0005-0000-0000-0000EB040000}"/>
    <cellStyle name="Calculation 2 16 3 4 3 2 2" xfId="31227" xr:uid="{00000000-0005-0000-0000-0000EC040000}"/>
    <cellStyle name="Calculation 2 16 3 4 3 3" xfId="30247" xr:uid="{00000000-0005-0000-0000-0000ED040000}"/>
    <cellStyle name="Calculation 2 16 3 4 4" xfId="28667" xr:uid="{00000000-0005-0000-0000-0000EE040000}"/>
    <cellStyle name="Calculation 2 16 3 4 4 2" xfId="30627" xr:uid="{00000000-0005-0000-0000-0000EF040000}"/>
    <cellStyle name="Calculation 2 16 3 4 5" xfId="29647" xr:uid="{00000000-0005-0000-0000-0000F0040000}"/>
    <cellStyle name="Calculation 2 16 3 5" xfId="27851" xr:uid="{00000000-0005-0000-0000-0000F1040000}"/>
    <cellStyle name="Calculation 2 16 3 5 2" xfId="28838" xr:uid="{00000000-0005-0000-0000-0000F2040000}"/>
    <cellStyle name="Calculation 2 16 3 5 2 2" xfId="30798" xr:uid="{00000000-0005-0000-0000-0000F3040000}"/>
    <cellStyle name="Calculation 2 16 3 5 3" xfId="29818" xr:uid="{00000000-0005-0000-0000-0000F4040000}"/>
    <cellStyle name="Calculation 2 16 3 6" xfId="28373" xr:uid="{00000000-0005-0000-0000-0000F5040000}"/>
    <cellStyle name="Calculation 2 16 3 6 2" xfId="30333" xr:uid="{00000000-0005-0000-0000-0000F6040000}"/>
    <cellStyle name="Calculation 2 16 3 7" xfId="29353" xr:uid="{00000000-0005-0000-0000-0000F7040000}"/>
    <cellStyle name="Calculation 2 16 3 8" xfId="31313" xr:uid="{00000000-0005-0000-0000-0000F8040000}"/>
    <cellStyle name="Calculation 2 16 4" xfId="27439" xr:uid="{00000000-0005-0000-0000-0000F9040000}"/>
    <cellStyle name="Calculation 2 16 4 2" xfId="27905" xr:uid="{00000000-0005-0000-0000-0000FA040000}"/>
    <cellStyle name="Calculation 2 16 4 2 2" xfId="28892" xr:uid="{00000000-0005-0000-0000-0000FB040000}"/>
    <cellStyle name="Calculation 2 16 4 2 2 2" xfId="30852" xr:uid="{00000000-0005-0000-0000-0000FC040000}"/>
    <cellStyle name="Calculation 2 16 4 2 3" xfId="29872" xr:uid="{00000000-0005-0000-0000-0000FD040000}"/>
    <cellStyle name="Calculation 2 16 4 3" xfId="28427" xr:uid="{00000000-0005-0000-0000-0000FE040000}"/>
    <cellStyle name="Calculation 2 16 4 3 2" xfId="30387" xr:uid="{00000000-0005-0000-0000-0000FF040000}"/>
    <cellStyle name="Calculation 2 16 4 4" xfId="29407" xr:uid="{00000000-0005-0000-0000-000000050000}"/>
    <cellStyle name="Calculation 2 16 5" xfId="27537" xr:uid="{00000000-0005-0000-0000-000001050000}"/>
    <cellStyle name="Calculation 2 16 5 2" xfId="28003" xr:uid="{00000000-0005-0000-0000-000002050000}"/>
    <cellStyle name="Calculation 2 16 5 2 2" xfId="28990" xr:uid="{00000000-0005-0000-0000-000003050000}"/>
    <cellStyle name="Calculation 2 16 5 2 2 2" xfId="30950" xr:uid="{00000000-0005-0000-0000-000004050000}"/>
    <cellStyle name="Calculation 2 16 5 2 3" xfId="29970" xr:uid="{00000000-0005-0000-0000-000005050000}"/>
    <cellStyle name="Calculation 2 16 5 3" xfId="27727" xr:uid="{00000000-0005-0000-0000-000006050000}"/>
    <cellStyle name="Calculation 2 16 5 3 2" xfId="28715" xr:uid="{00000000-0005-0000-0000-000007050000}"/>
    <cellStyle name="Calculation 2 16 5 3 2 2" xfId="30675" xr:uid="{00000000-0005-0000-0000-000008050000}"/>
    <cellStyle name="Calculation 2 16 5 3 3" xfId="29695" xr:uid="{00000000-0005-0000-0000-000009050000}"/>
    <cellStyle name="Calculation 2 16 5 4" xfId="28525" xr:uid="{00000000-0005-0000-0000-00000A050000}"/>
    <cellStyle name="Calculation 2 16 5 4 2" xfId="30485" xr:uid="{00000000-0005-0000-0000-00000B050000}"/>
    <cellStyle name="Calculation 2 16 5 5" xfId="29505" xr:uid="{00000000-0005-0000-0000-00000C050000}"/>
    <cellStyle name="Calculation 2 16 6" xfId="27635" xr:uid="{00000000-0005-0000-0000-00000D050000}"/>
    <cellStyle name="Calculation 2 16 6 2" xfId="28101" xr:uid="{00000000-0005-0000-0000-00000E050000}"/>
    <cellStyle name="Calculation 2 16 6 2 2" xfId="29088" xr:uid="{00000000-0005-0000-0000-00000F050000}"/>
    <cellStyle name="Calculation 2 16 6 2 2 2" xfId="31048" xr:uid="{00000000-0005-0000-0000-000010050000}"/>
    <cellStyle name="Calculation 2 16 6 2 3" xfId="30068" xr:uid="{00000000-0005-0000-0000-000011050000}"/>
    <cellStyle name="Calculation 2 16 6 3" xfId="28252" xr:uid="{00000000-0005-0000-0000-000012050000}"/>
    <cellStyle name="Calculation 2 16 6 3 2" xfId="29239" xr:uid="{00000000-0005-0000-0000-000013050000}"/>
    <cellStyle name="Calculation 2 16 6 3 2 2" xfId="31199" xr:uid="{00000000-0005-0000-0000-000014050000}"/>
    <cellStyle name="Calculation 2 16 6 3 3" xfId="30219" xr:uid="{00000000-0005-0000-0000-000015050000}"/>
    <cellStyle name="Calculation 2 16 6 4" xfId="28623" xr:uid="{00000000-0005-0000-0000-000016050000}"/>
    <cellStyle name="Calculation 2 16 6 4 2" xfId="30583" xr:uid="{00000000-0005-0000-0000-000017050000}"/>
    <cellStyle name="Calculation 2 16 6 5" xfId="29603" xr:uid="{00000000-0005-0000-0000-000018050000}"/>
    <cellStyle name="Calculation 2 16 7" xfId="27775" xr:uid="{00000000-0005-0000-0000-000019050000}"/>
    <cellStyle name="Calculation 2 16 7 2" xfId="28763" xr:uid="{00000000-0005-0000-0000-00001A050000}"/>
    <cellStyle name="Calculation 2 16 7 2 2" xfId="30723" xr:uid="{00000000-0005-0000-0000-00001B050000}"/>
    <cellStyle name="Calculation 2 16 7 3" xfId="29743" xr:uid="{00000000-0005-0000-0000-00001C050000}"/>
    <cellStyle name="Calculation 2 16 8" xfId="28329" xr:uid="{00000000-0005-0000-0000-00001D050000}"/>
    <cellStyle name="Calculation 2 16 8 2" xfId="30289" xr:uid="{00000000-0005-0000-0000-00001E050000}"/>
    <cellStyle name="Calculation 2 16 9" xfId="29309" xr:uid="{00000000-0005-0000-0000-00001F050000}"/>
    <cellStyle name="Calculation 2 17" xfId="14942" xr:uid="{00000000-0005-0000-0000-000020050000}"/>
    <cellStyle name="Calculation 2 17 2" xfId="27362" xr:uid="{00000000-0005-0000-0000-000021050000}"/>
    <cellStyle name="Calculation 2 17 2 2" xfId="27473" xr:uid="{00000000-0005-0000-0000-000022050000}"/>
    <cellStyle name="Calculation 2 17 2 2 2" xfId="27939" xr:uid="{00000000-0005-0000-0000-000023050000}"/>
    <cellStyle name="Calculation 2 17 2 2 2 2" xfId="28926" xr:uid="{00000000-0005-0000-0000-000024050000}"/>
    <cellStyle name="Calculation 2 17 2 2 2 2 2" xfId="30886" xr:uid="{00000000-0005-0000-0000-000025050000}"/>
    <cellStyle name="Calculation 2 17 2 2 2 3" xfId="29906" xr:uid="{00000000-0005-0000-0000-000026050000}"/>
    <cellStyle name="Calculation 2 17 2 2 3" xfId="28461" xr:uid="{00000000-0005-0000-0000-000027050000}"/>
    <cellStyle name="Calculation 2 17 2 2 3 2" xfId="30421" xr:uid="{00000000-0005-0000-0000-000028050000}"/>
    <cellStyle name="Calculation 2 17 2 2 4" xfId="29441" xr:uid="{00000000-0005-0000-0000-000029050000}"/>
    <cellStyle name="Calculation 2 17 2 3" xfId="27571" xr:uid="{00000000-0005-0000-0000-00002A050000}"/>
    <cellStyle name="Calculation 2 17 2 3 2" xfId="28037" xr:uid="{00000000-0005-0000-0000-00002B050000}"/>
    <cellStyle name="Calculation 2 17 2 3 2 2" xfId="29024" xr:uid="{00000000-0005-0000-0000-00002C050000}"/>
    <cellStyle name="Calculation 2 17 2 3 2 2 2" xfId="30984" xr:uid="{00000000-0005-0000-0000-00002D050000}"/>
    <cellStyle name="Calculation 2 17 2 3 2 3" xfId="30004" xr:uid="{00000000-0005-0000-0000-00002E050000}"/>
    <cellStyle name="Calculation 2 17 2 3 3" xfId="27819" xr:uid="{00000000-0005-0000-0000-00002F050000}"/>
    <cellStyle name="Calculation 2 17 2 3 3 2" xfId="28806" xr:uid="{00000000-0005-0000-0000-000030050000}"/>
    <cellStyle name="Calculation 2 17 2 3 3 2 2" xfId="30766" xr:uid="{00000000-0005-0000-0000-000031050000}"/>
    <cellStyle name="Calculation 2 17 2 3 3 3" xfId="29786" xr:uid="{00000000-0005-0000-0000-000032050000}"/>
    <cellStyle name="Calculation 2 17 2 3 4" xfId="28559" xr:uid="{00000000-0005-0000-0000-000033050000}"/>
    <cellStyle name="Calculation 2 17 2 3 4 2" xfId="30519" xr:uid="{00000000-0005-0000-0000-000034050000}"/>
    <cellStyle name="Calculation 2 17 2 3 5" xfId="29539" xr:uid="{00000000-0005-0000-0000-000035050000}"/>
    <cellStyle name="Calculation 2 17 2 4" xfId="27669" xr:uid="{00000000-0005-0000-0000-000036050000}"/>
    <cellStyle name="Calculation 2 17 2 4 2" xfId="28135" xr:uid="{00000000-0005-0000-0000-000037050000}"/>
    <cellStyle name="Calculation 2 17 2 4 2 2" xfId="29122" xr:uid="{00000000-0005-0000-0000-000038050000}"/>
    <cellStyle name="Calculation 2 17 2 4 2 2 2" xfId="31082" xr:uid="{00000000-0005-0000-0000-000039050000}"/>
    <cellStyle name="Calculation 2 17 2 4 2 3" xfId="30102" xr:uid="{00000000-0005-0000-0000-00003A050000}"/>
    <cellStyle name="Calculation 2 17 2 4 3" xfId="28274" xr:uid="{00000000-0005-0000-0000-00003B050000}"/>
    <cellStyle name="Calculation 2 17 2 4 3 2" xfId="29261" xr:uid="{00000000-0005-0000-0000-00003C050000}"/>
    <cellStyle name="Calculation 2 17 2 4 3 2 2" xfId="31221" xr:uid="{00000000-0005-0000-0000-00003D050000}"/>
    <cellStyle name="Calculation 2 17 2 4 3 3" xfId="30241" xr:uid="{00000000-0005-0000-0000-00003E050000}"/>
    <cellStyle name="Calculation 2 17 2 4 4" xfId="28657" xr:uid="{00000000-0005-0000-0000-00003F050000}"/>
    <cellStyle name="Calculation 2 17 2 4 4 2" xfId="30617" xr:uid="{00000000-0005-0000-0000-000040050000}"/>
    <cellStyle name="Calculation 2 17 2 4 5" xfId="29637" xr:uid="{00000000-0005-0000-0000-000041050000}"/>
    <cellStyle name="Calculation 2 17 2 5" xfId="27841" xr:uid="{00000000-0005-0000-0000-000042050000}"/>
    <cellStyle name="Calculation 2 17 2 5 2" xfId="28828" xr:uid="{00000000-0005-0000-0000-000043050000}"/>
    <cellStyle name="Calculation 2 17 2 5 2 2" xfId="30788" xr:uid="{00000000-0005-0000-0000-000044050000}"/>
    <cellStyle name="Calculation 2 17 2 5 3" xfId="29808" xr:uid="{00000000-0005-0000-0000-000045050000}"/>
    <cellStyle name="Calculation 2 17 2 6" xfId="28363" xr:uid="{00000000-0005-0000-0000-000046050000}"/>
    <cellStyle name="Calculation 2 17 2 6 2" xfId="30323" xr:uid="{00000000-0005-0000-0000-000047050000}"/>
    <cellStyle name="Calculation 2 17 2 7" xfId="29343" xr:uid="{00000000-0005-0000-0000-000048050000}"/>
    <cellStyle name="Calculation 2 17 2 8" xfId="31303" xr:uid="{00000000-0005-0000-0000-000049050000}"/>
    <cellStyle name="Calculation 2 17 3" xfId="27429" xr:uid="{00000000-0005-0000-0000-00004A050000}"/>
    <cellStyle name="Calculation 2 17 3 2" xfId="27895" xr:uid="{00000000-0005-0000-0000-00004B050000}"/>
    <cellStyle name="Calculation 2 17 3 2 2" xfId="28882" xr:uid="{00000000-0005-0000-0000-00004C050000}"/>
    <cellStyle name="Calculation 2 17 3 2 2 2" xfId="30842" xr:uid="{00000000-0005-0000-0000-00004D050000}"/>
    <cellStyle name="Calculation 2 17 3 2 3" xfId="29862" xr:uid="{00000000-0005-0000-0000-00004E050000}"/>
    <cellStyle name="Calculation 2 17 3 3" xfId="28417" xr:uid="{00000000-0005-0000-0000-00004F050000}"/>
    <cellStyle name="Calculation 2 17 3 3 2" xfId="30377" xr:uid="{00000000-0005-0000-0000-000050050000}"/>
    <cellStyle name="Calculation 2 17 3 4" xfId="29397" xr:uid="{00000000-0005-0000-0000-000051050000}"/>
    <cellStyle name="Calculation 2 17 4" xfId="27527" xr:uid="{00000000-0005-0000-0000-000052050000}"/>
    <cellStyle name="Calculation 2 17 4 2" xfId="27993" xr:uid="{00000000-0005-0000-0000-000053050000}"/>
    <cellStyle name="Calculation 2 17 4 2 2" xfId="28980" xr:uid="{00000000-0005-0000-0000-000054050000}"/>
    <cellStyle name="Calculation 2 17 4 2 2 2" xfId="30940" xr:uid="{00000000-0005-0000-0000-000055050000}"/>
    <cellStyle name="Calculation 2 17 4 2 3" xfId="29960" xr:uid="{00000000-0005-0000-0000-000056050000}"/>
    <cellStyle name="Calculation 2 17 4 3" xfId="27738" xr:uid="{00000000-0005-0000-0000-000057050000}"/>
    <cellStyle name="Calculation 2 17 4 3 2" xfId="28726" xr:uid="{00000000-0005-0000-0000-000058050000}"/>
    <cellStyle name="Calculation 2 17 4 3 2 2" xfId="30686" xr:uid="{00000000-0005-0000-0000-000059050000}"/>
    <cellStyle name="Calculation 2 17 4 3 3" xfId="29706" xr:uid="{00000000-0005-0000-0000-00005A050000}"/>
    <cellStyle name="Calculation 2 17 4 4" xfId="28515" xr:uid="{00000000-0005-0000-0000-00005B050000}"/>
    <cellStyle name="Calculation 2 17 4 4 2" xfId="30475" xr:uid="{00000000-0005-0000-0000-00005C050000}"/>
    <cellStyle name="Calculation 2 17 4 5" xfId="29495" xr:uid="{00000000-0005-0000-0000-00005D050000}"/>
    <cellStyle name="Calculation 2 17 5" xfId="27625" xr:uid="{00000000-0005-0000-0000-00005E050000}"/>
    <cellStyle name="Calculation 2 17 5 2" xfId="28091" xr:uid="{00000000-0005-0000-0000-00005F050000}"/>
    <cellStyle name="Calculation 2 17 5 2 2" xfId="29078" xr:uid="{00000000-0005-0000-0000-000060050000}"/>
    <cellStyle name="Calculation 2 17 5 2 2 2" xfId="31038" xr:uid="{00000000-0005-0000-0000-000061050000}"/>
    <cellStyle name="Calculation 2 17 5 2 3" xfId="30058" xr:uid="{00000000-0005-0000-0000-000062050000}"/>
    <cellStyle name="Calculation 2 17 5 3" xfId="27737" xr:uid="{00000000-0005-0000-0000-000063050000}"/>
    <cellStyle name="Calculation 2 17 5 3 2" xfId="28725" xr:uid="{00000000-0005-0000-0000-000064050000}"/>
    <cellStyle name="Calculation 2 17 5 3 2 2" xfId="30685" xr:uid="{00000000-0005-0000-0000-000065050000}"/>
    <cellStyle name="Calculation 2 17 5 3 3" xfId="29705" xr:uid="{00000000-0005-0000-0000-000066050000}"/>
    <cellStyle name="Calculation 2 17 5 4" xfId="28613" xr:uid="{00000000-0005-0000-0000-000067050000}"/>
    <cellStyle name="Calculation 2 17 5 4 2" xfId="30573" xr:uid="{00000000-0005-0000-0000-000068050000}"/>
    <cellStyle name="Calculation 2 17 5 5" xfId="29593" xr:uid="{00000000-0005-0000-0000-000069050000}"/>
    <cellStyle name="Calculation 2 17 6" xfId="27765" xr:uid="{00000000-0005-0000-0000-00006A050000}"/>
    <cellStyle name="Calculation 2 17 6 2" xfId="28753" xr:uid="{00000000-0005-0000-0000-00006B050000}"/>
    <cellStyle name="Calculation 2 17 6 2 2" xfId="30713" xr:uid="{00000000-0005-0000-0000-00006C050000}"/>
    <cellStyle name="Calculation 2 17 6 3" xfId="29733" xr:uid="{00000000-0005-0000-0000-00006D050000}"/>
    <cellStyle name="Calculation 2 17 7" xfId="28319" xr:uid="{00000000-0005-0000-0000-00006E050000}"/>
    <cellStyle name="Calculation 2 17 7 2" xfId="30279" xr:uid="{00000000-0005-0000-0000-00006F050000}"/>
    <cellStyle name="Calculation 2 17 8" xfId="29299" xr:uid="{00000000-0005-0000-0000-000070050000}"/>
    <cellStyle name="Calculation 2 17 9" xfId="31259" xr:uid="{00000000-0005-0000-0000-000071050000}"/>
    <cellStyle name="Calculation 2 18" xfId="15001" xr:uid="{00000000-0005-0000-0000-000072050000}"/>
    <cellStyle name="Calculation 2 18 2" xfId="27386" xr:uid="{00000000-0005-0000-0000-000073050000}"/>
    <cellStyle name="Calculation 2 18 2 2" xfId="27497" xr:uid="{00000000-0005-0000-0000-000074050000}"/>
    <cellStyle name="Calculation 2 18 2 2 2" xfId="27963" xr:uid="{00000000-0005-0000-0000-000075050000}"/>
    <cellStyle name="Calculation 2 18 2 2 2 2" xfId="28950" xr:uid="{00000000-0005-0000-0000-000076050000}"/>
    <cellStyle name="Calculation 2 18 2 2 2 2 2" xfId="30910" xr:uid="{00000000-0005-0000-0000-000077050000}"/>
    <cellStyle name="Calculation 2 18 2 2 2 3" xfId="29930" xr:uid="{00000000-0005-0000-0000-000078050000}"/>
    <cellStyle name="Calculation 2 18 2 2 3" xfId="28485" xr:uid="{00000000-0005-0000-0000-000079050000}"/>
    <cellStyle name="Calculation 2 18 2 2 3 2" xfId="30445" xr:uid="{00000000-0005-0000-0000-00007A050000}"/>
    <cellStyle name="Calculation 2 18 2 2 4" xfId="29465" xr:uid="{00000000-0005-0000-0000-00007B050000}"/>
    <cellStyle name="Calculation 2 18 2 3" xfId="27595" xr:uid="{00000000-0005-0000-0000-00007C050000}"/>
    <cellStyle name="Calculation 2 18 2 3 2" xfId="28061" xr:uid="{00000000-0005-0000-0000-00007D050000}"/>
    <cellStyle name="Calculation 2 18 2 3 2 2" xfId="29048" xr:uid="{00000000-0005-0000-0000-00007E050000}"/>
    <cellStyle name="Calculation 2 18 2 3 2 2 2" xfId="31008" xr:uid="{00000000-0005-0000-0000-00007F050000}"/>
    <cellStyle name="Calculation 2 18 2 3 2 3" xfId="30028" xr:uid="{00000000-0005-0000-0000-000080050000}"/>
    <cellStyle name="Calculation 2 18 2 3 3" xfId="27756" xr:uid="{00000000-0005-0000-0000-000081050000}"/>
    <cellStyle name="Calculation 2 18 2 3 3 2" xfId="28744" xr:uid="{00000000-0005-0000-0000-000082050000}"/>
    <cellStyle name="Calculation 2 18 2 3 3 2 2" xfId="30704" xr:uid="{00000000-0005-0000-0000-000083050000}"/>
    <cellStyle name="Calculation 2 18 2 3 3 3" xfId="29724" xr:uid="{00000000-0005-0000-0000-000084050000}"/>
    <cellStyle name="Calculation 2 18 2 3 4" xfId="28583" xr:uid="{00000000-0005-0000-0000-000085050000}"/>
    <cellStyle name="Calculation 2 18 2 3 4 2" xfId="30543" xr:uid="{00000000-0005-0000-0000-000086050000}"/>
    <cellStyle name="Calculation 2 18 2 3 5" xfId="29563" xr:uid="{00000000-0005-0000-0000-000087050000}"/>
    <cellStyle name="Calculation 2 18 2 4" xfId="27693" xr:uid="{00000000-0005-0000-0000-000088050000}"/>
    <cellStyle name="Calculation 2 18 2 4 2" xfId="28159" xr:uid="{00000000-0005-0000-0000-000089050000}"/>
    <cellStyle name="Calculation 2 18 2 4 2 2" xfId="29146" xr:uid="{00000000-0005-0000-0000-00008A050000}"/>
    <cellStyle name="Calculation 2 18 2 4 2 2 2" xfId="31106" xr:uid="{00000000-0005-0000-0000-00008B050000}"/>
    <cellStyle name="Calculation 2 18 2 4 2 3" xfId="30126" xr:uid="{00000000-0005-0000-0000-00008C050000}"/>
    <cellStyle name="Calculation 2 18 2 4 3" xfId="28290" xr:uid="{00000000-0005-0000-0000-00008D050000}"/>
    <cellStyle name="Calculation 2 18 2 4 3 2" xfId="29277" xr:uid="{00000000-0005-0000-0000-00008E050000}"/>
    <cellStyle name="Calculation 2 18 2 4 3 2 2" xfId="31237" xr:uid="{00000000-0005-0000-0000-00008F050000}"/>
    <cellStyle name="Calculation 2 18 2 4 3 3" xfId="30257" xr:uid="{00000000-0005-0000-0000-000090050000}"/>
    <cellStyle name="Calculation 2 18 2 4 4" xfId="28681" xr:uid="{00000000-0005-0000-0000-000091050000}"/>
    <cellStyle name="Calculation 2 18 2 4 4 2" xfId="30641" xr:uid="{00000000-0005-0000-0000-000092050000}"/>
    <cellStyle name="Calculation 2 18 2 4 5" xfId="29661" xr:uid="{00000000-0005-0000-0000-000093050000}"/>
    <cellStyle name="Calculation 2 18 2 5" xfId="27865" xr:uid="{00000000-0005-0000-0000-000094050000}"/>
    <cellStyle name="Calculation 2 18 2 5 2" xfId="28852" xr:uid="{00000000-0005-0000-0000-000095050000}"/>
    <cellStyle name="Calculation 2 18 2 5 2 2" xfId="30812" xr:uid="{00000000-0005-0000-0000-000096050000}"/>
    <cellStyle name="Calculation 2 18 2 5 3" xfId="29832" xr:uid="{00000000-0005-0000-0000-000097050000}"/>
    <cellStyle name="Calculation 2 18 2 6" xfId="28387" xr:uid="{00000000-0005-0000-0000-000098050000}"/>
    <cellStyle name="Calculation 2 18 2 6 2" xfId="30347" xr:uid="{00000000-0005-0000-0000-000099050000}"/>
    <cellStyle name="Calculation 2 18 2 7" xfId="29367" xr:uid="{00000000-0005-0000-0000-00009A050000}"/>
    <cellStyle name="Calculation 2 18 2 8" xfId="31327" xr:uid="{00000000-0005-0000-0000-00009B050000}"/>
    <cellStyle name="Calculation 2 18 3" xfId="27453" xr:uid="{00000000-0005-0000-0000-00009C050000}"/>
    <cellStyle name="Calculation 2 18 3 2" xfId="27919" xr:uid="{00000000-0005-0000-0000-00009D050000}"/>
    <cellStyle name="Calculation 2 18 3 2 2" xfId="28906" xr:uid="{00000000-0005-0000-0000-00009E050000}"/>
    <cellStyle name="Calculation 2 18 3 2 2 2" xfId="30866" xr:uid="{00000000-0005-0000-0000-00009F050000}"/>
    <cellStyle name="Calculation 2 18 3 2 3" xfId="29886" xr:uid="{00000000-0005-0000-0000-0000A0050000}"/>
    <cellStyle name="Calculation 2 18 3 3" xfId="28441" xr:uid="{00000000-0005-0000-0000-0000A1050000}"/>
    <cellStyle name="Calculation 2 18 3 3 2" xfId="30401" xr:uid="{00000000-0005-0000-0000-0000A2050000}"/>
    <cellStyle name="Calculation 2 18 3 4" xfId="29421" xr:uid="{00000000-0005-0000-0000-0000A3050000}"/>
    <cellStyle name="Calculation 2 18 4" xfId="27551" xr:uid="{00000000-0005-0000-0000-0000A4050000}"/>
    <cellStyle name="Calculation 2 18 4 2" xfId="28017" xr:uid="{00000000-0005-0000-0000-0000A5050000}"/>
    <cellStyle name="Calculation 2 18 4 2 2" xfId="29004" xr:uid="{00000000-0005-0000-0000-0000A6050000}"/>
    <cellStyle name="Calculation 2 18 4 2 2 2" xfId="30964" xr:uid="{00000000-0005-0000-0000-0000A7050000}"/>
    <cellStyle name="Calculation 2 18 4 2 3" xfId="29984" xr:uid="{00000000-0005-0000-0000-0000A8050000}"/>
    <cellStyle name="Calculation 2 18 4 3" xfId="27747" xr:uid="{00000000-0005-0000-0000-0000A9050000}"/>
    <cellStyle name="Calculation 2 18 4 3 2" xfId="28735" xr:uid="{00000000-0005-0000-0000-0000AA050000}"/>
    <cellStyle name="Calculation 2 18 4 3 2 2" xfId="30695" xr:uid="{00000000-0005-0000-0000-0000AB050000}"/>
    <cellStyle name="Calculation 2 18 4 3 3" xfId="29715" xr:uid="{00000000-0005-0000-0000-0000AC050000}"/>
    <cellStyle name="Calculation 2 18 4 4" xfId="28539" xr:uid="{00000000-0005-0000-0000-0000AD050000}"/>
    <cellStyle name="Calculation 2 18 4 4 2" xfId="30499" xr:uid="{00000000-0005-0000-0000-0000AE050000}"/>
    <cellStyle name="Calculation 2 18 4 5" xfId="29519" xr:uid="{00000000-0005-0000-0000-0000AF050000}"/>
    <cellStyle name="Calculation 2 18 5" xfId="27649" xr:uid="{00000000-0005-0000-0000-0000B0050000}"/>
    <cellStyle name="Calculation 2 18 5 2" xfId="28115" xr:uid="{00000000-0005-0000-0000-0000B1050000}"/>
    <cellStyle name="Calculation 2 18 5 2 2" xfId="29102" xr:uid="{00000000-0005-0000-0000-0000B2050000}"/>
    <cellStyle name="Calculation 2 18 5 2 2 2" xfId="31062" xr:uid="{00000000-0005-0000-0000-0000B3050000}"/>
    <cellStyle name="Calculation 2 18 5 2 3" xfId="30082" xr:uid="{00000000-0005-0000-0000-0000B4050000}"/>
    <cellStyle name="Calculation 2 18 5 3" xfId="28262" xr:uid="{00000000-0005-0000-0000-0000B5050000}"/>
    <cellStyle name="Calculation 2 18 5 3 2" xfId="29249" xr:uid="{00000000-0005-0000-0000-0000B6050000}"/>
    <cellStyle name="Calculation 2 18 5 3 2 2" xfId="31209" xr:uid="{00000000-0005-0000-0000-0000B7050000}"/>
    <cellStyle name="Calculation 2 18 5 3 3" xfId="30229" xr:uid="{00000000-0005-0000-0000-0000B8050000}"/>
    <cellStyle name="Calculation 2 18 5 4" xfId="28637" xr:uid="{00000000-0005-0000-0000-0000B9050000}"/>
    <cellStyle name="Calculation 2 18 5 4 2" xfId="30597" xr:uid="{00000000-0005-0000-0000-0000BA050000}"/>
    <cellStyle name="Calculation 2 18 5 5" xfId="29617" xr:uid="{00000000-0005-0000-0000-0000BB050000}"/>
    <cellStyle name="Calculation 2 18 6" xfId="27789" xr:uid="{00000000-0005-0000-0000-0000BC050000}"/>
    <cellStyle name="Calculation 2 18 6 2" xfId="28777" xr:uid="{00000000-0005-0000-0000-0000BD050000}"/>
    <cellStyle name="Calculation 2 18 6 2 2" xfId="30737" xr:uid="{00000000-0005-0000-0000-0000BE050000}"/>
    <cellStyle name="Calculation 2 18 6 3" xfId="29757" xr:uid="{00000000-0005-0000-0000-0000BF050000}"/>
    <cellStyle name="Calculation 2 18 7" xfId="28343" xr:uid="{00000000-0005-0000-0000-0000C0050000}"/>
    <cellStyle name="Calculation 2 18 7 2" xfId="30303" xr:uid="{00000000-0005-0000-0000-0000C1050000}"/>
    <cellStyle name="Calculation 2 18 8" xfId="29323" xr:uid="{00000000-0005-0000-0000-0000C2050000}"/>
    <cellStyle name="Calculation 2 18 9" xfId="31283" xr:uid="{00000000-0005-0000-0000-0000C3050000}"/>
    <cellStyle name="Calculation 2 19" xfId="27419" xr:uid="{00000000-0005-0000-0000-0000C4050000}"/>
    <cellStyle name="Calculation 2 19 2" xfId="27885" xr:uid="{00000000-0005-0000-0000-0000C5050000}"/>
    <cellStyle name="Calculation 2 19 2 2" xfId="28872" xr:uid="{00000000-0005-0000-0000-0000C6050000}"/>
    <cellStyle name="Calculation 2 19 2 2 2" xfId="30832" xr:uid="{00000000-0005-0000-0000-0000C7050000}"/>
    <cellStyle name="Calculation 2 19 2 3" xfId="29852" xr:uid="{00000000-0005-0000-0000-0000C8050000}"/>
    <cellStyle name="Calculation 2 19 3" xfId="28407" xr:uid="{00000000-0005-0000-0000-0000C9050000}"/>
    <cellStyle name="Calculation 2 19 3 2" xfId="30367" xr:uid="{00000000-0005-0000-0000-0000CA050000}"/>
    <cellStyle name="Calculation 2 19 4" xfId="29387" xr:uid="{00000000-0005-0000-0000-0000CB050000}"/>
    <cellStyle name="Calculation 2 2" xfId="2540" xr:uid="{00000000-0005-0000-0000-0000CC050000}"/>
    <cellStyle name="Calculation 2 20" xfId="27517" xr:uid="{00000000-0005-0000-0000-0000CD050000}"/>
    <cellStyle name="Calculation 2 20 2" xfId="27983" xr:uid="{00000000-0005-0000-0000-0000CE050000}"/>
    <cellStyle name="Calculation 2 20 2 2" xfId="28970" xr:uid="{00000000-0005-0000-0000-0000CF050000}"/>
    <cellStyle name="Calculation 2 20 2 2 2" xfId="30930" xr:uid="{00000000-0005-0000-0000-0000D0050000}"/>
    <cellStyle name="Calculation 2 20 2 3" xfId="29950" xr:uid="{00000000-0005-0000-0000-0000D1050000}"/>
    <cellStyle name="Calculation 2 20 3" xfId="27724" xr:uid="{00000000-0005-0000-0000-0000D2050000}"/>
    <cellStyle name="Calculation 2 20 3 2" xfId="28712" xr:uid="{00000000-0005-0000-0000-0000D3050000}"/>
    <cellStyle name="Calculation 2 20 3 2 2" xfId="30672" xr:uid="{00000000-0005-0000-0000-0000D4050000}"/>
    <cellStyle name="Calculation 2 20 3 3" xfId="29692" xr:uid="{00000000-0005-0000-0000-0000D5050000}"/>
    <cellStyle name="Calculation 2 20 4" xfId="28505" xr:uid="{00000000-0005-0000-0000-0000D6050000}"/>
    <cellStyle name="Calculation 2 20 4 2" xfId="30465" xr:uid="{00000000-0005-0000-0000-0000D7050000}"/>
    <cellStyle name="Calculation 2 20 5" xfId="29485" xr:uid="{00000000-0005-0000-0000-0000D8050000}"/>
    <cellStyle name="Calculation 2 21" xfId="27615" xr:uid="{00000000-0005-0000-0000-0000D9050000}"/>
    <cellStyle name="Calculation 2 21 2" xfId="28081" xr:uid="{00000000-0005-0000-0000-0000DA050000}"/>
    <cellStyle name="Calculation 2 21 2 2" xfId="29068" xr:uid="{00000000-0005-0000-0000-0000DB050000}"/>
    <cellStyle name="Calculation 2 21 2 2 2" xfId="31028" xr:uid="{00000000-0005-0000-0000-0000DC050000}"/>
    <cellStyle name="Calculation 2 21 2 3" xfId="30048" xr:uid="{00000000-0005-0000-0000-0000DD050000}"/>
    <cellStyle name="Calculation 2 21 3" xfId="27734" xr:uid="{00000000-0005-0000-0000-0000DE050000}"/>
    <cellStyle name="Calculation 2 21 3 2" xfId="28722" xr:uid="{00000000-0005-0000-0000-0000DF050000}"/>
    <cellStyle name="Calculation 2 21 3 2 2" xfId="30682" xr:uid="{00000000-0005-0000-0000-0000E0050000}"/>
    <cellStyle name="Calculation 2 21 3 3" xfId="29702" xr:uid="{00000000-0005-0000-0000-0000E1050000}"/>
    <cellStyle name="Calculation 2 21 4" xfId="28603" xr:uid="{00000000-0005-0000-0000-0000E2050000}"/>
    <cellStyle name="Calculation 2 21 4 2" xfId="30563" xr:uid="{00000000-0005-0000-0000-0000E3050000}"/>
    <cellStyle name="Calculation 2 21 5" xfId="29583" xr:uid="{00000000-0005-0000-0000-0000E4050000}"/>
    <cellStyle name="Calculation 2 22" xfId="27714" xr:uid="{00000000-0005-0000-0000-0000E5050000}"/>
    <cellStyle name="Calculation 2 22 2" xfId="28702" xr:uid="{00000000-0005-0000-0000-0000E6050000}"/>
    <cellStyle name="Calculation 2 22 2 2" xfId="30662" xr:uid="{00000000-0005-0000-0000-0000E7050000}"/>
    <cellStyle name="Calculation 2 22 3" xfId="29682" xr:uid="{00000000-0005-0000-0000-0000E8050000}"/>
    <cellStyle name="Calculation 2 23" xfId="28309" xr:uid="{00000000-0005-0000-0000-0000E9050000}"/>
    <cellStyle name="Calculation 2 23 2" xfId="30269" xr:uid="{00000000-0005-0000-0000-0000EA050000}"/>
    <cellStyle name="Calculation 2 24" xfId="29289" xr:uid="{00000000-0005-0000-0000-0000EB050000}"/>
    <cellStyle name="Calculation 2 25" xfId="31249" xr:uid="{00000000-0005-0000-0000-0000EC050000}"/>
    <cellStyle name="Calculation 2 3" xfId="2541" xr:uid="{00000000-0005-0000-0000-0000ED050000}"/>
    <cellStyle name="Calculation 2 4" xfId="2542" xr:uid="{00000000-0005-0000-0000-0000EE050000}"/>
    <cellStyle name="Calculation 2 5" xfId="2543" xr:uid="{00000000-0005-0000-0000-0000EF050000}"/>
    <cellStyle name="Calculation 2 6" xfId="2544" xr:uid="{00000000-0005-0000-0000-0000F0050000}"/>
    <cellStyle name="Calculation 2 7" xfId="2545" xr:uid="{00000000-0005-0000-0000-0000F1050000}"/>
    <cellStyle name="Calculation 2 8" xfId="2546" xr:uid="{00000000-0005-0000-0000-0000F2050000}"/>
    <cellStyle name="Calculation 2 9" xfId="2547" xr:uid="{00000000-0005-0000-0000-0000F3050000}"/>
    <cellStyle name="Calculation 20" xfId="2548" xr:uid="{00000000-0005-0000-0000-0000F4050000}"/>
    <cellStyle name="Calculation 21" xfId="2549" xr:uid="{00000000-0005-0000-0000-0000F5050000}"/>
    <cellStyle name="Calculation 22" xfId="2550" xr:uid="{00000000-0005-0000-0000-0000F6050000}"/>
    <cellStyle name="Calculation 23" xfId="2551" xr:uid="{00000000-0005-0000-0000-0000F7050000}"/>
    <cellStyle name="Calculation 24" xfId="2552" xr:uid="{00000000-0005-0000-0000-0000F8050000}"/>
    <cellStyle name="Calculation 3" xfId="1577" xr:uid="{00000000-0005-0000-0000-0000F9050000}"/>
    <cellStyle name="Calculation 3 10" xfId="29290" xr:uid="{00000000-0005-0000-0000-0000FA050000}"/>
    <cellStyle name="Calculation 3 11" xfId="31250" xr:uid="{00000000-0005-0000-0000-0000FB050000}"/>
    <cellStyle name="Calculation 3 2" xfId="14960" xr:uid="{00000000-0005-0000-0000-0000FC050000}"/>
    <cellStyle name="Calculation 3 2 10" xfId="31270" xr:uid="{00000000-0005-0000-0000-0000FD050000}"/>
    <cellStyle name="Calculation 3 2 2" xfId="15010" xr:uid="{00000000-0005-0000-0000-0000FE050000}"/>
    <cellStyle name="Calculation 3 2 2 2" xfId="27395" xr:uid="{00000000-0005-0000-0000-0000FF050000}"/>
    <cellStyle name="Calculation 3 2 2 2 2" xfId="27506" xr:uid="{00000000-0005-0000-0000-000000060000}"/>
    <cellStyle name="Calculation 3 2 2 2 2 2" xfId="27972" xr:uid="{00000000-0005-0000-0000-000001060000}"/>
    <cellStyle name="Calculation 3 2 2 2 2 2 2" xfId="28959" xr:uid="{00000000-0005-0000-0000-000002060000}"/>
    <cellStyle name="Calculation 3 2 2 2 2 2 2 2" xfId="30919" xr:uid="{00000000-0005-0000-0000-000003060000}"/>
    <cellStyle name="Calculation 3 2 2 2 2 2 3" xfId="29939" xr:uid="{00000000-0005-0000-0000-000004060000}"/>
    <cellStyle name="Calculation 3 2 2 2 2 3" xfId="28494" xr:uid="{00000000-0005-0000-0000-000005060000}"/>
    <cellStyle name="Calculation 3 2 2 2 2 3 2" xfId="30454" xr:uid="{00000000-0005-0000-0000-000006060000}"/>
    <cellStyle name="Calculation 3 2 2 2 2 4" xfId="29474" xr:uid="{00000000-0005-0000-0000-000007060000}"/>
    <cellStyle name="Calculation 3 2 2 2 3" xfId="27604" xr:uid="{00000000-0005-0000-0000-000008060000}"/>
    <cellStyle name="Calculation 3 2 2 2 3 2" xfId="28070" xr:uid="{00000000-0005-0000-0000-000009060000}"/>
    <cellStyle name="Calculation 3 2 2 2 3 2 2" xfId="29057" xr:uid="{00000000-0005-0000-0000-00000A060000}"/>
    <cellStyle name="Calculation 3 2 2 2 3 2 2 2" xfId="31017" xr:uid="{00000000-0005-0000-0000-00000B060000}"/>
    <cellStyle name="Calculation 3 2 2 2 3 2 3" xfId="30037" xr:uid="{00000000-0005-0000-0000-00000C060000}"/>
    <cellStyle name="Calculation 3 2 2 2 3 3" xfId="27826" xr:uid="{00000000-0005-0000-0000-00000D060000}"/>
    <cellStyle name="Calculation 3 2 2 2 3 3 2" xfId="28813" xr:uid="{00000000-0005-0000-0000-00000E060000}"/>
    <cellStyle name="Calculation 3 2 2 2 3 3 2 2" xfId="30773" xr:uid="{00000000-0005-0000-0000-00000F060000}"/>
    <cellStyle name="Calculation 3 2 2 2 3 3 3" xfId="29793" xr:uid="{00000000-0005-0000-0000-000010060000}"/>
    <cellStyle name="Calculation 3 2 2 2 3 4" xfId="28592" xr:uid="{00000000-0005-0000-0000-000011060000}"/>
    <cellStyle name="Calculation 3 2 2 2 3 4 2" xfId="30552" xr:uid="{00000000-0005-0000-0000-000012060000}"/>
    <cellStyle name="Calculation 3 2 2 2 3 5" xfId="29572" xr:uid="{00000000-0005-0000-0000-000013060000}"/>
    <cellStyle name="Calculation 3 2 2 2 4" xfId="27702" xr:uid="{00000000-0005-0000-0000-000014060000}"/>
    <cellStyle name="Calculation 3 2 2 2 4 2" xfId="28168" xr:uid="{00000000-0005-0000-0000-000015060000}"/>
    <cellStyle name="Calculation 3 2 2 2 4 2 2" xfId="29155" xr:uid="{00000000-0005-0000-0000-000016060000}"/>
    <cellStyle name="Calculation 3 2 2 2 4 2 2 2" xfId="31115" xr:uid="{00000000-0005-0000-0000-000017060000}"/>
    <cellStyle name="Calculation 3 2 2 2 4 2 3" xfId="30135" xr:uid="{00000000-0005-0000-0000-000018060000}"/>
    <cellStyle name="Calculation 3 2 2 2 4 3" xfId="28295" xr:uid="{00000000-0005-0000-0000-000019060000}"/>
    <cellStyle name="Calculation 3 2 2 2 4 3 2" xfId="29282" xr:uid="{00000000-0005-0000-0000-00001A060000}"/>
    <cellStyle name="Calculation 3 2 2 2 4 3 2 2" xfId="31242" xr:uid="{00000000-0005-0000-0000-00001B060000}"/>
    <cellStyle name="Calculation 3 2 2 2 4 3 3" xfId="30262" xr:uid="{00000000-0005-0000-0000-00001C060000}"/>
    <cellStyle name="Calculation 3 2 2 2 4 4" xfId="28690" xr:uid="{00000000-0005-0000-0000-00001D060000}"/>
    <cellStyle name="Calculation 3 2 2 2 4 4 2" xfId="30650" xr:uid="{00000000-0005-0000-0000-00001E060000}"/>
    <cellStyle name="Calculation 3 2 2 2 4 5" xfId="29670" xr:uid="{00000000-0005-0000-0000-00001F060000}"/>
    <cellStyle name="Calculation 3 2 2 2 5" xfId="27874" xr:uid="{00000000-0005-0000-0000-000020060000}"/>
    <cellStyle name="Calculation 3 2 2 2 5 2" xfId="28861" xr:uid="{00000000-0005-0000-0000-000021060000}"/>
    <cellStyle name="Calculation 3 2 2 2 5 2 2" xfId="30821" xr:uid="{00000000-0005-0000-0000-000022060000}"/>
    <cellStyle name="Calculation 3 2 2 2 5 3" xfId="29841" xr:uid="{00000000-0005-0000-0000-000023060000}"/>
    <cellStyle name="Calculation 3 2 2 2 6" xfId="28396" xr:uid="{00000000-0005-0000-0000-000024060000}"/>
    <cellStyle name="Calculation 3 2 2 2 6 2" xfId="30356" xr:uid="{00000000-0005-0000-0000-000025060000}"/>
    <cellStyle name="Calculation 3 2 2 2 7" xfId="29376" xr:uid="{00000000-0005-0000-0000-000026060000}"/>
    <cellStyle name="Calculation 3 2 2 2 8" xfId="31336" xr:uid="{00000000-0005-0000-0000-000027060000}"/>
    <cellStyle name="Calculation 3 2 2 3" xfId="27462" xr:uid="{00000000-0005-0000-0000-000028060000}"/>
    <cellStyle name="Calculation 3 2 2 3 2" xfId="27928" xr:uid="{00000000-0005-0000-0000-000029060000}"/>
    <cellStyle name="Calculation 3 2 2 3 2 2" xfId="28915" xr:uid="{00000000-0005-0000-0000-00002A060000}"/>
    <cellStyle name="Calculation 3 2 2 3 2 2 2" xfId="30875" xr:uid="{00000000-0005-0000-0000-00002B060000}"/>
    <cellStyle name="Calculation 3 2 2 3 2 3" xfId="29895" xr:uid="{00000000-0005-0000-0000-00002C060000}"/>
    <cellStyle name="Calculation 3 2 2 3 3" xfId="28450" xr:uid="{00000000-0005-0000-0000-00002D060000}"/>
    <cellStyle name="Calculation 3 2 2 3 3 2" xfId="30410" xr:uid="{00000000-0005-0000-0000-00002E060000}"/>
    <cellStyle name="Calculation 3 2 2 3 4" xfId="29430" xr:uid="{00000000-0005-0000-0000-00002F060000}"/>
    <cellStyle name="Calculation 3 2 2 4" xfId="27560" xr:uid="{00000000-0005-0000-0000-000030060000}"/>
    <cellStyle name="Calculation 3 2 2 4 2" xfId="28026" xr:uid="{00000000-0005-0000-0000-000031060000}"/>
    <cellStyle name="Calculation 3 2 2 4 2 2" xfId="29013" xr:uid="{00000000-0005-0000-0000-000032060000}"/>
    <cellStyle name="Calculation 3 2 2 4 2 2 2" xfId="30973" xr:uid="{00000000-0005-0000-0000-000033060000}"/>
    <cellStyle name="Calculation 3 2 2 4 2 3" xfId="29993" xr:uid="{00000000-0005-0000-0000-000034060000}"/>
    <cellStyle name="Calculation 3 2 2 4 3" xfId="27836" xr:uid="{00000000-0005-0000-0000-000035060000}"/>
    <cellStyle name="Calculation 3 2 2 4 3 2" xfId="28823" xr:uid="{00000000-0005-0000-0000-000036060000}"/>
    <cellStyle name="Calculation 3 2 2 4 3 2 2" xfId="30783" xr:uid="{00000000-0005-0000-0000-000037060000}"/>
    <cellStyle name="Calculation 3 2 2 4 3 3" xfId="29803" xr:uid="{00000000-0005-0000-0000-000038060000}"/>
    <cellStyle name="Calculation 3 2 2 4 4" xfId="28548" xr:uid="{00000000-0005-0000-0000-000039060000}"/>
    <cellStyle name="Calculation 3 2 2 4 4 2" xfId="30508" xr:uid="{00000000-0005-0000-0000-00003A060000}"/>
    <cellStyle name="Calculation 3 2 2 4 5" xfId="29528" xr:uid="{00000000-0005-0000-0000-00003B060000}"/>
    <cellStyle name="Calculation 3 2 2 5" xfId="27658" xr:uid="{00000000-0005-0000-0000-00003C060000}"/>
    <cellStyle name="Calculation 3 2 2 5 2" xfId="28124" xr:uid="{00000000-0005-0000-0000-00003D060000}"/>
    <cellStyle name="Calculation 3 2 2 5 2 2" xfId="29111" xr:uid="{00000000-0005-0000-0000-00003E060000}"/>
    <cellStyle name="Calculation 3 2 2 5 2 2 2" xfId="31071" xr:uid="{00000000-0005-0000-0000-00003F060000}"/>
    <cellStyle name="Calculation 3 2 2 5 2 3" xfId="30091" xr:uid="{00000000-0005-0000-0000-000040060000}"/>
    <cellStyle name="Calculation 3 2 2 5 3" xfId="28267" xr:uid="{00000000-0005-0000-0000-000041060000}"/>
    <cellStyle name="Calculation 3 2 2 5 3 2" xfId="29254" xr:uid="{00000000-0005-0000-0000-000042060000}"/>
    <cellStyle name="Calculation 3 2 2 5 3 2 2" xfId="31214" xr:uid="{00000000-0005-0000-0000-000043060000}"/>
    <cellStyle name="Calculation 3 2 2 5 3 3" xfId="30234" xr:uid="{00000000-0005-0000-0000-000044060000}"/>
    <cellStyle name="Calculation 3 2 2 5 4" xfId="28646" xr:uid="{00000000-0005-0000-0000-000045060000}"/>
    <cellStyle name="Calculation 3 2 2 5 4 2" xfId="30606" xr:uid="{00000000-0005-0000-0000-000046060000}"/>
    <cellStyle name="Calculation 3 2 2 5 5" xfId="29626" xr:uid="{00000000-0005-0000-0000-000047060000}"/>
    <cellStyle name="Calculation 3 2 2 6" xfId="27798" xr:uid="{00000000-0005-0000-0000-000048060000}"/>
    <cellStyle name="Calculation 3 2 2 6 2" xfId="28786" xr:uid="{00000000-0005-0000-0000-000049060000}"/>
    <cellStyle name="Calculation 3 2 2 6 2 2" xfId="30746" xr:uid="{00000000-0005-0000-0000-00004A060000}"/>
    <cellStyle name="Calculation 3 2 2 6 3" xfId="29766" xr:uid="{00000000-0005-0000-0000-00004B060000}"/>
    <cellStyle name="Calculation 3 2 2 7" xfId="28352" xr:uid="{00000000-0005-0000-0000-00004C060000}"/>
    <cellStyle name="Calculation 3 2 2 7 2" xfId="30312" xr:uid="{00000000-0005-0000-0000-00004D060000}"/>
    <cellStyle name="Calculation 3 2 2 8" xfId="29332" xr:uid="{00000000-0005-0000-0000-00004E060000}"/>
    <cellStyle name="Calculation 3 2 2 9" xfId="31292" xr:uid="{00000000-0005-0000-0000-00004F060000}"/>
    <cellStyle name="Calculation 3 2 3" xfId="27373" xr:uid="{00000000-0005-0000-0000-000050060000}"/>
    <cellStyle name="Calculation 3 2 3 2" xfId="27484" xr:uid="{00000000-0005-0000-0000-000051060000}"/>
    <cellStyle name="Calculation 3 2 3 2 2" xfId="27950" xr:uid="{00000000-0005-0000-0000-000052060000}"/>
    <cellStyle name="Calculation 3 2 3 2 2 2" xfId="28937" xr:uid="{00000000-0005-0000-0000-000053060000}"/>
    <cellStyle name="Calculation 3 2 3 2 2 2 2" xfId="30897" xr:uid="{00000000-0005-0000-0000-000054060000}"/>
    <cellStyle name="Calculation 3 2 3 2 2 3" xfId="29917" xr:uid="{00000000-0005-0000-0000-000055060000}"/>
    <cellStyle name="Calculation 3 2 3 2 3" xfId="28472" xr:uid="{00000000-0005-0000-0000-000056060000}"/>
    <cellStyle name="Calculation 3 2 3 2 3 2" xfId="30432" xr:uid="{00000000-0005-0000-0000-000057060000}"/>
    <cellStyle name="Calculation 3 2 3 2 4" xfId="29452" xr:uid="{00000000-0005-0000-0000-000058060000}"/>
    <cellStyle name="Calculation 3 2 3 3" xfId="27582" xr:uid="{00000000-0005-0000-0000-000059060000}"/>
    <cellStyle name="Calculation 3 2 3 3 2" xfId="28048" xr:uid="{00000000-0005-0000-0000-00005A060000}"/>
    <cellStyle name="Calculation 3 2 3 3 2 2" xfId="29035" xr:uid="{00000000-0005-0000-0000-00005B060000}"/>
    <cellStyle name="Calculation 3 2 3 3 2 2 2" xfId="30995" xr:uid="{00000000-0005-0000-0000-00005C060000}"/>
    <cellStyle name="Calculation 3 2 3 3 2 3" xfId="30015" xr:uid="{00000000-0005-0000-0000-00005D060000}"/>
    <cellStyle name="Calculation 3 2 3 3 3" xfId="27821" xr:uid="{00000000-0005-0000-0000-00005E060000}"/>
    <cellStyle name="Calculation 3 2 3 3 3 2" xfId="28808" xr:uid="{00000000-0005-0000-0000-00005F060000}"/>
    <cellStyle name="Calculation 3 2 3 3 3 2 2" xfId="30768" xr:uid="{00000000-0005-0000-0000-000060060000}"/>
    <cellStyle name="Calculation 3 2 3 3 3 3" xfId="29788" xr:uid="{00000000-0005-0000-0000-000061060000}"/>
    <cellStyle name="Calculation 3 2 3 3 4" xfId="28570" xr:uid="{00000000-0005-0000-0000-000062060000}"/>
    <cellStyle name="Calculation 3 2 3 3 4 2" xfId="30530" xr:uid="{00000000-0005-0000-0000-000063060000}"/>
    <cellStyle name="Calculation 3 2 3 3 5" xfId="29550" xr:uid="{00000000-0005-0000-0000-000064060000}"/>
    <cellStyle name="Calculation 3 2 3 4" xfId="27680" xr:uid="{00000000-0005-0000-0000-000065060000}"/>
    <cellStyle name="Calculation 3 2 3 4 2" xfId="28146" xr:uid="{00000000-0005-0000-0000-000066060000}"/>
    <cellStyle name="Calculation 3 2 3 4 2 2" xfId="29133" xr:uid="{00000000-0005-0000-0000-000067060000}"/>
    <cellStyle name="Calculation 3 2 3 4 2 2 2" xfId="31093" xr:uid="{00000000-0005-0000-0000-000068060000}"/>
    <cellStyle name="Calculation 3 2 3 4 2 3" xfId="30113" xr:uid="{00000000-0005-0000-0000-000069060000}"/>
    <cellStyle name="Calculation 3 2 3 4 3" xfId="28281" xr:uid="{00000000-0005-0000-0000-00006A060000}"/>
    <cellStyle name="Calculation 3 2 3 4 3 2" xfId="29268" xr:uid="{00000000-0005-0000-0000-00006B060000}"/>
    <cellStyle name="Calculation 3 2 3 4 3 2 2" xfId="31228" xr:uid="{00000000-0005-0000-0000-00006C060000}"/>
    <cellStyle name="Calculation 3 2 3 4 3 3" xfId="30248" xr:uid="{00000000-0005-0000-0000-00006D060000}"/>
    <cellStyle name="Calculation 3 2 3 4 4" xfId="28668" xr:uid="{00000000-0005-0000-0000-00006E060000}"/>
    <cellStyle name="Calculation 3 2 3 4 4 2" xfId="30628" xr:uid="{00000000-0005-0000-0000-00006F060000}"/>
    <cellStyle name="Calculation 3 2 3 4 5" xfId="29648" xr:uid="{00000000-0005-0000-0000-000070060000}"/>
    <cellStyle name="Calculation 3 2 3 5" xfId="27852" xr:uid="{00000000-0005-0000-0000-000071060000}"/>
    <cellStyle name="Calculation 3 2 3 5 2" xfId="28839" xr:uid="{00000000-0005-0000-0000-000072060000}"/>
    <cellStyle name="Calculation 3 2 3 5 2 2" xfId="30799" xr:uid="{00000000-0005-0000-0000-000073060000}"/>
    <cellStyle name="Calculation 3 2 3 5 3" xfId="29819" xr:uid="{00000000-0005-0000-0000-000074060000}"/>
    <cellStyle name="Calculation 3 2 3 6" xfId="28374" xr:uid="{00000000-0005-0000-0000-000075060000}"/>
    <cellStyle name="Calculation 3 2 3 6 2" xfId="30334" xr:uid="{00000000-0005-0000-0000-000076060000}"/>
    <cellStyle name="Calculation 3 2 3 7" xfId="29354" xr:uid="{00000000-0005-0000-0000-000077060000}"/>
    <cellStyle name="Calculation 3 2 3 8" xfId="31314" xr:uid="{00000000-0005-0000-0000-000078060000}"/>
    <cellStyle name="Calculation 3 2 4" xfId="27440" xr:uid="{00000000-0005-0000-0000-000079060000}"/>
    <cellStyle name="Calculation 3 2 4 2" xfId="27906" xr:uid="{00000000-0005-0000-0000-00007A060000}"/>
    <cellStyle name="Calculation 3 2 4 2 2" xfId="28893" xr:uid="{00000000-0005-0000-0000-00007B060000}"/>
    <cellStyle name="Calculation 3 2 4 2 2 2" xfId="30853" xr:uid="{00000000-0005-0000-0000-00007C060000}"/>
    <cellStyle name="Calculation 3 2 4 2 3" xfId="29873" xr:uid="{00000000-0005-0000-0000-00007D060000}"/>
    <cellStyle name="Calculation 3 2 4 3" xfId="28428" xr:uid="{00000000-0005-0000-0000-00007E060000}"/>
    <cellStyle name="Calculation 3 2 4 3 2" xfId="30388" xr:uid="{00000000-0005-0000-0000-00007F060000}"/>
    <cellStyle name="Calculation 3 2 4 4" xfId="29408" xr:uid="{00000000-0005-0000-0000-000080060000}"/>
    <cellStyle name="Calculation 3 2 5" xfId="27538" xr:uid="{00000000-0005-0000-0000-000081060000}"/>
    <cellStyle name="Calculation 3 2 5 2" xfId="28004" xr:uid="{00000000-0005-0000-0000-000082060000}"/>
    <cellStyle name="Calculation 3 2 5 2 2" xfId="28991" xr:uid="{00000000-0005-0000-0000-000083060000}"/>
    <cellStyle name="Calculation 3 2 5 2 2 2" xfId="30951" xr:uid="{00000000-0005-0000-0000-000084060000}"/>
    <cellStyle name="Calculation 3 2 5 2 3" xfId="29971" xr:uid="{00000000-0005-0000-0000-000085060000}"/>
    <cellStyle name="Calculation 3 2 5 3" xfId="27743" xr:uid="{00000000-0005-0000-0000-000086060000}"/>
    <cellStyle name="Calculation 3 2 5 3 2" xfId="28731" xr:uid="{00000000-0005-0000-0000-000087060000}"/>
    <cellStyle name="Calculation 3 2 5 3 2 2" xfId="30691" xr:uid="{00000000-0005-0000-0000-000088060000}"/>
    <cellStyle name="Calculation 3 2 5 3 3" xfId="29711" xr:uid="{00000000-0005-0000-0000-000089060000}"/>
    <cellStyle name="Calculation 3 2 5 4" xfId="28526" xr:uid="{00000000-0005-0000-0000-00008A060000}"/>
    <cellStyle name="Calculation 3 2 5 4 2" xfId="30486" xr:uid="{00000000-0005-0000-0000-00008B060000}"/>
    <cellStyle name="Calculation 3 2 5 5" xfId="29506" xr:uid="{00000000-0005-0000-0000-00008C060000}"/>
    <cellStyle name="Calculation 3 2 6" xfId="27636" xr:uid="{00000000-0005-0000-0000-00008D060000}"/>
    <cellStyle name="Calculation 3 2 6 2" xfId="28102" xr:uid="{00000000-0005-0000-0000-00008E060000}"/>
    <cellStyle name="Calculation 3 2 6 2 2" xfId="29089" xr:uid="{00000000-0005-0000-0000-00008F060000}"/>
    <cellStyle name="Calculation 3 2 6 2 2 2" xfId="31049" xr:uid="{00000000-0005-0000-0000-000090060000}"/>
    <cellStyle name="Calculation 3 2 6 2 3" xfId="30069" xr:uid="{00000000-0005-0000-0000-000091060000}"/>
    <cellStyle name="Calculation 3 2 6 3" xfId="28253" xr:uid="{00000000-0005-0000-0000-000092060000}"/>
    <cellStyle name="Calculation 3 2 6 3 2" xfId="29240" xr:uid="{00000000-0005-0000-0000-000093060000}"/>
    <cellStyle name="Calculation 3 2 6 3 2 2" xfId="31200" xr:uid="{00000000-0005-0000-0000-000094060000}"/>
    <cellStyle name="Calculation 3 2 6 3 3" xfId="30220" xr:uid="{00000000-0005-0000-0000-000095060000}"/>
    <cellStyle name="Calculation 3 2 6 4" xfId="28624" xr:uid="{00000000-0005-0000-0000-000096060000}"/>
    <cellStyle name="Calculation 3 2 6 4 2" xfId="30584" xr:uid="{00000000-0005-0000-0000-000097060000}"/>
    <cellStyle name="Calculation 3 2 6 5" xfId="29604" xr:uid="{00000000-0005-0000-0000-000098060000}"/>
    <cellStyle name="Calculation 3 2 7" xfId="27776" xr:uid="{00000000-0005-0000-0000-000099060000}"/>
    <cellStyle name="Calculation 3 2 7 2" xfId="28764" xr:uid="{00000000-0005-0000-0000-00009A060000}"/>
    <cellStyle name="Calculation 3 2 7 2 2" xfId="30724" xr:uid="{00000000-0005-0000-0000-00009B060000}"/>
    <cellStyle name="Calculation 3 2 7 3" xfId="29744" xr:uid="{00000000-0005-0000-0000-00009C060000}"/>
    <cellStyle name="Calculation 3 2 8" xfId="28330" xr:uid="{00000000-0005-0000-0000-00009D060000}"/>
    <cellStyle name="Calculation 3 2 8 2" xfId="30290" xr:uid="{00000000-0005-0000-0000-00009E060000}"/>
    <cellStyle name="Calculation 3 2 9" xfId="29310" xr:uid="{00000000-0005-0000-0000-00009F060000}"/>
    <cellStyle name="Calculation 3 3" xfId="14943" xr:uid="{00000000-0005-0000-0000-0000A0060000}"/>
    <cellStyle name="Calculation 3 3 2" xfId="27363" xr:uid="{00000000-0005-0000-0000-0000A1060000}"/>
    <cellStyle name="Calculation 3 3 2 2" xfId="27474" xr:uid="{00000000-0005-0000-0000-0000A2060000}"/>
    <cellStyle name="Calculation 3 3 2 2 2" xfId="27940" xr:uid="{00000000-0005-0000-0000-0000A3060000}"/>
    <cellStyle name="Calculation 3 3 2 2 2 2" xfId="28927" xr:uid="{00000000-0005-0000-0000-0000A4060000}"/>
    <cellStyle name="Calculation 3 3 2 2 2 2 2" xfId="30887" xr:uid="{00000000-0005-0000-0000-0000A5060000}"/>
    <cellStyle name="Calculation 3 3 2 2 2 3" xfId="29907" xr:uid="{00000000-0005-0000-0000-0000A6060000}"/>
    <cellStyle name="Calculation 3 3 2 2 3" xfId="28462" xr:uid="{00000000-0005-0000-0000-0000A7060000}"/>
    <cellStyle name="Calculation 3 3 2 2 3 2" xfId="30422" xr:uid="{00000000-0005-0000-0000-0000A8060000}"/>
    <cellStyle name="Calculation 3 3 2 2 4" xfId="29442" xr:uid="{00000000-0005-0000-0000-0000A9060000}"/>
    <cellStyle name="Calculation 3 3 2 3" xfId="27572" xr:uid="{00000000-0005-0000-0000-0000AA060000}"/>
    <cellStyle name="Calculation 3 3 2 3 2" xfId="28038" xr:uid="{00000000-0005-0000-0000-0000AB060000}"/>
    <cellStyle name="Calculation 3 3 2 3 2 2" xfId="29025" xr:uid="{00000000-0005-0000-0000-0000AC060000}"/>
    <cellStyle name="Calculation 3 3 2 3 2 2 2" xfId="30985" xr:uid="{00000000-0005-0000-0000-0000AD060000}"/>
    <cellStyle name="Calculation 3 3 2 3 2 3" xfId="30005" xr:uid="{00000000-0005-0000-0000-0000AE060000}"/>
    <cellStyle name="Calculation 3 3 2 3 3" xfId="27838" xr:uid="{00000000-0005-0000-0000-0000AF060000}"/>
    <cellStyle name="Calculation 3 3 2 3 3 2" xfId="28825" xr:uid="{00000000-0005-0000-0000-0000B0060000}"/>
    <cellStyle name="Calculation 3 3 2 3 3 2 2" xfId="30785" xr:uid="{00000000-0005-0000-0000-0000B1060000}"/>
    <cellStyle name="Calculation 3 3 2 3 3 3" xfId="29805" xr:uid="{00000000-0005-0000-0000-0000B2060000}"/>
    <cellStyle name="Calculation 3 3 2 3 4" xfId="28560" xr:uid="{00000000-0005-0000-0000-0000B3060000}"/>
    <cellStyle name="Calculation 3 3 2 3 4 2" xfId="30520" xr:uid="{00000000-0005-0000-0000-0000B4060000}"/>
    <cellStyle name="Calculation 3 3 2 3 5" xfId="29540" xr:uid="{00000000-0005-0000-0000-0000B5060000}"/>
    <cellStyle name="Calculation 3 3 2 4" xfId="27670" xr:uid="{00000000-0005-0000-0000-0000B6060000}"/>
    <cellStyle name="Calculation 3 3 2 4 2" xfId="28136" xr:uid="{00000000-0005-0000-0000-0000B7060000}"/>
    <cellStyle name="Calculation 3 3 2 4 2 2" xfId="29123" xr:uid="{00000000-0005-0000-0000-0000B8060000}"/>
    <cellStyle name="Calculation 3 3 2 4 2 2 2" xfId="31083" xr:uid="{00000000-0005-0000-0000-0000B9060000}"/>
    <cellStyle name="Calculation 3 3 2 4 2 3" xfId="30103" xr:uid="{00000000-0005-0000-0000-0000BA060000}"/>
    <cellStyle name="Calculation 3 3 2 4 3" xfId="28275" xr:uid="{00000000-0005-0000-0000-0000BB060000}"/>
    <cellStyle name="Calculation 3 3 2 4 3 2" xfId="29262" xr:uid="{00000000-0005-0000-0000-0000BC060000}"/>
    <cellStyle name="Calculation 3 3 2 4 3 2 2" xfId="31222" xr:uid="{00000000-0005-0000-0000-0000BD060000}"/>
    <cellStyle name="Calculation 3 3 2 4 3 3" xfId="30242" xr:uid="{00000000-0005-0000-0000-0000BE060000}"/>
    <cellStyle name="Calculation 3 3 2 4 4" xfId="28658" xr:uid="{00000000-0005-0000-0000-0000BF060000}"/>
    <cellStyle name="Calculation 3 3 2 4 4 2" xfId="30618" xr:uid="{00000000-0005-0000-0000-0000C0060000}"/>
    <cellStyle name="Calculation 3 3 2 4 5" xfId="29638" xr:uid="{00000000-0005-0000-0000-0000C1060000}"/>
    <cellStyle name="Calculation 3 3 2 5" xfId="27842" xr:uid="{00000000-0005-0000-0000-0000C2060000}"/>
    <cellStyle name="Calculation 3 3 2 5 2" xfId="28829" xr:uid="{00000000-0005-0000-0000-0000C3060000}"/>
    <cellStyle name="Calculation 3 3 2 5 2 2" xfId="30789" xr:uid="{00000000-0005-0000-0000-0000C4060000}"/>
    <cellStyle name="Calculation 3 3 2 5 3" xfId="29809" xr:uid="{00000000-0005-0000-0000-0000C5060000}"/>
    <cellStyle name="Calculation 3 3 2 6" xfId="28364" xr:uid="{00000000-0005-0000-0000-0000C6060000}"/>
    <cellStyle name="Calculation 3 3 2 6 2" xfId="30324" xr:uid="{00000000-0005-0000-0000-0000C7060000}"/>
    <cellStyle name="Calculation 3 3 2 7" xfId="29344" xr:uid="{00000000-0005-0000-0000-0000C8060000}"/>
    <cellStyle name="Calculation 3 3 2 8" xfId="31304" xr:uid="{00000000-0005-0000-0000-0000C9060000}"/>
    <cellStyle name="Calculation 3 3 3" xfId="27430" xr:uid="{00000000-0005-0000-0000-0000CA060000}"/>
    <cellStyle name="Calculation 3 3 3 2" xfId="27896" xr:uid="{00000000-0005-0000-0000-0000CB060000}"/>
    <cellStyle name="Calculation 3 3 3 2 2" xfId="28883" xr:uid="{00000000-0005-0000-0000-0000CC060000}"/>
    <cellStyle name="Calculation 3 3 3 2 2 2" xfId="30843" xr:uid="{00000000-0005-0000-0000-0000CD060000}"/>
    <cellStyle name="Calculation 3 3 3 2 3" xfId="29863" xr:uid="{00000000-0005-0000-0000-0000CE060000}"/>
    <cellStyle name="Calculation 3 3 3 3" xfId="28418" xr:uid="{00000000-0005-0000-0000-0000CF060000}"/>
    <cellStyle name="Calculation 3 3 3 3 2" xfId="30378" xr:uid="{00000000-0005-0000-0000-0000D0060000}"/>
    <cellStyle name="Calculation 3 3 3 4" xfId="29398" xr:uid="{00000000-0005-0000-0000-0000D1060000}"/>
    <cellStyle name="Calculation 3 3 4" xfId="27528" xr:uid="{00000000-0005-0000-0000-0000D2060000}"/>
    <cellStyle name="Calculation 3 3 4 2" xfId="27994" xr:uid="{00000000-0005-0000-0000-0000D3060000}"/>
    <cellStyle name="Calculation 3 3 4 2 2" xfId="28981" xr:uid="{00000000-0005-0000-0000-0000D4060000}"/>
    <cellStyle name="Calculation 3 3 4 2 2 2" xfId="30941" xr:uid="{00000000-0005-0000-0000-0000D5060000}"/>
    <cellStyle name="Calculation 3 3 4 2 3" xfId="29961" xr:uid="{00000000-0005-0000-0000-0000D6060000}"/>
    <cellStyle name="Calculation 3 3 4 3" xfId="27810" xr:uid="{00000000-0005-0000-0000-0000D7060000}"/>
    <cellStyle name="Calculation 3 3 4 3 2" xfId="28797" xr:uid="{00000000-0005-0000-0000-0000D8060000}"/>
    <cellStyle name="Calculation 3 3 4 3 2 2" xfId="30757" xr:uid="{00000000-0005-0000-0000-0000D9060000}"/>
    <cellStyle name="Calculation 3 3 4 3 3" xfId="29777" xr:uid="{00000000-0005-0000-0000-0000DA060000}"/>
    <cellStyle name="Calculation 3 3 4 4" xfId="28516" xr:uid="{00000000-0005-0000-0000-0000DB060000}"/>
    <cellStyle name="Calculation 3 3 4 4 2" xfId="30476" xr:uid="{00000000-0005-0000-0000-0000DC060000}"/>
    <cellStyle name="Calculation 3 3 4 5" xfId="29496" xr:uid="{00000000-0005-0000-0000-0000DD060000}"/>
    <cellStyle name="Calculation 3 3 5" xfId="27626" xr:uid="{00000000-0005-0000-0000-0000DE060000}"/>
    <cellStyle name="Calculation 3 3 5 2" xfId="28092" xr:uid="{00000000-0005-0000-0000-0000DF060000}"/>
    <cellStyle name="Calculation 3 3 5 2 2" xfId="29079" xr:uid="{00000000-0005-0000-0000-0000E0060000}"/>
    <cellStyle name="Calculation 3 3 5 2 2 2" xfId="31039" xr:uid="{00000000-0005-0000-0000-0000E1060000}"/>
    <cellStyle name="Calculation 3 3 5 2 3" xfId="30059" xr:uid="{00000000-0005-0000-0000-0000E2060000}"/>
    <cellStyle name="Calculation 3 3 5 3" xfId="27762" xr:uid="{00000000-0005-0000-0000-0000E3060000}"/>
    <cellStyle name="Calculation 3 3 5 3 2" xfId="28750" xr:uid="{00000000-0005-0000-0000-0000E4060000}"/>
    <cellStyle name="Calculation 3 3 5 3 2 2" xfId="30710" xr:uid="{00000000-0005-0000-0000-0000E5060000}"/>
    <cellStyle name="Calculation 3 3 5 3 3" xfId="29730" xr:uid="{00000000-0005-0000-0000-0000E6060000}"/>
    <cellStyle name="Calculation 3 3 5 4" xfId="28614" xr:uid="{00000000-0005-0000-0000-0000E7060000}"/>
    <cellStyle name="Calculation 3 3 5 4 2" xfId="30574" xr:uid="{00000000-0005-0000-0000-0000E8060000}"/>
    <cellStyle name="Calculation 3 3 5 5" xfId="29594" xr:uid="{00000000-0005-0000-0000-0000E9060000}"/>
    <cellStyle name="Calculation 3 3 6" xfId="27766" xr:uid="{00000000-0005-0000-0000-0000EA060000}"/>
    <cellStyle name="Calculation 3 3 6 2" xfId="28754" xr:uid="{00000000-0005-0000-0000-0000EB060000}"/>
    <cellStyle name="Calculation 3 3 6 2 2" xfId="30714" xr:uid="{00000000-0005-0000-0000-0000EC060000}"/>
    <cellStyle name="Calculation 3 3 6 3" xfId="29734" xr:uid="{00000000-0005-0000-0000-0000ED060000}"/>
    <cellStyle name="Calculation 3 3 7" xfId="28320" xr:uid="{00000000-0005-0000-0000-0000EE060000}"/>
    <cellStyle name="Calculation 3 3 7 2" xfId="30280" xr:uid="{00000000-0005-0000-0000-0000EF060000}"/>
    <cellStyle name="Calculation 3 3 8" xfId="29300" xr:uid="{00000000-0005-0000-0000-0000F0060000}"/>
    <cellStyle name="Calculation 3 3 9" xfId="31260" xr:uid="{00000000-0005-0000-0000-0000F1060000}"/>
    <cellStyle name="Calculation 3 4" xfId="15000" xr:uid="{00000000-0005-0000-0000-0000F2060000}"/>
    <cellStyle name="Calculation 3 4 2" xfId="27385" xr:uid="{00000000-0005-0000-0000-0000F3060000}"/>
    <cellStyle name="Calculation 3 4 2 2" xfId="27496" xr:uid="{00000000-0005-0000-0000-0000F4060000}"/>
    <cellStyle name="Calculation 3 4 2 2 2" xfId="27962" xr:uid="{00000000-0005-0000-0000-0000F5060000}"/>
    <cellStyle name="Calculation 3 4 2 2 2 2" xfId="28949" xr:uid="{00000000-0005-0000-0000-0000F6060000}"/>
    <cellStyle name="Calculation 3 4 2 2 2 2 2" xfId="30909" xr:uid="{00000000-0005-0000-0000-0000F7060000}"/>
    <cellStyle name="Calculation 3 4 2 2 2 3" xfId="29929" xr:uid="{00000000-0005-0000-0000-0000F8060000}"/>
    <cellStyle name="Calculation 3 4 2 2 3" xfId="28484" xr:uid="{00000000-0005-0000-0000-0000F9060000}"/>
    <cellStyle name="Calculation 3 4 2 2 3 2" xfId="30444" xr:uid="{00000000-0005-0000-0000-0000FA060000}"/>
    <cellStyle name="Calculation 3 4 2 2 4" xfId="29464" xr:uid="{00000000-0005-0000-0000-0000FB060000}"/>
    <cellStyle name="Calculation 3 4 2 3" xfId="27594" xr:uid="{00000000-0005-0000-0000-0000FC060000}"/>
    <cellStyle name="Calculation 3 4 2 3 2" xfId="28060" xr:uid="{00000000-0005-0000-0000-0000FD060000}"/>
    <cellStyle name="Calculation 3 4 2 3 2 2" xfId="29047" xr:uid="{00000000-0005-0000-0000-0000FE060000}"/>
    <cellStyle name="Calculation 3 4 2 3 2 2 2" xfId="31007" xr:uid="{00000000-0005-0000-0000-0000FF060000}"/>
    <cellStyle name="Calculation 3 4 2 3 2 3" xfId="30027" xr:uid="{00000000-0005-0000-0000-000000070000}"/>
    <cellStyle name="Calculation 3 4 2 3 3" xfId="27840" xr:uid="{00000000-0005-0000-0000-000001070000}"/>
    <cellStyle name="Calculation 3 4 2 3 3 2" xfId="28827" xr:uid="{00000000-0005-0000-0000-000002070000}"/>
    <cellStyle name="Calculation 3 4 2 3 3 2 2" xfId="30787" xr:uid="{00000000-0005-0000-0000-000003070000}"/>
    <cellStyle name="Calculation 3 4 2 3 3 3" xfId="29807" xr:uid="{00000000-0005-0000-0000-000004070000}"/>
    <cellStyle name="Calculation 3 4 2 3 4" xfId="28582" xr:uid="{00000000-0005-0000-0000-000005070000}"/>
    <cellStyle name="Calculation 3 4 2 3 4 2" xfId="30542" xr:uid="{00000000-0005-0000-0000-000006070000}"/>
    <cellStyle name="Calculation 3 4 2 3 5" xfId="29562" xr:uid="{00000000-0005-0000-0000-000007070000}"/>
    <cellStyle name="Calculation 3 4 2 4" xfId="27692" xr:uid="{00000000-0005-0000-0000-000008070000}"/>
    <cellStyle name="Calculation 3 4 2 4 2" xfId="28158" xr:uid="{00000000-0005-0000-0000-000009070000}"/>
    <cellStyle name="Calculation 3 4 2 4 2 2" xfId="29145" xr:uid="{00000000-0005-0000-0000-00000A070000}"/>
    <cellStyle name="Calculation 3 4 2 4 2 2 2" xfId="31105" xr:uid="{00000000-0005-0000-0000-00000B070000}"/>
    <cellStyle name="Calculation 3 4 2 4 2 3" xfId="30125" xr:uid="{00000000-0005-0000-0000-00000C070000}"/>
    <cellStyle name="Calculation 3 4 2 4 3" xfId="28289" xr:uid="{00000000-0005-0000-0000-00000D070000}"/>
    <cellStyle name="Calculation 3 4 2 4 3 2" xfId="29276" xr:uid="{00000000-0005-0000-0000-00000E070000}"/>
    <cellStyle name="Calculation 3 4 2 4 3 2 2" xfId="31236" xr:uid="{00000000-0005-0000-0000-00000F070000}"/>
    <cellStyle name="Calculation 3 4 2 4 3 3" xfId="30256" xr:uid="{00000000-0005-0000-0000-000010070000}"/>
    <cellStyle name="Calculation 3 4 2 4 4" xfId="28680" xr:uid="{00000000-0005-0000-0000-000011070000}"/>
    <cellStyle name="Calculation 3 4 2 4 4 2" xfId="30640" xr:uid="{00000000-0005-0000-0000-000012070000}"/>
    <cellStyle name="Calculation 3 4 2 4 5" xfId="29660" xr:uid="{00000000-0005-0000-0000-000013070000}"/>
    <cellStyle name="Calculation 3 4 2 5" xfId="27864" xr:uid="{00000000-0005-0000-0000-000014070000}"/>
    <cellStyle name="Calculation 3 4 2 5 2" xfId="28851" xr:uid="{00000000-0005-0000-0000-000015070000}"/>
    <cellStyle name="Calculation 3 4 2 5 2 2" xfId="30811" xr:uid="{00000000-0005-0000-0000-000016070000}"/>
    <cellStyle name="Calculation 3 4 2 5 3" xfId="29831" xr:uid="{00000000-0005-0000-0000-000017070000}"/>
    <cellStyle name="Calculation 3 4 2 6" xfId="28386" xr:uid="{00000000-0005-0000-0000-000018070000}"/>
    <cellStyle name="Calculation 3 4 2 6 2" xfId="30346" xr:uid="{00000000-0005-0000-0000-000019070000}"/>
    <cellStyle name="Calculation 3 4 2 7" xfId="29366" xr:uid="{00000000-0005-0000-0000-00001A070000}"/>
    <cellStyle name="Calculation 3 4 2 8" xfId="31326" xr:uid="{00000000-0005-0000-0000-00001B070000}"/>
    <cellStyle name="Calculation 3 4 3" xfId="27452" xr:uid="{00000000-0005-0000-0000-00001C070000}"/>
    <cellStyle name="Calculation 3 4 3 2" xfId="27918" xr:uid="{00000000-0005-0000-0000-00001D070000}"/>
    <cellStyle name="Calculation 3 4 3 2 2" xfId="28905" xr:uid="{00000000-0005-0000-0000-00001E070000}"/>
    <cellStyle name="Calculation 3 4 3 2 2 2" xfId="30865" xr:uid="{00000000-0005-0000-0000-00001F070000}"/>
    <cellStyle name="Calculation 3 4 3 2 3" xfId="29885" xr:uid="{00000000-0005-0000-0000-000020070000}"/>
    <cellStyle name="Calculation 3 4 3 3" xfId="28440" xr:uid="{00000000-0005-0000-0000-000021070000}"/>
    <cellStyle name="Calculation 3 4 3 3 2" xfId="30400" xr:uid="{00000000-0005-0000-0000-000022070000}"/>
    <cellStyle name="Calculation 3 4 3 4" xfId="29420" xr:uid="{00000000-0005-0000-0000-000023070000}"/>
    <cellStyle name="Calculation 3 4 4" xfId="27550" xr:uid="{00000000-0005-0000-0000-000024070000}"/>
    <cellStyle name="Calculation 3 4 4 2" xfId="28016" xr:uid="{00000000-0005-0000-0000-000025070000}"/>
    <cellStyle name="Calculation 3 4 4 2 2" xfId="29003" xr:uid="{00000000-0005-0000-0000-000026070000}"/>
    <cellStyle name="Calculation 3 4 4 2 2 2" xfId="30963" xr:uid="{00000000-0005-0000-0000-000027070000}"/>
    <cellStyle name="Calculation 3 4 4 2 3" xfId="29983" xr:uid="{00000000-0005-0000-0000-000028070000}"/>
    <cellStyle name="Calculation 3 4 4 3" xfId="27815" xr:uid="{00000000-0005-0000-0000-000029070000}"/>
    <cellStyle name="Calculation 3 4 4 3 2" xfId="28802" xr:uid="{00000000-0005-0000-0000-00002A070000}"/>
    <cellStyle name="Calculation 3 4 4 3 2 2" xfId="30762" xr:uid="{00000000-0005-0000-0000-00002B070000}"/>
    <cellStyle name="Calculation 3 4 4 3 3" xfId="29782" xr:uid="{00000000-0005-0000-0000-00002C070000}"/>
    <cellStyle name="Calculation 3 4 4 4" xfId="28538" xr:uid="{00000000-0005-0000-0000-00002D070000}"/>
    <cellStyle name="Calculation 3 4 4 4 2" xfId="30498" xr:uid="{00000000-0005-0000-0000-00002E070000}"/>
    <cellStyle name="Calculation 3 4 4 5" xfId="29518" xr:uid="{00000000-0005-0000-0000-00002F070000}"/>
    <cellStyle name="Calculation 3 4 5" xfId="27648" xr:uid="{00000000-0005-0000-0000-000030070000}"/>
    <cellStyle name="Calculation 3 4 5 2" xfId="28114" xr:uid="{00000000-0005-0000-0000-000031070000}"/>
    <cellStyle name="Calculation 3 4 5 2 2" xfId="29101" xr:uid="{00000000-0005-0000-0000-000032070000}"/>
    <cellStyle name="Calculation 3 4 5 2 2 2" xfId="31061" xr:uid="{00000000-0005-0000-0000-000033070000}"/>
    <cellStyle name="Calculation 3 4 5 2 3" xfId="30081" xr:uid="{00000000-0005-0000-0000-000034070000}"/>
    <cellStyle name="Calculation 3 4 5 3" xfId="28261" xr:uid="{00000000-0005-0000-0000-000035070000}"/>
    <cellStyle name="Calculation 3 4 5 3 2" xfId="29248" xr:uid="{00000000-0005-0000-0000-000036070000}"/>
    <cellStyle name="Calculation 3 4 5 3 2 2" xfId="31208" xr:uid="{00000000-0005-0000-0000-000037070000}"/>
    <cellStyle name="Calculation 3 4 5 3 3" xfId="30228" xr:uid="{00000000-0005-0000-0000-000038070000}"/>
    <cellStyle name="Calculation 3 4 5 4" xfId="28636" xr:uid="{00000000-0005-0000-0000-000039070000}"/>
    <cellStyle name="Calculation 3 4 5 4 2" xfId="30596" xr:uid="{00000000-0005-0000-0000-00003A070000}"/>
    <cellStyle name="Calculation 3 4 5 5" xfId="29616" xr:uid="{00000000-0005-0000-0000-00003B070000}"/>
    <cellStyle name="Calculation 3 4 6" xfId="27788" xr:uid="{00000000-0005-0000-0000-00003C070000}"/>
    <cellStyle name="Calculation 3 4 6 2" xfId="28776" xr:uid="{00000000-0005-0000-0000-00003D070000}"/>
    <cellStyle name="Calculation 3 4 6 2 2" xfId="30736" xr:uid="{00000000-0005-0000-0000-00003E070000}"/>
    <cellStyle name="Calculation 3 4 6 3" xfId="29756" xr:uid="{00000000-0005-0000-0000-00003F070000}"/>
    <cellStyle name="Calculation 3 4 7" xfId="28342" xr:uid="{00000000-0005-0000-0000-000040070000}"/>
    <cellStyle name="Calculation 3 4 7 2" xfId="30302" xr:uid="{00000000-0005-0000-0000-000041070000}"/>
    <cellStyle name="Calculation 3 4 8" xfId="29322" xr:uid="{00000000-0005-0000-0000-000042070000}"/>
    <cellStyle name="Calculation 3 4 9" xfId="31282" xr:uid="{00000000-0005-0000-0000-000043070000}"/>
    <cellStyle name="Calculation 3 5" xfId="27420" xr:uid="{00000000-0005-0000-0000-000044070000}"/>
    <cellStyle name="Calculation 3 5 2" xfId="27886" xr:uid="{00000000-0005-0000-0000-000045070000}"/>
    <cellStyle name="Calculation 3 5 2 2" xfId="28873" xr:uid="{00000000-0005-0000-0000-000046070000}"/>
    <cellStyle name="Calculation 3 5 2 2 2" xfId="30833" xr:uid="{00000000-0005-0000-0000-000047070000}"/>
    <cellStyle name="Calculation 3 5 2 3" xfId="29853" xr:uid="{00000000-0005-0000-0000-000048070000}"/>
    <cellStyle name="Calculation 3 5 3" xfId="28408" xr:uid="{00000000-0005-0000-0000-000049070000}"/>
    <cellStyle name="Calculation 3 5 3 2" xfId="30368" xr:uid="{00000000-0005-0000-0000-00004A070000}"/>
    <cellStyle name="Calculation 3 5 4" xfId="29388" xr:uid="{00000000-0005-0000-0000-00004B070000}"/>
    <cellStyle name="Calculation 3 6" xfId="27518" xr:uid="{00000000-0005-0000-0000-00004C070000}"/>
    <cellStyle name="Calculation 3 6 2" xfId="27984" xr:uid="{00000000-0005-0000-0000-00004D070000}"/>
    <cellStyle name="Calculation 3 6 2 2" xfId="28971" xr:uid="{00000000-0005-0000-0000-00004E070000}"/>
    <cellStyle name="Calculation 3 6 2 2 2" xfId="30931" xr:uid="{00000000-0005-0000-0000-00004F070000}"/>
    <cellStyle name="Calculation 3 6 2 3" xfId="29951" xr:uid="{00000000-0005-0000-0000-000050070000}"/>
    <cellStyle name="Calculation 3 6 3" xfId="27808" xr:uid="{00000000-0005-0000-0000-000051070000}"/>
    <cellStyle name="Calculation 3 6 3 2" xfId="28795" xr:uid="{00000000-0005-0000-0000-000052070000}"/>
    <cellStyle name="Calculation 3 6 3 2 2" xfId="30755" xr:uid="{00000000-0005-0000-0000-000053070000}"/>
    <cellStyle name="Calculation 3 6 3 3" xfId="29775" xr:uid="{00000000-0005-0000-0000-000054070000}"/>
    <cellStyle name="Calculation 3 6 4" xfId="28506" xr:uid="{00000000-0005-0000-0000-000055070000}"/>
    <cellStyle name="Calculation 3 6 4 2" xfId="30466" xr:uid="{00000000-0005-0000-0000-000056070000}"/>
    <cellStyle name="Calculation 3 6 5" xfId="29486" xr:uid="{00000000-0005-0000-0000-000057070000}"/>
    <cellStyle name="Calculation 3 7" xfId="27616" xr:uid="{00000000-0005-0000-0000-000058070000}"/>
    <cellStyle name="Calculation 3 7 2" xfId="28082" xr:uid="{00000000-0005-0000-0000-000059070000}"/>
    <cellStyle name="Calculation 3 7 2 2" xfId="29069" xr:uid="{00000000-0005-0000-0000-00005A070000}"/>
    <cellStyle name="Calculation 3 7 2 2 2" xfId="31029" xr:uid="{00000000-0005-0000-0000-00005B070000}"/>
    <cellStyle name="Calculation 3 7 2 3" xfId="30049" xr:uid="{00000000-0005-0000-0000-00005C070000}"/>
    <cellStyle name="Calculation 3 7 3" xfId="27828" xr:uid="{00000000-0005-0000-0000-00005D070000}"/>
    <cellStyle name="Calculation 3 7 3 2" xfId="28815" xr:uid="{00000000-0005-0000-0000-00005E070000}"/>
    <cellStyle name="Calculation 3 7 3 2 2" xfId="30775" xr:uid="{00000000-0005-0000-0000-00005F070000}"/>
    <cellStyle name="Calculation 3 7 3 3" xfId="29795" xr:uid="{00000000-0005-0000-0000-000060070000}"/>
    <cellStyle name="Calculation 3 7 4" xfId="28604" xr:uid="{00000000-0005-0000-0000-000061070000}"/>
    <cellStyle name="Calculation 3 7 4 2" xfId="30564" xr:uid="{00000000-0005-0000-0000-000062070000}"/>
    <cellStyle name="Calculation 3 7 5" xfId="29584" xr:uid="{00000000-0005-0000-0000-000063070000}"/>
    <cellStyle name="Calculation 3 8" xfId="27715" xr:uid="{00000000-0005-0000-0000-000064070000}"/>
    <cellStyle name="Calculation 3 8 2" xfId="28703" xr:uid="{00000000-0005-0000-0000-000065070000}"/>
    <cellStyle name="Calculation 3 8 2 2" xfId="30663" xr:uid="{00000000-0005-0000-0000-000066070000}"/>
    <cellStyle name="Calculation 3 8 3" xfId="29683" xr:uid="{00000000-0005-0000-0000-000067070000}"/>
    <cellStyle name="Calculation 3 9" xfId="28310" xr:uid="{00000000-0005-0000-0000-000068070000}"/>
    <cellStyle name="Calculation 3 9 2" xfId="30270" xr:uid="{00000000-0005-0000-0000-000069070000}"/>
    <cellStyle name="Calculation 4" xfId="2553" xr:uid="{00000000-0005-0000-0000-00006A070000}"/>
    <cellStyle name="Calculation 5" xfId="2554" xr:uid="{00000000-0005-0000-0000-00006B070000}"/>
    <cellStyle name="Calculation 6" xfId="2555" xr:uid="{00000000-0005-0000-0000-00006C070000}"/>
    <cellStyle name="Calculation 7" xfId="2556" xr:uid="{00000000-0005-0000-0000-00006D070000}"/>
    <cellStyle name="Calculation 8" xfId="2557" xr:uid="{00000000-0005-0000-0000-00006E070000}"/>
    <cellStyle name="Calculation 9" xfId="2558" xr:uid="{00000000-0005-0000-0000-00006F070000}"/>
    <cellStyle name="Check Cell" xfId="18" builtinId="23" customBuiltin="1"/>
    <cellStyle name="Check Cell 10" xfId="2559" xr:uid="{00000000-0005-0000-0000-000071070000}"/>
    <cellStyle name="Check Cell 11" xfId="2560" xr:uid="{00000000-0005-0000-0000-000072070000}"/>
    <cellStyle name="Check Cell 12" xfId="2561" xr:uid="{00000000-0005-0000-0000-000073070000}"/>
    <cellStyle name="Check Cell 13" xfId="2562" xr:uid="{00000000-0005-0000-0000-000074070000}"/>
    <cellStyle name="Check Cell 14" xfId="2563" xr:uid="{00000000-0005-0000-0000-000075070000}"/>
    <cellStyle name="Check Cell 15" xfId="2564" xr:uid="{00000000-0005-0000-0000-000076070000}"/>
    <cellStyle name="Check Cell 16" xfId="2565" xr:uid="{00000000-0005-0000-0000-000077070000}"/>
    <cellStyle name="Check Cell 17" xfId="2566" xr:uid="{00000000-0005-0000-0000-000078070000}"/>
    <cellStyle name="Check Cell 18" xfId="2567" xr:uid="{00000000-0005-0000-0000-000079070000}"/>
    <cellStyle name="Check Cell 19" xfId="2568" xr:uid="{00000000-0005-0000-0000-00007A070000}"/>
    <cellStyle name="Check Cell 2" xfId="1578" xr:uid="{00000000-0005-0000-0000-00007B070000}"/>
    <cellStyle name="Check Cell 2 10" xfId="2569" xr:uid="{00000000-0005-0000-0000-00007C070000}"/>
    <cellStyle name="Check Cell 2 11" xfId="2570" xr:uid="{00000000-0005-0000-0000-00007D070000}"/>
    <cellStyle name="Check Cell 2 12" xfId="2571" xr:uid="{00000000-0005-0000-0000-00007E070000}"/>
    <cellStyle name="Check Cell 2 13" xfId="2572" xr:uid="{00000000-0005-0000-0000-00007F070000}"/>
    <cellStyle name="Check Cell 2 14" xfId="2573" xr:uid="{00000000-0005-0000-0000-000080070000}"/>
    <cellStyle name="Check Cell 2 15" xfId="2574" xr:uid="{00000000-0005-0000-0000-000081070000}"/>
    <cellStyle name="Check Cell 2 16" xfId="15352" xr:uid="{00000000-0005-0000-0000-000082070000}"/>
    <cellStyle name="Check Cell 2 2" xfId="2575" xr:uid="{00000000-0005-0000-0000-000083070000}"/>
    <cellStyle name="Check Cell 2 3" xfId="2576" xr:uid="{00000000-0005-0000-0000-000084070000}"/>
    <cellStyle name="Check Cell 2 4" xfId="2577" xr:uid="{00000000-0005-0000-0000-000085070000}"/>
    <cellStyle name="Check Cell 2 5" xfId="2578" xr:uid="{00000000-0005-0000-0000-000086070000}"/>
    <cellStyle name="Check Cell 2 6" xfId="2579" xr:uid="{00000000-0005-0000-0000-000087070000}"/>
    <cellStyle name="Check Cell 2 7" xfId="2580" xr:uid="{00000000-0005-0000-0000-000088070000}"/>
    <cellStyle name="Check Cell 2 8" xfId="2581" xr:uid="{00000000-0005-0000-0000-000089070000}"/>
    <cellStyle name="Check Cell 2 9" xfId="2582" xr:uid="{00000000-0005-0000-0000-00008A070000}"/>
    <cellStyle name="Check Cell 20" xfId="2583" xr:uid="{00000000-0005-0000-0000-00008B070000}"/>
    <cellStyle name="Check Cell 21" xfId="2584" xr:uid="{00000000-0005-0000-0000-00008C070000}"/>
    <cellStyle name="Check Cell 22" xfId="2585" xr:uid="{00000000-0005-0000-0000-00008D070000}"/>
    <cellStyle name="Check Cell 23" xfId="2586" xr:uid="{00000000-0005-0000-0000-00008E070000}"/>
    <cellStyle name="Check Cell 24" xfId="2587" xr:uid="{00000000-0005-0000-0000-00008F070000}"/>
    <cellStyle name="Check Cell 3" xfId="1579" xr:uid="{00000000-0005-0000-0000-000090070000}"/>
    <cellStyle name="Check Cell 3 2" xfId="15056" xr:uid="{00000000-0005-0000-0000-000091070000}"/>
    <cellStyle name="Check Cell 4" xfId="2588" xr:uid="{00000000-0005-0000-0000-000092070000}"/>
    <cellStyle name="Check Cell 5" xfId="2589" xr:uid="{00000000-0005-0000-0000-000093070000}"/>
    <cellStyle name="Check Cell 6" xfId="2590" xr:uid="{00000000-0005-0000-0000-000094070000}"/>
    <cellStyle name="Check Cell 7" xfId="2591" xr:uid="{00000000-0005-0000-0000-000095070000}"/>
    <cellStyle name="Check Cell 8" xfId="2592" xr:uid="{00000000-0005-0000-0000-000096070000}"/>
    <cellStyle name="Check Cell 9" xfId="2593" xr:uid="{00000000-0005-0000-0000-000097070000}"/>
    <cellStyle name="Comma 2" xfId="51" xr:uid="{00000000-0005-0000-0000-000098070000}"/>
    <cellStyle name="Comma 2 2" xfId="14957" xr:uid="{00000000-0005-0000-0000-000099070000}"/>
    <cellStyle name="Comma 2 3" xfId="14941" xr:uid="{00000000-0005-0000-0000-00009A070000}"/>
    <cellStyle name="Comma 2 4" xfId="1523" xr:uid="{00000000-0005-0000-0000-00009B070000}"/>
    <cellStyle name="Comma 2 5" xfId="27407" xr:uid="{00000000-0005-0000-0000-00009C070000}"/>
    <cellStyle name="Comma 2 6" xfId="28308" xr:uid="{00000000-0005-0000-0000-00009D070000}"/>
    <cellStyle name="Comma 3" xfId="47" xr:uid="{00000000-0005-0000-0000-00009E070000}"/>
    <cellStyle name="Comma 3 2" xfId="15017" xr:uid="{00000000-0005-0000-0000-00009F070000}"/>
    <cellStyle name="Comma 3 3" xfId="1525" xr:uid="{00000000-0005-0000-0000-0000A0070000}"/>
    <cellStyle name="Comma 4" xfId="27412" xr:uid="{00000000-0005-0000-0000-0000A1070000}"/>
    <cellStyle name="Currency 2" xfId="50" xr:uid="{00000000-0005-0000-0000-0000A2070000}"/>
    <cellStyle name="Explanatory Text" xfId="21" builtinId="53" customBuiltin="1"/>
    <cellStyle name="Explanatory Text 10" xfId="2594" xr:uid="{00000000-0005-0000-0000-0000A4070000}"/>
    <cellStyle name="Explanatory Text 11" xfId="2595" xr:uid="{00000000-0005-0000-0000-0000A5070000}"/>
    <cellStyle name="Explanatory Text 12" xfId="2596" xr:uid="{00000000-0005-0000-0000-0000A6070000}"/>
    <cellStyle name="Explanatory Text 13" xfId="2597" xr:uid="{00000000-0005-0000-0000-0000A7070000}"/>
    <cellStyle name="Explanatory Text 14" xfId="2598" xr:uid="{00000000-0005-0000-0000-0000A8070000}"/>
    <cellStyle name="Explanatory Text 15" xfId="2599" xr:uid="{00000000-0005-0000-0000-0000A9070000}"/>
    <cellStyle name="Explanatory Text 16" xfId="2600" xr:uid="{00000000-0005-0000-0000-0000AA070000}"/>
    <cellStyle name="Explanatory Text 17" xfId="2601" xr:uid="{00000000-0005-0000-0000-0000AB070000}"/>
    <cellStyle name="Explanatory Text 18" xfId="2602" xr:uid="{00000000-0005-0000-0000-0000AC070000}"/>
    <cellStyle name="Explanatory Text 19" xfId="2603" xr:uid="{00000000-0005-0000-0000-0000AD070000}"/>
    <cellStyle name="Explanatory Text 2" xfId="1580" xr:uid="{00000000-0005-0000-0000-0000AE070000}"/>
    <cellStyle name="Explanatory Text 2 10" xfId="2604" xr:uid="{00000000-0005-0000-0000-0000AF070000}"/>
    <cellStyle name="Explanatory Text 2 11" xfId="2605" xr:uid="{00000000-0005-0000-0000-0000B0070000}"/>
    <cellStyle name="Explanatory Text 2 12" xfId="2606" xr:uid="{00000000-0005-0000-0000-0000B1070000}"/>
    <cellStyle name="Explanatory Text 2 13" xfId="2607" xr:uid="{00000000-0005-0000-0000-0000B2070000}"/>
    <cellStyle name="Explanatory Text 2 14" xfId="2608" xr:uid="{00000000-0005-0000-0000-0000B3070000}"/>
    <cellStyle name="Explanatory Text 2 15" xfId="2609" xr:uid="{00000000-0005-0000-0000-0000B4070000}"/>
    <cellStyle name="Explanatory Text 2 2" xfId="2610" xr:uid="{00000000-0005-0000-0000-0000B5070000}"/>
    <cellStyle name="Explanatory Text 2 3" xfId="2611" xr:uid="{00000000-0005-0000-0000-0000B6070000}"/>
    <cellStyle name="Explanatory Text 2 4" xfId="2612" xr:uid="{00000000-0005-0000-0000-0000B7070000}"/>
    <cellStyle name="Explanatory Text 2 5" xfId="2613" xr:uid="{00000000-0005-0000-0000-0000B8070000}"/>
    <cellStyle name="Explanatory Text 2 6" xfId="2614" xr:uid="{00000000-0005-0000-0000-0000B9070000}"/>
    <cellStyle name="Explanatory Text 2 7" xfId="2615" xr:uid="{00000000-0005-0000-0000-0000BA070000}"/>
    <cellStyle name="Explanatory Text 2 8" xfId="2616" xr:uid="{00000000-0005-0000-0000-0000BB070000}"/>
    <cellStyle name="Explanatory Text 2 9" xfId="2617" xr:uid="{00000000-0005-0000-0000-0000BC070000}"/>
    <cellStyle name="Explanatory Text 20" xfId="2618" xr:uid="{00000000-0005-0000-0000-0000BD070000}"/>
    <cellStyle name="Explanatory Text 21" xfId="2619" xr:uid="{00000000-0005-0000-0000-0000BE070000}"/>
    <cellStyle name="Explanatory Text 22" xfId="2620" xr:uid="{00000000-0005-0000-0000-0000BF070000}"/>
    <cellStyle name="Explanatory Text 23" xfId="2621" xr:uid="{00000000-0005-0000-0000-0000C0070000}"/>
    <cellStyle name="Explanatory Text 24" xfId="2622" xr:uid="{00000000-0005-0000-0000-0000C1070000}"/>
    <cellStyle name="Explanatory Text 3" xfId="1581" xr:uid="{00000000-0005-0000-0000-0000C2070000}"/>
    <cellStyle name="Explanatory Text 4" xfId="2623" xr:uid="{00000000-0005-0000-0000-0000C3070000}"/>
    <cellStyle name="Explanatory Text 5" xfId="2624" xr:uid="{00000000-0005-0000-0000-0000C4070000}"/>
    <cellStyle name="Explanatory Text 6" xfId="2625" xr:uid="{00000000-0005-0000-0000-0000C5070000}"/>
    <cellStyle name="Explanatory Text 7" xfId="2626" xr:uid="{00000000-0005-0000-0000-0000C6070000}"/>
    <cellStyle name="Explanatory Text 8" xfId="2627" xr:uid="{00000000-0005-0000-0000-0000C7070000}"/>
    <cellStyle name="Explanatory Text 9" xfId="2628" xr:uid="{00000000-0005-0000-0000-0000C8070000}"/>
    <cellStyle name="Good" xfId="11" builtinId="26" customBuiltin="1"/>
    <cellStyle name="Good 10" xfId="2629" xr:uid="{00000000-0005-0000-0000-0000CA070000}"/>
    <cellStyle name="Good 11" xfId="2630" xr:uid="{00000000-0005-0000-0000-0000CB070000}"/>
    <cellStyle name="Good 12" xfId="2631" xr:uid="{00000000-0005-0000-0000-0000CC070000}"/>
    <cellStyle name="Good 13" xfId="2632" xr:uid="{00000000-0005-0000-0000-0000CD070000}"/>
    <cellStyle name="Good 14" xfId="2633" xr:uid="{00000000-0005-0000-0000-0000CE070000}"/>
    <cellStyle name="Good 15" xfId="2634" xr:uid="{00000000-0005-0000-0000-0000CF070000}"/>
    <cellStyle name="Good 16" xfId="2635" xr:uid="{00000000-0005-0000-0000-0000D0070000}"/>
    <cellStyle name="Good 17" xfId="2636" xr:uid="{00000000-0005-0000-0000-0000D1070000}"/>
    <cellStyle name="Good 18" xfId="2637" xr:uid="{00000000-0005-0000-0000-0000D2070000}"/>
    <cellStyle name="Good 19" xfId="2638" xr:uid="{00000000-0005-0000-0000-0000D3070000}"/>
    <cellStyle name="Good 2" xfId="1582" xr:uid="{00000000-0005-0000-0000-0000D4070000}"/>
    <cellStyle name="Good 2 10" xfId="2639" xr:uid="{00000000-0005-0000-0000-0000D5070000}"/>
    <cellStyle name="Good 2 11" xfId="2640" xr:uid="{00000000-0005-0000-0000-0000D6070000}"/>
    <cellStyle name="Good 2 12" xfId="2641" xr:uid="{00000000-0005-0000-0000-0000D7070000}"/>
    <cellStyle name="Good 2 13" xfId="2642" xr:uid="{00000000-0005-0000-0000-0000D8070000}"/>
    <cellStyle name="Good 2 14" xfId="2643" xr:uid="{00000000-0005-0000-0000-0000D9070000}"/>
    <cellStyle name="Good 2 15" xfId="2644" xr:uid="{00000000-0005-0000-0000-0000DA070000}"/>
    <cellStyle name="Good 2 2" xfId="2645" xr:uid="{00000000-0005-0000-0000-0000DB070000}"/>
    <cellStyle name="Good 2 3" xfId="2646" xr:uid="{00000000-0005-0000-0000-0000DC070000}"/>
    <cellStyle name="Good 2 4" xfId="2647" xr:uid="{00000000-0005-0000-0000-0000DD070000}"/>
    <cellStyle name="Good 2 5" xfId="2648" xr:uid="{00000000-0005-0000-0000-0000DE070000}"/>
    <cellStyle name="Good 2 6" xfId="2649" xr:uid="{00000000-0005-0000-0000-0000DF070000}"/>
    <cellStyle name="Good 2 7" xfId="2650" xr:uid="{00000000-0005-0000-0000-0000E0070000}"/>
    <cellStyle name="Good 2 8" xfId="2651" xr:uid="{00000000-0005-0000-0000-0000E1070000}"/>
    <cellStyle name="Good 2 9" xfId="2652" xr:uid="{00000000-0005-0000-0000-0000E2070000}"/>
    <cellStyle name="Good 20" xfId="2653" xr:uid="{00000000-0005-0000-0000-0000E3070000}"/>
    <cellStyle name="Good 21" xfId="2654" xr:uid="{00000000-0005-0000-0000-0000E4070000}"/>
    <cellStyle name="Good 22" xfId="2655" xr:uid="{00000000-0005-0000-0000-0000E5070000}"/>
    <cellStyle name="Good 23" xfId="2656" xr:uid="{00000000-0005-0000-0000-0000E6070000}"/>
    <cellStyle name="Good 24" xfId="2657" xr:uid="{00000000-0005-0000-0000-0000E7070000}"/>
    <cellStyle name="Good 3" xfId="1583" xr:uid="{00000000-0005-0000-0000-0000E8070000}"/>
    <cellStyle name="Good 4" xfId="2658" xr:uid="{00000000-0005-0000-0000-0000E9070000}"/>
    <cellStyle name="Good 5" xfId="2659" xr:uid="{00000000-0005-0000-0000-0000EA070000}"/>
    <cellStyle name="Good 6" xfId="2660" xr:uid="{00000000-0005-0000-0000-0000EB070000}"/>
    <cellStyle name="Good 7" xfId="2661" xr:uid="{00000000-0005-0000-0000-0000EC070000}"/>
    <cellStyle name="Good 8" xfId="2662" xr:uid="{00000000-0005-0000-0000-0000ED070000}"/>
    <cellStyle name="Good 9" xfId="2663" xr:uid="{00000000-0005-0000-0000-0000EE070000}"/>
    <cellStyle name="Heading 1" xfId="7" builtinId="16" customBuiltin="1"/>
    <cellStyle name="Heading 1 10" xfId="2664" xr:uid="{00000000-0005-0000-0000-0000F0070000}"/>
    <cellStyle name="Heading 1 11" xfId="2665" xr:uid="{00000000-0005-0000-0000-0000F1070000}"/>
    <cellStyle name="Heading 1 12" xfId="2666" xr:uid="{00000000-0005-0000-0000-0000F2070000}"/>
    <cellStyle name="Heading 1 13" xfId="2667" xr:uid="{00000000-0005-0000-0000-0000F3070000}"/>
    <cellStyle name="Heading 1 14" xfId="2668" xr:uid="{00000000-0005-0000-0000-0000F4070000}"/>
    <cellStyle name="Heading 1 15" xfId="2669" xr:uid="{00000000-0005-0000-0000-0000F5070000}"/>
    <cellStyle name="Heading 1 16" xfId="2670" xr:uid="{00000000-0005-0000-0000-0000F6070000}"/>
    <cellStyle name="Heading 1 17" xfId="2671" xr:uid="{00000000-0005-0000-0000-0000F7070000}"/>
    <cellStyle name="Heading 1 18" xfId="2672" xr:uid="{00000000-0005-0000-0000-0000F8070000}"/>
    <cellStyle name="Heading 1 19" xfId="2673" xr:uid="{00000000-0005-0000-0000-0000F9070000}"/>
    <cellStyle name="Heading 1 2" xfId="1584" xr:uid="{00000000-0005-0000-0000-0000FA070000}"/>
    <cellStyle name="Heading 1 2 10" xfId="2674" xr:uid="{00000000-0005-0000-0000-0000FB070000}"/>
    <cellStyle name="Heading 1 2 11" xfId="2675" xr:uid="{00000000-0005-0000-0000-0000FC070000}"/>
    <cellStyle name="Heading 1 2 12" xfId="2676" xr:uid="{00000000-0005-0000-0000-0000FD070000}"/>
    <cellStyle name="Heading 1 2 13" xfId="2677" xr:uid="{00000000-0005-0000-0000-0000FE070000}"/>
    <cellStyle name="Heading 1 2 14" xfId="2678" xr:uid="{00000000-0005-0000-0000-0000FF070000}"/>
    <cellStyle name="Heading 1 2 15" xfId="2679" xr:uid="{00000000-0005-0000-0000-000000080000}"/>
    <cellStyle name="Heading 1 2 2" xfId="2680" xr:uid="{00000000-0005-0000-0000-000001080000}"/>
    <cellStyle name="Heading 1 2 3" xfId="2681" xr:uid="{00000000-0005-0000-0000-000002080000}"/>
    <cellStyle name="Heading 1 2 4" xfId="2682" xr:uid="{00000000-0005-0000-0000-000003080000}"/>
    <cellStyle name="Heading 1 2 5" xfId="2683" xr:uid="{00000000-0005-0000-0000-000004080000}"/>
    <cellStyle name="Heading 1 2 6" xfId="2684" xr:uid="{00000000-0005-0000-0000-000005080000}"/>
    <cellStyle name="Heading 1 2 7" xfId="2685" xr:uid="{00000000-0005-0000-0000-000006080000}"/>
    <cellStyle name="Heading 1 2 8" xfId="2686" xr:uid="{00000000-0005-0000-0000-000007080000}"/>
    <cellStyle name="Heading 1 2 9" xfId="2687" xr:uid="{00000000-0005-0000-0000-000008080000}"/>
    <cellStyle name="Heading 1 20" xfId="2688" xr:uid="{00000000-0005-0000-0000-000009080000}"/>
    <cellStyle name="Heading 1 21" xfId="2689" xr:uid="{00000000-0005-0000-0000-00000A080000}"/>
    <cellStyle name="Heading 1 22" xfId="2690" xr:uid="{00000000-0005-0000-0000-00000B080000}"/>
    <cellStyle name="Heading 1 23" xfId="2691" xr:uid="{00000000-0005-0000-0000-00000C080000}"/>
    <cellStyle name="Heading 1 24" xfId="2692" xr:uid="{00000000-0005-0000-0000-00000D080000}"/>
    <cellStyle name="Heading 1 3" xfId="1585" xr:uid="{00000000-0005-0000-0000-00000E080000}"/>
    <cellStyle name="Heading 1 4" xfId="2693" xr:uid="{00000000-0005-0000-0000-00000F080000}"/>
    <cellStyle name="Heading 1 5" xfId="2694" xr:uid="{00000000-0005-0000-0000-000010080000}"/>
    <cellStyle name="Heading 1 6" xfId="2695" xr:uid="{00000000-0005-0000-0000-000011080000}"/>
    <cellStyle name="Heading 1 7" xfId="2696" xr:uid="{00000000-0005-0000-0000-000012080000}"/>
    <cellStyle name="Heading 1 8" xfId="2697" xr:uid="{00000000-0005-0000-0000-000013080000}"/>
    <cellStyle name="Heading 1 9" xfId="2698" xr:uid="{00000000-0005-0000-0000-000014080000}"/>
    <cellStyle name="Heading 2" xfId="8" builtinId="17" customBuiltin="1"/>
    <cellStyle name="Heading 2 10" xfId="2699" xr:uid="{00000000-0005-0000-0000-000016080000}"/>
    <cellStyle name="Heading 2 11" xfId="2700" xr:uid="{00000000-0005-0000-0000-000017080000}"/>
    <cellStyle name="Heading 2 12" xfId="2701" xr:uid="{00000000-0005-0000-0000-000018080000}"/>
    <cellStyle name="Heading 2 13" xfId="2702" xr:uid="{00000000-0005-0000-0000-000019080000}"/>
    <cellStyle name="Heading 2 14" xfId="2703" xr:uid="{00000000-0005-0000-0000-00001A080000}"/>
    <cellStyle name="Heading 2 15" xfId="2704" xr:uid="{00000000-0005-0000-0000-00001B080000}"/>
    <cellStyle name="Heading 2 16" xfId="2705" xr:uid="{00000000-0005-0000-0000-00001C080000}"/>
    <cellStyle name="Heading 2 17" xfId="2706" xr:uid="{00000000-0005-0000-0000-00001D080000}"/>
    <cellStyle name="Heading 2 18" xfId="2707" xr:uid="{00000000-0005-0000-0000-00001E080000}"/>
    <cellStyle name="Heading 2 19" xfId="2708" xr:uid="{00000000-0005-0000-0000-00001F080000}"/>
    <cellStyle name="Heading 2 2" xfId="1586" xr:uid="{00000000-0005-0000-0000-000020080000}"/>
    <cellStyle name="Heading 2 2 10" xfId="2709" xr:uid="{00000000-0005-0000-0000-000021080000}"/>
    <cellStyle name="Heading 2 2 11" xfId="2710" xr:uid="{00000000-0005-0000-0000-000022080000}"/>
    <cellStyle name="Heading 2 2 12" xfId="2711" xr:uid="{00000000-0005-0000-0000-000023080000}"/>
    <cellStyle name="Heading 2 2 13" xfId="2712" xr:uid="{00000000-0005-0000-0000-000024080000}"/>
    <cellStyle name="Heading 2 2 14" xfId="2713" xr:uid="{00000000-0005-0000-0000-000025080000}"/>
    <cellStyle name="Heading 2 2 15" xfId="2714" xr:uid="{00000000-0005-0000-0000-000026080000}"/>
    <cellStyle name="Heading 2 2 2" xfId="2715" xr:uid="{00000000-0005-0000-0000-000027080000}"/>
    <cellStyle name="Heading 2 2 3" xfId="2716" xr:uid="{00000000-0005-0000-0000-000028080000}"/>
    <cellStyle name="Heading 2 2 4" xfId="2717" xr:uid="{00000000-0005-0000-0000-000029080000}"/>
    <cellStyle name="Heading 2 2 5" xfId="2718" xr:uid="{00000000-0005-0000-0000-00002A080000}"/>
    <cellStyle name="Heading 2 2 6" xfId="2719" xr:uid="{00000000-0005-0000-0000-00002B080000}"/>
    <cellStyle name="Heading 2 2 7" xfId="2720" xr:uid="{00000000-0005-0000-0000-00002C080000}"/>
    <cellStyle name="Heading 2 2 8" xfId="2721" xr:uid="{00000000-0005-0000-0000-00002D080000}"/>
    <cellStyle name="Heading 2 2 9" xfId="2722" xr:uid="{00000000-0005-0000-0000-00002E080000}"/>
    <cellStyle name="Heading 2 20" xfId="2723" xr:uid="{00000000-0005-0000-0000-00002F080000}"/>
    <cellStyle name="Heading 2 21" xfId="2724" xr:uid="{00000000-0005-0000-0000-000030080000}"/>
    <cellStyle name="Heading 2 22" xfId="2725" xr:uid="{00000000-0005-0000-0000-000031080000}"/>
    <cellStyle name="Heading 2 23" xfId="2726" xr:uid="{00000000-0005-0000-0000-000032080000}"/>
    <cellStyle name="Heading 2 24" xfId="2727" xr:uid="{00000000-0005-0000-0000-000033080000}"/>
    <cellStyle name="Heading 2 3" xfId="1587" xr:uid="{00000000-0005-0000-0000-000034080000}"/>
    <cellStyle name="Heading 2 4" xfId="2728" xr:uid="{00000000-0005-0000-0000-000035080000}"/>
    <cellStyle name="Heading 2 5" xfId="2729" xr:uid="{00000000-0005-0000-0000-000036080000}"/>
    <cellStyle name="Heading 2 6" xfId="2730" xr:uid="{00000000-0005-0000-0000-000037080000}"/>
    <cellStyle name="Heading 2 7" xfId="2731" xr:uid="{00000000-0005-0000-0000-000038080000}"/>
    <cellStyle name="Heading 2 8" xfId="2732" xr:uid="{00000000-0005-0000-0000-000039080000}"/>
    <cellStyle name="Heading 2 9" xfId="2733" xr:uid="{00000000-0005-0000-0000-00003A080000}"/>
    <cellStyle name="Heading 3" xfId="9" builtinId="18" customBuiltin="1"/>
    <cellStyle name="Heading 3 10" xfId="2734" xr:uid="{00000000-0005-0000-0000-00003C080000}"/>
    <cellStyle name="Heading 3 11" xfId="2735" xr:uid="{00000000-0005-0000-0000-00003D080000}"/>
    <cellStyle name="Heading 3 12" xfId="2736" xr:uid="{00000000-0005-0000-0000-00003E080000}"/>
    <cellStyle name="Heading 3 13" xfId="2737" xr:uid="{00000000-0005-0000-0000-00003F080000}"/>
    <cellStyle name="Heading 3 14" xfId="2738" xr:uid="{00000000-0005-0000-0000-000040080000}"/>
    <cellStyle name="Heading 3 15" xfId="2739" xr:uid="{00000000-0005-0000-0000-000041080000}"/>
    <cellStyle name="Heading 3 16" xfId="2740" xr:uid="{00000000-0005-0000-0000-000042080000}"/>
    <cellStyle name="Heading 3 17" xfId="2741" xr:uid="{00000000-0005-0000-0000-000043080000}"/>
    <cellStyle name="Heading 3 18" xfId="2742" xr:uid="{00000000-0005-0000-0000-000044080000}"/>
    <cellStyle name="Heading 3 19" xfId="2743" xr:uid="{00000000-0005-0000-0000-000045080000}"/>
    <cellStyle name="Heading 3 2" xfId="1588" xr:uid="{00000000-0005-0000-0000-000046080000}"/>
    <cellStyle name="Heading 3 2 10" xfId="2744" xr:uid="{00000000-0005-0000-0000-000047080000}"/>
    <cellStyle name="Heading 3 2 11" xfId="2745" xr:uid="{00000000-0005-0000-0000-000048080000}"/>
    <cellStyle name="Heading 3 2 12" xfId="2746" xr:uid="{00000000-0005-0000-0000-000049080000}"/>
    <cellStyle name="Heading 3 2 13" xfId="2747" xr:uid="{00000000-0005-0000-0000-00004A080000}"/>
    <cellStyle name="Heading 3 2 14" xfId="2748" xr:uid="{00000000-0005-0000-0000-00004B080000}"/>
    <cellStyle name="Heading 3 2 15" xfId="2749" xr:uid="{00000000-0005-0000-0000-00004C080000}"/>
    <cellStyle name="Heading 3 2 2" xfId="2750" xr:uid="{00000000-0005-0000-0000-00004D080000}"/>
    <cellStyle name="Heading 3 2 3" xfId="2751" xr:uid="{00000000-0005-0000-0000-00004E080000}"/>
    <cellStyle name="Heading 3 2 4" xfId="2752" xr:uid="{00000000-0005-0000-0000-00004F080000}"/>
    <cellStyle name="Heading 3 2 5" xfId="2753" xr:uid="{00000000-0005-0000-0000-000050080000}"/>
    <cellStyle name="Heading 3 2 6" xfId="2754" xr:uid="{00000000-0005-0000-0000-000051080000}"/>
    <cellStyle name="Heading 3 2 7" xfId="2755" xr:uid="{00000000-0005-0000-0000-000052080000}"/>
    <cellStyle name="Heading 3 2 8" xfId="2756" xr:uid="{00000000-0005-0000-0000-000053080000}"/>
    <cellStyle name="Heading 3 2 9" xfId="2757" xr:uid="{00000000-0005-0000-0000-000054080000}"/>
    <cellStyle name="Heading 3 20" xfId="2758" xr:uid="{00000000-0005-0000-0000-000055080000}"/>
    <cellStyle name="Heading 3 21" xfId="2759" xr:uid="{00000000-0005-0000-0000-000056080000}"/>
    <cellStyle name="Heading 3 22" xfId="2760" xr:uid="{00000000-0005-0000-0000-000057080000}"/>
    <cellStyle name="Heading 3 23" xfId="2761" xr:uid="{00000000-0005-0000-0000-000058080000}"/>
    <cellStyle name="Heading 3 24" xfId="2762" xr:uid="{00000000-0005-0000-0000-000059080000}"/>
    <cellStyle name="Heading 3 3" xfId="1589" xr:uid="{00000000-0005-0000-0000-00005A080000}"/>
    <cellStyle name="Heading 3 4" xfId="2763" xr:uid="{00000000-0005-0000-0000-00005B080000}"/>
    <cellStyle name="Heading 3 5" xfId="2764" xr:uid="{00000000-0005-0000-0000-00005C080000}"/>
    <cellStyle name="Heading 3 6" xfId="2765" xr:uid="{00000000-0005-0000-0000-00005D080000}"/>
    <cellStyle name="Heading 3 7" xfId="2766" xr:uid="{00000000-0005-0000-0000-00005E080000}"/>
    <cellStyle name="Heading 3 8" xfId="2767" xr:uid="{00000000-0005-0000-0000-00005F080000}"/>
    <cellStyle name="Heading 3 9" xfId="2768" xr:uid="{00000000-0005-0000-0000-000060080000}"/>
    <cellStyle name="Heading 4" xfId="10" builtinId="19" customBuiltin="1"/>
    <cellStyle name="Heading 4 10" xfId="2769" xr:uid="{00000000-0005-0000-0000-000062080000}"/>
    <cellStyle name="Heading 4 11" xfId="2770" xr:uid="{00000000-0005-0000-0000-000063080000}"/>
    <cellStyle name="Heading 4 12" xfId="2771" xr:uid="{00000000-0005-0000-0000-000064080000}"/>
    <cellStyle name="Heading 4 13" xfId="2772" xr:uid="{00000000-0005-0000-0000-000065080000}"/>
    <cellStyle name="Heading 4 14" xfId="2773" xr:uid="{00000000-0005-0000-0000-000066080000}"/>
    <cellStyle name="Heading 4 15" xfId="2774" xr:uid="{00000000-0005-0000-0000-000067080000}"/>
    <cellStyle name="Heading 4 16" xfId="2775" xr:uid="{00000000-0005-0000-0000-000068080000}"/>
    <cellStyle name="Heading 4 17" xfId="2776" xr:uid="{00000000-0005-0000-0000-000069080000}"/>
    <cellStyle name="Heading 4 18" xfId="2777" xr:uid="{00000000-0005-0000-0000-00006A080000}"/>
    <cellStyle name="Heading 4 19" xfId="2778" xr:uid="{00000000-0005-0000-0000-00006B080000}"/>
    <cellStyle name="Heading 4 2" xfId="1590" xr:uid="{00000000-0005-0000-0000-00006C080000}"/>
    <cellStyle name="Heading 4 2 10" xfId="2779" xr:uid="{00000000-0005-0000-0000-00006D080000}"/>
    <cellStyle name="Heading 4 2 11" xfId="2780" xr:uid="{00000000-0005-0000-0000-00006E080000}"/>
    <cellStyle name="Heading 4 2 12" xfId="2781" xr:uid="{00000000-0005-0000-0000-00006F080000}"/>
    <cellStyle name="Heading 4 2 13" xfId="2782" xr:uid="{00000000-0005-0000-0000-000070080000}"/>
    <cellStyle name="Heading 4 2 14" xfId="2783" xr:uid="{00000000-0005-0000-0000-000071080000}"/>
    <cellStyle name="Heading 4 2 15" xfId="2784" xr:uid="{00000000-0005-0000-0000-000072080000}"/>
    <cellStyle name="Heading 4 2 2" xfId="2785" xr:uid="{00000000-0005-0000-0000-000073080000}"/>
    <cellStyle name="Heading 4 2 3" xfId="2786" xr:uid="{00000000-0005-0000-0000-000074080000}"/>
    <cellStyle name="Heading 4 2 4" xfId="2787" xr:uid="{00000000-0005-0000-0000-000075080000}"/>
    <cellStyle name="Heading 4 2 5" xfId="2788" xr:uid="{00000000-0005-0000-0000-000076080000}"/>
    <cellStyle name="Heading 4 2 6" xfId="2789" xr:uid="{00000000-0005-0000-0000-000077080000}"/>
    <cellStyle name="Heading 4 2 7" xfId="2790" xr:uid="{00000000-0005-0000-0000-000078080000}"/>
    <cellStyle name="Heading 4 2 8" xfId="2791" xr:uid="{00000000-0005-0000-0000-000079080000}"/>
    <cellStyle name="Heading 4 2 9" xfId="2792" xr:uid="{00000000-0005-0000-0000-00007A080000}"/>
    <cellStyle name="Heading 4 20" xfId="2793" xr:uid="{00000000-0005-0000-0000-00007B080000}"/>
    <cellStyle name="Heading 4 21" xfId="2794" xr:uid="{00000000-0005-0000-0000-00007C080000}"/>
    <cellStyle name="Heading 4 22" xfId="2795" xr:uid="{00000000-0005-0000-0000-00007D080000}"/>
    <cellStyle name="Heading 4 23" xfId="2796" xr:uid="{00000000-0005-0000-0000-00007E080000}"/>
    <cellStyle name="Heading 4 24" xfId="2797" xr:uid="{00000000-0005-0000-0000-00007F080000}"/>
    <cellStyle name="Heading 4 3" xfId="1591" xr:uid="{00000000-0005-0000-0000-000080080000}"/>
    <cellStyle name="Heading 4 4" xfId="2798" xr:uid="{00000000-0005-0000-0000-000081080000}"/>
    <cellStyle name="Heading 4 5" xfId="2799" xr:uid="{00000000-0005-0000-0000-000082080000}"/>
    <cellStyle name="Heading 4 6" xfId="2800" xr:uid="{00000000-0005-0000-0000-000083080000}"/>
    <cellStyle name="Heading 4 7" xfId="2801" xr:uid="{00000000-0005-0000-0000-000084080000}"/>
    <cellStyle name="Heading 4 8" xfId="2802" xr:uid="{00000000-0005-0000-0000-000085080000}"/>
    <cellStyle name="Heading 4 9" xfId="2803" xr:uid="{00000000-0005-0000-0000-000086080000}"/>
    <cellStyle name="Input" xfId="14" builtinId="20" customBuiltin="1"/>
    <cellStyle name="Input 10" xfId="2804" xr:uid="{00000000-0005-0000-0000-000088080000}"/>
    <cellStyle name="Input 11" xfId="2805" xr:uid="{00000000-0005-0000-0000-000089080000}"/>
    <cellStyle name="Input 12" xfId="2806" xr:uid="{00000000-0005-0000-0000-00008A080000}"/>
    <cellStyle name="Input 13" xfId="2807" xr:uid="{00000000-0005-0000-0000-00008B080000}"/>
    <cellStyle name="Input 14" xfId="2808" xr:uid="{00000000-0005-0000-0000-00008C080000}"/>
    <cellStyle name="Input 15" xfId="2809" xr:uid="{00000000-0005-0000-0000-00008D080000}"/>
    <cellStyle name="Input 16" xfId="2810" xr:uid="{00000000-0005-0000-0000-00008E080000}"/>
    <cellStyle name="Input 17" xfId="2811" xr:uid="{00000000-0005-0000-0000-00008F080000}"/>
    <cellStyle name="Input 18" xfId="2812" xr:uid="{00000000-0005-0000-0000-000090080000}"/>
    <cellStyle name="Input 19" xfId="2813" xr:uid="{00000000-0005-0000-0000-000091080000}"/>
    <cellStyle name="Input 2" xfId="1592" xr:uid="{00000000-0005-0000-0000-000092080000}"/>
    <cellStyle name="Input 2 10" xfId="2814" xr:uid="{00000000-0005-0000-0000-000093080000}"/>
    <cellStyle name="Input 2 11" xfId="2815" xr:uid="{00000000-0005-0000-0000-000094080000}"/>
    <cellStyle name="Input 2 12" xfId="2816" xr:uid="{00000000-0005-0000-0000-000095080000}"/>
    <cellStyle name="Input 2 13" xfId="2817" xr:uid="{00000000-0005-0000-0000-000096080000}"/>
    <cellStyle name="Input 2 14" xfId="2818" xr:uid="{00000000-0005-0000-0000-000097080000}"/>
    <cellStyle name="Input 2 15" xfId="2819" xr:uid="{00000000-0005-0000-0000-000098080000}"/>
    <cellStyle name="Input 2 16" xfId="14961" xr:uid="{00000000-0005-0000-0000-000099080000}"/>
    <cellStyle name="Input 2 16 10" xfId="31271" xr:uid="{00000000-0005-0000-0000-00009A080000}"/>
    <cellStyle name="Input 2 16 2" xfId="15009" xr:uid="{00000000-0005-0000-0000-00009B080000}"/>
    <cellStyle name="Input 2 16 2 2" xfId="27394" xr:uid="{00000000-0005-0000-0000-00009C080000}"/>
    <cellStyle name="Input 2 16 2 2 2" xfId="27505" xr:uid="{00000000-0005-0000-0000-00009D080000}"/>
    <cellStyle name="Input 2 16 2 2 2 2" xfId="27971" xr:uid="{00000000-0005-0000-0000-00009E080000}"/>
    <cellStyle name="Input 2 16 2 2 2 2 2" xfId="28958" xr:uid="{00000000-0005-0000-0000-00009F080000}"/>
    <cellStyle name="Input 2 16 2 2 2 2 2 2" xfId="30918" xr:uid="{00000000-0005-0000-0000-0000A0080000}"/>
    <cellStyle name="Input 2 16 2 2 2 2 3" xfId="29938" xr:uid="{00000000-0005-0000-0000-0000A1080000}"/>
    <cellStyle name="Input 2 16 2 2 2 3" xfId="28493" xr:uid="{00000000-0005-0000-0000-0000A2080000}"/>
    <cellStyle name="Input 2 16 2 2 2 3 2" xfId="30453" xr:uid="{00000000-0005-0000-0000-0000A3080000}"/>
    <cellStyle name="Input 2 16 2 2 2 4" xfId="29473" xr:uid="{00000000-0005-0000-0000-0000A4080000}"/>
    <cellStyle name="Input 2 16 2 2 3" xfId="27603" xr:uid="{00000000-0005-0000-0000-0000A5080000}"/>
    <cellStyle name="Input 2 16 2 2 3 2" xfId="28069" xr:uid="{00000000-0005-0000-0000-0000A6080000}"/>
    <cellStyle name="Input 2 16 2 2 3 2 2" xfId="29056" xr:uid="{00000000-0005-0000-0000-0000A7080000}"/>
    <cellStyle name="Input 2 16 2 2 3 2 2 2" xfId="31016" xr:uid="{00000000-0005-0000-0000-0000A8080000}"/>
    <cellStyle name="Input 2 16 2 2 3 2 3" xfId="30036" xr:uid="{00000000-0005-0000-0000-0000A9080000}"/>
    <cellStyle name="Input 2 16 2 2 3 3" xfId="27758" xr:uid="{00000000-0005-0000-0000-0000AA080000}"/>
    <cellStyle name="Input 2 16 2 2 3 3 2" xfId="28746" xr:uid="{00000000-0005-0000-0000-0000AB080000}"/>
    <cellStyle name="Input 2 16 2 2 3 3 2 2" xfId="30706" xr:uid="{00000000-0005-0000-0000-0000AC080000}"/>
    <cellStyle name="Input 2 16 2 2 3 3 3" xfId="29726" xr:uid="{00000000-0005-0000-0000-0000AD080000}"/>
    <cellStyle name="Input 2 16 2 2 3 4" xfId="28591" xr:uid="{00000000-0005-0000-0000-0000AE080000}"/>
    <cellStyle name="Input 2 16 2 2 3 4 2" xfId="30551" xr:uid="{00000000-0005-0000-0000-0000AF080000}"/>
    <cellStyle name="Input 2 16 2 2 3 5" xfId="29571" xr:uid="{00000000-0005-0000-0000-0000B0080000}"/>
    <cellStyle name="Input 2 16 2 2 4" xfId="27701" xr:uid="{00000000-0005-0000-0000-0000B1080000}"/>
    <cellStyle name="Input 2 16 2 2 4 2" xfId="28167" xr:uid="{00000000-0005-0000-0000-0000B2080000}"/>
    <cellStyle name="Input 2 16 2 2 4 2 2" xfId="29154" xr:uid="{00000000-0005-0000-0000-0000B3080000}"/>
    <cellStyle name="Input 2 16 2 2 4 2 2 2" xfId="31114" xr:uid="{00000000-0005-0000-0000-0000B4080000}"/>
    <cellStyle name="Input 2 16 2 2 4 2 3" xfId="30134" xr:uid="{00000000-0005-0000-0000-0000B5080000}"/>
    <cellStyle name="Input 2 16 2 2 4 3" xfId="28294" xr:uid="{00000000-0005-0000-0000-0000B6080000}"/>
    <cellStyle name="Input 2 16 2 2 4 3 2" xfId="29281" xr:uid="{00000000-0005-0000-0000-0000B7080000}"/>
    <cellStyle name="Input 2 16 2 2 4 3 2 2" xfId="31241" xr:uid="{00000000-0005-0000-0000-0000B8080000}"/>
    <cellStyle name="Input 2 16 2 2 4 3 3" xfId="30261" xr:uid="{00000000-0005-0000-0000-0000B9080000}"/>
    <cellStyle name="Input 2 16 2 2 4 4" xfId="28689" xr:uid="{00000000-0005-0000-0000-0000BA080000}"/>
    <cellStyle name="Input 2 16 2 2 4 4 2" xfId="30649" xr:uid="{00000000-0005-0000-0000-0000BB080000}"/>
    <cellStyle name="Input 2 16 2 2 4 5" xfId="29669" xr:uid="{00000000-0005-0000-0000-0000BC080000}"/>
    <cellStyle name="Input 2 16 2 2 5" xfId="27873" xr:uid="{00000000-0005-0000-0000-0000BD080000}"/>
    <cellStyle name="Input 2 16 2 2 5 2" xfId="28860" xr:uid="{00000000-0005-0000-0000-0000BE080000}"/>
    <cellStyle name="Input 2 16 2 2 5 2 2" xfId="30820" xr:uid="{00000000-0005-0000-0000-0000BF080000}"/>
    <cellStyle name="Input 2 16 2 2 5 3" xfId="29840" xr:uid="{00000000-0005-0000-0000-0000C0080000}"/>
    <cellStyle name="Input 2 16 2 2 6" xfId="28395" xr:uid="{00000000-0005-0000-0000-0000C1080000}"/>
    <cellStyle name="Input 2 16 2 2 6 2" xfId="30355" xr:uid="{00000000-0005-0000-0000-0000C2080000}"/>
    <cellStyle name="Input 2 16 2 2 7" xfId="29375" xr:uid="{00000000-0005-0000-0000-0000C3080000}"/>
    <cellStyle name="Input 2 16 2 2 8" xfId="31335" xr:uid="{00000000-0005-0000-0000-0000C4080000}"/>
    <cellStyle name="Input 2 16 2 3" xfId="27461" xr:uid="{00000000-0005-0000-0000-0000C5080000}"/>
    <cellStyle name="Input 2 16 2 3 2" xfId="27927" xr:uid="{00000000-0005-0000-0000-0000C6080000}"/>
    <cellStyle name="Input 2 16 2 3 2 2" xfId="28914" xr:uid="{00000000-0005-0000-0000-0000C7080000}"/>
    <cellStyle name="Input 2 16 2 3 2 2 2" xfId="30874" xr:uid="{00000000-0005-0000-0000-0000C8080000}"/>
    <cellStyle name="Input 2 16 2 3 2 3" xfId="29894" xr:uid="{00000000-0005-0000-0000-0000C9080000}"/>
    <cellStyle name="Input 2 16 2 3 3" xfId="28449" xr:uid="{00000000-0005-0000-0000-0000CA080000}"/>
    <cellStyle name="Input 2 16 2 3 3 2" xfId="30409" xr:uid="{00000000-0005-0000-0000-0000CB080000}"/>
    <cellStyle name="Input 2 16 2 3 4" xfId="29429" xr:uid="{00000000-0005-0000-0000-0000CC080000}"/>
    <cellStyle name="Input 2 16 2 4" xfId="27559" xr:uid="{00000000-0005-0000-0000-0000CD080000}"/>
    <cellStyle name="Input 2 16 2 4 2" xfId="28025" xr:uid="{00000000-0005-0000-0000-0000CE080000}"/>
    <cellStyle name="Input 2 16 2 4 2 2" xfId="29012" xr:uid="{00000000-0005-0000-0000-0000CF080000}"/>
    <cellStyle name="Input 2 16 2 4 2 2 2" xfId="30972" xr:uid="{00000000-0005-0000-0000-0000D0080000}"/>
    <cellStyle name="Input 2 16 2 4 2 3" xfId="29992" xr:uid="{00000000-0005-0000-0000-0000D1080000}"/>
    <cellStyle name="Input 2 16 2 4 3" xfId="27831" xr:uid="{00000000-0005-0000-0000-0000D2080000}"/>
    <cellStyle name="Input 2 16 2 4 3 2" xfId="28818" xr:uid="{00000000-0005-0000-0000-0000D3080000}"/>
    <cellStyle name="Input 2 16 2 4 3 2 2" xfId="30778" xr:uid="{00000000-0005-0000-0000-0000D4080000}"/>
    <cellStyle name="Input 2 16 2 4 3 3" xfId="29798" xr:uid="{00000000-0005-0000-0000-0000D5080000}"/>
    <cellStyle name="Input 2 16 2 4 4" xfId="28547" xr:uid="{00000000-0005-0000-0000-0000D6080000}"/>
    <cellStyle name="Input 2 16 2 4 4 2" xfId="30507" xr:uid="{00000000-0005-0000-0000-0000D7080000}"/>
    <cellStyle name="Input 2 16 2 4 5" xfId="29527" xr:uid="{00000000-0005-0000-0000-0000D8080000}"/>
    <cellStyle name="Input 2 16 2 5" xfId="27657" xr:uid="{00000000-0005-0000-0000-0000D9080000}"/>
    <cellStyle name="Input 2 16 2 5 2" xfId="28123" xr:uid="{00000000-0005-0000-0000-0000DA080000}"/>
    <cellStyle name="Input 2 16 2 5 2 2" xfId="29110" xr:uid="{00000000-0005-0000-0000-0000DB080000}"/>
    <cellStyle name="Input 2 16 2 5 2 2 2" xfId="31070" xr:uid="{00000000-0005-0000-0000-0000DC080000}"/>
    <cellStyle name="Input 2 16 2 5 2 3" xfId="30090" xr:uid="{00000000-0005-0000-0000-0000DD080000}"/>
    <cellStyle name="Input 2 16 2 5 3" xfId="28266" xr:uid="{00000000-0005-0000-0000-0000DE080000}"/>
    <cellStyle name="Input 2 16 2 5 3 2" xfId="29253" xr:uid="{00000000-0005-0000-0000-0000DF080000}"/>
    <cellStyle name="Input 2 16 2 5 3 2 2" xfId="31213" xr:uid="{00000000-0005-0000-0000-0000E0080000}"/>
    <cellStyle name="Input 2 16 2 5 3 3" xfId="30233" xr:uid="{00000000-0005-0000-0000-0000E1080000}"/>
    <cellStyle name="Input 2 16 2 5 4" xfId="28645" xr:uid="{00000000-0005-0000-0000-0000E2080000}"/>
    <cellStyle name="Input 2 16 2 5 4 2" xfId="30605" xr:uid="{00000000-0005-0000-0000-0000E3080000}"/>
    <cellStyle name="Input 2 16 2 5 5" xfId="29625" xr:uid="{00000000-0005-0000-0000-0000E4080000}"/>
    <cellStyle name="Input 2 16 2 6" xfId="27797" xr:uid="{00000000-0005-0000-0000-0000E5080000}"/>
    <cellStyle name="Input 2 16 2 6 2" xfId="28785" xr:uid="{00000000-0005-0000-0000-0000E6080000}"/>
    <cellStyle name="Input 2 16 2 6 2 2" xfId="30745" xr:uid="{00000000-0005-0000-0000-0000E7080000}"/>
    <cellStyle name="Input 2 16 2 6 3" xfId="29765" xr:uid="{00000000-0005-0000-0000-0000E8080000}"/>
    <cellStyle name="Input 2 16 2 7" xfId="28351" xr:uid="{00000000-0005-0000-0000-0000E9080000}"/>
    <cellStyle name="Input 2 16 2 7 2" xfId="30311" xr:uid="{00000000-0005-0000-0000-0000EA080000}"/>
    <cellStyle name="Input 2 16 2 8" xfId="29331" xr:uid="{00000000-0005-0000-0000-0000EB080000}"/>
    <cellStyle name="Input 2 16 2 9" xfId="31291" xr:uid="{00000000-0005-0000-0000-0000EC080000}"/>
    <cellStyle name="Input 2 16 3" xfId="27374" xr:uid="{00000000-0005-0000-0000-0000ED080000}"/>
    <cellStyle name="Input 2 16 3 2" xfId="27485" xr:uid="{00000000-0005-0000-0000-0000EE080000}"/>
    <cellStyle name="Input 2 16 3 2 2" xfId="27951" xr:uid="{00000000-0005-0000-0000-0000EF080000}"/>
    <cellStyle name="Input 2 16 3 2 2 2" xfId="28938" xr:uid="{00000000-0005-0000-0000-0000F0080000}"/>
    <cellStyle name="Input 2 16 3 2 2 2 2" xfId="30898" xr:uid="{00000000-0005-0000-0000-0000F1080000}"/>
    <cellStyle name="Input 2 16 3 2 2 3" xfId="29918" xr:uid="{00000000-0005-0000-0000-0000F2080000}"/>
    <cellStyle name="Input 2 16 3 2 3" xfId="28473" xr:uid="{00000000-0005-0000-0000-0000F3080000}"/>
    <cellStyle name="Input 2 16 3 2 3 2" xfId="30433" xr:uid="{00000000-0005-0000-0000-0000F4080000}"/>
    <cellStyle name="Input 2 16 3 2 4" xfId="29453" xr:uid="{00000000-0005-0000-0000-0000F5080000}"/>
    <cellStyle name="Input 2 16 3 3" xfId="27583" xr:uid="{00000000-0005-0000-0000-0000F6080000}"/>
    <cellStyle name="Input 2 16 3 3 2" xfId="28049" xr:uid="{00000000-0005-0000-0000-0000F7080000}"/>
    <cellStyle name="Input 2 16 3 3 2 2" xfId="29036" xr:uid="{00000000-0005-0000-0000-0000F8080000}"/>
    <cellStyle name="Input 2 16 3 3 2 2 2" xfId="30996" xr:uid="{00000000-0005-0000-0000-0000F9080000}"/>
    <cellStyle name="Input 2 16 3 3 2 3" xfId="30016" xr:uid="{00000000-0005-0000-0000-0000FA080000}"/>
    <cellStyle name="Input 2 16 3 3 3" xfId="27754" xr:uid="{00000000-0005-0000-0000-0000FB080000}"/>
    <cellStyle name="Input 2 16 3 3 3 2" xfId="28742" xr:uid="{00000000-0005-0000-0000-0000FC080000}"/>
    <cellStyle name="Input 2 16 3 3 3 2 2" xfId="30702" xr:uid="{00000000-0005-0000-0000-0000FD080000}"/>
    <cellStyle name="Input 2 16 3 3 3 3" xfId="29722" xr:uid="{00000000-0005-0000-0000-0000FE080000}"/>
    <cellStyle name="Input 2 16 3 3 4" xfId="28571" xr:uid="{00000000-0005-0000-0000-0000FF080000}"/>
    <cellStyle name="Input 2 16 3 3 4 2" xfId="30531" xr:uid="{00000000-0005-0000-0000-000000090000}"/>
    <cellStyle name="Input 2 16 3 3 5" xfId="29551" xr:uid="{00000000-0005-0000-0000-000001090000}"/>
    <cellStyle name="Input 2 16 3 4" xfId="27681" xr:uid="{00000000-0005-0000-0000-000002090000}"/>
    <cellStyle name="Input 2 16 3 4 2" xfId="28147" xr:uid="{00000000-0005-0000-0000-000003090000}"/>
    <cellStyle name="Input 2 16 3 4 2 2" xfId="29134" xr:uid="{00000000-0005-0000-0000-000004090000}"/>
    <cellStyle name="Input 2 16 3 4 2 2 2" xfId="31094" xr:uid="{00000000-0005-0000-0000-000005090000}"/>
    <cellStyle name="Input 2 16 3 4 2 3" xfId="30114" xr:uid="{00000000-0005-0000-0000-000006090000}"/>
    <cellStyle name="Input 2 16 3 4 3" xfId="28282" xr:uid="{00000000-0005-0000-0000-000007090000}"/>
    <cellStyle name="Input 2 16 3 4 3 2" xfId="29269" xr:uid="{00000000-0005-0000-0000-000008090000}"/>
    <cellStyle name="Input 2 16 3 4 3 2 2" xfId="31229" xr:uid="{00000000-0005-0000-0000-000009090000}"/>
    <cellStyle name="Input 2 16 3 4 3 3" xfId="30249" xr:uid="{00000000-0005-0000-0000-00000A090000}"/>
    <cellStyle name="Input 2 16 3 4 4" xfId="28669" xr:uid="{00000000-0005-0000-0000-00000B090000}"/>
    <cellStyle name="Input 2 16 3 4 4 2" xfId="30629" xr:uid="{00000000-0005-0000-0000-00000C090000}"/>
    <cellStyle name="Input 2 16 3 4 5" xfId="29649" xr:uid="{00000000-0005-0000-0000-00000D090000}"/>
    <cellStyle name="Input 2 16 3 5" xfId="27853" xr:uid="{00000000-0005-0000-0000-00000E090000}"/>
    <cellStyle name="Input 2 16 3 5 2" xfId="28840" xr:uid="{00000000-0005-0000-0000-00000F090000}"/>
    <cellStyle name="Input 2 16 3 5 2 2" xfId="30800" xr:uid="{00000000-0005-0000-0000-000010090000}"/>
    <cellStyle name="Input 2 16 3 5 3" xfId="29820" xr:uid="{00000000-0005-0000-0000-000011090000}"/>
    <cellStyle name="Input 2 16 3 6" xfId="28375" xr:uid="{00000000-0005-0000-0000-000012090000}"/>
    <cellStyle name="Input 2 16 3 6 2" xfId="30335" xr:uid="{00000000-0005-0000-0000-000013090000}"/>
    <cellStyle name="Input 2 16 3 7" xfId="29355" xr:uid="{00000000-0005-0000-0000-000014090000}"/>
    <cellStyle name="Input 2 16 3 8" xfId="31315" xr:uid="{00000000-0005-0000-0000-000015090000}"/>
    <cellStyle name="Input 2 16 4" xfId="27441" xr:uid="{00000000-0005-0000-0000-000016090000}"/>
    <cellStyle name="Input 2 16 4 2" xfId="27907" xr:uid="{00000000-0005-0000-0000-000017090000}"/>
    <cellStyle name="Input 2 16 4 2 2" xfId="28894" xr:uid="{00000000-0005-0000-0000-000018090000}"/>
    <cellStyle name="Input 2 16 4 2 2 2" xfId="30854" xr:uid="{00000000-0005-0000-0000-000019090000}"/>
    <cellStyle name="Input 2 16 4 2 3" xfId="29874" xr:uid="{00000000-0005-0000-0000-00001A090000}"/>
    <cellStyle name="Input 2 16 4 3" xfId="28429" xr:uid="{00000000-0005-0000-0000-00001B090000}"/>
    <cellStyle name="Input 2 16 4 3 2" xfId="30389" xr:uid="{00000000-0005-0000-0000-00001C090000}"/>
    <cellStyle name="Input 2 16 4 4" xfId="29409" xr:uid="{00000000-0005-0000-0000-00001D090000}"/>
    <cellStyle name="Input 2 16 5" xfId="27539" xr:uid="{00000000-0005-0000-0000-00001E090000}"/>
    <cellStyle name="Input 2 16 5 2" xfId="28005" xr:uid="{00000000-0005-0000-0000-00001F090000}"/>
    <cellStyle name="Input 2 16 5 2 2" xfId="28992" xr:uid="{00000000-0005-0000-0000-000020090000}"/>
    <cellStyle name="Input 2 16 5 2 2 2" xfId="30952" xr:uid="{00000000-0005-0000-0000-000021090000}"/>
    <cellStyle name="Input 2 16 5 2 3" xfId="29972" xr:uid="{00000000-0005-0000-0000-000022090000}"/>
    <cellStyle name="Input 2 16 5 3" xfId="27728" xr:uid="{00000000-0005-0000-0000-000023090000}"/>
    <cellStyle name="Input 2 16 5 3 2" xfId="28716" xr:uid="{00000000-0005-0000-0000-000024090000}"/>
    <cellStyle name="Input 2 16 5 3 2 2" xfId="30676" xr:uid="{00000000-0005-0000-0000-000025090000}"/>
    <cellStyle name="Input 2 16 5 3 3" xfId="29696" xr:uid="{00000000-0005-0000-0000-000026090000}"/>
    <cellStyle name="Input 2 16 5 4" xfId="28527" xr:uid="{00000000-0005-0000-0000-000027090000}"/>
    <cellStyle name="Input 2 16 5 4 2" xfId="30487" xr:uid="{00000000-0005-0000-0000-000028090000}"/>
    <cellStyle name="Input 2 16 5 5" xfId="29507" xr:uid="{00000000-0005-0000-0000-000029090000}"/>
    <cellStyle name="Input 2 16 6" xfId="27637" xr:uid="{00000000-0005-0000-0000-00002A090000}"/>
    <cellStyle name="Input 2 16 6 2" xfId="28103" xr:uid="{00000000-0005-0000-0000-00002B090000}"/>
    <cellStyle name="Input 2 16 6 2 2" xfId="29090" xr:uid="{00000000-0005-0000-0000-00002C090000}"/>
    <cellStyle name="Input 2 16 6 2 2 2" xfId="31050" xr:uid="{00000000-0005-0000-0000-00002D090000}"/>
    <cellStyle name="Input 2 16 6 2 3" xfId="30070" xr:uid="{00000000-0005-0000-0000-00002E090000}"/>
    <cellStyle name="Input 2 16 6 3" xfId="28254" xr:uid="{00000000-0005-0000-0000-00002F090000}"/>
    <cellStyle name="Input 2 16 6 3 2" xfId="29241" xr:uid="{00000000-0005-0000-0000-000030090000}"/>
    <cellStyle name="Input 2 16 6 3 2 2" xfId="31201" xr:uid="{00000000-0005-0000-0000-000031090000}"/>
    <cellStyle name="Input 2 16 6 3 3" xfId="30221" xr:uid="{00000000-0005-0000-0000-000032090000}"/>
    <cellStyle name="Input 2 16 6 4" xfId="28625" xr:uid="{00000000-0005-0000-0000-000033090000}"/>
    <cellStyle name="Input 2 16 6 4 2" xfId="30585" xr:uid="{00000000-0005-0000-0000-000034090000}"/>
    <cellStyle name="Input 2 16 6 5" xfId="29605" xr:uid="{00000000-0005-0000-0000-000035090000}"/>
    <cellStyle name="Input 2 16 7" xfId="27777" xr:uid="{00000000-0005-0000-0000-000036090000}"/>
    <cellStyle name="Input 2 16 7 2" xfId="28765" xr:uid="{00000000-0005-0000-0000-000037090000}"/>
    <cellStyle name="Input 2 16 7 2 2" xfId="30725" xr:uid="{00000000-0005-0000-0000-000038090000}"/>
    <cellStyle name="Input 2 16 7 3" xfId="29745" xr:uid="{00000000-0005-0000-0000-000039090000}"/>
    <cellStyle name="Input 2 16 8" xfId="28331" xr:uid="{00000000-0005-0000-0000-00003A090000}"/>
    <cellStyle name="Input 2 16 8 2" xfId="30291" xr:uid="{00000000-0005-0000-0000-00003B090000}"/>
    <cellStyle name="Input 2 16 9" xfId="29311" xr:uid="{00000000-0005-0000-0000-00003C090000}"/>
    <cellStyle name="Input 2 17" xfId="14944" xr:uid="{00000000-0005-0000-0000-00003D090000}"/>
    <cellStyle name="Input 2 17 2" xfId="27364" xr:uid="{00000000-0005-0000-0000-00003E090000}"/>
    <cellStyle name="Input 2 17 2 2" xfId="27475" xr:uid="{00000000-0005-0000-0000-00003F090000}"/>
    <cellStyle name="Input 2 17 2 2 2" xfId="27941" xr:uid="{00000000-0005-0000-0000-000040090000}"/>
    <cellStyle name="Input 2 17 2 2 2 2" xfId="28928" xr:uid="{00000000-0005-0000-0000-000041090000}"/>
    <cellStyle name="Input 2 17 2 2 2 2 2" xfId="30888" xr:uid="{00000000-0005-0000-0000-000042090000}"/>
    <cellStyle name="Input 2 17 2 2 2 3" xfId="29908" xr:uid="{00000000-0005-0000-0000-000043090000}"/>
    <cellStyle name="Input 2 17 2 2 3" xfId="28463" xr:uid="{00000000-0005-0000-0000-000044090000}"/>
    <cellStyle name="Input 2 17 2 2 3 2" xfId="30423" xr:uid="{00000000-0005-0000-0000-000045090000}"/>
    <cellStyle name="Input 2 17 2 2 4" xfId="29443" xr:uid="{00000000-0005-0000-0000-000046090000}"/>
    <cellStyle name="Input 2 17 2 3" xfId="27573" xr:uid="{00000000-0005-0000-0000-000047090000}"/>
    <cellStyle name="Input 2 17 2 3 2" xfId="28039" xr:uid="{00000000-0005-0000-0000-000048090000}"/>
    <cellStyle name="Input 2 17 2 3 2 2" xfId="29026" xr:uid="{00000000-0005-0000-0000-000049090000}"/>
    <cellStyle name="Input 2 17 2 3 2 2 2" xfId="30986" xr:uid="{00000000-0005-0000-0000-00004A090000}"/>
    <cellStyle name="Input 2 17 2 3 2 3" xfId="30006" xr:uid="{00000000-0005-0000-0000-00004B090000}"/>
    <cellStyle name="Input 2 17 2 3 3" xfId="27751" xr:uid="{00000000-0005-0000-0000-00004C090000}"/>
    <cellStyle name="Input 2 17 2 3 3 2" xfId="28739" xr:uid="{00000000-0005-0000-0000-00004D090000}"/>
    <cellStyle name="Input 2 17 2 3 3 2 2" xfId="30699" xr:uid="{00000000-0005-0000-0000-00004E090000}"/>
    <cellStyle name="Input 2 17 2 3 3 3" xfId="29719" xr:uid="{00000000-0005-0000-0000-00004F090000}"/>
    <cellStyle name="Input 2 17 2 3 4" xfId="28561" xr:uid="{00000000-0005-0000-0000-000050090000}"/>
    <cellStyle name="Input 2 17 2 3 4 2" xfId="30521" xr:uid="{00000000-0005-0000-0000-000051090000}"/>
    <cellStyle name="Input 2 17 2 3 5" xfId="29541" xr:uid="{00000000-0005-0000-0000-000052090000}"/>
    <cellStyle name="Input 2 17 2 4" xfId="27671" xr:uid="{00000000-0005-0000-0000-000053090000}"/>
    <cellStyle name="Input 2 17 2 4 2" xfId="28137" xr:uid="{00000000-0005-0000-0000-000054090000}"/>
    <cellStyle name="Input 2 17 2 4 2 2" xfId="29124" xr:uid="{00000000-0005-0000-0000-000055090000}"/>
    <cellStyle name="Input 2 17 2 4 2 2 2" xfId="31084" xr:uid="{00000000-0005-0000-0000-000056090000}"/>
    <cellStyle name="Input 2 17 2 4 2 3" xfId="30104" xr:uid="{00000000-0005-0000-0000-000057090000}"/>
    <cellStyle name="Input 2 17 2 4 3" xfId="28276" xr:uid="{00000000-0005-0000-0000-000058090000}"/>
    <cellStyle name="Input 2 17 2 4 3 2" xfId="29263" xr:uid="{00000000-0005-0000-0000-000059090000}"/>
    <cellStyle name="Input 2 17 2 4 3 2 2" xfId="31223" xr:uid="{00000000-0005-0000-0000-00005A090000}"/>
    <cellStyle name="Input 2 17 2 4 3 3" xfId="30243" xr:uid="{00000000-0005-0000-0000-00005B090000}"/>
    <cellStyle name="Input 2 17 2 4 4" xfId="28659" xr:uid="{00000000-0005-0000-0000-00005C090000}"/>
    <cellStyle name="Input 2 17 2 4 4 2" xfId="30619" xr:uid="{00000000-0005-0000-0000-00005D090000}"/>
    <cellStyle name="Input 2 17 2 4 5" xfId="29639" xr:uid="{00000000-0005-0000-0000-00005E090000}"/>
    <cellStyle name="Input 2 17 2 5" xfId="27843" xr:uid="{00000000-0005-0000-0000-00005F090000}"/>
    <cellStyle name="Input 2 17 2 5 2" xfId="28830" xr:uid="{00000000-0005-0000-0000-000060090000}"/>
    <cellStyle name="Input 2 17 2 5 2 2" xfId="30790" xr:uid="{00000000-0005-0000-0000-000061090000}"/>
    <cellStyle name="Input 2 17 2 5 3" xfId="29810" xr:uid="{00000000-0005-0000-0000-000062090000}"/>
    <cellStyle name="Input 2 17 2 6" xfId="28365" xr:uid="{00000000-0005-0000-0000-000063090000}"/>
    <cellStyle name="Input 2 17 2 6 2" xfId="30325" xr:uid="{00000000-0005-0000-0000-000064090000}"/>
    <cellStyle name="Input 2 17 2 7" xfId="29345" xr:uid="{00000000-0005-0000-0000-000065090000}"/>
    <cellStyle name="Input 2 17 2 8" xfId="31305" xr:uid="{00000000-0005-0000-0000-000066090000}"/>
    <cellStyle name="Input 2 17 3" xfId="27431" xr:uid="{00000000-0005-0000-0000-000067090000}"/>
    <cellStyle name="Input 2 17 3 2" xfId="27897" xr:uid="{00000000-0005-0000-0000-000068090000}"/>
    <cellStyle name="Input 2 17 3 2 2" xfId="28884" xr:uid="{00000000-0005-0000-0000-000069090000}"/>
    <cellStyle name="Input 2 17 3 2 2 2" xfId="30844" xr:uid="{00000000-0005-0000-0000-00006A090000}"/>
    <cellStyle name="Input 2 17 3 2 3" xfId="29864" xr:uid="{00000000-0005-0000-0000-00006B090000}"/>
    <cellStyle name="Input 2 17 3 3" xfId="28419" xr:uid="{00000000-0005-0000-0000-00006C090000}"/>
    <cellStyle name="Input 2 17 3 3 2" xfId="30379" xr:uid="{00000000-0005-0000-0000-00006D090000}"/>
    <cellStyle name="Input 2 17 3 4" xfId="29399" xr:uid="{00000000-0005-0000-0000-00006E090000}"/>
    <cellStyle name="Input 2 17 4" xfId="27529" xr:uid="{00000000-0005-0000-0000-00006F090000}"/>
    <cellStyle name="Input 2 17 4 2" xfId="27995" xr:uid="{00000000-0005-0000-0000-000070090000}"/>
    <cellStyle name="Input 2 17 4 2 2" xfId="28982" xr:uid="{00000000-0005-0000-0000-000071090000}"/>
    <cellStyle name="Input 2 17 4 2 2 2" xfId="30942" xr:uid="{00000000-0005-0000-0000-000072090000}"/>
    <cellStyle name="Input 2 17 4 2 3" xfId="29962" xr:uid="{00000000-0005-0000-0000-000073090000}"/>
    <cellStyle name="Input 2 17 4 3" xfId="27741" xr:uid="{00000000-0005-0000-0000-000074090000}"/>
    <cellStyle name="Input 2 17 4 3 2" xfId="28729" xr:uid="{00000000-0005-0000-0000-000075090000}"/>
    <cellStyle name="Input 2 17 4 3 2 2" xfId="30689" xr:uid="{00000000-0005-0000-0000-000076090000}"/>
    <cellStyle name="Input 2 17 4 3 3" xfId="29709" xr:uid="{00000000-0005-0000-0000-000077090000}"/>
    <cellStyle name="Input 2 17 4 4" xfId="28517" xr:uid="{00000000-0005-0000-0000-000078090000}"/>
    <cellStyle name="Input 2 17 4 4 2" xfId="30477" xr:uid="{00000000-0005-0000-0000-000079090000}"/>
    <cellStyle name="Input 2 17 4 5" xfId="29497" xr:uid="{00000000-0005-0000-0000-00007A090000}"/>
    <cellStyle name="Input 2 17 5" xfId="27627" xr:uid="{00000000-0005-0000-0000-00007B090000}"/>
    <cellStyle name="Input 2 17 5 2" xfId="28093" xr:uid="{00000000-0005-0000-0000-00007C090000}"/>
    <cellStyle name="Input 2 17 5 2 2" xfId="29080" xr:uid="{00000000-0005-0000-0000-00007D090000}"/>
    <cellStyle name="Input 2 17 5 2 2 2" xfId="31040" xr:uid="{00000000-0005-0000-0000-00007E090000}"/>
    <cellStyle name="Input 2 17 5 2 3" xfId="30060" xr:uid="{00000000-0005-0000-0000-00007F090000}"/>
    <cellStyle name="Input 2 17 5 3" xfId="27830" xr:uid="{00000000-0005-0000-0000-000080090000}"/>
    <cellStyle name="Input 2 17 5 3 2" xfId="28817" xr:uid="{00000000-0005-0000-0000-000081090000}"/>
    <cellStyle name="Input 2 17 5 3 2 2" xfId="30777" xr:uid="{00000000-0005-0000-0000-000082090000}"/>
    <cellStyle name="Input 2 17 5 3 3" xfId="29797" xr:uid="{00000000-0005-0000-0000-000083090000}"/>
    <cellStyle name="Input 2 17 5 4" xfId="28615" xr:uid="{00000000-0005-0000-0000-000084090000}"/>
    <cellStyle name="Input 2 17 5 4 2" xfId="30575" xr:uid="{00000000-0005-0000-0000-000085090000}"/>
    <cellStyle name="Input 2 17 5 5" xfId="29595" xr:uid="{00000000-0005-0000-0000-000086090000}"/>
    <cellStyle name="Input 2 17 6" xfId="27767" xr:uid="{00000000-0005-0000-0000-000087090000}"/>
    <cellStyle name="Input 2 17 6 2" xfId="28755" xr:uid="{00000000-0005-0000-0000-000088090000}"/>
    <cellStyle name="Input 2 17 6 2 2" xfId="30715" xr:uid="{00000000-0005-0000-0000-000089090000}"/>
    <cellStyle name="Input 2 17 6 3" xfId="29735" xr:uid="{00000000-0005-0000-0000-00008A090000}"/>
    <cellStyle name="Input 2 17 7" xfId="28321" xr:uid="{00000000-0005-0000-0000-00008B090000}"/>
    <cellStyle name="Input 2 17 7 2" xfId="30281" xr:uid="{00000000-0005-0000-0000-00008C090000}"/>
    <cellStyle name="Input 2 17 8" xfId="29301" xr:uid="{00000000-0005-0000-0000-00008D090000}"/>
    <cellStyle name="Input 2 17 9" xfId="31261" xr:uid="{00000000-0005-0000-0000-00008E090000}"/>
    <cellStyle name="Input 2 18" xfId="14999" xr:uid="{00000000-0005-0000-0000-00008F090000}"/>
    <cellStyle name="Input 2 18 2" xfId="27384" xr:uid="{00000000-0005-0000-0000-000090090000}"/>
    <cellStyle name="Input 2 18 2 2" xfId="27495" xr:uid="{00000000-0005-0000-0000-000091090000}"/>
    <cellStyle name="Input 2 18 2 2 2" xfId="27961" xr:uid="{00000000-0005-0000-0000-000092090000}"/>
    <cellStyle name="Input 2 18 2 2 2 2" xfId="28948" xr:uid="{00000000-0005-0000-0000-000093090000}"/>
    <cellStyle name="Input 2 18 2 2 2 2 2" xfId="30908" xr:uid="{00000000-0005-0000-0000-000094090000}"/>
    <cellStyle name="Input 2 18 2 2 2 3" xfId="29928" xr:uid="{00000000-0005-0000-0000-000095090000}"/>
    <cellStyle name="Input 2 18 2 2 3" xfId="28483" xr:uid="{00000000-0005-0000-0000-000096090000}"/>
    <cellStyle name="Input 2 18 2 2 3 2" xfId="30443" xr:uid="{00000000-0005-0000-0000-000097090000}"/>
    <cellStyle name="Input 2 18 2 2 4" xfId="29463" xr:uid="{00000000-0005-0000-0000-000098090000}"/>
    <cellStyle name="Input 2 18 2 3" xfId="27593" xr:uid="{00000000-0005-0000-0000-000099090000}"/>
    <cellStyle name="Input 2 18 2 3 2" xfId="28059" xr:uid="{00000000-0005-0000-0000-00009A090000}"/>
    <cellStyle name="Input 2 18 2 3 2 2" xfId="29046" xr:uid="{00000000-0005-0000-0000-00009B090000}"/>
    <cellStyle name="Input 2 18 2 3 2 2 2" xfId="31006" xr:uid="{00000000-0005-0000-0000-00009C090000}"/>
    <cellStyle name="Input 2 18 2 3 2 3" xfId="30026" xr:uid="{00000000-0005-0000-0000-00009D090000}"/>
    <cellStyle name="Input 2 18 2 3 3" xfId="27823" xr:uid="{00000000-0005-0000-0000-00009E090000}"/>
    <cellStyle name="Input 2 18 2 3 3 2" xfId="28810" xr:uid="{00000000-0005-0000-0000-00009F090000}"/>
    <cellStyle name="Input 2 18 2 3 3 2 2" xfId="30770" xr:uid="{00000000-0005-0000-0000-0000A0090000}"/>
    <cellStyle name="Input 2 18 2 3 3 3" xfId="29790" xr:uid="{00000000-0005-0000-0000-0000A1090000}"/>
    <cellStyle name="Input 2 18 2 3 4" xfId="28581" xr:uid="{00000000-0005-0000-0000-0000A2090000}"/>
    <cellStyle name="Input 2 18 2 3 4 2" xfId="30541" xr:uid="{00000000-0005-0000-0000-0000A3090000}"/>
    <cellStyle name="Input 2 18 2 3 5" xfId="29561" xr:uid="{00000000-0005-0000-0000-0000A4090000}"/>
    <cellStyle name="Input 2 18 2 4" xfId="27691" xr:uid="{00000000-0005-0000-0000-0000A5090000}"/>
    <cellStyle name="Input 2 18 2 4 2" xfId="28157" xr:uid="{00000000-0005-0000-0000-0000A6090000}"/>
    <cellStyle name="Input 2 18 2 4 2 2" xfId="29144" xr:uid="{00000000-0005-0000-0000-0000A7090000}"/>
    <cellStyle name="Input 2 18 2 4 2 2 2" xfId="31104" xr:uid="{00000000-0005-0000-0000-0000A8090000}"/>
    <cellStyle name="Input 2 18 2 4 2 3" xfId="30124" xr:uid="{00000000-0005-0000-0000-0000A9090000}"/>
    <cellStyle name="Input 2 18 2 4 3" xfId="28288" xr:uid="{00000000-0005-0000-0000-0000AA090000}"/>
    <cellStyle name="Input 2 18 2 4 3 2" xfId="29275" xr:uid="{00000000-0005-0000-0000-0000AB090000}"/>
    <cellStyle name="Input 2 18 2 4 3 2 2" xfId="31235" xr:uid="{00000000-0005-0000-0000-0000AC090000}"/>
    <cellStyle name="Input 2 18 2 4 3 3" xfId="30255" xr:uid="{00000000-0005-0000-0000-0000AD090000}"/>
    <cellStyle name="Input 2 18 2 4 4" xfId="28679" xr:uid="{00000000-0005-0000-0000-0000AE090000}"/>
    <cellStyle name="Input 2 18 2 4 4 2" xfId="30639" xr:uid="{00000000-0005-0000-0000-0000AF090000}"/>
    <cellStyle name="Input 2 18 2 4 5" xfId="29659" xr:uid="{00000000-0005-0000-0000-0000B0090000}"/>
    <cellStyle name="Input 2 18 2 5" xfId="27863" xr:uid="{00000000-0005-0000-0000-0000B1090000}"/>
    <cellStyle name="Input 2 18 2 5 2" xfId="28850" xr:uid="{00000000-0005-0000-0000-0000B2090000}"/>
    <cellStyle name="Input 2 18 2 5 2 2" xfId="30810" xr:uid="{00000000-0005-0000-0000-0000B3090000}"/>
    <cellStyle name="Input 2 18 2 5 3" xfId="29830" xr:uid="{00000000-0005-0000-0000-0000B4090000}"/>
    <cellStyle name="Input 2 18 2 6" xfId="28385" xr:uid="{00000000-0005-0000-0000-0000B5090000}"/>
    <cellStyle name="Input 2 18 2 6 2" xfId="30345" xr:uid="{00000000-0005-0000-0000-0000B6090000}"/>
    <cellStyle name="Input 2 18 2 7" xfId="29365" xr:uid="{00000000-0005-0000-0000-0000B7090000}"/>
    <cellStyle name="Input 2 18 2 8" xfId="31325" xr:uid="{00000000-0005-0000-0000-0000B8090000}"/>
    <cellStyle name="Input 2 18 3" xfId="27451" xr:uid="{00000000-0005-0000-0000-0000B9090000}"/>
    <cellStyle name="Input 2 18 3 2" xfId="27917" xr:uid="{00000000-0005-0000-0000-0000BA090000}"/>
    <cellStyle name="Input 2 18 3 2 2" xfId="28904" xr:uid="{00000000-0005-0000-0000-0000BB090000}"/>
    <cellStyle name="Input 2 18 3 2 2 2" xfId="30864" xr:uid="{00000000-0005-0000-0000-0000BC090000}"/>
    <cellStyle name="Input 2 18 3 2 3" xfId="29884" xr:uid="{00000000-0005-0000-0000-0000BD090000}"/>
    <cellStyle name="Input 2 18 3 3" xfId="28439" xr:uid="{00000000-0005-0000-0000-0000BE090000}"/>
    <cellStyle name="Input 2 18 3 3 2" xfId="30399" xr:uid="{00000000-0005-0000-0000-0000BF090000}"/>
    <cellStyle name="Input 2 18 3 4" xfId="29419" xr:uid="{00000000-0005-0000-0000-0000C0090000}"/>
    <cellStyle name="Input 2 18 4" xfId="27549" xr:uid="{00000000-0005-0000-0000-0000C1090000}"/>
    <cellStyle name="Input 2 18 4 2" xfId="28015" xr:uid="{00000000-0005-0000-0000-0000C2090000}"/>
    <cellStyle name="Input 2 18 4 2 2" xfId="29002" xr:uid="{00000000-0005-0000-0000-0000C3090000}"/>
    <cellStyle name="Input 2 18 4 2 2 2" xfId="30962" xr:uid="{00000000-0005-0000-0000-0000C4090000}"/>
    <cellStyle name="Input 2 18 4 2 3" xfId="29982" xr:uid="{00000000-0005-0000-0000-0000C5090000}"/>
    <cellStyle name="Input 2 18 4 3" xfId="27746" xr:uid="{00000000-0005-0000-0000-0000C6090000}"/>
    <cellStyle name="Input 2 18 4 3 2" xfId="28734" xr:uid="{00000000-0005-0000-0000-0000C7090000}"/>
    <cellStyle name="Input 2 18 4 3 2 2" xfId="30694" xr:uid="{00000000-0005-0000-0000-0000C8090000}"/>
    <cellStyle name="Input 2 18 4 3 3" xfId="29714" xr:uid="{00000000-0005-0000-0000-0000C9090000}"/>
    <cellStyle name="Input 2 18 4 4" xfId="28537" xr:uid="{00000000-0005-0000-0000-0000CA090000}"/>
    <cellStyle name="Input 2 18 4 4 2" xfId="30497" xr:uid="{00000000-0005-0000-0000-0000CB090000}"/>
    <cellStyle name="Input 2 18 4 5" xfId="29517" xr:uid="{00000000-0005-0000-0000-0000CC090000}"/>
    <cellStyle name="Input 2 18 5" xfId="27647" xr:uid="{00000000-0005-0000-0000-0000CD090000}"/>
    <cellStyle name="Input 2 18 5 2" xfId="28113" xr:uid="{00000000-0005-0000-0000-0000CE090000}"/>
    <cellStyle name="Input 2 18 5 2 2" xfId="29100" xr:uid="{00000000-0005-0000-0000-0000CF090000}"/>
    <cellStyle name="Input 2 18 5 2 2 2" xfId="31060" xr:uid="{00000000-0005-0000-0000-0000D0090000}"/>
    <cellStyle name="Input 2 18 5 2 3" xfId="30080" xr:uid="{00000000-0005-0000-0000-0000D1090000}"/>
    <cellStyle name="Input 2 18 5 3" xfId="28260" xr:uid="{00000000-0005-0000-0000-0000D2090000}"/>
    <cellStyle name="Input 2 18 5 3 2" xfId="29247" xr:uid="{00000000-0005-0000-0000-0000D3090000}"/>
    <cellStyle name="Input 2 18 5 3 2 2" xfId="31207" xr:uid="{00000000-0005-0000-0000-0000D4090000}"/>
    <cellStyle name="Input 2 18 5 3 3" xfId="30227" xr:uid="{00000000-0005-0000-0000-0000D5090000}"/>
    <cellStyle name="Input 2 18 5 4" xfId="28635" xr:uid="{00000000-0005-0000-0000-0000D6090000}"/>
    <cellStyle name="Input 2 18 5 4 2" xfId="30595" xr:uid="{00000000-0005-0000-0000-0000D7090000}"/>
    <cellStyle name="Input 2 18 5 5" xfId="29615" xr:uid="{00000000-0005-0000-0000-0000D8090000}"/>
    <cellStyle name="Input 2 18 6" xfId="27787" xr:uid="{00000000-0005-0000-0000-0000D9090000}"/>
    <cellStyle name="Input 2 18 6 2" xfId="28775" xr:uid="{00000000-0005-0000-0000-0000DA090000}"/>
    <cellStyle name="Input 2 18 6 2 2" xfId="30735" xr:uid="{00000000-0005-0000-0000-0000DB090000}"/>
    <cellStyle name="Input 2 18 6 3" xfId="29755" xr:uid="{00000000-0005-0000-0000-0000DC090000}"/>
    <cellStyle name="Input 2 18 7" xfId="28341" xr:uid="{00000000-0005-0000-0000-0000DD090000}"/>
    <cellStyle name="Input 2 18 7 2" xfId="30301" xr:uid="{00000000-0005-0000-0000-0000DE090000}"/>
    <cellStyle name="Input 2 18 8" xfId="29321" xr:uid="{00000000-0005-0000-0000-0000DF090000}"/>
    <cellStyle name="Input 2 18 9" xfId="31281" xr:uid="{00000000-0005-0000-0000-0000E0090000}"/>
    <cellStyle name="Input 2 19" xfId="27421" xr:uid="{00000000-0005-0000-0000-0000E1090000}"/>
    <cellStyle name="Input 2 19 2" xfId="27887" xr:uid="{00000000-0005-0000-0000-0000E2090000}"/>
    <cellStyle name="Input 2 19 2 2" xfId="28874" xr:uid="{00000000-0005-0000-0000-0000E3090000}"/>
    <cellStyle name="Input 2 19 2 2 2" xfId="30834" xr:uid="{00000000-0005-0000-0000-0000E4090000}"/>
    <cellStyle name="Input 2 19 2 3" xfId="29854" xr:uid="{00000000-0005-0000-0000-0000E5090000}"/>
    <cellStyle name="Input 2 19 3" xfId="28409" xr:uid="{00000000-0005-0000-0000-0000E6090000}"/>
    <cellStyle name="Input 2 19 3 2" xfId="30369" xr:uid="{00000000-0005-0000-0000-0000E7090000}"/>
    <cellStyle name="Input 2 19 4" xfId="29389" xr:uid="{00000000-0005-0000-0000-0000E8090000}"/>
    <cellStyle name="Input 2 2" xfId="2820" xr:uid="{00000000-0005-0000-0000-0000E9090000}"/>
    <cellStyle name="Input 2 20" xfId="27519" xr:uid="{00000000-0005-0000-0000-0000EA090000}"/>
    <cellStyle name="Input 2 20 2" xfId="27985" xr:uid="{00000000-0005-0000-0000-0000EB090000}"/>
    <cellStyle name="Input 2 20 2 2" xfId="28972" xr:uid="{00000000-0005-0000-0000-0000EC090000}"/>
    <cellStyle name="Input 2 20 2 2 2" xfId="30932" xr:uid="{00000000-0005-0000-0000-0000ED090000}"/>
    <cellStyle name="Input 2 20 2 3" xfId="29952" xr:uid="{00000000-0005-0000-0000-0000EE090000}"/>
    <cellStyle name="Input 2 20 3" xfId="27725" xr:uid="{00000000-0005-0000-0000-0000EF090000}"/>
    <cellStyle name="Input 2 20 3 2" xfId="28713" xr:uid="{00000000-0005-0000-0000-0000F0090000}"/>
    <cellStyle name="Input 2 20 3 2 2" xfId="30673" xr:uid="{00000000-0005-0000-0000-0000F1090000}"/>
    <cellStyle name="Input 2 20 3 3" xfId="29693" xr:uid="{00000000-0005-0000-0000-0000F2090000}"/>
    <cellStyle name="Input 2 20 4" xfId="28507" xr:uid="{00000000-0005-0000-0000-0000F3090000}"/>
    <cellStyle name="Input 2 20 4 2" xfId="30467" xr:uid="{00000000-0005-0000-0000-0000F4090000}"/>
    <cellStyle name="Input 2 20 5" xfId="29487" xr:uid="{00000000-0005-0000-0000-0000F5090000}"/>
    <cellStyle name="Input 2 21" xfId="27617" xr:uid="{00000000-0005-0000-0000-0000F6090000}"/>
    <cellStyle name="Input 2 21 2" xfId="28083" xr:uid="{00000000-0005-0000-0000-0000F7090000}"/>
    <cellStyle name="Input 2 21 2 2" xfId="29070" xr:uid="{00000000-0005-0000-0000-0000F8090000}"/>
    <cellStyle name="Input 2 21 2 2 2" xfId="31030" xr:uid="{00000000-0005-0000-0000-0000F9090000}"/>
    <cellStyle name="Input 2 21 2 3" xfId="30050" xr:uid="{00000000-0005-0000-0000-0000FA090000}"/>
    <cellStyle name="Input 2 21 3" xfId="27735" xr:uid="{00000000-0005-0000-0000-0000FB090000}"/>
    <cellStyle name="Input 2 21 3 2" xfId="28723" xr:uid="{00000000-0005-0000-0000-0000FC090000}"/>
    <cellStyle name="Input 2 21 3 2 2" xfId="30683" xr:uid="{00000000-0005-0000-0000-0000FD090000}"/>
    <cellStyle name="Input 2 21 3 3" xfId="29703" xr:uid="{00000000-0005-0000-0000-0000FE090000}"/>
    <cellStyle name="Input 2 21 4" xfId="28605" xr:uid="{00000000-0005-0000-0000-0000FF090000}"/>
    <cellStyle name="Input 2 21 4 2" xfId="30565" xr:uid="{00000000-0005-0000-0000-0000000A0000}"/>
    <cellStyle name="Input 2 21 5" xfId="29585" xr:uid="{00000000-0005-0000-0000-0000010A0000}"/>
    <cellStyle name="Input 2 22" xfId="27716" xr:uid="{00000000-0005-0000-0000-0000020A0000}"/>
    <cellStyle name="Input 2 22 2" xfId="28704" xr:uid="{00000000-0005-0000-0000-0000030A0000}"/>
    <cellStyle name="Input 2 22 2 2" xfId="30664" xr:uid="{00000000-0005-0000-0000-0000040A0000}"/>
    <cellStyle name="Input 2 22 3" xfId="29684" xr:uid="{00000000-0005-0000-0000-0000050A0000}"/>
    <cellStyle name="Input 2 23" xfId="28311" xr:uid="{00000000-0005-0000-0000-0000060A0000}"/>
    <cellStyle name="Input 2 23 2" xfId="30271" xr:uid="{00000000-0005-0000-0000-0000070A0000}"/>
    <cellStyle name="Input 2 24" xfId="29291" xr:uid="{00000000-0005-0000-0000-0000080A0000}"/>
    <cellStyle name="Input 2 25" xfId="31251" xr:uid="{00000000-0005-0000-0000-0000090A0000}"/>
    <cellStyle name="Input 2 3" xfId="2821" xr:uid="{00000000-0005-0000-0000-00000A0A0000}"/>
    <cellStyle name="Input 2 4" xfId="2822" xr:uid="{00000000-0005-0000-0000-00000B0A0000}"/>
    <cellStyle name="Input 2 5" xfId="2823" xr:uid="{00000000-0005-0000-0000-00000C0A0000}"/>
    <cellStyle name="Input 2 6" xfId="2824" xr:uid="{00000000-0005-0000-0000-00000D0A0000}"/>
    <cellStyle name="Input 2 7" xfId="2825" xr:uid="{00000000-0005-0000-0000-00000E0A0000}"/>
    <cellStyle name="Input 2 8" xfId="2826" xr:uid="{00000000-0005-0000-0000-00000F0A0000}"/>
    <cellStyle name="Input 2 9" xfId="2827" xr:uid="{00000000-0005-0000-0000-0000100A0000}"/>
    <cellStyle name="Input 20" xfId="2828" xr:uid="{00000000-0005-0000-0000-0000110A0000}"/>
    <cellStyle name="Input 21" xfId="2829" xr:uid="{00000000-0005-0000-0000-0000120A0000}"/>
    <cellStyle name="Input 22" xfId="2830" xr:uid="{00000000-0005-0000-0000-0000130A0000}"/>
    <cellStyle name="Input 23" xfId="2831" xr:uid="{00000000-0005-0000-0000-0000140A0000}"/>
    <cellStyle name="Input 24" xfId="2832" xr:uid="{00000000-0005-0000-0000-0000150A0000}"/>
    <cellStyle name="Input 3" xfId="1593" xr:uid="{00000000-0005-0000-0000-0000160A0000}"/>
    <cellStyle name="Input 3 10" xfId="29292" xr:uid="{00000000-0005-0000-0000-0000170A0000}"/>
    <cellStyle name="Input 3 11" xfId="31252" xr:uid="{00000000-0005-0000-0000-0000180A0000}"/>
    <cellStyle name="Input 3 2" xfId="14962" xr:uid="{00000000-0005-0000-0000-0000190A0000}"/>
    <cellStyle name="Input 3 2 10" xfId="31272" xr:uid="{00000000-0005-0000-0000-00001A0A0000}"/>
    <cellStyle name="Input 3 2 2" xfId="15008" xr:uid="{00000000-0005-0000-0000-00001B0A0000}"/>
    <cellStyle name="Input 3 2 2 2" xfId="27393" xr:uid="{00000000-0005-0000-0000-00001C0A0000}"/>
    <cellStyle name="Input 3 2 2 2 2" xfId="27504" xr:uid="{00000000-0005-0000-0000-00001D0A0000}"/>
    <cellStyle name="Input 3 2 2 2 2 2" xfId="27970" xr:uid="{00000000-0005-0000-0000-00001E0A0000}"/>
    <cellStyle name="Input 3 2 2 2 2 2 2" xfId="28957" xr:uid="{00000000-0005-0000-0000-00001F0A0000}"/>
    <cellStyle name="Input 3 2 2 2 2 2 2 2" xfId="30917" xr:uid="{00000000-0005-0000-0000-0000200A0000}"/>
    <cellStyle name="Input 3 2 2 2 2 2 3" xfId="29937" xr:uid="{00000000-0005-0000-0000-0000210A0000}"/>
    <cellStyle name="Input 3 2 2 2 2 3" xfId="28492" xr:uid="{00000000-0005-0000-0000-0000220A0000}"/>
    <cellStyle name="Input 3 2 2 2 2 3 2" xfId="30452" xr:uid="{00000000-0005-0000-0000-0000230A0000}"/>
    <cellStyle name="Input 3 2 2 2 2 4" xfId="29472" xr:uid="{00000000-0005-0000-0000-0000240A0000}"/>
    <cellStyle name="Input 3 2 2 2 3" xfId="27602" xr:uid="{00000000-0005-0000-0000-0000250A0000}"/>
    <cellStyle name="Input 3 2 2 2 3 2" xfId="28068" xr:uid="{00000000-0005-0000-0000-0000260A0000}"/>
    <cellStyle name="Input 3 2 2 2 3 2 2" xfId="29055" xr:uid="{00000000-0005-0000-0000-0000270A0000}"/>
    <cellStyle name="Input 3 2 2 2 3 2 2 2" xfId="31015" xr:uid="{00000000-0005-0000-0000-0000280A0000}"/>
    <cellStyle name="Input 3 2 2 2 3 2 3" xfId="30035" xr:uid="{00000000-0005-0000-0000-0000290A0000}"/>
    <cellStyle name="Input 3 2 2 2 3 3" xfId="27825" xr:uid="{00000000-0005-0000-0000-00002A0A0000}"/>
    <cellStyle name="Input 3 2 2 2 3 3 2" xfId="28812" xr:uid="{00000000-0005-0000-0000-00002B0A0000}"/>
    <cellStyle name="Input 3 2 2 2 3 3 2 2" xfId="30772" xr:uid="{00000000-0005-0000-0000-00002C0A0000}"/>
    <cellStyle name="Input 3 2 2 2 3 3 3" xfId="29792" xr:uid="{00000000-0005-0000-0000-00002D0A0000}"/>
    <cellStyle name="Input 3 2 2 2 3 4" xfId="28590" xr:uid="{00000000-0005-0000-0000-00002E0A0000}"/>
    <cellStyle name="Input 3 2 2 2 3 4 2" xfId="30550" xr:uid="{00000000-0005-0000-0000-00002F0A0000}"/>
    <cellStyle name="Input 3 2 2 2 3 5" xfId="29570" xr:uid="{00000000-0005-0000-0000-0000300A0000}"/>
    <cellStyle name="Input 3 2 2 2 4" xfId="27700" xr:uid="{00000000-0005-0000-0000-0000310A0000}"/>
    <cellStyle name="Input 3 2 2 2 4 2" xfId="28166" xr:uid="{00000000-0005-0000-0000-0000320A0000}"/>
    <cellStyle name="Input 3 2 2 2 4 2 2" xfId="29153" xr:uid="{00000000-0005-0000-0000-0000330A0000}"/>
    <cellStyle name="Input 3 2 2 2 4 2 2 2" xfId="31113" xr:uid="{00000000-0005-0000-0000-0000340A0000}"/>
    <cellStyle name="Input 3 2 2 2 4 2 3" xfId="30133" xr:uid="{00000000-0005-0000-0000-0000350A0000}"/>
    <cellStyle name="Input 3 2 2 2 4 3" xfId="28293" xr:uid="{00000000-0005-0000-0000-0000360A0000}"/>
    <cellStyle name="Input 3 2 2 2 4 3 2" xfId="29280" xr:uid="{00000000-0005-0000-0000-0000370A0000}"/>
    <cellStyle name="Input 3 2 2 2 4 3 2 2" xfId="31240" xr:uid="{00000000-0005-0000-0000-0000380A0000}"/>
    <cellStyle name="Input 3 2 2 2 4 3 3" xfId="30260" xr:uid="{00000000-0005-0000-0000-0000390A0000}"/>
    <cellStyle name="Input 3 2 2 2 4 4" xfId="28688" xr:uid="{00000000-0005-0000-0000-00003A0A0000}"/>
    <cellStyle name="Input 3 2 2 2 4 4 2" xfId="30648" xr:uid="{00000000-0005-0000-0000-00003B0A0000}"/>
    <cellStyle name="Input 3 2 2 2 4 5" xfId="29668" xr:uid="{00000000-0005-0000-0000-00003C0A0000}"/>
    <cellStyle name="Input 3 2 2 2 5" xfId="27872" xr:uid="{00000000-0005-0000-0000-00003D0A0000}"/>
    <cellStyle name="Input 3 2 2 2 5 2" xfId="28859" xr:uid="{00000000-0005-0000-0000-00003E0A0000}"/>
    <cellStyle name="Input 3 2 2 2 5 2 2" xfId="30819" xr:uid="{00000000-0005-0000-0000-00003F0A0000}"/>
    <cellStyle name="Input 3 2 2 2 5 3" xfId="29839" xr:uid="{00000000-0005-0000-0000-0000400A0000}"/>
    <cellStyle name="Input 3 2 2 2 6" xfId="28394" xr:uid="{00000000-0005-0000-0000-0000410A0000}"/>
    <cellStyle name="Input 3 2 2 2 6 2" xfId="30354" xr:uid="{00000000-0005-0000-0000-0000420A0000}"/>
    <cellStyle name="Input 3 2 2 2 7" xfId="29374" xr:uid="{00000000-0005-0000-0000-0000430A0000}"/>
    <cellStyle name="Input 3 2 2 2 8" xfId="31334" xr:uid="{00000000-0005-0000-0000-0000440A0000}"/>
    <cellStyle name="Input 3 2 2 3" xfId="27460" xr:uid="{00000000-0005-0000-0000-0000450A0000}"/>
    <cellStyle name="Input 3 2 2 3 2" xfId="27926" xr:uid="{00000000-0005-0000-0000-0000460A0000}"/>
    <cellStyle name="Input 3 2 2 3 2 2" xfId="28913" xr:uid="{00000000-0005-0000-0000-0000470A0000}"/>
    <cellStyle name="Input 3 2 2 3 2 2 2" xfId="30873" xr:uid="{00000000-0005-0000-0000-0000480A0000}"/>
    <cellStyle name="Input 3 2 2 3 2 3" xfId="29893" xr:uid="{00000000-0005-0000-0000-0000490A0000}"/>
    <cellStyle name="Input 3 2 2 3 3" xfId="28448" xr:uid="{00000000-0005-0000-0000-00004A0A0000}"/>
    <cellStyle name="Input 3 2 2 3 3 2" xfId="30408" xr:uid="{00000000-0005-0000-0000-00004B0A0000}"/>
    <cellStyle name="Input 3 2 2 3 4" xfId="29428" xr:uid="{00000000-0005-0000-0000-00004C0A0000}"/>
    <cellStyle name="Input 3 2 2 4" xfId="27558" xr:uid="{00000000-0005-0000-0000-00004D0A0000}"/>
    <cellStyle name="Input 3 2 2 4 2" xfId="28024" xr:uid="{00000000-0005-0000-0000-00004E0A0000}"/>
    <cellStyle name="Input 3 2 2 4 2 2" xfId="29011" xr:uid="{00000000-0005-0000-0000-00004F0A0000}"/>
    <cellStyle name="Input 3 2 2 4 2 2 2" xfId="30971" xr:uid="{00000000-0005-0000-0000-0000500A0000}"/>
    <cellStyle name="Input 3 2 2 4 2 3" xfId="29991" xr:uid="{00000000-0005-0000-0000-0000510A0000}"/>
    <cellStyle name="Input 3 2 2 4 3" xfId="27817" xr:uid="{00000000-0005-0000-0000-0000520A0000}"/>
    <cellStyle name="Input 3 2 2 4 3 2" xfId="28804" xr:uid="{00000000-0005-0000-0000-0000530A0000}"/>
    <cellStyle name="Input 3 2 2 4 3 2 2" xfId="30764" xr:uid="{00000000-0005-0000-0000-0000540A0000}"/>
    <cellStyle name="Input 3 2 2 4 3 3" xfId="29784" xr:uid="{00000000-0005-0000-0000-0000550A0000}"/>
    <cellStyle name="Input 3 2 2 4 4" xfId="28546" xr:uid="{00000000-0005-0000-0000-0000560A0000}"/>
    <cellStyle name="Input 3 2 2 4 4 2" xfId="30506" xr:uid="{00000000-0005-0000-0000-0000570A0000}"/>
    <cellStyle name="Input 3 2 2 4 5" xfId="29526" xr:uid="{00000000-0005-0000-0000-0000580A0000}"/>
    <cellStyle name="Input 3 2 2 5" xfId="27656" xr:uid="{00000000-0005-0000-0000-0000590A0000}"/>
    <cellStyle name="Input 3 2 2 5 2" xfId="28122" xr:uid="{00000000-0005-0000-0000-00005A0A0000}"/>
    <cellStyle name="Input 3 2 2 5 2 2" xfId="29109" xr:uid="{00000000-0005-0000-0000-00005B0A0000}"/>
    <cellStyle name="Input 3 2 2 5 2 2 2" xfId="31069" xr:uid="{00000000-0005-0000-0000-00005C0A0000}"/>
    <cellStyle name="Input 3 2 2 5 2 3" xfId="30089" xr:uid="{00000000-0005-0000-0000-00005D0A0000}"/>
    <cellStyle name="Input 3 2 2 5 3" xfId="28265" xr:uid="{00000000-0005-0000-0000-00005E0A0000}"/>
    <cellStyle name="Input 3 2 2 5 3 2" xfId="29252" xr:uid="{00000000-0005-0000-0000-00005F0A0000}"/>
    <cellStyle name="Input 3 2 2 5 3 2 2" xfId="31212" xr:uid="{00000000-0005-0000-0000-0000600A0000}"/>
    <cellStyle name="Input 3 2 2 5 3 3" xfId="30232" xr:uid="{00000000-0005-0000-0000-0000610A0000}"/>
    <cellStyle name="Input 3 2 2 5 4" xfId="28644" xr:uid="{00000000-0005-0000-0000-0000620A0000}"/>
    <cellStyle name="Input 3 2 2 5 4 2" xfId="30604" xr:uid="{00000000-0005-0000-0000-0000630A0000}"/>
    <cellStyle name="Input 3 2 2 5 5" xfId="29624" xr:uid="{00000000-0005-0000-0000-0000640A0000}"/>
    <cellStyle name="Input 3 2 2 6" xfId="27796" xr:uid="{00000000-0005-0000-0000-0000650A0000}"/>
    <cellStyle name="Input 3 2 2 6 2" xfId="28784" xr:uid="{00000000-0005-0000-0000-0000660A0000}"/>
    <cellStyle name="Input 3 2 2 6 2 2" xfId="30744" xr:uid="{00000000-0005-0000-0000-0000670A0000}"/>
    <cellStyle name="Input 3 2 2 6 3" xfId="29764" xr:uid="{00000000-0005-0000-0000-0000680A0000}"/>
    <cellStyle name="Input 3 2 2 7" xfId="28350" xr:uid="{00000000-0005-0000-0000-0000690A0000}"/>
    <cellStyle name="Input 3 2 2 7 2" xfId="30310" xr:uid="{00000000-0005-0000-0000-00006A0A0000}"/>
    <cellStyle name="Input 3 2 2 8" xfId="29330" xr:uid="{00000000-0005-0000-0000-00006B0A0000}"/>
    <cellStyle name="Input 3 2 2 9" xfId="31290" xr:uid="{00000000-0005-0000-0000-00006C0A0000}"/>
    <cellStyle name="Input 3 2 3" xfId="27375" xr:uid="{00000000-0005-0000-0000-00006D0A0000}"/>
    <cellStyle name="Input 3 2 3 2" xfId="27486" xr:uid="{00000000-0005-0000-0000-00006E0A0000}"/>
    <cellStyle name="Input 3 2 3 2 2" xfId="27952" xr:uid="{00000000-0005-0000-0000-00006F0A0000}"/>
    <cellStyle name="Input 3 2 3 2 2 2" xfId="28939" xr:uid="{00000000-0005-0000-0000-0000700A0000}"/>
    <cellStyle name="Input 3 2 3 2 2 2 2" xfId="30899" xr:uid="{00000000-0005-0000-0000-0000710A0000}"/>
    <cellStyle name="Input 3 2 3 2 2 3" xfId="29919" xr:uid="{00000000-0005-0000-0000-0000720A0000}"/>
    <cellStyle name="Input 3 2 3 2 3" xfId="28474" xr:uid="{00000000-0005-0000-0000-0000730A0000}"/>
    <cellStyle name="Input 3 2 3 2 3 2" xfId="30434" xr:uid="{00000000-0005-0000-0000-0000740A0000}"/>
    <cellStyle name="Input 3 2 3 2 4" xfId="29454" xr:uid="{00000000-0005-0000-0000-0000750A0000}"/>
    <cellStyle name="Input 3 2 3 3" xfId="27584" xr:uid="{00000000-0005-0000-0000-0000760A0000}"/>
    <cellStyle name="Input 3 2 3 3 2" xfId="28050" xr:uid="{00000000-0005-0000-0000-0000770A0000}"/>
    <cellStyle name="Input 3 2 3 3 2 2" xfId="29037" xr:uid="{00000000-0005-0000-0000-0000780A0000}"/>
    <cellStyle name="Input 3 2 3 3 2 2 2" xfId="30997" xr:uid="{00000000-0005-0000-0000-0000790A0000}"/>
    <cellStyle name="Input 3 2 3 3 2 3" xfId="30017" xr:uid="{00000000-0005-0000-0000-00007A0A0000}"/>
    <cellStyle name="Input 3 2 3 3 3" xfId="27822" xr:uid="{00000000-0005-0000-0000-00007B0A0000}"/>
    <cellStyle name="Input 3 2 3 3 3 2" xfId="28809" xr:uid="{00000000-0005-0000-0000-00007C0A0000}"/>
    <cellStyle name="Input 3 2 3 3 3 2 2" xfId="30769" xr:uid="{00000000-0005-0000-0000-00007D0A0000}"/>
    <cellStyle name="Input 3 2 3 3 3 3" xfId="29789" xr:uid="{00000000-0005-0000-0000-00007E0A0000}"/>
    <cellStyle name="Input 3 2 3 3 4" xfId="28572" xr:uid="{00000000-0005-0000-0000-00007F0A0000}"/>
    <cellStyle name="Input 3 2 3 3 4 2" xfId="30532" xr:uid="{00000000-0005-0000-0000-0000800A0000}"/>
    <cellStyle name="Input 3 2 3 3 5" xfId="29552" xr:uid="{00000000-0005-0000-0000-0000810A0000}"/>
    <cellStyle name="Input 3 2 3 4" xfId="27682" xr:uid="{00000000-0005-0000-0000-0000820A0000}"/>
    <cellStyle name="Input 3 2 3 4 2" xfId="28148" xr:uid="{00000000-0005-0000-0000-0000830A0000}"/>
    <cellStyle name="Input 3 2 3 4 2 2" xfId="29135" xr:uid="{00000000-0005-0000-0000-0000840A0000}"/>
    <cellStyle name="Input 3 2 3 4 2 2 2" xfId="31095" xr:uid="{00000000-0005-0000-0000-0000850A0000}"/>
    <cellStyle name="Input 3 2 3 4 2 3" xfId="30115" xr:uid="{00000000-0005-0000-0000-0000860A0000}"/>
    <cellStyle name="Input 3 2 3 4 3" xfId="28283" xr:uid="{00000000-0005-0000-0000-0000870A0000}"/>
    <cellStyle name="Input 3 2 3 4 3 2" xfId="29270" xr:uid="{00000000-0005-0000-0000-0000880A0000}"/>
    <cellStyle name="Input 3 2 3 4 3 2 2" xfId="31230" xr:uid="{00000000-0005-0000-0000-0000890A0000}"/>
    <cellStyle name="Input 3 2 3 4 3 3" xfId="30250" xr:uid="{00000000-0005-0000-0000-00008A0A0000}"/>
    <cellStyle name="Input 3 2 3 4 4" xfId="28670" xr:uid="{00000000-0005-0000-0000-00008B0A0000}"/>
    <cellStyle name="Input 3 2 3 4 4 2" xfId="30630" xr:uid="{00000000-0005-0000-0000-00008C0A0000}"/>
    <cellStyle name="Input 3 2 3 4 5" xfId="29650" xr:uid="{00000000-0005-0000-0000-00008D0A0000}"/>
    <cellStyle name="Input 3 2 3 5" xfId="27854" xr:uid="{00000000-0005-0000-0000-00008E0A0000}"/>
    <cellStyle name="Input 3 2 3 5 2" xfId="28841" xr:uid="{00000000-0005-0000-0000-00008F0A0000}"/>
    <cellStyle name="Input 3 2 3 5 2 2" xfId="30801" xr:uid="{00000000-0005-0000-0000-0000900A0000}"/>
    <cellStyle name="Input 3 2 3 5 3" xfId="29821" xr:uid="{00000000-0005-0000-0000-0000910A0000}"/>
    <cellStyle name="Input 3 2 3 6" xfId="28376" xr:uid="{00000000-0005-0000-0000-0000920A0000}"/>
    <cellStyle name="Input 3 2 3 6 2" xfId="30336" xr:uid="{00000000-0005-0000-0000-0000930A0000}"/>
    <cellStyle name="Input 3 2 3 7" xfId="29356" xr:uid="{00000000-0005-0000-0000-0000940A0000}"/>
    <cellStyle name="Input 3 2 3 8" xfId="31316" xr:uid="{00000000-0005-0000-0000-0000950A0000}"/>
    <cellStyle name="Input 3 2 4" xfId="27442" xr:uid="{00000000-0005-0000-0000-0000960A0000}"/>
    <cellStyle name="Input 3 2 4 2" xfId="27908" xr:uid="{00000000-0005-0000-0000-0000970A0000}"/>
    <cellStyle name="Input 3 2 4 2 2" xfId="28895" xr:uid="{00000000-0005-0000-0000-0000980A0000}"/>
    <cellStyle name="Input 3 2 4 2 2 2" xfId="30855" xr:uid="{00000000-0005-0000-0000-0000990A0000}"/>
    <cellStyle name="Input 3 2 4 2 3" xfId="29875" xr:uid="{00000000-0005-0000-0000-00009A0A0000}"/>
    <cellStyle name="Input 3 2 4 3" xfId="28430" xr:uid="{00000000-0005-0000-0000-00009B0A0000}"/>
    <cellStyle name="Input 3 2 4 3 2" xfId="30390" xr:uid="{00000000-0005-0000-0000-00009C0A0000}"/>
    <cellStyle name="Input 3 2 4 4" xfId="29410" xr:uid="{00000000-0005-0000-0000-00009D0A0000}"/>
    <cellStyle name="Input 3 2 5" xfId="27540" xr:uid="{00000000-0005-0000-0000-00009E0A0000}"/>
    <cellStyle name="Input 3 2 5 2" xfId="28006" xr:uid="{00000000-0005-0000-0000-00009F0A0000}"/>
    <cellStyle name="Input 3 2 5 2 2" xfId="28993" xr:uid="{00000000-0005-0000-0000-0000A00A0000}"/>
    <cellStyle name="Input 3 2 5 2 2 2" xfId="30953" xr:uid="{00000000-0005-0000-0000-0000A10A0000}"/>
    <cellStyle name="Input 3 2 5 2 3" xfId="29973" xr:uid="{00000000-0005-0000-0000-0000A20A0000}"/>
    <cellStyle name="Input 3 2 5 3" xfId="27813" xr:uid="{00000000-0005-0000-0000-0000A30A0000}"/>
    <cellStyle name="Input 3 2 5 3 2" xfId="28800" xr:uid="{00000000-0005-0000-0000-0000A40A0000}"/>
    <cellStyle name="Input 3 2 5 3 2 2" xfId="30760" xr:uid="{00000000-0005-0000-0000-0000A50A0000}"/>
    <cellStyle name="Input 3 2 5 3 3" xfId="29780" xr:uid="{00000000-0005-0000-0000-0000A60A0000}"/>
    <cellStyle name="Input 3 2 5 4" xfId="28528" xr:uid="{00000000-0005-0000-0000-0000A70A0000}"/>
    <cellStyle name="Input 3 2 5 4 2" xfId="30488" xr:uid="{00000000-0005-0000-0000-0000A80A0000}"/>
    <cellStyle name="Input 3 2 5 5" xfId="29508" xr:uid="{00000000-0005-0000-0000-0000A90A0000}"/>
    <cellStyle name="Input 3 2 6" xfId="27638" xr:uid="{00000000-0005-0000-0000-0000AA0A0000}"/>
    <cellStyle name="Input 3 2 6 2" xfId="28104" xr:uid="{00000000-0005-0000-0000-0000AB0A0000}"/>
    <cellStyle name="Input 3 2 6 2 2" xfId="29091" xr:uid="{00000000-0005-0000-0000-0000AC0A0000}"/>
    <cellStyle name="Input 3 2 6 2 2 2" xfId="31051" xr:uid="{00000000-0005-0000-0000-0000AD0A0000}"/>
    <cellStyle name="Input 3 2 6 2 3" xfId="30071" xr:uid="{00000000-0005-0000-0000-0000AE0A0000}"/>
    <cellStyle name="Input 3 2 6 3" xfId="28255" xr:uid="{00000000-0005-0000-0000-0000AF0A0000}"/>
    <cellStyle name="Input 3 2 6 3 2" xfId="29242" xr:uid="{00000000-0005-0000-0000-0000B00A0000}"/>
    <cellStyle name="Input 3 2 6 3 2 2" xfId="31202" xr:uid="{00000000-0005-0000-0000-0000B10A0000}"/>
    <cellStyle name="Input 3 2 6 3 3" xfId="30222" xr:uid="{00000000-0005-0000-0000-0000B20A0000}"/>
    <cellStyle name="Input 3 2 6 4" xfId="28626" xr:uid="{00000000-0005-0000-0000-0000B30A0000}"/>
    <cellStyle name="Input 3 2 6 4 2" xfId="30586" xr:uid="{00000000-0005-0000-0000-0000B40A0000}"/>
    <cellStyle name="Input 3 2 6 5" xfId="29606" xr:uid="{00000000-0005-0000-0000-0000B50A0000}"/>
    <cellStyle name="Input 3 2 7" xfId="27778" xr:uid="{00000000-0005-0000-0000-0000B60A0000}"/>
    <cellStyle name="Input 3 2 7 2" xfId="28766" xr:uid="{00000000-0005-0000-0000-0000B70A0000}"/>
    <cellStyle name="Input 3 2 7 2 2" xfId="30726" xr:uid="{00000000-0005-0000-0000-0000B80A0000}"/>
    <cellStyle name="Input 3 2 7 3" xfId="29746" xr:uid="{00000000-0005-0000-0000-0000B90A0000}"/>
    <cellStyle name="Input 3 2 8" xfId="28332" xr:uid="{00000000-0005-0000-0000-0000BA0A0000}"/>
    <cellStyle name="Input 3 2 8 2" xfId="30292" xr:uid="{00000000-0005-0000-0000-0000BB0A0000}"/>
    <cellStyle name="Input 3 2 9" xfId="29312" xr:uid="{00000000-0005-0000-0000-0000BC0A0000}"/>
    <cellStyle name="Input 3 3" xfId="14945" xr:uid="{00000000-0005-0000-0000-0000BD0A0000}"/>
    <cellStyle name="Input 3 3 2" xfId="27365" xr:uid="{00000000-0005-0000-0000-0000BE0A0000}"/>
    <cellStyle name="Input 3 3 2 2" xfId="27476" xr:uid="{00000000-0005-0000-0000-0000BF0A0000}"/>
    <cellStyle name="Input 3 3 2 2 2" xfId="27942" xr:uid="{00000000-0005-0000-0000-0000C00A0000}"/>
    <cellStyle name="Input 3 3 2 2 2 2" xfId="28929" xr:uid="{00000000-0005-0000-0000-0000C10A0000}"/>
    <cellStyle name="Input 3 3 2 2 2 2 2" xfId="30889" xr:uid="{00000000-0005-0000-0000-0000C20A0000}"/>
    <cellStyle name="Input 3 3 2 2 2 3" xfId="29909" xr:uid="{00000000-0005-0000-0000-0000C30A0000}"/>
    <cellStyle name="Input 3 3 2 2 3" xfId="28464" xr:uid="{00000000-0005-0000-0000-0000C40A0000}"/>
    <cellStyle name="Input 3 3 2 2 3 2" xfId="30424" xr:uid="{00000000-0005-0000-0000-0000C50A0000}"/>
    <cellStyle name="Input 3 3 2 2 4" xfId="29444" xr:uid="{00000000-0005-0000-0000-0000C60A0000}"/>
    <cellStyle name="Input 3 3 2 3" xfId="27574" xr:uid="{00000000-0005-0000-0000-0000C70A0000}"/>
    <cellStyle name="Input 3 3 2 3 2" xfId="28040" xr:uid="{00000000-0005-0000-0000-0000C80A0000}"/>
    <cellStyle name="Input 3 3 2 3 2 2" xfId="29027" xr:uid="{00000000-0005-0000-0000-0000C90A0000}"/>
    <cellStyle name="Input 3 3 2 3 2 2 2" xfId="30987" xr:uid="{00000000-0005-0000-0000-0000CA0A0000}"/>
    <cellStyle name="Input 3 3 2 3 2 3" xfId="30007" xr:uid="{00000000-0005-0000-0000-0000CB0A0000}"/>
    <cellStyle name="Input 3 3 2 3 3" xfId="27731" xr:uid="{00000000-0005-0000-0000-0000CC0A0000}"/>
    <cellStyle name="Input 3 3 2 3 3 2" xfId="28719" xr:uid="{00000000-0005-0000-0000-0000CD0A0000}"/>
    <cellStyle name="Input 3 3 2 3 3 2 2" xfId="30679" xr:uid="{00000000-0005-0000-0000-0000CE0A0000}"/>
    <cellStyle name="Input 3 3 2 3 3 3" xfId="29699" xr:uid="{00000000-0005-0000-0000-0000CF0A0000}"/>
    <cellStyle name="Input 3 3 2 3 4" xfId="28562" xr:uid="{00000000-0005-0000-0000-0000D00A0000}"/>
    <cellStyle name="Input 3 3 2 3 4 2" xfId="30522" xr:uid="{00000000-0005-0000-0000-0000D10A0000}"/>
    <cellStyle name="Input 3 3 2 3 5" xfId="29542" xr:uid="{00000000-0005-0000-0000-0000D20A0000}"/>
    <cellStyle name="Input 3 3 2 4" xfId="27672" xr:uid="{00000000-0005-0000-0000-0000D30A0000}"/>
    <cellStyle name="Input 3 3 2 4 2" xfId="28138" xr:uid="{00000000-0005-0000-0000-0000D40A0000}"/>
    <cellStyle name="Input 3 3 2 4 2 2" xfId="29125" xr:uid="{00000000-0005-0000-0000-0000D50A0000}"/>
    <cellStyle name="Input 3 3 2 4 2 2 2" xfId="31085" xr:uid="{00000000-0005-0000-0000-0000D60A0000}"/>
    <cellStyle name="Input 3 3 2 4 2 3" xfId="30105" xr:uid="{00000000-0005-0000-0000-0000D70A0000}"/>
    <cellStyle name="Input 3 3 2 4 3" xfId="28277" xr:uid="{00000000-0005-0000-0000-0000D80A0000}"/>
    <cellStyle name="Input 3 3 2 4 3 2" xfId="29264" xr:uid="{00000000-0005-0000-0000-0000D90A0000}"/>
    <cellStyle name="Input 3 3 2 4 3 2 2" xfId="31224" xr:uid="{00000000-0005-0000-0000-0000DA0A0000}"/>
    <cellStyle name="Input 3 3 2 4 3 3" xfId="30244" xr:uid="{00000000-0005-0000-0000-0000DB0A0000}"/>
    <cellStyle name="Input 3 3 2 4 4" xfId="28660" xr:uid="{00000000-0005-0000-0000-0000DC0A0000}"/>
    <cellStyle name="Input 3 3 2 4 4 2" xfId="30620" xr:uid="{00000000-0005-0000-0000-0000DD0A0000}"/>
    <cellStyle name="Input 3 3 2 4 5" xfId="29640" xr:uid="{00000000-0005-0000-0000-0000DE0A0000}"/>
    <cellStyle name="Input 3 3 2 5" xfId="27844" xr:uid="{00000000-0005-0000-0000-0000DF0A0000}"/>
    <cellStyle name="Input 3 3 2 5 2" xfId="28831" xr:uid="{00000000-0005-0000-0000-0000E00A0000}"/>
    <cellStyle name="Input 3 3 2 5 2 2" xfId="30791" xr:uid="{00000000-0005-0000-0000-0000E10A0000}"/>
    <cellStyle name="Input 3 3 2 5 3" xfId="29811" xr:uid="{00000000-0005-0000-0000-0000E20A0000}"/>
    <cellStyle name="Input 3 3 2 6" xfId="28366" xr:uid="{00000000-0005-0000-0000-0000E30A0000}"/>
    <cellStyle name="Input 3 3 2 6 2" xfId="30326" xr:uid="{00000000-0005-0000-0000-0000E40A0000}"/>
    <cellStyle name="Input 3 3 2 7" xfId="29346" xr:uid="{00000000-0005-0000-0000-0000E50A0000}"/>
    <cellStyle name="Input 3 3 2 8" xfId="31306" xr:uid="{00000000-0005-0000-0000-0000E60A0000}"/>
    <cellStyle name="Input 3 3 3" xfId="27432" xr:uid="{00000000-0005-0000-0000-0000E70A0000}"/>
    <cellStyle name="Input 3 3 3 2" xfId="27898" xr:uid="{00000000-0005-0000-0000-0000E80A0000}"/>
    <cellStyle name="Input 3 3 3 2 2" xfId="28885" xr:uid="{00000000-0005-0000-0000-0000E90A0000}"/>
    <cellStyle name="Input 3 3 3 2 2 2" xfId="30845" xr:uid="{00000000-0005-0000-0000-0000EA0A0000}"/>
    <cellStyle name="Input 3 3 3 2 3" xfId="29865" xr:uid="{00000000-0005-0000-0000-0000EB0A0000}"/>
    <cellStyle name="Input 3 3 3 3" xfId="28420" xr:uid="{00000000-0005-0000-0000-0000EC0A0000}"/>
    <cellStyle name="Input 3 3 3 3 2" xfId="30380" xr:uid="{00000000-0005-0000-0000-0000ED0A0000}"/>
    <cellStyle name="Input 3 3 3 4" xfId="29400" xr:uid="{00000000-0005-0000-0000-0000EE0A0000}"/>
    <cellStyle name="Input 3 3 4" xfId="27530" xr:uid="{00000000-0005-0000-0000-0000EF0A0000}"/>
    <cellStyle name="Input 3 3 4 2" xfId="27996" xr:uid="{00000000-0005-0000-0000-0000F00A0000}"/>
    <cellStyle name="Input 3 3 4 2 2" xfId="28983" xr:uid="{00000000-0005-0000-0000-0000F10A0000}"/>
    <cellStyle name="Input 3 3 4 2 2 2" xfId="30943" xr:uid="{00000000-0005-0000-0000-0000F20A0000}"/>
    <cellStyle name="Input 3 3 4 2 3" xfId="29963" xr:uid="{00000000-0005-0000-0000-0000F30A0000}"/>
    <cellStyle name="Input 3 3 4 3" xfId="27811" xr:uid="{00000000-0005-0000-0000-0000F40A0000}"/>
    <cellStyle name="Input 3 3 4 3 2" xfId="28798" xr:uid="{00000000-0005-0000-0000-0000F50A0000}"/>
    <cellStyle name="Input 3 3 4 3 2 2" xfId="30758" xr:uid="{00000000-0005-0000-0000-0000F60A0000}"/>
    <cellStyle name="Input 3 3 4 3 3" xfId="29778" xr:uid="{00000000-0005-0000-0000-0000F70A0000}"/>
    <cellStyle name="Input 3 3 4 4" xfId="28518" xr:uid="{00000000-0005-0000-0000-0000F80A0000}"/>
    <cellStyle name="Input 3 3 4 4 2" xfId="30478" xr:uid="{00000000-0005-0000-0000-0000F90A0000}"/>
    <cellStyle name="Input 3 3 4 5" xfId="29498" xr:uid="{00000000-0005-0000-0000-0000FA0A0000}"/>
    <cellStyle name="Input 3 3 5" xfId="27628" xr:uid="{00000000-0005-0000-0000-0000FB0A0000}"/>
    <cellStyle name="Input 3 3 5 2" xfId="28094" xr:uid="{00000000-0005-0000-0000-0000FC0A0000}"/>
    <cellStyle name="Input 3 3 5 2 2" xfId="29081" xr:uid="{00000000-0005-0000-0000-0000FD0A0000}"/>
    <cellStyle name="Input 3 3 5 2 2 2" xfId="31041" xr:uid="{00000000-0005-0000-0000-0000FE0A0000}"/>
    <cellStyle name="Input 3 3 5 2 3" xfId="30061" xr:uid="{00000000-0005-0000-0000-0000FF0A0000}"/>
    <cellStyle name="Input 3 3 5 3" xfId="27763" xr:uid="{00000000-0005-0000-0000-0000000B0000}"/>
    <cellStyle name="Input 3 3 5 3 2" xfId="28751" xr:uid="{00000000-0005-0000-0000-0000010B0000}"/>
    <cellStyle name="Input 3 3 5 3 2 2" xfId="30711" xr:uid="{00000000-0005-0000-0000-0000020B0000}"/>
    <cellStyle name="Input 3 3 5 3 3" xfId="29731" xr:uid="{00000000-0005-0000-0000-0000030B0000}"/>
    <cellStyle name="Input 3 3 5 4" xfId="28616" xr:uid="{00000000-0005-0000-0000-0000040B0000}"/>
    <cellStyle name="Input 3 3 5 4 2" xfId="30576" xr:uid="{00000000-0005-0000-0000-0000050B0000}"/>
    <cellStyle name="Input 3 3 5 5" xfId="29596" xr:uid="{00000000-0005-0000-0000-0000060B0000}"/>
    <cellStyle name="Input 3 3 6" xfId="27768" xr:uid="{00000000-0005-0000-0000-0000070B0000}"/>
    <cellStyle name="Input 3 3 6 2" xfId="28756" xr:uid="{00000000-0005-0000-0000-0000080B0000}"/>
    <cellStyle name="Input 3 3 6 2 2" xfId="30716" xr:uid="{00000000-0005-0000-0000-0000090B0000}"/>
    <cellStyle name="Input 3 3 6 3" xfId="29736" xr:uid="{00000000-0005-0000-0000-00000A0B0000}"/>
    <cellStyle name="Input 3 3 7" xfId="28322" xr:uid="{00000000-0005-0000-0000-00000B0B0000}"/>
    <cellStyle name="Input 3 3 7 2" xfId="30282" xr:uid="{00000000-0005-0000-0000-00000C0B0000}"/>
    <cellStyle name="Input 3 3 8" xfId="29302" xr:uid="{00000000-0005-0000-0000-00000D0B0000}"/>
    <cellStyle name="Input 3 3 9" xfId="31262" xr:uid="{00000000-0005-0000-0000-00000E0B0000}"/>
    <cellStyle name="Input 3 4" xfId="14998" xr:uid="{00000000-0005-0000-0000-00000F0B0000}"/>
    <cellStyle name="Input 3 4 2" xfId="27383" xr:uid="{00000000-0005-0000-0000-0000100B0000}"/>
    <cellStyle name="Input 3 4 2 2" xfId="27494" xr:uid="{00000000-0005-0000-0000-0000110B0000}"/>
    <cellStyle name="Input 3 4 2 2 2" xfId="27960" xr:uid="{00000000-0005-0000-0000-0000120B0000}"/>
    <cellStyle name="Input 3 4 2 2 2 2" xfId="28947" xr:uid="{00000000-0005-0000-0000-0000130B0000}"/>
    <cellStyle name="Input 3 4 2 2 2 2 2" xfId="30907" xr:uid="{00000000-0005-0000-0000-0000140B0000}"/>
    <cellStyle name="Input 3 4 2 2 2 3" xfId="29927" xr:uid="{00000000-0005-0000-0000-0000150B0000}"/>
    <cellStyle name="Input 3 4 2 2 3" xfId="28482" xr:uid="{00000000-0005-0000-0000-0000160B0000}"/>
    <cellStyle name="Input 3 4 2 2 3 2" xfId="30442" xr:uid="{00000000-0005-0000-0000-0000170B0000}"/>
    <cellStyle name="Input 3 4 2 2 4" xfId="29462" xr:uid="{00000000-0005-0000-0000-0000180B0000}"/>
    <cellStyle name="Input 3 4 2 3" xfId="27592" xr:uid="{00000000-0005-0000-0000-0000190B0000}"/>
    <cellStyle name="Input 3 4 2 3 2" xfId="28058" xr:uid="{00000000-0005-0000-0000-00001A0B0000}"/>
    <cellStyle name="Input 3 4 2 3 2 2" xfId="29045" xr:uid="{00000000-0005-0000-0000-00001B0B0000}"/>
    <cellStyle name="Input 3 4 2 3 2 2 2" xfId="31005" xr:uid="{00000000-0005-0000-0000-00001C0B0000}"/>
    <cellStyle name="Input 3 4 2 3 2 3" xfId="30025" xr:uid="{00000000-0005-0000-0000-00001D0B0000}"/>
    <cellStyle name="Input 3 4 2 3 3" xfId="27732" xr:uid="{00000000-0005-0000-0000-00001E0B0000}"/>
    <cellStyle name="Input 3 4 2 3 3 2" xfId="28720" xr:uid="{00000000-0005-0000-0000-00001F0B0000}"/>
    <cellStyle name="Input 3 4 2 3 3 2 2" xfId="30680" xr:uid="{00000000-0005-0000-0000-0000200B0000}"/>
    <cellStyle name="Input 3 4 2 3 3 3" xfId="29700" xr:uid="{00000000-0005-0000-0000-0000210B0000}"/>
    <cellStyle name="Input 3 4 2 3 4" xfId="28580" xr:uid="{00000000-0005-0000-0000-0000220B0000}"/>
    <cellStyle name="Input 3 4 2 3 4 2" xfId="30540" xr:uid="{00000000-0005-0000-0000-0000230B0000}"/>
    <cellStyle name="Input 3 4 2 3 5" xfId="29560" xr:uid="{00000000-0005-0000-0000-0000240B0000}"/>
    <cellStyle name="Input 3 4 2 4" xfId="27690" xr:uid="{00000000-0005-0000-0000-0000250B0000}"/>
    <cellStyle name="Input 3 4 2 4 2" xfId="28156" xr:uid="{00000000-0005-0000-0000-0000260B0000}"/>
    <cellStyle name="Input 3 4 2 4 2 2" xfId="29143" xr:uid="{00000000-0005-0000-0000-0000270B0000}"/>
    <cellStyle name="Input 3 4 2 4 2 2 2" xfId="31103" xr:uid="{00000000-0005-0000-0000-0000280B0000}"/>
    <cellStyle name="Input 3 4 2 4 2 3" xfId="30123" xr:uid="{00000000-0005-0000-0000-0000290B0000}"/>
    <cellStyle name="Input 3 4 2 4 3" xfId="28287" xr:uid="{00000000-0005-0000-0000-00002A0B0000}"/>
    <cellStyle name="Input 3 4 2 4 3 2" xfId="29274" xr:uid="{00000000-0005-0000-0000-00002B0B0000}"/>
    <cellStyle name="Input 3 4 2 4 3 2 2" xfId="31234" xr:uid="{00000000-0005-0000-0000-00002C0B0000}"/>
    <cellStyle name="Input 3 4 2 4 3 3" xfId="30254" xr:uid="{00000000-0005-0000-0000-00002D0B0000}"/>
    <cellStyle name="Input 3 4 2 4 4" xfId="28678" xr:uid="{00000000-0005-0000-0000-00002E0B0000}"/>
    <cellStyle name="Input 3 4 2 4 4 2" xfId="30638" xr:uid="{00000000-0005-0000-0000-00002F0B0000}"/>
    <cellStyle name="Input 3 4 2 4 5" xfId="29658" xr:uid="{00000000-0005-0000-0000-0000300B0000}"/>
    <cellStyle name="Input 3 4 2 5" xfId="27862" xr:uid="{00000000-0005-0000-0000-0000310B0000}"/>
    <cellStyle name="Input 3 4 2 5 2" xfId="28849" xr:uid="{00000000-0005-0000-0000-0000320B0000}"/>
    <cellStyle name="Input 3 4 2 5 2 2" xfId="30809" xr:uid="{00000000-0005-0000-0000-0000330B0000}"/>
    <cellStyle name="Input 3 4 2 5 3" xfId="29829" xr:uid="{00000000-0005-0000-0000-0000340B0000}"/>
    <cellStyle name="Input 3 4 2 6" xfId="28384" xr:uid="{00000000-0005-0000-0000-0000350B0000}"/>
    <cellStyle name="Input 3 4 2 6 2" xfId="30344" xr:uid="{00000000-0005-0000-0000-0000360B0000}"/>
    <cellStyle name="Input 3 4 2 7" xfId="29364" xr:uid="{00000000-0005-0000-0000-0000370B0000}"/>
    <cellStyle name="Input 3 4 2 8" xfId="31324" xr:uid="{00000000-0005-0000-0000-0000380B0000}"/>
    <cellStyle name="Input 3 4 3" xfId="27450" xr:uid="{00000000-0005-0000-0000-0000390B0000}"/>
    <cellStyle name="Input 3 4 3 2" xfId="27916" xr:uid="{00000000-0005-0000-0000-00003A0B0000}"/>
    <cellStyle name="Input 3 4 3 2 2" xfId="28903" xr:uid="{00000000-0005-0000-0000-00003B0B0000}"/>
    <cellStyle name="Input 3 4 3 2 2 2" xfId="30863" xr:uid="{00000000-0005-0000-0000-00003C0B0000}"/>
    <cellStyle name="Input 3 4 3 2 3" xfId="29883" xr:uid="{00000000-0005-0000-0000-00003D0B0000}"/>
    <cellStyle name="Input 3 4 3 3" xfId="28438" xr:uid="{00000000-0005-0000-0000-00003E0B0000}"/>
    <cellStyle name="Input 3 4 3 3 2" xfId="30398" xr:uid="{00000000-0005-0000-0000-00003F0B0000}"/>
    <cellStyle name="Input 3 4 3 4" xfId="29418" xr:uid="{00000000-0005-0000-0000-0000400B0000}"/>
    <cellStyle name="Input 3 4 4" xfId="27548" xr:uid="{00000000-0005-0000-0000-0000410B0000}"/>
    <cellStyle name="Input 3 4 4 2" xfId="28014" xr:uid="{00000000-0005-0000-0000-0000420B0000}"/>
    <cellStyle name="Input 3 4 4 2 2" xfId="29001" xr:uid="{00000000-0005-0000-0000-0000430B0000}"/>
    <cellStyle name="Input 3 4 4 2 2 2" xfId="30961" xr:uid="{00000000-0005-0000-0000-0000440B0000}"/>
    <cellStyle name="Input 3 4 4 2 3" xfId="29981" xr:uid="{00000000-0005-0000-0000-0000450B0000}"/>
    <cellStyle name="Input 3 4 4 3" xfId="27814" xr:uid="{00000000-0005-0000-0000-0000460B0000}"/>
    <cellStyle name="Input 3 4 4 3 2" xfId="28801" xr:uid="{00000000-0005-0000-0000-0000470B0000}"/>
    <cellStyle name="Input 3 4 4 3 2 2" xfId="30761" xr:uid="{00000000-0005-0000-0000-0000480B0000}"/>
    <cellStyle name="Input 3 4 4 3 3" xfId="29781" xr:uid="{00000000-0005-0000-0000-0000490B0000}"/>
    <cellStyle name="Input 3 4 4 4" xfId="28536" xr:uid="{00000000-0005-0000-0000-00004A0B0000}"/>
    <cellStyle name="Input 3 4 4 4 2" xfId="30496" xr:uid="{00000000-0005-0000-0000-00004B0B0000}"/>
    <cellStyle name="Input 3 4 4 5" xfId="29516" xr:uid="{00000000-0005-0000-0000-00004C0B0000}"/>
    <cellStyle name="Input 3 4 5" xfId="27646" xr:uid="{00000000-0005-0000-0000-00004D0B0000}"/>
    <cellStyle name="Input 3 4 5 2" xfId="28112" xr:uid="{00000000-0005-0000-0000-00004E0B0000}"/>
    <cellStyle name="Input 3 4 5 2 2" xfId="29099" xr:uid="{00000000-0005-0000-0000-00004F0B0000}"/>
    <cellStyle name="Input 3 4 5 2 2 2" xfId="31059" xr:uid="{00000000-0005-0000-0000-0000500B0000}"/>
    <cellStyle name="Input 3 4 5 2 3" xfId="30079" xr:uid="{00000000-0005-0000-0000-0000510B0000}"/>
    <cellStyle name="Input 3 4 5 3" xfId="28259" xr:uid="{00000000-0005-0000-0000-0000520B0000}"/>
    <cellStyle name="Input 3 4 5 3 2" xfId="29246" xr:uid="{00000000-0005-0000-0000-0000530B0000}"/>
    <cellStyle name="Input 3 4 5 3 2 2" xfId="31206" xr:uid="{00000000-0005-0000-0000-0000540B0000}"/>
    <cellStyle name="Input 3 4 5 3 3" xfId="30226" xr:uid="{00000000-0005-0000-0000-0000550B0000}"/>
    <cellStyle name="Input 3 4 5 4" xfId="28634" xr:uid="{00000000-0005-0000-0000-0000560B0000}"/>
    <cellStyle name="Input 3 4 5 4 2" xfId="30594" xr:uid="{00000000-0005-0000-0000-0000570B0000}"/>
    <cellStyle name="Input 3 4 5 5" xfId="29614" xr:uid="{00000000-0005-0000-0000-0000580B0000}"/>
    <cellStyle name="Input 3 4 6" xfId="27786" xr:uid="{00000000-0005-0000-0000-0000590B0000}"/>
    <cellStyle name="Input 3 4 6 2" xfId="28774" xr:uid="{00000000-0005-0000-0000-00005A0B0000}"/>
    <cellStyle name="Input 3 4 6 2 2" xfId="30734" xr:uid="{00000000-0005-0000-0000-00005B0B0000}"/>
    <cellStyle name="Input 3 4 6 3" xfId="29754" xr:uid="{00000000-0005-0000-0000-00005C0B0000}"/>
    <cellStyle name="Input 3 4 7" xfId="28340" xr:uid="{00000000-0005-0000-0000-00005D0B0000}"/>
    <cellStyle name="Input 3 4 7 2" xfId="30300" xr:uid="{00000000-0005-0000-0000-00005E0B0000}"/>
    <cellStyle name="Input 3 4 8" xfId="29320" xr:uid="{00000000-0005-0000-0000-00005F0B0000}"/>
    <cellStyle name="Input 3 4 9" xfId="31280" xr:uid="{00000000-0005-0000-0000-0000600B0000}"/>
    <cellStyle name="Input 3 5" xfId="27422" xr:uid="{00000000-0005-0000-0000-0000610B0000}"/>
    <cellStyle name="Input 3 5 2" xfId="27888" xr:uid="{00000000-0005-0000-0000-0000620B0000}"/>
    <cellStyle name="Input 3 5 2 2" xfId="28875" xr:uid="{00000000-0005-0000-0000-0000630B0000}"/>
    <cellStyle name="Input 3 5 2 2 2" xfId="30835" xr:uid="{00000000-0005-0000-0000-0000640B0000}"/>
    <cellStyle name="Input 3 5 2 3" xfId="29855" xr:uid="{00000000-0005-0000-0000-0000650B0000}"/>
    <cellStyle name="Input 3 5 3" xfId="28410" xr:uid="{00000000-0005-0000-0000-0000660B0000}"/>
    <cellStyle name="Input 3 5 3 2" xfId="30370" xr:uid="{00000000-0005-0000-0000-0000670B0000}"/>
    <cellStyle name="Input 3 5 4" xfId="29390" xr:uid="{00000000-0005-0000-0000-0000680B0000}"/>
    <cellStyle name="Input 3 6" xfId="27520" xr:uid="{00000000-0005-0000-0000-0000690B0000}"/>
    <cellStyle name="Input 3 6 2" xfId="27986" xr:uid="{00000000-0005-0000-0000-00006A0B0000}"/>
    <cellStyle name="Input 3 6 2 2" xfId="28973" xr:uid="{00000000-0005-0000-0000-00006B0B0000}"/>
    <cellStyle name="Input 3 6 2 2 2" xfId="30933" xr:uid="{00000000-0005-0000-0000-00006C0B0000}"/>
    <cellStyle name="Input 3 6 2 3" xfId="29953" xr:uid="{00000000-0005-0000-0000-00006D0B0000}"/>
    <cellStyle name="Input 3 6 3" xfId="27740" xr:uid="{00000000-0005-0000-0000-00006E0B0000}"/>
    <cellStyle name="Input 3 6 3 2" xfId="28728" xr:uid="{00000000-0005-0000-0000-00006F0B0000}"/>
    <cellStyle name="Input 3 6 3 2 2" xfId="30688" xr:uid="{00000000-0005-0000-0000-0000700B0000}"/>
    <cellStyle name="Input 3 6 3 3" xfId="29708" xr:uid="{00000000-0005-0000-0000-0000710B0000}"/>
    <cellStyle name="Input 3 6 4" xfId="28508" xr:uid="{00000000-0005-0000-0000-0000720B0000}"/>
    <cellStyle name="Input 3 6 4 2" xfId="30468" xr:uid="{00000000-0005-0000-0000-0000730B0000}"/>
    <cellStyle name="Input 3 6 5" xfId="29488" xr:uid="{00000000-0005-0000-0000-0000740B0000}"/>
    <cellStyle name="Input 3 7" xfId="27618" xr:uid="{00000000-0005-0000-0000-0000750B0000}"/>
    <cellStyle name="Input 3 7 2" xfId="28084" xr:uid="{00000000-0005-0000-0000-0000760B0000}"/>
    <cellStyle name="Input 3 7 2 2" xfId="29071" xr:uid="{00000000-0005-0000-0000-0000770B0000}"/>
    <cellStyle name="Input 3 7 2 2 2" xfId="31031" xr:uid="{00000000-0005-0000-0000-0000780B0000}"/>
    <cellStyle name="Input 3 7 2 3" xfId="30051" xr:uid="{00000000-0005-0000-0000-0000790B0000}"/>
    <cellStyle name="Input 3 7 3" xfId="27761" xr:uid="{00000000-0005-0000-0000-00007A0B0000}"/>
    <cellStyle name="Input 3 7 3 2" xfId="28749" xr:uid="{00000000-0005-0000-0000-00007B0B0000}"/>
    <cellStyle name="Input 3 7 3 2 2" xfId="30709" xr:uid="{00000000-0005-0000-0000-00007C0B0000}"/>
    <cellStyle name="Input 3 7 3 3" xfId="29729" xr:uid="{00000000-0005-0000-0000-00007D0B0000}"/>
    <cellStyle name="Input 3 7 4" xfId="28606" xr:uid="{00000000-0005-0000-0000-00007E0B0000}"/>
    <cellStyle name="Input 3 7 4 2" xfId="30566" xr:uid="{00000000-0005-0000-0000-00007F0B0000}"/>
    <cellStyle name="Input 3 7 5" xfId="29586" xr:uid="{00000000-0005-0000-0000-0000800B0000}"/>
    <cellStyle name="Input 3 8" xfId="27717" xr:uid="{00000000-0005-0000-0000-0000810B0000}"/>
    <cellStyle name="Input 3 8 2" xfId="28705" xr:uid="{00000000-0005-0000-0000-0000820B0000}"/>
    <cellStyle name="Input 3 8 2 2" xfId="30665" xr:uid="{00000000-0005-0000-0000-0000830B0000}"/>
    <cellStyle name="Input 3 8 3" xfId="29685" xr:uid="{00000000-0005-0000-0000-0000840B0000}"/>
    <cellStyle name="Input 3 9" xfId="28312" xr:uid="{00000000-0005-0000-0000-0000850B0000}"/>
    <cellStyle name="Input 3 9 2" xfId="30272" xr:uid="{00000000-0005-0000-0000-0000860B0000}"/>
    <cellStyle name="Input 4" xfId="2833" xr:uid="{00000000-0005-0000-0000-0000870B0000}"/>
    <cellStyle name="Input 5" xfId="2834" xr:uid="{00000000-0005-0000-0000-0000880B0000}"/>
    <cellStyle name="Input 6" xfId="2835" xr:uid="{00000000-0005-0000-0000-0000890B0000}"/>
    <cellStyle name="Input 7" xfId="2836" xr:uid="{00000000-0005-0000-0000-00008A0B0000}"/>
    <cellStyle name="Input 8" xfId="2837" xr:uid="{00000000-0005-0000-0000-00008B0B0000}"/>
    <cellStyle name="Input 9" xfId="2838" xr:uid="{00000000-0005-0000-0000-00008C0B0000}"/>
    <cellStyle name="Linked Cell" xfId="17" builtinId="24" customBuiltin="1"/>
    <cellStyle name="Linked Cell 10" xfId="2839" xr:uid="{00000000-0005-0000-0000-00008E0B0000}"/>
    <cellStyle name="Linked Cell 11" xfId="2840" xr:uid="{00000000-0005-0000-0000-00008F0B0000}"/>
    <cellStyle name="Linked Cell 12" xfId="2841" xr:uid="{00000000-0005-0000-0000-0000900B0000}"/>
    <cellStyle name="Linked Cell 13" xfId="2842" xr:uid="{00000000-0005-0000-0000-0000910B0000}"/>
    <cellStyle name="Linked Cell 14" xfId="2843" xr:uid="{00000000-0005-0000-0000-0000920B0000}"/>
    <cellStyle name="Linked Cell 15" xfId="2844" xr:uid="{00000000-0005-0000-0000-0000930B0000}"/>
    <cellStyle name="Linked Cell 16" xfId="2845" xr:uid="{00000000-0005-0000-0000-0000940B0000}"/>
    <cellStyle name="Linked Cell 17" xfId="2846" xr:uid="{00000000-0005-0000-0000-0000950B0000}"/>
    <cellStyle name="Linked Cell 18" xfId="2847" xr:uid="{00000000-0005-0000-0000-0000960B0000}"/>
    <cellStyle name="Linked Cell 19" xfId="2848" xr:uid="{00000000-0005-0000-0000-0000970B0000}"/>
    <cellStyle name="Linked Cell 2" xfId="1594" xr:uid="{00000000-0005-0000-0000-0000980B0000}"/>
    <cellStyle name="Linked Cell 2 10" xfId="2849" xr:uid="{00000000-0005-0000-0000-0000990B0000}"/>
    <cellStyle name="Linked Cell 2 11" xfId="2850" xr:uid="{00000000-0005-0000-0000-00009A0B0000}"/>
    <cellStyle name="Linked Cell 2 12" xfId="2851" xr:uid="{00000000-0005-0000-0000-00009B0B0000}"/>
    <cellStyle name="Linked Cell 2 13" xfId="2852" xr:uid="{00000000-0005-0000-0000-00009C0B0000}"/>
    <cellStyle name="Linked Cell 2 14" xfId="2853" xr:uid="{00000000-0005-0000-0000-00009D0B0000}"/>
    <cellStyle name="Linked Cell 2 15" xfId="2854" xr:uid="{00000000-0005-0000-0000-00009E0B0000}"/>
    <cellStyle name="Linked Cell 2 2" xfId="2855" xr:uid="{00000000-0005-0000-0000-00009F0B0000}"/>
    <cellStyle name="Linked Cell 2 3" xfId="2856" xr:uid="{00000000-0005-0000-0000-0000A00B0000}"/>
    <cellStyle name="Linked Cell 2 4" xfId="2857" xr:uid="{00000000-0005-0000-0000-0000A10B0000}"/>
    <cellStyle name="Linked Cell 2 5" xfId="2858" xr:uid="{00000000-0005-0000-0000-0000A20B0000}"/>
    <cellStyle name="Linked Cell 2 6" xfId="2859" xr:uid="{00000000-0005-0000-0000-0000A30B0000}"/>
    <cellStyle name="Linked Cell 2 7" xfId="2860" xr:uid="{00000000-0005-0000-0000-0000A40B0000}"/>
    <cellStyle name="Linked Cell 2 8" xfId="2861" xr:uid="{00000000-0005-0000-0000-0000A50B0000}"/>
    <cellStyle name="Linked Cell 2 9" xfId="2862" xr:uid="{00000000-0005-0000-0000-0000A60B0000}"/>
    <cellStyle name="Linked Cell 20" xfId="2863" xr:uid="{00000000-0005-0000-0000-0000A70B0000}"/>
    <cellStyle name="Linked Cell 21" xfId="2864" xr:uid="{00000000-0005-0000-0000-0000A80B0000}"/>
    <cellStyle name="Linked Cell 22" xfId="2865" xr:uid="{00000000-0005-0000-0000-0000A90B0000}"/>
    <cellStyle name="Linked Cell 23" xfId="2866" xr:uid="{00000000-0005-0000-0000-0000AA0B0000}"/>
    <cellStyle name="Linked Cell 24" xfId="2867" xr:uid="{00000000-0005-0000-0000-0000AB0B0000}"/>
    <cellStyle name="Linked Cell 3" xfId="1595" xr:uid="{00000000-0005-0000-0000-0000AC0B0000}"/>
    <cellStyle name="Linked Cell 4" xfId="2868" xr:uid="{00000000-0005-0000-0000-0000AD0B0000}"/>
    <cellStyle name="Linked Cell 5" xfId="2869" xr:uid="{00000000-0005-0000-0000-0000AE0B0000}"/>
    <cellStyle name="Linked Cell 6" xfId="2870" xr:uid="{00000000-0005-0000-0000-0000AF0B0000}"/>
    <cellStyle name="Linked Cell 7" xfId="2871" xr:uid="{00000000-0005-0000-0000-0000B00B0000}"/>
    <cellStyle name="Linked Cell 8" xfId="2872" xr:uid="{00000000-0005-0000-0000-0000B10B0000}"/>
    <cellStyle name="Linked Cell 9" xfId="2873" xr:uid="{00000000-0005-0000-0000-0000B20B0000}"/>
    <cellStyle name="Neutral" xfId="13" builtinId="28" customBuiltin="1"/>
    <cellStyle name="Neutral 10" xfId="2874" xr:uid="{00000000-0005-0000-0000-0000B40B0000}"/>
    <cellStyle name="Neutral 11" xfId="2875" xr:uid="{00000000-0005-0000-0000-0000B50B0000}"/>
    <cellStyle name="Neutral 12" xfId="2876" xr:uid="{00000000-0005-0000-0000-0000B60B0000}"/>
    <cellStyle name="Neutral 13" xfId="2877" xr:uid="{00000000-0005-0000-0000-0000B70B0000}"/>
    <cellStyle name="Neutral 14" xfId="2878" xr:uid="{00000000-0005-0000-0000-0000B80B0000}"/>
    <cellStyle name="Neutral 15" xfId="2879" xr:uid="{00000000-0005-0000-0000-0000B90B0000}"/>
    <cellStyle name="Neutral 16" xfId="2880" xr:uid="{00000000-0005-0000-0000-0000BA0B0000}"/>
    <cellStyle name="Neutral 17" xfId="2881" xr:uid="{00000000-0005-0000-0000-0000BB0B0000}"/>
    <cellStyle name="Neutral 18" xfId="2882" xr:uid="{00000000-0005-0000-0000-0000BC0B0000}"/>
    <cellStyle name="Neutral 19" xfId="2883" xr:uid="{00000000-0005-0000-0000-0000BD0B0000}"/>
    <cellStyle name="Neutral 2" xfId="1596" xr:uid="{00000000-0005-0000-0000-0000BE0B0000}"/>
    <cellStyle name="Neutral 2 10" xfId="2884" xr:uid="{00000000-0005-0000-0000-0000BF0B0000}"/>
    <cellStyle name="Neutral 2 11" xfId="2885" xr:uid="{00000000-0005-0000-0000-0000C00B0000}"/>
    <cellStyle name="Neutral 2 12" xfId="2886" xr:uid="{00000000-0005-0000-0000-0000C10B0000}"/>
    <cellStyle name="Neutral 2 13" xfId="2887" xr:uid="{00000000-0005-0000-0000-0000C20B0000}"/>
    <cellStyle name="Neutral 2 14" xfId="2888" xr:uid="{00000000-0005-0000-0000-0000C30B0000}"/>
    <cellStyle name="Neutral 2 15" xfId="2889" xr:uid="{00000000-0005-0000-0000-0000C40B0000}"/>
    <cellStyle name="Neutral 2 2" xfId="2890" xr:uid="{00000000-0005-0000-0000-0000C50B0000}"/>
    <cellStyle name="Neutral 2 3" xfId="2891" xr:uid="{00000000-0005-0000-0000-0000C60B0000}"/>
    <cellStyle name="Neutral 2 4" xfId="2892" xr:uid="{00000000-0005-0000-0000-0000C70B0000}"/>
    <cellStyle name="Neutral 2 5" xfId="2893" xr:uid="{00000000-0005-0000-0000-0000C80B0000}"/>
    <cellStyle name="Neutral 2 6" xfId="2894" xr:uid="{00000000-0005-0000-0000-0000C90B0000}"/>
    <cellStyle name="Neutral 2 7" xfId="2895" xr:uid="{00000000-0005-0000-0000-0000CA0B0000}"/>
    <cellStyle name="Neutral 2 8" xfId="2896" xr:uid="{00000000-0005-0000-0000-0000CB0B0000}"/>
    <cellStyle name="Neutral 2 9" xfId="2897" xr:uid="{00000000-0005-0000-0000-0000CC0B0000}"/>
    <cellStyle name="Neutral 20" xfId="2898" xr:uid="{00000000-0005-0000-0000-0000CD0B0000}"/>
    <cellStyle name="Neutral 21" xfId="2899" xr:uid="{00000000-0005-0000-0000-0000CE0B0000}"/>
    <cellStyle name="Neutral 22" xfId="2900" xr:uid="{00000000-0005-0000-0000-0000CF0B0000}"/>
    <cellStyle name="Neutral 23" xfId="2901" xr:uid="{00000000-0005-0000-0000-0000D00B0000}"/>
    <cellStyle name="Neutral 24" xfId="2902" xr:uid="{00000000-0005-0000-0000-0000D10B0000}"/>
    <cellStyle name="Neutral 3" xfId="1597" xr:uid="{00000000-0005-0000-0000-0000D20B0000}"/>
    <cellStyle name="Neutral 4" xfId="2903" xr:uid="{00000000-0005-0000-0000-0000D30B0000}"/>
    <cellStyle name="Neutral 5" xfId="2904" xr:uid="{00000000-0005-0000-0000-0000D40B0000}"/>
    <cellStyle name="Neutral 6" xfId="2905" xr:uid="{00000000-0005-0000-0000-0000D50B0000}"/>
    <cellStyle name="Neutral 7" xfId="2906" xr:uid="{00000000-0005-0000-0000-0000D60B0000}"/>
    <cellStyle name="Neutral 8" xfId="2907" xr:uid="{00000000-0005-0000-0000-0000D70B0000}"/>
    <cellStyle name="Neutral 9" xfId="2908" xr:uid="{00000000-0005-0000-0000-0000D80B0000}"/>
    <cellStyle name="Normal" xfId="0" builtinId="0"/>
    <cellStyle name="Normal 10" xfId="129" xr:uid="{00000000-0005-0000-0000-0000DA0B0000}"/>
    <cellStyle name="Normal 10 10" xfId="48" xr:uid="{00000000-0005-0000-0000-0000DB0B0000}"/>
    <cellStyle name="Normal 10 10 2" xfId="15063" xr:uid="{00000000-0005-0000-0000-0000DC0B0000}"/>
    <cellStyle name="Normal 10 2" xfId="669" xr:uid="{00000000-0005-0000-0000-0000DD0B0000}"/>
    <cellStyle name="Normal 10 2 2" xfId="15018" xr:uid="{00000000-0005-0000-0000-0000DE0B0000}"/>
    <cellStyle name="Normal 10 3" xfId="27413" xr:uid="{00000000-0005-0000-0000-0000DF0B0000}"/>
    <cellStyle name="Normal 100" xfId="226" xr:uid="{00000000-0005-0000-0000-0000E00B0000}"/>
    <cellStyle name="Normal 100 2" xfId="280" xr:uid="{00000000-0005-0000-0000-0000E10B0000}"/>
    <cellStyle name="Normal 100 3" xfId="441" xr:uid="{00000000-0005-0000-0000-0000E20B0000}"/>
    <cellStyle name="Normal 101" xfId="227" xr:uid="{00000000-0005-0000-0000-0000E30B0000}"/>
    <cellStyle name="Normal 101 2" xfId="281" xr:uid="{00000000-0005-0000-0000-0000E40B0000}"/>
    <cellStyle name="Normal 101 2 2" xfId="1503" xr:uid="{00000000-0005-0000-0000-0000E50B0000}"/>
    <cellStyle name="Normal 101 2 2 2" xfId="1506" xr:uid="{00000000-0005-0000-0000-0000E60B0000}"/>
    <cellStyle name="Normal 101 2 3" xfId="810" xr:uid="{00000000-0005-0000-0000-0000E70B0000}"/>
    <cellStyle name="Normal 101 2 4" xfId="1521" xr:uid="{00000000-0005-0000-0000-0000E80B0000}"/>
    <cellStyle name="Normal 101 3" xfId="670" xr:uid="{00000000-0005-0000-0000-0000E90B0000}"/>
    <cellStyle name="Normal 101 4" xfId="442" xr:uid="{00000000-0005-0000-0000-0000EA0B0000}"/>
    <cellStyle name="Normal 102" xfId="228" xr:uid="{00000000-0005-0000-0000-0000EB0B0000}"/>
    <cellStyle name="Normal 102 2" xfId="282" xr:uid="{00000000-0005-0000-0000-0000EC0B0000}"/>
    <cellStyle name="Normal 102 3" xfId="443" xr:uid="{00000000-0005-0000-0000-0000ED0B0000}"/>
    <cellStyle name="Normal 103" xfId="229" xr:uid="{00000000-0005-0000-0000-0000EE0B0000}"/>
    <cellStyle name="Normal 103 2" xfId="283" xr:uid="{00000000-0005-0000-0000-0000EF0B0000}"/>
    <cellStyle name="Normal 103 3" xfId="444" xr:uid="{00000000-0005-0000-0000-0000F00B0000}"/>
    <cellStyle name="Normal 104" xfId="230" xr:uid="{00000000-0005-0000-0000-0000F10B0000}"/>
    <cellStyle name="Normal 104 2" xfId="284" xr:uid="{00000000-0005-0000-0000-0000F20B0000}"/>
    <cellStyle name="Normal 104 3" xfId="445" xr:uid="{00000000-0005-0000-0000-0000F30B0000}"/>
    <cellStyle name="Normal 105" xfId="231" xr:uid="{00000000-0005-0000-0000-0000F40B0000}"/>
    <cellStyle name="Normal 105 2" xfId="285" xr:uid="{00000000-0005-0000-0000-0000F50B0000}"/>
    <cellStyle name="Normal 105 3" xfId="446" xr:uid="{00000000-0005-0000-0000-0000F60B0000}"/>
    <cellStyle name="Normal 106" xfId="232" xr:uid="{00000000-0005-0000-0000-0000F70B0000}"/>
    <cellStyle name="Normal 106 2" xfId="286" xr:uid="{00000000-0005-0000-0000-0000F80B0000}"/>
    <cellStyle name="Normal 106 3" xfId="447" xr:uid="{00000000-0005-0000-0000-0000F90B0000}"/>
    <cellStyle name="Normal 107" xfId="233" xr:uid="{00000000-0005-0000-0000-0000FA0B0000}"/>
    <cellStyle name="Normal 107 2" xfId="287" xr:uid="{00000000-0005-0000-0000-0000FB0B0000}"/>
    <cellStyle name="Normal 107 3" xfId="448" xr:uid="{00000000-0005-0000-0000-0000FC0B0000}"/>
    <cellStyle name="Normal 108" xfId="234" xr:uid="{00000000-0005-0000-0000-0000FD0B0000}"/>
    <cellStyle name="Normal 108 2" xfId="288" xr:uid="{00000000-0005-0000-0000-0000FE0B0000}"/>
    <cellStyle name="Normal 108 3" xfId="449" xr:uid="{00000000-0005-0000-0000-0000FF0B0000}"/>
    <cellStyle name="Normal 109" xfId="235" xr:uid="{00000000-0005-0000-0000-0000000C0000}"/>
    <cellStyle name="Normal 109 2" xfId="289" xr:uid="{00000000-0005-0000-0000-0000010C0000}"/>
    <cellStyle name="Normal 109 3" xfId="450" xr:uid="{00000000-0005-0000-0000-0000020C0000}"/>
    <cellStyle name="Normal 11" xfId="82" xr:uid="{00000000-0005-0000-0000-0000030C0000}"/>
    <cellStyle name="Normal 11 10" xfId="3321" xr:uid="{00000000-0005-0000-0000-0000040C0000}"/>
    <cellStyle name="Normal 11 10 2" xfId="15356" xr:uid="{00000000-0005-0000-0000-0000050C0000}"/>
    <cellStyle name="Normal 11 11" xfId="3322" xr:uid="{00000000-0005-0000-0000-0000060C0000}"/>
    <cellStyle name="Normal 11 11 2" xfId="15357" xr:uid="{00000000-0005-0000-0000-0000070C0000}"/>
    <cellStyle name="Normal 11 12" xfId="3323" xr:uid="{00000000-0005-0000-0000-0000080C0000}"/>
    <cellStyle name="Normal 11 12 2" xfId="15358" xr:uid="{00000000-0005-0000-0000-0000090C0000}"/>
    <cellStyle name="Normal 11 13" xfId="3324" xr:uid="{00000000-0005-0000-0000-00000A0C0000}"/>
    <cellStyle name="Normal 11 13 2" xfId="15359" xr:uid="{00000000-0005-0000-0000-00000B0C0000}"/>
    <cellStyle name="Normal 11 14" xfId="3325" xr:uid="{00000000-0005-0000-0000-00000C0C0000}"/>
    <cellStyle name="Normal 11 14 2" xfId="15360" xr:uid="{00000000-0005-0000-0000-00000D0C0000}"/>
    <cellStyle name="Normal 11 15" xfId="3326" xr:uid="{00000000-0005-0000-0000-00000E0C0000}"/>
    <cellStyle name="Normal 11 15 2" xfId="15361" xr:uid="{00000000-0005-0000-0000-00000F0C0000}"/>
    <cellStyle name="Normal 11 16" xfId="3327" xr:uid="{00000000-0005-0000-0000-0000100C0000}"/>
    <cellStyle name="Normal 11 16 2" xfId="15362" xr:uid="{00000000-0005-0000-0000-0000110C0000}"/>
    <cellStyle name="Normal 11 17" xfId="3328" xr:uid="{00000000-0005-0000-0000-0000120C0000}"/>
    <cellStyle name="Normal 11 17 2" xfId="15363" xr:uid="{00000000-0005-0000-0000-0000130C0000}"/>
    <cellStyle name="Normal 11 18" xfId="3329" xr:uid="{00000000-0005-0000-0000-0000140C0000}"/>
    <cellStyle name="Normal 11 18 2" xfId="15364" xr:uid="{00000000-0005-0000-0000-0000150C0000}"/>
    <cellStyle name="Normal 11 19" xfId="3330" xr:uid="{00000000-0005-0000-0000-0000160C0000}"/>
    <cellStyle name="Normal 11 19 2" xfId="15365" xr:uid="{00000000-0005-0000-0000-0000170C0000}"/>
    <cellStyle name="Normal 11 2" xfId="3331" xr:uid="{00000000-0005-0000-0000-0000180C0000}"/>
    <cellStyle name="Normal 11 2 10" xfId="3332" xr:uid="{00000000-0005-0000-0000-0000190C0000}"/>
    <cellStyle name="Normal 11 2 10 2" xfId="15367" xr:uid="{00000000-0005-0000-0000-00001A0C0000}"/>
    <cellStyle name="Normal 11 2 11" xfId="3333" xr:uid="{00000000-0005-0000-0000-00001B0C0000}"/>
    <cellStyle name="Normal 11 2 11 2" xfId="15368" xr:uid="{00000000-0005-0000-0000-00001C0C0000}"/>
    <cellStyle name="Normal 11 2 12" xfId="3334" xr:uid="{00000000-0005-0000-0000-00001D0C0000}"/>
    <cellStyle name="Normal 11 2 12 2" xfId="15369" xr:uid="{00000000-0005-0000-0000-00001E0C0000}"/>
    <cellStyle name="Normal 11 2 13" xfId="3335" xr:uid="{00000000-0005-0000-0000-00001F0C0000}"/>
    <cellStyle name="Normal 11 2 13 2" xfId="15370" xr:uid="{00000000-0005-0000-0000-0000200C0000}"/>
    <cellStyle name="Normal 11 2 14" xfId="3336" xr:uid="{00000000-0005-0000-0000-0000210C0000}"/>
    <cellStyle name="Normal 11 2 14 2" xfId="15371" xr:uid="{00000000-0005-0000-0000-0000220C0000}"/>
    <cellStyle name="Normal 11 2 15" xfId="3337" xr:uid="{00000000-0005-0000-0000-0000230C0000}"/>
    <cellStyle name="Normal 11 2 15 2" xfId="15372" xr:uid="{00000000-0005-0000-0000-0000240C0000}"/>
    <cellStyle name="Normal 11 2 16" xfId="3338" xr:uid="{00000000-0005-0000-0000-0000250C0000}"/>
    <cellStyle name="Normal 11 2 16 2" xfId="15373" xr:uid="{00000000-0005-0000-0000-0000260C0000}"/>
    <cellStyle name="Normal 11 2 17" xfId="3339" xr:uid="{00000000-0005-0000-0000-0000270C0000}"/>
    <cellStyle name="Normal 11 2 17 2" xfId="15374" xr:uid="{00000000-0005-0000-0000-0000280C0000}"/>
    <cellStyle name="Normal 11 2 18" xfId="3340" xr:uid="{00000000-0005-0000-0000-0000290C0000}"/>
    <cellStyle name="Normal 11 2 18 2" xfId="15375" xr:uid="{00000000-0005-0000-0000-00002A0C0000}"/>
    <cellStyle name="Normal 11 2 19" xfId="3341" xr:uid="{00000000-0005-0000-0000-00002B0C0000}"/>
    <cellStyle name="Normal 11 2 19 2" xfId="15376" xr:uid="{00000000-0005-0000-0000-00002C0C0000}"/>
    <cellStyle name="Normal 11 2 2" xfId="3342" xr:uid="{00000000-0005-0000-0000-00002D0C0000}"/>
    <cellStyle name="Normal 11 2 2 2" xfId="15377" xr:uid="{00000000-0005-0000-0000-00002E0C0000}"/>
    <cellStyle name="Normal 11 2 20" xfId="3343" xr:uid="{00000000-0005-0000-0000-00002F0C0000}"/>
    <cellStyle name="Normal 11 2 20 2" xfId="15378" xr:uid="{00000000-0005-0000-0000-0000300C0000}"/>
    <cellStyle name="Normal 11 2 21" xfId="3344" xr:uid="{00000000-0005-0000-0000-0000310C0000}"/>
    <cellStyle name="Normal 11 2 21 2" xfId="15379" xr:uid="{00000000-0005-0000-0000-0000320C0000}"/>
    <cellStyle name="Normal 11 2 22" xfId="3345" xr:uid="{00000000-0005-0000-0000-0000330C0000}"/>
    <cellStyle name="Normal 11 2 22 2" xfId="15380" xr:uid="{00000000-0005-0000-0000-0000340C0000}"/>
    <cellStyle name="Normal 11 2 23" xfId="3346" xr:uid="{00000000-0005-0000-0000-0000350C0000}"/>
    <cellStyle name="Normal 11 2 23 2" xfId="15381" xr:uid="{00000000-0005-0000-0000-0000360C0000}"/>
    <cellStyle name="Normal 11 2 24" xfId="3347" xr:uid="{00000000-0005-0000-0000-0000370C0000}"/>
    <cellStyle name="Normal 11 2 24 2" xfId="15382" xr:uid="{00000000-0005-0000-0000-0000380C0000}"/>
    <cellStyle name="Normal 11 2 25" xfId="3348" xr:uid="{00000000-0005-0000-0000-0000390C0000}"/>
    <cellStyle name="Normal 11 2 25 2" xfId="15383" xr:uid="{00000000-0005-0000-0000-00003A0C0000}"/>
    <cellStyle name="Normal 11 2 26" xfId="3349" xr:uid="{00000000-0005-0000-0000-00003B0C0000}"/>
    <cellStyle name="Normal 11 2 26 2" xfId="15384" xr:uid="{00000000-0005-0000-0000-00003C0C0000}"/>
    <cellStyle name="Normal 11 2 27" xfId="3350" xr:uid="{00000000-0005-0000-0000-00003D0C0000}"/>
    <cellStyle name="Normal 11 2 27 2" xfId="15385" xr:uid="{00000000-0005-0000-0000-00003E0C0000}"/>
    <cellStyle name="Normal 11 2 28" xfId="3351" xr:uid="{00000000-0005-0000-0000-00003F0C0000}"/>
    <cellStyle name="Normal 11 2 28 2" xfId="15386" xr:uid="{00000000-0005-0000-0000-0000400C0000}"/>
    <cellStyle name="Normal 11 2 29" xfId="3352" xr:uid="{00000000-0005-0000-0000-0000410C0000}"/>
    <cellStyle name="Normal 11 2 29 2" xfId="15387" xr:uid="{00000000-0005-0000-0000-0000420C0000}"/>
    <cellStyle name="Normal 11 2 3" xfId="3353" xr:uid="{00000000-0005-0000-0000-0000430C0000}"/>
    <cellStyle name="Normal 11 2 3 2" xfId="15388" xr:uid="{00000000-0005-0000-0000-0000440C0000}"/>
    <cellStyle name="Normal 11 2 30" xfId="3354" xr:uid="{00000000-0005-0000-0000-0000450C0000}"/>
    <cellStyle name="Normal 11 2 30 2" xfId="15389" xr:uid="{00000000-0005-0000-0000-0000460C0000}"/>
    <cellStyle name="Normal 11 2 31" xfId="3355" xr:uid="{00000000-0005-0000-0000-0000470C0000}"/>
    <cellStyle name="Normal 11 2 31 2" xfId="15390" xr:uid="{00000000-0005-0000-0000-0000480C0000}"/>
    <cellStyle name="Normal 11 2 32" xfId="3356" xr:uid="{00000000-0005-0000-0000-0000490C0000}"/>
    <cellStyle name="Normal 11 2 32 2" xfId="15391" xr:uid="{00000000-0005-0000-0000-00004A0C0000}"/>
    <cellStyle name="Normal 11 2 33" xfId="3357" xr:uid="{00000000-0005-0000-0000-00004B0C0000}"/>
    <cellStyle name="Normal 11 2 33 2" xfId="15392" xr:uid="{00000000-0005-0000-0000-00004C0C0000}"/>
    <cellStyle name="Normal 11 2 34" xfId="3358" xr:uid="{00000000-0005-0000-0000-00004D0C0000}"/>
    <cellStyle name="Normal 11 2 34 2" xfId="15393" xr:uid="{00000000-0005-0000-0000-00004E0C0000}"/>
    <cellStyle name="Normal 11 2 35" xfId="3359" xr:uid="{00000000-0005-0000-0000-00004F0C0000}"/>
    <cellStyle name="Normal 11 2 35 2" xfId="15394" xr:uid="{00000000-0005-0000-0000-0000500C0000}"/>
    <cellStyle name="Normal 11 2 36" xfId="3360" xr:uid="{00000000-0005-0000-0000-0000510C0000}"/>
    <cellStyle name="Normal 11 2 36 2" xfId="15395" xr:uid="{00000000-0005-0000-0000-0000520C0000}"/>
    <cellStyle name="Normal 11 2 37" xfId="3361" xr:uid="{00000000-0005-0000-0000-0000530C0000}"/>
    <cellStyle name="Normal 11 2 37 2" xfId="15396" xr:uid="{00000000-0005-0000-0000-0000540C0000}"/>
    <cellStyle name="Normal 11 2 38" xfId="3362" xr:uid="{00000000-0005-0000-0000-0000550C0000}"/>
    <cellStyle name="Normal 11 2 38 2" xfId="15397" xr:uid="{00000000-0005-0000-0000-0000560C0000}"/>
    <cellStyle name="Normal 11 2 39" xfId="3363" xr:uid="{00000000-0005-0000-0000-0000570C0000}"/>
    <cellStyle name="Normal 11 2 39 2" xfId="15398" xr:uid="{00000000-0005-0000-0000-0000580C0000}"/>
    <cellStyle name="Normal 11 2 4" xfId="3364" xr:uid="{00000000-0005-0000-0000-0000590C0000}"/>
    <cellStyle name="Normal 11 2 4 2" xfId="15399" xr:uid="{00000000-0005-0000-0000-00005A0C0000}"/>
    <cellStyle name="Normal 11 2 40" xfId="3365" xr:uid="{00000000-0005-0000-0000-00005B0C0000}"/>
    <cellStyle name="Normal 11 2 40 2" xfId="15400" xr:uid="{00000000-0005-0000-0000-00005C0C0000}"/>
    <cellStyle name="Normal 11 2 41" xfId="3366" xr:uid="{00000000-0005-0000-0000-00005D0C0000}"/>
    <cellStyle name="Normal 11 2 41 2" xfId="15401" xr:uid="{00000000-0005-0000-0000-00005E0C0000}"/>
    <cellStyle name="Normal 11 2 42" xfId="3367" xr:uid="{00000000-0005-0000-0000-00005F0C0000}"/>
    <cellStyle name="Normal 11 2 42 2" xfId="15402" xr:uid="{00000000-0005-0000-0000-0000600C0000}"/>
    <cellStyle name="Normal 11 2 43" xfId="3368" xr:uid="{00000000-0005-0000-0000-0000610C0000}"/>
    <cellStyle name="Normal 11 2 43 2" xfId="15403" xr:uid="{00000000-0005-0000-0000-0000620C0000}"/>
    <cellStyle name="Normal 11 2 44" xfId="3369" xr:uid="{00000000-0005-0000-0000-0000630C0000}"/>
    <cellStyle name="Normal 11 2 44 2" xfId="15404" xr:uid="{00000000-0005-0000-0000-0000640C0000}"/>
    <cellStyle name="Normal 11 2 45" xfId="3370" xr:uid="{00000000-0005-0000-0000-0000650C0000}"/>
    <cellStyle name="Normal 11 2 45 2" xfId="15405" xr:uid="{00000000-0005-0000-0000-0000660C0000}"/>
    <cellStyle name="Normal 11 2 46" xfId="3371" xr:uid="{00000000-0005-0000-0000-0000670C0000}"/>
    <cellStyle name="Normal 11 2 46 2" xfId="15406" xr:uid="{00000000-0005-0000-0000-0000680C0000}"/>
    <cellStyle name="Normal 11 2 47" xfId="3372" xr:uid="{00000000-0005-0000-0000-0000690C0000}"/>
    <cellStyle name="Normal 11 2 47 2" xfId="15407" xr:uid="{00000000-0005-0000-0000-00006A0C0000}"/>
    <cellStyle name="Normal 11 2 48" xfId="3373" xr:uid="{00000000-0005-0000-0000-00006B0C0000}"/>
    <cellStyle name="Normal 11 2 48 2" xfId="15408" xr:uid="{00000000-0005-0000-0000-00006C0C0000}"/>
    <cellStyle name="Normal 11 2 49" xfId="3374" xr:uid="{00000000-0005-0000-0000-00006D0C0000}"/>
    <cellStyle name="Normal 11 2 49 2" xfId="15409" xr:uid="{00000000-0005-0000-0000-00006E0C0000}"/>
    <cellStyle name="Normal 11 2 5" xfId="3375" xr:uid="{00000000-0005-0000-0000-00006F0C0000}"/>
    <cellStyle name="Normal 11 2 5 2" xfId="15410" xr:uid="{00000000-0005-0000-0000-0000700C0000}"/>
    <cellStyle name="Normal 11 2 50" xfId="3376" xr:uid="{00000000-0005-0000-0000-0000710C0000}"/>
    <cellStyle name="Normal 11 2 50 2" xfId="15411" xr:uid="{00000000-0005-0000-0000-0000720C0000}"/>
    <cellStyle name="Normal 11 2 51" xfId="3377" xr:uid="{00000000-0005-0000-0000-0000730C0000}"/>
    <cellStyle name="Normal 11 2 51 2" xfId="15412" xr:uid="{00000000-0005-0000-0000-0000740C0000}"/>
    <cellStyle name="Normal 11 2 52" xfId="3378" xr:uid="{00000000-0005-0000-0000-0000750C0000}"/>
    <cellStyle name="Normal 11 2 52 2" xfId="15413" xr:uid="{00000000-0005-0000-0000-0000760C0000}"/>
    <cellStyle name="Normal 11 2 53" xfId="3379" xr:uid="{00000000-0005-0000-0000-0000770C0000}"/>
    <cellStyle name="Normal 11 2 53 2" xfId="15414" xr:uid="{00000000-0005-0000-0000-0000780C0000}"/>
    <cellStyle name="Normal 11 2 54" xfId="3380" xr:uid="{00000000-0005-0000-0000-0000790C0000}"/>
    <cellStyle name="Normal 11 2 54 2" xfId="15415" xr:uid="{00000000-0005-0000-0000-00007A0C0000}"/>
    <cellStyle name="Normal 11 2 55" xfId="3381" xr:uid="{00000000-0005-0000-0000-00007B0C0000}"/>
    <cellStyle name="Normal 11 2 55 2" xfId="15416" xr:uid="{00000000-0005-0000-0000-00007C0C0000}"/>
    <cellStyle name="Normal 11 2 56" xfId="3382" xr:uid="{00000000-0005-0000-0000-00007D0C0000}"/>
    <cellStyle name="Normal 11 2 56 2" xfId="15417" xr:uid="{00000000-0005-0000-0000-00007E0C0000}"/>
    <cellStyle name="Normal 11 2 57" xfId="3383" xr:uid="{00000000-0005-0000-0000-00007F0C0000}"/>
    <cellStyle name="Normal 11 2 57 2" xfId="15418" xr:uid="{00000000-0005-0000-0000-0000800C0000}"/>
    <cellStyle name="Normal 11 2 58" xfId="3384" xr:uid="{00000000-0005-0000-0000-0000810C0000}"/>
    <cellStyle name="Normal 11 2 58 2" xfId="15419" xr:uid="{00000000-0005-0000-0000-0000820C0000}"/>
    <cellStyle name="Normal 11 2 59" xfId="3385" xr:uid="{00000000-0005-0000-0000-0000830C0000}"/>
    <cellStyle name="Normal 11 2 59 2" xfId="15420" xr:uid="{00000000-0005-0000-0000-0000840C0000}"/>
    <cellStyle name="Normal 11 2 6" xfId="3386" xr:uid="{00000000-0005-0000-0000-0000850C0000}"/>
    <cellStyle name="Normal 11 2 6 2" xfId="15421" xr:uid="{00000000-0005-0000-0000-0000860C0000}"/>
    <cellStyle name="Normal 11 2 60" xfId="3387" xr:uid="{00000000-0005-0000-0000-0000870C0000}"/>
    <cellStyle name="Normal 11 2 60 2" xfId="15422" xr:uid="{00000000-0005-0000-0000-0000880C0000}"/>
    <cellStyle name="Normal 11 2 61" xfId="3388" xr:uid="{00000000-0005-0000-0000-0000890C0000}"/>
    <cellStyle name="Normal 11 2 61 2" xfId="15423" xr:uid="{00000000-0005-0000-0000-00008A0C0000}"/>
    <cellStyle name="Normal 11 2 62" xfId="3389" xr:uid="{00000000-0005-0000-0000-00008B0C0000}"/>
    <cellStyle name="Normal 11 2 62 2" xfId="15424" xr:uid="{00000000-0005-0000-0000-00008C0C0000}"/>
    <cellStyle name="Normal 11 2 63" xfId="3390" xr:uid="{00000000-0005-0000-0000-00008D0C0000}"/>
    <cellStyle name="Normal 11 2 63 2" xfId="15425" xr:uid="{00000000-0005-0000-0000-00008E0C0000}"/>
    <cellStyle name="Normal 11 2 64" xfId="3391" xr:uid="{00000000-0005-0000-0000-00008F0C0000}"/>
    <cellStyle name="Normal 11 2 64 2" xfId="15426" xr:uid="{00000000-0005-0000-0000-0000900C0000}"/>
    <cellStyle name="Normal 11 2 65" xfId="3392" xr:uid="{00000000-0005-0000-0000-0000910C0000}"/>
    <cellStyle name="Normal 11 2 65 2" xfId="15427" xr:uid="{00000000-0005-0000-0000-0000920C0000}"/>
    <cellStyle name="Normal 11 2 66" xfId="3393" xr:uid="{00000000-0005-0000-0000-0000930C0000}"/>
    <cellStyle name="Normal 11 2 66 2" xfId="15428" xr:uid="{00000000-0005-0000-0000-0000940C0000}"/>
    <cellStyle name="Normal 11 2 67" xfId="3394" xr:uid="{00000000-0005-0000-0000-0000950C0000}"/>
    <cellStyle name="Normal 11 2 67 2" xfId="15429" xr:uid="{00000000-0005-0000-0000-0000960C0000}"/>
    <cellStyle name="Normal 11 2 68" xfId="3395" xr:uid="{00000000-0005-0000-0000-0000970C0000}"/>
    <cellStyle name="Normal 11 2 68 2" xfId="15430" xr:uid="{00000000-0005-0000-0000-0000980C0000}"/>
    <cellStyle name="Normal 11 2 69" xfId="3396" xr:uid="{00000000-0005-0000-0000-0000990C0000}"/>
    <cellStyle name="Normal 11 2 69 2" xfId="15431" xr:uid="{00000000-0005-0000-0000-00009A0C0000}"/>
    <cellStyle name="Normal 11 2 7" xfId="3397" xr:uid="{00000000-0005-0000-0000-00009B0C0000}"/>
    <cellStyle name="Normal 11 2 7 2" xfId="15432" xr:uid="{00000000-0005-0000-0000-00009C0C0000}"/>
    <cellStyle name="Normal 11 2 70" xfId="3398" xr:uid="{00000000-0005-0000-0000-00009D0C0000}"/>
    <cellStyle name="Normal 11 2 70 2" xfId="15433" xr:uid="{00000000-0005-0000-0000-00009E0C0000}"/>
    <cellStyle name="Normal 11 2 71" xfId="3399" xr:uid="{00000000-0005-0000-0000-00009F0C0000}"/>
    <cellStyle name="Normal 11 2 71 2" xfId="15434" xr:uid="{00000000-0005-0000-0000-0000A00C0000}"/>
    <cellStyle name="Normal 11 2 72" xfId="3400" xr:uid="{00000000-0005-0000-0000-0000A10C0000}"/>
    <cellStyle name="Normal 11 2 72 2" xfId="15435" xr:uid="{00000000-0005-0000-0000-0000A20C0000}"/>
    <cellStyle name="Normal 11 2 73" xfId="3401" xr:uid="{00000000-0005-0000-0000-0000A30C0000}"/>
    <cellStyle name="Normal 11 2 73 2" xfId="15436" xr:uid="{00000000-0005-0000-0000-0000A40C0000}"/>
    <cellStyle name="Normal 11 2 74" xfId="3402" xr:uid="{00000000-0005-0000-0000-0000A50C0000}"/>
    <cellStyle name="Normal 11 2 74 2" xfId="15437" xr:uid="{00000000-0005-0000-0000-0000A60C0000}"/>
    <cellStyle name="Normal 11 2 75" xfId="3403" xr:uid="{00000000-0005-0000-0000-0000A70C0000}"/>
    <cellStyle name="Normal 11 2 75 2" xfId="15438" xr:uid="{00000000-0005-0000-0000-0000A80C0000}"/>
    <cellStyle name="Normal 11 2 76" xfId="3404" xr:uid="{00000000-0005-0000-0000-0000A90C0000}"/>
    <cellStyle name="Normal 11 2 76 2" xfId="15439" xr:uid="{00000000-0005-0000-0000-0000AA0C0000}"/>
    <cellStyle name="Normal 11 2 77" xfId="3405" xr:uid="{00000000-0005-0000-0000-0000AB0C0000}"/>
    <cellStyle name="Normal 11 2 77 2" xfId="15440" xr:uid="{00000000-0005-0000-0000-0000AC0C0000}"/>
    <cellStyle name="Normal 11 2 78" xfId="3406" xr:uid="{00000000-0005-0000-0000-0000AD0C0000}"/>
    <cellStyle name="Normal 11 2 78 2" xfId="15441" xr:uid="{00000000-0005-0000-0000-0000AE0C0000}"/>
    <cellStyle name="Normal 11 2 79" xfId="3407" xr:uid="{00000000-0005-0000-0000-0000AF0C0000}"/>
    <cellStyle name="Normal 11 2 79 2" xfId="15442" xr:uid="{00000000-0005-0000-0000-0000B00C0000}"/>
    <cellStyle name="Normal 11 2 8" xfId="3408" xr:uid="{00000000-0005-0000-0000-0000B10C0000}"/>
    <cellStyle name="Normal 11 2 8 2" xfId="15443" xr:uid="{00000000-0005-0000-0000-0000B20C0000}"/>
    <cellStyle name="Normal 11 2 80" xfId="15366" xr:uid="{00000000-0005-0000-0000-0000B30C0000}"/>
    <cellStyle name="Normal 11 2 9" xfId="3409" xr:uid="{00000000-0005-0000-0000-0000B40C0000}"/>
    <cellStyle name="Normal 11 2 9 2" xfId="15444" xr:uid="{00000000-0005-0000-0000-0000B50C0000}"/>
    <cellStyle name="Normal 11 20" xfId="3410" xr:uid="{00000000-0005-0000-0000-0000B60C0000}"/>
    <cellStyle name="Normal 11 20 2" xfId="15445" xr:uid="{00000000-0005-0000-0000-0000B70C0000}"/>
    <cellStyle name="Normal 11 21" xfId="3411" xr:uid="{00000000-0005-0000-0000-0000B80C0000}"/>
    <cellStyle name="Normal 11 21 2" xfId="15446" xr:uid="{00000000-0005-0000-0000-0000B90C0000}"/>
    <cellStyle name="Normal 11 22" xfId="3412" xr:uid="{00000000-0005-0000-0000-0000BA0C0000}"/>
    <cellStyle name="Normal 11 22 2" xfId="15447" xr:uid="{00000000-0005-0000-0000-0000BB0C0000}"/>
    <cellStyle name="Normal 11 23" xfId="3413" xr:uid="{00000000-0005-0000-0000-0000BC0C0000}"/>
    <cellStyle name="Normal 11 23 2" xfId="15448" xr:uid="{00000000-0005-0000-0000-0000BD0C0000}"/>
    <cellStyle name="Normal 11 24" xfId="3414" xr:uid="{00000000-0005-0000-0000-0000BE0C0000}"/>
    <cellStyle name="Normal 11 24 2" xfId="15449" xr:uid="{00000000-0005-0000-0000-0000BF0C0000}"/>
    <cellStyle name="Normal 11 25" xfId="3415" xr:uid="{00000000-0005-0000-0000-0000C00C0000}"/>
    <cellStyle name="Normal 11 25 2" xfId="15450" xr:uid="{00000000-0005-0000-0000-0000C10C0000}"/>
    <cellStyle name="Normal 11 26" xfId="3416" xr:uid="{00000000-0005-0000-0000-0000C20C0000}"/>
    <cellStyle name="Normal 11 26 2" xfId="15451" xr:uid="{00000000-0005-0000-0000-0000C30C0000}"/>
    <cellStyle name="Normal 11 27" xfId="3417" xr:uid="{00000000-0005-0000-0000-0000C40C0000}"/>
    <cellStyle name="Normal 11 27 2" xfId="15452" xr:uid="{00000000-0005-0000-0000-0000C50C0000}"/>
    <cellStyle name="Normal 11 28" xfId="3418" xr:uid="{00000000-0005-0000-0000-0000C60C0000}"/>
    <cellStyle name="Normal 11 28 2" xfId="15453" xr:uid="{00000000-0005-0000-0000-0000C70C0000}"/>
    <cellStyle name="Normal 11 29" xfId="3419" xr:uid="{00000000-0005-0000-0000-0000C80C0000}"/>
    <cellStyle name="Normal 11 29 2" xfId="15454" xr:uid="{00000000-0005-0000-0000-0000C90C0000}"/>
    <cellStyle name="Normal 11 3" xfId="3420" xr:uid="{00000000-0005-0000-0000-0000CA0C0000}"/>
    <cellStyle name="Normal 11 3 10" xfId="3421" xr:uid="{00000000-0005-0000-0000-0000CB0C0000}"/>
    <cellStyle name="Normal 11 3 10 2" xfId="15456" xr:uid="{00000000-0005-0000-0000-0000CC0C0000}"/>
    <cellStyle name="Normal 11 3 11" xfId="3422" xr:uid="{00000000-0005-0000-0000-0000CD0C0000}"/>
    <cellStyle name="Normal 11 3 11 2" xfId="15457" xr:uid="{00000000-0005-0000-0000-0000CE0C0000}"/>
    <cellStyle name="Normal 11 3 12" xfId="3423" xr:uid="{00000000-0005-0000-0000-0000CF0C0000}"/>
    <cellStyle name="Normal 11 3 12 2" xfId="15458" xr:uid="{00000000-0005-0000-0000-0000D00C0000}"/>
    <cellStyle name="Normal 11 3 13" xfId="3424" xr:uid="{00000000-0005-0000-0000-0000D10C0000}"/>
    <cellStyle name="Normal 11 3 13 2" xfId="15459" xr:uid="{00000000-0005-0000-0000-0000D20C0000}"/>
    <cellStyle name="Normal 11 3 14" xfId="3425" xr:uid="{00000000-0005-0000-0000-0000D30C0000}"/>
    <cellStyle name="Normal 11 3 14 2" xfId="15460" xr:uid="{00000000-0005-0000-0000-0000D40C0000}"/>
    <cellStyle name="Normal 11 3 15" xfId="3426" xr:uid="{00000000-0005-0000-0000-0000D50C0000}"/>
    <cellStyle name="Normal 11 3 15 2" xfId="15461" xr:uid="{00000000-0005-0000-0000-0000D60C0000}"/>
    <cellStyle name="Normal 11 3 16" xfId="3427" xr:uid="{00000000-0005-0000-0000-0000D70C0000}"/>
    <cellStyle name="Normal 11 3 16 2" xfId="15462" xr:uid="{00000000-0005-0000-0000-0000D80C0000}"/>
    <cellStyle name="Normal 11 3 17" xfId="3428" xr:uid="{00000000-0005-0000-0000-0000D90C0000}"/>
    <cellStyle name="Normal 11 3 17 2" xfId="15463" xr:uid="{00000000-0005-0000-0000-0000DA0C0000}"/>
    <cellStyle name="Normal 11 3 18" xfId="3429" xr:uid="{00000000-0005-0000-0000-0000DB0C0000}"/>
    <cellStyle name="Normal 11 3 18 2" xfId="15464" xr:uid="{00000000-0005-0000-0000-0000DC0C0000}"/>
    <cellStyle name="Normal 11 3 19" xfId="3430" xr:uid="{00000000-0005-0000-0000-0000DD0C0000}"/>
    <cellStyle name="Normal 11 3 19 2" xfId="15465" xr:uid="{00000000-0005-0000-0000-0000DE0C0000}"/>
    <cellStyle name="Normal 11 3 2" xfId="3431" xr:uid="{00000000-0005-0000-0000-0000DF0C0000}"/>
    <cellStyle name="Normal 11 3 2 2" xfId="15466" xr:uid="{00000000-0005-0000-0000-0000E00C0000}"/>
    <cellStyle name="Normal 11 3 20" xfId="3432" xr:uid="{00000000-0005-0000-0000-0000E10C0000}"/>
    <cellStyle name="Normal 11 3 20 2" xfId="15467" xr:uid="{00000000-0005-0000-0000-0000E20C0000}"/>
    <cellStyle name="Normal 11 3 21" xfId="3433" xr:uid="{00000000-0005-0000-0000-0000E30C0000}"/>
    <cellStyle name="Normal 11 3 21 2" xfId="15468" xr:uid="{00000000-0005-0000-0000-0000E40C0000}"/>
    <cellStyle name="Normal 11 3 22" xfId="3434" xr:uid="{00000000-0005-0000-0000-0000E50C0000}"/>
    <cellStyle name="Normal 11 3 22 2" xfId="15469" xr:uid="{00000000-0005-0000-0000-0000E60C0000}"/>
    <cellStyle name="Normal 11 3 23" xfId="3435" xr:uid="{00000000-0005-0000-0000-0000E70C0000}"/>
    <cellStyle name="Normal 11 3 23 2" xfId="15470" xr:uid="{00000000-0005-0000-0000-0000E80C0000}"/>
    <cellStyle name="Normal 11 3 24" xfId="3436" xr:uid="{00000000-0005-0000-0000-0000E90C0000}"/>
    <cellStyle name="Normal 11 3 24 2" xfId="15471" xr:uid="{00000000-0005-0000-0000-0000EA0C0000}"/>
    <cellStyle name="Normal 11 3 25" xfId="3437" xr:uid="{00000000-0005-0000-0000-0000EB0C0000}"/>
    <cellStyle name="Normal 11 3 25 2" xfId="15472" xr:uid="{00000000-0005-0000-0000-0000EC0C0000}"/>
    <cellStyle name="Normal 11 3 26" xfId="3438" xr:uid="{00000000-0005-0000-0000-0000ED0C0000}"/>
    <cellStyle name="Normal 11 3 26 2" xfId="15473" xr:uid="{00000000-0005-0000-0000-0000EE0C0000}"/>
    <cellStyle name="Normal 11 3 27" xfId="3439" xr:uid="{00000000-0005-0000-0000-0000EF0C0000}"/>
    <cellStyle name="Normal 11 3 27 2" xfId="15474" xr:uid="{00000000-0005-0000-0000-0000F00C0000}"/>
    <cellStyle name="Normal 11 3 28" xfId="3440" xr:uid="{00000000-0005-0000-0000-0000F10C0000}"/>
    <cellStyle name="Normal 11 3 28 2" xfId="15475" xr:uid="{00000000-0005-0000-0000-0000F20C0000}"/>
    <cellStyle name="Normal 11 3 29" xfId="3441" xr:uid="{00000000-0005-0000-0000-0000F30C0000}"/>
    <cellStyle name="Normal 11 3 29 2" xfId="15476" xr:uid="{00000000-0005-0000-0000-0000F40C0000}"/>
    <cellStyle name="Normal 11 3 3" xfId="3442" xr:uid="{00000000-0005-0000-0000-0000F50C0000}"/>
    <cellStyle name="Normal 11 3 3 2" xfId="15477" xr:uid="{00000000-0005-0000-0000-0000F60C0000}"/>
    <cellStyle name="Normal 11 3 30" xfId="3443" xr:uid="{00000000-0005-0000-0000-0000F70C0000}"/>
    <cellStyle name="Normal 11 3 30 2" xfId="15478" xr:uid="{00000000-0005-0000-0000-0000F80C0000}"/>
    <cellStyle name="Normal 11 3 31" xfId="3444" xr:uid="{00000000-0005-0000-0000-0000F90C0000}"/>
    <cellStyle name="Normal 11 3 31 2" xfId="15479" xr:uid="{00000000-0005-0000-0000-0000FA0C0000}"/>
    <cellStyle name="Normal 11 3 32" xfId="3445" xr:uid="{00000000-0005-0000-0000-0000FB0C0000}"/>
    <cellStyle name="Normal 11 3 32 2" xfId="15480" xr:uid="{00000000-0005-0000-0000-0000FC0C0000}"/>
    <cellStyle name="Normal 11 3 33" xfId="3446" xr:uid="{00000000-0005-0000-0000-0000FD0C0000}"/>
    <cellStyle name="Normal 11 3 33 2" xfId="15481" xr:uid="{00000000-0005-0000-0000-0000FE0C0000}"/>
    <cellStyle name="Normal 11 3 34" xfId="3447" xr:uid="{00000000-0005-0000-0000-0000FF0C0000}"/>
    <cellStyle name="Normal 11 3 34 2" xfId="15482" xr:uid="{00000000-0005-0000-0000-0000000D0000}"/>
    <cellStyle name="Normal 11 3 35" xfId="3448" xr:uid="{00000000-0005-0000-0000-0000010D0000}"/>
    <cellStyle name="Normal 11 3 35 2" xfId="15483" xr:uid="{00000000-0005-0000-0000-0000020D0000}"/>
    <cellStyle name="Normal 11 3 36" xfId="3449" xr:uid="{00000000-0005-0000-0000-0000030D0000}"/>
    <cellStyle name="Normal 11 3 36 2" xfId="15484" xr:uid="{00000000-0005-0000-0000-0000040D0000}"/>
    <cellStyle name="Normal 11 3 37" xfId="3450" xr:uid="{00000000-0005-0000-0000-0000050D0000}"/>
    <cellStyle name="Normal 11 3 37 2" xfId="15485" xr:uid="{00000000-0005-0000-0000-0000060D0000}"/>
    <cellStyle name="Normal 11 3 38" xfId="3451" xr:uid="{00000000-0005-0000-0000-0000070D0000}"/>
    <cellStyle name="Normal 11 3 38 2" xfId="15486" xr:uid="{00000000-0005-0000-0000-0000080D0000}"/>
    <cellStyle name="Normal 11 3 39" xfId="3452" xr:uid="{00000000-0005-0000-0000-0000090D0000}"/>
    <cellStyle name="Normal 11 3 39 2" xfId="15487" xr:uid="{00000000-0005-0000-0000-00000A0D0000}"/>
    <cellStyle name="Normal 11 3 4" xfId="3453" xr:uid="{00000000-0005-0000-0000-00000B0D0000}"/>
    <cellStyle name="Normal 11 3 4 2" xfId="15488" xr:uid="{00000000-0005-0000-0000-00000C0D0000}"/>
    <cellStyle name="Normal 11 3 40" xfId="3454" xr:uid="{00000000-0005-0000-0000-00000D0D0000}"/>
    <cellStyle name="Normal 11 3 40 2" xfId="15489" xr:uid="{00000000-0005-0000-0000-00000E0D0000}"/>
    <cellStyle name="Normal 11 3 41" xfId="3455" xr:uid="{00000000-0005-0000-0000-00000F0D0000}"/>
    <cellStyle name="Normal 11 3 41 2" xfId="15490" xr:uid="{00000000-0005-0000-0000-0000100D0000}"/>
    <cellStyle name="Normal 11 3 42" xfId="3456" xr:uid="{00000000-0005-0000-0000-0000110D0000}"/>
    <cellStyle name="Normal 11 3 42 2" xfId="15491" xr:uid="{00000000-0005-0000-0000-0000120D0000}"/>
    <cellStyle name="Normal 11 3 43" xfId="3457" xr:uid="{00000000-0005-0000-0000-0000130D0000}"/>
    <cellStyle name="Normal 11 3 43 2" xfId="15492" xr:uid="{00000000-0005-0000-0000-0000140D0000}"/>
    <cellStyle name="Normal 11 3 44" xfId="3458" xr:uid="{00000000-0005-0000-0000-0000150D0000}"/>
    <cellStyle name="Normal 11 3 44 2" xfId="15493" xr:uid="{00000000-0005-0000-0000-0000160D0000}"/>
    <cellStyle name="Normal 11 3 45" xfId="3459" xr:uid="{00000000-0005-0000-0000-0000170D0000}"/>
    <cellStyle name="Normal 11 3 45 2" xfId="15494" xr:uid="{00000000-0005-0000-0000-0000180D0000}"/>
    <cellStyle name="Normal 11 3 46" xfId="3460" xr:uid="{00000000-0005-0000-0000-0000190D0000}"/>
    <cellStyle name="Normal 11 3 46 2" xfId="15495" xr:uid="{00000000-0005-0000-0000-00001A0D0000}"/>
    <cellStyle name="Normal 11 3 47" xfId="3461" xr:uid="{00000000-0005-0000-0000-00001B0D0000}"/>
    <cellStyle name="Normal 11 3 47 2" xfId="15496" xr:uid="{00000000-0005-0000-0000-00001C0D0000}"/>
    <cellStyle name="Normal 11 3 48" xfId="3462" xr:uid="{00000000-0005-0000-0000-00001D0D0000}"/>
    <cellStyle name="Normal 11 3 48 2" xfId="15497" xr:uid="{00000000-0005-0000-0000-00001E0D0000}"/>
    <cellStyle name="Normal 11 3 49" xfId="3463" xr:uid="{00000000-0005-0000-0000-00001F0D0000}"/>
    <cellStyle name="Normal 11 3 49 2" xfId="15498" xr:uid="{00000000-0005-0000-0000-0000200D0000}"/>
    <cellStyle name="Normal 11 3 5" xfId="3464" xr:uid="{00000000-0005-0000-0000-0000210D0000}"/>
    <cellStyle name="Normal 11 3 5 2" xfId="15499" xr:uid="{00000000-0005-0000-0000-0000220D0000}"/>
    <cellStyle name="Normal 11 3 50" xfId="3465" xr:uid="{00000000-0005-0000-0000-0000230D0000}"/>
    <cellStyle name="Normal 11 3 50 2" xfId="15500" xr:uid="{00000000-0005-0000-0000-0000240D0000}"/>
    <cellStyle name="Normal 11 3 51" xfId="3466" xr:uid="{00000000-0005-0000-0000-0000250D0000}"/>
    <cellStyle name="Normal 11 3 51 2" xfId="15501" xr:uid="{00000000-0005-0000-0000-0000260D0000}"/>
    <cellStyle name="Normal 11 3 52" xfId="3467" xr:uid="{00000000-0005-0000-0000-0000270D0000}"/>
    <cellStyle name="Normal 11 3 52 2" xfId="15502" xr:uid="{00000000-0005-0000-0000-0000280D0000}"/>
    <cellStyle name="Normal 11 3 53" xfId="3468" xr:uid="{00000000-0005-0000-0000-0000290D0000}"/>
    <cellStyle name="Normal 11 3 53 2" xfId="15503" xr:uid="{00000000-0005-0000-0000-00002A0D0000}"/>
    <cellStyle name="Normal 11 3 54" xfId="3469" xr:uid="{00000000-0005-0000-0000-00002B0D0000}"/>
    <cellStyle name="Normal 11 3 54 2" xfId="15504" xr:uid="{00000000-0005-0000-0000-00002C0D0000}"/>
    <cellStyle name="Normal 11 3 55" xfId="3470" xr:uid="{00000000-0005-0000-0000-00002D0D0000}"/>
    <cellStyle name="Normal 11 3 55 2" xfId="15505" xr:uid="{00000000-0005-0000-0000-00002E0D0000}"/>
    <cellStyle name="Normal 11 3 56" xfId="3471" xr:uid="{00000000-0005-0000-0000-00002F0D0000}"/>
    <cellStyle name="Normal 11 3 56 2" xfId="15506" xr:uid="{00000000-0005-0000-0000-0000300D0000}"/>
    <cellStyle name="Normal 11 3 57" xfId="3472" xr:uid="{00000000-0005-0000-0000-0000310D0000}"/>
    <cellStyle name="Normal 11 3 57 2" xfId="15507" xr:uid="{00000000-0005-0000-0000-0000320D0000}"/>
    <cellStyle name="Normal 11 3 58" xfId="3473" xr:uid="{00000000-0005-0000-0000-0000330D0000}"/>
    <cellStyle name="Normal 11 3 58 2" xfId="15508" xr:uid="{00000000-0005-0000-0000-0000340D0000}"/>
    <cellStyle name="Normal 11 3 59" xfId="3474" xr:uid="{00000000-0005-0000-0000-0000350D0000}"/>
    <cellStyle name="Normal 11 3 59 2" xfId="15509" xr:uid="{00000000-0005-0000-0000-0000360D0000}"/>
    <cellStyle name="Normal 11 3 6" xfId="3475" xr:uid="{00000000-0005-0000-0000-0000370D0000}"/>
    <cellStyle name="Normal 11 3 6 2" xfId="15510" xr:uid="{00000000-0005-0000-0000-0000380D0000}"/>
    <cellStyle name="Normal 11 3 60" xfId="3476" xr:uid="{00000000-0005-0000-0000-0000390D0000}"/>
    <cellStyle name="Normal 11 3 60 2" xfId="15511" xr:uid="{00000000-0005-0000-0000-00003A0D0000}"/>
    <cellStyle name="Normal 11 3 61" xfId="3477" xr:uid="{00000000-0005-0000-0000-00003B0D0000}"/>
    <cellStyle name="Normal 11 3 61 2" xfId="15512" xr:uid="{00000000-0005-0000-0000-00003C0D0000}"/>
    <cellStyle name="Normal 11 3 62" xfId="3478" xr:uid="{00000000-0005-0000-0000-00003D0D0000}"/>
    <cellStyle name="Normal 11 3 62 2" xfId="15513" xr:uid="{00000000-0005-0000-0000-00003E0D0000}"/>
    <cellStyle name="Normal 11 3 63" xfId="3479" xr:uid="{00000000-0005-0000-0000-00003F0D0000}"/>
    <cellStyle name="Normal 11 3 63 2" xfId="15514" xr:uid="{00000000-0005-0000-0000-0000400D0000}"/>
    <cellStyle name="Normal 11 3 64" xfId="3480" xr:uid="{00000000-0005-0000-0000-0000410D0000}"/>
    <cellStyle name="Normal 11 3 64 2" xfId="15515" xr:uid="{00000000-0005-0000-0000-0000420D0000}"/>
    <cellStyle name="Normal 11 3 65" xfId="3481" xr:uid="{00000000-0005-0000-0000-0000430D0000}"/>
    <cellStyle name="Normal 11 3 65 2" xfId="15516" xr:uid="{00000000-0005-0000-0000-0000440D0000}"/>
    <cellStyle name="Normal 11 3 66" xfId="3482" xr:uid="{00000000-0005-0000-0000-0000450D0000}"/>
    <cellStyle name="Normal 11 3 66 2" xfId="15517" xr:uid="{00000000-0005-0000-0000-0000460D0000}"/>
    <cellStyle name="Normal 11 3 67" xfId="3483" xr:uid="{00000000-0005-0000-0000-0000470D0000}"/>
    <cellStyle name="Normal 11 3 67 2" xfId="15518" xr:uid="{00000000-0005-0000-0000-0000480D0000}"/>
    <cellStyle name="Normal 11 3 68" xfId="3484" xr:uid="{00000000-0005-0000-0000-0000490D0000}"/>
    <cellStyle name="Normal 11 3 68 2" xfId="15519" xr:uid="{00000000-0005-0000-0000-00004A0D0000}"/>
    <cellStyle name="Normal 11 3 69" xfId="3485" xr:uid="{00000000-0005-0000-0000-00004B0D0000}"/>
    <cellStyle name="Normal 11 3 69 2" xfId="15520" xr:uid="{00000000-0005-0000-0000-00004C0D0000}"/>
    <cellStyle name="Normal 11 3 7" xfId="3486" xr:uid="{00000000-0005-0000-0000-00004D0D0000}"/>
    <cellStyle name="Normal 11 3 7 2" xfId="15521" xr:uid="{00000000-0005-0000-0000-00004E0D0000}"/>
    <cellStyle name="Normal 11 3 70" xfId="3487" xr:uid="{00000000-0005-0000-0000-00004F0D0000}"/>
    <cellStyle name="Normal 11 3 70 2" xfId="15522" xr:uid="{00000000-0005-0000-0000-0000500D0000}"/>
    <cellStyle name="Normal 11 3 71" xfId="3488" xr:uid="{00000000-0005-0000-0000-0000510D0000}"/>
    <cellStyle name="Normal 11 3 71 2" xfId="15523" xr:uid="{00000000-0005-0000-0000-0000520D0000}"/>
    <cellStyle name="Normal 11 3 72" xfId="3489" xr:uid="{00000000-0005-0000-0000-0000530D0000}"/>
    <cellStyle name="Normal 11 3 72 2" xfId="15524" xr:uid="{00000000-0005-0000-0000-0000540D0000}"/>
    <cellStyle name="Normal 11 3 73" xfId="3490" xr:uid="{00000000-0005-0000-0000-0000550D0000}"/>
    <cellStyle name="Normal 11 3 73 2" xfId="15525" xr:uid="{00000000-0005-0000-0000-0000560D0000}"/>
    <cellStyle name="Normal 11 3 74" xfId="3491" xr:uid="{00000000-0005-0000-0000-0000570D0000}"/>
    <cellStyle name="Normal 11 3 74 2" xfId="15526" xr:uid="{00000000-0005-0000-0000-0000580D0000}"/>
    <cellStyle name="Normal 11 3 75" xfId="3492" xr:uid="{00000000-0005-0000-0000-0000590D0000}"/>
    <cellStyle name="Normal 11 3 75 2" xfId="15527" xr:uid="{00000000-0005-0000-0000-00005A0D0000}"/>
    <cellStyle name="Normal 11 3 76" xfId="3493" xr:uid="{00000000-0005-0000-0000-00005B0D0000}"/>
    <cellStyle name="Normal 11 3 76 2" xfId="15528" xr:uid="{00000000-0005-0000-0000-00005C0D0000}"/>
    <cellStyle name="Normal 11 3 77" xfId="3494" xr:uid="{00000000-0005-0000-0000-00005D0D0000}"/>
    <cellStyle name="Normal 11 3 77 2" xfId="15529" xr:uid="{00000000-0005-0000-0000-00005E0D0000}"/>
    <cellStyle name="Normal 11 3 78" xfId="3495" xr:uid="{00000000-0005-0000-0000-00005F0D0000}"/>
    <cellStyle name="Normal 11 3 78 2" xfId="15530" xr:uid="{00000000-0005-0000-0000-0000600D0000}"/>
    <cellStyle name="Normal 11 3 79" xfId="3496" xr:uid="{00000000-0005-0000-0000-0000610D0000}"/>
    <cellStyle name="Normal 11 3 79 2" xfId="15531" xr:uid="{00000000-0005-0000-0000-0000620D0000}"/>
    <cellStyle name="Normal 11 3 8" xfId="3497" xr:uid="{00000000-0005-0000-0000-0000630D0000}"/>
    <cellStyle name="Normal 11 3 8 2" xfId="15532" xr:uid="{00000000-0005-0000-0000-0000640D0000}"/>
    <cellStyle name="Normal 11 3 80" xfId="15455" xr:uid="{00000000-0005-0000-0000-0000650D0000}"/>
    <cellStyle name="Normal 11 3 9" xfId="3498" xr:uid="{00000000-0005-0000-0000-0000660D0000}"/>
    <cellStyle name="Normal 11 3 9 2" xfId="15533" xr:uid="{00000000-0005-0000-0000-0000670D0000}"/>
    <cellStyle name="Normal 11 30" xfId="3499" xr:uid="{00000000-0005-0000-0000-0000680D0000}"/>
    <cellStyle name="Normal 11 30 2" xfId="15534" xr:uid="{00000000-0005-0000-0000-0000690D0000}"/>
    <cellStyle name="Normal 11 31" xfId="3500" xr:uid="{00000000-0005-0000-0000-00006A0D0000}"/>
    <cellStyle name="Normal 11 31 2" xfId="15535" xr:uid="{00000000-0005-0000-0000-00006B0D0000}"/>
    <cellStyle name="Normal 11 32" xfId="3501" xr:uid="{00000000-0005-0000-0000-00006C0D0000}"/>
    <cellStyle name="Normal 11 32 2" xfId="15536" xr:uid="{00000000-0005-0000-0000-00006D0D0000}"/>
    <cellStyle name="Normal 11 33" xfId="3502" xr:uid="{00000000-0005-0000-0000-00006E0D0000}"/>
    <cellStyle name="Normal 11 33 2" xfId="15537" xr:uid="{00000000-0005-0000-0000-00006F0D0000}"/>
    <cellStyle name="Normal 11 34" xfId="3503" xr:uid="{00000000-0005-0000-0000-0000700D0000}"/>
    <cellStyle name="Normal 11 34 2" xfId="15538" xr:uid="{00000000-0005-0000-0000-0000710D0000}"/>
    <cellStyle name="Normal 11 35" xfId="3504" xr:uid="{00000000-0005-0000-0000-0000720D0000}"/>
    <cellStyle name="Normal 11 35 2" xfId="15539" xr:uid="{00000000-0005-0000-0000-0000730D0000}"/>
    <cellStyle name="Normal 11 36" xfId="3505" xr:uid="{00000000-0005-0000-0000-0000740D0000}"/>
    <cellStyle name="Normal 11 36 2" xfId="15540" xr:uid="{00000000-0005-0000-0000-0000750D0000}"/>
    <cellStyle name="Normal 11 37" xfId="3506" xr:uid="{00000000-0005-0000-0000-0000760D0000}"/>
    <cellStyle name="Normal 11 37 2" xfId="15541" xr:uid="{00000000-0005-0000-0000-0000770D0000}"/>
    <cellStyle name="Normal 11 38" xfId="3507" xr:uid="{00000000-0005-0000-0000-0000780D0000}"/>
    <cellStyle name="Normal 11 38 2" xfId="15542" xr:uid="{00000000-0005-0000-0000-0000790D0000}"/>
    <cellStyle name="Normal 11 39" xfId="3508" xr:uid="{00000000-0005-0000-0000-00007A0D0000}"/>
    <cellStyle name="Normal 11 39 2" xfId="15543" xr:uid="{00000000-0005-0000-0000-00007B0D0000}"/>
    <cellStyle name="Normal 11 4" xfId="3509" xr:uid="{00000000-0005-0000-0000-00007C0D0000}"/>
    <cellStyle name="Normal 11 4 10" xfId="3510" xr:uid="{00000000-0005-0000-0000-00007D0D0000}"/>
    <cellStyle name="Normal 11 4 10 2" xfId="15545" xr:uid="{00000000-0005-0000-0000-00007E0D0000}"/>
    <cellStyle name="Normal 11 4 11" xfId="3511" xr:uid="{00000000-0005-0000-0000-00007F0D0000}"/>
    <cellStyle name="Normal 11 4 11 2" xfId="15546" xr:uid="{00000000-0005-0000-0000-0000800D0000}"/>
    <cellStyle name="Normal 11 4 12" xfId="3512" xr:uid="{00000000-0005-0000-0000-0000810D0000}"/>
    <cellStyle name="Normal 11 4 12 2" xfId="15547" xr:uid="{00000000-0005-0000-0000-0000820D0000}"/>
    <cellStyle name="Normal 11 4 13" xfId="3513" xr:uid="{00000000-0005-0000-0000-0000830D0000}"/>
    <cellStyle name="Normal 11 4 13 2" xfId="15548" xr:uid="{00000000-0005-0000-0000-0000840D0000}"/>
    <cellStyle name="Normal 11 4 14" xfId="3514" xr:uid="{00000000-0005-0000-0000-0000850D0000}"/>
    <cellStyle name="Normal 11 4 14 2" xfId="15549" xr:uid="{00000000-0005-0000-0000-0000860D0000}"/>
    <cellStyle name="Normal 11 4 15" xfId="3515" xr:uid="{00000000-0005-0000-0000-0000870D0000}"/>
    <cellStyle name="Normal 11 4 15 2" xfId="15550" xr:uid="{00000000-0005-0000-0000-0000880D0000}"/>
    <cellStyle name="Normal 11 4 16" xfId="3516" xr:uid="{00000000-0005-0000-0000-0000890D0000}"/>
    <cellStyle name="Normal 11 4 16 2" xfId="15551" xr:uid="{00000000-0005-0000-0000-00008A0D0000}"/>
    <cellStyle name="Normal 11 4 17" xfId="3517" xr:uid="{00000000-0005-0000-0000-00008B0D0000}"/>
    <cellStyle name="Normal 11 4 17 2" xfId="15552" xr:uid="{00000000-0005-0000-0000-00008C0D0000}"/>
    <cellStyle name="Normal 11 4 18" xfId="3518" xr:uid="{00000000-0005-0000-0000-00008D0D0000}"/>
    <cellStyle name="Normal 11 4 18 2" xfId="15553" xr:uid="{00000000-0005-0000-0000-00008E0D0000}"/>
    <cellStyle name="Normal 11 4 19" xfId="3519" xr:uid="{00000000-0005-0000-0000-00008F0D0000}"/>
    <cellStyle name="Normal 11 4 19 2" xfId="15554" xr:uid="{00000000-0005-0000-0000-0000900D0000}"/>
    <cellStyle name="Normal 11 4 2" xfId="3520" xr:uid="{00000000-0005-0000-0000-0000910D0000}"/>
    <cellStyle name="Normal 11 4 2 2" xfId="15555" xr:uid="{00000000-0005-0000-0000-0000920D0000}"/>
    <cellStyle name="Normal 11 4 20" xfId="3521" xr:uid="{00000000-0005-0000-0000-0000930D0000}"/>
    <cellStyle name="Normal 11 4 20 2" xfId="15556" xr:uid="{00000000-0005-0000-0000-0000940D0000}"/>
    <cellStyle name="Normal 11 4 21" xfId="3522" xr:uid="{00000000-0005-0000-0000-0000950D0000}"/>
    <cellStyle name="Normal 11 4 21 2" xfId="15557" xr:uid="{00000000-0005-0000-0000-0000960D0000}"/>
    <cellStyle name="Normal 11 4 22" xfId="3523" xr:uid="{00000000-0005-0000-0000-0000970D0000}"/>
    <cellStyle name="Normal 11 4 22 2" xfId="15558" xr:uid="{00000000-0005-0000-0000-0000980D0000}"/>
    <cellStyle name="Normal 11 4 23" xfId="3524" xr:uid="{00000000-0005-0000-0000-0000990D0000}"/>
    <cellStyle name="Normal 11 4 23 2" xfId="15559" xr:uid="{00000000-0005-0000-0000-00009A0D0000}"/>
    <cellStyle name="Normal 11 4 24" xfId="3525" xr:uid="{00000000-0005-0000-0000-00009B0D0000}"/>
    <cellStyle name="Normal 11 4 24 2" xfId="15560" xr:uid="{00000000-0005-0000-0000-00009C0D0000}"/>
    <cellStyle name="Normal 11 4 25" xfId="3526" xr:uid="{00000000-0005-0000-0000-00009D0D0000}"/>
    <cellStyle name="Normal 11 4 25 2" xfId="15561" xr:uid="{00000000-0005-0000-0000-00009E0D0000}"/>
    <cellStyle name="Normal 11 4 26" xfId="3527" xr:uid="{00000000-0005-0000-0000-00009F0D0000}"/>
    <cellStyle name="Normal 11 4 26 2" xfId="15562" xr:uid="{00000000-0005-0000-0000-0000A00D0000}"/>
    <cellStyle name="Normal 11 4 27" xfId="3528" xr:uid="{00000000-0005-0000-0000-0000A10D0000}"/>
    <cellStyle name="Normal 11 4 27 2" xfId="15563" xr:uid="{00000000-0005-0000-0000-0000A20D0000}"/>
    <cellStyle name="Normal 11 4 28" xfId="3529" xr:uid="{00000000-0005-0000-0000-0000A30D0000}"/>
    <cellStyle name="Normal 11 4 28 2" xfId="15564" xr:uid="{00000000-0005-0000-0000-0000A40D0000}"/>
    <cellStyle name="Normal 11 4 29" xfId="3530" xr:uid="{00000000-0005-0000-0000-0000A50D0000}"/>
    <cellStyle name="Normal 11 4 29 2" xfId="15565" xr:uid="{00000000-0005-0000-0000-0000A60D0000}"/>
    <cellStyle name="Normal 11 4 3" xfId="3531" xr:uid="{00000000-0005-0000-0000-0000A70D0000}"/>
    <cellStyle name="Normal 11 4 3 2" xfId="15566" xr:uid="{00000000-0005-0000-0000-0000A80D0000}"/>
    <cellStyle name="Normal 11 4 30" xfId="3532" xr:uid="{00000000-0005-0000-0000-0000A90D0000}"/>
    <cellStyle name="Normal 11 4 30 2" xfId="15567" xr:uid="{00000000-0005-0000-0000-0000AA0D0000}"/>
    <cellStyle name="Normal 11 4 31" xfId="3533" xr:uid="{00000000-0005-0000-0000-0000AB0D0000}"/>
    <cellStyle name="Normal 11 4 31 2" xfId="15568" xr:uid="{00000000-0005-0000-0000-0000AC0D0000}"/>
    <cellStyle name="Normal 11 4 32" xfId="3534" xr:uid="{00000000-0005-0000-0000-0000AD0D0000}"/>
    <cellStyle name="Normal 11 4 32 2" xfId="15569" xr:uid="{00000000-0005-0000-0000-0000AE0D0000}"/>
    <cellStyle name="Normal 11 4 33" xfId="3535" xr:uid="{00000000-0005-0000-0000-0000AF0D0000}"/>
    <cellStyle name="Normal 11 4 33 2" xfId="15570" xr:uid="{00000000-0005-0000-0000-0000B00D0000}"/>
    <cellStyle name="Normal 11 4 34" xfId="3536" xr:uid="{00000000-0005-0000-0000-0000B10D0000}"/>
    <cellStyle name="Normal 11 4 34 2" xfId="15571" xr:uid="{00000000-0005-0000-0000-0000B20D0000}"/>
    <cellStyle name="Normal 11 4 35" xfId="3537" xr:uid="{00000000-0005-0000-0000-0000B30D0000}"/>
    <cellStyle name="Normal 11 4 35 2" xfId="15572" xr:uid="{00000000-0005-0000-0000-0000B40D0000}"/>
    <cellStyle name="Normal 11 4 36" xfId="3538" xr:uid="{00000000-0005-0000-0000-0000B50D0000}"/>
    <cellStyle name="Normal 11 4 36 2" xfId="15573" xr:uid="{00000000-0005-0000-0000-0000B60D0000}"/>
    <cellStyle name="Normal 11 4 37" xfId="3539" xr:uid="{00000000-0005-0000-0000-0000B70D0000}"/>
    <cellStyle name="Normal 11 4 37 2" xfId="15574" xr:uid="{00000000-0005-0000-0000-0000B80D0000}"/>
    <cellStyle name="Normal 11 4 38" xfId="3540" xr:uid="{00000000-0005-0000-0000-0000B90D0000}"/>
    <cellStyle name="Normal 11 4 38 2" xfId="15575" xr:uid="{00000000-0005-0000-0000-0000BA0D0000}"/>
    <cellStyle name="Normal 11 4 39" xfId="3541" xr:uid="{00000000-0005-0000-0000-0000BB0D0000}"/>
    <cellStyle name="Normal 11 4 39 2" xfId="15576" xr:uid="{00000000-0005-0000-0000-0000BC0D0000}"/>
    <cellStyle name="Normal 11 4 4" xfId="3542" xr:uid="{00000000-0005-0000-0000-0000BD0D0000}"/>
    <cellStyle name="Normal 11 4 4 2" xfId="15577" xr:uid="{00000000-0005-0000-0000-0000BE0D0000}"/>
    <cellStyle name="Normal 11 4 40" xfId="3543" xr:uid="{00000000-0005-0000-0000-0000BF0D0000}"/>
    <cellStyle name="Normal 11 4 40 2" xfId="15578" xr:uid="{00000000-0005-0000-0000-0000C00D0000}"/>
    <cellStyle name="Normal 11 4 41" xfId="3544" xr:uid="{00000000-0005-0000-0000-0000C10D0000}"/>
    <cellStyle name="Normal 11 4 41 2" xfId="15579" xr:uid="{00000000-0005-0000-0000-0000C20D0000}"/>
    <cellStyle name="Normal 11 4 42" xfId="3545" xr:uid="{00000000-0005-0000-0000-0000C30D0000}"/>
    <cellStyle name="Normal 11 4 42 2" xfId="15580" xr:uid="{00000000-0005-0000-0000-0000C40D0000}"/>
    <cellStyle name="Normal 11 4 43" xfId="3546" xr:uid="{00000000-0005-0000-0000-0000C50D0000}"/>
    <cellStyle name="Normal 11 4 43 2" xfId="15581" xr:uid="{00000000-0005-0000-0000-0000C60D0000}"/>
    <cellStyle name="Normal 11 4 44" xfId="3547" xr:uid="{00000000-0005-0000-0000-0000C70D0000}"/>
    <cellStyle name="Normal 11 4 44 2" xfId="15582" xr:uid="{00000000-0005-0000-0000-0000C80D0000}"/>
    <cellStyle name="Normal 11 4 45" xfId="3548" xr:uid="{00000000-0005-0000-0000-0000C90D0000}"/>
    <cellStyle name="Normal 11 4 45 2" xfId="15583" xr:uid="{00000000-0005-0000-0000-0000CA0D0000}"/>
    <cellStyle name="Normal 11 4 46" xfId="3549" xr:uid="{00000000-0005-0000-0000-0000CB0D0000}"/>
    <cellStyle name="Normal 11 4 46 2" xfId="15584" xr:uid="{00000000-0005-0000-0000-0000CC0D0000}"/>
    <cellStyle name="Normal 11 4 47" xfId="3550" xr:uid="{00000000-0005-0000-0000-0000CD0D0000}"/>
    <cellStyle name="Normal 11 4 47 2" xfId="15585" xr:uid="{00000000-0005-0000-0000-0000CE0D0000}"/>
    <cellStyle name="Normal 11 4 48" xfId="3551" xr:uid="{00000000-0005-0000-0000-0000CF0D0000}"/>
    <cellStyle name="Normal 11 4 48 2" xfId="15586" xr:uid="{00000000-0005-0000-0000-0000D00D0000}"/>
    <cellStyle name="Normal 11 4 49" xfId="3552" xr:uid="{00000000-0005-0000-0000-0000D10D0000}"/>
    <cellStyle name="Normal 11 4 49 2" xfId="15587" xr:uid="{00000000-0005-0000-0000-0000D20D0000}"/>
    <cellStyle name="Normal 11 4 5" xfId="3553" xr:uid="{00000000-0005-0000-0000-0000D30D0000}"/>
    <cellStyle name="Normal 11 4 5 2" xfId="15588" xr:uid="{00000000-0005-0000-0000-0000D40D0000}"/>
    <cellStyle name="Normal 11 4 50" xfId="3554" xr:uid="{00000000-0005-0000-0000-0000D50D0000}"/>
    <cellStyle name="Normal 11 4 50 2" xfId="15589" xr:uid="{00000000-0005-0000-0000-0000D60D0000}"/>
    <cellStyle name="Normal 11 4 51" xfId="3555" xr:uid="{00000000-0005-0000-0000-0000D70D0000}"/>
    <cellStyle name="Normal 11 4 51 2" xfId="15590" xr:uid="{00000000-0005-0000-0000-0000D80D0000}"/>
    <cellStyle name="Normal 11 4 52" xfId="3556" xr:uid="{00000000-0005-0000-0000-0000D90D0000}"/>
    <cellStyle name="Normal 11 4 52 2" xfId="15591" xr:uid="{00000000-0005-0000-0000-0000DA0D0000}"/>
    <cellStyle name="Normal 11 4 53" xfId="3557" xr:uid="{00000000-0005-0000-0000-0000DB0D0000}"/>
    <cellStyle name="Normal 11 4 53 2" xfId="15592" xr:uid="{00000000-0005-0000-0000-0000DC0D0000}"/>
    <cellStyle name="Normal 11 4 54" xfId="3558" xr:uid="{00000000-0005-0000-0000-0000DD0D0000}"/>
    <cellStyle name="Normal 11 4 54 2" xfId="15593" xr:uid="{00000000-0005-0000-0000-0000DE0D0000}"/>
    <cellStyle name="Normal 11 4 55" xfId="3559" xr:uid="{00000000-0005-0000-0000-0000DF0D0000}"/>
    <cellStyle name="Normal 11 4 55 2" xfId="15594" xr:uid="{00000000-0005-0000-0000-0000E00D0000}"/>
    <cellStyle name="Normal 11 4 56" xfId="3560" xr:uid="{00000000-0005-0000-0000-0000E10D0000}"/>
    <cellStyle name="Normal 11 4 56 2" xfId="15595" xr:uid="{00000000-0005-0000-0000-0000E20D0000}"/>
    <cellStyle name="Normal 11 4 57" xfId="3561" xr:uid="{00000000-0005-0000-0000-0000E30D0000}"/>
    <cellStyle name="Normal 11 4 57 2" xfId="15596" xr:uid="{00000000-0005-0000-0000-0000E40D0000}"/>
    <cellStyle name="Normal 11 4 58" xfId="3562" xr:uid="{00000000-0005-0000-0000-0000E50D0000}"/>
    <cellStyle name="Normal 11 4 58 2" xfId="15597" xr:uid="{00000000-0005-0000-0000-0000E60D0000}"/>
    <cellStyle name="Normal 11 4 59" xfId="3563" xr:uid="{00000000-0005-0000-0000-0000E70D0000}"/>
    <cellStyle name="Normal 11 4 59 2" xfId="15598" xr:uid="{00000000-0005-0000-0000-0000E80D0000}"/>
    <cellStyle name="Normal 11 4 6" xfId="3564" xr:uid="{00000000-0005-0000-0000-0000E90D0000}"/>
    <cellStyle name="Normal 11 4 6 2" xfId="15599" xr:uid="{00000000-0005-0000-0000-0000EA0D0000}"/>
    <cellStyle name="Normal 11 4 60" xfId="3565" xr:uid="{00000000-0005-0000-0000-0000EB0D0000}"/>
    <cellStyle name="Normal 11 4 60 2" xfId="15600" xr:uid="{00000000-0005-0000-0000-0000EC0D0000}"/>
    <cellStyle name="Normal 11 4 61" xfId="3566" xr:uid="{00000000-0005-0000-0000-0000ED0D0000}"/>
    <cellStyle name="Normal 11 4 61 2" xfId="15601" xr:uid="{00000000-0005-0000-0000-0000EE0D0000}"/>
    <cellStyle name="Normal 11 4 62" xfId="3567" xr:uid="{00000000-0005-0000-0000-0000EF0D0000}"/>
    <cellStyle name="Normal 11 4 62 2" xfId="15602" xr:uid="{00000000-0005-0000-0000-0000F00D0000}"/>
    <cellStyle name="Normal 11 4 63" xfId="3568" xr:uid="{00000000-0005-0000-0000-0000F10D0000}"/>
    <cellStyle name="Normal 11 4 63 2" xfId="15603" xr:uid="{00000000-0005-0000-0000-0000F20D0000}"/>
    <cellStyle name="Normal 11 4 64" xfId="3569" xr:uid="{00000000-0005-0000-0000-0000F30D0000}"/>
    <cellStyle name="Normal 11 4 64 2" xfId="15604" xr:uid="{00000000-0005-0000-0000-0000F40D0000}"/>
    <cellStyle name="Normal 11 4 65" xfId="3570" xr:uid="{00000000-0005-0000-0000-0000F50D0000}"/>
    <cellStyle name="Normal 11 4 65 2" xfId="15605" xr:uid="{00000000-0005-0000-0000-0000F60D0000}"/>
    <cellStyle name="Normal 11 4 66" xfId="3571" xr:uid="{00000000-0005-0000-0000-0000F70D0000}"/>
    <cellStyle name="Normal 11 4 66 2" xfId="15606" xr:uid="{00000000-0005-0000-0000-0000F80D0000}"/>
    <cellStyle name="Normal 11 4 67" xfId="3572" xr:uid="{00000000-0005-0000-0000-0000F90D0000}"/>
    <cellStyle name="Normal 11 4 67 2" xfId="15607" xr:uid="{00000000-0005-0000-0000-0000FA0D0000}"/>
    <cellStyle name="Normal 11 4 68" xfId="3573" xr:uid="{00000000-0005-0000-0000-0000FB0D0000}"/>
    <cellStyle name="Normal 11 4 68 2" xfId="15608" xr:uid="{00000000-0005-0000-0000-0000FC0D0000}"/>
    <cellStyle name="Normal 11 4 69" xfId="3574" xr:uid="{00000000-0005-0000-0000-0000FD0D0000}"/>
    <cellStyle name="Normal 11 4 69 2" xfId="15609" xr:uid="{00000000-0005-0000-0000-0000FE0D0000}"/>
    <cellStyle name="Normal 11 4 7" xfId="3575" xr:uid="{00000000-0005-0000-0000-0000FF0D0000}"/>
    <cellStyle name="Normal 11 4 7 2" xfId="15610" xr:uid="{00000000-0005-0000-0000-0000000E0000}"/>
    <cellStyle name="Normal 11 4 70" xfId="3576" xr:uid="{00000000-0005-0000-0000-0000010E0000}"/>
    <cellStyle name="Normal 11 4 70 2" xfId="15611" xr:uid="{00000000-0005-0000-0000-0000020E0000}"/>
    <cellStyle name="Normal 11 4 71" xfId="3577" xr:uid="{00000000-0005-0000-0000-0000030E0000}"/>
    <cellStyle name="Normal 11 4 71 2" xfId="15612" xr:uid="{00000000-0005-0000-0000-0000040E0000}"/>
    <cellStyle name="Normal 11 4 72" xfId="3578" xr:uid="{00000000-0005-0000-0000-0000050E0000}"/>
    <cellStyle name="Normal 11 4 72 2" xfId="15613" xr:uid="{00000000-0005-0000-0000-0000060E0000}"/>
    <cellStyle name="Normal 11 4 73" xfId="3579" xr:uid="{00000000-0005-0000-0000-0000070E0000}"/>
    <cellStyle name="Normal 11 4 73 2" xfId="15614" xr:uid="{00000000-0005-0000-0000-0000080E0000}"/>
    <cellStyle name="Normal 11 4 74" xfId="3580" xr:uid="{00000000-0005-0000-0000-0000090E0000}"/>
    <cellStyle name="Normal 11 4 74 2" xfId="15615" xr:uid="{00000000-0005-0000-0000-00000A0E0000}"/>
    <cellStyle name="Normal 11 4 75" xfId="3581" xr:uid="{00000000-0005-0000-0000-00000B0E0000}"/>
    <cellStyle name="Normal 11 4 75 2" xfId="15616" xr:uid="{00000000-0005-0000-0000-00000C0E0000}"/>
    <cellStyle name="Normal 11 4 76" xfId="3582" xr:uid="{00000000-0005-0000-0000-00000D0E0000}"/>
    <cellStyle name="Normal 11 4 76 2" xfId="15617" xr:uid="{00000000-0005-0000-0000-00000E0E0000}"/>
    <cellStyle name="Normal 11 4 77" xfId="3583" xr:uid="{00000000-0005-0000-0000-00000F0E0000}"/>
    <cellStyle name="Normal 11 4 77 2" xfId="15618" xr:uid="{00000000-0005-0000-0000-0000100E0000}"/>
    <cellStyle name="Normal 11 4 78" xfId="3584" xr:uid="{00000000-0005-0000-0000-0000110E0000}"/>
    <cellStyle name="Normal 11 4 78 2" xfId="15619" xr:uid="{00000000-0005-0000-0000-0000120E0000}"/>
    <cellStyle name="Normal 11 4 79" xfId="3585" xr:uid="{00000000-0005-0000-0000-0000130E0000}"/>
    <cellStyle name="Normal 11 4 79 2" xfId="15620" xr:uid="{00000000-0005-0000-0000-0000140E0000}"/>
    <cellStyle name="Normal 11 4 8" xfId="3586" xr:uid="{00000000-0005-0000-0000-0000150E0000}"/>
    <cellStyle name="Normal 11 4 8 2" xfId="15621" xr:uid="{00000000-0005-0000-0000-0000160E0000}"/>
    <cellStyle name="Normal 11 4 80" xfId="15544" xr:uid="{00000000-0005-0000-0000-0000170E0000}"/>
    <cellStyle name="Normal 11 4 9" xfId="3587" xr:uid="{00000000-0005-0000-0000-0000180E0000}"/>
    <cellStyle name="Normal 11 4 9 2" xfId="15622" xr:uid="{00000000-0005-0000-0000-0000190E0000}"/>
    <cellStyle name="Normal 11 40" xfId="3588" xr:uid="{00000000-0005-0000-0000-00001A0E0000}"/>
    <cellStyle name="Normal 11 40 2" xfId="15623" xr:uid="{00000000-0005-0000-0000-00001B0E0000}"/>
    <cellStyle name="Normal 11 41" xfId="3589" xr:uid="{00000000-0005-0000-0000-00001C0E0000}"/>
    <cellStyle name="Normal 11 41 2" xfId="15624" xr:uid="{00000000-0005-0000-0000-00001D0E0000}"/>
    <cellStyle name="Normal 11 42" xfId="3590" xr:uid="{00000000-0005-0000-0000-00001E0E0000}"/>
    <cellStyle name="Normal 11 42 2" xfId="15625" xr:uid="{00000000-0005-0000-0000-00001F0E0000}"/>
    <cellStyle name="Normal 11 43" xfId="3591" xr:uid="{00000000-0005-0000-0000-0000200E0000}"/>
    <cellStyle name="Normal 11 43 2" xfId="15626" xr:uid="{00000000-0005-0000-0000-0000210E0000}"/>
    <cellStyle name="Normal 11 44" xfId="3592" xr:uid="{00000000-0005-0000-0000-0000220E0000}"/>
    <cellStyle name="Normal 11 44 2" xfId="15627" xr:uid="{00000000-0005-0000-0000-0000230E0000}"/>
    <cellStyle name="Normal 11 45" xfId="3593" xr:uid="{00000000-0005-0000-0000-0000240E0000}"/>
    <cellStyle name="Normal 11 45 2" xfId="15628" xr:uid="{00000000-0005-0000-0000-0000250E0000}"/>
    <cellStyle name="Normal 11 46" xfId="3594" xr:uid="{00000000-0005-0000-0000-0000260E0000}"/>
    <cellStyle name="Normal 11 46 2" xfId="15629" xr:uid="{00000000-0005-0000-0000-0000270E0000}"/>
    <cellStyle name="Normal 11 47" xfId="3595" xr:uid="{00000000-0005-0000-0000-0000280E0000}"/>
    <cellStyle name="Normal 11 47 2" xfId="15630" xr:uid="{00000000-0005-0000-0000-0000290E0000}"/>
    <cellStyle name="Normal 11 48" xfId="3596" xr:uid="{00000000-0005-0000-0000-00002A0E0000}"/>
    <cellStyle name="Normal 11 48 2" xfId="15631" xr:uid="{00000000-0005-0000-0000-00002B0E0000}"/>
    <cellStyle name="Normal 11 49" xfId="3597" xr:uid="{00000000-0005-0000-0000-00002C0E0000}"/>
    <cellStyle name="Normal 11 49 2" xfId="15632" xr:uid="{00000000-0005-0000-0000-00002D0E0000}"/>
    <cellStyle name="Normal 11 5" xfId="3598" xr:uid="{00000000-0005-0000-0000-00002E0E0000}"/>
    <cellStyle name="Normal 11 5 2" xfId="15633" xr:uid="{00000000-0005-0000-0000-00002F0E0000}"/>
    <cellStyle name="Normal 11 50" xfId="3599" xr:uid="{00000000-0005-0000-0000-0000300E0000}"/>
    <cellStyle name="Normal 11 50 2" xfId="15634" xr:uid="{00000000-0005-0000-0000-0000310E0000}"/>
    <cellStyle name="Normal 11 51" xfId="3600" xr:uid="{00000000-0005-0000-0000-0000320E0000}"/>
    <cellStyle name="Normal 11 51 2" xfId="15635" xr:uid="{00000000-0005-0000-0000-0000330E0000}"/>
    <cellStyle name="Normal 11 52" xfId="3601" xr:uid="{00000000-0005-0000-0000-0000340E0000}"/>
    <cellStyle name="Normal 11 52 2" xfId="15636" xr:uid="{00000000-0005-0000-0000-0000350E0000}"/>
    <cellStyle name="Normal 11 53" xfId="3602" xr:uid="{00000000-0005-0000-0000-0000360E0000}"/>
    <cellStyle name="Normal 11 53 2" xfId="15637" xr:uid="{00000000-0005-0000-0000-0000370E0000}"/>
    <cellStyle name="Normal 11 54" xfId="3603" xr:uid="{00000000-0005-0000-0000-0000380E0000}"/>
    <cellStyle name="Normal 11 54 2" xfId="15638" xr:uid="{00000000-0005-0000-0000-0000390E0000}"/>
    <cellStyle name="Normal 11 55" xfId="3604" xr:uid="{00000000-0005-0000-0000-00003A0E0000}"/>
    <cellStyle name="Normal 11 55 2" xfId="15639" xr:uid="{00000000-0005-0000-0000-00003B0E0000}"/>
    <cellStyle name="Normal 11 56" xfId="3605" xr:uid="{00000000-0005-0000-0000-00003C0E0000}"/>
    <cellStyle name="Normal 11 56 2" xfId="15640" xr:uid="{00000000-0005-0000-0000-00003D0E0000}"/>
    <cellStyle name="Normal 11 57" xfId="3606" xr:uid="{00000000-0005-0000-0000-00003E0E0000}"/>
    <cellStyle name="Normal 11 57 2" xfId="15641" xr:uid="{00000000-0005-0000-0000-00003F0E0000}"/>
    <cellStyle name="Normal 11 58" xfId="3607" xr:uid="{00000000-0005-0000-0000-0000400E0000}"/>
    <cellStyle name="Normal 11 58 2" xfId="15642" xr:uid="{00000000-0005-0000-0000-0000410E0000}"/>
    <cellStyle name="Normal 11 59" xfId="3608" xr:uid="{00000000-0005-0000-0000-0000420E0000}"/>
    <cellStyle name="Normal 11 59 2" xfId="15643" xr:uid="{00000000-0005-0000-0000-0000430E0000}"/>
    <cellStyle name="Normal 11 6" xfId="3609" xr:uid="{00000000-0005-0000-0000-0000440E0000}"/>
    <cellStyle name="Normal 11 6 2" xfId="15644" xr:uid="{00000000-0005-0000-0000-0000450E0000}"/>
    <cellStyle name="Normal 11 60" xfId="3610" xr:uid="{00000000-0005-0000-0000-0000460E0000}"/>
    <cellStyle name="Normal 11 60 2" xfId="15645" xr:uid="{00000000-0005-0000-0000-0000470E0000}"/>
    <cellStyle name="Normal 11 61" xfId="3611" xr:uid="{00000000-0005-0000-0000-0000480E0000}"/>
    <cellStyle name="Normal 11 61 2" xfId="15646" xr:uid="{00000000-0005-0000-0000-0000490E0000}"/>
    <cellStyle name="Normal 11 62" xfId="3612" xr:uid="{00000000-0005-0000-0000-00004A0E0000}"/>
    <cellStyle name="Normal 11 62 2" xfId="15647" xr:uid="{00000000-0005-0000-0000-00004B0E0000}"/>
    <cellStyle name="Normal 11 63" xfId="3613" xr:uid="{00000000-0005-0000-0000-00004C0E0000}"/>
    <cellStyle name="Normal 11 63 2" xfId="15648" xr:uid="{00000000-0005-0000-0000-00004D0E0000}"/>
    <cellStyle name="Normal 11 64" xfId="3614" xr:uid="{00000000-0005-0000-0000-00004E0E0000}"/>
    <cellStyle name="Normal 11 64 2" xfId="15649" xr:uid="{00000000-0005-0000-0000-00004F0E0000}"/>
    <cellStyle name="Normal 11 65" xfId="3615" xr:uid="{00000000-0005-0000-0000-0000500E0000}"/>
    <cellStyle name="Normal 11 65 2" xfId="15650" xr:uid="{00000000-0005-0000-0000-0000510E0000}"/>
    <cellStyle name="Normal 11 66" xfId="3616" xr:uid="{00000000-0005-0000-0000-0000520E0000}"/>
    <cellStyle name="Normal 11 66 2" xfId="15651" xr:uid="{00000000-0005-0000-0000-0000530E0000}"/>
    <cellStyle name="Normal 11 67" xfId="3617" xr:uid="{00000000-0005-0000-0000-0000540E0000}"/>
    <cellStyle name="Normal 11 67 2" xfId="15652" xr:uid="{00000000-0005-0000-0000-0000550E0000}"/>
    <cellStyle name="Normal 11 68" xfId="3618" xr:uid="{00000000-0005-0000-0000-0000560E0000}"/>
    <cellStyle name="Normal 11 68 2" xfId="15653" xr:uid="{00000000-0005-0000-0000-0000570E0000}"/>
    <cellStyle name="Normal 11 69" xfId="3619" xr:uid="{00000000-0005-0000-0000-0000580E0000}"/>
    <cellStyle name="Normal 11 69 2" xfId="15654" xr:uid="{00000000-0005-0000-0000-0000590E0000}"/>
    <cellStyle name="Normal 11 7" xfId="3620" xr:uid="{00000000-0005-0000-0000-00005A0E0000}"/>
    <cellStyle name="Normal 11 7 2" xfId="15655" xr:uid="{00000000-0005-0000-0000-00005B0E0000}"/>
    <cellStyle name="Normal 11 70" xfId="3621" xr:uid="{00000000-0005-0000-0000-00005C0E0000}"/>
    <cellStyle name="Normal 11 70 2" xfId="15656" xr:uid="{00000000-0005-0000-0000-00005D0E0000}"/>
    <cellStyle name="Normal 11 71" xfId="3622" xr:uid="{00000000-0005-0000-0000-00005E0E0000}"/>
    <cellStyle name="Normal 11 71 2" xfId="15657" xr:uid="{00000000-0005-0000-0000-00005F0E0000}"/>
    <cellStyle name="Normal 11 72" xfId="3623" xr:uid="{00000000-0005-0000-0000-0000600E0000}"/>
    <cellStyle name="Normal 11 72 2" xfId="15658" xr:uid="{00000000-0005-0000-0000-0000610E0000}"/>
    <cellStyle name="Normal 11 73" xfId="3624" xr:uid="{00000000-0005-0000-0000-0000620E0000}"/>
    <cellStyle name="Normal 11 73 2" xfId="15659" xr:uid="{00000000-0005-0000-0000-0000630E0000}"/>
    <cellStyle name="Normal 11 74" xfId="3625" xr:uid="{00000000-0005-0000-0000-0000640E0000}"/>
    <cellStyle name="Normal 11 74 2" xfId="15660" xr:uid="{00000000-0005-0000-0000-0000650E0000}"/>
    <cellStyle name="Normal 11 75" xfId="3626" xr:uid="{00000000-0005-0000-0000-0000660E0000}"/>
    <cellStyle name="Normal 11 75 2" xfId="15661" xr:uid="{00000000-0005-0000-0000-0000670E0000}"/>
    <cellStyle name="Normal 11 76" xfId="3627" xr:uid="{00000000-0005-0000-0000-0000680E0000}"/>
    <cellStyle name="Normal 11 76 2" xfId="15662" xr:uid="{00000000-0005-0000-0000-0000690E0000}"/>
    <cellStyle name="Normal 11 77" xfId="3628" xr:uid="{00000000-0005-0000-0000-00006A0E0000}"/>
    <cellStyle name="Normal 11 77 2" xfId="15663" xr:uid="{00000000-0005-0000-0000-00006B0E0000}"/>
    <cellStyle name="Normal 11 78" xfId="3629" xr:uid="{00000000-0005-0000-0000-00006C0E0000}"/>
    <cellStyle name="Normal 11 78 2" xfId="15664" xr:uid="{00000000-0005-0000-0000-00006D0E0000}"/>
    <cellStyle name="Normal 11 79" xfId="3630" xr:uid="{00000000-0005-0000-0000-00006E0E0000}"/>
    <cellStyle name="Normal 11 79 2" xfId="15665" xr:uid="{00000000-0005-0000-0000-00006F0E0000}"/>
    <cellStyle name="Normal 11 8" xfId="3631" xr:uid="{00000000-0005-0000-0000-0000700E0000}"/>
    <cellStyle name="Normal 11 8 2" xfId="15666" xr:uid="{00000000-0005-0000-0000-0000710E0000}"/>
    <cellStyle name="Normal 11 80" xfId="3632" xr:uid="{00000000-0005-0000-0000-0000720E0000}"/>
    <cellStyle name="Normal 11 80 2" xfId="15667" xr:uid="{00000000-0005-0000-0000-0000730E0000}"/>
    <cellStyle name="Normal 11 81" xfId="3633" xr:uid="{00000000-0005-0000-0000-0000740E0000}"/>
    <cellStyle name="Normal 11 81 2" xfId="15668" xr:uid="{00000000-0005-0000-0000-0000750E0000}"/>
    <cellStyle name="Normal 11 82" xfId="3634" xr:uid="{00000000-0005-0000-0000-0000760E0000}"/>
    <cellStyle name="Normal 11 82 2" xfId="15669" xr:uid="{00000000-0005-0000-0000-0000770E0000}"/>
    <cellStyle name="Normal 11 83" xfId="15064" xr:uid="{00000000-0005-0000-0000-0000780E0000}"/>
    <cellStyle name="Normal 11 9" xfId="3635" xr:uid="{00000000-0005-0000-0000-0000790E0000}"/>
    <cellStyle name="Normal 11 9 2" xfId="15670" xr:uid="{00000000-0005-0000-0000-00007A0E0000}"/>
    <cellStyle name="Normal 110" xfId="236" xr:uid="{00000000-0005-0000-0000-00007B0E0000}"/>
    <cellStyle name="Normal 110 2" xfId="290" xr:uid="{00000000-0005-0000-0000-00007C0E0000}"/>
    <cellStyle name="Normal 110 3" xfId="451" xr:uid="{00000000-0005-0000-0000-00007D0E0000}"/>
    <cellStyle name="Normal 111" xfId="237" xr:uid="{00000000-0005-0000-0000-00007E0E0000}"/>
    <cellStyle name="Normal 111 2" xfId="291" xr:uid="{00000000-0005-0000-0000-00007F0E0000}"/>
    <cellStyle name="Normal 111 3" xfId="452" xr:uid="{00000000-0005-0000-0000-0000800E0000}"/>
    <cellStyle name="Normal 112" xfId="238" xr:uid="{00000000-0005-0000-0000-0000810E0000}"/>
    <cellStyle name="Normal 112 2" xfId="292" xr:uid="{00000000-0005-0000-0000-0000820E0000}"/>
    <cellStyle name="Normal 112 3" xfId="453" xr:uid="{00000000-0005-0000-0000-0000830E0000}"/>
    <cellStyle name="Normal 113" xfId="239" xr:uid="{00000000-0005-0000-0000-0000840E0000}"/>
    <cellStyle name="Normal 113 2" xfId="293" xr:uid="{00000000-0005-0000-0000-0000850E0000}"/>
    <cellStyle name="Normal 113 3" xfId="454" xr:uid="{00000000-0005-0000-0000-0000860E0000}"/>
    <cellStyle name="Normal 114" xfId="240" xr:uid="{00000000-0005-0000-0000-0000870E0000}"/>
    <cellStyle name="Normal 114 2" xfId="294" xr:uid="{00000000-0005-0000-0000-0000880E0000}"/>
    <cellStyle name="Normal 114 3" xfId="455" xr:uid="{00000000-0005-0000-0000-0000890E0000}"/>
    <cellStyle name="Normal 115" xfId="241" xr:uid="{00000000-0005-0000-0000-00008A0E0000}"/>
    <cellStyle name="Normal 115 2" xfId="295" xr:uid="{00000000-0005-0000-0000-00008B0E0000}"/>
    <cellStyle name="Normal 115 3" xfId="456" xr:uid="{00000000-0005-0000-0000-00008C0E0000}"/>
    <cellStyle name="Normal 116" xfId="457" xr:uid="{00000000-0005-0000-0000-00008D0E0000}"/>
    <cellStyle name="Normal 117" xfId="242" xr:uid="{00000000-0005-0000-0000-00008E0E0000}"/>
    <cellStyle name="Normal 117 2" xfId="296" xr:uid="{00000000-0005-0000-0000-00008F0E0000}"/>
    <cellStyle name="Normal 117 3" xfId="458" xr:uid="{00000000-0005-0000-0000-0000900E0000}"/>
    <cellStyle name="Normal 118" xfId="243" xr:uid="{00000000-0005-0000-0000-0000910E0000}"/>
    <cellStyle name="Normal 118 2" xfId="297" xr:uid="{00000000-0005-0000-0000-0000920E0000}"/>
    <cellStyle name="Normal 118 3" xfId="459" xr:uid="{00000000-0005-0000-0000-0000930E0000}"/>
    <cellStyle name="Normal 119" xfId="244" xr:uid="{00000000-0005-0000-0000-0000940E0000}"/>
    <cellStyle name="Normal 119 2" xfId="298" xr:uid="{00000000-0005-0000-0000-0000950E0000}"/>
    <cellStyle name="Normal 119 3" xfId="460" xr:uid="{00000000-0005-0000-0000-0000960E0000}"/>
    <cellStyle name="Normal 12" xfId="134" xr:uid="{00000000-0005-0000-0000-0000970E0000}"/>
    <cellStyle name="Normal 12 10" xfId="3636" xr:uid="{00000000-0005-0000-0000-0000980E0000}"/>
    <cellStyle name="Normal 12 10 2" xfId="15671" xr:uid="{00000000-0005-0000-0000-0000990E0000}"/>
    <cellStyle name="Normal 12 11" xfId="3637" xr:uid="{00000000-0005-0000-0000-00009A0E0000}"/>
    <cellStyle name="Normal 12 11 2" xfId="15672" xr:uid="{00000000-0005-0000-0000-00009B0E0000}"/>
    <cellStyle name="Normal 12 12" xfId="3638" xr:uid="{00000000-0005-0000-0000-00009C0E0000}"/>
    <cellStyle name="Normal 12 12 2" xfId="15673" xr:uid="{00000000-0005-0000-0000-00009D0E0000}"/>
    <cellStyle name="Normal 12 13" xfId="3639" xr:uid="{00000000-0005-0000-0000-00009E0E0000}"/>
    <cellStyle name="Normal 12 13 2" xfId="15674" xr:uid="{00000000-0005-0000-0000-00009F0E0000}"/>
    <cellStyle name="Normal 12 14" xfId="3640" xr:uid="{00000000-0005-0000-0000-0000A00E0000}"/>
    <cellStyle name="Normal 12 14 2" xfId="15675" xr:uid="{00000000-0005-0000-0000-0000A10E0000}"/>
    <cellStyle name="Normal 12 15" xfId="3641" xr:uid="{00000000-0005-0000-0000-0000A20E0000}"/>
    <cellStyle name="Normal 12 15 2" xfId="15676" xr:uid="{00000000-0005-0000-0000-0000A30E0000}"/>
    <cellStyle name="Normal 12 16" xfId="3642" xr:uid="{00000000-0005-0000-0000-0000A40E0000}"/>
    <cellStyle name="Normal 12 16 2" xfId="15677" xr:uid="{00000000-0005-0000-0000-0000A50E0000}"/>
    <cellStyle name="Normal 12 17" xfId="3643" xr:uid="{00000000-0005-0000-0000-0000A60E0000}"/>
    <cellStyle name="Normal 12 17 2" xfId="15678" xr:uid="{00000000-0005-0000-0000-0000A70E0000}"/>
    <cellStyle name="Normal 12 18" xfId="3644" xr:uid="{00000000-0005-0000-0000-0000A80E0000}"/>
    <cellStyle name="Normal 12 18 2" xfId="15679" xr:uid="{00000000-0005-0000-0000-0000A90E0000}"/>
    <cellStyle name="Normal 12 19" xfId="3645" xr:uid="{00000000-0005-0000-0000-0000AA0E0000}"/>
    <cellStyle name="Normal 12 19 2" xfId="15680" xr:uid="{00000000-0005-0000-0000-0000AB0E0000}"/>
    <cellStyle name="Normal 12 2" xfId="671" xr:uid="{00000000-0005-0000-0000-0000AC0E0000}"/>
    <cellStyle name="Normal 12 2 10" xfId="3647" xr:uid="{00000000-0005-0000-0000-0000AD0E0000}"/>
    <cellStyle name="Normal 12 2 10 2" xfId="15682" xr:uid="{00000000-0005-0000-0000-0000AE0E0000}"/>
    <cellStyle name="Normal 12 2 11" xfId="3648" xr:uid="{00000000-0005-0000-0000-0000AF0E0000}"/>
    <cellStyle name="Normal 12 2 11 2" xfId="15683" xr:uid="{00000000-0005-0000-0000-0000B00E0000}"/>
    <cellStyle name="Normal 12 2 12" xfId="3649" xr:uid="{00000000-0005-0000-0000-0000B10E0000}"/>
    <cellStyle name="Normal 12 2 12 2" xfId="15684" xr:uid="{00000000-0005-0000-0000-0000B20E0000}"/>
    <cellStyle name="Normal 12 2 13" xfId="3650" xr:uid="{00000000-0005-0000-0000-0000B30E0000}"/>
    <cellStyle name="Normal 12 2 13 2" xfId="15685" xr:uid="{00000000-0005-0000-0000-0000B40E0000}"/>
    <cellStyle name="Normal 12 2 14" xfId="3651" xr:uid="{00000000-0005-0000-0000-0000B50E0000}"/>
    <cellStyle name="Normal 12 2 14 2" xfId="15686" xr:uid="{00000000-0005-0000-0000-0000B60E0000}"/>
    <cellStyle name="Normal 12 2 15" xfId="3652" xr:uid="{00000000-0005-0000-0000-0000B70E0000}"/>
    <cellStyle name="Normal 12 2 15 2" xfId="15687" xr:uid="{00000000-0005-0000-0000-0000B80E0000}"/>
    <cellStyle name="Normal 12 2 16" xfId="3653" xr:uid="{00000000-0005-0000-0000-0000B90E0000}"/>
    <cellStyle name="Normal 12 2 16 2" xfId="15688" xr:uid="{00000000-0005-0000-0000-0000BA0E0000}"/>
    <cellStyle name="Normal 12 2 17" xfId="3654" xr:uid="{00000000-0005-0000-0000-0000BB0E0000}"/>
    <cellStyle name="Normal 12 2 17 2" xfId="15689" xr:uid="{00000000-0005-0000-0000-0000BC0E0000}"/>
    <cellStyle name="Normal 12 2 18" xfId="3655" xr:uid="{00000000-0005-0000-0000-0000BD0E0000}"/>
    <cellStyle name="Normal 12 2 18 2" xfId="15690" xr:uid="{00000000-0005-0000-0000-0000BE0E0000}"/>
    <cellStyle name="Normal 12 2 19" xfId="3656" xr:uid="{00000000-0005-0000-0000-0000BF0E0000}"/>
    <cellStyle name="Normal 12 2 19 2" xfId="15691" xr:uid="{00000000-0005-0000-0000-0000C00E0000}"/>
    <cellStyle name="Normal 12 2 2" xfId="3657" xr:uid="{00000000-0005-0000-0000-0000C10E0000}"/>
    <cellStyle name="Normal 12 2 2 2" xfId="15692" xr:uid="{00000000-0005-0000-0000-0000C20E0000}"/>
    <cellStyle name="Normal 12 2 20" xfId="3658" xr:uid="{00000000-0005-0000-0000-0000C30E0000}"/>
    <cellStyle name="Normal 12 2 20 2" xfId="15693" xr:uid="{00000000-0005-0000-0000-0000C40E0000}"/>
    <cellStyle name="Normal 12 2 21" xfId="3659" xr:uid="{00000000-0005-0000-0000-0000C50E0000}"/>
    <cellStyle name="Normal 12 2 21 2" xfId="15694" xr:uid="{00000000-0005-0000-0000-0000C60E0000}"/>
    <cellStyle name="Normal 12 2 22" xfId="3660" xr:uid="{00000000-0005-0000-0000-0000C70E0000}"/>
    <cellStyle name="Normal 12 2 22 2" xfId="15695" xr:uid="{00000000-0005-0000-0000-0000C80E0000}"/>
    <cellStyle name="Normal 12 2 23" xfId="3661" xr:uid="{00000000-0005-0000-0000-0000C90E0000}"/>
    <cellStyle name="Normal 12 2 23 2" xfId="15696" xr:uid="{00000000-0005-0000-0000-0000CA0E0000}"/>
    <cellStyle name="Normal 12 2 24" xfId="3662" xr:uid="{00000000-0005-0000-0000-0000CB0E0000}"/>
    <cellStyle name="Normal 12 2 24 2" xfId="15697" xr:uid="{00000000-0005-0000-0000-0000CC0E0000}"/>
    <cellStyle name="Normal 12 2 25" xfId="3663" xr:uid="{00000000-0005-0000-0000-0000CD0E0000}"/>
    <cellStyle name="Normal 12 2 25 2" xfId="15698" xr:uid="{00000000-0005-0000-0000-0000CE0E0000}"/>
    <cellStyle name="Normal 12 2 26" xfId="3664" xr:uid="{00000000-0005-0000-0000-0000CF0E0000}"/>
    <cellStyle name="Normal 12 2 26 2" xfId="15699" xr:uid="{00000000-0005-0000-0000-0000D00E0000}"/>
    <cellStyle name="Normal 12 2 27" xfId="3665" xr:uid="{00000000-0005-0000-0000-0000D10E0000}"/>
    <cellStyle name="Normal 12 2 27 2" xfId="15700" xr:uid="{00000000-0005-0000-0000-0000D20E0000}"/>
    <cellStyle name="Normal 12 2 28" xfId="3666" xr:uid="{00000000-0005-0000-0000-0000D30E0000}"/>
    <cellStyle name="Normal 12 2 28 2" xfId="15701" xr:uid="{00000000-0005-0000-0000-0000D40E0000}"/>
    <cellStyle name="Normal 12 2 29" xfId="3667" xr:uid="{00000000-0005-0000-0000-0000D50E0000}"/>
    <cellStyle name="Normal 12 2 29 2" xfId="15702" xr:uid="{00000000-0005-0000-0000-0000D60E0000}"/>
    <cellStyle name="Normal 12 2 3" xfId="3668" xr:uid="{00000000-0005-0000-0000-0000D70E0000}"/>
    <cellStyle name="Normal 12 2 3 2" xfId="15703" xr:uid="{00000000-0005-0000-0000-0000D80E0000}"/>
    <cellStyle name="Normal 12 2 30" xfId="3669" xr:uid="{00000000-0005-0000-0000-0000D90E0000}"/>
    <cellStyle name="Normal 12 2 30 2" xfId="15704" xr:uid="{00000000-0005-0000-0000-0000DA0E0000}"/>
    <cellStyle name="Normal 12 2 31" xfId="3670" xr:uid="{00000000-0005-0000-0000-0000DB0E0000}"/>
    <cellStyle name="Normal 12 2 31 2" xfId="15705" xr:uid="{00000000-0005-0000-0000-0000DC0E0000}"/>
    <cellStyle name="Normal 12 2 32" xfId="3671" xr:uid="{00000000-0005-0000-0000-0000DD0E0000}"/>
    <cellStyle name="Normal 12 2 32 2" xfId="15706" xr:uid="{00000000-0005-0000-0000-0000DE0E0000}"/>
    <cellStyle name="Normal 12 2 33" xfId="3672" xr:uid="{00000000-0005-0000-0000-0000DF0E0000}"/>
    <cellStyle name="Normal 12 2 33 2" xfId="15707" xr:uid="{00000000-0005-0000-0000-0000E00E0000}"/>
    <cellStyle name="Normal 12 2 34" xfId="3673" xr:uid="{00000000-0005-0000-0000-0000E10E0000}"/>
    <cellStyle name="Normal 12 2 34 2" xfId="15708" xr:uid="{00000000-0005-0000-0000-0000E20E0000}"/>
    <cellStyle name="Normal 12 2 35" xfId="3674" xr:uid="{00000000-0005-0000-0000-0000E30E0000}"/>
    <cellStyle name="Normal 12 2 35 2" xfId="15709" xr:uid="{00000000-0005-0000-0000-0000E40E0000}"/>
    <cellStyle name="Normal 12 2 36" xfId="3675" xr:uid="{00000000-0005-0000-0000-0000E50E0000}"/>
    <cellStyle name="Normal 12 2 36 2" xfId="15710" xr:uid="{00000000-0005-0000-0000-0000E60E0000}"/>
    <cellStyle name="Normal 12 2 37" xfId="3676" xr:uid="{00000000-0005-0000-0000-0000E70E0000}"/>
    <cellStyle name="Normal 12 2 37 2" xfId="15711" xr:uid="{00000000-0005-0000-0000-0000E80E0000}"/>
    <cellStyle name="Normal 12 2 38" xfId="3677" xr:uid="{00000000-0005-0000-0000-0000E90E0000}"/>
    <cellStyle name="Normal 12 2 38 2" xfId="15712" xr:uid="{00000000-0005-0000-0000-0000EA0E0000}"/>
    <cellStyle name="Normal 12 2 39" xfId="3678" xr:uid="{00000000-0005-0000-0000-0000EB0E0000}"/>
    <cellStyle name="Normal 12 2 39 2" xfId="15713" xr:uid="{00000000-0005-0000-0000-0000EC0E0000}"/>
    <cellStyle name="Normal 12 2 4" xfId="3679" xr:uid="{00000000-0005-0000-0000-0000ED0E0000}"/>
    <cellStyle name="Normal 12 2 4 2" xfId="15714" xr:uid="{00000000-0005-0000-0000-0000EE0E0000}"/>
    <cellStyle name="Normal 12 2 40" xfId="3680" xr:uid="{00000000-0005-0000-0000-0000EF0E0000}"/>
    <cellStyle name="Normal 12 2 40 2" xfId="15715" xr:uid="{00000000-0005-0000-0000-0000F00E0000}"/>
    <cellStyle name="Normal 12 2 41" xfId="3681" xr:uid="{00000000-0005-0000-0000-0000F10E0000}"/>
    <cellStyle name="Normal 12 2 41 2" xfId="15716" xr:uid="{00000000-0005-0000-0000-0000F20E0000}"/>
    <cellStyle name="Normal 12 2 42" xfId="3682" xr:uid="{00000000-0005-0000-0000-0000F30E0000}"/>
    <cellStyle name="Normal 12 2 42 2" xfId="15717" xr:uid="{00000000-0005-0000-0000-0000F40E0000}"/>
    <cellStyle name="Normal 12 2 43" xfId="3683" xr:uid="{00000000-0005-0000-0000-0000F50E0000}"/>
    <cellStyle name="Normal 12 2 43 2" xfId="15718" xr:uid="{00000000-0005-0000-0000-0000F60E0000}"/>
    <cellStyle name="Normal 12 2 44" xfId="3684" xr:uid="{00000000-0005-0000-0000-0000F70E0000}"/>
    <cellStyle name="Normal 12 2 44 2" xfId="15719" xr:uid="{00000000-0005-0000-0000-0000F80E0000}"/>
    <cellStyle name="Normal 12 2 45" xfId="3685" xr:uid="{00000000-0005-0000-0000-0000F90E0000}"/>
    <cellStyle name="Normal 12 2 45 2" xfId="15720" xr:uid="{00000000-0005-0000-0000-0000FA0E0000}"/>
    <cellStyle name="Normal 12 2 46" xfId="3686" xr:uid="{00000000-0005-0000-0000-0000FB0E0000}"/>
    <cellStyle name="Normal 12 2 46 2" xfId="15721" xr:uid="{00000000-0005-0000-0000-0000FC0E0000}"/>
    <cellStyle name="Normal 12 2 47" xfId="3687" xr:uid="{00000000-0005-0000-0000-0000FD0E0000}"/>
    <cellStyle name="Normal 12 2 47 2" xfId="15722" xr:uid="{00000000-0005-0000-0000-0000FE0E0000}"/>
    <cellStyle name="Normal 12 2 48" xfId="3688" xr:uid="{00000000-0005-0000-0000-0000FF0E0000}"/>
    <cellStyle name="Normal 12 2 48 2" xfId="15723" xr:uid="{00000000-0005-0000-0000-0000000F0000}"/>
    <cellStyle name="Normal 12 2 49" xfId="3689" xr:uid="{00000000-0005-0000-0000-0000010F0000}"/>
    <cellStyle name="Normal 12 2 49 2" xfId="15724" xr:uid="{00000000-0005-0000-0000-0000020F0000}"/>
    <cellStyle name="Normal 12 2 5" xfId="3690" xr:uid="{00000000-0005-0000-0000-0000030F0000}"/>
    <cellStyle name="Normal 12 2 5 2" xfId="15725" xr:uid="{00000000-0005-0000-0000-0000040F0000}"/>
    <cellStyle name="Normal 12 2 50" xfId="3691" xr:uid="{00000000-0005-0000-0000-0000050F0000}"/>
    <cellStyle name="Normal 12 2 50 2" xfId="15726" xr:uid="{00000000-0005-0000-0000-0000060F0000}"/>
    <cellStyle name="Normal 12 2 51" xfId="3692" xr:uid="{00000000-0005-0000-0000-0000070F0000}"/>
    <cellStyle name="Normal 12 2 51 2" xfId="15727" xr:uid="{00000000-0005-0000-0000-0000080F0000}"/>
    <cellStyle name="Normal 12 2 52" xfId="3693" xr:uid="{00000000-0005-0000-0000-0000090F0000}"/>
    <cellStyle name="Normal 12 2 52 2" xfId="15728" xr:uid="{00000000-0005-0000-0000-00000A0F0000}"/>
    <cellStyle name="Normal 12 2 53" xfId="3694" xr:uid="{00000000-0005-0000-0000-00000B0F0000}"/>
    <cellStyle name="Normal 12 2 53 2" xfId="15729" xr:uid="{00000000-0005-0000-0000-00000C0F0000}"/>
    <cellStyle name="Normal 12 2 54" xfId="3695" xr:uid="{00000000-0005-0000-0000-00000D0F0000}"/>
    <cellStyle name="Normal 12 2 54 2" xfId="15730" xr:uid="{00000000-0005-0000-0000-00000E0F0000}"/>
    <cellStyle name="Normal 12 2 55" xfId="3696" xr:uid="{00000000-0005-0000-0000-00000F0F0000}"/>
    <cellStyle name="Normal 12 2 55 2" xfId="15731" xr:uid="{00000000-0005-0000-0000-0000100F0000}"/>
    <cellStyle name="Normal 12 2 56" xfId="3697" xr:uid="{00000000-0005-0000-0000-0000110F0000}"/>
    <cellStyle name="Normal 12 2 56 2" xfId="15732" xr:uid="{00000000-0005-0000-0000-0000120F0000}"/>
    <cellStyle name="Normal 12 2 57" xfId="3698" xr:uid="{00000000-0005-0000-0000-0000130F0000}"/>
    <cellStyle name="Normal 12 2 57 2" xfId="15733" xr:uid="{00000000-0005-0000-0000-0000140F0000}"/>
    <cellStyle name="Normal 12 2 58" xfId="3699" xr:uid="{00000000-0005-0000-0000-0000150F0000}"/>
    <cellStyle name="Normal 12 2 58 2" xfId="15734" xr:uid="{00000000-0005-0000-0000-0000160F0000}"/>
    <cellStyle name="Normal 12 2 59" xfId="3700" xr:uid="{00000000-0005-0000-0000-0000170F0000}"/>
    <cellStyle name="Normal 12 2 59 2" xfId="15735" xr:uid="{00000000-0005-0000-0000-0000180F0000}"/>
    <cellStyle name="Normal 12 2 6" xfId="3701" xr:uid="{00000000-0005-0000-0000-0000190F0000}"/>
    <cellStyle name="Normal 12 2 6 2" xfId="15736" xr:uid="{00000000-0005-0000-0000-00001A0F0000}"/>
    <cellStyle name="Normal 12 2 60" xfId="3702" xr:uid="{00000000-0005-0000-0000-00001B0F0000}"/>
    <cellStyle name="Normal 12 2 60 2" xfId="15737" xr:uid="{00000000-0005-0000-0000-00001C0F0000}"/>
    <cellStyle name="Normal 12 2 61" xfId="3703" xr:uid="{00000000-0005-0000-0000-00001D0F0000}"/>
    <cellStyle name="Normal 12 2 61 2" xfId="15738" xr:uid="{00000000-0005-0000-0000-00001E0F0000}"/>
    <cellStyle name="Normal 12 2 62" xfId="3704" xr:uid="{00000000-0005-0000-0000-00001F0F0000}"/>
    <cellStyle name="Normal 12 2 62 2" xfId="15739" xr:uid="{00000000-0005-0000-0000-0000200F0000}"/>
    <cellStyle name="Normal 12 2 63" xfId="3705" xr:uid="{00000000-0005-0000-0000-0000210F0000}"/>
    <cellStyle name="Normal 12 2 63 2" xfId="15740" xr:uid="{00000000-0005-0000-0000-0000220F0000}"/>
    <cellStyle name="Normal 12 2 64" xfId="3706" xr:uid="{00000000-0005-0000-0000-0000230F0000}"/>
    <cellStyle name="Normal 12 2 64 2" xfId="15741" xr:uid="{00000000-0005-0000-0000-0000240F0000}"/>
    <cellStyle name="Normal 12 2 65" xfId="3707" xr:uid="{00000000-0005-0000-0000-0000250F0000}"/>
    <cellStyle name="Normal 12 2 65 2" xfId="15742" xr:uid="{00000000-0005-0000-0000-0000260F0000}"/>
    <cellStyle name="Normal 12 2 66" xfId="3708" xr:uid="{00000000-0005-0000-0000-0000270F0000}"/>
    <cellStyle name="Normal 12 2 66 2" xfId="15743" xr:uid="{00000000-0005-0000-0000-0000280F0000}"/>
    <cellStyle name="Normal 12 2 67" xfId="3709" xr:uid="{00000000-0005-0000-0000-0000290F0000}"/>
    <cellStyle name="Normal 12 2 67 2" xfId="15744" xr:uid="{00000000-0005-0000-0000-00002A0F0000}"/>
    <cellStyle name="Normal 12 2 68" xfId="3710" xr:uid="{00000000-0005-0000-0000-00002B0F0000}"/>
    <cellStyle name="Normal 12 2 68 2" xfId="15745" xr:uid="{00000000-0005-0000-0000-00002C0F0000}"/>
    <cellStyle name="Normal 12 2 69" xfId="3711" xr:uid="{00000000-0005-0000-0000-00002D0F0000}"/>
    <cellStyle name="Normal 12 2 69 2" xfId="15746" xr:uid="{00000000-0005-0000-0000-00002E0F0000}"/>
    <cellStyle name="Normal 12 2 7" xfId="3712" xr:uid="{00000000-0005-0000-0000-00002F0F0000}"/>
    <cellStyle name="Normal 12 2 7 2" xfId="15747" xr:uid="{00000000-0005-0000-0000-0000300F0000}"/>
    <cellStyle name="Normal 12 2 70" xfId="3713" xr:uid="{00000000-0005-0000-0000-0000310F0000}"/>
    <cellStyle name="Normal 12 2 70 2" xfId="15748" xr:uid="{00000000-0005-0000-0000-0000320F0000}"/>
    <cellStyle name="Normal 12 2 71" xfId="3714" xr:uid="{00000000-0005-0000-0000-0000330F0000}"/>
    <cellStyle name="Normal 12 2 71 2" xfId="15749" xr:uid="{00000000-0005-0000-0000-0000340F0000}"/>
    <cellStyle name="Normal 12 2 72" xfId="3715" xr:uid="{00000000-0005-0000-0000-0000350F0000}"/>
    <cellStyle name="Normal 12 2 72 2" xfId="15750" xr:uid="{00000000-0005-0000-0000-0000360F0000}"/>
    <cellStyle name="Normal 12 2 73" xfId="3716" xr:uid="{00000000-0005-0000-0000-0000370F0000}"/>
    <cellStyle name="Normal 12 2 73 2" xfId="15751" xr:uid="{00000000-0005-0000-0000-0000380F0000}"/>
    <cellStyle name="Normal 12 2 74" xfId="3717" xr:uid="{00000000-0005-0000-0000-0000390F0000}"/>
    <cellStyle name="Normal 12 2 74 2" xfId="15752" xr:uid="{00000000-0005-0000-0000-00003A0F0000}"/>
    <cellStyle name="Normal 12 2 75" xfId="3718" xr:uid="{00000000-0005-0000-0000-00003B0F0000}"/>
    <cellStyle name="Normal 12 2 75 2" xfId="15753" xr:uid="{00000000-0005-0000-0000-00003C0F0000}"/>
    <cellStyle name="Normal 12 2 76" xfId="3719" xr:uid="{00000000-0005-0000-0000-00003D0F0000}"/>
    <cellStyle name="Normal 12 2 76 2" xfId="15754" xr:uid="{00000000-0005-0000-0000-00003E0F0000}"/>
    <cellStyle name="Normal 12 2 77" xfId="3720" xr:uid="{00000000-0005-0000-0000-00003F0F0000}"/>
    <cellStyle name="Normal 12 2 77 2" xfId="15755" xr:uid="{00000000-0005-0000-0000-0000400F0000}"/>
    <cellStyle name="Normal 12 2 78" xfId="3721" xr:uid="{00000000-0005-0000-0000-0000410F0000}"/>
    <cellStyle name="Normal 12 2 78 2" xfId="15756" xr:uid="{00000000-0005-0000-0000-0000420F0000}"/>
    <cellStyle name="Normal 12 2 79" xfId="3722" xr:uid="{00000000-0005-0000-0000-0000430F0000}"/>
    <cellStyle name="Normal 12 2 79 2" xfId="15757" xr:uid="{00000000-0005-0000-0000-0000440F0000}"/>
    <cellStyle name="Normal 12 2 8" xfId="3723" xr:uid="{00000000-0005-0000-0000-0000450F0000}"/>
    <cellStyle name="Normal 12 2 8 2" xfId="15758" xr:uid="{00000000-0005-0000-0000-0000460F0000}"/>
    <cellStyle name="Normal 12 2 80" xfId="15681" xr:uid="{00000000-0005-0000-0000-0000470F0000}"/>
    <cellStyle name="Normal 12 2 81" xfId="3646" xr:uid="{00000000-0005-0000-0000-0000480F0000}"/>
    <cellStyle name="Normal 12 2 9" xfId="3724" xr:uid="{00000000-0005-0000-0000-0000490F0000}"/>
    <cellStyle name="Normal 12 2 9 2" xfId="15759" xr:uid="{00000000-0005-0000-0000-00004A0F0000}"/>
    <cellStyle name="Normal 12 20" xfId="3725" xr:uid="{00000000-0005-0000-0000-00004B0F0000}"/>
    <cellStyle name="Normal 12 20 2" xfId="15760" xr:uid="{00000000-0005-0000-0000-00004C0F0000}"/>
    <cellStyle name="Normal 12 21" xfId="3726" xr:uid="{00000000-0005-0000-0000-00004D0F0000}"/>
    <cellStyle name="Normal 12 21 2" xfId="15761" xr:uid="{00000000-0005-0000-0000-00004E0F0000}"/>
    <cellStyle name="Normal 12 22" xfId="3727" xr:uid="{00000000-0005-0000-0000-00004F0F0000}"/>
    <cellStyle name="Normal 12 22 2" xfId="15762" xr:uid="{00000000-0005-0000-0000-0000500F0000}"/>
    <cellStyle name="Normal 12 23" xfId="3728" xr:uid="{00000000-0005-0000-0000-0000510F0000}"/>
    <cellStyle name="Normal 12 23 2" xfId="15763" xr:uid="{00000000-0005-0000-0000-0000520F0000}"/>
    <cellStyle name="Normal 12 24" xfId="3729" xr:uid="{00000000-0005-0000-0000-0000530F0000}"/>
    <cellStyle name="Normal 12 24 2" xfId="15764" xr:uid="{00000000-0005-0000-0000-0000540F0000}"/>
    <cellStyle name="Normal 12 25" xfId="3730" xr:uid="{00000000-0005-0000-0000-0000550F0000}"/>
    <cellStyle name="Normal 12 25 2" xfId="15765" xr:uid="{00000000-0005-0000-0000-0000560F0000}"/>
    <cellStyle name="Normal 12 26" xfId="3731" xr:uid="{00000000-0005-0000-0000-0000570F0000}"/>
    <cellStyle name="Normal 12 26 2" xfId="15766" xr:uid="{00000000-0005-0000-0000-0000580F0000}"/>
    <cellStyle name="Normal 12 27" xfId="3732" xr:uid="{00000000-0005-0000-0000-0000590F0000}"/>
    <cellStyle name="Normal 12 27 2" xfId="15767" xr:uid="{00000000-0005-0000-0000-00005A0F0000}"/>
    <cellStyle name="Normal 12 28" xfId="3733" xr:uid="{00000000-0005-0000-0000-00005B0F0000}"/>
    <cellStyle name="Normal 12 28 2" xfId="15768" xr:uid="{00000000-0005-0000-0000-00005C0F0000}"/>
    <cellStyle name="Normal 12 29" xfId="3734" xr:uid="{00000000-0005-0000-0000-00005D0F0000}"/>
    <cellStyle name="Normal 12 29 2" xfId="15769" xr:uid="{00000000-0005-0000-0000-00005E0F0000}"/>
    <cellStyle name="Normal 12 3" xfId="303" xr:uid="{00000000-0005-0000-0000-00005F0F0000}"/>
    <cellStyle name="Normal 12 3 10" xfId="3735" xr:uid="{00000000-0005-0000-0000-0000600F0000}"/>
    <cellStyle name="Normal 12 3 10 2" xfId="15771" xr:uid="{00000000-0005-0000-0000-0000610F0000}"/>
    <cellStyle name="Normal 12 3 11" xfId="3736" xr:uid="{00000000-0005-0000-0000-0000620F0000}"/>
    <cellStyle name="Normal 12 3 11 2" xfId="15772" xr:uid="{00000000-0005-0000-0000-0000630F0000}"/>
    <cellStyle name="Normal 12 3 12" xfId="3737" xr:uid="{00000000-0005-0000-0000-0000640F0000}"/>
    <cellStyle name="Normal 12 3 12 2" xfId="15773" xr:uid="{00000000-0005-0000-0000-0000650F0000}"/>
    <cellStyle name="Normal 12 3 13" xfId="3738" xr:uid="{00000000-0005-0000-0000-0000660F0000}"/>
    <cellStyle name="Normal 12 3 13 2" xfId="15774" xr:uid="{00000000-0005-0000-0000-0000670F0000}"/>
    <cellStyle name="Normal 12 3 14" xfId="3739" xr:uid="{00000000-0005-0000-0000-0000680F0000}"/>
    <cellStyle name="Normal 12 3 14 2" xfId="15775" xr:uid="{00000000-0005-0000-0000-0000690F0000}"/>
    <cellStyle name="Normal 12 3 15" xfId="3740" xr:uid="{00000000-0005-0000-0000-00006A0F0000}"/>
    <cellStyle name="Normal 12 3 15 2" xfId="15776" xr:uid="{00000000-0005-0000-0000-00006B0F0000}"/>
    <cellStyle name="Normal 12 3 16" xfId="3741" xr:uid="{00000000-0005-0000-0000-00006C0F0000}"/>
    <cellStyle name="Normal 12 3 16 2" xfId="15777" xr:uid="{00000000-0005-0000-0000-00006D0F0000}"/>
    <cellStyle name="Normal 12 3 17" xfId="3742" xr:uid="{00000000-0005-0000-0000-00006E0F0000}"/>
    <cellStyle name="Normal 12 3 17 2" xfId="15778" xr:uid="{00000000-0005-0000-0000-00006F0F0000}"/>
    <cellStyle name="Normal 12 3 18" xfId="3743" xr:uid="{00000000-0005-0000-0000-0000700F0000}"/>
    <cellStyle name="Normal 12 3 18 2" xfId="15779" xr:uid="{00000000-0005-0000-0000-0000710F0000}"/>
    <cellStyle name="Normal 12 3 19" xfId="3744" xr:uid="{00000000-0005-0000-0000-0000720F0000}"/>
    <cellStyle name="Normal 12 3 19 2" xfId="15780" xr:uid="{00000000-0005-0000-0000-0000730F0000}"/>
    <cellStyle name="Normal 12 3 2" xfId="3745" xr:uid="{00000000-0005-0000-0000-0000740F0000}"/>
    <cellStyle name="Normal 12 3 2 2" xfId="15781" xr:uid="{00000000-0005-0000-0000-0000750F0000}"/>
    <cellStyle name="Normal 12 3 20" xfId="3746" xr:uid="{00000000-0005-0000-0000-0000760F0000}"/>
    <cellStyle name="Normal 12 3 20 2" xfId="15782" xr:uid="{00000000-0005-0000-0000-0000770F0000}"/>
    <cellStyle name="Normal 12 3 21" xfId="3747" xr:uid="{00000000-0005-0000-0000-0000780F0000}"/>
    <cellStyle name="Normal 12 3 21 2" xfId="15783" xr:uid="{00000000-0005-0000-0000-0000790F0000}"/>
    <cellStyle name="Normal 12 3 22" xfId="3748" xr:uid="{00000000-0005-0000-0000-00007A0F0000}"/>
    <cellStyle name="Normal 12 3 22 2" xfId="15784" xr:uid="{00000000-0005-0000-0000-00007B0F0000}"/>
    <cellStyle name="Normal 12 3 23" xfId="3749" xr:uid="{00000000-0005-0000-0000-00007C0F0000}"/>
    <cellStyle name="Normal 12 3 23 2" xfId="15785" xr:uid="{00000000-0005-0000-0000-00007D0F0000}"/>
    <cellStyle name="Normal 12 3 24" xfId="3750" xr:uid="{00000000-0005-0000-0000-00007E0F0000}"/>
    <cellStyle name="Normal 12 3 24 2" xfId="15786" xr:uid="{00000000-0005-0000-0000-00007F0F0000}"/>
    <cellStyle name="Normal 12 3 25" xfId="3751" xr:uid="{00000000-0005-0000-0000-0000800F0000}"/>
    <cellStyle name="Normal 12 3 25 2" xfId="15787" xr:uid="{00000000-0005-0000-0000-0000810F0000}"/>
    <cellStyle name="Normal 12 3 26" xfId="3752" xr:uid="{00000000-0005-0000-0000-0000820F0000}"/>
    <cellStyle name="Normal 12 3 26 2" xfId="15788" xr:uid="{00000000-0005-0000-0000-0000830F0000}"/>
    <cellStyle name="Normal 12 3 27" xfId="3753" xr:uid="{00000000-0005-0000-0000-0000840F0000}"/>
    <cellStyle name="Normal 12 3 27 2" xfId="15789" xr:uid="{00000000-0005-0000-0000-0000850F0000}"/>
    <cellStyle name="Normal 12 3 28" xfId="3754" xr:uid="{00000000-0005-0000-0000-0000860F0000}"/>
    <cellStyle name="Normal 12 3 28 2" xfId="15790" xr:uid="{00000000-0005-0000-0000-0000870F0000}"/>
    <cellStyle name="Normal 12 3 29" xfId="3755" xr:uid="{00000000-0005-0000-0000-0000880F0000}"/>
    <cellStyle name="Normal 12 3 29 2" xfId="15791" xr:uid="{00000000-0005-0000-0000-0000890F0000}"/>
    <cellStyle name="Normal 12 3 3" xfId="3756" xr:uid="{00000000-0005-0000-0000-00008A0F0000}"/>
    <cellStyle name="Normal 12 3 3 2" xfId="15792" xr:uid="{00000000-0005-0000-0000-00008B0F0000}"/>
    <cellStyle name="Normal 12 3 30" xfId="3757" xr:uid="{00000000-0005-0000-0000-00008C0F0000}"/>
    <cellStyle name="Normal 12 3 30 2" xfId="15793" xr:uid="{00000000-0005-0000-0000-00008D0F0000}"/>
    <cellStyle name="Normal 12 3 31" xfId="3758" xr:uid="{00000000-0005-0000-0000-00008E0F0000}"/>
    <cellStyle name="Normal 12 3 31 2" xfId="15794" xr:uid="{00000000-0005-0000-0000-00008F0F0000}"/>
    <cellStyle name="Normal 12 3 32" xfId="3759" xr:uid="{00000000-0005-0000-0000-0000900F0000}"/>
    <cellStyle name="Normal 12 3 32 2" xfId="15795" xr:uid="{00000000-0005-0000-0000-0000910F0000}"/>
    <cellStyle name="Normal 12 3 33" xfId="3760" xr:uid="{00000000-0005-0000-0000-0000920F0000}"/>
    <cellStyle name="Normal 12 3 33 2" xfId="15796" xr:uid="{00000000-0005-0000-0000-0000930F0000}"/>
    <cellStyle name="Normal 12 3 34" xfId="3761" xr:uid="{00000000-0005-0000-0000-0000940F0000}"/>
    <cellStyle name="Normal 12 3 34 2" xfId="15797" xr:uid="{00000000-0005-0000-0000-0000950F0000}"/>
    <cellStyle name="Normal 12 3 35" xfId="3762" xr:uid="{00000000-0005-0000-0000-0000960F0000}"/>
    <cellStyle name="Normal 12 3 35 2" xfId="15798" xr:uid="{00000000-0005-0000-0000-0000970F0000}"/>
    <cellStyle name="Normal 12 3 36" xfId="3763" xr:uid="{00000000-0005-0000-0000-0000980F0000}"/>
    <cellStyle name="Normal 12 3 36 2" xfId="15799" xr:uid="{00000000-0005-0000-0000-0000990F0000}"/>
    <cellStyle name="Normal 12 3 37" xfId="3764" xr:uid="{00000000-0005-0000-0000-00009A0F0000}"/>
    <cellStyle name="Normal 12 3 37 2" xfId="15800" xr:uid="{00000000-0005-0000-0000-00009B0F0000}"/>
    <cellStyle name="Normal 12 3 38" xfId="3765" xr:uid="{00000000-0005-0000-0000-00009C0F0000}"/>
    <cellStyle name="Normal 12 3 38 2" xfId="15801" xr:uid="{00000000-0005-0000-0000-00009D0F0000}"/>
    <cellStyle name="Normal 12 3 39" xfId="3766" xr:uid="{00000000-0005-0000-0000-00009E0F0000}"/>
    <cellStyle name="Normal 12 3 39 2" xfId="15802" xr:uid="{00000000-0005-0000-0000-00009F0F0000}"/>
    <cellStyle name="Normal 12 3 4" xfId="3767" xr:uid="{00000000-0005-0000-0000-0000A00F0000}"/>
    <cellStyle name="Normal 12 3 4 2" xfId="15803" xr:uid="{00000000-0005-0000-0000-0000A10F0000}"/>
    <cellStyle name="Normal 12 3 40" xfId="3768" xr:uid="{00000000-0005-0000-0000-0000A20F0000}"/>
    <cellStyle name="Normal 12 3 40 2" xfId="15804" xr:uid="{00000000-0005-0000-0000-0000A30F0000}"/>
    <cellStyle name="Normal 12 3 41" xfId="3769" xr:uid="{00000000-0005-0000-0000-0000A40F0000}"/>
    <cellStyle name="Normal 12 3 41 2" xfId="15805" xr:uid="{00000000-0005-0000-0000-0000A50F0000}"/>
    <cellStyle name="Normal 12 3 42" xfId="3770" xr:uid="{00000000-0005-0000-0000-0000A60F0000}"/>
    <cellStyle name="Normal 12 3 42 2" xfId="15806" xr:uid="{00000000-0005-0000-0000-0000A70F0000}"/>
    <cellStyle name="Normal 12 3 43" xfId="3771" xr:uid="{00000000-0005-0000-0000-0000A80F0000}"/>
    <cellStyle name="Normal 12 3 43 2" xfId="15807" xr:uid="{00000000-0005-0000-0000-0000A90F0000}"/>
    <cellStyle name="Normal 12 3 44" xfId="3772" xr:uid="{00000000-0005-0000-0000-0000AA0F0000}"/>
    <cellStyle name="Normal 12 3 44 2" xfId="15808" xr:uid="{00000000-0005-0000-0000-0000AB0F0000}"/>
    <cellStyle name="Normal 12 3 45" xfId="3773" xr:uid="{00000000-0005-0000-0000-0000AC0F0000}"/>
    <cellStyle name="Normal 12 3 45 2" xfId="15809" xr:uid="{00000000-0005-0000-0000-0000AD0F0000}"/>
    <cellStyle name="Normal 12 3 46" xfId="3774" xr:uid="{00000000-0005-0000-0000-0000AE0F0000}"/>
    <cellStyle name="Normal 12 3 46 2" xfId="15810" xr:uid="{00000000-0005-0000-0000-0000AF0F0000}"/>
    <cellStyle name="Normal 12 3 47" xfId="3775" xr:uid="{00000000-0005-0000-0000-0000B00F0000}"/>
    <cellStyle name="Normal 12 3 47 2" xfId="15811" xr:uid="{00000000-0005-0000-0000-0000B10F0000}"/>
    <cellStyle name="Normal 12 3 48" xfId="3776" xr:uid="{00000000-0005-0000-0000-0000B20F0000}"/>
    <cellStyle name="Normal 12 3 48 2" xfId="15812" xr:uid="{00000000-0005-0000-0000-0000B30F0000}"/>
    <cellStyle name="Normal 12 3 49" xfId="3777" xr:uid="{00000000-0005-0000-0000-0000B40F0000}"/>
    <cellStyle name="Normal 12 3 49 2" xfId="15813" xr:uid="{00000000-0005-0000-0000-0000B50F0000}"/>
    <cellStyle name="Normal 12 3 5" xfId="3778" xr:uid="{00000000-0005-0000-0000-0000B60F0000}"/>
    <cellStyle name="Normal 12 3 5 2" xfId="15814" xr:uid="{00000000-0005-0000-0000-0000B70F0000}"/>
    <cellStyle name="Normal 12 3 50" xfId="3779" xr:uid="{00000000-0005-0000-0000-0000B80F0000}"/>
    <cellStyle name="Normal 12 3 50 2" xfId="15815" xr:uid="{00000000-0005-0000-0000-0000B90F0000}"/>
    <cellStyle name="Normal 12 3 51" xfId="3780" xr:uid="{00000000-0005-0000-0000-0000BA0F0000}"/>
    <cellStyle name="Normal 12 3 51 2" xfId="15816" xr:uid="{00000000-0005-0000-0000-0000BB0F0000}"/>
    <cellStyle name="Normal 12 3 52" xfId="3781" xr:uid="{00000000-0005-0000-0000-0000BC0F0000}"/>
    <cellStyle name="Normal 12 3 52 2" xfId="15817" xr:uid="{00000000-0005-0000-0000-0000BD0F0000}"/>
    <cellStyle name="Normal 12 3 53" xfId="3782" xr:uid="{00000000-0005-0000-0000-0000BE0F0000}"/>
    <cellStyle name="Normal 12 3 53 2" xfId="15818" xr:uid="{00000000-0005-0000-0000-0000BF0F0000}"/>
    <cellStyle name="Normal 12 3 54" xfId="3783" xr:uid="{00000000-0005-0000-0000-0000C00F0000}"/>
    <cellStyle name="Normal 12 3 54 2" xfId="15819" xr:uid="{00000000-0005-0000-0000-0000C10F0000}"/>
    <cellStyle name="Normal 12 3 55" xfId="3784" xr:uid="{00000000-0005-0000-0000-0000C20F0000}"/>
    <cellStyle name="Normal 12 3 55 2" xfId="15820" xr:uid="{00000000-0005-0000-0000-0000C30F0000}"/>
    <cellStyle name="Normal 12 3 56" xfId="3785" xr:uid="{00000000-0005-0000-0000-0000C40F0000}"/>
    <cellStyle name="Normal 12 3 56 2" xfId="15821" xr:uid="{00000000-0005-0000-0000-0000C50F0000}"/>
    <cellStyle name="Normal 12 3 57" xfId="3786" xr:uid="{00000000-0005-0000-0000-0000C60F0000}"/>
    <cellStyle name="Normal 12 3 57 2" xfId="15822" xr:uid="{00000000-0005-0000-0000-0000C70F0000}"/>
    <cellStyle name="Normal 12 3 58" xfId="3787" xr:uid="{00000000-0005-0000-0000-0000C80F0000}"/>
    <cellStyle name="Normal 12 3 58 2" xfId="15823" xr:uid="{00000000-0005-0000-0000-0000C90F0000}"/>
    <cellStyle name="Normal 12 3 59" xfId="3788" xr:uid="{00000000-0005-0000-0000-0000CA0F0000}"/>
    <cellStyle name="Normal 12 3 59 2" xfId="15824" xr:uid="{00000000-0005-0000-0000-0000CB0F0000}"/>
    <cellStyle name="Normal 12 3 6" xfId="3789" xr:uid="{00000000-0005-0000-0000-0000CC0F0000}"/>
    <cellStyle name="Normal 12 3 6 2" xfId="15825" xr:uid="{00000000-0005-0000-0000-0000CD0F0000}"/>
    <cellStyle name="Normal 12 3 60" xfId="3790" xr:uid="{00000000-0005-0000-0000-0000CE0F0000}"/>
    <cellStyle name="Normal 12 3 60 2" xfId="15826" xr:uid="{00000000-0005-0000-0000-0000CF0F0000}"/>
    <cellStyle name="Normal 12 3 61" xfId="3791" xr:uid="{00000000-0005-0000-0000-0000D00F0000}"/>
    <cellStyle name="Normal 12 3 61 2" xfId="15827" xr:uid="{00000000-0005-0000-0000-0000D10F0000}"/>
    <cellStyle name="Normal 12 3 62" xfId="3792" xr:uid="{00000000-0005-0000-0000-0000D20F0000}"/>
    <cellStyle name="Normal 12 3 62 2" xfId="15828" xr:uid="{00000000-0005-0000-0000-0000D30F0000}"/>
    <cellStyle name="Normal 12 3 63" xfId="3793" xr:uid="{00000000-0005-0000-0000-0000D40F0000}"/>
    <cellStyle name="Normal 12 3 63 2" xfId="15829" xr:uid="{00000000-0005-0000-0000-0000D50F0000}"/>
    <cellStyle name="Normal 12 3 64" xfId="3794" xr:uid="{00000000-0005-0000-0000-0000D60F0000}"/>
    <cellStyle name="Normal 12 3 64 2" xfId="15830" xr:uid="{00000000-0005-0000-0000-0000D70F0000}"/>
    <cellStyle name="Normal 12 3 65" xfId="3795" xr:uid="{00000000-0005-0000-0000-0000D80F0000}"/>
    <cellStyle name="Normal 12 3 65 2" xfId="15831" xr:uid="{00000000-0005-0000-0000-0000D90F0000}"/>
    <cellStyle name="Normal 12 3 66" xfId="3796" xr:uid="{00000000-0005-0000-0000-0000DA0F0000}"/>
    <cellStyle name="Normal 12 3 66 2" xfId="15832" xr:uid="{00000000-0005-0000-0000-0000DB0F0000}"/>
    <cellStyle name="Normal 12 3 67" xfId="3797" xr:uid="{00000000-0005-0000-0000-0000DC0F0000}"/>
    <cellStyle name="Normal 12 3 67 2" xfId="15833" xr:uid="{00000000-0005-0000-0000-0000DD0F0000}"/>
    <cellStyle name="Normal 12 3 68" xfId="3798" xr:uid="{00000000-0005-0000-0000-0000DE0F0000}"/>
    <cellStyle name="Normal 12 3 68 2" xfId="15834" xr:uid="{00000000-0005-0000-0000-0000DF0F0000}"/>
    <cellStyle name="Normal 12 3 69" xfId="3799" xr:uid="{00000000-0005-0000-0000-0000E00F0000}"/>
    <cellStyle name="Normal 12 3 69 2" xfId="15835" xr:uid="{00000000-0005-0000-0000-0000E10F0000}"/>
    <cellStyle name="Normal 12 3 7" xfId="3800" xr:uid="{00000000-0005-0000-0000-0000E20F0000}"/>
    <cellStyle name="Normal 12 3 7 2" xfId="15836" xr:uid="{00000000-0005-0000-0000-0000E30F0000}"/>
    <cellStyle name="Normal 12 3 70" xfId="3801" xr:uid="{00000000-0005-0000-0000-0000E40F0000}"/>
    <cellStyle name="Normal 12 3 70 2" xfId="15837" xr:uid="{00000000-0005-0000-0000-0000E50F0000}"/>
    <cellStyle name="Normal 12 3 71" xfId="3802" xr:uid="{00000000-0005-0000-0000-0000E60F0000}"/>
    <cellStyle name="Normal 12 3 71 2" xfId="15838" xr:uid="{00000000-0005-0000-0000-0000E70F0000}"/>
    <cellStyle name="Normal 12 3 72" xfId="3803" xr:uid="{00000000-0005-0000-0000-0000E80F0000}"/>
    <cellStyle name="Normal 12 3 72 2" xfId="15839" xr:uid="{00000000-0005-0000-0000-0000E90F0000}"/>
    <cellStyle name="Normal 12 3 73" xfId="3804" xr:uid="{00000000-0005-0000-0000-0000EA0F0000}"/>
    <cellStyle name="Normal 12 3 73 2" xfId="15840" xr:uid="{00000000-0005-0000-0000-0000EB0F0000}"/>
    <cellStyle name="Normal 12 3 74" xfId="3805" xr:uid="{00000000-0005-0000-0000-0000EC0F0000}"/>
    <cellStyle name="Normal 12 3 74 2" xfId="15841" xr:uid="{00000000-0005-0000-0000-0000ED0F0000}"/>
    <cellStyle name="Normal 12 3 75" xfId="3806" xr:uid="{00000000-0005-0000-0000-0000EE0F0000}"/>
    <cellStyle name="Normal 12 3 75 2" xfId="15842" xr:uid="{00000000-0005-0000-0000-0000EF0F0000}"/>
    <cellStyle name="Normal 12 3 76" xfId="3807" xr:uid="{00000000-0005-0000-0000-0000F00F0000}"/>
    <cellStyle name="Normal 12 3 76 2" xfId="15843" xr:uid="{00000000-0005-0000-0000-0000F10F0000}"/>
    <cellStyle name="Normal 12 3 77" xfId="3808" xr:uid="{00000000-0005-0000-0000-0000F20F0000}"/>
    <cellStyle name="Normal 12 3 77 2" xfId="15844" xr:uid="{00000000-0005-0000-0000-0000F30F0000}"/>
    <cellStyle name="Normal 12 3 78" xfId="3809" xr:uid="{00000000-0005-0000-0000-0000F40F0000}"/>
    <cellStyle name="Normal 12 3 78 2" xfId="15845" xr:uid="{00000000-0005-0000-0000-0000F50F0000}"/>
    <cellStyle name="Normal 12 3 79" xfId="3810" xr:uid="{00000000-0005-0000-0000-0000F60F0000}"/>
    <cellStyle name="Normal 12 3 79 2" xfId="15846" xr:uid="{00000000-0005-0000-0000-0000F70F0000}"/>
    <cellStyle name="Normal 12 3 8" xfId="3811" xr:uid="{00000000-0005-0000-0000-0000F80F0000}"/>
    <cellStyle name="Normal 12 3 8 2" xfId="15847" xr:uid="{00000000-0005-0000-0000-0000F90F0000}"/>
    <cellStyle name="Normal 12 3 80" xfId="15770" xr:uid="{00000000-0005-0000-0000-0000FA0F0000}"/>
    <cellStyle name="Normal 12 3 9" xfId="3812" xr:uid="{00000000-0005-0000-0000-0000FB0F0000}"/>
    <cellStyle name="Normal 12 3 9 2" xfId="15848" xr:uid="{00000000-0005-0000-0000-0000FC0F0000}"/>
    <cellStyle name="Normal 12 30" xfId="3813" xr:uid="{00000000-0005-0000-0000-0000FD0F0000}"/>
    <cellStyle name="Normal 12 30 2" xfId="15849" xr:uid="{00000000-0005-0000-0000-0000FE0F0000}"/>
    <cellStyle name="Normal 12 31" xfId="3814" xr:uid="{00000000-0005-0000-0000-0000FF0F0000}"/>
    <cellStyle name="Normal 12 31 2" xfId="15850" xr:uid="{00000000-0005-0000-0000-000000100000}"/>
    <cellStyle name="Normal 12 32" xfId="3815" xr:uid="{00000000-0005-0000-0000-000001100000}"/>
    <cellStyle name="Normal 12 32 2" xfId="15851" xr:uid="{00000000-0005-0000-0000-000002100000}"/>
    <cellStyle name="Normal 12 33" xfId="3816" xr:uid="{00000000-0005-0000-0000-000003100000}"/>
    <cellStyle name="Normal 12 33 2" xfId="15852" xr:uid="{00000000-0005-0000-0000-000004100000}"/>
    <cellStyle name="Normal 12 34" xfId="3817" xr:uid="{00000000-0005-0000-0000-000005100000}"/>
    <cellStyle name="Normal 12 34 2" xfId="15853" xr:uid="{00000000-0005-0000-0000-000006100000}"/>
    <cellStyle name="Normal 12 35" xfId="3818" xr:uid="{00000000-0005-0000-0000-000007100000}"/>
    <cellStyle name="Normal 12 35 2" xfId="15854" xr:uid="{00000000-0005-0000-0000-000008100000}"/>
    <cellStyle name="Normal 12 36" xfId="3819" xr:uid="{00000000-0005-0000-0000-000009100000}"/>
    <cellStyle name="Normal 12 36 2" xfId="15855" xr:uid="{00000000-0005-0000-0000-00000A100000}"/>
    <cellStyle name="Normal 12 37" xfId="3820" xr:uid="{00000000-0005-0000-0000-00000B100000}"/>
    <cellStyle name="Normal 12 37 2" xfId="15856" xr:uid="{00000000-0005-0000-0000-00000C100000}"/>
    <cellStyle name="Normal 12 38" xfId="3821" xr:uid="{00000000-0005-0000-0000-00000D100000}"/>
    <cellStyle name="Normal 12 38 2" xfId="15857" xr:uid="{00000000-0005-0000-0000-00000E100000}"/>
    <cellStyle name="Normal 12 39" xfId="3822" xr:uid="{00000000-0005-0000-0000-00000F100000}"/>
    <cellStyle name="Normal 12 39 2" xfId="15858" xr:uid="{00000000-0005-0000-0000-000010100000}"/>
    <cellStyle name="Normal 12 4" xfId="3823" xr:uid="{00000000-0005-0000-0000-000011100000}"/>
    <cellStyle name="Normal 12 4 10" xfId="3824" xr:uid="{00000000-0005-0000-0000-000012100000}"/>
    <cellStyle name="Normal 12 4 10 2" xfId="15860" xr:uid="{00000000-0005-0000-0000-000013100000}"/>
    <cellStyle name="Normal 12 4 11" xfId="3825" xr:uid="{00000000-0005-0000-0000-000014100000}"/>
    <cellStyle name="Normal 12 4 11 2" xfId="15861" xr:uid="{00000000-0005-0000-0000-000015100000}"/>
    <cellStyle name="Normal 12 4 12" xfId="3826" xr:uid="{00000000-0005-0000-0000-000016100000}"/>
    <cellStyle name="Normal 12 4 12 2" xfId="15862" xr:uid="{00000000-0005-0000-0000-000017100000}"/>
    <cellStyle name="Normal 12 4 13" xfId="3827" xr:uid="{00000000-0005-0000-0000-000018100000}"/>
    <cellStyle name="Normal 12 4 13 2" xfId="15863" xr:uid="{00000000-0005-0000-0000-000019100000}"/>
    <cellStyle name="Normal 12 4 14" xfId="3828" xr:uid="{00000000-0005-0000-0000-00001A100000}"/>
    <cellStyle name="Normal 12 4 14 2" xfId="15864" xr:uid="{00000000-0005-0000-0000-00001B100000}"/>
    <cellStyle name="Normal 12 4 15" xfId="3829" xr:uid="{00000000-0005-0000-0000-00001C100000}"/>
    <cellStyle name="Normal 12 4 15 2" xfId="15865" xr:uid="{00000000-0005-0000-0000-00001D100000}"/>
    <cellStyle name="Normal 12 4 16" xfId="3830" xr:uid="{00000000-0005-0000-0000-00001E100000}"/>
    <cellStyle name="Normal 12 4 16 2" xfId="15866" xr:uid="{00000000-0005-0000-0000-00001F100000}"/>
    <cellStyle name="Normal 12 4 17" xfId="3831" xr:uid="{00000000-0005-0000-0000-000020100000}"/>
    <cellStyle name="Normal 12 4 17 2" xfId="15867" xr:uid="{00000000-0005-0000-0000-000021100000}"/>
    <cellStyle name="Normal 12 4 18" xfId="3832" xr:uid="{00000000-0005-0000-0000-000022100000}"/>
    <cellStyle name="Normal 12 4 18 2" xfId="15868" xr:uid="{00000000-0005-0000-0000-000023100000}"/>
    <cellStyle name="Normal 12 4 19" xfId="3833" xr:uid="{00000000-0005-0000-0000-000024100000}"/>
    <cellStyle name="Normal 12 4 19 2" xfId="15869" xr:uid="{00000000-0005-0000-0000-000025100000}"/>
    <cellStyle name="Normal 12 4 2" xfId="3834" xr:uid="{00000000-0005-0000-0000-000026100000}"/>
    <cellStyle name="Normal 12 4 2 2" xfId="15870" xr:uid="{00000000-0005-0000-0000-000027100000}"/>
    <cellStyle name="Normal 12 4 20" xfId="3835" xr:uid="{00000000-0005-0000-0000-000028100000}"/>
    <cellStyle name="Normal 12 4 20 2" xfId="15871" xr:uid="{00000000-0005-0000-0000-000029100000}"/>
    <cellStyle name="Normal 12 4 21" xfId="3836" xr:uid="{00000000-0005-0000-0000-00002A100000}"/>
    <cellStyle name="Normal 12 4 21 2" xfId="15872" xr:uid="{00000000-0005-0000-0000-00002B100000}"/>
    <cellStyle name="Normal 12 4 22" xfId="3837" xr:uid="{00000000-0005-0000-0000-00002C100000}"/>
    <cellStyle name="Normal 12 4 22 2" xfId="15873" xr:uid="{00000000-0005-0000-0000-00002D100000}"/>
    <cellStyle name="Normal 12 4 23" xfId="3838" xr:uid="{00000000-0005-0000-0000-00002E100000}"/>
    <cellStyle name="Normal 12 4 23 2" xfId="15874" xr:uid="{00000000-0005-0000-0000-00002F100000}"/>
    <cellStyle name="Normal 12 4 24" xfId="3839" xr:uid="{00000000-0005-0000-0000-000030100000}"/>
    <cellStyle name="Normal 12 4 24 2" xfId="15875" xr:uid="{00000000-0005-0000-0000-000031100000}"/>
    <cellStyle name="Normal 12 4 25" xfId="3840" xr:uid="{00000000-0005-0000-0000-000032100000}"/>
    <cellStyle name="Normal 12 4 25 2" xfId="15876" xr:uid="{00000000-0005-0000-0000-000033100000}"/>
    <cellStyle name="Normal 12 4 26" xfId="3841" xr:uid="{00000000-0005-0000-0000-000034100000}"/>
    <cellStyle name="Normal 12 4 26 2" xfId="15877" xr:uid="{00000000-0005-0000-0000-000035100000}"/>
    <cellStyle name="Normal 12 4 27" xfId="3842" xr:uid="{00000000-0005-0000-0000-000036100000}"/>
    <cellStyle name="Normal 12 4 27 2" xfId="15878" xr:uid="{00000000-0005-0000-0000-000037100000}"/>
    <cellStyle name="Normal 12 4 28" xfId="3843" xr:uid="{00000000-0005-0000-0000-000038100000}"/>
    <cellStyle name="Normal 12 4 28 2" xfId="15879" xr:uid="{00000000-0005-0000-0000-000039100000}"/>
    <cellStyle name="Normal 12 4 29" xfId="3844" xr:uid="{00000000-0005-0000-0000-00003A100000}"/>
    <cellStyle name="Normal 12 4 29 2" xfId="15880" xr:uid="{00000000-0005-0000-0000-00003B100000}"/>
    <cellStyle name="Normal 12 4 3" xfId="3845" xr:uid="{00000000-0005-0000-0000-00003C100000}"/>
    <cellStyle name="Normal 12 4 3 2" xfId="15881" xr:uid="{00000000-0005-0000-0000-00003D100000}"/>
    <cellStyle name="Normal 12 4 30" xfId="3846" xr:uid="{00000000-0005-0000-0000-00003E100000}"/>
    <cellStyle name="Normal 12 4 30 2" xfId="15882" xr:uid="{00000000-0005-0000-0000-00003F100000}"/>
    <cellStyle name="Normal 12 4 31" xfId="3847" xr:uid="{00000000-0005-0000-0000-000040100000}"/>
    <cellStyle name="Normal 12 4 31 2" xfId="15883" xr:uid="{00000000-0005-0000-0000-000041100000}"/>
    <cellStyle name="Normal 12 4 32" xfId="3848" xr:uid="{00000000-0005-0000-0000-000042100000}"/>
    <cellStyle name="Normal 12 4 32 2" xfId="15884" xr:uid="{00000000-0005-0000-0000-000043100000}"/>
    <cellStyle name="Normal 12 4 33" xfId="3849" xr:uid="{00000000-0005-0000-0000-000044100000}"/>
    <cellStyle name="Normal 12 4 33 2" xfId="15885" xr:uid="{00000000-0005-0000-0000-000045100000}"/>
    <cellStyle name="Normal 12 4 34" xfId="3850" xr:uid="{00000000-0005-0000-0000-000046100000}"/>
    <cellStyle name="Normal 12 4 34 2" xfId="15886" xr:uid="{00000000-0005-0000-0000-000047100000}"/>
    <cellStyle name="Normal 12 4 35" xfId="3851" xr:uid="{00000000-0005-0000-0000-000048100000}"/>
    <cellStyle name="Normal 12 4 35 2" xfId="15887" xr:uid="{00000000-0005-0000-0000-000049100000}"/>
    <cellStyle name="Normal 12 4 36" xfId="3852" xr:uid="{00000000-0005-0000-0000-00004A100000}"/>
    <cellStyle name="Normal 12 4 36 2" xfId="15888" xr:uid="{00000000-0005-0000-0000-00004B100000}"/>
    <cellStyle name="Normal 12 4 37" xfId="3853" xr:uid="{00000000-0005-0000-0000-00004C100000}"/>
    <cellStyle name="Normal 12 4 37 2" xfId="15889" xr:uid="{00000000-0005-0000-0000-00004D100000}"/>
    <cellStyle name="Normal 12 4 38" xfId="3854" xr:uid="{00000000-0005-0000-0000-00004E100000}"/>
    <cellStyle name="Normal 12 4 38 2" xfId="15890" xr:uid="{00000000-0005-0000-0000-00004F100000}"/>
    <cellStyle name="Normal 12 4 39" xfId="3855" xr:uid="{00000000-0005-0000-0000-000050100000}"/>
    <cellStyle name="Normal 12 4 39 2" xfId="15891" xr:uid="{00000000-0005-0000-0000-000051100000}"/>
    <cellStyle name="Normal 12 4 4" xfId="3856" xr:uid="{00000000-0005-0000-0000-000052100000}"/>
    <cellStyle name="Normal 12 4 4 2" xfId="15892" xr:uid="{00000000-0005-0000-0000-000053100000}"/>
    <cellStyle name="Normal 12 4 40" xfId="3857" xr:uid="{00000000-0005-0000-0000-000054100000}"/>
    <cellStyle name="Normal 12 4 40 2" xfId="15893" xr:uid="{00000000-0005-0000-0000-000055100000}"/>
    <cellStyle name="Normal 12 4 41" xfId="3858" xr:uid="{00000000-0005-0000-0000-000056100000}"/>
    <cellStyle name="Normal 12 4 41 2" xfId="15894" xr:uid="{00000000-0005-0000-0000-000057100000}"/>
    <cellStyle name="Normal 12 4 42" xfId="3859" xr:uid="{00000000-0005-0000-0000-000058100000}"/>
    <cellStyle name="Normal 12 4 42 2" xfId="15895" xr:uid="{00000000-0005-0000-0000-000059100000}"/>
    <cellStyle name="Normal 12 4 43" xfId="3860" xr:uid="{00000000-0005-0000-0000-00005A100000}"/>
    <cellStyle name="Normal 12 4 43 2" xfId="15896" xr:uid="{00000000-0005-0000-0000-00005B100000}"/>
    <cellStyle name="Normal 12 4 44" xfId="3861" xr:uid="{00000000-0005-0000-0000-00005C100000}"/>
    <cellStyle name="Normal 12 4 44 2" xfId="15897" xr:uid="{00000000-0005-0000-0000-00005D100000}"/>
    <cellStyle name="Normal 12 4 45" xfId="3862" xr:uid="{00000000-0005-0000-0000-00005E100000}"/>
    <cellStyle name="Normal 12 4 45 2" xfId="15898" xr:uid="{00000000-0005-0000-0000-00005F100000}"/>
    <cellStyle name="Normal 12 4 46" xfId="3863" xr:uid="{00000000-0005-0000-0000-000060100000}"/>
    <cellStyle name="Normal 12 4 46 2" xfId="15899" xr:uid="{00000000-0005-0000-0000-000061100000}"/>
    <cellStyle name="Normal 12 4 47" xfId="3864" xr:uid="{00000000-0005-0000-0000-000062100000}"/>
    <cellStyle name="Normal 12 4 47 2" xfId="15900" xr:uid="{00000000-0005-0000-0000-000063100000}"/>
    <cellStyle name="Normal 12 4 48" xfId="3865" xr:uid="{00000000-0005-0000-0000-000064100000}"/>
    <cellStyle name="Normal 12 4 48 2" xfId="15901" xr:uid="{00000000-0005-0000-0000-000065100000}"/>
    <cellStyle name="Normal 12 4 49" xfId="3866" xr:uid="{00000000-0005-0000-0000-000066100000}"/>
    <cellStyle name="Normal 12 4 49 2" xfId="15902" xr:uid="{00000000-0005-0000-0000-000067100000}"/>
    <cellStyle name="Normal 12 4 5" xfId="3867" xr:uid="{00000000-0005-0000-0000-000068100000}"/>
    <cellStyle name="Normal 12 4 5 2" xfId="15903" xr:uid="{00000000-0005-0000-0000-000069100000}"/>
    <cellStyle name="Normal 12 4 50" xfId="3868" xr:uid="{00000000-0005-0000-0000-00006A100000}"/>
    <cellStyle name="Normal 12 4 50 2" xfId="15904" xr:uid="{00000000-0005-0000-0000-00006B100000}"/>
    <cellStyle name="Normal 12 4 51" xfId="3869" xr:uid="{00000000-0005-0000-0000-00006C100000}"/>
    <cellStyle name="Normal 12 4 51 2" xfId="15905" xr:uid="{00000000-0005-0000-0000-00006D100000}"/>
    <cellStyle name="Normal 12 4 52" xfId="3870" xr:uid="{00000000-0005-0000-0000-00006E100000}"/>
    <cellStyle name="Normal 12 4 52 2" xfId="15906" xr:uid="{00000000-0005-0000-0000-00006F100000}"/>
    <cellStyle name="Normal 12 4 53" xfId="3871" xr:uid="{00000000-0005-0000-0000-000070100000}"/>
    <cellStyle name="Normal 12 4 53 2" xfId="15907" xr:uid="{00000000-0005-0000-0000-000071100000}"/>
    <cellStyle name="Normal 12 4 54" xfId="3872" xr:uid="{00000000-0005-0000-0000-000072100000}"/>
    <cellStyle name="Normal 12 4 54 2" xfId="15908" xr:uid="{00000000-0005-0000-0000-000073100000}"/>
    <cellStyle name="Normal 12 4 55" xfId="3873" xr:uid="{00000000-0005-0000-0000-000074100000}"/>
    <cellStyle name="Normal 12 4 55 2" xfId="15909" xr:uid="{00000000-0005-0000-0000-000075100000}"/>
    <cellStyle name="Normal 12 4 56" xfId="3874" xr:uid="{00000000-0005-0000-0000-000076100000}"/>
    <cellStyle name="Normal 12 4 56 2" xfId="15910" xr:uid="{00000000-0005-0000-0000-000077100000}"/>
    <cellStyle name="Normal 12 4 57" xfId="3875" xr:uid="{00000000-0005-0000-0000-000078100000}"/>
    <cellStyle name="Normal 12 4 57 2" xfId="15911" xr:uid="{00000000-0005-0000-0000-000079100000}"/>
    <cellStyle name="Normal 12 4 58" xfId="3876" xr:uid="{00000000-0005-0000-0000-00007A100000}"/>
    <cellStyle name="Normal 12 4 58 2" xfId="15912" xr:uid="{00000000-0005-0000-0000-00007B100000}"/>
    <cellStyle name="Normal 12 4 59" xfId="3877" xr:uid="{00000000-0005-0000-0000-00007C100000}"/>
    <cellStyle name="Normal 12 4 59 2" xfId="15913" xr:uid="{00000000-0005-0000-0000-00007D100000}"/>
    <cellStyle name="Normal 12 4 6" xfId="3878" xr:uid="{00000000-0005-0000-0000-00007E100000}"/>
    <cellStyle name="Normal 12 4 6 2" xfId="15914" xr:uid="{00000000-0005-0000-0000-00007F100000}"/>
    <cellStyle name="Normal 12 4 60" xfId="3879" xr:uid="{00000000-0005-0000-0000-000080100000}"/>
    <cellStyle name="Normal 12 4 60 2" xfId="15915" xr:uid="{00000000-0005-0000-0000-000081100000}"/>
    <cellStyle name="Normal 12 4 61" xfId="3880" xr:uid="{00000000-0005-0000-0000-000082100000}"/>
    <cellStyle name="Normal 12 4 61 2" xfId="15916" xr:uid="{00000000-0005-0000-0000-000083100000}"/>
    <cellStyle name="Normal 12 4 62" xfId="3881" xr:uid="{00000000-0005-0000-0000-000084100000}"/>
    <cellStyle name="Normal 12 4 62 2" xfId="15917" xr:uid="{00000000-0005-0000-0000-000085100000}"/>
    <cellStyle name="Normal 12 4 63" xfId="3882" xr:uid="{00000000-0005-0000-0000-000086100000}"/>
    <cellStyle name="Normal 12 4 63 2" xfId="15918" xr:uid="{00000000-0005-0000-0000-000087100000}"/>
    <cellStyle name="Normal 12 4 64" xfId="3883" xr:uid="{00000000-0005-0000-0000-000088100000}"/>
    <cellStyle name="Normal 12 4 64 2" xfId="15919" xr:uid="{00000000-0005-0000-0000-000089100000}"/>
    <cellStyle name="Normal 12 4 65" xfId="3884" xr:uid="{00000000-0005-0000-0000-00008A100000}"/>
    <cellStyle name="Normal 12 4 65 2" xfId="15920" xr:uid="{00000000-0005-0000-0000-00008B100000}"/>
    <cellStyle name="Normal 12 4 66" xfId="3885" xr:uid="{00000000-0005-0000-0000-00008C100000}"/>
    <cellStyle name="Normal 12 4 66 2" xfId="15921" xr:uid="{00000000-0005-0000-0000-00008D100000}"/>
    <cellStyle name="Normal 12 4 67" xfId="3886" xr:uid="{00000000-0005-0000-0000-00008E100000}"/>
    <cellStyle name="Normal 12 4 67 2" xfId="15922" xr:uid="{00000000-0005-0000-0000-00008F100000}"/>
    <cellStyle name="Normal 12 4 68" xfId="3887" xr:uid="{00000000-0005-0000-0000-000090100000}"/>
    <cellStyle name="Normal 12 4 68 2" xfId="15923" xr:uid="{00000000-0005-0000-0000-000091100000}"/>
    <cellStyle name="Normal 12 4 69" xfId="3888" xr:uid="{00000000-0005-0000-0000-000092100000}"/>
    <cellStyle name="Normal 12 4 69 2" xfId="15924" xr:uid="{00000000-0005-0000-0000-000093100000}"/>
    <cellStyle name="Normal 12 4 7" xfId="3889" xr:uid="{00000000-0005-0000-0000-000094100000}"/>
    <cellStyle name="Normal 12 4 7 2" xfId="15925" xr:uid="{00000000-0005-0000-0000-000095100000}"/>
    <cellStyle name="Normal 12 4 70" xfId="3890" xr:uid="{00000000-0005-0000-0000-000096100000}"/>
    <cellStyle name="Normal 12 4 70 2" xfId="15926" xr:uid="{00000000-0005-0000-0000-000097100000}"/>
    <cellStyle name="Normal 12 4 71" xfId="3891" xr:uid="{00000000-0005-0000-0000-000098100000}"/>
    <cellStyle name="Normal 12 4 71 2" xfId="15927" xr:uid="{00000000-0005-0000-0000-000099100000}"/>
    <cellStyle name="Normal 12 4 72" xfId="3892" xr:uid="{00000000-0005-0000-0000-00009A100000}"/>
    <cellStyle name="Normal 12 4 72 2" xfId="15928" xr:uid="{00000000-0005-0000-0000-00009B100000}"/>
    <cellStyle name="Normal 12 4 73" xfId="3893" xr:uid="{00000000-0005-0000-0000-00009C100000}"/>
    <cellStyle name="Normal 12 4 73 2" xfId="15929" xr:uid="{00000000-0005-0000-0000-00009D100000}"/>
    <cellStyle name="Normal 12 4 74" xfId="3894" xr:uid="{00000000-0005-0000-0000-00009E100000}"/>
    <cellStyle name="Normal 12 4 74 2" xfId="15930" xr:uid="{00000000-0005-0000-0000-00009F100000}"/>
    <cellStyle name="Normal 12 4 75" xfId="3895" xr:uid="{00000000-0005-0000-0000-0000A0100000}"/>
    <cellStyle name="Normal 12 4 75 2" xfId="15931" xr:uid="{00000000-0005-0000-0000-0000A1100000}"/>
    <cellStyle name="Normal 12 4 76" xfId="3896" xr:uid="{00000000-0005-0000-0000-0000A2100000}"/>
    <cellStyle name="Normal 12 4 76 2" xfId="15932" xr:uid="{00000000-0005-0000-0000-0000A3100000}"/>
    <cellStyle name="Normal 12 4 77" xfId="3897" xr:uid="{00000000-0005-0000-0000-0000A4100000}"/>
    <cellStyle name="Normal 12 4 77 2" xfId="15933" xr:uid="{00000000-0005-0000-0000-0000A5100000}"/>
    <cellStyle name="Normal 12 4 78" xfId="3898" xr:uid="{00000000-0005-0000-0000-0000A6100000}"/>
    <cellStyle name="Normal 12 4 78 2" xfId="15934" xr:uid="{00000000-0005-0000-0000-0000A7100000}"/>
    <cellStyle name="Normal 12 4 79" xfId="3899" xr:uid="{00000000-0005-0000-0000-0000A8100000}"/>
    <cellStyle name="Normal 12 4 79 2" xfId="15935" xr:uid="{00000000-0005-0000-0000-0000A9100000}"/>
    <cellStyle name="Normal 12 4 8" xfId="3900" xr:uid="{00000000-0005-0000-0000-0000AA100000}"/>
    <cellStyle name="Normal 12 4 8 2" xfId="15936" xr:uid="{00000000-0005-0000-0000-0000AB100000}"/>
    <cellStyle name="Normal 12 4 80" xfId="15859" xr:uid="{00000000-0005-0000-0000-0000AC100000}"/>
    <cellStyle name="Normal 12 4 9" xfId="3901" xr:uid="{00000000-0005-0000-0000-0000AD100000}"/>
    <cellStyle name="Normal 12 4 9 2" xfId="15937" xr:uid="{00000000-0005-0000-0000-0000AE100000}"/>
    <cellStyle name="Normal 12 40" xfId="3902" xr:uid="{00000000-0005-0000-0000-0000AF100000}"/>
    <cellStyle name="Normal 12 40 2" xfId="15938" xr:uid="{00000000-0005-0000-0000-0000B0100000}"/>
    <cellStyle name="Normal 12 41" xfId="3903" xr:uid="{00000000-0005-0000-0000-0000B1100000}"/>
    <cellStyle name="Normal 12 41 2" xfId="15939" xr:uid="{00000000-0005-0000-0000-0000B2100000}"/>
    <cellStyle name="Normal 12 42" xfId="3904" xr:uid="{00000000-0005-0000-0000-0000B3100000}"/>
    <cellStyle name="Normal 12 42 2" xfId="15940" xr:uid="{00000000-0005-0000-0000-0000B4100000}"/>
    <cellStyle name="Normal 12 43" xfId="3905" xr:uid="{00000000-0005-0000-0000-0000B5100000}"/>
    <cellStyle name="Normal 12 43 2" xfId="15941" xr:uid="{00000000-0005-0000-0000-0000B6100000}"/>
    <cellStyle name="Normal 12 44" xfId="3906" xr:uid="{00000000-0005-0000-0000-0000B7100000}"/>
    <cellStyle name="Normal 12 44 2" xfId="15942" xr:uid="{00000000-0005-0000-0000-0000B8100000}"/>
    <cellStyle name="Normal 12 45" xfId="3907" xr:uid="{00000000-0005-0000-0000-0000B9100000}"/>
    <cellStyle name="Normal 12 45 2" xfId="15943" xr:uid="{00000000-0005-0000-0000-0000BA100000}"/>
    <cellStyle name="Normal 12 46" xfId="3908" xr:uid="{00000000-0005-0000-0000-0000BB100000}"/>
    <cellStyle name="Normal 12 46 2" xfId="15944" xr:uid="{00000000-0005-0000-0000-0000BC100000}"/>
    <cellStyle name="Normal 12 47" xfId="3909" xr:uid="{00000000-0005-0000-0000-0000BD100000}"/>
    <cellStyle name="Normal 12 47 2" xfId="15945" xr:uid="{00000000-0005-0000-0000-0000BE100000}"/>
    <cellStyle name="Normal 12 48" xfId="3910" xr:uid="{00000000-0005-0000-0000-0000BF100000}"/>
    <cellStyle name="Normal 12 48 2" xfId="15946" xr:uid="{00000000-0005-0000-0000-0000C0100000}"/>
    <cellStyle name="Normal 12 49" xfId="3911" xr:uid="{00000000-0005-0000-0000-0000C1100000}"/>
    <cellStyle name="Normal 12 49 2" xfId="15947" xr:uid="{00000000-0005-0000-0000-0000C2100000}"/>
    <cellStyle name="Normal 12 5" xfId="3912" xr:uid="{00000000-0005-0000-0000-0000C3100000}"/>
    <cellStyle name="Normal 12 5 2" xfId="15948" xr:uid="{00000000-0005-0000-0000-0000C4100000}"/>
    <cellStyle name="Normal 12 50" xfId="3913" xr:uid="{00000000-0005-0000-0000-0000C5100000}"/>
    <cellStyle name="Normal 12 50 2" xfId="15949" xr:uid="{00000000-0005-0000-0000-0000C6100000}"/>
    <cellStyle name="Normal 12 51" xfId="3914" xr:uid="{00000000-0005-0000-0000-0000C7100000}"/>
    <cellStyle name="Normal 12 51 2" xfId="15950" xr:uid="{00000000-0005-0000-0000-0000C8100000}"/>
    <cellStyle name="Normal 12 52" xfId="3915" xr:uid="{00000000-0005-0000-0000-0000C9100000}"/>
    <cellStyle name="Normal 12 52 2" xfId="15951" xr:uid="{00000000-0005-0000-0000-0000CA100000}"/>
    <cellStyle name="Normal 12 53" xfId="3916" xr:uid="{00000000-0005-0000-0000-0000CB100000}"/>
    <cellStyle name="Normal 12 53 2" xfId="15952" xr:uid="{00000000-0005-0000-0000-0000CC100000}"/>
    <cellStyle name="Normal 12 54" xfId="3917" xr:uid="{00000000-0005-0000-0000-0000CD100000}"/>
    <cellStyle name="Normal 12 54 2" xfId="15953" xr:uid="{00000000-0005-0000-0000-0000CE100000}"/>
    <cellStyle name="Normal 12 55" xfId="3918" xr:uid="{00000000-0005-0000-0000-0000CF100000}"/>
    <cellStyle name="Normal 12 55 2" xfId="15954" xr:uid="{00000000-0005-0000-0000-0000D0100000}"/>
    <cellStyle name="Normal 12 56" xfId="3919" xr:uid="{00000000-0005-0000-0000-0000D1100000}"/>
    <cellStyle name="Normal 12 56 2" xfId="15955" xr:uid="{00000000-0005-0000-0000-0000D2100000}"/>
    <cellStyle name="Normal 12 57" xfId="3920" xr:uid="{00000000-0005-0000-0000-0000D3100000}"/>
    <cellStyle name="Normal 12 57 2" xfId="15956" xr:uid="{00000000-0005-0000-0000-0000D4100000}"/>
    <cellStyle name="Normal 12 58" xfId="3921" xr:uid="{00000000-0005-0000-0000-0000D5100000}"/>
    <cellStyle name="Normal 12 58 2" xfId="15957" xr:uid="{00000000-0005-0000-0000-0000D6100000}"/>
    <cellStyle name="Normal 12 59" xfId="3922" xr:uid="{00000000-0005-0000-0000-0000D7100000}"/>
    <cellStyle name="Normal 12 59 2" xfId="15958" xr:uid="{00000000-0005-0000-0000-0000D8100000}"/>
    <cellStyle name="Normal 12 6" xfId="3923" xr:uid="{00000000-0005-0000-0000-0000D9100000}"/>
    <cellStyle name="Normal 12 6 2" xfId="15959" xr:uid="{00000000-0005-0000-0000-0000DA100000}"/>
    <cellStyle name="Normal 12 60" xfId="3924" xr:uid="{00000000-0005-0000-0000-0000DB100000}"/>
    <cellStyle name="Normal 12 60 2" xfId="15960" xr:uid="{00000000-0005-0000-0000-0000DC100000}"/>
    <cellStyle name="Normal 12 61" xfId="3925" xr:uid="{00000000-0005-0000-0000-0000DD100000}"/>
    <cellStyle name="Normal 12 61 2" xfId="15961" xr:uid="{00000000-0005-0000-0000-0000DE100000}"/>
    <cellStyle name="Normal 12 62" xfId="3926" xr:uid="{00000000-0005-0000-0000-0000DF100000}"/>
    <cellStyle name="Normal 12 62 2" xfId="15962" xr:uid="{00000000-0005-0000-0000-0000E0100000}"/>
    <cellStyle name="Normal 12 63" xfId="3927" xr:uid="{00000000-0005-0000-0000-0000E1100000}"/>
    <cellStyle name="Normal 12 63 2" xfId="15963" xr:uid="{00000000-0005-0000-0000-0000E2100000}"/>
    <cellStyle name="Normal 12 64" xfId="3928" xr:uid="{00000000-0005-0000-0000-0000E3100000}"/>
    <cellStyle name="Normal 12 64 2" xfId="15964" xr:uid="{00000000-0005-0000-0000-0000E4100000}"/>
    <cellStyle name="Normal 12 65" xfId="3929" xr:uid="{00000000-0005-0000-0000-0000E5100000}"/>
    <cellStyle name="Normal 12 65 2" xfId="15965" xr:uid="{00000000-0005-0000-0000-0000E6100000}"/>
    <cellStyle name="Normal 12 66" xfId="3930" xr:uid="{00000000-0005-0000-0000-0000E7100000}"/>
    <cellStyle name="Normal 12 66 2" xfId="15966" xr:uid="{00000000-0005-0000-0000-0000E8100000}"/>
    <cellStyle name="Normal 12 67" xfId="3931" xr:uid="{00000000-0005-0000-0000-0000E9100000}"/>
    <cellStyle name="Normal 12 67 2" xfId="15967" xr:uid="{00000000-0005-0000-0000-0000EA100000}"/>
    <cellStyle name="Normal 12 68" xfId="3932" xr:uid="{00000000-0005-0000-0000-0000EB100000}"/>
    <cellStyle name="Normal 12 68 2" xfId="15968" xr:uid="{00000000-0005-0000-0000-0000EC100000}"/>
    <cellStyle name="Normal 12 69" xfId="3933" xr:uid="{00000000-0005-0000-0000-0000ED100000}"/>
    <cellStyle name="Normal 12 69 2" xfId="15969" xr:uid="{00000000-0005-0000-0000-0000EE100000}"/>
    <cellStyle name="Normal 12 7" xfId="3934" xr:uid="{00000000-0005-0000-0000-0000EF100000}"/>
    <cellStyle name="Normal 12 7 2" xfId="15970" xr:uid="{00000000-0005-0000-0000-0000F0100000}"/>
    <cellStyle name="Normal 12 70" xfId="3935" xr:uid="{00000000-0005-0000-0000-0000F1100000}"/>
    <cellStyle name="Normal 12 70 2" xfId="15971" xr:uid="{00000000-0005-0000-0000-0000F2100000}"/>
    <cellStyle name="Normal 12 71" xfId="3936" xr:uid="{00000000-0005-0000-0000-0000F3100000}"/>
    <cellStyle name="Normal 12 71 2" xfId="15972" xr:uid="{00000000-0005-0000-0000-0000F4100000}"/>
    <cellStyle name="Normal 12 72" xfId="3937" xr:uid="{00000000-0005-0000-0000-0000F5100000}"/>
    <cellStyle name="Normal 12 72 2" xfId="15973" xr:uid="{00000000-0005-0000-0000-0000F6100000}"/>
    <cellStyle name="Normal 12 73" xfId="3938" xr:uid="{00000000-0005-0000-0000-0000F7100000}"/>
    <cellStyle name="Normal 12 73 2" xfId="15974" xr:uid="{00000000-0005-0000-0000-0000F8100000}"/>
    <cellStyle name="Normal 12 74" xfId="3939" xr:uid="{00000000-0005-0000-0000-0000F9100000}"/>
    <cellStyle name="Normal 12 74 2" xfId="15975" xr:uid="{00000000-0005-0000-0000-0000FA100000}"/>
    <cellStyle name="Normal 12 75" xfId="3940" xr:uid="{00000000-0005-0000-0000-0000FB100000}"/>
    <cellStyle name="Normal 12 75 2" xfId="15976" xr:uid="{00000000-0005-0000-0000-0000FC100000}"/>
    <cellStyle name="Normal 12 76" xfId="3941" xr:uid="{00000000-0005-0000-0000-0000FD100000}"/>
    <cellStyle name="Normal 12 76 2" xfId="15977" xr:uid="{00000000-0005-0000-0000-0000FE100000}"/>
    <cellStyle name="Normal 12 77" xfId="3942" xr:uid="{00000000-0005-0000-0000-0000FF100000}"/>
    <cellStyle name="Normal 12 77 2" xfId="15978" xr:uid="{00000000-0005-0000-0000-000000110000}"/>
    <cellStyle name="Normal 12 78" xfId="3943" xr:uid="{00000000-0005-0000-0000-000001110000}"/>
    <cellStyle name="Normal 12 78 2" xfId="15979" xr:uid="{00000000-0005-0000-0000-000002110000}"/>
    <cellStyle name="Normal 12 79" xfId="3944" xr:uid="{00000000-0005-0000-0000-000003110000}"/>
    <cellStyle name="Normal 12 79 2" xfId="15980" xr:uid="{00000000-0005-0000-0000-000004110000}"/>
    <cellStyle name="Normal 12 8" xfId="3945" xr:uid="{00000000-0005-0000-0000-000005110000}"/>
    <cellStyle name="Normal 12 8 2" xfId="15981" xr:uid="{00000000-0005-0000-0000-000006110000}"/>
    <cellStyle name="Normal 12 80" xfId="3946" xr:uid="{00000000-0005-0000-0000-000007110000}"/>
    <cellStyle name="Normal 12 80 2" xfId="15982" xr:uid="{00000000-0005-0000-0000-000008110000}"/>
    <cellStyle name="Normal 12 81" xfId="3947" xr:uid="{00000000-0005-0000-0000-000009110000}"/>
    <cellStyle name="Normal 12 81 2" xfId="15983" xr:uid="{00000000-0005-0000-0000-00000A110000}"/>
    <cellStyle name="Normal 12 82" xfId="3948" xr:uid="{00000000-0005-0000-0000-00000B110000}"/>
    <cellStyle name="Normal 12 82 2" xfId="15984" xr:uid="{00000000-0005-0000-0000-00000C110000}"/>
    <cellStyle name="Normal 12 83" xfId="2909" xr:uid="{00000000-0005-0000-0000-00000D110000}"/>
    <cellStyle name="Normal 12 9" xfId="3949" xr:uid="{00000000-0005-0000-0000-00000E110000}"/>
    <cellStyle name="Normal 12 9 2" xfId="15985" xr:uid="{00000000-0005-0000-0000-00000F110000}"/>
    <cellStyle name="Normal 120" xfId="245" xr:uid="{00000000-0005-0000-0000-000010110000}"/>
    <cellStyle name="Normal 120 2" xfId="672" xr:uid="{00000000-0005-0000-0000-000011110000}"/>
    <cellStyle name="Normal 120 3" xfId="461" xr:uid="{00000000-0005-0000-0000-000012110000}"/>
    <cellStyle name="Normal 121" xfId="246" xr:uid="{00000000-0005-0000-0000-000013110000}"/>
    <cellStyle name="Normal 121 2" xfId="673" xr:uid="{00000000-0005-0000-0000-000014110000}"/>
    <cellStyle name="Normal 121 3" xfId="462" xr:uid="{00000000-0005-0000-0000-000015110000}"/>
    <cellStyle name="Normal 122" xfId="247" xr:uid="{00000000-0005-0000-0000-000016110000}"/>
    <cellStyle name="Normal 122 2" xfId="674" xr:uid="{00000000-0005-0000-0000-000017110000}"/>
    <cellStyle name="Normal 122 3" xfId="463" xr:uid="{00000000-0005-0000-0000-000018110000}"/>
    <cellStyle name="Normal 123" xfId="248" xr:uid="{00000000-0005-0000-0000-000019110000}"/>
    <cellStyle name="Normal 123 2" xfId="675" xr:uid="{00000000-0005-0000-0000-00001A110000}"/>
    <cellStyle name="Normal 123 3" xfId="464" xr:uid="{00000000-0005-0000-0000-00001B110000}"/>
    <cellStyle name="Normal 124" xfId="249" xr:uid="{00000000-0005-0000-0000-00001C110000}"/>
    <cellStyle name="Normal 124 2" xfId="676" xr:uid="{00000000-0005-0000-0000-00001D110000}"/>
    <cellStyle name="Normal 124 3" xfId="465" xr:uid="{00000000-0005-0000-0000-00001E110000}"/>
    <cellStyle name="Normal 125" xfId="250" xr:uid="{00000000-0005-0000-0000-00001F110000}"/>
    <cellStyle name="Normal 125 2" xfId="677" xr:uid="{00000000-0005-0000-0000-000020110000}"/>
    <cellStyle name="Normal 125 3" xfId="466" xr:uid="{00000000-0005-0000-0000-000021110000}"/>
    <cellStyle name="Normal 126" xfId="251" xr:uid="{00000000-0005-0000-0000-000022110000}"/>
    <cellStyle name="Normal 126 2" xfId="678" xr:uid="{00000000-0005-0000-0000-000023110000}"/>
    <cellStyle name="Normal 126 3" xfId="467" xr:uid="{00000000-0005-0000-0000-000024110000}"/>
    <cellStyle name="Normal 127" xfId="252" xr:uid="{00000000-0005-0000-0000-000025110000}"/>
    <cellStyle name="Normal 127 2" xfId="679" xr:uid="{00000000-0005-0000-0000-000026110000}"/>
    <cellStyle name="Normal 127 3" xfId="468" xr:uid="{00000000-0005-0000-0000-000027110000}"/>
    <cellStyle name="Normal 128" xfId="253" xr:uid="{00000000-0005-0000-0000-000028110000}"/>
    <cellStyle name="Normal 128 2" xfId="680" xr:uid="{00000000-0005-0000-0000-000029110000}"/>
    <cellStyle name="Normal 128 3" xfId="469" xr:uid="{00000000-0005-0000-0000-00002A110000}"/>
    <cellStyle name="Normal 129" xfId="254" xr:uid="{00000000-0005-0000-0000-00002B110000}"/>
    <cellStyle name="Normal 129 2" xfId="811" xr:uid="{00000000-0005-0000-0000-00002C110000}"/>
    <cellStyle name="Normal 129 3" xfId="681" xr:uid="{00000000-0005-0000-0000-00002D110000}"/>
    <cellStyle name="Normal 129 4" xfId="470" xr:uid="{00000000-0005-0000-0000-00002E110000}"/>
    <cellStyle name="Normal 13" xfId="64" xr:uid="{00000000-0005-0000-0000-00002F110000}"/>
    <cellStyle name="Normal 13 10" xfId="3950" xr:uid="{00000000-0005-0000-0000-000030110000}"/>
    <cellStyle name="Normal 13 10 2" xfId="15986" xr:uid="{00000000-0005-0000-0000-000031110000}"/>
    <cellStyle name="Normal 13 11" xfId="3951" xr:uid="{00000000-0005-0000-0000-000032110000}"/>
    <cellStyle name="Normal 13 11 2" xfId="15987" xr:uid="{00000000-0005-0000-0000-000033110000}"/>
    <cellStyle name="Normal 13 12" xfId="3952" xr:uid="{00000000-0005-0000-0000-000034110000}"/>
    <cellStyle name="Normal 13 12 2" xfId="15988" xr:uid="{00000000-0005-0000-0000-000035110000}"/>
    <cellStyle name="Normal 13 13" xfId="3953" xr:uid="{00000000-0005-0000-0000-000036110000}"/>
    <cellStyle name="Normal 13 13 2" xfId="15989" xr:uid="{00000000-0005-0000-0000-000037110000}"/>
    <cellStyle name="Normal 13 14" xfId="3954" xr:uid="{00000000-0005-0000-0000-000038110000}"/>
    <cellStyle name="Normal 13 14 2" xfId="15990" xr:uid="{00000000-0005-0000-0000-000039110000}"/>
    <cellStyle name="Normal 13 15" xfId="3955" xr:uid="{00000000-0005-0000-0000-00003A110000}"/>
    <cellStyle name="Normal 13 15 2" xfId="15991" xr:uid="{00000000-0005-0000-0000-00003B110000}"/>
    <cellStyle name="Normal 13 16" xfId="3956" xr:uid="{00000000-0005-0000-0000-00003C110000}"/>
    <cellStyle name="Normal 13 16 2" xfId="15992" xr:uid="{00000000-0005-0000-0000-00003D110000}"/>
    <cellStyle name="Normal 13 17" xfId="3957" xr:uid="{00000000-0005-0000-0000-00003E110000}"/>
    <cellStyle name="Normal 13 17 2" xfId="15993" xr:uid="{00000000-0005-0000-0000-00003F110000}"/>
    <cellStyle name="Normal 13 18" xfId="3958" xr:uid="{00000000-0005-0000-0000-000040110000}"/>
    <cellStyle name="Normal 13 18 2" xfId="15994" xr:uid="{00000000-0005-0000-0000-000041110000}"/>
    <cellStyle name="Normal 13 19" xfId="3959" xr:uid="{00000000-0005-0000-0000-000042110000}"/>
    <cellStyle name="Normal 13 19 2" xfId="15995" xr:uid="{00000000-0005-0000-0000-000043110000}"/>
    <cellStyle name="Normal 13 2" xfId="160" xr:uid="{00000000-0005-0000-0000-000044110000}"/>
    <cellStyle name="Normal 13 2 10" xfId="3960" xr:uid="{00000000-0005-0000-0000-000045110000}"/>
    <cellStyle name="Normal 13 2 10 2" xfId="15996" xr:uid="{00000000-0005-0000-0000-000046110000}"/>
    <cellStyle name="Normal 13 2 11" xfId="3961" xr:uid="{00000000-0005-0000-0000-000047110000}"/>
    <cellStyle name="Normal 13 2 11 2" xfId="15997" xr:uid="{00000000-0005-0000-0000-000048110000}"/>
    <cellStyle name="Normal 13 2 12" xfId="3962" xr:uid="{00000000-0005-0000-0000-000049110000}"/>
    <cellStyle name="Normal 13 2 12 2" xfId="15998" xr:uid="{00000000-0005-0000-0000-00004A110000}"/>
    <cellStyle name="Normal 13 2 13" xfId="3963" xr:uid="{00000000-0005-0000-0000-00004B110000}"/>
    <cellStyle name="Normal 13 2 13 2" xfId="15999" xr:uid="{00000000-0005-0000-0000-00004C110000}"/>
    <cellStyle name="Normal 13 2 14" xfId="3964" xr:uid="{00000000-0005-0000-0000-00004D110000}"/>
    <cellStyle name="Normal 13 2 14 2" xfId="16000" xr:uid="{00000000-0005-0000-0000-00004E110000}"/>
    <cellStyle name="Normal 13 2 15" xfId="3965" xr:uid="{00000000-0005-0000-0000-00004F110000}"/>
    <cellStyle name="Normal 13 2 15 2" xfId="16001" xr:uid="{00000000-0005-0000-0000-000050110000}"/>
    <cellStyle name="Normal 13 2 16" xfId="3966" xr:uid="{00000000-0005-0000-0000-000051110000}"/>
    <cellStyle name="Normal 13 2 16 2" xfId="16002" xr:uid="{00000000-0005-0000-0000-000052110000}"/>
    <cellStyle name="Normal 13 2 17" xfId="3967" xr:uid="{00000000-0005-0000-0000-000053110000}"/>
    <cellStyle name="Normal 13 2 17 2" xfId="16003" xr:uid="{00000000-0005-0000-0000-000054110000}"/>
    <cellStyle name="Normal 13 2 18" xfId="3968" xr:uid="{00000000-0005-0000-0000-000055110000}"/>
    <cellStyle name="Normal 13 2 18 2" xfId="16004" xr:uid="{00000000-0005-0000-0000-000056110000}"/>
    <cellStyle name="Normal 13 2 19" xfId="3969" xr:uid="{00000000-0005-0000-0000-000057110000}"/>
    <cellStyle name="Normal 13 2 19 2" xfId="16005" xr:uid="{00000000-0005-0000-0000-000058110000}"/>
    <cellStyle name="Normal 13 2 2" xfId="1599" xr:uid="{00000000-0005-0000-0000-000059110000}"/>
    <cellStyle name="Normal 13 2 2 2" xfId="15021" xr:uid="{00000000-0005-0000-0000-00005A110000}"/>
    <cellStyle name="Normal 13 2 20" xfId="3970" xr:uid="{00000000-0005-0000-0000-00005B110000}"/>
    <cellStyle name="Normal 13 2 20 2" xfId="16006" xr:uid="{00000000-0005-0000-0000-00005C110000}"/>
    <cellStyle name="Normal 13 2 21" xfId="3971" xr:uid="{00000000-0005-0000-0000-00005D110000}"/>
    <cellStyle name="Normal 13 2 21 2" xfId="16007" xr:uid="{00000000-0005-0000-0000-00005E110000}"/>
    <cellStyle name="Normal 13 2 22" xfId="3972" xr:uid="{00000000-0005-0000-0000-00005F110000}"/>
    <cellStyle name="Normal 13 2 22 2" xfId="16008" xr:uid="{00000000-0005-0000-0000-000060110000}"/>
    <cellStyle name="Normal 13 2 23" xfId="3973" xr:uid="{00000000-0005-0000-0000-000061110000}"/>
    <cellStyle name="Normal 13 2 23 2" xfId="16009" xr:uid="{00000000-0005-0000-0000-000062110000}"/>
    <cellStyle name="Normal 13 2 24" xfId="3974" xr:uid="{00000000-0005-0000-0000-000063110000}"/>
    <cellStyle name="Normal 13 2 24 2" xfId="16010" xr:uid="{00000000-0005-0000-0000-000064110000}"/>
    <cellStyle name="Normal 13 2 25" xfId="3975" xr:uid="{00000000-0005-0000-0000-000065110000}"/>
    <cellStyle name="Normal 13 2 25 2" xfId="16011" xr:uid="{00000000-0005-0000-0000-000066110000}"/>
    <cellStyle name="Normal 13 2 26" xfId="3976" xr:uid="{00000000-0005-0000-0000-000067110000}"/>
    <cellStyle name="Normal 13 2 26 2" xfId="16012" xr:uid="{00000000-0005-0000-0000-000068110000}"/>
    <cellStyle name="Normal 13 2 27" xfId="3977" xr:uid="{00000000-0005-0000-0000-000069110000}"/>
    <cellStyle name="Normal 13 2 27 2" xfId="16013" xr:uid="{00000000-0005-0000-0000-00006A110000}"/>
    <cellStyle name="Normal 13 2 28" xfId="3978" xr:uid="{00000000-0005-0000-0000-00006B110000}"/>
    <cellStyle name="Normal 13 2 28 2" xfId="16014" xr:uid="{00000000-0005-0000-0000-00006C110000}"/>
    <cellStyle name="Normal 13 2 29" xfId="3979" xr:uid="{00000000-0005-0000-0000-00006D110000}"/>
    <cellStyle name="Normal 13 2 29 2" xfId="16015" xr:uid="{00000000-0005-0000-0000-00006E110000}"/>
    <cellStyle name="Normal 13 2 3" xfId="3980" xr:uid="{00000000-0005-0000-0000-00006F110000}"/>
    <cellStyle name="Normal 13 2 3 2" xfId="16016" xr:uid="{00000000-0005-0000-0000-000070110000}"/>
    <cellStyle name="Normal 13 2 30" xfId="3981" xr:uid="{00000000-0005-0000-0000-000071110000}"/>
    <cellStyle name="Normal 13 2 30 2" xfId="16017" xr:uid="{00000000-0005-0000-0000-000072110000}"/>
    <cellStyle name="Normal 13 2 31" xfId="3982" xr:uid="{00000000-0005-0000-0000-000073110000}"/>
    <cellStyle name="Normal 13 2 31 2" xfId="16018" xr:uid="{00000000-0005-0000-0000-000074110000}"/>
    <cellStyle name="Normal 13 2 32" xfId="3983" xr:uid="{00000000-0005-0000-0000-000075110000}"/>
    <cellStyle name="Normal 13 2 32 2" xfId="16019" xr:uid="{00000000-0005-0000-0000-000076110000}"/>
    <cellStyle name="Normal 13 2 33" xfId="3984" xr:uid="{00000000-0005-0000-0000-000077110000}"/>
    <cellStyle name="Normal 13 2 33 2" xfId="16020" xr:uid="{00000000-0005-0000-0000-000078110000}"/>
    <cellStyle name="Normal 13 2 34" xfId="3985" xr:uid="{00000000-0005-0000-0000-000079110000}"/>
    <cellStyle name="Normal 13 2 34 2" xfId="16021" xr:uid="{00000000-0005-0000-0000-00007A110000}"/>
    <cellStyle name="Normal 13 2 35" xfId="3986" xr:uid="{00000000-0005-0000-0000-00007B110000}"/>
    <cellStyle name="Normal 13 2 35 2" xfId="16022" xr:uid="{00000000-0005-0000-0000-00007C110000}"/>
    <cellStyle name="Normal 13 2 36" xfId="3987" xr:uid="{00000000-0005-0000-0000-00007D110000}"/>
    <cellStyle name="Normal 13 2 36 2" xfId="16023" xr:uid="{00000000-0005-0000-0000-00007E110000}"/>
    <cellStyle name="Normal 13 2 37" xfId="3988" xr:uid="{00000000-0005-0000-0000-00007F110000}"/>
    <cellStyle name="Normal 13 2 37 2" xfId="16024" xr:uid="{00000000-0005-0000-0000-000080110000}"/>
    <cellStyle name="Normal 13 2 38" xfId="3989" xr:uid="{00000000-0005-0000-0000-000081110000}"/>
    <cellStyle name="Normal 13 2 38 2" xfId="16025" xr:uid="{00000000-0005-0000-0000-000082110000}"/>
    <cellStyle name="Normal 13 2 39" xfId="3990" xr:uid="{00000000-0005-0000-0000-000083110000}"/>
    <cellStyle name="Normal 13 2 39 2" xfId="16026" xr:uid="{00000000-0005-0000-0000-000084110000}"/>
    <cellStyle name="Normal 13 2 4" xfId="3991" xr:uid="{00000000-0005-0000-0000-000085110000}"/>
    <cellStyle name="Normal 13 2 4 2" xfId="16027" xr:uid="{00000000-0005-0000-0000-000086110000}"/>
    <cellStyle name="Normal 13 2 40" xfId="3992" xr:uid="{00000000-0005-0000-0000-000087110000}"/>
    <cellStyle name="Normal 13 2 40 2" xfId="16028" xr:uid="{00000000-0005-0000-0000-000088110000}"/>
    <cellStyle name="Normal 13 2 41" xfId="3993" xr:uid="{00000000-0005-0000-0000-000089110000}"/>
    <cellStyle name="Normal 13 2 41 2" xfId="16029" xr:uid="{00000000-0005-0000-0000-00008A110000}"/>
    <cellStyle name="Normal 13 2 42" xfId="3994" xr:uid="{00000000-0005-0000-0000-00008B110000}"/>
    <cellStyle name="Normal 13 2 42 2" xfId="16030" xr:uid="{00000000-0005-0000-0000-00008C110000}"/>
    <cellStyle name="Normal 13 2 43" xfId="3995" xr:uid="{00000000-0005-0000-0000-00008D110000}"/>
    <cellStyle name="Normal 13 2 43 2" xfId="16031" xr:uid="{00000000-0005-0000-0000-00008E110000}"/>
    <cellStyle name="Normal 13 2 44" xfId="3996" xr:uid="{00000000-0005-0000-0000-00008F110000}"/>
    <cellStyle name="Normal 13 2 44 2" xfId="16032" xr:uid="{00000000-0005-0000-0000-000090110000}"/>
    <cellStyle name="Normal 13 2 45" xfId="3997" xr:uid="{00000000-0005-0000-0000-000091110000}"/>
    <cellStyle name="Normal 13 2 45 2" xfId="16033" xr:uid="{00000000-0005-0000-0000-000092110000}"/>
    <cellStyle name="Normal 13 2 46" xfId="3998" xr:uid="{00000000-0005-0000-0000-000093110000}"/>
    <cellStyle name="Normal 13 2 46 2" xfId="16034" xr:uid="{00000000-0005-0000-0000-000094110000}"/>
    <cellStyle name="Normal 13 2 47" xfId="3999" xr:uid="{00000000-0005-0000-0000-000095110000}"/>
    <cellStyle name="Normal 13 2 47 2" xfId="16035" xr:uid="{00000000-0005-0000-0000-000096110000}"/>
    <cellStyle name="Normal 13 2 48" xfId="4000" xr:uid="{00000000-0005-0000-0000-000097110000}"/>
    <cellStyle name="Normal 13 2 48 2" xfId="16036" xr:uid="{00000000-0005-0000-0000-000098110000}"/>
    <cellStyle name="Normal 13 2 49" xfId="4001" xr:uid="{00000000-0005-0000-0000-000099110000}"/>
    <cellStyle name="Normal 13 2 49 2" xfId="16037" xr:uid="{00000000-0005-0000-0000-00009A110000}"/>
    <cellStyle name="Normal 13 2 5" xfId="4002" xr:uid="{00000000-0005-0000-0000-00009B110000}"/>
    <cellStyle name="Normal 13 2 5 2" xfId="16038" xr:uid="{00000000-0005-0000-0000-00009C110000}"/>
    <cellStyle name="Normal 13 2 50" xfId="4003" xr:uid="{00000000-0005-0000-0000-00009D110000}"/>
    <cellStyle name="Normal 13 2 50 2" xfId="16039" xr:uid="{00000000-0005-0000-0000-00009E110000}"/>
    <cellStyle name="Normal 13 2 51" xfId="4004" xr:uid="{00000000-0005-0000-0000-00009F110000}"/>
    <cellStyle name="Normal 13 2 51 2" xfId="16040" xr:uid="{00000000-0005-0000-0000-0000A0110000}"/>
    <cellStyle name="Normal 13 2 52" xfId="4005" xr:uid="{00000000-0005-0000-0000-0000A1110000}"/>
    <cellStyle name="Normal 13 2 52 2" xfId="16041" xr:uid="{00000000-0005-0000-0000-0000A2110000}"/>
    <cellStyle name="Normal 13 2 53" xfId="4006" xr:uid="{00000000-0005-0000-0000-0000A3110000}"/>
    <cellStyle name="Normal 13 2 53 2" xfId="16042" xr:uid="{00000000-0005-0000-0000-0000A4110000}"/>
    <cellStyle name="Normal 13 2 54" xfId="4007" xr:uid="{00000000-0005-0000-0000-0000A5110000}"/>
    <cellStyle name="Normal 13 2 54 2" xfId="16043" xr:uid="{00000000-0005-0000-0000-0000A6110000}"/>
    <cellStyle name="Normal 13 2 55" xfId="4008" xr:uid="{00000000-0005-0000-0000-0000A7110000}"/>
    <cellStyle name="Normal 13 2 55 2" xfId="16044" xr:uid="{00000000-0005-0000-0000-0000A8110000}"/>
    <cellStyle name="Normal 13 2 56" xfId="4009" xr:uid="{00000000-0005-0000-0000-0000A9110000}"/>
    <cellStyle name="Normal 13 2 56 2" xfId="16045" xr:uid="{00000000-0005-0000-0000-0000AA110000}"/>
    <cellStyle name="Normal 13 2 57" xfId="4010" xr:uid="{00000000-0005-0000-0000-0000AB110000}"/>
    <cellStyle name="Normal 13 2 57 2" xfId="16046" xr:uid="{00000000-0005-0000-0000-0000AC110000}"/>
    <cellStyle name="Normal 13 2 58" xfId="4011" xr:uid="{00000000-0005-0000-0000-0000AD110000}"/>
    <cellStyle name="Normal 13 2 58 2" xfId="16047" xr:uid="{00000000-0005-0000-0000-0000AE110000}"/>
    <cellStyle name="Normal 13 2 59" xfId="4012" xr:uid="{00000000-0005-0000-0000-0000AF110000}"/>
    <cellStyle name="Normal 13 2 59 2" xfId="16048" xr:uid="{00000000-0005-0000-0000-0000B0110000}"/>
    <cellStyle name="Normal 13 2 6" xfId="4013" xr:uid="{00000000-0005-0000-0000-0000B1110000}"/>
    <cellStyle name="Normal 13 2 6 2" xfId="16049" xr:uid="{00000000-0005-0000-0000-0000B2110000}"/>
    <cellStyle name="Normal 13 2 60" xfId="4014" xr:uid="{00000000-0005-0000-0000-0000B3110000}"/>
    <cellStyle name="Normal 13 2 60 2" xfId="16050" xr:uid="{00000000-0005-0000-0000-0000B4110000}"/>
    <cellStyle name="Normal 13 2 61" xfId="4015" xr:uid="{00000000-0005-0000-0000-0000B5110000}"/>
    <cellStyle name="Normal 13 2 61 2" xfId="16051" xr:uid="{00000000-0005-0000-0000-0000B6110000}"/>
    <cellStyle name="Normal 13 2 62" xfId="4016" xr:uid="{00000000-0005-0000-0000-0000B7110000}"/>
    <cellStyle name="Normal 13 2 62 2" xfId="16052" xr:uid="{00000000-0005-0000-0000-0000B8110000}"/>
    <cellStyle name="Normal 13 2 63" xfId="4017" xr:uid="{00000000-0005-0000-0000-0000B9110000}"/>
    <cellStyle name="Normal 13 2 63 2" xfId="16053" xr:uid="{00000000-0005-0000-0000-0000BA110000}"/>
    <cellStyle name="Normal 13 2 64" xfId="4018" xr:uid="{00000000-0005-0000-0000-0000BB110000}"/>
    <cellStyle name="Normal 13 2 64 2" xfId="16054" xr:uid="{00000000-0005-0000-0000-0000BC110000}"/>
    <cellStyle name="Normal 13 2 65" xfId="4019" xr:uid="{00000000-0005-0000-0000-0000BD110000}"/>
    <cellStyle name="Normal 13 2 65 2" xfId="16055" xr:uid="{00000000-0005-0000-0000-0000BE110000}"/>
    <cellStyle name="Normal 13 2 66" xfId="4020" xr:uid="{00000000-0005-0000-0000-0000BF110000}"/>
    <cellStyle name="Normal 13 2 66 2" xfId="16056" xr:uid="{00000000-0005-0000-0000-0000C0110000}"/>
    <cellStyle name="Normal 13 2 67" xfId="4021" xr:uid="{00000000-0005-0000-0000-0000C1110000}"/>
    <cellStyle name="Normal 13 2 67 2" xfId="16057" xr:uid="{00000000-0005-0000-0000-0000C2110000}"/>
    <cellStyle name="Normal 13 2 68" xfId="4022" xr:uid="{00000000-0005-0000-0000-0000C3110000}"/>
    <cellStyle name="Normal 13 2 68 2" xfId="16058" xr:uid="{00000000-0005-0000-0000-0000C4110000}"/>
    <cellStyle name="Normal 13 2 69" xfId="4023" xr:uid="{00000000-0005-0000-0000-0000C5110000}"/>
    <cellStyle name="Normal 13 2 69 2" xfId="16059" xr:uid="{00000000-0005-0000-0000-0000C6110000}"/>
    <cellStyle name="Normal 13 2 7" xfId="4024" xr:uid="{00000000-0005-0000-0000-0000C7110000}"/>
    <cellStyle name="Normal 13 2 7 2" xfId="16060" xr:uid="{00000000-0005-0000-0000-0000C8110000}"/>
    <cellStyle name="Normal 13 2 70" xfId="4025" xr:uid="{00000000-0005-0000-0000-0000C9110000}"/>
    <cellStyle name="Normal 13 2 70 2" xfId="16061" xr:uid="{00000000-0005-0000-0000-0000CA110000}"/>
    <cellStyle name="Normal 13 2 71" xfId="4026" xr:uid="{00000000-0005-0000-0000-0000CB110000}"/>
    <cellStyle name="Normal 13 2 71 2" xfId="16062" xr:uid="{00000000-0005-0000-0000-0000CC110000}"/>
    <cellStyle name="Normal 13 2 72" xfId="4027" xr:uid="{00000000-0005-0000-0000-0000CD110000}"/>
    <cellStyle name="Normal 13 2 72 2" xfId="16063" xr:uid="{00000000-0005-0000-0000-0000CE110000}"/>
    <cellStyle name="Normal 13 2 73" xfId="4028" xr:uid="{00000000-0005-0000-0000-0000CF110000}"/>
    <cellStyle name="Normal 13 2 73 2" xfId="16064" xr:uid="{00000000-0005-0000-0000-0000D0110000}"/>
    <cellStyle name="Normal 13 2 74" xfId="4029" xr:uid="{00000000-0005-0000-0000-0000D1110000}"/>
    <cellStyle name="Normal 13 2 74 2" xfId="16065" xr:uid="{00000000-0005-0000-0000-0000D2110000}"/>
    <cellStyle name="Normal 13 2 75" xfId="4030" xr:uid="{00000000-0005-0000-0000-0000D3110000}"/>
    <cellStyle name="Normal 13 2 75 2" xfId="16066" xr:uid="{00000000-0005-0000-0000-0000D4110000}"/>
    <cellStyle name="Normal 13 2 76" xfId="4031" xr:uid="{00000000-0005-0000-0000-0000D5110000}"/>
    <cellStyle name="Normal 13 2 76 2" xfId="16067" xr:uid="{00000000-0005-0000-0000-0000D6110000}"/>
    <cellStyle name="Normal 13 2 77" xfId="4032" xr:uid="{00000000-0005-0000-0000-0000D7110000}"/>
    <cellStyle name="Normal 13 2 77 2" xfId="16068" xr:uid="{00000000-0005-0000-0000-0000D8110000}"/>
    <cellStyle name="Normal 13 2 78" xfId="4033" xr:uid="{00000000-0005-0000-0000-0000D9110000}"/>
    <cellStyle name="Normal 13 2 78 2" xfId="16069" xr:uid="{00000000-0005-0000-0000-0000DA110000}"/>
    <cellStyle name="Normal 13 2 79" xfId="4034" xr:uid="{00000000-0005-0000-0000-0000DB110000}"/>
    <cellStyle name="Normal 13 2 79 2" xfId="16070" xr:uid="{00000000-0005-0000-0000-0000DC110000}"/>
    <cellStyle name="Normal 13 2 8" xfId="4035" xr:uid="{00000000-0005-0000-0000-0000DD110000}"/>
    <cellStyle name="Normal 13 2 8 2" xfId="16071" xr:uid="{00000000-0005-0000-0000-0000DE110000}"/>
    <cellStyle name="Normal 13 2 80" xfId="15020" xr:uid="{00000000-0005-0000-0000-0000DF110000}"/>
    <cellStyle name="Normal 13 2 81" xfId="1598" xr:uid="{00000000-0005-0000-0000-0000E0110000}"/>
    <cellStyle name="Normal 13 2 9" xfId="4036" xr:uid="{00000000-0005-0000-0000-0000E1110000}"/>
    <cellStyle name="Normal 13 2 9 2" xfId="16072" xr:uid="{00000000-0005-0000-0000-0000E2110000}"/>
    <cellStyle name="Normal 13 20" xfId="4037" xr:uid="{00000000-0005-0000-0000-0000E3110000}"/>
    <cellStyle name="Normal 13 20 2" xfId="16073" xr:uid="{00000000-0005-0000-0000-0000E4110000}"/>
    <cellStyle name="Normal 13 21" xfId="4038" xr:uid="{00000000-0005-0000-0000-0000E5110000}"/>
    <cellStyle name="Normal 13 21 2" xfId="16074" xr:uid="{00000000-0005-0000-0000-0000E6110000}"/>
    <cellStyle name="Normal 13 22" xfId="4039" xr:uid="{00000000-0005-0000-0000-0000E7110000}"/>
    <cellStyle name="Normal 13 22 2" xfId="16075" xr:uid="{00000000-0005-0000-0000-0000E8110000}"/>
    <cellStyle name="Normal 13 23" xfId="4040" xr:uid="{00000000-0005-0000-0000-0000E9110000}"/>
    <cellStyle name="Normal 13 23 2" xfId="16076" xr:uid="{00000000-0005-0000-0000-0000EA110000}"/>
    <cellStyle name="Normal 13 24" xfId="4041" xr:uid="{00000000-0005-0000-0000-0000EB110000}"/>
    <cellStyle name="Normal 13 24 2" xfId="16077" xr:uid="{00000000-0005-0000-0000-0000EC110000}"/>
    <cellStyle name="Normal 13 25" xfId="4042" xr:uid="{00000000-0005-0000-0000-0000ED110000}"/>
    <cellStyle name="Normal 13 25 2" xfId="16078" xr:uid="{00000000-0005-0000-0000-0000EE110000}"/>
    <cellStyle name="Normal 13 26" xfId="4043" xr:uid="{00000000-0005-0000-0000-0000EF110000}"/>
    <cellStyle name="Normal 13 26 2" xfId="16079" xr:uid="{00000000-0005-0000-0000-0000F0110000}"/>
    <cellStyle name="Normal 13 27" xfId="4044" xr:uid="{00000000-0005-0000-0000-0000F1110000}"/>
    <cellStyle name="Normal 13 27 2" xfId="16080" xr:uid="{00000000-0005-0000-0000-0000F2110000}"/>
    <cellStyle name="Normal 13 28" xfId="4045" xr:uid="{00000000-0005-0000-0000-0000F3110000}"/>
    <cellStyle name="Normal 13 28 2" xfId="16081" xr:uid="{00000000-0005-0000-0000-0000F4110000}"/>
    <cellStyle name="Normal 13 29" xfId="4046" xr:uid="{00000000-0005-0000-0000-0000F5110000}"/>
    <cellStyle name="Normal 13 29 2" xfId="16082" xr:uid="{00000000-0005-0000-0000-0000F6110000}"/>
    <cellStyle name="Normal 13 3" xfId="682" xr:uid="{00000000-0005-0000-0000-0000F7110000}"/>
    <cellStyle name="Normal 13 3 10" xfId="4047" xr:uid="{00000000-0005-0000-0000-0000F8110000}"/>
    <cellStyle name="Normal 13 3 10 2" xfId="16083" xr:uid="{00000000-0005-0000-0000-0000F9110000}"/>
    <cellStyle name="Normal 13 3 11" xfId="4048" xr:uid="{00000000-0005-0000-0000-0000FA110000}"/>
    <cellStyle name="Normal 13 3 11 2" xfId="16084" xr:uid="{00000000-0005-0000-0000-0000FB110000}"/>
    <cellStyle name="Normal 13 3 12" xfId="4049" xr:uid="{00000000-0005-0000-0000-0000FC110000}"/>
    <cellStyle name="Normal 13 3 12 2" xfId="16085" xr:uid="{00000000-0005-0000-0000-0000FD110000}"/>
    <cellStyle name="Normal 13 3 13" xfId="4050" xr:uid="{00000000-0005-0000-0000-0000FE110000}"/>
    <cellStyle name="Normal 13 3 13 2" xfId="16086" xr:uid="{00000000-0005-0000-0000-0000FF110000}"/>
    <cellStyle name="Normal 13 3 14" xfId="4051" xr:uid="{00000000-0005-0000-0000-000000120000}"/>
    <cellStyle name="Normal 13 3 14 2" xfId="16087" xr:uid="{00000000-0005-0000-0000-000001120000}"/>
    <cellStyle name="Normal 13 3 15" xfId="4052" xr:uid="{00000000-0005-0000-0000-000002120000}"/>
    <cellStyle name="Normal 13 3 15 2" xfId="16088" xr:uid="{00000000-0005-0000-0000-000003120000}"/>
    <cellStyle name="Normal 13 3 16" xfId="4053" xr:uid="{00000000-0005-0000-0000-000004120000}"/>
    <cellStyle name="Normal 13 3 16 2" xfId="16089" xr:uid="{00000000-0005-0000-0000-000005120000}"/>
    <cellStyle name="Normal 13 3 17" xfId="4054" xr:uid="{00000000-0005-0000-0000-000006120000}"/>
    <cellStyle name="Normal 13 3 17 2" xfId="16090" xr:uid="{00000000-0005-0000-0000-000007120000}"/>
    <cellStyle name="Normal 13 3 18" xfId="4055" xr:uid="{00000000-0005-0000-0000-000008120000}"/>
    <cellStyle name="Normal 13 3 18 2" xfId="16091" xr:uid="{00000000-0005-0000-0000-000009120000}"/>
    <cellStyle name="Normal 13 3 19" xfId="4056" xr:uid="{00000000-0005-0000-0000-00000A120000}"/>
    <cellStyle name="Normal 13 3 19 2" xfId="16092" xr:uid="{00000000-0005-0000-0000-00000B120000}"/>
    <cellStyle name="Normal 13 3 2" xfId="1601" xr:uid="{00000000-0005-0000-0000-00000C120000}"/>
    <cellStyle name="Normal 13 3 2 2" xfId="15023" xr:uid="{00000000-0005-0000-0000-00000D120000}"/>
    <cellStyle name="Normal 13 3 20" xfId="4057" xr:uid="{00000000-0005-0000-0000-00000E120000}"/>
    <cellStyle name="Normal 13 3 20 2" xfId="16093" xr:uid="{00000000-0005-0000-0000-00000F120000}"/>
    <cellStyle name="Normal 13 3 21" xfId="4058" xr:uid="{00000000-0005-0000-0000-000010120000}"/>
    <cellStyle name="Normal 13 3 21 2" xfId="16094" xr:uid="{00000000-0005-0000-0000-000011120000}"/>
    <cellStyle name="Normal 13 3 22" xfId="4059" xr:uid="{00000000-0005-0000-0000-000012120000}"/>
    <cellStyle name="Normal 13 3 22 2" xfId="16095" xr:uid="{00000000-0005-0000-0000-000013120000}"/>
    <cellStyle name="Normal 13 3 23" xfId="4060" xr:uid="{00000000-0005-0000-0000-000014120000}"/>
    <cellStyle name="Normal 13 3 23 2" xfId="16096" xr:uid="{00000000-0005-0000-0000-000015120000}"/>
    <cellStyle name="Normal 13 3 24" xfId="4061" xr:uid="{00000000-0005-0000-0000-000016120000}"/>
    <cellStyle name="Normal 13 3 24 2" xfId="16097" xr:uid="{00000000-0005-0000-0000-000017120000}"/>
    <cellStyle name="Normal 13 3 25" xfId="4062" xr:uid="{00000000-0005-0000-0000-000018120000}"/>
    <cellStyle name="Normal 13 3 25 2" xfId="16098" xr:uid="{00000000-0005-0000-0000-000019120000}"/>
    <cellStyle name="Normal 13 3 26" xfId="4063" xr:uid="{00000000-0005-0000-0000-00001A120000}"/>
    <cellStyle name="Normal 13 3 26 2" xfId="16099" xr:uid="{00000000-0005-0000-0000-00001B120000}"/>
    <cellStyle name="Normal 13 3 27" xfId="4064" xr:uid="{00000000-0005-0000-0000-00001C120000}"/>
    <cellStyle name="Normal 13 3 27 2" xfId="16100" xr:uid="{00000000-0005-0000-0000-00001D120000}"/>
    <cellStyle name="Normal 13 3 28" xfId="4065" xr:uid="{00000000-0005-0000-0000-00001E120000}"/>
    <cellStyle name="Normal 13 3 28 2" xfId="16101" xr:uid="{00000000-0005-0000-0000-00001F120000}"/>
    <cellStyle name="Normal 13 3 29" xfId="4066" xr:uid="{00000000-0005-0000-0000-000020120000}"/>
    <cellStyle name="Normal 13 3 29 2" xfId="16102" xr:uid="{00000000-0005-0000-0000-000021120000}"/>
    <cellStyle name="Normal 13 3 3" xfId="4067" xr:uid="{00000000-0005-0000-0000-000022120000}"/>
    <cellStyle name="Normal 13 3 3 2" xfId="16103" xr:uid="{00000000-0005-0000-0000-000023120000}"/>
    <cellStyle name="Normal 13 3 30" xfId="4068" xr:uid="{00000000-0005-0000-0000-000024120000}"/>
    <cellStyle name="Normal 13 3 30 2" xfId="16104" xr:uid="{00000000-0005-0000-0000-000025120000}"/>
    <cellStyle name="Normal 13 3 31" xfId="4069" xr:uid="{00000000-0005-0000-0000-000026120000}"/>
    <cellStyle name="Normal 13 3 31 2" xfId="16105" xr:uid="{00000000-0005-0000-0000-000027120000}"/>
    <cellStyle name="Normal 13 3 32" xfId="4070" xr:uid="{00000000-0005-0000-0000-000028120000}"/>
    <cellStyle name="Normal 13 3 32 2" xfId="16106" xr:uid="{00000000-0005-0000-0000-000029120000}"/>
    <cellStyle name="Normal 13 3 33" xfId="4071" xr:uid="{00000000-0005-0000-0000-00002A120000}"/>
    <cellStyle name="Normal 13 3 33 2" xfId="16107" xr:uid="{00000000-0005-0000-0000-00002B120000}"/>
    <cellStyle name="Normal 13 3 34" xfId="4072" xr:uid="{00000000-0005-0000-0000-00002C120000}"/>
    <cellStyle name="Normal 13 3 34 2" xfId="16108" xr:uid="{00000000-0005-0000-0000-00002D120000}"/>
    <cellStyle name="Normal 13 3 35" xfId="4073" xr:uid="{00000000-0005-0000-0000-00002E120000}"/>
    <cellStyle name="Normal 13 3 35 2" xfId="16109" xr:uid="{00000000-0005-0000-0000-00002F120000}"/>
    <cellStyle name="Normal 13 3 36" xfId="4074" xr:uid="{00000000-0005-0000-0000-000030120000}"/>
    <cellStyle name="Normal 13 3 36 2" xfId="16110" xr:uid="{00000000-0005-0000-0000-000031120000}"/>
    <cellStyle name="Normal 13 3 37" xfId="4075" xr:uid="{00000000-0005-0000-0000-000032120000}"/>
    <cellStyle name="Normal 13 3 37 2" xfId="16111" xr:uid="{00000000-0005-0000-0000-000033120000}"/>
    <cellStyle name="Normal 13 3 38" xfId="4076" xr:uid="{00000000-0005-0000-0000-000034120000}"/>
    <cellStyle name="Normal 13 3 38 2" xfId="16112" xr:uid="{00000000-0005-0000-0000-000035120000}"/>
    <cellStyle name="Normal 13 3 39" xfId="4077" xr:uid="{00000000-0005-0000-0000-000036120000}"/>
    <cellStyle name="Normal 13 3 39 2" xfId="16113" xr:uid="{00000000-0005-0000-0000-000037120000}"/>
    <cellStyle name="Normal 13 3 4" xfId="4078" xr:uid="{00000000-0005-0000-0000-000038120000}"/>
    <cellStyle name="Normal 13 3 4 2" xfId="16114" xr:uid="{00000000-0005-0000-0000-000039120000}"/>
    <cellStyle name="Normal 13 3 40" xfId="4079" xr:uid="{00000000-0005-0000-0000-00003A120000}"/>
    <cellStyle name="Normal 13 3 40 2" xfId="16115" xr:uid="{00000000-0005-0000-0000-00003B120000}"/>
    <cellStyle name="Normal 13 3 41" xfId="4080" xr:uid="{00000000-0005-0000-0000-00003C120000}"/>
    <cellStyle name="Normal 13 3 41 2" xfId="16116" xr:uid="{00000000-0005-0000-0000-00003D120000}"/>
    <cellStyle name="Normal 13 3 42" xfId="4081" xr:uid="{00000000-0005-0000-0000-00003E120000}"/>
    <cellStyle name="Normal 13 3 42 2" xfId="16117" xr:uid="{00000000-0005-0000-0000-00003F120000}"/>
    <cellStyle name="Normal 13 3 43" xfId="4082" xr:uid="{00000000-0005-0000-0000-000040120000}"/>
    <cellStyle name="Normal 13 3 43 2" xfId="16118" xr:uid="{00000000-0005-0000-0000-000041120000}"/>
    <cellStyle name="Normal 13 3 44" xfId="4083" xr:uid="{00000000-0005-0000-0000-000042120000}"/>
    <cellStyle name="Normal 13 3 44 2" xfId="16119" xr:uid="{00000000-0005-0000-0000-000043120000}"/>
    <cellStyle name="Normal 13 3 45" xfId="4084" xr:uid="{00000000-0005-0000-0000-000044120000}"/>
    <cellStyle name="Normal 13 3 45 2" xfId="16120" xr:uid="{00000000-0005-0000-0000-000045120000}"/>
    <cellStyle name="Normal 13 3 46" xfId="4085" xr:uid="{00000000-0005-0000-0000-000046120000}"/>
    <cellStyle name="Normal 13 3 46 2" xfId="16121" xr:uid="{00000000-0005-0000-0000-000047120000}"/>
    <cellStyle name="Normal 13 3 47" xfId="4086" xr:uid="{00000000-0005-0000-0000-000048120000}"/>
    <cellStyle name="Normal 13 3 47 2" xfId="16122" xr:uid="{00000000-0005-0000-0000-000049120000}"/>
    <cellStyle name="Normal 13 3 48" xfId="4087" xr:uid="{00000000-0005-0000-0000-00004A120000}"/>
    <cellStyle name="Normal 13 3 48 2" xfId="16123" xr:uid="{00000000-0005-0000-0000-00004B120000}"/>
    <cellStyle name="Normal 13 3 49" xfId="4088" xr:uid="{00000000-0005-0000-0000-00004C120000}"/>
    <cellStyle name="Normal 13 3 49 2" xfId="16124" xr:uid="{00000000-0005-0000-0000-00004D120000}"/>
    <cellStyle name="Normal 13 3 5" xfId="4089" xr:uid="{00000000-0005-0000-0000-00004E120000}"/>
    <cellStyle name="Normal 13 3 5 2" xfId="16125" xr:uid="{00000000-0005-0000-0000-00004F120000}"/>
    <cellStyle name="Normal 13 3 50" xfId="4090" xr:uid="{00000000-0005-0000-0000-000050120000}"/>
    <cellStyle name="Normal 13 3 50 2" xfId="16126" xr:uid="{00000000-0005-0000-0000-000051120000}"/>
    <cellStyle name="Normal 13 3 51" xfId="4091" xr:uid="{00000000-0005-0000-0000-000052120000}"/>
    <cellStyle name="Normal 13 3 51 2" xfId="16127" xr:uid="{00000000-0005-0000-0000-000053120000}"/>
    <cellStyle name="Normal 13 3 52" xfId="4092" xr:uid="{00000000-0005-0000-0000-000054120000}"/>
    <cellStyle name="Normal 13 3 52 2" xfId="16128" xr:uid="{00000000-0005-0000-0000-000055120000}"/>
    <cellStyle name="Normal 13 3 53" xfId="4093" xr:uid="{00000000-0005-0000-0000-000056120000}"/>
    <cellStyle name="Normal 13 3 53 2" xfId="16129" xr:uid="{00000000-0005-0000-0000-000057120000}"/>
    <cellStyle name="Normal 13 3 54" xfId="4094" xr:uid="{00000000-0005-0000-0000-000058120000}"/>
    <cellStyle name="Normal 13 3 54 2" xfId="16130" xr:uid="{00000000-0005-0000-0000-000059120000}"/>
    <cellStyle name="Normal 13 3 55" xfId="4095" xr:uid="{00000000-0005-0000-0000-00005A120000}"/>
    <cellStyle name="Normal 13 3 55 2" xfId="16131" xr:uid="{00000000-0005-0000-0000-00005B120000}"/>
    <cellStyle name="Normal 13 3 56" xfId="4096" xr:uid="{00000000-0005-0000-0000-00005C120000}"/>
    <cellStyle name="Normal 13 3 56 2" xfId="16132" xr:uid="{00000000-0005-0000-0000-00005D120000}"/>
    <cellStyle name="Normal 13 3 57" xfId="4097" xr:uid="{00000000-0005-0000-0000-00005E120000}"/>
    <cellStyle name="Normal 13 3 57 2" xfId="16133" xr:uid="{00000000-0005-0000-0000-00005F120000}"/>
    <cellStyle name="Normal 13 3 58" xfId="4098" xr:uid="{00000000-0005-0000-0000-000060120000}"/>
    <cellStyle name="Normal 13 3 58 2" xfId="16134" xr:uid="{00000000-0005-0000-0000-000061120000}"/>
    <cellStyle name="Normal 13 3 59" xfId="4099" xr:uid="{00000000-0005-0000-0000-000062120000}"/>
    <cellStyle name="Normal 13 3 59 2" xfId="16135" xr:uid="{00000000-0005-0000-0000-000063120000}"/>
    <cellStyle name="Normal 13 3 6" xfId="4100" xr:uid="{00000000-0005-0000-0000-000064120000}"/>
    <cellStyle name="Normal 13 3 6 2" xfId="16136" xr:uid="{00000000-0005-0000-0000-000065120000}"/>
    <cellStyle name="Normal 13 3 60" xfId="4101" xr:uid="{00000000-0005-0000-0000-000066120000}"/>
    <cellStyle name="Normal 13 3 60 2" xfId="16137" xr:uid="{00000000-0005-0000-0000-000067120000}"/>
    <cellStyle name="Normal 13 3 61" xfId="4102" xr:uid="{00000000-0005-0000-0000-000068120000}"/>
    <cellStyle name="Normal 13 3 61 2" xfId="16138" xr:uid="{00000000-0005-0000-0000-000069120000}"/>
    <cellStyle name="Normal 13 3 62" xfId="4103" xr:uid="{00000000-0005-0000-0000-00006A120000}"/>
    <cellStyle name="Normal 13 3 62 2" xfId="16139" xr:uid="{00000000-0005-0000-0000-00006B120000}"/>
    <cellStyle name="Normal 13 3 63" xfId="4104" xr:uid="{00000000-0005-0000-0000-00006C120000}"/>
    <cellStyle name="Normal 13 3 63 2" xfId="16140" xr:uid="{00000000-0005-0000-0000-00006D120000}"/>
    <cellStyle name="Normal 13 3 64" xfId="4105" xr:uid="{00000000-0005-0000-0000-00006E120000}"/>
    <cellStyle name="Normal 13 3 64 2" xfId="16141" xr:uid="{00000000-0005-0000-0000-00006F120000}"/>
    <cellStyle name="Normal 13 3 65" xfId="4106" xr:uid="{00000000-0005-0000-0000-000070120000}"/>
    <cellStyle name="Normal 13 3 65 2" xfId="16142" xr:uid="{00000000-0005-0000-0000-000071120000}"/>
    <cellStyle name="Normal 13 3 66" xfId="4107" xr:uid="{00000000-0005-0000-0000-000072120000}"/>
    <cellStyle name="Normal 13 3 66 2" xfId="16143" xr:uid="{00000000-0005-0000-0000-000073120000}"/>
    <cellStyle name="Normal 13 3 67" xfId="4108" xr:uid="{00000000-0005-0000-0000-000074120000}"/>
    <cellStyle name="Normal 13 3 67 2" xfId="16144" xr:uid="{00000000-0005-0000-0000-000075120000}"/>
    <cellStyle name="Normal 13 3 68" xfId="4109" xr:uid="{00000000-0005-0000-0000-000076120000}"/>
    <cellStyle name="Normal 13 3 68 2" xfId="16145" xr:uid="{00000000-0005-0000-0000-000077120000}"/>
    <cellStyle name="Normal 13 3 69" xfId="4110" xr:uid="{00000000-0005-0000-0000-000078120000}"/>
    <cellStyle name="Normal 13 3 69 2" xfId="16146" xr:uid="{00000000-0005-0000-0000-000079120000}"/>
    <cellStyle name="Normal 13 3 7" xfId="4111" xr:uid="{00000000-0005-0000-0000-00007A120000}"/>
    <cellStyle name="Normal 13 3 7 2" xfId="16147" xr:uid="{00000000-0005-0000-0000-00007B120000}"/>
    <cellStyle name="Normal 13 3 70" xfId="4112" xr:uid="{00000000-0005-0000-0000-00007C120000}"/>
    <cellStyle name="Normal 13 3 70 2" xfId="16148" xr:uid="{00000000-0005-0000-0000-00007D120000}"/>
    <cellStyle name="Normal 13 3 71" xfId="4113" xr:uid="{00000000-0005-0000-0000-00007E120000}"/>
    <cellStyle name="Normal 13 3 71 2" xfId="16149" xr:uid="{00000000-0005-0000-0000-00007F120000}"/>
    <cellStyle name="Normal 13 3 72" xfId="4114" xr:uid="{00000000-0005-0000-0000-000080120000}"/>
    <cellStyle name="Normal 13 3 72 2" xfId="16150" xr:uid="{00000000-0005-0000-0000-000081120000}"/>
    <cellStyle name="Normal 13 3 73" xfId="4115" xr:uid="{00000000-0005-0000-0000-000082120000}"/>
    <cellStyle name="Normal 13 3 73 2" xfId="16151" xr:uid="{00000000-0005-0000-0000-000083120000}"/>
    <cellStyle name="Normal 13 3 74" xfId="4116" xr:uid="{00000000-0005-0000-0000-000084120000}"/>
    <cellStyle name="Normal 13 3 74 2" xfId="16152" xr:uid="{00000000-0005-0000-0000-000085120000}"/>
    <cellStyle name="Normal 13 3 75" xfId="4117" xr:uid="{00000000-0005-0000-0000-000086120000}"/>
    <cellStyle name="Normal 13 3 75 2" xfId="16153" xr:uid="{00000000-0005-0000-0000-000087120000}"/>
    <cellStyle name="Normal 13 3 76" xfId="4118" xr:uid="{00000000-0005-0000-0000-000088120000}"/>
    <cellStyle name="Normal 13 3 76 2" xfId="16154" xr:uid="{00000000-0005-0000-0000-000089120000}"/>
    <cellStyle name="Normal 13 3 77" xfId="4119" xr:uid="{00000000-0005-0000-0000-00008A120000}"/>
    <cellStyle name="Normal 13 3 77 2" xfId="16155" xr:uid="{00000000-0005-0000-0000-00008B120000}"/>
    <cellStyle name="Normal 13 3 78" xfId="4120" xr:uid="{00000000-0005-0000-0000-00008C120000}"/>
    <cellStyle name="Normal 13 3 78 2" xfId="16156" xr:uid="{00000000-0005-0000-0000-00008D120000}"/>
    <cellStyle name="Normal 13 3 79" xfId="4121" xr:uid="{00000000-0005-0000-0000-00008E120000}"/>
    <cellStyle name="Normal 13 3 79 2" xfId="16157" xr:uid="{00000000-0005-0000-0000-00008F120000}"/>
    <cellStyle name="Normal 13 3 8" xfId="4122" xr:uid="{00000000-0005-0000-0000-000090120000}"/>
    <cellStyle name="Normal 13 3 8 2" xfId="16158" xr:uid="{00000000-0005-0000-0000-000091120000}"/>
    <cellStyle name="Normal 13 3 80" xfId="15022" xr:uid="{00000000-0005-0000-0000-000092120000}"/>
    <cellStyle name="Normal 13 3 81" xfId="1600" xr:uid="{00000000-0005-0000-0000-000093120000}"/>
    <cellStyle name="Normal 13 3 9" xfId="4123" xr:uid="{00000000-0005-0000-0000-000094120000}"/>
    <cellStyle name="Normal 13 3 9 2" xfId="16159" xr:uid="{00000000-0005-0000-0000-000095120000}"/>
    <cellStyle name="Normal 13 30" xfId="4124" xr:uid="{00000000-0005-0000-0000-000096120000}"/>
    <cellStyle name="Normal 13 30 2" xfId="16160" xr:uid="{00000000-0005-0000-0000-000097120000}"/>
    <cellStyle name="Normal 13 31" xfId="4125" xr:uid="{00000000-0005-0000-0000-000098120000}"/>
    <cellStyle name="Normal 13 31 2" xfId="16161" xr:uid="{00000000-0005-0000-0000-000099120000}"/>
    <cellStyle name="Normal 13 32" xfId="4126" xr:uid="{00000000-0005-0000-0000-00009A120000}"/>
    <cellStyle name="Normal 13 32 2" xfId="16162" xr:uid="{00000000-0005-0000-0000-00009B120000}"/>
    <cellStyle name="Normal 13 33" xfId="4127" xr:uid="{00000000-0005-0000-0000-00009C120000}"/>
    <cellStyle name="Normal 13 33 2" xfId="16163" xr:uid="{00000000-0005-0000-0000-00009D120000}"/>
    <cellStyle name="Normal 13 34" xfId="4128" xr:uid="{00000000-0005-0000-0000-00009E120000}"/>
    <cellStyle name="Normal 13 34 2" xfId="16164" xr:uid="{00000000-0005-0000-0000-00009F120000}"/>
    <cellStyle name="Normal 13 35" xfId="4129" xr:uid="{00000000-0005-0000-0000-0000A0120000}"/>
    <cellStyle name="Normal 13 35 2" xfId="16165" xr:uid="{00000000-0005-0000-0000-0000A1120000}"/>
    <cellStyle name="Normal 13 36" xfId="4130" xr:uid="{00000000-0005-0000-0000-0000A2120000}"/>
    <cellStyle name="Normal 13 36 2" xfId="16166" xr:uid="{00000000-0005-0000-0000-0000A3120000}"/>
    <cellStyle name="Normal 13 37" xfId="4131" xr:uid="{00000000-0005-0000-0000-0000A4120000}"/>
    <cellStyle name="Normal 13 37 2" xfId="16167" xr:uid="{00000000-0005-0000-0000-0000A5120000}"/>
    <cellStyle name="Normal 13 38" xfId="4132" xr:uid="{00000000-0005-0000-0000-0000A6120000}"/>
    <cellStyle name="Normal 13 38 2" xfId="16168" xr:uid="{00000000-0005-0000-0000-0000A7120000}"/>
    <cellStyle name="Normal 13 39" xfId="4133" xr:uid="{00000000-0005-0000-0000-0000A8120000}"/>
    <cellStyle name="Normal 13 39 2" xfId="16169" xr:uid="{00000000-0005-0000-0000-0000A9120000}"/>
    <cellStyle name="Normal 13 4" xfId="304" xr:uid="{00000000-0005-0000-0000-0000AA120000}"/>
    <cellStyle name="Normal 13 4 10" xfId="4134" xr:uid="{00000000-0005-0000-0000-0000AB120000}"/>
    <cellStyle name="Normal 13 4 10 2" xfId="16170" xr:uid="{00000000-0005-0000-0000-0000AC120000}"/>
    <cellStyle name="Normal 13 4 11" xfId="4135" xr:uid="{00000000-0005-0000-0000-0000AD120000}"/>
    <cellStyle name="Normal 13 4 11 2" xfId="16171" xr:uid="{00000000-0005-0000-0000-0000AE120000}"/>
    <cellStyle name="Normal 13 4 12" xfId="4136" xr:uid="{00000000-0005-0000-0000-0000AF120000}"/>
    <cellStyle name="Normal 13 4 12 2" xfId="16172" xr:uid="{00000000-0005-0000-0000-0000B0120000}"/>
    <cellStyle name="Normal 13 4 13" xfId="4137" xr:uid="{00000000-0005-0000-0000-0000B1120000}"/>
    <cellStyle name="Normal 13 4 13 2" xfId="16173" xr:uid="{00000000-0005-0000-0000-0000B2120000}"/>
    <cellStyle name="Normal 13 4 14" xfId="4138" xr:uid="{00000000-0005-0000-0000-0000B3120000}"/>
    <cellStyle name="Normal 13 4 14 2" xfId="16174" xr:uid="{00000000-0005-0000-0000-0000B4120000}"/>
    <cellStyle name="Normal 13 4 15" xfId="4139" xr:uid="{00000000-0005-0000-0000-0000B5120000}"/>
    <cellStyle name="Normal 13 4 15 2" xfId="16175" xr:uid="{00000000-0005-0000-0000-0000B6120000}"/>
    <cellStyle name="Normal 13 4 16" xfId="4140" xr:uid="{00000000-0005-0000-0000-0000B7120000}"/>
    <cellStyle name="Normal 13 4 16 2" xfId="16176" xr:uid="{00000000-0005-0000-0000-0000B8120000}"/>
    <cellStyle name="Normal 13 4 17" xfId="4141" xr:uid="{00000000-0005-0000-0000-0000B9120000}"/>
    <cellStyle name="Normal 13 4 17 2" xfId="16177" xr:uid="{00000000-0005-0000-0000-0000BA120000}"/>
    <cellStyle name="Normal 13 4 18" xfId="4142" xr:uid="{00000000-0005-0000-0000-0000BB120000}"/>
    <cellStyle name="Normal 13 4 18 2" xfId="16178" xr:uid="{00000000-0005-0000-0000-0000BC120000}"/>
    <cellStyle name="Normal 13 4 19" xfId="4143" xr:uid="{00000000-0005-0000-0000-0000BD120000}"/>
    <cellStyle name="Normal 13 4 19 2" xfId="16179" xr:uid="{00000000-0005-0000-0000-0000BE120000}"/>
    <cellStyle name="Normal 13 4 2" xfId="4144" xr:uid="{00000000-0005-0000-0000-0000BF120000}"/>
    <cellStyle name="Normal 13 4 2 2" xfId="16180" xr:uid="{00000000-0005-0000-0000-0000C0120000}"/>
    <cellStyle name="Normal 13 4 20" xfId="4145" xr:uid="{00000000-0005-0000-0000-0000C1120000}"/>
    <cellStyle name="Normal 13 4 20 2" xfId="16181" xr:uid="{00000000-0005-0000-0000-0000C2120000}"/>
    <cellStyle name="Normal 13 4 21" xfId="4146" xr:uid="{00000000-0005-0000-0000-0000C3120000}"/>
    <cellStyle name="Normal 13 4 21 2" xfId="16182" xr:uid="{00000000-0005-0000-0000-0000C4120000}"/>
    <cellStyle name="Normal 13 4 22" xfId="4147" xr:uid="{00000000-0005-0000-0000-0000C5120000}"/>
    <cellStyle name="Normal 13 4 22 2" xfId="16183" xr:uid="{00000000-0005-0000-0000-0000C6120000}"/>
    <cellStyle name="Normal 13 4 23" xfId="4148" xr:uid="{00000000-0005-0000-0000-0000C7120000}"/>
    <cellStyle name="Normal 13 4 23 2" xfId="16184" xr:uid="{00000000-0005-0000-0000-0000C8120000}"/>
    <cellStyle name="Normal 13 4 24" xfId="4149" xr:uid="{00000000-0005-0000-0000-0000C9120000}"/>
    <cellStyle name="Normal 13 4 24 2" xfId="16185" xr:uid="{00000000-0005-0000-0000-0000CA120000}"/>
    <cellStyle name="Normal 13 4 25" xfId="4150" xr:uid="{00000000-0005-0000-0000-0000CB120000}"/>
    <cellStyle name="Normal 13 4 25 2" xfId="16186" xr:uid="{00000000-0005-0000-0000-0000CC120000}"/>
    <cellStyle name="Normal 13 4 26" xfId="4151" xr:uid="{00000000-0005-0000-0000-0000CD120000}"/>
    <cellStyle name="Normal 13 4 26 2" xfId="16187" xr:uid="{00000000-0005-0000-0000-0000CE120000}"/>
    <cellStyle name="Normal 13 4 27" xfId="4152" xr:uid="{00000000-0005-0000-0000-0000CF120000}"/>
    <cellStyle name="Normal 13 4 27 2" xfId="16188" xr:uid="{00000000-0005-0000-0000-0000D0120000}"/>
    <cellStyle name="Normal 13 4 28" xfId="4153" xr:uid="{00000000-0005-0000-0000-0000D1120000}"/>
    <cellStyle name="Normal 13 4 28 2" xfId="16189" xr:uid="{00000000-0005-0000-0000-0000D2120000}"/>
    <cellStyle name="Normal 13 4 29" xfId="4154" xr:uid="{00000000-0005-0000-0000-0000D3120000}"/>
    <cellStyle name="Normal 13 4 29 2" xfId="16190" xr:uid="{00000000-0005-0000-0000-0000D4120000}"/>
    <cellStyle name="Normal 13 4 3" xfId="4155" xr:uid="{00000000-0005-0000-0000-0000D5120000}"/>
    <cellStyle name="Normal 13 4 3 2" xfId="16191" xr:uid="{00000000-0005-0000-0000-0000D6120000}"/>
    <cellStyle name="Normal 13 4 30" xfId="4156" xr:uid="{00000000-0005-0000-0000-0000D7120000}"/>
    <cellStyle name="Normal 13 4 30 2" xfId="16192" xr:uid="{00000000-0005-0000-0000-0000D8120000}"/>
    <cellStyle name="Normal 13 4 31" xfId="4157" xr:uid="{00000000-0005-0000-0000-0000D9120000}"/>
    <cellStyle name="Normal 13 4 31 2" xfId="16193" xr:uid="{00000000-0005-0000-0000-0000DA120000}"/>
    <cellStyle name="Normal 13 4 32" xfId="4158" xr:uid="{00000000-0005-0000-0000-0000DB120000}"/>
    <cellStyle name="Normal 13 4 32 2" xfId="16194" xr:uid="{00000000-0005-0000-0000-0000DC120000}"/>
    <cellStyle name="Normal 13 4 33" xfId="4159" xr:uid="{00000000-0005-0000-0000-0000DD120000}"/>
    <cellStyle name="Normal 13 4 33 2" xfId="16195" xr:uid="{00000000-0005-0000-0000-0000DE120000}"/>
    <cellStyle name="Normal 13 4 34" xfId="4160" xr:uid="{00000000-0005-0000-0000-0000DF120000}"/>
    <cellStyle name="Normal 13 4 34 2" xfId="16196" xr:uid="{00000000-0005-0000-0000-0000E0120000}"/>
    <cellStyle name="Normal 13 4 35" xfId="4161" xr:uid="{00000000-0005-0000-0000-0000E1120000}"/>
    <cellStyle name="Normal 13 4 35 2" xfId="16197" xr:uid="{00000000-0005-0000-0000-0000E2120000}"/>
    <cellStyle name="Normal 13 4 36" xfId="4162" xr:uid="{00000000-0005-0000-0000-0000E3120000}"/>
    <cellStyle name="Normal 13 4 36 2" xfId="16198" xr:uid="{00000000-0005-0000-0000-0000E4120000}"/>
    <cellStyle name="Normal 13 4 37" xfId="4163" xr:uid="{00000000-0005-0000-0000-0000E5120000}"/>
    <cellStyle name="Normal 13 4 37 2" xfId="16199" xr:uid="{00000000-0005-0000-0000-0000E6120000}"/>
    <cellStyle name="Normal 13 4 38" xfId="4164" xr:uid="{00000000-0005-0000-0000-0000E7120000}"/>
    <cellStyle name="Normal 13 4 38 2" xfId="16200" xr:uid="{00000000-0005-0000-0000-0000E8120000}"/>
    <cellStyle name="Normal 13 4 39" xfId="4165" xr:uid="{00000000-0005-0000-0000-0000E9120000}"/>
    <cellStyle name="Normal 13 4 39 2" xfId="16201" xr:uid="{00000000-0005-0000-0000-0000EA120000}"/>
    <cellStyle name="Normal 13 4 4" xfId="4166" xr:uid="{00000000-0005-0000-0000-0000EB120000}"/>
    <cellStyle name="Normal 13 4 4 2" xfId="16202" xr:uid="{00000000-0005-0000-0000-0000EC120000}"/>
    <cellStyle name="Normal 13 4 40" xfId="4167" xr:uid="{00000000-0005-0000-0000-0000ED120000}"/>
    <cellStyle name="Normal 13 4 40 2" xfId="16203" xr:uid="{00000000-0005-0000-0000-0000EE120000}"/>
    <cellStyle name="Normal 13 4 41" xfId="4168" xr:uid="{00000000-0005-0000-0000-0000EF120000}"/>
    <cellStyle name="Normal 13 4 41 2" xfId="16204" xr:uid="{00000000-0005-0000-0000-0000F0120000}"/>
    <cellStyle name="Normal 13 4 42" xfId="4169" xr:uid="{00000000-0005-0000-0000-0000F1120000}"/>
    <cellStyle name="Normal 13 4 42 2" xfId="16205" xr:uid="{00000000-0005-0000-0000-0000F2120000}"/>
    <cellStyle name="Normal 13 4 43" xfId="4170" xr:uid="{00000000-0005-0000-0000-0000F3120000}"/>
    <cellStyle name="Normal 13 4 43 2" xfId="16206" xr:uid="{00000000-0005-0000-0000-0000F4120000}"/>
    <cellStyle name="Normal 13 4 44" xfId="4171" xr:uid="{00000000-0005-0000-0000-0000F5120000}"/>
    <cellStyle name="Normal 13 4 44 2" xfId="16207" xr:uid="{00000000-0005-0000-0000-0000F6120000}"/>
    <cellStyle name="Normal 13 4 45" xfId="4172" xr:uid="{00000000-0005-0000-0000-0000F7120000}"/>
    <cellStyle name="Normal 13 4 45 2" xfId="16208" xr:uid="{00000000-0005-0000-0000-0000F8120000}"/>
    <cellStyle name="Normal 13 4 46" xfId="4173" xr:uid="{00000000-0005-0000-0000-0000F9120000}"/>
    <cellStyle name="Normal 13 4 46 2" xfId="16209" xr:uid="{00000000-0005-0000-0000-0000FA120000}"/>
    <cellStyle name="Normal 13 4 47" xfId="4174" xr:uid="{00000000-0005-0000-0000-0000FB120000}"/>
    <cellStyle name="Normal 13 4 47 2" xfId="16210" xr:uid="{00000000-0005-0000-0000-0000FC120000}"/>
    <cellStyle name="Normal 13 4 48" xfId="4175" xr:uid="{00000000-0005-0000-0000-0000FD120000}"/>
    <cellStyle name="Normal 13 4 48 2" xfId="16211" xr:uid="{00000000-0005-0000-0000-0000FE120000}"/>
    <cellStyle name="Normal 13 4 49" xfId="4176" xr:uid="{00000000-0005-0000-0000-0000FF120000}"/>
    <cellStyle name="Normal 13 4 49 2" xfId="16212" xr:uid="{00000000-0005-0000-0000-000000130000}"/>
    <cellStyle name="Normal 13 4 5" xfId="4177" xr:uid="{00000000-0005-0000-0000-000001130000}"/>
    <cellStyle name="Normal 13 4 5 2" xfId="16213" xr:uid="{00000000-0005-0000-0000-000002130000}"/>
    <cellStyle name="Normal 13 4 50" xfId="4178" xr:uid="{00000000-0005-0000-0000-000003130000}"/>
    <cellStyle name="Normal 13 4 50 2" xfId="16214" xr:uid="{00000000-0005-0000-0000-000004130000}"/>
    <cellStyle name="Normal 13 4 51" xfId="4179" xr:uid="{00000000-0005-0000-0000-000005130000}"/>
    <cellStyle name="Normal 13 4 51 2" xfId="16215" xr:uid="{00000000-0005-0000-0000-000006130000}"/>
    <cellStyle name="Normal 13 4 52" xfId="4180" xr:uid="{00000000-0005-0000-0000-000007130000}"/>
    <cellStyle name="Normal 13 4 52 2" xfId="16216" xr:uid="{00000000-0005-0000-0000-000008130000}"/>
    <cellStyle name="Normal 13 4 53" xfId="4181" xr:uid="{00000000-0005-0000-0000-000009130000}"/>
    <cellStyle name="Normal 13 4 53 2" xfId="16217" xr:uid="{00000000-0005-0000-0000-00000A130000}"/>
    <cellStyle name="Normal 13 4 54" xfId="4182" xr:uid="{00000000-0005-0000-0000-00000B130000}"/>
    <cellStyle name="Normal 13 4 54 2" xfId="16218" xr:uid="{00000000-0005-0000-0000-00000C130000}"/>
    <cellStyle name="Normal 13 4 55" xfId="4183" xr:uid="{00000000-0005-0000-0000-00000D130000}"/>
    <cellStyle name="Normal 13 4 55 2" xfId="16219" xr:uid="{00000000-0005-0000-0000-00000E130000}"/>
    <cellStyle name="Normal 13 4 56" xfId="4184" xr:uid="{00000000-0005-0000-0000-00000F130000}"/>
    <cellStyle name="Normal 13 4 56 2" xfId="16220" xr:uid="{00000000-0005-0000-0000-000010130000}"/>
    <cellStyle name="Normal 13 4 57" xfId="4185" xr:uid="{00000000-0005-0000-0000-000011130000}"/>
    <cellStyle name="Normal 13 4 57 2" xfId="16221" xr:uid="{00000000-0005-0000-0000-000012130000}"/>
    <cellStyle name="Normal 13 4 58" xfId="4186" xr:uid="{00000000-0005-0000-0000-000013130000}"/>
    <cellStyle name="Normal 13 4 58 2" xfId="16222" xr:uid="{00000000-0005-0000-0000-000014130000}"/>
    <cellStyle name="Normal 13 4 59" xfId="4187" xr:uid="{00000000-0005-0000-0000-000015130000}"/>
    <cellStyle name="Normal 13 4 59 2" xfId="16223" xr:uid="{00000000-0005-0000-0000-000016130000}"/>
    <cellStyle name="Normal 13 4 6" xfId="4188" xr:uid="{00000000-0005-0000-0000-000017130000}"/>
    <cellStyle name="Normal 13 4 6 2" xfId="16224" xr:uid="{00000000-0005-0000-0000-000018130000}"/>
    <cellStyle name="Normal 13 4 60" xfId="4189" xr:uid="{00000000-0005-0000-0000-000019130000}"/>
    <cellStyle name="Normal 13 4 60 2" xfId="16225" xr:uid="{00000000-0005-0000-0000-00001A130000}"/>
    <cellStyle name="Normal 13 4 61" xfId="4190" xr:uid="{00000000-0005-0000-0000-00001B130000}"/>
    <cellStyle name="Normal 13 4 61 2" xfId="16226" xr:uid="{00000000-0005-0000-0000-00001C130000}"/>
    <cellStyle name="Normal 13 4 62" xfId="4191" xr:uid="{00000000-0005-0000-0000-00001D130000}"/>
    <cellStyle name="Normal 13 4 62 2" xfId="16227" xr:uid="{00000000-0005-0000-0000-00001E130000}"/>
    <cellStyle name="Normal 13 4 63" xfId="4192" xr:uid="{00000000-0005-0000-0000-00001F130000}"/>
    <cellStyle name="Normal 13 4 63 2" xfId="16228" xr:uid="{00000000-0005-0000-0000-000020130000}"/>
    <cellStyle name="Normal 13 4 64" xfId="4193" xr:uid="{00000000-0005-0000-0000-000021130000}"/>
    <cellStyle name="Normal 13 4 64 2" xfId="16229" xr:uid="{00000000-0005-0000-0000-000022130000}"/>
    <cellStyle name="Normal 13 4 65" xfId="4194" xr:uid="{00000000-0005-0000-0000-000023130000}"/>
    <cellStyle name="Normal 13 4 65 2" xfId="16230" xr:uid="{00000000-0005-0000-0000-000024130000}"/>
    <cellStyle name="Normal 13 4 66" xfId="4195" xr:uid="{00000000-0005-0000-0000-000025130000}"/>
    <cellStyle name="Normal 13 4 66 2" xfId="16231" xr:uid="{00000000-0005-0000-0000-000026130000}"/>
    <cellStyle name="Normal 13 4 67" xfId="4196" xr:uid="{00000000-0005-0000-0000-000027130000}"/>
    <cellStyle name="Normal 13 4 67 2" xfId="16232" xr:uid="{00000000-0005-0000-0000-000028130000}"/>
    <cellStyle name="Normal 13 4 68" xfId="4197" xr:uid="{00000000-0005-0000-0000-000029130000}"/>
    <cellStyle name="Normal 13 4 68 2" xfId="16233" xr:uid="{00000000-0005-0000-0000-00002A130000}"/>
    <cellStyle name="Normal 13 4 69" xfId="4198" xr:uid="{00000000-0005-0000-0000-00002B130000}"/>
    <cellStyle name="Normal 13 4 69 2" xfId="16234" xr:uid="{00000000-0005-0000-0000-00002C130000}"/>
    <cellStyle name="Normal 13 4 7" xfId="4199" xr:uid="{00000000-0005-0000-0000-00002D130000}"/>
    <cellStyle name="Normal 13 4 7 2" xfId="16235" xr:uid="{00000000-0005-0000-0000-00002E130000}"/>
    <cellStyle name="Normal 13 4 70" xfId="4200" xr:uid="{00000000-0005-0000-0000-00002F130000}"/>
    <cellStyle name="Normal 13 4 70 2" xfId="16236" xr:uid="{00000000-0005-0000-0000-000030130000}"/>
    <cellStyle name="Normal 13 4 71" xfId="4201" xr:uid="{00000000-0005-0000-0000-000031130000}"/>
    <cellStyle name="Normal 13 4 71 2" xfId="16237" xr:uid="{00000000-0005-0000-0000-000032130000}"/>
    <cellStyle name="Normal 13 4 72" xfId="4202" xr:uid="{00000000-0005-0000-0000-000033130000}"/>
    <cellStyle name="Normal 13 4 72 2" xfId="16238" xr:uid="{00000000-0005-0000-0000-000034130000}"/>
    <cellStyle name="Normal 13 4 73" xfId="4203" xr:uid="{00000000-0005-0000-0000-000035130000}"/>
    <cellStyle name="Normal 13 4 73 2" xfId="16239" xr:uid="{00000000-0005-0000-0000-000036130000}"/>
    <cellStyle name="Normal 13 4 74" xfId="4204" xr:uid="{00000000-0005-0000-0000-000037130000}"/>
    <cellStyle name="Normal 13 4 74 2" xfId="16240" xr:uid="{00000000-0005-0000-0000-000038130000}"/>
    <cellStyle name="Normal 13 4 75" xfId="4205" xr:uid="{00000000-0005-0000-0000-000039130000}"/>
    <cellStyle name="Normal 13 4 75 2" xfId="16241" xr:uid="{00000000-0005-0000-0000-00003A130000}"/>
    <cellStyle name="Normal 13 4 76" xfId="4206" xr:uid="{00000000-0005-0000-0000-00003B130000}"/>
    <cellStyle name="Normal 13 4 76 2" xfId="16242" xr:uid="{00000000-0005-0000-0000-00003C130000}"/>
    <cellStyle name="Normal 13 4 77" xfId="4207" xr:uid="{00000000-0005-0000-0000-00003D130000}"/>
    <cellStyle name="Normal 13 4 77 2" xfId="16243" xr:uid="{00000000-0005-0000-0000-00003E130000}"/>
    <cellStyle name="Normal 13 4 78" xfId="4208" xr:uid="{00000000-0005-0000-0000-00003F130000}"/>
    <cellStyle name="Normal 13 4 78 2" xfId="16244" xr:uid="{00000000-0005-0000-0000-000040130000}"/>
    <cellStyle name="Normal 13 4 79" xfId="4209" xr:uid="{00000000-0005-0000-0000-000041130000}"/>
    <cellStyle name="Normal 13 4 79 2" xfId="16245" xr:uid="{00000000-0005-0000-0000-000042130000}"/>
    <cellStyle name="Normal 13 4 8" xfId="4210" xr:uid="{00000000-0005-0000-0000-000043130000}"/>
    <cellStyle name="Normal 13 4 8 2" xfId="16246" xr:uid="{00000000-0005-0000-0000-000044130000}"/>
    <cellStyle name="Normal 13 4 80" xfId="15024" xr:uid="{00000000-0005-0000-0000-000045130000}"/>
    <cellStyle name="Normal 13 4 9" xfId="4211" xr:uid="{00000000-0005-0000-0000-000046130000}"/>
    <cellStyle name="Normal 13 4 9 2" xfId="16247" xr:uid="{00000000-0005-0000-0000-000047130000}"/>
    <cellStyle name="Normal 13 40" xfId="4212" xr:uid="{00000000-0005-0000-0000-000048130000}"/>
    <cellStyle name="Normal 13 40 2" xfId="16248" xr:uid="{00000000-0005-0000-0000-000049130000}"/>
    <cellStyle name="Normal 13 41" xfId="4213" xr:uid="{00000000-0005-0000-0000-00004A130000}"/>
    <cellStyle name="Normal 13 41 2" xfId="16249" xr:uid="{00000000-0005-0000-0000-00004B130000}"/>
    <cellStyle name="Normal 13 42" xfId="4214" xr:uid="{00000000-0005-0000-0000-00004C130000}"/>
    <cellStyle name="Normal 13 42 2" xfId="16250" xr:uid="{00000000-0005-0000-0000-00004D130000}"/>
    <cellStyle name="Normal 13 43" xfId="4215" xr:uid="{00000000-0005-0000-0000-00004E130000}"/>
    <cellStyle name="Normal 13 43 2" xfId="16251" xr:uid="{00000000-0005-0000-0000-00004F130000}"/>
    <cellStyle name="Normal 13 44" xfId="4216" xr:uid="{00000000-0005-0000-0000-000050130000}"/>
    <cellStyle name="Normal 13 44 2" xfId="16252" xr:uid="{00000000-0005-0000-0000-000051130000}"/>
    <cellStyle name="Normal 13 45" xfId="4217" xr:uid="{00000000-0005-0000-0000-000052130000}"/>
    <cellStyle name="Normal 13 45 2" xfId="16253" xr:uid="{00000000-0005-0000-0000-000053130000}"/>
    <cellStyle name="Normal 13 46" xfId="4218" xr:uid="{00000000-0005-0000-0000-000054130000}"/>
    <cellStyle name="Normal 13 46 2" xfId="16254" xr:uid="{00000000-0005-0000-0000-000055130000}"/>
    <cellStyle name="Normal 13 47" xfId="4219" xr:uid="{00000000-0005-0000-0000-000056130000}"/>
    <cellStyle name="Normal 13 47 2" xfId="16255" xr:uid="{00000000-0005-0000-0000-000057130000}"/>
    <cellStyle name="Normal 13 48" xfId="4220" xr:uid="{00000000-0005-0000-0000-000058130000}"/>
    <cellStyle name="Normal 13 48 2" xfId="16256" xr:uid="{00000000-0005-0000-0000-000059130000}"/>
    <cellStyle name="Normal 13 49" xfId="4221" xr:uid="{00000000-0005-0000-0000-00005A130000}"/>
    <cellStyle name="Normal 13 49 2" xfId="16257" xr:uid="{00000000-0005-0000-0000-00005B130000}"/>
    <cellStyle name="Normal 13 5" xfId="137" xr:uid="{00000000-0005-0000-0000-00005C130000}"/>
    <cellStyle name="Normal 13 5 2" xfId="16258" xr:uid="{00000000-0005-0000-0000-00005D130000}"/>
    <cellStyle name="Normal 13 5 3" xfId="4222" xr:uid="{00000000-0005-0000-0000-00005E130000}"/>
    <cellStyle name="Normal 13 50" xfId="4223" xr:uid="{00000000-0005-0000-0000-00005F130000}"/>
    <cellStyle name="Normal 13 50 2" xfId="16259" xr:uid="{00000000-0005-0000-0000-000060130000}"/>
    <cellStyle name="Normal 13 51" xfId="4224" xr:uid="{00000000-0005-0000-0000-000061130000}"/>
    <cellStyle name="Normal 13 51 2" xfId="16260" xr:uid="{00000000-0005-0000-0000-000062130000}"/>
    <cellStyle name="Normal 13 52" xfId="4225" xr:uid="{00000000-0005-0000-0000-000063130000}"/>
    <cellStyle name="Normal 13 52 2" xfId="16261" xr:uid="{00000000-0005-0000-0000-000064130000}"/>
    <cellStyle name="Normal 13 53" xfId="4226" xr:uid="{00000000-0005-0000-0000-000065130000}"/>
    <cellStyle name="Normal 13 53 2" xfId="16262" xr:uid="{00000000-0005-0000-0000-000066130000}"/>
    <cellStyle name="Normal 13 54" xfId="4227" xr:uid="{00000000-0005-0000-0000-000067130000}"/>
    <cellStyle name="Normal 13 54 2" xfId="16263" xr:uid="{00000000-0005-0000-0000-000068130000}"/>
    <cellStyle name="Normal 13 55" xfId="4228" xr:uid="{00000000-0005-0000-0000-000069130000}"/>
    <cellStyle name="Normal 13 55 2" xfId="16264" xr:uid="{00000000-0005-0000-0000-00006A130000}"/>
    <cellStyle name="Normal 13 56" xfId="4229" xr:uid="{00000000-0005-0000-0000-00006B130000}"/>
    <cellStyle name="Normal 13 56 2" xfId="16265" xr:uid="{00000000-0005-0000-0000-00006C130000}"/>
    <cellStyle name="Normal 13 57" xfId="4230" xr:uid="{00000000-0005-0000-0000-00006D130000}"/>
    <cellStyle name="Normal 13 57 2" xfId="16266" xr:uid="{00000000-0005-0000-0000-00006E130000}"/>
    <cellStyle name="Normal 13 58" xfId="4231" xr:uid="{00000000-0005-0000-0000-00006F130000}"/>
    <cellStyle name="Normal 13 58 2" xfId="16267" xr:uid="{00000000-0005-0000-0000-000070130000}"/>
    <cellStyle name="Normal 13 59" xfId="4232" xr:uid="{00000000-0005-0000-0000-000071130000}"/>
    <cellStyle name="Normal 13 59 2" xfId="16268" xr:uid="{00000000-0005-0000-0000-000072130000}"/>
    <cellStyle name="Normal 13 6" xfId="4233" xr:uid="{00000000-0005-0000-0000-000073130000}"/>
    <cellStyle name="Normal 13 6 2" xfId="16269" xr:uid="{00000000-0005-0000-0000-000074130000}"/>
    <cellStyle name="Normal 13 60" xfId="4234" xr:uid="{00000000-0005-0000-0000-000075130000}"/>
    <cellStyle name="Normal 13 60 2" xfId="16270" xr:uid="{00000000-0005-0000-0000-000076130000}"/>
    <cellStyle name="Normal 13 61" xfId="4235" xr:uid="{00000000-0005-0000-0000-000077130000}"/>
    <cellStyle name="Normal 13 61 2" xfId="16271" xr:uid="{00000000-0005-0000-0000-000078130000}"/>
    <cellStyle name="Normal 13 62" xfId="4236" xr:uid="{00000000-0005-0000-0000-000079130000}"/>
    <cellStyle name="Normal 13 62 2" xfId="16272" xr:uid="{00000000-0005-0000-0000-00007A130000}"/>
    <cellStyle name="Normal 13 63" xfId="4237" xr:uid="{00000000-0005-0000-0000-00007B130000}"/>
    <cellStyle name="Normal 13 63 2" xfId="16273" xr:uid="{00000000-0005-0000-0000-00007C130000}"/>
    <cellStyle name="Normal 13 64" xfId="4238" xr:uid="{00000000-0005-0000-0000-00007D130000}"/>
    <cellStyle name="Normal 13 64 2" xfId="16274" xr:uid="{00000000-0005-0000-0000-00007E130000}"/>
    <cellStyle name="Normal 13 65" xfId="4239" xr:uid="{00000000-0005-0000-0000-00007F130000}"/>
    <cellStyle name="Normal 13 65 2" xfId="16275" xr:uid="{00000000-0005-0000-0000-000080130000}"/>
    <cellStyle name="Normal 13 66" xfId="4240" xr:uid="{00000000-0005-0000-0000-000081130000}"/>
    <cellStyle name="Normal 13 66 2" xfId="16276" xr:uid="{00000000-0005-0000-0000-000082130000}"/>
    <cellStyle name="Normal 13 67" xfId="4241" xr:uid="{00000000-0005-0000-0000-000083130000}"/>
    <cellStyle name="Normal 13 67 2" xfId="16277" xr:uid="{00000000-0005-0000-0000-000084130000}"/>
    <cellStyle name="Normal 13 68" xfId="4242" xr:uid="{00000000-0005-0000-0000-000085130000}"/>
    <cellStyle name="Normal 13 68 2" xfId="16278" xr:uid="{00000000-0005-0000-0000-000086130000}"/>
    <cellStyle name="Normal 13 69" xfId="4243" xr:uid="{00000000-0005-0000-0000-000087130000}"/>
    <cellStyle name="Normal 13 69 2" xfId="16279" xr:uid="{00000000-0005-0000-0000-000088130000}"/>
    <cellStyle name="Normal 13 7" xfId="4244" xr:uid="{00000000-0005-0000-0000-000089130000}"/>
    <cellStyle name="Normal 13 7 2" xfId="16280" xr:uid="{00000000-0005-0000-0000-00008A130000}"/>
    <cellStyle name="Normal 13 70" xfId="4245" xr:uid="{00000000-0005-0000-0000-00008B130000}"/>
    <cellStyle name="Normal 13 70 2" xfId="16281" xr:uid="{00000000-0005-0000-0000-00008C130000}"/>
    <cellStyle name="Normal 13 71" xfId="4246" xr:uid="{00000000-0005-0000-0000-00008D130000}"/>
    <cellStyle name="Normal 13 71 2" xfId="16282" xr:uid="{00000000-0005-0000-0000-00008E130000}"/>
    <cellStyle name="Normal 13 72" xfId="4247" xr:uid="{00000000-0005-0000-0000-00008F130000}"/>
    <cellStyle name="Normal 13 72 2" xfId="16283" xr:uid="{00000000-0005-0000-0000-000090130000}"/>
    <cellStyle name="Normal 13 73" xfId="4248" xr:uid="{00000000-0005-0000-0000-000091130000}"/>
    <cellStyle name="Normal 13 73 2" xfId="16284" xr:uid="{00000000-0005-0000-0000-000092130000}"/>
    <cellStyle name="Normal 13 74" xfId="4249" xr:uid="{00000000-0005-0000-0000-000093130000}"/>
    <cellStyle name="Normal 13 74 2" xfId="16285" xr:uid="{00000000-0005-0000-0000-000094130000}"/>
    <cellStyle name="Normal 13 75" xfId="4250" xr:uid="{00000000-0005-0000-0000-000095130000}"/>
    <cellStyle name="Normal 13 75 2" xfId="16286" xr:uid="{00000000-0005-0000-0000-000096130000}"/>
    <cellStyle name="Normal 13 76" xfId="4251" xr:uid="{00000000-0005-0000-0000-000097130000}"/>
    <cellStyle name="Normal 13 76 2" xfId="16287" xr:uid="{00000000-0005-0000-0000-000098130000}"/>
    <cellStyle name="Normal 13 77" xfId="4252" xr:uid="{00000000-0005-0000-0000-000099130000}"/>
    <cellStyle name="Normal 13 77 2" xfId="16288" xr:uid="{00000000-0005-0000-0000-00009A130000}"/>
    <cellStyle name="Normal 13 78" xfId="4253" xr:uid="{00000000-0005-0000-0000-00009B130000}"/>
    <cellStyle name="Normal 13 78 2" xfId="16289" xr:uid="{00000000-0005-0000-0000-00009C130000}"/>
    <cellStyle name="Normal 13 79" xfId="4254" xr:uid="{00000000-0005-0000-0000-00009D130000}"/>
    <cellStyle name="Normal 13 79 2" xfId="16290" xr:uid="{00000000-0005-0000-0000-00009E130000}"/>
    <cellStyle name="Normal 13 8" xfId="4255" xr:uid="{00000000-0005-0000-0000-00009F130000}"/>
    <cellStyle name="Normal 13 8 2" xfId="16291" xr:uid="{00000000-0005-0000-0000-0000A0130000}"/>
    <cellStyle name="Normal 13 80" xfId="4256" xr:uid="{00000000-0005-0000-0000-0000A1130000}"/>
    <cellStyle name="Normal 13 80 2" xfId="16292" xr:uid="{00000000-0005-0000-0000-0000A2130000}"/>
    <cellStyle name="Normal 13 81" xfId="4257" xr:uid="{00000000-0005-0000-0000-0000A3130000}"/>
    <cellStyle name="Normal 13 81 2" xfId="16293" xr:uid="{00000000-0005-0000-0000-0000A4130000}"/>
    <cellStyle name="Normal 13 82" xfId="4258" xr:uid="{00000000-0005-0000-0000-0000A5130000}"/>
    <cellStyle name="Normal 13 82 2" xfId="16294" xr:uid="{00000000-0005-0000-0000-0000A6130000}"/>
    <cellStyle name="Normal 13 83" xfId="15019" xr:uid="{00000000-0005-0000-0000-0000A7130000}"/>
    <cellStyle name="Normal 13 9" xfId="4259" xr:uid="{00000000-0005-0000-0000-0000A8130000}"/>
    <cellStyle name="Normal 13 9 2" xfId="16295" xr:uid="{00000000-0005-0000-0000-0000A9130000}"/>
    <cellStyle name="Normal 130" xfId="255" xr:uid="{00000000-0005-0000-0000-0000AA130000}"/>
    <cellStyle name="Normal 130 2" xfId="812" xr:uid="{00000000-0005-0000-0000-0000AB130000}"/>
    <cellStyle name="Normal 130 3" xfId="683" xr:uid="{00000000-0005-0000-0000-0000AC130000}"/>
    <cellStyle name="Normal 130 4" xfId="471" xr:uid="{00000000-0005-0000-0000-0000AD130000}"/>
    <cellStyle name="Normal 131" xfId="256" xr:uid="{00000000-0005-0000-0000-0000AE130000}"/>
    <cellStyle name="Normal 131 2" xfId="684" xr:uid="{00000000-0005-0000-0000-0000AF130000}"/>
    <cellStyle name="Normal 131 3" xfId="472" xr:uid="{00000000-0005-0000-0000-0000B0130000}"/>
    <cellStyle name="Normal 132" xfId="257" xr:uid="{00000000-0005-0000-0000-0000B1130000}"/>
    <cellStyle name="Normal 132 2" xfId="685" xr:uid="{00000000-0005-0000-0000-0000B2130000}"/>
    <cellStyle name="Normal 132 3" xfId="473" xr:uid="{00000000-0005-0000-0000-0000B3130000}"/>
    <cellStyle name="Normal 133" xfId="258" xr:uid="{00000000-0005-0000-0000-0000B4130000}"/>
    <cellStyle name="Normal 133 2" xfId="686" xr:uid="{00000000-0005-0000-0000-0000B5130000}"/>
    <cellStyle name="Normal 133 3" xfId="474" xr:uid="{00000000-0005-0000-0000-0000B6130000}"/>
    <cellStyle name="Normal 134" xfId="259" xr:uid="{00000000-0005-0000-0000-0000B7130000}"/>
    <cellStyle name="Normal 134 10" xfId="475" xr:uid="{00000000-0005-0000-0000-0000B8130000}"/>
    <cellStyle name="Normal 134 2" xfId="572" xr:uid="{00000000-0005-0000-0000-0000B9130000}"/>
    <cellStyle name="Normal 134 2 2" xfId="817" xr:uid="{00000000-0005-0000-0000-0000BA130000}"/>
    <cellStyle name="Normal 134 2 3" xfId="687" xr:uid="{00000000-0005-0000-0000-0000BB130000}"/>
    <cellStyle name="Normal 134 3" xfId="991" xr:uid="{00000000-0005-0000-0000-0000BC130000}"/>
    <cellStyle name="Normal 134 4" xfId="1314" xr:uid="{00000000-0005-0000-0000-0000BD130000}"/>
    <cellStyle name="Normal 134 5" xfId="1379" xr:uid="{00000000-0005-0000-0000-0000BE130000}"/>
    <cellStyle name="Normal 134 6" xfId="1435" xr:uid="{00000000-0005-0000-0000-0000BF130000}"/>
    <cellStyle name="Normal 134 7" xfId="1464" xr:uid="{00000000-0005-0000-0000-0000C0130000}"/>
    <cellStyle name="Normal 134 8" xfId="1487" xr:uid="{00000000-0005-0000-0000-0000C1130000}"/>
    <cellStyle name="Normal 134 9" xfId="1496" xr:uid="{00000000-0005-0000-0000-0000C2130000}"/>
    <cellStyle name="Normal 135" xfId="260" xr:uid="{00000000-0005-0000-0000-0000C3130000}"/>
    <cellStyle name="Normal 135 10" xfId="476" xr:uid="{00000000-0005-0000-0000-0000C4130000}"/>
    <cellStyle name="Normal 135 2" xfId="573" xr:uid="{00000000-0005-0000-0000-0000C5130000}"/>
    <cellStyle name="Normal 135 2 2" xfId="818" xr:uid="{00000000-0005-0000-0000-0000C6130000}"/>
    <cellStyle name="Normal 135 2 3" xfId="688" xr:uid="{00000000-0005-0000-0000-0000C7130000}"/>
    <cellStyle name="Normal 135 3" xfId="992" xr:uid="{00000000-0005-0000-0000-0000C8130000}"/>
    <cellStyle name="Normal 135 4" xfId="869" xr:uid="{00000000-0005-0000-0000-0000C9130000}"/>
    <cellStyle name="Normal 135 5" xfId="1287" xr:uid="{00000000-0005-0000-0000-0000CA130000}"/>
    <cellStyle name="Normal 135 6" xfId="1354" xr:uid="{00000000-0005-0000-0000-0000CB130000}"/>
    <cellStyle name="Normal 135 7" xfId="1416" xr:uid="{00000000-0005-0000-0000-0000CC130000}"/>
    <cellStyle name="Normal 135 8" xfId="1454" xr:uid="{00000000-0005-0000-0000-0000CD130000}"/>
    <cellStyle name="Normal 135 9" xfId="1480" xr:uid="{00000000-0005-0000-0000-0000CE130000}"/>
    <cellStyle name="Normal 136" xfId="261" xr:uid="{00000000-0005-0000-0000-0000CF130000}"/>
    <cellStyle name="Normal 136 10" xfId="1194" xr:uid="{00000000-0005-0000-0000-0000D0130000}"/>
    <cellStyle name="Normal 136 11" xfId="1182" xr:uid="{00000000-0005-0000-0000-0000D1130000}"/>
    <cellStyle name="Normal 136 12" xfId="477" xr:uid="{00000000-0005-0000-0000-0000D2130000}"/>
    <cellStyle name="Normal 136 2" xfId="574" xr:uid="{00000000-0005-0000-0000-0000D3130000}"/>
    <cellStyle name="Normal 136 3" xfId="813" xr:uid="{00000000-0005-0000-0000-0000D4130000}"/>
    <cellStyle name="Normal 136 4" xfId="689" xr:uid="{00000000-0005-0000-0000-0000D5130000}"/>
    <cellStyle name="Normal 136 5" xfId="993" xr:uid="{00000000-0005-0000-0000-0000D6130000}"/>
    <cellStyle name="Normal 136 6" xfId="1217" xr:uid="{00000000-0005-0000-0000-0000D7130000}"/>
    <cellStyle name="Normal 136 7" xfId="978" xr:uid="{00000000-0005-0000-0000-0000D8130000}"/>
    <cellStyle name="Normal 136 8" xfId="1228" xr:uid="{00000000-0005-0000-0000-0000D9130000}"/>
    <cellStyle name="Normal 136 9" xfId="1165" xr:uid="{00000000-0005-0000-0000-0000DA130000}"/>
    <cellStyle name="Normal 137" xfId="262" xr:uid="{00000000-0005-0000-0000-0000DB130000}"/>
    <cellStyle name="Normal 137 10" xfId="478" xr:uid="{00000000-0005-0000-0000-0000DC130000}"/>
    <cellStyle name="Normal 137 2" xfId="575" xr:uid="{00000000-0005-0000-0000-0000DD130000}"/>
    <cellStyle name="Normal 137 2 2" xfId="819" xr:uid="{00000000-0005-0000-0000-0000DE130000}"/>
    <cellStyle name="Normal 137 2 3" xfId="690" xr:uid="{00000000-0005-0000-0000-0000DF130000}"/>
    <cellStyle name="Normal 137 3" xfId="994" xr:uid="{00000000-0005-0000-0000-0000E0130000}"/>
    <cellStyle name="Normal 137 4" xfId="1313" xr:uid="{00000000-0005-0000-0000-0000E1130000}"/>
    <cellStyle name="Normal 137 5" xfId="1378" xr:uid="{00000000-0005-0000-0000-0000E2130000}"/>
    <cellStyle name="Normal 137 6" xfId="1434" xr:uid="{00000000-0005-0000-0000-0000E3130000}"/>
    <cellStyle name="Normal 137 7" xfId="1463" xr:uid="{00000000-0005-0000-0000-0000E4130000}"/>
    <cellStyle name="Normal 137 8" xfId="1486" xr:uid="{00000000-0005-0000-0000-0000E5130000}"/>
    <cellStyle name="Normal 137 9" xfId="1495" xr:uid="{00000000-0005-0000-0000-0000E6130000}"/>
    <cellStyle name="Normal 138" xfId="263" xr:uid="{00000000-0005-0000-0000-0000E7130000}"/>
    <cellStyle name="Normal 138 10" xfId="479" xr:uid="{00000000-0005-0000-0000-0000E8130000}"/>
    <cellStyle name="Normal 138 2" xfId="576" xr:uid="{00000000-0005-0000-0000-0000E9130000}"/>
    <cellStyle name="Normal 138 2 2" xfId="820" xr:uid="{00000000-0005-0000-0000-0000EA130000}"/>
    <cellStyle name="Normal 138 2 3" xfId="691" xr:uid="{00000000-0005-0000-0000-0000EB130000}"/>
    <cellStyle name="Normal 138 3" xfId="995" xr:uid="{00000000-0005-0000-0000-0000EC130000}"/>
    <cellStyle name="Normal 138 4" xfId="1218" xr:uid="{00000000-0005-0000-0000-0000ED130000}"/>
    <cellStyle name="Normal 138 5" xfId="1170" xr:uid="{00000000-0005-0000-0000-0000EE130000}"/>
    <cellStyle name="Normal 138 6" xfId="1091" xr:uid="{00000000-0005-0000-0000-0000EF130000}"/>
    <cellStyle name="Normal 138 7" xfId="901" xr:uid="{00000000-0005-0000-0000-0000F0130000}"/>
    <cellStyle name="Normal 138 8" xfId="945" xr:uid="{00000000-0005-0000-0000-0000F1130000}"/>
    <cellStyle name="Normal 138 9" xfId="879" xr:uid="{00000000-0005-0000-0000-0000F2130000}"/>
    <cellStyle name="Normal 139" xfId="264" xr:uid="{00000000-0005-0000-0000-0000F3130000}"/>
    <cellStyle name="Normal 139 10" xfId="480" xr:uid="{00000000-0005-0000-0000-0000F4130000}"/>
    <cellStyle name="Normal 139 2" xfId="577" xr:uid="{00000000-0005-0000-0000-0000F5130000}"/>
    <cellStyle name="Normal 139 2 2" xfId="821" xr:uid="{00000000-0005-0000-0000-0000F6130000}"/>
    <cellStyle name="Normal 139 2 3" xfId="692" xr:uid="{00000000-0005-0000-0000-0000F7130000}"/>
    <cellStyle name="Normal 139 3" xfId="996" xr:uid="{00000000-0005-0000-0000-0000F8130000}"/>
    <cellStyle name="Normal 139 4" xfId="868" xr:uid="{00000000-0005-0000-0000-0000F9130000}"/>
    <cellStyle name="Normal 139 5" xfId="955" xr:uid="{00000000-0005-0000-0000-0000FA130000}"/>
    <cellStyle name="Normal 139 6" xfId="1238" xr:uid="{00000000-0005-0000-0000-0000FB130000}"/>
    <cellStyle name="Normal 139 7" xfId="826" xr:uid="{00000000-0005-0000-0000-0000FC130000}"/>
    <cellStyle name="Normal 139 8" xfId="972" xr:uid="{00000000-0005-0000-0000-0000FD130000}"/>
    <cellStyle name="Normal 139 9" xfId="1231" xr:uid="{00000000-0005-0000-0000-0000FE130000}"/>
    <cellStyle name="Normal 14" xfId="138" xr:uid="{00000000-0005-0000-0000-0000FF130000}"/>
    <cellStyle name="Normal 14 10" xfId="4260" xr:uid="{00000000-0005-0000-0000-000000140000}"/>
    <cellStyle name="Normal 14 10 2" xfId="16296" xr:uid="{00000000-0005-0000-0000-000001140000}"/>
    <cellStyle name="Normal 14 11" xfId="4261" xr:uid="{00000000-0005-0000-0000-000002140000}"/>
    <cellStyle name="Normal 14 11 2" xfId="16297" xr:uid="{00000000-0005-0000-0000-000003140000}"/>
    <cellStyle name="Normal 14 12" xfId="4262" xr:uid="{00000000-0005-0000-0000-000004140000}"/>
    <cellStyle name="Normal 14 12 2" xfId="16298" xr:uid="{00000000-0005-0000-0000-000005140000}"/>
    <cellStyle name="Normal 14 13" xfId="4263" xr:uid="{00000000-0005-0000-0000-000006140000}"/>
    <cellStyle name="Normal 14 13 2" xfId="16299" xr:uid="{00000000-0005-0000-0000-000007140000}"/>
    <cellStyle name="Normal 14 14" xfId="4264" xr:uid="{00000000-0005-0000-0000-000008140000}"/>
    <cellStyle name="Normal 14 14 2" xfId="16300" xr:uid="{00000000-0005-0000-0000-000009140000}"/>
    <cellStyle name="Normal 14 15" xfId="4265" xr:uid="{00000000-0005-0000-0000-00000A140000}"/>
    <cellStyle name="Normal 14 15 2" xfId="16301" xr:uid="{00000000-0005-0000-0000-00000B140000}"/>
    <cellStyle name="Normal 14 16" xfId="4266" xr:uid="{00000000-0005-0000-0000-00000C140000}"/>
    <cellStyle name="Normal 14 16 2" xfId="16302" xr:uid="{00000000-0005-0000-0000-00000D140000}"/>
    <cellStyle name="Normal 14 17" xfId="4267" xr:uid="{00000000-0005-0000-0000-00000E140000}"/>
    <cellStyle name="Normal 14 17 2" xfId="16303" xr:uid="{00000000-0005-0000-0000-00000F140000}"/>
    <cellStyle name="Normal 14 18" xfId="4268" xr:uid="{00000000-0005-0000-0000-000010140000}"/>
    <cellStyle name="Normal 14 18 2" xfId="16304" xr:uid="{00000000-0005-0000-0000-000011140000}"/>
    <cellStyle name="Normal 14 19" xfId="4269" xr:uid="{00000000-0005-0000-0000-000012140000}"/>
    <cellStyle name="Normal 14 19 2" xfId="16305" xr:uid="{00000000-0005-0000-0000-000013140000}"/>
    <cellStyle name="Normal 14 2" xfId="161" xr:uid="{00000000-0005-0000-0000-000014140000}"/>
    <cellStyle name="Normal 14 2 10" xfId="4270" xr:uid="{00000000-0005-0000-0000-000015140000}"/>
    <cellStyle name="Normal 14 2 10 2" xfId="16306" xr:uid="{00000000-0005-0000-0000-000016140000}"/>
    <cellStyle name="Normal 14 2 11" xfId="4271" xr:uid="{00000000-0005-0000-0000-000017140000}"/>
    <cellStyle name="Normal 14 2 11 2" xfId="16307" xr:uid="{00000000-0005-0000-0000-000018140000}"/>
    <cellStyle name="Normal 14 2 12" xfId="4272" xr:uid="{00000000-0005-0000-0000-000019140000}"/>
    <cellStyle name="Normal 14 2 12 2" xfId="16308" xr:uid="{00000000-0005-0000-0000-00001A140000}"/>
    <cellStyle name="Normal 14 2 13" xfId="4273" xr:uid="{00000000-0005-0000-0000-00001B140000}"/>
    <cellStyle name="Normal 14 2 13 2" xfId="16309" xr:uid="{00000000-0005-0000-0000-00001C140000}"/>
    <cellStyle name="Normal 14 2 14" xfId="4274" xr:uid="{00000000-0005-0000-0000-00001D140000}"/>
    <cellStyle name="Normal 14 2 14 2" xfId="16310" xr:uid="{00000000-0005-0000-0000-00001E140000}"/>
    <cellStyle name="Normal 14 2 15" xfId="4275" xr:uid="{00000000-0005-0000-0000-00001F140000}"/>
    <cellStyle name="Normal 14 2 15 2" xfId="16311" xr:uid="{00000000-0005-0000-0000-000020140000}"/>
    <cellStyle name="Normal 14 2 16" xfId="4276" xr:uid="{00000000-0005-0000-0000-000021140000}"/>
    <cellStyle name="Normal 14 2 16 2" xfId="16312" xr:uid="{00000000-0005-0000-0000-000022140000}"/>
    <cellStyle name="Normal 14 2 17" xfId="4277" xr:uid="{00000000-0005-0000-0000-000023140000}"/>
    <cellStyle name="Normal 14 2 17 2" xfId="16313" xr:uid="{00000000-0005-0000-0000-000024140000}"/>
    <cellStyle name="Normal 14 2 18" xfId="4278" xr:uid="{00000000-0005-0000-0000-000025140000}"/>
    <cellStyle name="Normal 14 2 18 2" xfId="16314" xr:uid="{00000000-0005-0000-0000-000026140000}"/>
    <cellStyle name="Normal 14 2 19" xfId="4279" xr:uid="{00000000-0005-0000-0000-000027140000}"/>
    <cellStyle name="Normal 14 2 19 2" xfId="16315" xr:uid="{00000000-0005-0000-0000-000028140000}"/>
    <cellStyle name="Normal 14 2 2" xfId="4280" xr:uid="{00000000-0005-0000-0000-000029140000}"/>
    <cellStyle name="Normal 14 2 2 2" xfId="16316" xr:uid="{00000000-0005-0000-0000-00002A140000}"/>
    <cellStyle name="Normal 14 2 20" xfId="4281" xr:uid="{00000000-0005-0000-0000-00002B140000}"/>
    <cellStyle name="Normal 14 2 20 2" xfId="16317" xr:uid="{00000000-0005-0000-0000-00002C140000}"/>
    <cellStyle name="Normal 14 2 21" xfId="4282" xr:uid="{00000000-0005-0000-0000-00002D140000}"/>
    <cellStyle name="Normal 14 2 21 2" xfId="16318" xr:uid="{00000000-0005-0000-0000-00002E140000}"/>
    <cellStyle name="Normal 14 2 22" xfId="4283" xr:uid="{00000000-0005-0000-0000-00002F140000}"/>
    <cellStyle name="Normal 14 2 22 2" xfId="16319" xr:uid="{00000000-0005-0000-0000-000030140000}"/>
    <cellStyle name="Normal 14 2 23" xfId="4284" xr:uid="{00000000-0005-0000-0000-000031140000}"/>
    <cellStyle name="Normal 14 2 23 2" xfId="16320" xr:uid="{00000000-0005-0000-0000-000032140000}"/>
    <cellStyle name="Normal 14 2 24" xfId="4285" xr:uid="{00000000-0005-0000-0000-000033140000}"/>
    <cellStyle name="Normal 14 2 24 2" xfId="16321" xr:uid="{00000000-0005-0000-0000-000034140000}"/>
    <cellStyle name="Normal 14 2 25" xfId="4286" xr:uid="{00000000-0005-0000-0000-000035140000}"/>
    <cellStyle name="Normal 14 2 25 2" xfId="16322" xr:uid="{00000000-0005-0000-0000-000036140000}"/>
    <cellStyle name="Normal 14 2 26" xfId="4287" xr:uid="{00000000-0005-0000-0000-000037140000}"/>
    <cellStyle name="Normal 14 2 26 2" xfId="16323" xr:uid="{00000000-0005-0000-0000-000038140000}"/>
    <cellStyle name="Normal 14 2 27" xfId="4288" xr:uid="{00000000-0005-0000-0000-000039140000}"/>
    <cellStyle name="Normal 14 2 27 2" xfId="16324" xr:uid="{00000000-0005-0000-0000-00003A140000}"/>
    <cellStyle name="Normal 14 2 28" xfId="4289" xr:uid="{00000000-0005-0000-0000-00003B140000}"/>
    <cellStyle name="Normal 14 2 28 2" xfId="16325" xr:uid="{00000000-0005-0000-0000-00003C140000}"/>
    <cellStyle name="Normal 14 2 29" xfId="4290" xr:uid="{00000000-0005-0000-0000-00003D140000}"/>
    <cellStyle name="Normal 14 2 29 2" xfId="16326" xr:uid="{00000000-0005-0000-0000-00003E140000}"/>
    <cellStyle name="Normal 14 2 3" xfId="4291" xr:uid="{00000000-0005-0000-0000-00003F140000}"/>
    <cellStyle name="Normal 14 2 3 2" xfId="16327" xr:uid="{00000000-0005-0000-0000-000040140000}"/>
    <cellStyle name="Normal 14 2 30" xfId="4292" xr:uid="{00000000-0005-0000-0000-000041140000}"/>
    <cellStyle name="Normal 14 2 30 2" xfId="16328" xr:uid="{00000000-0005-0000-0000-000042140000}"/>
    <cellStyle name="Normal 14 2 31" xfId="4293" xr:uid="{00000000-0005-0000-0000-000043140000}"/>
    <cellStyle name="Normal 14 2 31 2" xfId="16329" xr:uid="{00000000-0005-0000-0000-000044140000}"/>
    <cellStyle name="Normal 14 2 32" xfId="4294" xr:uid="{00000000-0005-0000-0000-000045140000}"/>
    <cellStyle name="Normal 14 2 32 2" xfId="16330" xr:uid="{00000000-0005-0000-0000-000046140000}"/>
    <cellStyle name="Normal 14 2 33" xfId="4295" xr:uid="{00000000-0005-0000-0000-000047140000}"/>
    <cellStyle name="Normal 14 2 33 2" xfId="16331" xr:uid="{00000000-0005-0000-0000-000048140000}"/>
    <cellStyle name="Normal 14 2 34" xfId="4296" xr:uid="{00000000-0005-0000-0000-000049140000}"/>
    <cellStyle name="Normal 14 2 34 2" xfId="16332" xr:uid="{00000000-0005-0000-0000-00004A140000}"/>
    <cellStyle name="Normal 14 2 35" xfId="4297" xr:uid="{00000000-0005-0000-0000-00004B140000}"/>
    <cellStyle name="Normal 14 2 35 2" xfId="16333" xr:uid="{00000000-0005-0000-0000-00004C140000}"/>
    <cellStyle name="Normal 14 2 36" xfId="4298" xr:uid="{00000000-0005-0000-0000-00004D140000}"/>
    <cellStyle name="Normal 14 2 36 2" xfId="16334" xr:uid="{00000000-0005-0000-0000-00004E140000}"/>
    <cellStyle name="Normal 14 2 37" xfId="4299" xr:uid="{00000000-0005-0000-0000-00004F140000}"/>
    <cellStyle name="Normal 14 2 37 2" xfId="16335" xr:uid="{00000000-0005-0000-0000-000050140000}"/>
    <cellStyle name="Normal 14 2 38" xfId="4300" xr:uid="{00000000-0005-0000-0000-000051140000}"/>
    <cellStyle name="Normal 14 2 38 2" xfId="16336" xr:uid="{00000000-0005-0000-0000-000052140000}"/>
    <cellStyle name="Normal 14 2 39" xfId="4301" xr:uid="{00000000-0005-0000-0000-000053140000}"/>
    <cellStyle name="Normal 14 2 39 2" xfId="16337" xr:uid="{00000000-0005-0000-0000-000054140000}"/>
    <cellStyle name="Normal 14 2 4" xfId="4302" xr:uid="{00000000-0005-0000-0000-000055140000}"/>
    <cellStyle name="Normal 14 2 4 2" xfId="16338" xr:uid="{00000000-0005-0000-0000-000056140000}"/>
    <cellStyle name="Normal 14 2 40" xfId="4303" xr:uid="{00000000-0005-0000-0000-000057140000}"/>
    <cellStyle name="Normal 14 2 40 2" xfId="16339" xr:uid="{00000000-0005-0000-0000-000058140000}"/>
    <cellStyle name="Normal 14 2 41" xfId="4304" xr:uid="{00000000-0005-0000-0000-000059140000}"/>
    <cellStyle name="Normal 14 2 41 2" xfId="16340" xr:uid="{00000000-0005-0000-0000-00005A140000}"/>
    <cellStyle name="Normal 14 2 42" xfId="4305" xr:uid="{00000000-0005-0000-0000-00005B140000}"/>
    <cellStyle name="Normal 14 2 42 2" xfId="16341" xr:uid="{00000000-0005-0000-0000-00005C140000}"/>
    <cellStyle name="Normal 14 2 43" xfId="4306" xr:uid="{00000000-0005-0000-0000-00005D140000}"/>
    <cellStyle name="Normal 14 2 43 2" xfId="16342" xr:uid="{00000000-0005-0000-0000-00005E140000}"/>
    <cellStyle name="Normal 14 2 44" xfId="4307" xr:uid="{00000000-0005-0000-0000-00005F140000}"/>
    <cellStyle name="Normal 14 2 44 2" xfId="16343" xr:uid="{00000000-0005-0000-0000-000060140000}"/>
    <cellStyle name="Normal 14 2 45" xfId="4308" xr:uid="{00000000-0005-0000-0000-000061140000}"/>
    <cellStyle name="Normal 14 2 45 2" xfId="16344" xr:uid="{00000000-0005-0000-0000-000062140000}"/>
    <cellStyle name="Normal 14 2 46" xfId="4309" xr:uid="{00000000-0005-0000-0000-000063140000}"/>
    <cellStyle name="Normal 14 2 46 2" xfId="16345" xr:uid="{00000000-0005-0000-0000-000064140000}"/>
    <cellStyle name="Normal 14 2 47" xfId="4310" xr:uid="{00000000-0005-0000-0000-000065140000}"/>
    <cellStyle name="Normal 14 2 47 2" xfId="16346" xr:uid="{00000000-0005-0000-0000-000066140000}"/>
    <cellStyle name="Normal 14 2 48" xfId="4311" xr:uid="{00000000-0005-0000-0000-000067140000}"/>
    <cellStyle name="Normal 14 2 48 2" xfId="16347" xr:uid="{00000000-0005-0000-0000-000068140000}"/>
    <cellStyle name="Normal 14 2 49" xfId="4312" xr:uid="{00000000-0005-0000-0000-000069140000}"/>
    <cellStyle name="Normal 14 2 49 2" xfId="16348" xr:uid="{00000000-0005-0000-0000-00006A140000}"/>
    <cellStyle name="Normal 14 2 5" xfId="4313" xr:uid="{00000000-0005-0000-0000-00006B140000}"/>
    <cellStyle name="Normal 14 2 5 2" xfId="16349" xr:uid="{00000000-0005-0000-0000-00006C140000}"/>
    <cellStyle name="Normal 14 2 50" xfId="4314" xr:uid="{00000000-0005-0000-0000-00006D140000}"/>
    <cellStyle name="Normal 14 2 50 2" xfId="16350" xr:uid="{00000000-0005-0000-0000-00006E140000}"/>
    <cellStyle name="Normal 14 2 51" xfId="4315" xr:uid="{00000000-0005-0000-0000-00006F140000}"/>
    <cellStyle name="Normal 14 2 51 2" xfId="16351" xr:uid="{00000000-0005-0000-0000-000070140000}"/>
    <cellStyle name="Normal 14 2 52" xfId="4316" xr:uid="{00000000-0005-0000-0000-000071140000}"/>
    <cellStyle name="Normal 14 2 52 2" xfId="16352" xr:uid="{00000000-0005-0000-0000-000072140000}"/>
    <cellStyle name="Normal 14 2 53" xfId="4317" xr:uid="{00000000-0005-0000-0000-000073140000}"/>
    <cellStyle name="Normal 14 2 53 2" xfId="16353" xr:uid="{00000000-0005-0000-0000-000074140000}"/>
    <cellStyle name="Normal 14 2 54" xfId="4318" xr:uid="{00000000-0005-0000-0000-000075140000}"/>
    <cellStyle name="Normal 14 2 54 2" xfId="16354" xr:uid="{00000000-0005-0000-0000-000076140000}"/>
    <cellStyle name="Normal 14 2 55" xfId="4319" xr:uid="{00000000-0005-0000-0000-000077140000}"/>
    <cellStyle name="Normal 14 2 55 2" xfId="16355" xr:uid="{00000000-0005-0000-0000-000078140000}"/>
    <cellStyle name="Normal 14 2 56" xfId="4320" xr:uid="{00000000-0005-0000-0000-000079140000}"/>
    <cellStyle name="Normal 14 2 56 2" xfId="16356" xr:uid="{00000000-0005-0000-0000-00007A140000}"/>
    <cellStyle name="Normal 14 2 57" xfId="4321" xr:uid="{00000000-0005-0000-0000-00007B140000}"/>
    <cellStyle name="Normal 14 2 57 2" xfId="16357" xr:uid="{00000000-0005-0000-0000-00007C140000}"/>
    <cellStyle name="Normal 14 2 58" xfId="4322" xr:uid="{00000000-0005-0000-0000-00007D140000}"/>
    <cellStyle name="Normal 14 2 58 2" xfId="16358" xr:uid="{00000000-0005-0000-0000-00007E140000}"/>
    <cellStyle name="Normal 14 2 59" xfId="4323" xr:uid="{00000000-0005-0000-0000-00007F140000}"/>
    <cellStyle name="Normal 14 2 59 2" xfId="16359" xr:uid="{00000000-0005-0000-0000-000080140000}"/>
    <cellStyle name="Normal 14 2 6" xfId="4324" xr:uid="{00000000-0005-0000-0000-000081140000}"/>
    <cellStyle name="Normal 14 2 6 2" xfId="16360" xr:uid="{00000000-0005-0000-0000-000082140000}"/>
    <cellStyle name="Normal 14 2 60" xfId="4325" xr:uid="{00000000-0005-0000-0000-000083140000}"/>
    <cellStyle name="Normal 14 2 60 2" xfId="16361" xr:uid="{00000000-0005-0000-0000-000084140000}"/>
    <cellStyle name="Normal 14 2 61" xfId="4326" xr:uid="{00000000-0005-0000-0000-000085140000}"/>
    <cellStyle name="Normal 14 2 61 2" xfId="16362" xr:uid="{00000000-0005-0000-0000-000086140000}"/>
    <cellStyle name="Normal 14 2 62" xfId="4327" xr:uid="{00000000-0005-0000-0000-000087140000}"/>
    <cellStyle name="Normal 14 2 62 2" xfId="16363" xr:uid="{00000000-0005-0000-0000-000088140000}"/>
    <cellStyle name="Normal 14 2 63" xfId="4328" xr:uid="{00000000-0005-0000-0000-000089140000}"/>
    <cellStyle name="Normal 14 2 63 2" xfId="16364" xr:uid="{00000000-0005-0000-0000-00008A140000}"/>
    <cellStyle name="Normal 14 2 64" xfId="4329" xr:uid="{00000000-0005-0000-0000-00008B140000}"/>
    <cellStyle name="Normal 14 2 64 2" xfId="16365" xr:uid="{00000000-0005-0000-0000-00008C140000}"/>
    <cellStyle name="Normal 14 2 65" xfId="4330" xr:uid="{00000000-0005-0000-0000-00008D140000}"/>
    <cellStyle name="Normal 14 2 65 2" xfId="16366" xr:uid="{00000000-0005-0000-0000-00008E140000}"/>
    <cellStyle name="Normal 14 2 66" xfId="4331" xr:uid="{00000000-0005-0000-0000-00008F140000}"/>
    <cellStyle name="Normal 14 2 66 2" xfId="16367" xr:uid="{00000000-0005-0000-0000-000090140000}"/>
    <cellStyle name="Normal 14 2 67" xfId="4332" xr:uid="{00000000-0005-0000-0000-000091140000}"/>
    <cellStyle name="Normal 14 2 67 2" xfId="16368" xr:uid="{00000000-0005-0000-0000-000092140000}"/>
    <cellStyle name="Normal 14 2 68" xfId="4333" xr:uid="{00000000-0005-0000-0000-000093140000}"/>
    <cellStyle name="Normal 14 2 68 2" xfId="16369" xr:uid="{00000000-0005-0000-0000-000094140000}"/>
    <cellStyle name="Normal 14 2 69" xfId="4334" xr:uid="{00000000-0005-0000-0000-000095140000}"/>
    <cellStyle name="Normal 14 2 69 2" xfId="16370" xr:uid="{00000000-0005-0000-0000-000096140000}"/>
    <cellStyle name="Normal 14 2 7" xfId="4335" xr:uid="{00000000-0005-0000-0000-000097140000}"/>
    <cellStyle name="Normal 14 2 7 2" xfId="16371" xr:uid="{00000000-0005-0000-0000-000098140000}"/>
    <cellStyle name="Normal 14 2 70" xfId="4336" xr:uid="{00000000-0005-0000-0000-000099140000}"/>
    <cellStyle name="Normal 14 2 70 2" xfId="16372" xr:uid="{00000000-0005-0000-0000-00009A140000}"/>
    <cellStyle name="Normal 14 2 71" xfId="4337" xr:uid="{00000000-0005-0000-0000-00009B140000}"/>
    <cellStyle name="Normal 14 2 71 2" xfId="16373" xr:uid="{00000000-0005-0000-0000-00009C140000}"/>
    <cellStyle name="Normal 14 2 72" xfId="4338" xr:uid="{00000000-0005-0000-0000-00009D140000}"/>
    <cellStyle name="Normal 14 2 72 2" xfId="16374" xr:uid="{00000000-0005-0000-0000-00009E140000}"/>
    <cellStyle name="Normal 14 2 73" xfId="4339" xr:uid="{00000000-0005-0000-0000-00009F140000}"/>
    <cellStyle name="Normal 14 2 73 2" xfId="16375" xr:uid="{00000000-0005-0000-0000-0000A0140000}"/>
    <cellStyle name="Normal 14 2 74" xfId="4340" xr:uid="{00000000-0005-0000-0000-0000A1140000}"/>
    <cellStyle name="Normal 14 2 74 2" xfId="16376" xr:uid="{00000000-0005-0000-0000-0000A2140000}"/>
    <cellStyle name="Normal 14 2 75" xfId="4341" xr:uid="{00000000-0005-0000-0000-0000A3140000}"/>
    <cellStyle name="Normal 14 2 75 2" xfId="16377" xr:uid="{00000000-0005-0000-0000-0000A4140000}"/>
    <cellStyle name="Normal 14 2 76" xfId="4342" xr:uid="{00000000-0005-0000-0000-0000A5140000}"/>
    <cellStyle name="Normal 14 2 76 2" xfId="16378" xr:uid="{00000000-0005-0000-0000-0000A6140000}"/>
    <cellStyle name="Normal 14 2 77" xfId="4343" xr:uid="{00000000-0005-0000-0000-0000A7140000}"/>
    <cellStyle name="Normal 14 2 77 2" xfId="16379" xr:uid="{00000000-0005-0000-0000-0000A8140000}"/>
    <cellStyle name="Normal 14 2 78" xfId="4344" xr:uid="{00000000-0005-0000-0000-0000A9140000}"/>
    <cellStyle name="Normal 14 2 78 2" xfId="16380" xr:uid="{00000000-0005-0000-0000-0000AA140000}"/>
    <cellStyle name="Normal 14 2 79" xfId="4345" xr:uid="{00000000-0005-0000-0000-0000AB140000}"/>
    <cellStyle name="Normal 14 2 79 2" xfId="16381" xr:uid="{00000000-0005-0000-0000-0000AC140000}"/>
    <cellStyle name="Normal 14 2 8" xfId="4346" xr:uid="{00000000-0005-0000-0000-0000AD140000}"/>
    <cellStyle name="Normal 14 2 8 2" xfId="16382" xr:uid="{00000000-0005-0000-0000-0000AE140000}"/>
    <cellStyle name="Normal 14 2 80" xfId="15026" xr:uid="{00000000-0005-0000-0000-0000AF140000}"/>
    <cellStyle name="Normal 14 2 81" xfId="1602" xr:uid="{00000000-0005-0000-0000-0000B0140000}"/>
    <cellStyle name="Normal 14 2 9" xfId="4347" xr:uid="{00000000-0005-0000-0000-0000B1140000}"/>
    <cellStyle name="Normal 14 2 9 2" xfId="16383" xr:uid="{00000000-0005-0000-0000-0000B2140000}"/>
    <cellStyle name="Normal 14 20" xfId="4348" xr:uid="{00000000-0005-0000-0000-0000B3140000}"/>
    <cellStyle name="Normal 14 20 2" xfId="16384" xr:uid="{00000000-0005-0000-0000-0000B4140000}"/>
    <cellStyle name="Normal 14 21" xfId="4349" xr:uid="{00000000-0005-0000-0000-0000B5140000}"/>
    <cellStyle name="Normal 14 21 2" xfId="16385" xr:uid="{00000000-0005-0000-0000-0000B6140000}"/>
    <cellStyle name="Normal 14 22" xfId="4350" xr:uid="{00000000-0005-0000-0000-0000B7140000}"/>
    <cellStyle name="Normal 14 22 2" xfId="16386" xr:uid="{00000000-0005-0000-0000-0000B8140000}"/>
    <cellStyle name="Normal 14 23" xfId="4351" xr:uid="{00000000-0005-0000-0000-0000B9140000}"/>
    <cellStyle name="Normal 14 23 2" xfId="16387" xr:uid="{00000000-0005-0000-0000-0000BA140000}"/>
    <cellStyle name="Normal 14 24" xfId="4352" xr:uid="{00000000-0005-0000-0000-0000BB140000}"/>
    <cellStyle name="Normal 14 24 2" xfId="16388" xr:uid="{00000000-0005-0000-0000-0000BC140000}"/>
    <cellStyle name="Normal 14 25" xfId="4353" xr:uid="{00000000-0005-0000-0000-0000BD140000}"/>
    <cellStyle name="Normal 14 25 2" xfId="16389" xr:uid="{00000000-0005-0000-0000-0000BE140000}"/>
    <cellStyle name="Normal 14 26" xfId="4354" xr:uid="{00000000-0005-0000-0000-0000BF140000}"/>
    <cellStyle name="Normal 14 26 2" xfId="16390" xr:uid="{00000000-0005-0000-0000-0000C0140000}"/>
    <cellStyle name="Normal 14 27" xfId="4355" xr:uid="{00000000-0005-0000-0000-0000C1140000}"/>
    <cellStyle name="Normal 14 27 2" xfId="16391" xr:uid="{00000000-0005-0000-0000-0000C2140000}"/>
    <cellStyle name="Normal 14 28" xfId="4356" xr:uid="{00000000-0005-0000-0000-0000C3140000}"/>
    <cellStyle name="Normal 14 28 2" xfId="16392" xr:uid="{00000000-0005-0000-0000-0000C4140000}"/>
    <cellStyle name="Normal 14 29" xfId="4357" xr:uid="{00000000-0005-0000-0000-0000C5140000}"/>
    <cellStyle name="Normal 14 29 2" xfId="16393" xr:uid="{00000000-0005-0000-0000-0000C6140000}"/>
    <cellStyle name="Normal 14 3" xfId="693" xr:uid="{00000000-0005-0000-0000-0000C7140000}"/>
    <cellStyle name="Normal 14 3 10" xfId="4358" xr:uid="{00000000-0005-0000-0000-0000C8140000}"/>
    <cellStyle name="Normal 14 3 10 2" xfId="16394" xr:uid="{00000000-0005-0000-0000-0000C9140000}"/>
    <cellStyle name="Normal 14 3 11" xfId="4359" xr:uid="{00000000-0005-0000-0000-0000CA140000}"/>
    <cellStyle name="Normal 14 3 11 2" xfId="16395" xr:uid="{00000000-0005-0000-0000-0000CB140000}"/>
    <cellStyle name="Normal 14 3 12" xfId="4360" xr:uid="{00000000-0005-0000-0000-0000CC140000}"/>
    <cellStyle name="Normal 14 3 12 2" xfId="16396" xr:uid="{00000000-0005-0000-0000-0000CD140000}"/>
    <cellStyle name="Normal 14 3 13" xfId="4361" xr:uid="{00000000-0005-0000-0000-0000CE140000}"/>
    <cellStyle name="Normal 14 3 13 2" xfId="16397" xr:uid="{00000000-0005-0000-0000-0000CF140000}"/>
    <cellStyle name="Normal 14 3 14" xfId="4362" xr:uid="{00000000-0005-0000-0000-0000D0140000}"/>
    <cellStyle name="Normal 14 3 14 2" xfId="16398" xr:uid="{00000000-0005-0000-0000-0000D1140000}"/>
    <cellStyle name="Normal 14 3 15" xfId="4363" xr:uid="{00000000-0005-0000-0000-0000D2140000}"/>
    <cellStyle name="Normal 14 3 15 2" xfId="16399" xr:uid="{00000000-0005-0000-0000-0000D3140000}"/>
    <cellStyle name="Normal 14 3 16" xfId="4364" xr:uid="{00000000-0005-0000-0000-0000D4140000}"/>
    <cellStyle name="Normal 14 3 16 2" xfId="16400" xr:uid="{00000000-0005-0000-0000-0000D5140000}"/>
    <cellStyle name="Normal 14 3 17" xfId="4365" xr:uid="{00000000-0005-0000-0000-0000D6140000}"/>
    <cellStyle name="Normal 14 3 17 2" xfId="16401" xr:uid="{00000000-0005-0000-0000-0000D7140000}"/>
    <cellStyle name="Normal 14 3 18" xfId="4366" xr:uid="{00000000-0005-0000-0000-0000D8140000}"/>
    <cellStyle name="Normal 14 3 18 2" xfId="16402" xr:uid="{00000000-0005-0000-0000-0000D9140000}"/>
    <cellStyle name="Normal 14 3 19" xfId="4367" xr:uid="{00000000-0005-0000-0000-0000DA140000}"/>
    <cellStyle name="Normal 14 3 19 2" xfId="16403" xr:uid="{00000000-0005-0000-0000-0000DB140000}"/>
    <cellStyle name="Normal 14 3 2" xfId="4368" xr:uid="{00000000-0005-0000-0000-0000DC140000}"/>
    <cellStyle name="Normal 14 3 2 2" xfId="16404" xr:uid="{00000000-0005-0000-0000-0000DD140000}"/>
    <cellStyle name="Normal 14 3 20" xfId="4369" xr:uid="{00000000-0005-0000-0000-0000DE140000}"/>
    <cellStyle name="Normal 14 3 20 2" xfId="16405" xr:uid="{00000000-0005-0000-0000-0000DF140000}"/>
    <cellStyle name="Normal 14 3 21" xfId="4370" xr:uid="{00000000-0005-0000-0000-0000E0140000}"/>
    <cellStyle name="Normal 14 3 21 2" xfId="16406" xr:uid="{00000000-0005-0000-0000-0000E1140000}"/>
    <cellStyle name="Normal 14 3 22" xfId="4371" xr:uid="{00000000-0005-0000-0000-0000E2140000}"/>
    <cellStyle name="Normal 14 3 22 2" xfId="16407" xr:uid="{00000000-0005-0000-0000-0000E3140000}"/>
    <cellStyle name="Normal 14 3 23" xfId="4372" xr:uid="{00000000-0005-0000-0000-0000E4140000}"/>
    <cellStyle name="Normal 14 3 23 2" xfId="16408" xr:uid="{00000000-0005-0000-0000-0000E5140000}"/>
    <cellStyle name="Normal 14 3 24" xfId="4373" xr:uid="{00000000-0005-0000-0000-0000E6140000}"/>
    <cellStyle name="Normal 14 3 24 2" xfId="16409" xr:uid="{00000000-0005-0000-0000-0000E7140000}"/>
    <cellStyle name="Normal 14 3 25" xfId="4374" xr:uid="{00000000-0005-0000-0000-0000E8140000}"/>
    <cellStyle name="Normal 14 3 25 2" xfId="16410" xr:uid="{00000000-0005-0000-0000-0000E9140000}"/>
    <cellStyle name="Normal 14 3 26" xfId="4375" xr:uid="{00000000-0005-0000-0000-0000EA140000}"/>
    <cellStyle name="Normal 14 3 26 2" xfId="16411" xr:uid="{00000000-0005-0000-0000-0000EB140000}"/>
    <cellStyle name="Normal 14 3 27" xfId="4376" xr:uid="{00000000-0005-0000-0000-0000EC140000}"/>
    <cellStyle name="Normal 14 3 27 2" xfId="16412" xr:uid="{00000000-0005-0000-0000-0000ED140000}"/>
    <cellStyle name="Normal 14 3 28" xfId="4377" xr:uid="{00000000-0005-0000-0000-0000EE140000}"/>
    <cellStyle name="Normal 14 3 28 2" xfId="16413" xr:uid="{00000000-0005-0000-0000-0000EF140000}"/>
    <cellStyle name="Normal 14 3 29" xfId="4378" xr:uid="{00000000-0005-0000-0000-0000F0140000}"/>
    <cellStyle name="Normal 14 3 29 2" xfId="16414" xr:uid="{00000000-0005-0000-0000-0000F1140000}"/>
    <cellStyle name="Normal 14 3 3" xfId="4379" xr:uid="{00000000-0005-0000-0000-0000F2140000}"/>
    <cellStyle name="Normal 14 3 3 2" xfId="16415" xr:uid="{00000000-0005-0000-0000-0000F3140000}"/>
    <cellStyle name="Normal 14 3 30" xfId="4380" xr:uid="{00000000-0005-0000-0000-0000F4140000}"/>
    <cellStyle name="Normal 14 3 30 2" xfId="16416" xr:uid="{00000000-0005-0000-0000-0000F5140000}"/>
    <cellStyle name="Normal 14 3 31" xfId="4381" xr:uid="{00000000-0005-0000-0000-0000F6140000}"/>
    <cellStyle name="Normal 14 3 31 2" xfId="16417" xr:uid="{00000000-0005-0000-0000-0000F7140000}"/>
    <cellStyle name="Normal 14 3 32" xfId="4382" xr:uid="{00000000-0005-0000-0000-0000F8140000}"/>
    <cellStyle name="Normal 14 3 32 2" xfId="16418" xr:uid="{00000000-0005-0000-0000-0000F9140000}"/>
    <cellStyle name="Normal 14 3 33" xfId="4383" xr:uid="{00000000-0005-0000-0000-0000FA140000}"/>
    <cellStyle name="Normal 14 3 33 2" xfId="16419" xr:uid="{00000000-0005-0000-0000-0000FB140000}"/>
    <cellStyle name="Normal 14 3 34" xfId="4384" xr:uid="{00000000-0005-0000-0000-0000FC140000}"/>
    <cellStyle name="Normal 14 3 34 2" xfId="16420" xr:uid="{00000000-0005-0000-0000-0000FD140000}"/>
    <cellStyle name="Normal 14 3 35" xfId="4385" xr:uid="{00000000-0005-0000-0000-0000FE140000}"/>
    <cellStyle name="Normal 14 3 35 2" xfId="16421" xr:uid="{00000000-0005-0000-0000-0000FF140000}"/>
    <cellStyle name="Normal 14 3 36" xfId="4386" xr:uid="{00000000-0005-0000-0000-000000150000}"/>
    <cellStyle name="Normal 14 3 36 2" xfId="16422" xr:uid="{00000000-0005-0000-0000-000001150000}"/>
    <cellStyle name="Normal 14 3 37" xfId="4387" xr:uid="{00000000-0005-0000-0000-000002150000}"/>
    <cellStyle name="Normal 14 3 37 2" xfId="16423" xr:uid="{00000000-0005-0000-0000-000003150000}"/>
    <cellStyle name="Normal 14 3 38" xfId="4388" xr:uid="{00000000-0005-0000-0000-000004150000}"/>
    <cellStyle name="Normal 14 3 38 2" xfId="16424" xr:uid="{00000000-0005-0000-0000-000005150000}"/>
    <cellStyle name="Normal 14 3 39" xfId="4389" xr:uid="{00000000-0005-0000-0000-000006150000}"/>
    <cellStyle name="Normal 14 3 39 2" xfId="16425" xr:uid="{00000000-0005-0000-0000-000007150000}"/>
    <cellStyle name="Normal 14 3 4" xfId="4390" xr:uid="{00000000-0005-0000-0000-000008150000}"/>
    <cellStyle name="Normal 14 3 4 2" xfId="16426" xr:uid="{00000000-0005-0000-0000-000009150000}"/>
    <cellStyle name="Normal 14 3 40" xfId="4391" xr:uid="{00000000-0005-0000-0000-00000A150000}"/>
    <cellStyle name="Normal 14 3 40 2" xfId="16427" xr:uid="{00000000-0005-0000-0000-00000B150000}"/>
    <cellStyle name="Normal 14 3 41" xfId="4392" xr:uid="{00000000-0005-0000-0000-00000C150000}"/>
    <cellStyle name="Normal 14 3 41 2" xfId="16428" xr:uid="{00000000-0005-0000-0000-00000D150000}"/>
    <cellStyle name="Normal 14 3 42" xfId="4393" xr:uid="{00000000-0005-0000-0000-00000E150000}"/>
    <cellStyle name="Normal 14 3 42 2" xfId="16429" xr:uid="{00000000-0005-0000-0000-00000F150000}"/>
    <cellStyle name="Normal 14 3 43" xfId="4394" xr:uid="{00000000-0005-0000-0000-000010150000}"/>
    <cellStyle name="Normal 14 3 43 2" xfId="16430" xr:uid="{00000000-0005-0000-0000-000011150000}"/>
    <cellStyle name="Normal 14 3 44" xfId="4395" xr:uid="{00000000-0005-0000-0000-000012150000}"/>
    <cellStyle name="Normal 14 3 44 2" xfId="16431" xr:uid="{00000000-0005-0000-0000-000013150000}"/>
    <cellStyle name="Normal 14 3 45" xfId="4396" xr:uid="{00000000-0005-0000-0000-000014150000}"/>
    <cellStyle name="Normal 14 3 45 2" xfId="16432" xr:uid="{00000000-0005-0000-0000-000015150000}"/>
    <cellStyle name="Normal 14 3 46" xfId="4397" xr:uid="{00000000-0005-0000-0000-000016150000}"/>
    <cellStyle name="Normal 14 3 46 2" xfId="16433" xr:uid="{00000000-0005-0000-0000-000017150000}"/>
    <cellStyle name="Normal 14 3 47" xfId="4398" xr:uid="{00000000-0005-0000-0000-000018150000}"/>
    <cellStyle name="Normal 14 3 47 2" xfId="16434" xr:uid="{00000000-0005-0000-0000-000019150000}"/>
    <cellStyle name="Normal 14 3 48" xfId="4399" xr:uid="{00000000-0005-0000-0000-00001A150000}"/>
    <cellStyle name="Normal 14 3 48 2" xfId="16435" xr:uid="{00000000-0005-0000-0000-00001B150000}"/>
    <cellStyle name="Normal 14 3 49" xfId="4400" xr:uid="{00000000-0005-0000-0000-00001C150000}"/>
    <cellStyle name="Normal 14 3 49 2" xfId="16436" xr:uid="{00000000-0005-0000-0000-00001D150000}"/>
    <cellStyle name="Normal 14 3 5" xfId="4401" xr:uid="{00000000-0005-0000-0000-00001E150000}"/>
    <cellStyle name="Normal 14 3 5 2" xfId="16437" xr:uid="{00000000-0005-0000-0000-00001F150000}"/>
    <cellStyle name="Normal 14 3 50" xfId="4402" xr:uid="{00000000-0005-0000-0000-000020150000}"/>
    <cellStyle name="Normal 14 3 50 2" xfId="16438" xr:uid="{00000000-0005-0000-0000-000021150000}"/>
    <cellStyle name="Normal 14 3 51" xfId="4403" xr:uid="{00000000-0005-0000-0000-000022150000}"/>
    <cellStyle name="Normal 14 3 51 2" xfId="16439" xr:uid="{00000000-0005-0000-0000-000023150000}"/>
    <cellStyle name="Normal 14 3 52" xfId="4404" xr:uid="{00000000-0005-0000-0000-000024150000}"/>
    <cellStyle name="Normal 14 3 52 2" xfId="16440" xr:uid="{00000000-0005-0000-0000-000025150000}"/>
    <cellStyle name="Normal 14 3 53" xfId="4405" xr:uid="{00000000-0005-0000-0000-000026150000}"/>
    <cellStyle name="Normal 14 3 53 2" xfId="16441" xr:uid="{00000000-0005-0000-0000-000027150000}"/>
    <cellStyle name="Normal 14 3 54" xfId="4406" xr:uid="{00000000-0005-0000-0000-000028150000}"/>
    <cellStyle name="Normal 14 3 54 2" xfId="16442" xr:uid="{00000000-0005-0000-0000-000029150000}"/>
    <cellStyle name="Normal 14 3 55" xfId="4407" xr:uid="{00000000-0005-0000-0000-00002A150000}"/>
    <cellStyle name="Normal 14 3 55 2" xfId="16443" xr:uid="{00000000-0005-0000-0000-00002B150000}"/>
    <cellStyle name="Normal 14 3 56" xfId="4408" xr:uid="{00000000-0005-0000-0000-00002C150000}"/>
    <cellStyle name="Normal 14 3 56 2" xfId="16444" xr:uid="{00000000-0005-0000-0000-00002D150000}"/>
    <cellStyle name="Normal 14 3 57" xfId="4409" xr:uid="{00000000-0005-0000-0000-00002E150000}"/>
    <cellStyle name="Normal 14 3 57 2" xfId="16445" xr:uid="{00000000-0005-0000-0000-00002F150000}"/>
    <cellStyle name="Normal 14 3 58" xfId="4410" xr:uid="{00000000-0005-0000-0000-000030150000}"/>
    <cellStyle name="Normal 14 3 58 2" xfId="16446" xr:uid="{00000000-0005-0000-0000-000031150000}"/>
    <cellStyle name="Normal 14 3 59" xfId="4411" xr:uid="{00000000-0005-0000-0000-000032150000}"/>
    <cellStyle name="Normal 14 3 59 2" xfId="16447" xr:uid="{00000000-0005-0000-0000-000033150000}"/>
    <cellStyle name="Normal 14 3 6" xfId="4412" xr:uid="{00000000-0005-0000-0000-000034150000}"/>
    <cellStyle name="Normal 14 3 6 2" xfId="16448" xr:uid="{00000000-0005-0000-0000-000035150000}"/>
    <cellStyle name="Normal 14 3 60" xfId="4413" xr:uid="{00000000-0005-0000-0000-000036150000}"/>
    <cellStyle name="Normal 14 3 60 2" xfId="16449" xr:uid="{00000000-0005-0000-0000-000037150000}"/>
    <cellStyle name="Normal 14 3 61" xfId="4414" xr:uid="{00000000-0005-0000-0000-000038150000}"/>
    <cellStyle name="Normal 14 3 61 2" xfId="16450" xr:uid="{00000000-0005-0000-0000-000039150000}"/>
    <cellStyle name="Normal 14 3 62" xfId="4415" xr:uid="{00000000-0005-0000-0000-00003A150000}"/>
    <cellStyle name="Normal 14 3 62 2" xfId="16451" xr:uid="{00000000-0005-0000-0000-00003B150000}"/>
    <cellStyle name="Normal 14 3 63" xfId="4416" xr:uid="{00000000-0005-0000-0000-00003C150000}"/>
    <cellStyle name="Normal 14 3 63 2" xfId="16452" xr:uid="{00000000-0005-0000-0000-00003D150000}"/>
    <cellStyle name="Normal 14 3 64" xfId="4417" xr:uid="{00000000-0005-0000-0000-00003E150000}"/>
    <cellStyle name="Normal 14 3 64 2" xfId="16453" xr:uid="{00000000-0005-0000-0000-00003F150000}"/>
    <cellStyle name="Normal 14 3 65" xfId="4418" xr:uid="{00000000-0005-0000-0000-000040150000}"/>
    <cellStyle name="Normal 14 3 65 2" xfId="16454" xr:uid="{00000000-0005-0000-0000-000041150000}"/>
    <cellStyle name="Normal 14 3 66" xfId="4419" xr:uid="{00000000-0005-0000-0000-000042150000}"/>
    <cellStyle name="Normal 14 3 66 2" xfId="16455" xr:uid="{00000000-0005-0000-0000-000043150000}"/>
    <cellStyle name="Normal 14 3 67" xfId="4420" xr:uid="{00000000-0005-0000-0000-000044150000}"/>
    <cellStyle name="Normal 14 3 67 2" xfId="16456" xr:uid="{00000000-0005-0000-0000-000045150000}"/>
    <cellStyle name="Normal 14 3 68" xfId="4421" xr:uid="{00000000-0005-0000-0000-000046150000}"/>
    <cellStyle name="Normal 14 3 68 2" xfId="16457" xr:uid="{00000000-0005-0000-0000-000047150000}"/>
    <cellStyle name="Normal 14 3 69" xfId="4422" xr:uid="{00000000-0005-0000-0000-000048150000}"/>
    <cellStyle name="Normal 14 3 69 2" xfId="16458" xr:uid="{00000000-0005-0000-0000-000049150000}"/>
    <cellStyle name="Normal 14 3 7" xfId="4423" xr:uid="{00000000-0005-0000-0000-00004A150000}"/>
    <cellStyle name="Normal 14 3 7 2" xfId="16459" xr:uid="{00000000-0005-0000-0000-00004B150000}"/>
    <cellStyle name="Normal 14 3 70" xfId="4424" xr:uid="{00000000-0005-0000-0000-00004C150000}"/>
    <cellStyle name="Normal 14 3 70 2" xfId="16460" xr:uid="{00000000-0005-0000-0000-00004D150000}"/>
    <cellStyle name="Normal 14 3 71" xfId="4425" xr:uid="{00000000-0005-0000-0000-00004E150000}"/>
    <cellStyle name="Normal 14 3 71 2" xfId="16461" xr:uid="{00000000-0005-0000-0000-00004F150000}"/>
    <cellStyle name="Normal 14 3 72" xfId="4426" xr:uid="{00000000-0005-0000-0000-000050150000}"/>
    <cellStyle name="Normal 14 3 72 2" xfId="16462" xr:uid="{00000000-0005-0000-0000-000051150000}"/>
    <cellStyle name="Normal 14 3 73" xfId="4427" xr:uid="{00000000-0005-0000-0000-000052150000}"/>
    <cellStyle name="Normal 14 3 73 2" xfId="16463" xr:uid="{00000000-0005-0000-0000-000053150000}"/>
    <cellStyle name="Normal 14 3 74" xfId="4428" xr:uid="{00000000-0005-0000-0000-000054150000}"/>
    <cellStyle name="Normal 14 3 74 2" xfId="16464" xr:uid="{00000000-0005-0000-0000-000055150000}"/>
    <cellStyle name="Normal 14 3 75" xfId="4429" xr:uid="{00000000-0005-0000-0000-000056150000}"/>
    <cellStyle name="Normal 14 3 75 2" xfId="16465" xr:uid="{00000000-0005-0000-0000-000057150000}"/>
    <cellStyle name="Normal 14 3 76" xfId="4430" xr:uid="{00000000-0005-0000-0000-000058150000}"/>
    <cellStyle name="Normal 14 3 76 2" xfId="16466" xr:uid="{00000000-0005-0000-0000-000059150000}"/>
    <cellStyle name="Normal 14 3 77" xfId="4431" xr:uid="{00000000-0005-0000-0000-00005A150000}"/>
    <cellStyle name="Normal 14 3 77 2" xfId="16467" xr:uid="{00000000-0005-0000-0000-00005B150000}"/>
    <cellStyle name="Normal 14 3 78" xfId="4432" xr:uid="{00000000-0005-0000-0000-00005C150000}"/>
    <cellStyle name="Normal 14 3 78 2" xfId="16468" xr:uid="{00000000-0005-0000-0000-00005D150000}"/>
    <cellStyle name="Normal 14 3 79" xfId="4433" xr:uid="{00000000-0005-0000-0000-00005E150000}"/>
    <cellStyle name="Normal 14 3 79 2" xfId="16469" xr:uid="{00000000-0005-0000-0000-00005F150000}"/>
    <cellStyle name="Normal 14 3 8" xfId="4434" xr:uid="{00000000-0005-0000-0000-000060150000}"/>
    <cellStyle name="Normal 14 3 8 2" xfId="16470" xr:uid="{00000000-0005-0000-0000-000061150000}"/>
    <cellStyle name="Normal 14 3 80" xfId="15027" xr:uid="{00000000-0005-0000-0000-000062150000}"/>
    <cellStyle name="Normal 14 3 81" xfId="1603" xr:uid="{00000000-0005-0000-0000-000063150000}"/>
    <cellStyle name="Normal 14 3 9" xfId="4435" xr:uid="{00000000-0005-0000-0000-000064150000}"/>
    <cellStyle name="Normal 14 3 9 2" xfId="16471" xr:uid="{00000000-0005-0000-0000-000065150000}"/>
    <cellStyle name="Normal 14 30" xfId="4436" xr:uid="{00000000-0005-0000-0000-000066150000}"/>
    <cellStyle name="Normal 14 30 2" xfId="16472" xr:uid="{00000000-0005-0000-0000-000067150000}"/>
    <cellStyle name="Normal 14 31" xfId="4437" xr:uid="{00000000-0005-0000-0000-000068150000}"/>
    <cellStyle name="Normal 14 31 2" xfId="16473" xr:uid="{00000000-0005-0000-0000-000069150000}"/>
    <cellStyle name="Normal 14 32" xfId="4438" xr:uid="{00000000-0005-0000-0000-00006A150000}"/>
    <cellStyle name="Normal 14 32 2" xfId="16474" xr:uid="{00000000-0005-0000-0000-00006B150000}"/>
    <cellStyle name="Normal 14 33" xfId="4439" xr:uid="{00000000-0005-0000-0000-00006C150000}"/>
    <cellStyle name="Normal 14 33 2" xfId="16475" xr:uid="{00000000-0005-0000-0000-00006D150000}"/>
    <cellStyle name="Normal 14 34" xfId="4440" xr:uid="{00000000-0005-0000-0000-00006E150000}"/>
    <cellStyle name="Normal 14 34 2" xfId="16476" xr:uid="{00000000-0005-0000-0000-00006F150000}"/>
    <cellStyle name="Normal 14 35" xfId="4441" xr:uid="{00000000-0005-0000-0000-000070150000}"/>
    <cellStyle name="Normal 14 35 2" xfId="16477" xr:uid="{00000000-0005-0000-0000-000071150000}"/>
    <cellStyle name="Normal 14 36" xfId="4442" xr:uid="{00000000-0005-0000-0000-000072150000}"/>
    <cellStyle name="Normal 14 36 2" xfId="16478" xr:uid="{00000000-0005-0000-0000-000073150000}"/>
    <cellStyle name="Normal 14 37" xfId="4443" xr:uid="{00000000-0005-0000-0000-000074150000}"/>
    <cellStyle name="Normal 14 37 2" xfId="16479" xr:uid="{00000000-0005-0000-0000-000075150000}"/>
    <cellStyle name="Normal 14 38" xfId="4444" xr:uid="{00000000-0005-0000-0000-000076150000}"/>
    <cellStyle name="Normal 14 38 2" xfId="16480" xr:uid="{00000000-0005-0000-0000-000077150000}"/>
    <cellStyle name="Normal 14 39" xfId="4445" xr:uid="{00000000-0005-0000-0000-000078150000}"/>
    <cellStyle name="Normal 14 39 2" xfId="16481" xr:uid="{00000000-0005-0000-0000-000079150000}"/>
    <cellStyle name="Normal 14 4" xfId="305" xr:uid="{00000000-0005-0000-0000-00007A150000}"/>
    <cellStyle name="Normal 14 4 10" xfId="4446" xr:uid="{00000000-0005-0000-0000-00007B150000}"/>
    <cellStyle name="Normal 14 4 10 2" xfId="16483" xr:uid="{00000000-0005-0000-0000-00007C150000}"/>
    <cellStyle name="Normal 14 4 11" xfId="4447" xr:uid="{00000000-0005-0000-0000-00007D150000}"/>
    <cellStyle name="Normal 14 4 11 2" xfId="16484" xr:uid="{00000000-0005-0000-0000-00007E150000}"/>
    <cellStyle name="Normal 14 4 12" xfId="4448" xr:uid="{00000000-0005-0000-0000-00007F150000}"/>
    <cellStyle name="Normal 14 4 12 2" xfId="16485" xr:uid="{00000000-0005-0000-0000-000080150000}"/>
    <cellStyle name="Normal 14 4 13" xfId="4449" xr:uid="{00000000-0005-0000-0000-000081150000}"/>
    <cellStyle name="Normal 14 4 13 2" xfId="16486" xr:uid="{00000000-0005-0000-0000-000082150000}"/>
    <cellStyle name="Normal 14 4 14" xfId="4450" xr:uid="{00000000-0005-0000-0000-000083150000}"/>
    <cellStyle name="Normal 14 4 14 2" xfId="16487" xr:uid="{00000000-0005-0000-0000-000084150000}"/>
    <cellStyle name="Normal 14 4 15" xfId="4451" xr:uid="{00000000-0005-0000-0000-000085150000}"/>
    <cellStyle name="Normal 14 4 15 2" xfId="16488" xr:uid="{00000000-0005-0000-0000-000086150000}"/>
    <cellStyle name="Normal 14 4 16" xfId="4452" xr:uid="{00000000-0005-0000-0000-000087150000}"/>
    <cellStyle name="Normal 14 4 16 2" xfId="16489" xr:uid="{00000000-0005-0000-0000-000088150000}"/>
    <cellStyle name="Normal 14 4 17" xfId="4453" xr:uid="{00000000-0005-0000-0000-000089150000}"/>
    <cellStyle name="Normal 14 4 17 2" xfId="16490" xr:uid="{00000000-0005-0000-0000-00008A150000}"/>
    <cellStyle name="Normal 14 4 18" xfId="4454" xr:uid="{00000000-0005-0000-0000-00008B150000}"/>
    <cellStyle name="Normal 14 4 18 2" xfId="16491" xr:uid="{00000000-0005-0000-0000-00008C150000}"/>
    <cellStyle name="Normal 14 4 19" xfId="4455" xr:uid="{00000000-0005-0000-0000-00008D150000}"/>
    <cellStyle name="Normal 14 4 19 2" xfId="16492" xr:uid="{00000000-0005-0000-0000-00008E150000}"/>
    <cellStyle name="Normal 14 4 2" xfId="4456" xr:uid="{00000000-0005-0000-0000-00008F150000}"/>
    <cellStyle name="Normal 14 4 2 2" xfId="16493" xr:uid="{00000000-0005-0000-0000-000090150000}"/>
    <cellStyle name="Normal 14 4 20" xfId="4457" xr:uid="{00000000-0005-0000-0000-000091150000}"/>
    <cellStyle name="Normal 14 4 20 2" xfId="16494" xr:uid="{00000000-0005-0000-0000-000092150000}"/>
    <cellStyle name="Normal 14 4 21" xfId="4458" xr:uid="{00000000-0005-0000-0000-000093150000}"/>
    <cellStyle name="Normal 14 4 21 2" xfId="16495" xr:uid="{00000000-0005-0000-0000-000094150000}"/>
    <cellStyle name="Normal 14 4 22" xfId="4459" xr:uid="{00000000-0005-0000-0000-000095150000}"/>
    <cellStyle name="Normal 14 4 22 2" xfId="16496" xr:uid="{00000000-0005-0000-0000-000096150000}"/>
    <cellStyle name="Normal 14 4 23" xfId="4460" xr:uid="{00000000-0005-0000-0000-000097150000}"/>
    <cellStyle name="Normal 14 4 23 2" xfId="16497" xr:uid="{00000000-0005-0000-0000-000098150000}"/>
    <cellStyle name="Normal 14 4 24" xfId="4461" xr:uid="{00000000-0005-0000-0000-000099150000}"/>
    <cellStyle name="Normal 14 4 24 2" xfId="16498" xr:uid="{00000000-0005-0000-0000-00009A150000}"/>
    <cellStyle name="Normal 14 4 25" xfId="4462" xr:uid="{00000000-0005-0000-0000-00009B150000}"/>
    <cellStyle name="Normal 14 4 25 2" xfId="16499" xr:uid="{00000000-0005-0000-0000-00009C150000}"/>
    <cellStyle name="Normal 14 4 26" xfId="4463" xr:uid="{00000000-0005-0000-0000-00009D150000}"/>
    <cellStyle name="Normal 14 4 26 2" xfId="16500" xr:uid="{00000000-0005-0000-0000-00009E150000}"/>
    <cellStyle name="Normal 14 4 27" xfId="4464" xr:uid="{00000000-0005-0000-0000-00009F150000}"/>
    <cellStyle name="Normal 14 4 27 2" xfId="16501" xr:uid="{00000000-0005-0000-0000-0000A0150000}"/>
    <cellStyle name="Normal 14 4 28" xfId="4465" xr:uid="{00000000-0005-0000-0000-0000A1150000}"/>
    <cellStyle name="Normal 14 4 28 2" xfId="16502" xr:uid="{00000000-0005-0000-0000-0000A2150000}"/>
    <cellStyle name="Normal 14 4 29" xfId="4466" xr:uid="{00000000-0005-0000-0000-0000A3150000}"/>
    <cellStyle name="Normal 14 4 29 2" xfId="16503" xr:uid="{00000000-0005-0000-0000-0000A4150000}"/>
    <cellStyle name="Normal 14 4 3" xfId="4467" xr:uid="{00000000-0005-0000-0000-0000A5150000}"/>
    <cellStyle name="Normal 14 4 3 2" xfId="16504" xr:uid="{00000000-0005-0000-0000-0000A6150000}"/>
    <cellStyle name="Normal 14 4 30" xfId="4468" xr:uid="{00000000-0005-0000-0000-0000A7150000}"/>
    <cellStyle name="Normal 14 4 30 2" xfId="16505" xr:uid="{00000000-0005-0000-0000-0000A8150000}"/>
    <cellStyle name="Normal 14 4 31" xfId="4469" xr:uid="{00000000-0005-0000-0000-0000A9150000}"/>
    <cellStyle name="Normal 14 4 31 2" xfId="16506" xr:uid="{00000000-0005-0000-0000-0000AA150000}"/>
    <cellStyle name="Normal 14 4 32" xfId="4470" xr:uid="{00000000-0005-0000-0000-0000AB150000}"/>
    <cellStyle name="Normal 14 4 32 2" xfId="16507" xr:uid="{00000000-0005-0000-0000-0000AC150000}"/>
    <cellStyle name="Normal 14 4 33" xfId="4471" xr:uid="{00000000-0005-0000-0000-0000AD150000}"/>
    <cellStyle name="Normal 14 4 33 2" xfId="16508" xr:uid="{00000000-0005-0000-0000-0000AE150000}"/>
    <cellStyle name="Normal 14 4 34" xfId="4472" xr:uid="{00000000-0005-0000-0000-0000AF150000}"/>
    <cellStyle name="Normal 14 4 34 2" xfId="16509" xr:uid="{00000000-0005-0000-0000-0000B0150000}"/>
    <cellStyle name="Normal 14 4 35" xfId="4473" xr:uid="{00000000-0005-0000-0000-0000B1150000}"/>
    <cellStyle name="Normal 14 4 35 2" xfId="16510" xr:uid="{00000000-0005-0000-0000-0000B2150000}"/>
    <cellStyle name="Normal 14 4 36" xfId="4474" xr:uid="{00000000-0005-0000-0000-0000B3150000}"/>
    <cellStyle name="Normal 14 4 36 2" xfId="16511" xr:uid="{00000000-0005-0000-0000-0000B4150000}"/>
    <cellStyle name="Normal 14 4 37" xfId="4475" xr:uid="{00000000-0005-0000-0000-0000B5150000}"/>
    <cellStyle name="Normal 14 4 37 2" xfId="16512" xr:uid="{00000000-0005-0000-0000-0000B6150000}"/>
    <cellStyle name="Normal 14 4 38" xfId="4476" xr:uid="{00000000-0005-0000-0000-0000B7150000}"/>
    <cellStyle name="Normal 14 4 38 2" xfId="16513" xr:uid="{00000000-0005-0000-0000-0000B8150000}"/>
    <cellStyle name="Normal 14 4 39" xfId="4477" xr:uid="{00000000-0005-0000-0000-0000B9150000}"/>
    <cellStyle name="Normal 14 4 39 2" xfId="16514" xr:uid="{00000000-0005-0000-0000-0000BA150000}"/>
    <cellStyle name="Normal 14 4 4" xfId="4478" xr:uid="{00000000-0005-0000-0000-0000BB150000}"/>
    <cellStyle name="Normal 14 4 4 2" xfId="16515" xr:uid="{00000000-0005-0000-0000-0000BC150000}"/>
    <cellStyle name="Normal 14 4 40" xfId="4479" xr:uid="{00000000-0005-0000-0000-0000BD150000}"/>
    <cellStyle name="Normal 14 4 40 2" xfId="16516" xr:uid="{00000000-0005-0000-0000-0000BE150000}"/>
    <cellStyle name="Normal 14 4 41" xfId="4480" xr:uid="{00000000-0005-0000-0000-0000BF150000}"/>
    <cellStyle name="Normal 14 4 41 2" xfId="16517" xr:uid="{00000000-0005-0000-0000-0000C0150000}"/>
    <cellStyle name="Normal 14 4 42" xfId="4481" xr:uid="{00000000-0005-0000-0000-0000C1150000}"/>
    <cellStyle name="Normal 14 4 42 2" xfId="16518" xr:uid="{00000000-0005-0000-0000-0000C2150000}"/>
    <cellStyle name="Normal 14 4 43" xfId="4482" xr:uid="{00000000-0005-0000-0000-0000C3150000}"/>
    <cellStyle name="Normal 14 4 43 2" xfId="16519" xr:uid="{00000000-0005-0000-0000-0000C4150000}"/>
    <cellStyle name="Normal 14 4 44" xfId="4483" xr:uid="{00000000-0005-0000-0000-0000C5150000}"/>
    <cellStyle name="Normal 14 4 44 2" xfId="16520" xr:uid="{00000000-0005-0000-0000-0000C6150000}"/>
    <cellStyle name="Normal 14 4 45" xfId="4484" xr:uid="{00000000-0005-0000-0000-0000C7150000}"/>
    <cellStyle name="Normal 14 4 45 2" xfId="16521" xr:uid="{00000000-0005-0000-0000-0000C8150000}"/>
    <cellStyle name="Normal 14 4 46" xfId="4485" xr:uid="{00000000-0005-0000-0000-0000C9150000}"/>
    <cellStyle name="Normal 14 4 46 2" xfId="16522" xr:uid="{00000000-0005-0000-0000-0000CA150000}"/>
    <cellStyle name="Normal 14 4 47" xfId="4486" xr:uid="{00000000-0005-0000-0000-0000CB150000}"/>
    <cellStyle name="Normal 14 4 47 2" xfId="16523" xr:uid="{00000000-0005-0000-0000-0000CC150000}"/>
    <cellStyle name="Normal 14 4 48" xfId="4487" xr:uid="{00000000-0005-0000-0000-0000CD150000}"/>
    <cellStyle name="Normal 14 4 48 2" xfId="16524" xr:uid="{00000000-0005-0000-0000-0000CE150000}"/>
    <cellStyle name="Normal 14 4 49" xfId="4488" xr:uid="{00000000-0005-0000-0000-0000CF150000}"/>
    <cellStyle name="Normal 14 4 49 2" xfId="16525" xr:uid="{00000000-0005-0000-0000-0000D0150000}"/>
    <cellStyle name="Normal 14 4 5" xfId="4489" xr:uid="{00000000-0005-0000-0000-0000D1150000}"/>
    <cellStyle name="Normal 14 4 5 2" xfId="16526" xr:uid="{00000000-0005-0000-0000-0000D2150000}"/>
    <cellStyle name="Normal 14 4 50" xfId="4490" xr:uid="{00000000-0005-0000-0000-0000D3150000}"/>
    <cellStyle name="Normal 14 4 50 2" xfId="16527" xr:uid="{00000000-0005-0000-0000-0000D4150000}"/>
    <cellStyle name="Normal 14 4 51" xfId="4491" xr:uid="{00000000-0005-0000-0000-0000D5150000}"/>
    <cellStyle name="Normal 14 4 51 2" xfId="16528" xr:uid="{00000000-0005-0000-0000-0000D6150000}"/>
    <cellStyle name="Normal 14 4 52" xfId="4492" xr:uid="{00000000-0005-0000-0000-0000D7150000}"/>
    <cellStyle name="Normal 14 4 52 2" xfId="16529" xr:uid="{00000000-0005-0000-0000-0000D8150000}"/>
    <cellStyle name="Normal 14 4 53" xfId="4493" xr:uid="{00000000-0005-0000-0000-0000D9150000}"/>
    <cellStyle name="Normal 14 4 53 2" xfId="16530" xr:uid="{00000000-0005-0000-0000-0000DA150000}"/>
    <cellStyle name="Normal 14 4 54" xfId="4494" xr:uid="{00000000-0005-0000-0000-0000DB150000}"/>
    <cellStyle name="Normal 14 4 54 2" xfId="16531" xr:uid="{00000000-0005-0000-0000-0000DC150000}"/>
    <cellStyle name="Normal 14 4 55" xfId="4495" xr:uid="{00000000-0005-0000-0000-0000DD150000}"/>
    <cellStyle name="Normal 14 4 55 2" xfId="16532" xr:uid="{00000000-0005-0000-0000-0000DE150000}"/>
    <cellStyle name="Normal 14 4 56" xfId="4496" xr:uid="{00000000-0005-0000-0000-0000DF150000}"/>
    <cellStyle name="Normal 14 4 56 2" xfId="16533" xr:uid="{00000000-0005-0000-0000-0000E0150000}"/>
    <cellStyle name="Normal 14 4 57" xfId="4497" xr:uid="{00000000-0005-0000-0000-0000E1150000}"/>
    <cellStyle name="Normal 14 4 57 2" xfId="16534" xr:uid="{00000000-0005-0000-0000-0000E2150000}"/>
    <cellStyle name="Normal 14 4 58" xfId="4498" xr:uid="{00000000-0005-0000-0000-0000E3150000}"/>
    <cellStyle name="Normal 14 4 58 2" xfId="16535" xr:uid="{00000000-0005-0000-0000-0000E4150000}"/>
    <cellStyle name="Normal 14 4 59" xfId="4499" xr:uid="{00000000-0005-0000-0000-0000E5150000}"/>
    <cellStyle name="Normal 14 4 59 2" xfId="16536" xr:uid="{00000000-0005-0000-0000-0000E6150000}"/>
    <cellStyle name="Normal 14 4 6" xfId="4500" xr:uid="{00000000-0005-0000-0000-0000E7150000}"/>
    <cellStyle name="Normal 14 4 6 2" xfId="16537" xr:uid="{00000000-0005-0000-0000-0000E8150000}"/>
    <cellStyle name="Normal 14 4 60" xfId="4501" xr:uid="{00000000-0005-0000-0000-0000E9150000}"/>
    <cellStyle name="Normal 14 4 60 2" xfId="16538" xr:uid="{00000000-0005-0000-0000-0000EA150000}"/>
    <cellStyle name="Normal 14 4 61" xfId="4502" xr:uid="{00000000-0005-0000-0000-0000EB150000}"/>
    <cellStyle name="Normal 14 4 61 2" xfId="16539" xr:uid="{00000000-0005-0000-0000-0000EC150000}"/>
    <cellStyle name="Normal 14 4 62" xfId="4503" xr:uid="{00000000-0005-0000-0000-0000ED150000}"/>
    <cellStyle name="Normal 14 4 62 2" xfId="16540" xr:uid="{00000000-0005-0000-0000-0000EE150000}"/>
    <cellStyle name="Normal 14 4 63" xfId="4504" xr:uid="{00000000-0005-0000-0000-0000EF150000}"/>
    <cellStyle name="Normal 14 4 63 2" xfId="16541" xr:uid="{00000000-0005-0000-0000-0000F0150000}"/>
    <cellStyle name="Normal 14 4 64" xfId="4505" xr:uid="{00000000-0005-0000-0000-0000F1150000}"/>
    <cellStyle name="Normal 14 4 64 2" xfId="16542" xr:uid="{00000000-0005-0000-0000-0000F2150000}"/>
    <cellStyle name="Normal 14 4 65" xfId="4506" xr:uid="{00000000-0005-0000-0000-0000F3150000}"/>
    <cellStyle name="Normal 14 4 65 2" xfId="16543" xr:uid="{00000000-0005-0000-0000-0000F4150000}"/>
    <cellStyle name="Normal 14 4 66" xfId="4507" xr:uid="{00000000-0005-0000-0000-0000F5150000}"/>
    <cellStyle name="Normal 14 4 66 2" xfId="16544" xr:uid="{00000000-0005-0000-0000-0000F6150000}"/>
    <cellStyle name="Normal 14 4 67" xfId="4508" xr:uid="{00000000-0005-0000-0000-0000F7150000}"/>
    <cellStyle name="Normal 14 4 67 2" xfId="16545" xr:uid="{00000000-0005-0000-0000-0000F8150000}"/>
    <cellStyle name="Normal 14 4 68" xfId="4509" xr:uid="{00000000-0005-0000-0000-0000F9150000}"/>
    <cellStyle name="Normal 14 4 68 2" xfId="16546" xr:uid="{00000000-0005-0000-0000-0000FA150000}"/>
    <cellStyle name="Normal 14 4 69" xfId="4510" xr:uid="{00000000-0005-0000-0000-0000FB150000}"/>
    <cellStyle name="Normal 14 4 69 2" xfId="16547" xr:uid="{00000000-0005-0000-0000-0000FC150000}"/>
    <cellStyle name="Normal 14 4 7" xfId="4511" xr:uid="{00000000-0005-0000-0000-0000FD150000}"/>
    <cellStyle name="Normal 14 4 7 2" xfId="16548" xr:uid="{00000000-0005-0000-0000-0000FE150000}"/>
    <cellStyle name="Normal 14 4 70" xfId="4512" xr:uid="{00000000-0005-0000-0000-0000FF150000}"/>
    <cellStyle name="Normal 14 4 70 2" xfId="16549" xr:uid="{00000000-0005-0000-0000-000000160000}"/>
    <cellStyle name="Normal 14 4 71" xfId="4513" xr:uid="{00000000-0005-0000-0000-000001160000}"/>
    <cellStyle name="Normal 14 4 71 2" xfId="16550" xr:uid="{00000000-0005-0000-0000-000002160000}"/>
    <cellStyle name="Normal 14 4 72" xfId="4514" xr:uid="{00000000-0005-0000-0000-000003160000}"/>
    <cellStyle name="Normal 14 4 72 2" xfId="16551" xr:uid="{00000000-0005-0000-0000-000004160000}"/>
    <cellStyle name="Normal 14 4 73" xfId="4515" xr:uid="{00000000-0005-0000-0000-000005160000}"/>
    <cellStyle name="Normal 14 4 73 2" xfId="16552" xr:uid="{00000000-0005-0000-0000-000006160000}"/>
    <cellStyle name="Normal 14 4 74" xfId="4516" xr:uid="{00000000-0005-0000-0000-000007160000}"/>
    <cellStyle name="Normal 14 4 74 2" xfId="16553" xr:uid="{00000000-0005-0000-0000-000008160000}"/>
    <cellStyle name="Normal 14 4 75" xfId="4517" xr:uid="{00000000-0005-0000-0000-000009160000}"/>
    <cellStyle name="Normal 14 4 75 2" xfId="16554" xr:uid="{00000000-0005-0000-0000-00000A160000}"/>
    <cellStyle name="Normal 14 4 76" xfId="4518" xr:uid="{00000000-0005-0000-0000-00000B160000}"/>
    <cellStyle name="Normal 14 4 76 2" xfId="16555" xr:uid="{00000000-0005-0000-0000-00000C160000}"/>
    <cellStyle name="Normal 14 4 77" xfId="4519" xr:uid="{00000000-0005-0000-0000-00000D160000}"/>
    <cellStyle name="Normal 14 4 77 2" xfId="16556" xr:uid="{00000000-0005-0000-0000-00000E160000}"/>
    <cellStyle name="Normal 14 4 78" xfId="4520" xr:uid="{00000000-0005-0000-0000-00000F160000}"/>
    <cellStyle name="Normal 14 4 78 2" xfId="16557" xr:uid="{00000000-0005-0000-0000-000010160000}"/>
    <cellStyle name="Normal 14 4 79" xfId="4521" xr:uid="{00000000-0005-0000-0000-000011160000}"/>
    <cellStyle name="Normal 14 4 79 2" xfId="16558" xr:uid="{00000000-0005-0000-0000-000012160000}"/>
    <cellStyle name="Normal 14 4 8" xfId="4522" xr:uid="{00000000-0005-0000-0000-000013160000}"/>
    <cellStyle name="Normal 14 4 8 2" xfId="16559" xr:uid="{00000000-0005-0000-0000-000014160000}"/>
    <cellStyle name="Normal 14 4 80" xfId="16482" xr:uid="{00000000-0005-0000-0000-000015160000}"/>
    <cellStyle name="Normal 14 4 9" xfId="4523" xr:uid="{00000000-0005-0000-0000-000016160000}"/>
    <cellStyle name="Normal 14 4 9 2" xfId="16560" xr:uid="{00000000-0005-0000-0000-000017160000}"/>
    <cellStyle name="Normal 14 40" xfId="4524" xr:uid="{00000000-0005-0000-0000-000018160000}"/>
    <cellStyle name="Normal 14 40 2" xfId="16561" xr:uid="{00000000-0005-0000-0000-000019160000}"/>
    <cellStyle name="Normal 14 41" xfId="4525" xr:uid="{00000000-0005-0000-0000-00001A160000}"/>
    <cellStyle name="Normal 14 41 2" xfId="16562" xr:uid="{00000000-0005-0000-0000-00001B160000}"/>
    <cellStyle name="Normal 14 42" xfId="4526" xr:uid="{00000000-0005-0000-0000-00001C160000}"/>
    <cellStyle name="Normal 14 42 2" xfId="16563" xr:uid="{00000000-0005-0000-0000-00001D160000}"/>
    <cellStyle name="Normal 14 43" xfId="4527" xr:uid="{00000000-0005-0000-0000-00001E160000}"/>
    <cellStyle name="Normal 14 43 2" xfId="16564" xr:uid="{00000000-0005-0000-0000-00001F160000}"/>
    <cellStyle name="Normal 14 44" xfId="4528" xr:uid="{00000000-0005-0000-0000-000020160000}"/>
    <cellStyle name="Normal 14 44 2" xfId="16565" xr:uid="{00000000-0005-0000-0000-000021160000}"/>
    <cellStyle name="Normal 14 45" xfId="4529" xr:uid="{00000000-0005-0000-0000-000022160000}"/>
    <cellStyle name="Normal 14 45 2" xfId="16566" xr:uid="{00000000-0005-0000-0000-000023160000}"/>
    <cellStyle name="Normal 14 46" xfId="4530" xr:uid="{00000000-0005-0000-0000-000024160000}"/>
    <cellStyle name="Normal 14 46 2" xfId="16567" xr:uid="{00000000-0005-0000-0000-000025160000}"/>
    <cellStyle name="Normal 14 47" xfId="4531" xr:uid="{00000000-0005-0000-0000-000026160000}"/>
    <cellStyle name="Normal 14 47 2" xfId="16568" xr:uid="{00000000-0005-0000-0000-000027160000}"/>
    <cellStyle name="Normal 14 48" xfId="4532" xr:uid="{00000000-0005-0000-0000-000028160000}"/>
    <cellStyle name="Normal 14 48 2" xfId="16569" xr:uid="{00000000-0005-0000-0000-000029160000}"/>
    <cellStyle name="Normal 14 49" xfId="4533" xr:uid="{00000000-0005-0000-0000-00002A160000}"/>
    <cellStyle name="Normal 14 49 2" xfId="16570" xr:uid="{00000000-0005-0000-0000-00002B160000}"/>
    <cellStyle name="Normal 14 5" xfId="4534" xr:uid="{00000000-0005-0000-0000-00002C160000}"/>
    <cellStyle name="Normal 14 5 2" xfId="16571" xr:uid="{00000000-0005-0000-0000-00002D160000}"/>
    <cellStyle name="Normal 14 50" xfId="4535" xr:uid="{00000000-0005-0000-0000-00002E160000}"/>
    <cellStyle name="Normal 14 50 2" xfId="16572" xr:uid="{00000000-0005-0000-0000-00002F160000}"/>
    <cellStyle name="Normal 14 51" xfId="4536" xr:uid="{00000000-0005-0000-0000-000030160000}"/>
    <cellStyle name="Normal 14 51 2" xfId="16573" xr:uid="{00000000-0005-0000-0000-000031160000}"/>
    <cellStyle name="Normal 14 52" xfId="4537" xr:uid="{00000000-0005-0000-0000-000032160000}"/>
    <cellStyle name="Normal 14 52 2" xfId="16574" xr:uid="{00000000-0005-0000-0000-000033160000}"/>
    <cellStyle name="Normal 14 53" xfId="4538" xr:uid="{00000000-0005-0000-0000-000034160000}"/>
    <cellStyle name="Normal 14 53 2" xfId="16575" xr:uid="{00000000-0005-0000-0000-000035160000}"/>
    <cellStyle name="Normal 14 54" xfId="4539" xr:uid="{00000000-0005-0000-0000-000036160000}"/>
    <cellStyle name="Normal 14 54 2" xfId="16576" xr:uid="{00000000-0005-0000-0000-000037160000}"/>
    <cellStyle name="Normal 14 55" xfId="4540" xr:uid="{00000000-0005-0000-0000-000038160000}"/>
    <cellStyle name="Normal 14 55 2" xfId="16577" xr:uid="{00000000-0005-0000-0000-000039160000}"/>
    <cellStyle name="Normal 14 56" xfId="4541" xr:uid="{00000000-0005-0000-0000-00003A160000}"/>
    <cellStyle name="Normal 14 56 2" xfId="16578" xr:uid="{00000000-0005-0000-0000-00003B160000}"/>
    <cellStyle name="Normal 14 57" xfId="4542" xr:uid="{00000000-0005-0000-0000-00003C160000}"/>
    <cellStyle name="Normal 14 57 2" xfId="16579" xr:uid="{00000000-0005-0000-0000-00003D160000}"/>
    <cellStyle name="Normal 14 58" xfId="4543" xr:uid="{00000000-0005-0000-0000-00003E160000}"/>
    <cellStyle name="Normal 14 58 2" xfId="16580" xr:uid="{00000000-0005-0000-0000-00003F160000}"/>
    <cellStyle name="Normal 14 59" xfId="4544" xr:uid="{00000000-0005-0000-0000-000040160000}"/>
    <cellStyle name="Normal 14 59 2" xfId="16581" xr:uid="{00000000-0005-0000-0000-000041160000}"/>
    <cellStyle name="Normal 14 6" xfId="4545" xr:uid="{00000000-0005-0000-0000-000042160000}"/>
    <cellStyle name="Normal 14 6 2" xfId="16582" xr:uid="{00000000-0005-0000-0000-000043160000}"/>
    <cellStyle name="Normal 14 60" xfId="4546" xr:uid="{00000000-0005-0000-0000-000044160000}"/>
    <cellStyle name="Normal 14 60 2" xfId="16583" xr:uid="{00000000-0005-0000-0000-000045160000}"/>
    <cellStyle name="Normal 14 61" xfId="4547" xr:uid="{00000000-0005-0000-0000-000046160000}"/>
    <cellStyle name="Normal 14 61 2" xfId="16584" xr:uid="{00000000-0005-0000-0000-000047160000}"/>
    <cellStyle name="Normal 14 62" xfId="4548" xr:uid="{00000000-0005-0000-0000-000048160000}"/>
    <cellStyle name="Normal 14 62 2" xfId="16585" xr:uid="{00000000-0005-0000-0000-000049160000}"/>
    <cellStyle name="Normal 14 63" xfId="4549" xr:uid="{00000000-0005-0000-0000-00004A160000}"/>
    <cellStyle name="Normal 14 63 2" xfId="16586" xr:uid="{00000000-0005-0000-0000-00004B160000}"/>
    <cellStyle name="Normal 14 64" xfId="4550" xr:uid="{00000000-0005-0000-0000-00004C160000}"/>
    <cellStyle name="Normal 14 64 2" xfId="16587" xr:uid="{00000000-0005-0000-0000-00004D160000}"/>
    <cellStyle name="Normal 14 65" xfId="4551" xr:uid="{00000000-0005-0000-0000-00004E160000}"/>
    <cellStyle name="Normal 14 65 2" xfId="16588" xr:uid="{00000000-0005-0000-0000-00004F160000}"/>
    <cellStyle name="Normal 14 66" xfId="4552" xr:uid="{00000000-0005-0000-0000-000050160000}"/>
    <cellStyle name="Normal 14 66 2" xfId="16589" xr:uid="{00000000-0005-0000-0000-000051160000}"/>
    <cellStyle name="Normal 14 67" xfId="4553" xr:uid="{00000000-0005-0000-0000-000052160000}"/>
    <cellStyle name="Normal 14 67 2" xfId="16590" xr:uid="{00000000-0005-0000-0000-000053160000}"/>
    <cellStyle name="Normal 14 68" xfId="4554" xr:uid="{00000000-0005-0000-0000-000054160000}"/>
    <cellStyle name="Normal 14 68 2" xfId="16591" xr:uid="{00000000-0005-0000-0000-000055160000}"/>
    <cellStyle name="Normal 14 69" xfId="4555" xr:uid="{00000000-0005-0000-0000-000056160000}"/>
    <cellStyle name="Normal 14 69 2" xfId="16592" xr:uid="{00000000-0005-0000-0000-000057160000}"/>
    <cellStyle name="Normal 14 7" xfId="4556" xr:uid="{00000000-0005-0000-0000-000058160000}"/>
    <cellStyle name="Normal 14 7 2" xfId="16593" xr:uid="{00000000-0005-0000-0000-000059160000}"/>
    <cellStyle name="Normal 14 70" xfId="4557" xr:uid="{00000000-0005-0000-0000-00005A160000}"/>
    <cellStyle name="Normal 14 70 2" xfId="16594" xr:uid="{00000000-0005-0000-0000-00005B160000}"/>
    <cellStyle name="Normal 14 71" xfId="4558" xr:uid="{00000000-0005-0000-0000-00005C160000}"/>
    <cellStyle name="Normal 14 71 2" xfId="16595" xr:uid="{00000000-0005-0000-0000-00005D160000}"/>
    <cellStyle name="Normal 14 72" xfId="4559" xr:uid="{00000000-0005-0000-0000-00005E160000}"/>
    <cellStyle name="Normal 14 72 2" xfId="16596" xr:uid="{00000000-0005-0000-0000-00005F160000}"/>
    <cellStyle name="Normal 14 73" xfId="4560" xr:uid="{00000000-0005-0000-0000-000060160000}"/>
    <cellStyle name="Normal 14 73 2" xfId="16597" xr:uid="{00000000-0005-0000-0000-000061160000}"/>
    <cellStyle name="Normal 14 74" xfId="4561" xr:uid="{00000000-0005-0000-0000-000062160000}"/>
    <cellStyle name="Normal 14 74 2" xfId="16598" xr:uid="{00000000-0005-0000-0000-000063160000}"/>
    <cellStyle name="Normal 14 75" xfId="4562" xr:uid="{00000000-0005-0000-0000-000064160000}"/>
    <cellStyle name="Normal 14 75 2" xfId="16599" xr:uid="{00000000-0005-0000-0000-000065160000}"/>
    <cellStyle name="Normal 14 76" xfId="4563" xr:uid="{00000000-0005-0000-0000-000066160000}"/>
    <cellStyle name="Normal 14 76 2" xfId="16600" xr:uid="{00000000-0005-0000-0000-000067160000}"/>
    <cellStyle name="Normal 14 77" xfId="4564" xr:uid="{00000000-0005-0000-0000-000068160000}"/>
    <cellStyle name="Normal 14 77 2" xfId="16601" xr:uid="{00000000-0005-0000-0000-000069160000}"/>
    <cellStyle name="Normal 14 78" xfId="4565" xr:uid="{00000000-0005-0000-0000-00006A160000}"/>
    <cellStyle name="Normal 14 78 2" xfId="16602" xr:uid="{00000000-0005-0000-0000-00006B160000}"/>
    <cellStyle name="Normal 14 79" xfId="4566" xr:uid="{00000000-0005-0000-0000-00006C160000}"/>
    <cellStyle name="Normal 14 79 2" xfId="16603" xr:uid="{00000000-0005-0000-0000-00006D160000}"/>
    <cellStyle name="Normal 14 8" xfId="4567" xr:uid="{00000000-0005-0000-0000-00006E160000}"/>
    <cellStyle name="Normal 14 8 2" xfId="16604" xr:uid="{00000000-0005-0000-0000-00006F160000}"/>
    <cellStyle name="Normal 14 80" xfId="4568" xr:uid="{00000000-0005-0000-0000-000070160000}"/>
    <cellStyle name="Normal 14 80 2" xfId="16605" xr:uid="{00000000-0005-0000-0000-000071160000}"/>
    <cellStyle name="Normal 14 81" xfId="4569" xr:uid="{00000000-0005-0000-0000-000072160000}"/>
    <cellStyle name="Normal 14 81 2" xfId="16606" xr:uid="{00000000-0005-0000-0000-000073160000}"/>
    <cellStyle name="Normal 14 82" xfId="4570" xr:uid="{00000000-0005-0000-0000-000074160000}"/>
    <cellStyle name="Normal 14 82 2" xfId="16607" xr:uid="{00000000-0005-0000-0000-000075160000}"/>
    <cellStyle name="Normal 14 83" xfId="15025" xr:uid="{00000000-0005-0000-0000-000076160000}"/>
    <cellStyle name="Normal 14 9" xfId="4571" xr:uid="{00000000-0005-0000-0000-000077160000}"/>
    <cellStyle name="Normal 14 9 2" xfId="16608" xr:uid="{00000000-0005-0000-0000-000078160000}"/>
    <cellStyle name="Normal 140" xfId="265" xr:uid="{00000000-0005-0000-0000-000079160000}"/>
    <cellStyle name="Normal 140 10" xfId="1187" xr:uid="{00000000-0005-0000-0000-00007A160000}"/>
    <cellStyle name="Normal 140 11" xfId="1330" xr:uid="{00000000-0005-0000-0000-00007B160000}"/>
    <cellStyle name="Normal 140 12" xfId="481" xr:uid="{00000000-0005-0000-0000-00007C160000}"/>
    <cellStyle name="Normal 140 2" xfId="578" xr:uid="{00000000-0005-0000-0000-00007D160000}"/>
    <cellStyle name="Normal 140 3" xfId="814" xr:uid="{00000000-0005-0000-0000-00007E160000}"/>
    <cellStyle name="Normal 140 4" xfId="694" xr:uid="{00000000-0005-0000-0000-00007F160000}"/>
    <cellStyle name="Normal 140 5" xfId="997" xr:uid="{00000000-0005-0000-0000-000080160000}"/>
    <cellStyle name="Normal 140 6" xfId="1216" xr:uid="{00000000-0005-0000-0000-000081160000}"/>
    <cellStyle name="Normal 140 7" xfId="1171" xr:uid="{00000000-0005-0000-0000-000082160000}"/>
    <cellStyle name="Normal 140 8" xfId="1191" xr:uid="{00000000-0005-0000-0000-000083160000}"/>
    <cellStyle name="Normal 140 9" xfId="1183" xr:uid="{00000000-0005-0000-0000-000084160000}"/>
    <cellStyle name="Normal 141" xfId="266" xr:uid="{00000000-0005-0000-0000-000085160000}"/>
    <cellStyle name="Normal 141 10" xfId="1485" xr:uid="{00000000-0005-0000-0000-000086160000}"/>
    <cellStyle name="Normal 141 11" xfId="1494" xr:uid="{00000000-0005-0000-0000-000087160000}"/>
    <cellStyle name="Normal 141 12" xfId="482" xr:uid="{00000000-0005-0000-0000-000088160000}"/>
    <cellStyle name="Normal 141 2" xfId="579" xr:uid="{00000000-0005-0000-0000-000089160000}"/>
    <cellStyle name="Normal 141 3" xfId="815" xr:uid="{00000000-0005-0000-0000-00008A160000}"/>
    <cellStyle name="Normal 141 4" xfId="695" xr:uid="{00000000-0005-0000-0000-00008B160000}"/>
    <cellStyle name="Normal 141 5" xfId="998" xr:uid="{00000000-0005-0000-0000-00008C160000}"/>
    <cellStyle name="Normal 141 6" xfId="1312" xr:uid="{00000000-0005-0000-0000-00008D160000}"/>
    <cellStyle name="Normal 141 7" xfId="1377" xr:uid="{00000000-0005-0000-0000-00008E160000}"/>
    <cellStyle name="Normal 141 8" xfId="1433" xr:uid="{00000000-0005-0000-0000-00008F160000}"/>
    <cellStyle name="Normal 141 9" xfId="1462" xr:uid="{00000000-0005-0000-0000-000090160000}"/>
    <cellStyle name="Normal 142" xfId="267" xr:uid="{00000000-0005-0000-0000-000091160000}"/>
    <cellStyle name="Normal 142 10" xfId="1455" xr:uid="{00000000-0005-0000-0000-000092160000}"/>
    <cellStyle name="Normal 142 11" xfId="1481" xr:uid="{00000000-0005-0000-0000-000093160000}"/>
    <cellStyle name="Normal 142 12" xfId="483" xr:uid="{00000000-0005-0000-0000-000094160000}"/>
    <cellStyle name="Normal 142 2" xfId="580" xr:uid="{00000000-0005-0000-0000-000095160000}"/>
    <cellStyle name="Normal 142 3" xfId="816" xr:uid="{00000000-0005-0000-0000-000096160000}"/>
    <cellStyle name="Normal 142 4" xfId="696" xr:uid="{00000000-0005-0000-0000-000097160000}"/>
    <cellStyle name="Normal 142 5" xfId="999" xr:uid="{00000000-0005-0000-0000-000098160000}"/>
    <cellStyle name="Normal 142 6" xfId="867" xr:uid="{00000000-0005-0000-0000-000099160000}"/>
    <cellStyle name="Normal 142 7" xfId="1288" xr:uid="{00000000-0005-0000-0000-00009A160000}"/>
    <cellStyle name="Normal 142 8" xfId="1355" xr:uid="{00000000-0005-0000-0000-00009B160000}"/>
    <cellStyle name="Normal 142 9" xfId="1417" xr:uid="{00000000-0005-0000-0000-00009C160000}"/>
    <cellStyle name="Normal 143" xfId="484" xr:uid="{00000000-0005-0000-0000-00009D160000}"/>
    <cellStyle name="Normal 143 2" xfId="581" xr:uid="{00000000-0005-0000-0000-00009E160000}"/>
    <cellStyle name="Normal 143 3" xfId="1000" xr:uid="{00000000-0005-0000-0000-00009F160000}"/>
    <cellStyle name="Normal 143 4" xfId="1215" xr:uid="{00000000-0005-0000-0000-0000A0160000}"/>
    <cellStyle name="Normal 143 5" xfId="979" xr:uid="{00000000-0005-0000-0000-0000A1160000}"/>
    <cellStyle name="Normal 143 6" xfId="871" xr:uid="{00000000-0005-0000-0000-0000A2160000}"/>
    <cellStyle name="Normal 143 7" xfId="954" xr:uid="{00000000-0005-0000-0000-0000A3160000}"/>
    <cellStyle name="Normal 143 8" xfId="1239" xr:uid="{00000000-0005-0000-0000-0000A4160000}"/>
    <cellStyle name="Normal 143 9" xfId="822" xr:uid="{00000000-0005-0000-0000-0000A5160000}"/>
    <cellStyle name="Normal 144" xfId="485" xr:uid="{00000000-0005-0000-0000-0000A6160000}"/>
    <cellStyle name="Normal 144 2" xfId="582" xr:uid="{00000000-0005-0000-0000-0000A7160000}"/>
    <cellStyle name="Normal 144 3" xfId="1001" xr:uid="{00000000-0005-0000-0000-0000A8160000}"/>
    <cellStyle name="Normal 144 4" xfId="1311" xr:uid="{00000000-0005-0000-0000-0000A9160000}"/>
    <cellStyle name="Normal 144 5" xfId="1376" xr:uid="{00000000-0005-0000-0000-0000AA160000}"/>
    <cellStyle name="Normal 144 6" xfId="1432" xr:uid="{00000000-0005-0000-0000-0000AB160000}"/>
    <cellStyle name="Normal 144 7" xfId="1461" xr:uid="{00000000-0005-0000-0000-0000AC160000}"/>
    <cellStyle name="Normal 144 8" xfId="1484" xr:uid="{00000000-0005-0000-0000-0000AD160000}"/>
    <cellStyle name="Normal 144 9" xfId="1493" xr:uid="{00000000-0005-0000-0000-0000AE160000}"/>
    <cellStyle name="Normal 145" xfId="486" xr:uid="{00000000-0005-0000-0000-0000AF160000}"/>
    <cellStyle name="Normal 145 2" xfId="583" xr:uid="{00000000-0005-0000-0000-0000B0160000}"/>
    <cellStyle name="Normal 145 3" xfId="1002" xr:uid="{00000000-0005-0000-0000-0000B1160000}"/>
    <cellStyle name="Normal 145 4" xfId="866" xr:uid="{00000000-0005-0000-0000-0000B2160000}"/>
    <cellStyle name="Normal 145 5" xfId="956" xr:uid="{00000000-0005-0000-0000-0000B3160000}"/>
    <cellStyle name="Normal 145 6" xfId="851" xr:uid="{00000000-0005-0000-0000-0000B4160000}"/>
    <cellStyle name="Normal 145 7" xfId="962" xr:uid="{00000000-0005-0000-0000-0000B5160000}"/>
    <cellStyle name="Normal 145 8" xfId="875" xr:uid="{00000000-0005-0000-0000-0000B6160000}"/>
    <cellStyle name="Normal 145 9" xfId="953" xr:uid="{00000000-0005-0000-0000-0000B7160000}"/>
    <cellStyle name="Normal 146" xfId="487" xr:uid="{00000000-0005-0000-0000-0000B8160000}"/>
    <cellStyle name="Normal 146 2" xfId="584" xr:uid="{00000000-0005-0000-0000-0000B9160000}"/>
    <cellStyle name="Normal 146 3" xfId="1003" xr:uid="{00000000-0005-0000-0000-0000BA160000}"/>
    <cellStyle name="Normal 146 4" xfId="1163" xr:uid="{00000000-0005-0000-0000-0000BB160000}"/>
    <cellStyle name="Normal 146 5" xfId="1195" xr:uid="{00000000-0005-0000-0000-0000BC160000}"/>
    <cellStyle name="Normal 146 6" xfId="1181" xr:uid="{00000000-0005-0000-0000-0000BD160000}"/>
    <cellStyle name="Normal 146 7" xfId="1088" xr:uid="{00000000-0005-0000-0000-0000BE160000}"/>
    <cellStyle name="Normal 146 8" xfId="1321" xr:uid="{00000000-0005-0000-0000-0000BF160000}"/>
    <cellStyle name="Normal 146 9" xfId="1386" xr:uid="{00000000-0005-0000-0000-0000C0160000}"/>
    <cellStyle name="Normal 147" xfId="488" xr:uid="{00000000-0005-0000-0000-0000C1160000}"/>
    <cellStyle name="Normal 147 2" xfId="585" xr:uid="{00000000-0005-0000-0000-0000C2160000}"/>
    <cellStyle name="Normal 147 3" xfId="1004" xr:uid="{00000000-0005-0000-0000-0000C3160000}"/>
    <cellStyle name="Normal 147 4" xfId="865" xr:uid="{00000000-0005-0000-0000-0000C4160000}"/>
    <cellStyle name="Normal 147 5" xfId="1289" xr:uid="{00000000-0005-0000-0000-0000C5160000}"/>
    <cellStyle name="Normal 147 6" xfId="1356" xr:uid="{00000000-0005-0000-0000-0000C6160000}"/>
    <cellStyle name="Normal 147 7" xfId="1418" xr:uid="{00000000-0005-0000-0000-0000C7160000}"/>
    <cellStyle name="Normal 147 8" xfId="1456" xr:uid="{00000000-0005-0000-0000-0000C8160000}"/>
    <cellStyle name="Normal 147 9" xfId="1482" xr:uid="{00000000-0005-0000-0000-0000C9160000}"/>
    <cellStyle name="Normal 148" xfId="489" xr:uid="{00000000-0005-0000-0000-0000CA160000}"/>
    <cellStyle name="Normal 148 2" xfId="586" xr:uid="{00000000-0005-0000-0000-0000CB160000}"/>
    <cellStyle name="Normal 148 3" xfId="1005" xr:uid="{00000000-0005-0000-0000-0000CC160000}"/>
    <cellStyle name="Normal 148 4" xfId="1162" xr:uid="{00000000-0005-0000-0000-0000CD160000}"/>
    <cellStyle name="Normal 148 5" xfId="1092" xr:uid="{00000000-0005-0000-0000-0000CE160000}"/>
    <cellStyle name="Normal 148 6" xfId="900" xr:uid="{00000000-0005-0000-0000-0000CF160000}"/>
    <cellStyle name="Normal 148 7" xfId="1270" xr:uid="{00000000-0005-0000-0000-0000D0160000}"/>
    <cellStyle name="Normal 148 8" xfId="1339" xr:uid="{00000000-0005-0000-0000-0000D1160000}"/>
    <cellStyle name="Normal 148 9" xfId="1402" xr:uid="{00000000-0005-0000-0000-0000D2160000}"/>
    <cellStyle name="Normal 149" xfId="490" xr:uid="{00000000-0005-0000-0000-0000D3160000}"/>
    <cellStyle name="Normal 149 2" xfId="587" xr:uid="{00000000-0005-0000-0000-0000D4160000}"/>
    <cellStyle name="Normal 149 3" xfId="1006" xr:uid="{00000000-0005-0000-0000-0000D5160000}"/>
    <cellStyle name="Normal 149 4" xfId="1161" xr:uid="{00000000-0005-0000-0000-0000D6160000}"/>
    <cellStyle name="Normal 149 5" xfId="1093" xr:uid="{00000000-0005-0000-0000-0000D7160000}"/>
    <cellStyle name="Normal 149 6" xfId="899" xr:uid="{00000000-0005-0000-0000-0000D8160000}"/>
    <cellStyle name="Normal 149 7" xfId="1271" xr:uid="{00000000-0005-0000-0000-0000D9160000}"/>
    <cellStyle name="Normal 149 8" xfId="1340" xr:uid="{00000000-0005-0000-0000-0000DA160000}"/>
    <cellStyle name="Normal 149 9" xfId="1403" xr:uid="{00000000-0005-0000-0000-0000DB160000}"/>
    <cellStyle name="Normal 15" xfId="58" xr:uid="{00000000-0005-0000-0000-0000DC160000}"/>
    <cellStyle name="Normal 15 10" xfId="4572" xr:uid="{00000000-0005-0000-0000-0000DD160000}"/>
    <cellStyle name="Normal 15 10 2" xfId="16609" xr:uid="{00000000-0005-0000-0000-0000DE160000}"/>
    <cellStyle name="Normal 15 11" xfId="4573" xr:uid="{00000000-0005-0000-0000-0000DF160000}"/>
    <cellStyle name="Normal 15 11 2" xfId="16610" xr:uid="{00000000-0005-0000-0000-0000E0160000}"/>
    <cellStyle name="Normal 15 12" xfId="4574" xr:uid="{00000000-0005-0000-0000-0000E1160000}"/>
    <cellStyle name="Normal 15 12 2" xfId="16611" xr:uid="{00000000-0005-0000-0000-0000E2160000}"/>
    <cellStyle name="Normal 15 13" xfId="4575" xr:uid="{00000000-0005-0000-0000-0000E3160000}"/>
    <cellStyle name="Normal 15 13 2" xfId="16612" xr:uid="{00000000-0005-0000-0000-0000E4160000}"/>
    <cellStyle name="Normal 15 14" xfId="4576" xr:uid="{00000000-0005-0000-0000-0000E5160000}"/>
    <cellStyle name="Normal 15 14 2" xfId="16613" xr:uid="{00000000-0005-0000-0000-0000E6160000}"/>
    <cellStyle name="Normal 15 15" xfId="4577" xr:uid="{00000000-0005-0000-0000-0000E7160000}"/>
    <cellStyle name="Normal 15 15 2" xfId="16614" xr:uid="{00000000-0005-0000-0000-0000E8160000}"/>
    <cellStyle name="Normal 15 16" xfId="4578" xr:uid="{00000000-0005-0000-0000-0000E9160000}"/>
    <cellStyle name="Normal 15 16 2" xfId="16615" xr:uid="{00000000-0005-0000-0000-0000EA160000}"/>
    <cellStyle name="Normal 15 17" xfId="4579" xr:uid="{00000000-0005-0000-0000-0000EB160000}"/>
    <cellStyle name="Normal 15 17 2" xfId="16616" xr:uid="{00000000-0005-0000-0000-0000EC160000}"/>
    <cellStyle name="Normal 15 18" xfId="4580" xr:uid="{00000000-0005-0000-0000-0000ED160000}"/>
    <cellStyle name="Normal 15 18 2" xfId="16617" xr:uid="{00000000-0005-0000-0000-0000EE160000}"/>
    <cellStyle name="Normal 15 19" xfId="4581" xr:uid="{00000000-0005-0000-0000-0000EF160000}"/>
    <cellStyle name="Normal 15 19 2" xfId="16618" xr:uid="{00000000-0005-0000-0000-0000F0160000}"/>
    <cellStyle name="Normal 15 2" xfId="162" xr:uid="{00000000-0005-0000-0000-0000F1160000}"/>
    <cellStyle name="Normal 15 2 10" xfId="4583" xr:uid="{00000000-0005-0000-0000-0000F2160000}"/>
    <cellStyle name="Normal 15 2 10 2" xfId="16620" xr:uid="{00000000-0005-0000-0000-0000F3160000}"/>
    <cellStyle name="Normal 15 2 11" xfId="4584" xr:uid="{00000000-0005-0000-0000-0000F4160000}"/>
    <cellStyle name="Normal 15 2 11 2" xfId="16621" xr:uid="{00000000-0005-0000-0000-0000F5160000}"/>
    <cellStyle name="Normal 15 2 12" xfId="4585" xr:uid="{00000000-0005-0000-0000-0000F6160000}"/>
    <cellStyle name="Normal 15 2 12 2" xfId="16622" xr:uid="{00000000-0005-0000-0000-0000F7160000}"/>
    <cellStyle name="Normal 15 2 13" xfId="4586" xr:uid="{00000000-0005-0000-0000-0000F8160000}"/>
    <cellStyle name="Normal 15 2 13 2" xfId="16623" xr:uid="{00000000-0005-0000-0000-0000F9160000}"/>
    <cellStyle name="Normal 15 2 14" xfId="4587" xr:uid="{00000000-0005-0000-0000-0000FA160000}"/>
    <cellStyle name="Normal 15 2 14 2" xfId="16624" xr:uid="{00000000-0005-0000-0000-0000FB160000}"/>
    <cellStyle name="Normal 15 2 15" xfId="4588" xr:uid="{00000000-0005-0000-0000-0000FC160000}"/>
    <cellStyle name="Normal 15 2 15 2" xfId="16625" xr:uid="{00000000-0005-0000-0000-0000FD160000}"/>
    <cellStyle name="Normal 15 2 16" xfId="4589" xr:uid="{00000000-0005-0000-0000-0000FE160000}"/>
    <cellStyle name="Normal 15 2 16 2" xfId="16626" xr:uid="{00000000-0005-0000-0000-0000FF160000}"/>
    <cellStyle name="Normal 15 2 17" xfId="4590" xr:uid="{00000000-0005-0000-0000-000000170000}"/>
    <cellStyle name="Normal 15 2 17 2" xfId="16627" xr:uid="{00000000-0005-0000-0000-000001170000}"/>
    <cellStyle name="Normal 15 2 18" xfId="4591" xr:uid="{00000000-0005-0000-0000-000002170000}"/>
    <cellStyle name="Normal 15 2 18 2" xfId="16628" xr:uid="{00000000-0005-0000-0000-000003170000}"/>
    <cellStyle name="Normal 15 2 19" xfId="4592" xr:uid="{00000000-0005-0000-0000-000004170000}"/>
    <cellStyle name="Normal 15 2 19 2" xfId="16629" xr:uid="{00000000-0005-0000-0000-000005170000}"/>
    <cellStyle name="Normal 15 2 2" xfId="4593" xr:uid="{00000000-0005-0000-0000-000006170000}"/>
    <cellStyle name="Normal 15 2 2 2" xfId="16630" xr:uid="{00000000-0005-0000-0000-000007170000}"/>
    <cellStyle name="Normal 15 2 20" xfId="4594" xr:uid="{00000000-0005-0000-0000-000008170000}"/>
    <cellStyle name="Normal 15 2 20 2" xfId="16631" xr:uid="{00000000-0005-0000-0000-000009170000}"/>
    <cellStyle name="Normal 15 2 21" xfId="4595" xr:uid="{00000000-0005-0000-0000-00000A170000}"/>
    <cellStyle name="Normal 15 2 21 2" xfId="16632" xr:uid="{00000000-0005-0000-0000-00000B170000}"/>
    <cellStyle name="Normal 15 2 22" xfId="4596" xr:uid="{00000000-0005-0000-0000-00000C170000}"/>
    <cellStyle name="Normal 15 2 22 2" xfId="16633" xr:uid="{00000000-0005-0000-0000-00000D170000}"/>
    <cellStyle name="Normal 15 2 23" xfId="4597" xr:uid="{00000000-0005-0000-0000-00000E170000}"/>
    <cellStyle name="Normal 15 2 23 2" xfId="16634" xr:uid="{00000000-0005-0000-0000-00000F170000}"/>
    <cellStyle name="Normal 15 2 24" xfId="4598" xr:uid="{00000000-0005-0000-0000-000010170000}"/>
    <cellStyle name="Normal 15 2 24 2" xfId="16635" xr:uid="{00000000-0005-0000-0000-000011170000}"/>
    <cellStyle name="Normal 15 2 25" xfId="4599" xr:uid="{00000000-0005-0000-0000-000012170000}"/>
    <cellStyle name="Normal 15 2 25 2" xfId="16636" xr:uid="{00000000-0005-0000-0000-000013170000}"/>
    <cellStyle name="Normal 15 2 26" xfId="4600" xr:uid="{00000000-0005-0000-0000-000014170000}"/>
    <cellStyle name="Normal 15 2 26 2" xfId="16637" xr:uid="{00000000-0005-0000-0000-000015170000}"/>
    <cellStyle name="Normal 15 2 27" xfId="4601" xr:uid="{00000000-0005-0000-0000-000016170000}"/>
    <cellStyle name="Normal 15 2 27 2" xfId="16638" xr:uid="{00000000-0005-0000-0000-000017170000}"/>
    <cellStyle name="Normal 15 2 28" xfId="4602" xr:uid="{00000000-0005-0000-0000-000018170000}"/>
    <cellStyle name="Normal 15 2 28 2" xfId="16639" xr:uid="{00000000-0005-0000-0000-000019170000}"/>
    <cellStyle name="Normal 15 2 29" xfId="4603" xr:uid="{00000000-0005-0000-0000-00001A170000}"/>
    <cellStyle name="Normal 15 2 29 2" xfId="16640" xr:uid="{00000000-0005-0000-0000-00001B170000}"/>
    <cellStyle name="Normal 15 2 3" xfId="4604" xr:uid="{00000000-0005-0000-0000-00001C170000}"/>
    <cellStyle name="Normal 15 2 3 2" xfId="16641" xr:uid="{00000000-0005-0000-0000-00001D170000}"/>
    <cellStyle name="Normal 15 2 30" xfId="4605" xr:uid="{00000000-0005-0000-0000-00001E170000}"/>
    <cellStyle name="Normal 15 2 30 2" xfId="16642" xr:uid="{00000000-0005-0000-0000-00001F170000}"/>
    <cellStyle name="Normal 15 2 31" xfId="4606" xr:uid="{00000000-0005-0000-0000-000020170000}"/>
    <cellStyle name="Normal 15 2 31 2" xfId="16643" xr:uid="{00000000-0005-0000-0000-000021170000}"/>
    <cellStyle name="Normal 15 2 32" xfId="4607" xr:uid="{00000000-0005-0000-0000-000022170000}"/>
    <cellStyle name="Normal 15 2 32 2" xfId="16644" xr:uid="{00000000-0005-0000-0000-000023170000}"/>
    <cellStyle name="Normal 15 2 33" xfId="4608" xr:uid="{00000000-0005-0000-0000-000024170000}"/>
    <cellStyle name="Normal 15 2 33 2" xfId="16645" xr:uid="{00000000-0005-0000-0000-000025170000}"/>
    <cellStyle name="Normal 15 2 34" xfId="4609" xr:uid="{00000000-0005-0000-0000-000026170000}"/>
    <cellStyle name="Normal 15 2 34 2" xfId="16646" xr:uid="{00000000-0005-0000-0000-000027170000}"/>
    <cellStyle name="Normal 15 2 35" xfId="4610" xr:uid="{00000000-0005-0000-0000-000028170000}"/>
    <cellStyle name="Normal 15 2 35 2" xfId="16647" xr:uid="{00000000-0005-0000-0000-000029170000}"/>
    <cellStyle name="Normal 15 2 36" xfId="4611" xr:uid="{00000000-0005-0000-0000-00002A170000}"/>
    <cellStyle name="Normal 15 2 36 2" xfId="16648" xr:uid="{00000000-0005-0000-0000-00002B170000}"/>
    <cellStyle name="Normal 15 2 37" xfId="4612" xr:uid="{00000000-0005-0000-0000-00002C170000}"/>
    <cellStyle name="Normal 15 2 37 2" xfId="16649" xr:uid="{00000000-0005-0000-0000-00002D170000}"/>
    <cellStyle name="Normal 15 2 38" xfId="4613" xr:uid="{00000000-0005-0000-0000-00002E170000}"/>
    <cellStyle name="Normal 15 2 38 2" xfId="16650" xr:uid="{00000000-0005-0000-0000-00002F170000}"/>
    <cellStyle name="Normal 15 2 39" xfId="4614" xr:uid="{00000000-0005-0000-0000-000030170000}"/>
    <cellStyle name="Normal 15 2 39 2" xfId="16651" xr:uid="{00000000-0005-0000-0000-000031170000}"/>
    <cellStyle name="Normal 15 2 4" xfId="4615" xr:uid="{00000000-0005-0000-0000-000032170000}"/>
    <cellStyle name="Normal 15 2 4 2" xfId="16652" xr:uid="{00000000-0005-0000-0000-000033170000}"/>
    <cellStyle name="Normal 15 2 40" xfId="4616" xr:uid="{00000000-0005-0000-0000-000034170000}"/>
    <cellStyle name="Normal 15 2 40 2" xfId="16653" xr:uid="{00000000-0005-0000-0000-000035170000}"/>
    <cellStyle name="Normal 15 2 41" xfId="4617" xr:uid="{00000000-0005-0000-0000-000036170000}"/>
    <cellStyle name="Normal 15 2 41 2" xfId="16654" xr:uid="{00000000-0005-0000-0000-000037170000}"/>
    <cellStyle name="Normal 15 2 42" xfId="4618" xr:uid="{00000000-0005-0000-0000-000038170000}"/>
    <cellStyle name="Normal 15 2 42 2" xfId="16655" xr:uid="{00000000-0005-0000-0000-000039170000}"/>
    <cellStyle name="Normal 15 2 43" xfId="4619" xr:uid="{00000000-0005-0000-0000-00003A170000}"/>
    <cellStyle name="Normal 15 2 43 2" xfId="16656" xr:uid="{00000000-0005-0000-0000-00003B170000}"/>
    <cellStyle name="Normal 15 2 44" xfId="4620" xr:uid="{00000000-0005-0000-0000-00003C170000}"/>
    <cellStyle name="Normal 15 2 44 2" xfId="16657" xr:uid="{00000000-0005-0000-0000-00003D170000}"/>
    <cellStyle name="Normal 15 2 45" xfId="4621" xr:uid="{00000000-0005-0000-0000-00003E170000}"/>
    <cellStyle name="Normal 15 2 45 2" xfId="16658" xr:uid="{00000000-0005-0000-0000-00003F170000}"/>
    <cellStyle name="Normal 15 2 46" xfId="4622" xr:uid="{00000000-0005-0000-0000-000040170000}"/>
    <cellStyle name="Normal 15 2 46 2" xfId="16659" xr:uid="{00000000-0005-0000-0000-000041170000}"/>
    <cellStyle name="Normal 15 2 47" xfId="4623" xr:uid="{00000000-0005-0000-0000-000042170000}"/>
    <cellStyle name="Normal 15 2 47 2" xfId="16660" xr:uid="{00000000-0005-0000-0000-000043170000}"/>
    <cellStyle name="Normal 15 2 48" xfId="4624" xr:uid="{00000000-0005-0000-0000-000044170000}"/>
    <cellStyle name="Normal 15 2 48 2" xfId="16661" xr:uid="{00000000-0005-0000-0000-000045170000}"/>
    <cellStyle name="Normal 15 2 49" xfId="4625" xr:uid="{00000000-0005-0000-0000-000046170000}"/>
    <cellStyle name="Normal 15 2 49 2" xfId="16662" xr:uid="{00000000-0005-0000-0000-000047170000}"/>
    <cellStyle name="Normal 15 2 5" xfId="4626" xr:uid="{00000000-0005-0000-0000-000048170000}"/>
    <cellStyle name="Normal 15 2 5 2" xfId="16663" xr:uid="{00000000-0005-0000-0000-000049170000}"/>
    <cellStyle name="Normal 15 2 50" xfId="4627" xr:uid="{00000000-0005-0000-0000-00004A170000}"/>
    <cellStyle name="Normal 15 2 50 2" xfId="16664" xr:uid="{00000000-0005-0000-0000-00004B170000}"/>
    <cellStyle name="Normal 15 2 51" xfId="4628" xr:uid="{00000000-0005-0000-0000-00004C170000}"/>
    <cellStyle name="Normal 15 2 51 2" xfId="16665" xr:uid="{00000000-0005-0000-0000-00004D170000}"/>
    <cellStyle name="Normal 15 2 52" xfId="4629" xr:uid="{00000000-0005-0000-0000-00004E170000}"/>
    <cellStyle name="Normal 15 2 52 2" xfId="16666" xr:uid="{00000000-0005-0000-0000-00004F170000}"/>
    <cellStyle name="Normal 15 2 53" xfId="4630" xr:uid="{00000000-0005-0000-0000-000050170000}"/>
    <cellStyle name="Normal 15 2 53 2" xfId="16667" xr:uid="{00000000-0005-0000-0000-000051170000}"/>
    <cellStyle name="Normal 15 2 54" xfId="4631" xr:uid="{00000000-0005-0000-0000-000052170000}"/>
    <cellStyle name="Normal 15 2 54 2" xfId="16668" xr:uid="{00000000-0005-0000-0000-000053170000}"/>
    <cellStyle name="Normal 15 2 55" xfId="4632" xr:uid="{00000000-0005-0000-0000-000054170000}"/>
    <cellStyle name="Normal 15 2 55 2" xfId="16669" xr:uid="{00000000-0005-0000-0000-000055170000}"/>
    <cellStyle name="Normal 15 2 56" xfId="4633" xr:uid="{00000000-0005-0000-0000-000056170000}"/>
    <cellStyle name="Normal 15 2 56 2" xfId="16670" xr:uid="{00000000-0005-0000-0000-000057170000}"/>
    <cellStyle name="Normal 15 2 57" xfId="4634" xr:uid="{00000000-0005-0000-0000-000058170000}"/>
    <cellStyle name="Normal 15 2 57 2" xfId="16671" xr:uid="{00000000-0005-0000-0000-000059170000}"/>
    <cellStyle name="Normal 15 2 58" xfId="4635" xr:uid="{00000000-0005-0000-0000-00005A170000}"/>
    <cellStyle name="Normal 15 2 58 2" xfId="16672" xr:uid="{00000000-0005-0000-0000-00005B170000}"/>
    <cellStyle name="Normal 15 2 59" xfId="4636" xr:uid="{00000000-0005-0000-0000-00005C170000}"/>
    <cellStyle name="Normal 15 2 59 2" xfId="16673" xr:uid="{00000000-0005-0000-0000-00005D170000}"/>
    <cellStyle name="Normal 15 2 6" xfId="4637" xr:uid="{00000000-0005-0000-0000-00005E170000}"/>
    <cellStyle name="Normal 15 2 6 2" xfId="16674" xr:uid="{00000000-0005-0000-0000-00005F170000}"/>
    <cellStyle name="Normal 15 2 60" xfId="4638" xr:uid="{00000000-0005-0000-0000-000060170000}"/>
    <cellStyle name="Normal 15 2 60 2" xfId="16675" xr:uid="{00000000-0005-0000-0000-000061170000}"/>
    <cellStyle name="Normal 15 2 61" xfId="4639" xr:uid="{00000000-0005-0000-0000-000062170000}"/>
    <cellStyle name="Normal 15 2 61 2" xfId="16676" xr:uid="{00000000-0005-0000-0000-000063170000}"/>
    <cellStyle name="Normal 15 2 62" xfId="4640" xr:uid="{00000000-0005-0000-0000-000064170000}"/>
    <cellStyle name="Normal 15 2 62 2" xfId="16677" xr:uid="{00000000-0005-0000-0000-000065170000}"/>
    <cellStyle name="Normal 15 2 63" xfId="4641" xr:uid="{00000000-0005-0000-0000-000066170000}"/>
    <cellStyle name="Normal 15 2 63 2" xfId="16678" xr:uid="{00000000-0005-0000-0000-000067170000}"/>
    <cellStyle name="Normal 15 2 64" xfId="4642" xr:uid="{00000000-0005-0000-0000-000068170000}"/>
    <cellStyle name="Normal 15 2 64 2" xfId="16679" xr:uid="{00000000-0005-0000-0000-000069170000}"/>
    <cellStyle name="Normal 15 2 65" xfId="4643" xr:uid="{00000000-0005-0000-0000-00006A170000}"/>
    <cellStyle name="Normal 15 2 65 2" xfId="16680" xr:uid="{00000000-0005-0000-0000-00006B170000}"/>
    <cellStyle name="Normal 15 2 66" xfId="4644" xr:uid="{00000000-0005-0000-0000-00006C170000}"/>
    <cellStyle name="Normal 15 2 66 2" xfId="16681" xr:uid="{00000000-0005-0000-0000-00006D170000}"/>
    <cellStyle name="Normal 15 2 67" xfId="4645" xr:uid="{00000000-0005-0000-0000-00006E170000}"/>
    <cellStyle name="Normal 15 2 67 2" xfId="16682" xr:uid="{00000000-0005-0000-0000-00006F170000}"/>
    <cellStyle name="Normal 15 2 68" xfId="4646" xr:uid="{00000000-0005-0000-0000-000070170000}"/>
    <cellStyle name="Normal 15 2 68 2" xfId="16683" xr:uid="{00000000-0005-0000-0000-000071170000}"/>
    <cellStyle name="Normal 15 2 69" xfId="4647" xr:uid="{00000000-0005-0000-0000-000072170000}"/>
    <cellStyle name="Normal 15 2 69 2" xfId="16684" xr:uid="{00000000-0005-0000-0000-000073170000}"/>
    <cellStyle name="Normal 15 2 7" xfId="4648" xr:uid="{00000000-0005-0000-0000-000074170000}"/>
    <cellStyle name="Normal 15 2 7 2" xfId="16685" xr:uid="{00000000-0005-0000-0000-000075170000}"/>
    <cellStyle name="Normal 15 2 70" xfId="4649" xr:uid="{00000000-0005-0000-0000-000076170000}"/>
    <cellStyle name="Normal 15 2 70 2" xfId="16686" xr:uid="{00000000-0005-0000-0000-000077170000}"/>
    <cellStyle name="Normal 15 2 71" xfId="4650" xr:uid="{00000000-0005-0000-0000-000078170000}"/>
    <cellStyle name="Normal 15 2 71 2" xfId="16687" xr:uid="{00000000-0005-0000-0000-000079170000}"/>
    <cellStyle name="Normal 15 2 72" xfId="4651" xr:uid="{00000000-0005-0000-0000-00007A170000}"/>
    <cellStyle name="Normal 15 2 72 2" xfId="16688" xr:uid="{00000000-0005-0000-0000-00007B170000}"/>
    <cellStyle name="Normal 15 2 73" xfId="4652" xr:uid="{00000000-0005-0000-0000-00007C170000}"/>
    <cellStyle name="Normal 15 2 73 2" xfId="16689" xr:uid="{00000000-0005-0000-0000-00007D170000}"/>
    <cellStyle name="Normal 15 2 74" xfId="4653" xr:uid="{00000000-0005-0000-0000-00007E170000}"/>
    <cellStyle name="Normal 15 2 74 2" xfId="16690" xr:uid="{00000000-0005-0000-0000-00007F170000}"/>
    <cellStyle name="Normal 15 2 75" xfId="4654" xr:uid="{00000000-0005-0000-0000-000080170000}"/>
    <cellStyle name="Normal 15 2 75 2" xfId="16691" xr:uid="{00000000-0005-0000-0000-000081170000}"/>
    <cellStyle name="Normal 15 2 76" xfId="4655" xr:uid="{00000000-0005-0000-0000-000082170000}"/>
    <cellStyle name="Normal 15 2 76 2" xfId="16692" xr:uid="{00000000-0005-0000-0000-000083170000}"/>
    <cellStyle name="Normal 15 2 77" xfId="4656" xr:uid="{00000000-0005-0000-0000-000084170000}"/>
    <cellStyle name="Normal 15 2 77 2" xfId="16693" xr:uid="{00000000-0005-0000-0000-000085170000}"/>
    <cellStyle name="Normal 15 2 78" xfId="4657" xr:uid="{00000000-0005-0000-0000-000086170000}"/>
    <cellStyle name="Normal 15 2 78 2" xfId="16694" xr:uid="{00000000-0005-0000-0000-000087170000}"/>
    <cellStyle name="Normal 15 2 79" xfId="4658" xr:uid="{00000000-0005-0000-0000-000088170000}"/>
    <cellStyle name="Normal 15 2 79 2" xfId="16695" xr:uid="{00000000-0005-0000-0000-000089170000}"/>
    <cellStyle name="Normal 15 2 8" xfId="4659" xr:uid="{00000000-0005-0000-0000-00008A170000}"/>
    <cellStyle name="Normal 15 2 8 2" xfId="16696" xr:uid="{00000000-0005-0000-0000-00008B170000}"/>
    <cellStyle name="Normal 15 2 80" xfId="16619" xr:uid="{00000000-0005-0000-0000-00008C170000}"/>
    <cellStyle name="Normal 15 2 81" xfId="4582" xr:uid="{00000000-0005-0000-0000-00008D170000}"/>
    <cellStyle name="Normal 15 2 9" xfId="4660" xr:uid="{00000000-0005-0000-0000-00008E170000}"/>
    <cellStyle name="Normal 15 2 9 2" xfId="16697" xr:uid="{00000000-0005-0000-0000-00008F170000}"/>
    <cellStyle name="Normal 15 20" xfId="4661" xr:uid="{00000000-0005-0000-0000-000090170000}"/>
    <cellStyle name="Normal 15 20 2" xfId="16698" xr:uid="{00000000-0005-0000-0000-000091170000}"/>
    <cellStyle name="Normal 15 21" xfId="4662" xr:uid="{00000000-0005-0000-0000-000092170000}"/>
    <cellStyle name="Normal 15 21 2" xfId="16699" xr:uid="{00000000-0005-0000-0000-000093170000}"/>
    <cellStyle name="Normal 15 22" xfId="4663" xr:uid="{00000000-0005-0000-0000-000094170000}"/>
    <cellStyle name="Normal 15 22 2" xfId="16700" xr:uid="{00000000-0005-0000-0000-000095170000}"/>
    <cellStyle name="Normal 15 23" xfId="4664" xr:uid="{00000000-0005-0000-0000-000096170000}"/>
    <cellStyle name="Normal 15 23 2" xfId="16701" xr:uid="{00000000-0005-0000-0000-000097170000}"/>
    <cellStyle name="Normal 15 24" xfId="4665" xr:uid="{00000000-0005-0000-0000-000098170000}"/>
    <cellStyle name="Normal 15 24 2" xfId="16702" xr:uid="{00000000-0005-0000-0000-000099170000}"/>
    <cellStyle name="Normal 15 25" xfId="4666" xr:uid="{00000000-0005-0000-0000-00009A170000}"/>
    <cellStyle name="Normal 15 25 2" xfId="16703" xr:uid="{00000000-0005-0000-0000-00009B170000}"/>
    <cellStyle name="Normal 15 26" xfId="4667" xr:uid="{00000000-0005-0000-0000-00009C170000}"/>
    <cellStyle name="Normal 15 26 2" xfId="16704" xr:uid="{00000000-0005-0000-0000-00009D170000}"/>
    <cellStyle name="Normal 15 27" xfId="4668" xr:uid="{00000000-0005-0000-0000-00009E170000}"/>
    <cellStyle name="Normal 15 27 2" xfId="16705" xr:uid="{00000000-0005-0000-0000-00009F170000}"/>
    <cellStyle name="Normal 15 28" xfId="4669" xr:uid="{00000000-0005-0000-0000-0000A0170000}"/>
    <cellStyle name="Normal 15 28 2" xfId="16706" xr:uid="{00000000-0005-0000-0000-0000A1170000}"/>
    <cellStyle name="Normal 15 29" xfId="4670" xr:uid="{00000000-0005-0000-0000-0000A2170000}"/>
    <cellStyle name="Normal 15 29 2" xfId="16707" xr:uid="{00000000-0005-0000-0000-0000A3170000}"/>
    <cellStyle name="Normal 15 3" xfId="697" xr:uid="{00000000-0005-0000-0000-0000A4170000}"/>
    <cellStyle name="Normal 15 3 10" xfId="4672" xr:uid="{00000000-0005-0000-0000-0000A5170000}"/>
    <cellStyle name="Normal 15 3 10 2" xfId="16709" xr:uid="{00000000-0005-0000-0000-0000A6170000}"/>
    <cellStyle name="Normal 15 3 11" xfId="4673" xr:uid="{00000000-0005-0000-0000-0000A7170000}"/>
    <cellStyle name="Normal 15 3 11 2" xfId="16710" xr:uid="{00000000-0005-0000-0000-0000A8170000}"/>
    <cellStyle name="Normal 15 3 12" xfId="4674" xr:uid="{00000000-0005-0000-0000-0000A9170000}"/>
    <cellStyle name="Normal 15 3 12 2" xfId="16711" xr:uid="{00000000-0005-0000-0000-0000AA170000}"/>
    <cellStyle name="Normal 15 3 13" xfId="4675" xr:uid="{00000000-0005-0000-0000-0000AB170000}"/>
    <cellStyle name="Normal 15 3 13 2" xfId="16712" xr:uid="{00000000-0005-0000-0000-0000AC170000}"/>
    <cellStyle name="Normal 15 3 14" xfId="4676" xr:uid="{00000000-0005-0000-0000-0000AD170000}"/>
    <cellStyle name="Normal 15 3 14 2" xfId="16713" xr:uid="{00000000-0005-0000-0000-0000AE170000}"/>
    <cellStyle name="Normal 15 3 15" xfId="4677" xr:uid="{00000000-0005-0000-0000-0000AF170000}"/>
    <cellStyle name="Normal 15 3 15 2" xfId="16714" xr:uid="{00000000-0005-0000-0000-0000B0170000}"/>
    <cellStyle name="Normal 15 3 16" xfId="4678" xr:uid="{00000000-0005-0000-0000-0000B1170000}"/>
    <cellStyle name="Normal 15 3 16 2" xfId="16715" xr:uid="{00000000-0005-0000-0000-0000B2170000}"/>
    <cellStyle name="Normal 15 3 17" xfId="4679" xr:uid="{00000000-0005-0000-0000-0000B3170000}"/>
    <cellStyle name="Normal 15 3 17 2" xfId="16716" xr:uid="{00000000-0005-0000-0000-0000B4170000}"/>
    <cellStyle name="Normal 15 3 18" xfId="4680" xr:uid="{00000000-0005-0000-0000-0000B5170000}"/>
    <cellStyle name="Normal 15 3 18 2" xfId="16717" xr:uid="{00000000-0005-0000-0000-0000B6170000}"/>
    <cellStyle name="Normal 15 3 19" xfId="4681" xr:uid="{00000000-0005-0000-0000-0000B7170000}"/>
    <cellStyle name="Normal 15 3 19 2" xfId="16718" xr:uid="{00000000-0005-0000-0000-0000B8170000}"/>
    <cellStyle name="Normal 15 3 2" xfId="4682" xr:uid="{00000000-0005-0000-0000-0000B9170000}"/>
    <cellStyle name="Normal 15 3 2 2" xfId="16719" xr:uid="{00000000-0005-0000-0000-0000BA170000}"/>
    <cellStyle name="Normal 15 3 20" xfId="4683" xr:uid="{00000000-0005-0000-0000-0000BB170000}"/>
    <cellStyle name="Normal 15 3 20 2" xfId="16720" xr:uid="{00000000-0005-0000-0000-0000BC170000}"/>
    <cellStyle name="Normal 15 3 21" xfId="4684" xr:uid="{00000000-0005-0000-0000-0000BD170000}"/>
    <cellStyle name="Normal 15 3 21 2" xfId="16721" xr:uid="{00000000-0005-0000-0000-0000BE170000}"/>
    <cellStyle name="Normal 15 3 22" xfId="4685" xr:uid="{00000000-0005-0000-0000-0000BF170000}"/>
    <cellStyle name="Normal 15 3 22 2" xfId="16722" xr:uid="{00000000-0005-0000-0000-0000C0170000}"/>
    <cellStyle name="Normal 15 3 23" xfId="4686" xr:uid="{00000000-0005-0000-0000-0000C1170000}"/>
    <cellStyle name="Normal 15 3 23 2" xfId="16723" xr:uid="{00000000-0005-0000-0000-0000C2170000}"/>
    <cellStyle name="Normal 15 3 24" xfId="4687" xr:uid="{00000000-0005-0000-0000-0000C3170000}"/>
    <cellStyle name="Normal 15 3 24 2" xfId="16724" xr:uid="{00000000-0005-0000-0000-0000C4170000}"/>
    <cellStyle name="Normal 15 3 25" xfId="4688" xr:uid="{00000000-0005-0000-0000-0000C5170000}"/>
    <cellStyle name="Normal 15 3 25 2" xfId="16725" xr:uid="{00000000-0005-0000-0000-0000C6170000}"/>
    <cellStyle name="Normal 15 3 26" xfId="4689" xr:uid="{00000000-0005-0000-0000-0000C7170000}"/>
    <cellStyle name="Normal 15 3 26 2" xfId="16726" xr:uid="{00000000-0005-0000-0000-0000C8170000}"/>
    <cellStyle name="Normal 15 3 27" xfId="4690" xr:uid="{00000000-0005-0000-0000-0000C9170000}"/>
    <cellStyle name="Normal 15 3 27 2" xfId="16727" xr:uid="{00000000-0005-0000-0000-0000CA170000}"/>
    <cellStyle name="Normal 15 3 28" xfId="4691" xr:uid="{00000000-0005-0000-0000-0000CB170000}"/>
    <cellStyle name="Normal 15 3 28 2" xfId="16728" xr:uid="{00000000-0005-0000-0000-0000CC170000}"/>
    <cellStyle name="Normal 15 3 29" xfId="4692" xr:uid="{00000000-0005-0000-0000-0000CD170000}"/>
    <cellStyle name="Normal 15 3 29 2" xfId="16729" xr:uid="{00000000-0005-0000-0000-0000CE170000}"/>
    <cellStyle name="Normal 15 3 3" xfId="4693" xr:uid="{00000000-0005-0000-0000-0000CF170000}"/>
    <cellStyle name="Normal 15 3 3 2" xfId="16730" xr:uid="{00000000-0005-0000-0000-0000D0170000}"/>
    <cellStyle name="Normal 15 3 30" xfId="4694" xr:uid="{00000000-0005-0000-0000-0000D1170000}"/>
    <cellStyle name="Normal 15 3 30 2" xfId="16731" xr:uid="{00000000-0005-0000-0000-0000D2170000}"/>
    <cellStyle name="Normal 15 3 31" xfId="4695" xr:uid="{00000000-0005-0000-0000-0000D3170000}"/>
    <cellStyle name="Normal 15 3 31 2" xfId="16732" xr:uid="{00000000-0005-0000-0000-0000D4170000}"/>
    <cellStyle name="Normal 15 3 32" xfId="4696" xr:uid="{00000000-0005-0000-0000-0000D5170000}"/>
    <cellStyle name="Normal 15 3 32 2" xfId="16733" xr:uid="{00000000-0005-0000-0000-0000D6170000}"/>
    <cellStyle name="Normal 15 3 33" xfId="4697" xr:uid="{00000000-0005-0000-0000-0000D7170000}"/>
    <cellStyle name="Normal 15 3 33 2" xfId="16734" xr:uid="{00000000-0005-0000-0000-0000D8170000}"/>
    <cellStyle name="Normal 15 3 34" xfId="4698" xr:uid="{00000000-0005-0000-0000-0000D9170000}"/>
    <cellStyle name="Normal 15 3 34 2" xfId="16735" xr:uid="{00000000-0005-0000-0000-0000DA170000}"/>
    <cellStyle name="Normal 15 3 35" xfId="4699" xr:uid="{00000000-0005-0000-0000-0000DB170000}"/>
    <cellStyle name="Normal 15 3 35 2" xfId="16736" xr:uid="{00000000-0005-0000-0000-0000DC170000}"/>
    <cellStyle name="Normal 15 3 36" xfId="4700" xr:uid="{00000000-0005-0000-0000-0000DD170000}"/>
    <cellStyle name="Normal 15 3 36 2" xfId="16737" xr:uid="{00000000-0005-0000-0000-0000DE170000}"/>
    <cellStyle name="Normal 15 3 37" xfId="4701" xr:uid="{00000000-0005-0000-0000-0000DF170000}"/>
    <cellStyle name="Normal 15 3 37 2" xfId="16738" xr:uid="{00000000-0005-0000-0000-0000E0170000}"/>
    <cellStyle name="Normal 15 3 38" xfId="4702" xr:uid="{00000000-0005-0000-0000-0000E1170000}"/>
    <cellStyle name="Normal 15 3 38 2" xfId="16739" xr:uid="{00000000-0005-0000-0000-0000E2170000}"/>
    <cellStyle name="Normal 15 3 39" xfId="4703" xr:uid="{00000000-0005-0000-0000-0000E3170000}"/>
    <cellStyle name="Normal 15 3 39 2" xfId="16740" xr:uid="{00000000-0005-0000-0000-0000E4170000}"/>
    <cellStyle name="Normal 15 3 4" xfId="4704" xr:uid="{00000000-0005-0000-0000-0000E5170000}"/>
    <cellStyle name="Normal 15 3 4 2" xfId="16741" xr:uid="{00000000-0005-0000-0000-0000E6170000}"/>
    <cellStyle name="Normal 15 3 40" xfId="4705" xr:uid="{00000000-0005-0000-0000-0000E7170000}"/>
    <cellStyle name="Normal 15 3 40 2" xfId="16742" xr:uid="{00000000-0005-0000-0000-0000E8170000}"/>
    <cellStyle name="Normal 15 3 41" xfId="4706" xr:uid="{00000000-0005-0000-0000-0000E9170000}"/>
    <cellStyle name="Normal 15 3 41 2" xfId="16743" xr:uid="{00000000-0005-0000-0000-0000EA170000}"/>
    <cellStyle name="Normal 15 3 42" xfId="4707" xr:uid="{00000000-0005-0000-0000-0000EB170000}"/>
    <cellStyle name="Normal 15 3 42 2" xfId="16744" xr:uid="{00000000-0005-0000-0000-0000EC170000}"/>
    <cellStyle name="Normal 15 3 43" xfId="4708" xr:uid="{00000000-0005-0000-0000-0000ED170000}"/>
    <cellStyle name="Normal 15 3 43 2" xfId="16745" xr:uid="{00000000-0005-0000-0000-0000EE170000}"/>
    <cellStyle name="Normal 15 3 44" xfId="4709" xr:uid="{00000000-0005-0000-0000-0000EF170000}"/>
    <cellStyle name="Normal 15 3 44 2" xfId="16746" xr:uid="{00000000-0005-0000-0000-0000F0170000}"/>
    <cellStyle name="Normal 15 3 45" xfId="4710" xr:uid="{00000000-0005-0000-0000-0000F1170000}"/>
    <cellStyle name="Normal 15 3 45 2" xfId="16747" xr:uid="{00000000-0005-0000-0000-0000F2170000}"/>
    <cellStyle name="Normal 15 3 46" xfId="4711" xr:uid="{00000000-0005-0000-0000-0000F3170000}"/>
    <cellStyle name="Normal 15 3 46 2" xfId="16748" xr:uid="{00000000-0005-0000-0000-0000F4170000}"/>
    <cellStyle name="Normal 15 3 47" xfId="4712" xr:uid="{00000000-0005-0000-0000-0000F5170000}"/>
    <cellStyle name="Normal 15 3 47 2" xfId="16749" xr:uid="{00000000-0005-0000-0000-0000F6170000}"/>
    <cellStyle name="Normal 15 3 48" xfId="4713" xr:uid="{00000000-0005-0000-0000-0000F7170000}"/>
    <cellStyle name="Normal 15 3 48 2" xfId="16750" xr:uid="{00000000-0005-0000-0000-0000F8170000}"/>
    <cellStyle name="Normal 15 3 49" xfId="4714" xr:uid="{00000000-0005-0000-0000-0000F9170000}"/>
    <cellStyle name="Normal 15 3 49 2" xfId="16751" xr:uid="{00000000-0005-0000-0000-0000FA170000}"/>
    <cellStyle name="Normal 15 3 5" xfId="4715" xr:uid="{00000000-0005-0000-0000-0000FB170000}"/>
    <cellStyle name="Normal 15 3 5 2" xfId="16752" xr:uid="{00000000-0005-0000-0000-0000FC170000}"/>
    <cellStyle name="Normal 15 3 50" xfId="4716" xr:uid="{00000000-0005-0000-0000-0000FD170000}"/>
    <cellStyle name="Normal 15 3 50 2" xfId="16753" xr:uid="{00000000-0005-0000-0000-0000FE170000}"/>
    <cellStyle name="Normal 15 3 51" xfId="4717" xr:uid="{00000000-0005-0000-0000-0000FF170000}"/>
    <cellStyle name="Normal 15 3 51 2" xfId="16754" xr:uid="{00000000-0005-0000-0000-000000180000}"/>
    <cellStyle name="Normal 15 3 52" xfId="4718" xr:uid="{00000000-0005-0000-0000-000001180000}"/>
    <cellStyle name="Normal 15 3 52 2" xfId="16755" xr:uid="{00000000-0005-0000-0000-000002180000}"/>
    <cellStyle name="Normal 15 3 53" xfId="4719" xr:uid="{00000000-0005-0000-0000-000003180000}"/>
    <cellStyle name="Normal 15 3 53 2" xfId="16756" xr:uid="{00000000-0005-0000-0000-000004180000}"/>
    <cellStyle name="Normal 15 3 54" xfId="4720" xr:uid="{00000000-0005-0000-0000-000005180000}"/>
    <cellStyle name="Normal 15 3 54 2" xfId="16757" xr:uid="{00000000-0005-0000-0000-000006180000}"/>
    <cellStyle name="Normal 15 3 55" xfId="4721" xr:uid="{00000000-0005-0000-0000-000007180000}"/>
    <cellStyle name="Normal 15 3 55 2" xfId="16758" xr:uid="{00000000-0005-0000-0000-000008180000}"/>
    <cellStyle name="Normal 15 3 56" xfId="4722" xr:uid="{00000000-0005-0000-0000-000009180000}"/>
    <cellStyle name="Normal 15 3 56 2" xfId="16759" xr:uid="{00000000-0005-0000-0000-00000A180000}"/>
    <cellStyle name="Normal 15 3 57" xfId="4723" xr:uid="{00000000-0005-0000-0000-00000B180000}"/>
    <cellStyle name="Normal 15 3 57 2" xfId="16760" xr:uid="{00000000-0005-0000-0000-00000C180000}"/>
    <cellStyle name="Normal 15 3 58" xfId="4724" xr:uid="{00000000-0005-0000-0000-00000D180000}"/>
    <cellStyle name="Normal 15 3 58 2" xfId="16761" xr:uid="{00000000-0005-0000-0000-00000E180000}"/>
    <cellStyle name="Normal 15 3 59" xfId="4725" xr:uid="{00000000-0005-0000-0000-00000F180000}"/>
    <cellStyle name="Normal 15 3 59 2" xfId="16762" xr:uid="{00000000-0005-0000-0000-000010180000}"/>
    <cellStyle name="Normal 15 3 6" xfId="4726" xr:uid="{00000000-0005-0000-0000-000011180000}"/>
    <cellStyle name="Normal 15 3 6 2" xfId="16763" xr:uid="{00000000-0005-0000-0000-000012180000}"/>
    <cellStyle name="Normal 15 3 60" xfId="4727" xr:uid="{00000000-0005-0000-0000-000013180000}"/>
    <cellStyle name="Normal 15 3 60 2" xfId="16764" xr:uid="{00000000-0005-0000-0000-000014180000}"/>
    <cellStyle name="Normal 15 3 61" xfId="4728" xr:uid="{00000000-0005-0000-0000-000015180000}"/>
    <cellStyle name="Normal 15 3 61 2" xfId="16765" xr:uid="{00000000-0005-0000-0000-000016180000}"/>
    <cellStyle name="Normal 15 3 62" xfId="4729" xr:uid="{00000000-0005-0000-0000-000017180000}"/>
    <cellStyle name="Normal 15 3 62 2" xfId="16766" xr:uid="{00000000-0005-0000-0000-000018180000}"/>
    <cellStyle name="Normal 15 3 63" xfId="4730" xr:uid="{00000000-0005-0000-0000-000019180000}"/>
    <cellStyle name="Normal 15 3 63 2" xfId="16767" xr:uid="{00000000-0005-0000-0000-00001A180000}"/>
    <cellStyle name="Normal 15 3 64" xfId="4731" xr:uid="{00000000-0005-0000-0000-00001B180000}"/>
    <cellStyle name="Normal 15 3 64 2" xfId="16768" xr:uid="{00000000-0005-0000-0000-00001C180000}"/>
    <cellStyle name="Normal 15 3 65" xfId="4732" xr:uid="{00000000-0005-0000-0000-00001D180000}"/>
    <cellStyle name="Normal 15 3 65 2" xfId="16769" xr:uid="{00000000-0005-0000-0000-00001E180000}"/>
    <cellStyle name="Normal 15 3 66" xfId="4733" xr:uid="{00000000-0005-0000-0000-00001F180000}"/>
    <cellStyle name="Normal 15 3 66 2" xfId="16770" xr:uid="{00000000-0005-0000-0000-000020180000}"/>
    <cellStyle name="Normal 15 3 67" xfId="4734" xr:uid="{00000000-0005-0000-0000-000021180000}"/>
    <cellStyle name="Normal 15 3 67 2" xfId="16771" xr:uid="{00000000-0005-0000-0000-000022180000}"/>
    <cellStyle name="Normal 15 3 68" xfId="4735" xr:uid="{00000000-0005-0000-0000-000023180000}"/>
    <cellStyle name="Normal 15 3 68 2" xfId="16772" xr:uid="{00000000-0005-0000-0000-000024180000}"/>
    <cellStyle name="Normal 15 3 69" xfId="4736" xr:uid="{00000000-0005-0000-0000-000025180000}"/>
    <cellStyle name="Normal 15 3 69 2" xfId="16773" xr:uid="{00000000-0005-0000-0000-000026180000}"/>
    <cellStyle name="Normal 15 3 7" xfId="4737" xr:uid="{00000000-0005-0000-0000-000027180000}"/>
    <cellStyle name="Normal 15 3 7 2" xfId="16774" xr:uid="{00000000-0005-0000-0000-000028180000}"/>
    <cellStyle name="Normal 15 3 70" xfId="4738" xr:uid="{00000000-0005-0000-0000-000029180000}"/>
    <cellStyle name="Normal 15 3 70 2" xfId="16775" xr:uid="{00000000-0005-0000-0000-00002A180000}"/>
    <cellStyle name="Normal 15 3 71" xfId="4739" xr:uid="{00000000-0005-0000-0000-00002B180000}"/>
    <cellStyle name="Normal 15 3 71 2" xfId="16776" xr:uid="{00000000-0005-0000-0000-00002C180000}"/>
    <cellStyle name="Normal 15 3 72" xfId="4740" xr:uid="{00000000-0005-0000-0000-00002D180000}"/>
    <cellStyle name="Normal 15 3 72 2" xfId="16777" xr:uid="{00000000-0005-0000-0000-00002E180000}"/>
    <cellStyle name="Normal 15 3 73" xfId="4741" xr:uid="{00000000-0005-0000-0000-00002F180000}"/>
    <cellStyle name="Normal 15 3 73 2" xfId="16778" xr:uid="{00000000-0005-0000-0000-000030180000}"/>
    <cellStyle name="Normal 15 3 74" xfId="4742" xr:uid="{00000000-0005-0000-0000-000031180000}"/>
    <cellStyle name="Normal 15 3 74 2" xfId="16779" xr:uid="{00000000-0005-0000-0000-000032180000}"/>
    <cellStyle name="Normal 15 3 75" xfId="4743" xr:uid="{00000000-0005-0000-0000-000033180000}"/>
    <cellStyle name="Normal 15 3 75 2" xfId="16780" xr:uid="{00000000-0005-0000-0000-000034180000}"/>
    <cellStyle name="Normal 15 3 76" xfId="4744" xr:uid="{00000000-0005-0000-0000-000035180000}"/>
    <cellStyle name="Normal 15 3 76 2" xfId="16781" xr:uid="{00000000-0005-0000-0000-000036180000}"/>
    <cellStyle name="Normal 15 3 77" xfId="4745" xr:uid="{00000000-0005-0000-0000-000037180000}"/>
    <cellStyle name="Normal 15 3 77 2" xfId="16782" xr:uid="{00000000-0005-0000-0000-000038180000}"/>
    <cellStyle name="Normal 15 3 78" xfId="4746" xr:uid="{00000000-0005-0000-0000-000039180000}"/>
    <cellStyle name="Normal 15 3 78 2" xfId="16783" xr:uid="{00000000-0005-0000-0000-00003A180000}"/>
    <cellStyle name="Normal 15 3 79" xfId="4747" xr:uid="{00000000-0005-0000-0000-00003B180000}"/>
    <cellStyle name="Normal 15 3 79 2" xfId="16784" xr:uid="{00000000-0005-0000-0000-00003C180000}"/>
    <cellStyle name="Normal 15 3 8" xfId="4748" xr:uid="{00000000-0005-0000-0000-00003D180000}"/>
    <cellStyle name="Normal 15 3 8 2" xfId="16785" xr:uid="{00000000-0005-0000-0000-00003E180000}"/>
    <cellStyle name="Normal 15 3 80" xfId="16708" xr:uid="{00000000-0005-0000-0000-00003F180000}"/>
    <cellStyle name="Normal 15 3 81" xfId="4671" xr:uid="{00000000-0005-0000-0000-000040180000}"/>
    <cellStyle name="Normal 15 3 9" xfId="4749" xr:uid="{00000000-0005-0000-0000-000041180000}"/>
    <cellStyle name="Normal 15 3 9 2" xfId="16786" xr:uid="{00000000-0005-0000-0000-000042180000}"/>
    <cellStyle name="Normal 15 30" xfId="4750" xr:uid="{00000000-0005-0000-0000-000043180000}"/>
    <cellStyle name="Normal 15 30 2" xfId="16787" xr:uid="{00000000-0005-0000-0000-000044180000}"/>
    <cellStyle name="Normal 15 31" xfId="4751" xr:uid="{00000000-0005-0000-0000-000045180000}"/>
    <cellStyle name="Normal 15 31 2" xfId="16788" xr:uid="{00000000-0005-0000-0000-000046180000}"/>
    <cellStyle name="Normal 15 32" xfId="4752" xr:uid="{00000000-0005-0000-0000-000047180000}"/>
    <cellStyle name="Normal 15 32 2" xfId="16789" xr:uid="{00000000-0005-0000-0000-000048180000}"/>
    <cellStyle name="Normal 15 33" xfId="4753" xr:uid="{00000000-0005-0000-0000-000049180000}"/>
    <cellStyle name="Normal 15 33 2" xfId="16790" xr:uid="{00000000-0005-0000-0000-00004A180000}"/>
    <cellStyle name="Normal 15 34" xfId="4754" xr:uid="{00000000-0005-0000-0000-00004B180000}"/>
    <cellStyle name="Normal 15 34 2" xfId="16791" xr:uid="{00000000-0005-0000-0000-00004C180000}"/>
    <cellStyle name="Normal 15 35" xfId="4755" xr:uid="{00000000-0005-0000-0000-00004D180000}"/>
    <cellStyle name="Normal 15 35 2" xfId="16792" xr:uid="{00000000-0005-0000-0000-00004E180000}"/>
    <cellStyle name="Normal 15 36" xfId="4756" xr:uid="{00000000-0005-0000-0000-00004F180000}"/>
    <cellStyle name="Normal 15 36 2" xfId="16793" xr:uid="{00000000-0005-0000-0000-000050180000}"/>
    <cellStyle name="Normal 15 37" xfId="4757" xr:uid="{00000000-0005-0000-0000-000051180000}"/>
    <cellStyle name="Normal 15 37 2" xfId="16794" xr:uid="{00000000-0005-0000-0000-000052180000}"/>
    <cellStyle name="Normal 15 38" xfId="4758" xr:uid="{00000000-0005-0000-0000-000053180000}"/>
    <cellStyle name="Normal 15 38 2" xfId="16795" xr:uid="{00000000-0005-0000-0000-000054180000}"/>
    <cellStyle name="Normal 15 39" xfId="4759" xr:uid="{00000000-0005-0000-0000-000055180000}"/>
    <cellStyle name="Normal 15 39 2" xfId="16796" xr:uid="{00000000-0005-0000-0000-000056180000}"/>
    <cellStyle name="Normal 15 4" xfId="306" xr:uid="{00000000-0005-0000-0000-000057180000}"/>
    <cellStyle name="Normal 15 4 10" xfId="4760" xr:uid="{00000000-0005-0000-0000-000058180000}"/>
    <cellStyle name="Normal 15 4 10 2" xfId="16798" xr:uid="{00000000-0005-0000-0000-000059180000}"/>
    <cellStyle name="Normal 15 4 11" xfId="4761" xr:uid="{00000000-0005-0000-0000-00005A180000}"/>
    <cellStyle name="Normal 15 4 11 2" xfId="16799" xr:uid="{00000000-0005-0000-0000-00005B180000}"/>
    <cellStyle name="Normal 15 4 12" xfId="4762" xr:uid="{00000000-0005-0000-0000-00005C180000}"/>
    <cellStyle name="Normal 15 4 12 2" xfId="16800" xr:uid="{00000000-0005-0000-0000-00005D180000}"/>
    <cellStyle name="Normal 15 4 13" xfId="4763" xr:uid="{00000000-0005-0000-0000-00005E180000}"/>
    <cellStyle name="Normal 15 4 13 2" xfId="16801" xr:uid="{00000000-0005-0000-0000-00005F180000}"/>
    <cellStyle name="Normal 15 4 14" xfId="4764" xr:uid="{00000000-0005-0000-0000-000060180000}"/>
    <cellStyle name="Normal 15 4 14 2" xfId="16802" xr:uid="{00000000-0005-0000-0000-000061180000}"/>
    <cellStyle name="Normal 15 4 15" xfId="4765" xr:uid="{00000000-0005-0000-0000-000062180000}"/>
    <cellStyle name="Normal 15 4 15 2" xfId="16803" xr:uid="{00000000-0005-0000-0000-000063180000}"/>
    <cellStyle name="Normal 15 4 16" xfId="4766" xr:uid="{00000000-0005-0000-0000-000064180000}"/>
    <cellStyle name="Normal 15 4 16 2" xfId="16804" xr:uid="{00000000-0005-0000-0000-000065180000}"/>
    <cellStyle name="Normal 15 4 17" xfId="4767" xr:uid="{00000000-0005-0000-0000-000066180000}"/>
    <cellStyle name="Normal 15 4 17 2" xfId="16805" xr:uid="{00000000-0005-0000-0000-000067180000}"/>
    <cellStyle name="Normal 15 4 18" xfId="4768" xr:uid="{00000000-0005-0000-0000-000068180000}"/>
    <cellStyle name="Normal 15 4 18 2" xfId="16806" xr:uid="{00000000-0005-0000-0000-000069180000}"/>
    <cellStyle name="Normal 15 4 19" xfId="4769" xr:uid="{00000000-0005-0000-0000-00006A180000}"/>
    <cellStyle name="Normal 15 4 19 2" xfId="16807" xr:uid="{00000000-0005-0000-0000-00006B180000}"/>
    <cellStyle name="Normal 15 4 2" xfId="4770" xr:uid="{00000000-0005-0000-0000-00006C180000}"/>
    <cellStyle name="Normal 15 4 2 2" xfId="16808" xr:uid="{00000000-0005-0000-0000-00006D180000}"/>
    <cellStyle name="Normal 15 4 20" xfId="4771" xr:uid="{00000000-0005-0000-0000-00006E180000}"/>
    <cellStyle name="Normal 15 4 20 2" xfId="16809" xr:uid="{00000000-0005-0000-0000-00006F180000}"/>
    <cellStyle name="Normal 15 4 21" xfId="4772" xr:uid="{00000000-0005-0000-0000-000070180000}"/>
    <cellStyle name="Normal 15 4 21 2" xfId="16810" xr:uid="{00000000-0005-0000-0000-000071180000}"/>
    <cellStyle name="Normal 15 4 22" xfId="4773" xr:uid="{00000000-0005-0000-0000-000072180000}"/>
    <cellStyle name="Normal 15 4 22 2" xfId="16811" xr:uid="{00000000-0005-0000-0000-000073180000}"/>
    <cellStyle name="Normal 15 4 23" xfId="4774" xr:uid="{00000000-0005-0000-0000-000074180000}"/>
    <cellStyle name="Normal 15 4 23 2" xfId="16812" xr:uid="{00000000-0005-0000-0000-000075180000}"/>
    <cellStyle name="Normal 15 4 24" xfId="4775" xr:uid="{00000000-0005-0000-0000-000076180000}"/>
    <cellStyle name="Normal 15 4 24 2" xfId="16813" xr:uid="{00000000-0005-0000-0000-000077180000}"/>
    <cellStyle name="Normal 15 4 25" xfId="4776" xr:uid="{00000000-0005-0000-0000-000078180000}"/>
    <cellStyle name="Normal 15 4 25 2" xfId="16814" xr:uid="{00000000-0005-0000-0000-000079180000}"/>
    <cellStyle name="Normal 15 4 26" xfId="4777" xr:uid="{00000000-0005-0000-0000-00007A180000}"/>
    <cellStyle name="Normal 15 4 26 2" xfId="16815" xr:uid="{00000000-0005-0000-0000-00007B180000}"/>
    <cellStyle name="Normal 15 4 27" xfId="4778" xr:uid="{00000000-0005-0000-0000-00007C180000}"/>
    <cellStyle name="Normal 15 4 27 2" xfId="16816" xr:uid="{00000000-0005-0000-0000-00007D180000}"/>
    <cellStyle name="Normal 15 4 28" xfId="4779" xr:uid="{00000000-0005-0000-0000-00007E180000}"/>
    <cellStyle name="Normal 15 4 28 2" xfId="16817" xr:uid="{00000000-0005-0000-0000-00007F180000}"/>
    <cellStyle name="Normal 15 4 29" xfId="4780" xr:uid="{00000000-0005-0000-0000-000080180000}"/>
    <cellStyle name="Normal 15 4 29 2" xfId="16818" xr:uid="{00000000-0005-0000-0000-000081180000}"/>
    <cellStyle name="Normal 15 4 3" xfId="4781" xr:uid="{00000000-0005-0000-0000-000082180000}"/>
    <cellStyle name="Normal 15 4 3 2" xfId="16819" xr:uid="{00000000-0005-0000-0000-000083180000}"/>
    <cellStyle name="Normal 15 4 30" xfId="4782" xr:uid="{00000000-0005-0000-0000-000084180000}"/>
    <cellStyle name="Normal 15 4 30 2" xfId="16820" xr:uid="{00000000-0005-0000-0000-000085180000}"/>
    <cellStyle name="Normal 15 4 31" xfId="4783" xr:uid="{00000000-0005-0000-0000-000086180000}"/>
    <cellStyle name="Normal 15 4 31 2" xfId="16821" xr:uid="{00000000-0005-0000-0000-000087180000}"/>
    <cellStyle name="Normal 15 4 32" xfId="4784" xr:uid="{00000000-0005-0000-0000-000088180000}"/>
    <cellStyle name="Normal 15 4 32 2" xfId="16822" xr:uid="{00000000-0005-0000-0000-000089180000}"/>
    <cellStyle name="Normal 15 4 33" xfId="4785" xr:uid="{00000000-0005-0000-0000-00008A180000}"/>
    <cellStyle name="Normal 15 4 33 2" xfId="16823" xr:uid="{00000000-0005-0000-0000-00008B180000}"/>
    <cellStyle name="Normal 15 4 34" xfId="4786" xr:uid="{00000000-0005-0000-0000-00008C180000}"/>
    <cellStyle name="Normal 15 4 34 2" xfId="16824" xr:uid="{00000000-0005-0000-0000-00008D180000}"/>
    <cellStyle name="Normal 15 4 35" xfId="4787" xr:uid="{00000000-0005-0000-0000-00008E180000}"/>
    <cellStyle name="Normal 15 4 35 2" xfId="16825" xr:uid="{00000000-0005-0000-0000-00008F180000}"/>
    <cellStyle name="Normal 15 4 36" xfId="4788" xr:uid="{00000000-0005-0000-0000-000090180000}"/>
    <cellStyle name="Normal 15 4 36 2" xfId="16826" xr:uid="{00000000-0005-0000-0000-000091180000}"/>
    <cellStyle name="Normal 15 4 37" xfId="4789" xr:uid="{00000000-0005-0000-0000-000092180000}"/>
    <cellStyle name="Normal 15 4 37 2" xfId="16827" xr:uid="{00000000-0005-0000-0000-000093180000}"/>
    <cellStyle name="Normal 15 4 38" xfId="4790" xr:uid="{00000000-0005-0000-0000-000094180000}"/>
    <cellStyle name="Normal 15 4 38 2" xfId="16828" xr:uid="{00000000-0005-0000-0000-000095180000}"/>
    <cellStyle name="Normal 15 4 39" xfId="4791" xr:uid="{00000000-0005-0000-0000-000096180000}"/>
    <cellStyle name="Normal 15 4 39 2" xfId="16829" xr:uid="{00000000-0005-0000-0000-000097180000}"/>
    <cellStyle name="Normal 15 4 4" xfId="4792" xr:uid="{00000000-0005-0000-0000-000098180000}"/>
    <cellStyle name="Normal 15 4 4 2" xfId="16830" xr:uid="{00000000-0005-0000-0000-000099180000}"/>
    <cellStyle name="Normal 15 4 40" xfId="4793" xr:uid="{00000000-0005-0000-0000-00009A180000}"/>
    <cellStyle name="Normal 15 4 40 2" xfId="16831" xr:uid="{00000000-0005-0000-0000-00009B180000}"/>
    <cellStyle name="Normal 15 4 41" xfId="4794" xr:uid="{00000000-0005-0000-0000-00009C180000}"/>
    <cellStyle name="Normal 15 4 41 2" xfId="16832" xr:uid="{00000000-0005-0000-0000-00009D180000}"/>
    <cellStyle name="Normal 15 4 42" xfId="4795" xr:uid="{00000000-0005-0000-0000-00009E180000}"/>
    <cellStyle name="Normal 15 4 42 2" xfId="16833" xr:uid="{00000000-0005-0000-0000-00009F180000}"/>
    <cellStyle name="Normal 15 4 43" xfId="4796" xr:uid="{00000000-0005-0000-0000-0000A0180000}"/>
    <cellStyle name="Normal 15 4 43 2" xfId="16834" xr:uid="{00000000-0005-0000-0000-0000A1180000}"/>
    <cellStyle name="Normal 15 4 44" xfId="4797" xr:uid="{00000000-0005-0000-0000-0000A2180000}"/>
    <cellStyle name="Normal 15 4 44 2" xfId="16835" xr:uid="{00000000-0005-0000-0000-0000A3180000}"/>
    <cellStyle name="Normal 15 4 45" xfId="4798" xr:uid="{00000000-0005-0000-0000-0000A4180000}"/>
    <cellStyle name="Normal 15 4 45 2" xfId="16836" xr:uid="{00000000-0005-0000-0000-0000A5180000}"/>
    <cellStyle name="Normal 15 4 46" xfId="4799" xr:uid="{00000000-0005-0000-0000-0000A6180000}"/>
    <cellStyle name="Normal 15 4 46 2" xfId="16837" xr:uid="{00000000-0005-0000-0000-0000A7180000}"/>
    <cellStyle name="Normal 15 4 47" xfId="4800" xr:uid="{00000000-0005-0000-0000-0000A8180000}"/>
    <cellStyle name="Normal 15 4 47 2" xfId="16838" xr:uid="{00000000-0005-0000-0000-0000A9180000}"/>
    <cellStyle name="Normal 15 4 48" xfId="4801" xr:uid="{00000000-0005-0000-0000-0000AA180000}"/>
    <cellStyle name="Normal 15 4 48 2" xfId="16839" xr:uid="{00000000-0005-0000-0000-0000AB180000}"/>
    <cellStyle name="Normal 15 4 49" xfId="4802" xr:uid="{00000000-0005-0000-0000-0000AC180000}"/>
    <cellStyle name="Normal 15 4 49 2" xfId="16840" xr:uid="{00000000-0005-0000-0000-0000AD180000}"/>
    <cellStyle name="Normal 15 4 5" xfId="4803" xr:uid="{00000000-0005-0000-0000-0000AE180000}"/>
    <cellStyle name="Normal 15 4 5 2" xfId="16841" xr:uid="{00000000-0005-0000-0000-0000AF180000}"/>
    <cellStyle name="Normal 15 4 50" xfId="4804" xr:uid="{00000000-0005-0000-0000-0000B0180000}"/>
    <cellStyle name="Normal 15 4 50 2" xfId="16842" xr:uid="{00000000-0005-0000-0000-0000B1180000}"/>
    <cellStyle name="Normal 15 4 51" xfId="4805" xr:uid="{00000000-0005-0000-0000-0000B2180000}"/>
    <cellStyle name="Normal 15 4 51 2" xfId="16843" xr:uid="{00000000-0005-0000-0000-0000B3180000}"/>
    <cellStyle name="Normal 15 4 52" xfId="4806" xr:uid="{00000000-0005-0000-0000-0000B4180000}"/>
    <cellStyle name="Normal 15 4 52 2" xfId="16844" xr:uid="{00000000-0005-0000-0000-0000B5180000}"/>
    <cellStyle name="Normal 15 4 53" xfId="4807" xr:uid="{00000000-0005-0000-0000-0000B6180000}"/>
    <cellStyle name="Normal 15 4 53 2" xfId="16845" xr:uid="{00000000-0005-0000-0000-0000B7180000}"/>
    <cellStyle name="Normal 15 4 54" xfId="4808" xr:uid="{00000000-0005-0000-0000-0000B8180000}"/>
    <cellStyle name="Normal 15 4 54 2" xfId="16846" xr:uid="{00000000-0005-0000-0000-0000B9180000}"/>
    <cellStyle name="Normal 15 4 55" xfId="4809" xr:uid="{00000000-0005-0000-0000-0000BA180000}"/>
    <cellStyle name="Normal 15 4 55 2" xfId="16847" xr:uid="{00000000-0005-0000-0000-0000BB180000}"/>
    <cellStyle name="Normal 15 4 56" xfId="4810" xr:uid="{00000000-0005-0000-0000-0000BC180000}"/>
    <cellStyle name="Normal 15 4 56 2" xfId="16848" xr:uid="{00000000-0005-0000-0000-0000BD180000}"/>
    <cellStyle name="Normal 15 4 57" xfId="4811" xr:uid="{00000000-0005-0000-0000-0000BE180000}"/>
    <cellStyle name="Normal 15 4 57 2" xfId="16849" xr:uid="{00000000-0005-0000-0000-0000BF180000}"/>
    <cellStyle name="Normal 15 4 58" xfId="4812" xr:uid="{00000000-0005-0000-0000-0000C0180000}"/>
    <cellStyle name="Normal 15 4 58 2" xfId="16850" xr:uid="{00000000-0005-0000-0000-0000C1180000}"/>
    <cellStyle name="Normal 15 4 59" xfId="4813" xr:uid="{00000000-0005-0000-0000-0000C2180000}"/>
    <cellStyle name="Normal 15 4 59 2" xfId="16851" xr:uid="{00000000-0005-0000-0000-0000C3180000}"/>
    <cellStyle name="Normal 15 4 6" xfId="4814" xr:uid="{00000000-0005-0000-0000-0000C4180000}"/>
    <cellStyle name="Normal 15 4 6 2" xfId="16852" xr:uid="{00000000-0005-0000-0000-0000C5180000}"/>
    <cellStyle name="Normal 15 4 60" xfId="4815" xr:uid="{00000000-0005-0000-0000-0000C6180000}"/>
    <cellStyle name="Normal 15 4 60 2" xfId="16853" xr:uid="{00000000-0005-0000-0000-0000C7180000}"/>
    <cellStyle name="Normal 15 4 61" xfId="4816" xr:uid="{00000000-0005-0000-0000-0000C8180000}"/>
    <cellStyle name="Normal 15 4 61 2" xfId="16854" xr:uid="{00000000-0005-0000-0000-0000C9180000}"/>
    <cellStyle name="Normal 15 4 62" xfId="4817" xr:uid="{00000000-0005-0000-0000-0000CA180000}"/>
    <cellStyle name="Normal 15 4 62 2" xfId="16855" xr:uid="{00000000-0005-0000-0000-0000CB180000}"/>
    <cellStyle name="Normal 15 4 63" xfId="4818" xr:uid="{00000000-0005-0000-0000-0000CC180000}"/>
    <cellStyle name="Normal 15 4 63 2" xfId="16856" xr:uid="{00000000-0005-0000-0000-0000CD180000}"/>
    <cellStyle name="Normal 15 4 64" xfId="4819" xr:uid="{00000000-0005-0000-0000-0000CE180000}"/>
    <cellStyle name="Normal 15 4 64 2" xfId="16857" xr:uid="{00000000-0005-0000-0000-0000CF180000}"/>
    <cellStyle name="Normal 15 4 65" xfId="4820" xr:uid="{00000000-0005-0000-0000-0000D0180000}"/>
    <cellStyle name="Normal 15 4 65 2" xfId="16858" xr:uid="{00000000-0005-0000-0000-0000D1180000}"/>
    <cellStyle name="Normal 15 4 66" xfId="4821" xr:uid="{00000000-0005-0000-0000-0000D2180000}"/>
    <cellStyle name="Normal 15 4 66 2" xfId="16859" xr:uid="{00000000-0005-0000-0000-0000D3180000}"/>
    <cellStyle name="Normal 15 4 67" xfId="4822" xr:uid="{00000000-0005-0000-0000-0000D4180000}"/>
    <cellStyle name="Normal 15 4 67 2" xfId="16860" xr:uid="{00000000-0005-0000-0000-0000D5180000}"/>
    <cellStyle name="Normal 15 4 68" xfId="4823" xr:uid="{00000000-0005-0000-0000-0000D6180000}"/>
    <cellStyle name="Normal 15 4 68 2" xfId="16861" xr:uid="{00000000-0005-0000-0000-0000D7180000}"/>
    <cellStyle name="Normal 15 4 69" xfId="4824" xr:uid="{00000000-0005-0000-0000-0000D8180000}"/>
    <cellStyle name="Normal 15 4 69 2" xfId="16862" xr:uid="{00000000-0005-0000-0000-0000D9180000}"/>
    <cellStyle name="Normal 15 4 7" xfId="4825" xr:uid="{00000000-0005-0000-0000-0000DA180000}"/>
    <cellStyle name="Normal 15 4 7 2" xfId="16863" xr:uid="{00000000-0005-0000-0000-0000DB180000}"/>
    <cellStyle name="Normal 15 4 70" xfId="4826" xr:uid="{00000000-0005-0000-0000-0000DC180000}"/>
    <cellStyle name="Normal 15 4 70 2" xfId="16864" xr:uid="{00000000-0005-0000-0000-0000DD180000}"/>
    <cellStyle name="Normal 15 4 71" xfId="4827" xr:uid="{00000000-0005-0000-0000-0000DE180000}"/>
    <cellStyle name="Normal 15 4 71 2" xfId="16865" xr:uid="{00000000-0005-0000-0000-0000DF180000}"/>
    <cellStyle name="Normal 15 4 72" xfId="4828" xr:uid="{00000000-0005-0000-0000-0000E0180000}"/>
    <cellStyle name="Normal 15 4 72 2" xfId="16866" xr:uid="{00000000-0005-0000-0000-0000E1180000}"/>
    <cellStyle name="Normal 15 4 73" xfId="4829" xr:uid="{00000000-0005-0000-0000-0000E2180000}"/>
    <cellStyle name="Normal 15 4 73 2" xfId="16867" xr:uid="{00000000-0005-0000-0000-0000E3180000}"/>
    <cellStyle name="Normal 15 4 74" xfId="4830" xr:uid="{00000000-0005-0000-0000-0000E4180000}"/>
    <cellStyle name="Normal 15 4 74 2" xfId="16868" xr:uid="{00000000-0005-0000-0000-0000E5180000}"/>
    <cellStyle name="Normal 15 4 75" xfId="4831" xr:uid="{00000000-0005-0000-0000-0000E6180000}"/>
    <cellStyle name="Normal 15 4 75 2" xfId="16869" xr:uid="{00000000-0005-0000-0000-0000E7180000}"/>
    <cellStyle name="Normal 15 4 76" xfId="4832" xr:uid="{00000000-0005-0000-0000-0000E8180000}"/>
    <cellStyle name="Normal 15 4 76 2" xfId="16870" xr:uid="{00000000-0005-0000-0000-0000E9180000}"/>
    <cellStyle name="Normal 15 4 77" xfId="4833" xr:uid="{00000000-0005-0000-0000-0000EA180000}"/>
    <cellStyle name="Normal 15 4 77 2" xfId="16871" xr:uid="{00000000-0005-0000-0000-0000EB180000}"/>
    <cellStyle name="Normal 15 4 78" xfId="4834" xr:uid="{00000000-0005-0000-0000-0000EC180000}"/>
    <cellStyle name="Normal 15 4 78 2" xfId="16872" xr:uid="{00000000-0005-0000-0000-0000ED180000}"/>
    <cellStyle name="Normal 15 4 79" xfId="4835" xr:uid="{00000000-0005-0000-0000-0000EE180000}"/>
    <cellStyle name="Normal 15 4 79 2" xfId="16873" xr:uid="{00000000-0005-0000-0000-0000EF180000}"/>
    <cellStyle name="Normal 15 4 8" xfId="4836" xr:uid="{00000000-0005-0000-0000-0000F0180000}"/>
    <cellStyle name="Normal 15 4 8 2" xfId="16874" xr:uid="{00000000-0005-0000-0000-0000F1180000}"/>
    <cellStyle name="Normal 15 4 80" xfId="16797" xr:uid="{00000000-0005-0000-0000-0000F2180000}"/>
    <cellStyle name="Normal 15 4 9" xfId="4837" xr:uid="{00000000-0005-0000-0000-0000F3180000}"/>
    <cellStyle name="Normal 15 4 9 2" xfId="16875" xr:uid="{00000000-0005-0000-0000-0000F4180000}"/>
    <cellStyle name="Normal 15 40" xfId="4838" xr:uid="{00000000-0005-0000-0000-0000F5180000}"/>
    <cellStyle name="Normal 15 40 2" xfId="16876" xr:uid="{00000000-0005-0000-0000-0000F6180000}"/>
    <cellStyle name="Normal 15 41" xfId="4839" xr:uid="{00000000-0005-0000-0000-0000F7180000}"/>
    <cellStyle name="Normal 15 41 2" xfId="16877" xr:uid="{00000000-0005-0000-0000-0000F8180000}"/>
    <cellStyle name="Normal 15 42" xfId="4840" xr:uid="{00000000-0005-0000-0000-0000F9180000}"/>
    <cellStyle name="Normal 15 42 2" xfId="16878" xr:uid="{00000000-0005-0000-0000-0000FA180000}"/>
    <cellStyle name="Normal 15 43" xfId="4841" xr:uid="{00000000-0005-0000-0000-0000FB180000}"/>
    <cellStyle name="Normal 15 43 2" xfId="16879" xr:uid="{00000000-0005-0000-0000-0000FC180000}"/>
    <cellStyle name="Normal 15 44" xfId="4842" xr:uid="{00000000-0005-0000-0000-0000FD180000}"/>
    <cellStyle name="Normal 15 44 2" xfId="16880" xr:uid="{00000000-0005-0000-0000-0000FE180000}"/>
    <cellStyle name="Normal 15 45" xfId="4843" xr:uid="{00000000-0005-0000-0000-0000FF180000}"/>
    <cellStyle name="Normal 15 45 2" xfId="16881" xr:uid="{00000000-0005-0000-0000-000000190000}"/>
    <cellStyle name="Normal 15 46" xfId="4844" xr:uid="{00000000-0005-0000-0000-000001190000}"/>
    <cellStyle name="Normal 15 46 2" xfId="16882" xr:uid="{00000000-0005-0000-0000-000002190000}"/>
    <cellStyle name="Normal 15 47" xfId="4845" xr:uid="{00000000-0005-0000-0000-000003190000}"/>
    <cellStyle name="Normal 15 47 2" xfId="16883" xr:uid="{00000000-0005-0000-0000-000004190000}"/>
    <cellStyle name="Normal 15 48" xfId="4846" xr:uid="{00000000-0005-0000-0000-000005190000}"/>
    <cellStyle name="Normal 15 48 2" xfId="16884" xr:uid="{00000000-0005-0000-0000-000006190000}"/>
    <cellStyle name="Normal 15 49" xfId="4847" xr:uid="{00000000-0005-0000-0000-000007190000}"/>
    <cellStyle name="Normal 15 49 2" xfId="16885" xr:uid="{00000000-0005-0000-0000-000008190000}"/>
    <cellStyle name="Normal 15 5" xfId="139" xr:uid="{00000000-0005-0000-0000-000009190000}"/>
    <cellStyle name="Normal 15 5 2" xfId="16886" xr:uid="{00000000-0005-0000-0000-00000A190000}"/>
    <cellStyle name="Normal 15 5 3" xfId="4848" xr:uid="{00000000-0005-0000-0000-00000B190000}"/>
    <cellStyle name="Normal 15 50" xfId="4849" xr:uid="{00000000-0005-0000-0000-00000C190000}"/>
    <cellStyle name="Normal 15 50 2" xfId="16887" xr:uid="{00000000-0005-0000-0000-00000D190000}"/>
    <cellStyle name="Normal 15 51" xfId="4850" xr:uid="{00000000-0005-0000-0000-00000E190000}"/>
    <cellStyle name="Normal 15 51 2" xfId="16888" xr:uid="{00000000-0005-0000-0000-00000F190000}"/>
    <cellStyle name="Normal 15 52" xfId="4851" xr:uid="{00000000-0005-0000-0000-000010190000}"/>
    <cellStyle name="Normal 15 52 2" xfId="16889" xr:uid="{00000000-0005-0000-0000-000011190000}"/>
    <cellStyle name="Normal 15 53" xfId="4852" xr:uid="{00000000-0005-0000-0000-000012190000}"/>
    <cellStyle name="Normal 15 53 2" xfId="16890" xr:uid="{00000000-0005-0000-0000-000013190000}"/>
    <cellStyle name="Normal 15 54" xfId="4853" xr:uid="{00000000-0005-0000-0000-000014190000}"/>
    <cellStyle name="Normal 15 54 2" xfId="16891" xr:uid="{00000000-0005-0000-0000-000015190000}"/>
    <cellStyle name="Normal 15 55" xfId="4854" xr:uid="{00000000-0005-0000-0000-000016190000}"/>
    <cellStyle name="Normal 15 55 2" xfId="16892" xr:uid="{00000000-0005-0000-0000-000017190000}"/>
    <cellStyle name="Normal 15 56" xfId="4855" xr:uid="{00000000-0005-0000-0000-000018190000}"/>
    <cellStyle name="Normal 15 56 2" xfId="16893" xr:uid="{00000000-0005-0000-0000-000019190000}"/>
    <cellStyle name="Normal 15 57" xfId="4856" xr:uid="{00000000-0005-0000-0000-00001A190000}"/>
    <cellStyle name="Normal 15 57 2" xfId="16894" xr:uid="{00000000-0005-0000-0000-00001B190000}"/>
    <cellStyle name="Normal 15 58" xfId="4857" xr:uid="{00000000-0005-0000-0000-00001C190000}"/>
    <cellStyle name="Normal 15 58 2" xfId="16895" xr:uid="{00000000-0005-0000-0000-00001D190000}"/>
    <cellStyle name="Normal 15 59" xfId="4858" xr:uid="{00000000-0005-0000-0000-00001E190000}"/>
    <cellStyle name="Normal 15 59 2" xfId="16896" xr:uid="{00000000-0005-0000-0000-00001F190000}"/>
    <cellStyle name="Normal 15 6" xfId="4859" xr:uid="{00000000-0005-0000-0000-000020190000}"/>
    <cellStyle name="Normal 15 6 2" xfId="16897" xr:uid="{00000000-0005-0000-0000-000021190000}"/>
    <cellStyle name="Normal 15 60" xfId="4860" xr:uid="{00000000-0005-0000-0000-000022190000}"/>
    <cellStyle name="Normal 15 60 2" xfId="16898" xr:uid="{00000000-0005-0000-0000-000023190000}"/>
    <cellStyle name="Normal 15 61" xfId="4861" xr:uid="{00000000-0005-0000-0000-000024190000}"/>
    <cellStyle name="Normal 15 61 2" xfId="16899" xr:uid="{00000000-0005-0000-0000-000025190000}"/>
    <cellStyle name="Normal 15 62" xfId="4862" xr:uid="{00000000-0005-0000-0000-000026190000}"/>
    <cellStyle name="Normal 15 62 2" xfId="16900" xr:uid="{00000000-0005-0000-0000-000027190000}"/>
    <cellStyle name="Normal 15 63" xfId="4863" xr:uid="{00000000-0005-0000-0000-000028190000}"/>
    <cellStyle name="Normal 15 63 2" xfId="16901" xr:uid="{00000000-0005-0000-0000-000029190000}"/>
    <cellStyle name="Normal 15 64" xfId="4864" xr:uid="{00000000-0005-0000-0000-00002A190000}"/>
    <cellStyle name="Normal 15 64 2" xfId="16902" xr:uid="{00000000-0005-0000-0000-00002B190000}"/>
    <cellStyle name="Normal 15 65" xfId="4865" xr:uid="{00000000-0005-0000-0000-00002C190000}"/>
    <cellStyle name="Normal 15 65 2" xfId="16903" xr:uid="{00000000-0005-0000-0000-00002D190000}"/>
    <cellStyle name="Normal 15 66" xfId="4866" xr:uid="{00000000-0005-0000-0000-00002E190000}"/>
    <cellStyle name="Normal 15 66 2" xfId="16904" xr:uid="{00000000-0005-0000-0000-00002F190000}"/>
    <cellStyle name="Normal 15 67" xfId="4867" xr:uid="{00000000-0005-0000-0000-000030190000}"/>
    <cellStyle name="Normal 15 67 2" xfId="16905" xr:uid="{00000000-0005-0000-0000-000031190000}"/>
    <cellStyle name="Normal 15 68" xfId="4868" xr:uid="{00000000-0005-0000-0000-000032190000}"/>
    <cellStyle name="Normal 15 68 2" xfId="16906" xr:uid="{00000000-0005-0000-0000-000033190000}"/>
    <cellStyle name="Normal 15 69" xfId="4869" xr:uid="{00000000-0005-0000-0000-000034190000}"/>
    <cellStyle name="Normal 15 69 2" xfId="16907" xr:uid="{00000000-0005-0000-0000-000035190000}"/>
    <cellStyle name="Normal 15 7" xfId="4870" xr:uid="{00000000-0005-0000-0000-000036190000}"/>
    <cellStyle name="Normal 15 7 2" xfId="16908" xr:uid="{00000000-0005-0000-0000-000037190000}"/>
    <cellStyle name="Normal 15 70" xfId="4871" xr:uid="{00000000-0005-0000-0000-000038190000}"/>
    <cellStyle name="Normal 15 70 2" xfId="16909" xr:uid="{00000000-0005-0000-0000-000039190000}"/>
    <cellStyle name="Normal 15 71" xfId="4872" xr:uid="{00000000-0005-0000-0000-00003A190000}"/>
    <cellStyle name="Normal 15 71 2" xfId="16910" xr:uid="{00000000-0005-0000-0000-00003B190000}"/>
    <cellStyle name="Normal 15 72" xfId="4873" xr:uid="{00000000-0005-0000-0000-00003C190000}"/>
    <cellStyle name="Normal 15 72 2" xfId="16911" xr:uid="{00000000-0005-0000-0000-00003D190000}"/>
    <cellStyle name="Normal 15 73" xfId="4874" xr:uid="{00000000-0005-0000-0000-00003E190000}"/>
    <cellStyle name="Normal 15 73 2" xfId="16912" xr:uid="{00000000-0005-0000-0000-00003F190000}"/>
    <cellStyle name="Normal 15 74" xfId="4875" xr:uid="{00000000-0005-0000-0000-000040190000}"/>
    <cellStyle name="Normal 15 74 2" xfId="16913" xr:uid="{00000000-0005-0000-0000-000041190000}"/>
    <cellStyle name="Normal 15 75" xfId="4876" xr:uid="{00000000-0005-0000-0000-000042190000}"/>
    <cellStyle name="Normal 15 75 2" xfId="16914" xr:uid="{00000000-0005-0000-0000-000043190000}"/>
    <cellStyle name="Normal 15 76" xfId="4877" xr:uid="{00000000-0005-0000-0000-000044190000}"/>
    <cellStyle name="Normal 15 76 2" xfId="16915" xr:uid="{00000000-0005-0000-0000-000045190000}"/>
    <cellStyle name="Normal 15 77" xfId="4878" xr:uid="{00000000-0005-0000-0000-000046190000}"/>
    <cellStyle name="Normal 15 77 2" xfId="16916" xr:uid="{00000000-0005-0000-0000-000047190000}"/>
    <cellStyle name="Normal 15 78" xfId="4879" xr:uid="{00000000-0005-0000-0000-000048190000}"/>
    <cellStyle name="Normal 15 78 2" xfId="16917" xr:uid="{00000000-0005-0000-0000-000049190000}"/>
    <cellStyle name="Normal 15 79" xfId="4880" xr:uid="{00000000-0005-0000-0000-00004A190000}"/>
    <cellStyle name="Normal 15 79 2" xfId="16918" xr:uid="{00000000-0005-0000-0000-00004B190000}"/>
    <cellStyle name="Normal 15 8" xfId="4881" xr:uid="{00000000-0005-0000-0000-00004C190000}"/>
    <cellStyle name="Normal 15 8 2" xfId="16919" xr:uid="{00000000-0005-0000-0000-00004D190000}"/>
    <cellStyle name="Normal 15 80" xfId="4882" xr:uid="{00000000-0005-0000-0000-00004E190000}"/>
    <cellStyle name="Normal 15 80 2" xfId="16920" xr:uid="{00000000-0005-0000-0000-00004F190000}"/>
    <cellStyle name="Normal 15 81" xfId="4883" xr:uid="{00000000-0005-0000-0000-000050190000}"/>
    <cellStyle name="Normal 15 81 2" xfId="16921" xr:uid="{00000000-0005-0000-0000-000051190000}"/>
    <cellStyle name="Normal 15 82" xfId="4884" xr:uid="{00000000-0005-0000-0000-000052190000}"/>
    <cellStyle name="Normal 15 82 2" xfId="16922" xr:uid="{00000000-0005-0000-0000-000053190000}"/>
    <cellStyle name="Normal 15 83" xfId="2910" xr:uid="{00000000-0005-0000-0000-000054190000}"/>
    <cellStyle name="Normal 15 9" xfId="4885" xr:uid="{00000000-0005-0000-0000-000055190000}"/>
    <cellStyle name="Normal 15 9 2" xfId="16923" xr:uid="{00000000-0005-0000-0000-000056190000}"/>
    <cellStyle name="Normal 150" xfId="491" xr:uid="{00000000-0005-0000-0000-000057190000}"/>
    <cellStyle name="Normal 150 2" xfId="588" xr:uid="{00000000-0005-0000-0000-000058190000}"/>
    <cellStyle name="Normal 150 3" xfId="1007" xr:uid="{00000000-0005-0000-0000-000059190000}"/>
    <cellStyle name="Normal 150 4" xfId="1160" xr:uid="{00000000-0005-0000-0000-00005A190000}"/>
    <cellStyle name="Normal 150 5" xfId="1094" xr:uid="{00000000-0005-0000-0000-00005B190000}"/>
    <cellStyle name="Normal 150 6" xfId="898" xr:uid="{00000000-0005-0000-0000-00005C190000}"/>
    <cellStyle name="Normal 150 7" xfId="1272" xr:uid="{00000000-0005-0000-0000-00005D190000}"/>
    <cellStyle name="Normal 150 8" xfId="1341" xr:uid="{00000000-0005-0000-0000-00005E190000}"/>
    <cellStyle name="Normal 150 9" xfId="1404" xr:uid="{00000000-0005-0000-0000-00005F190000}"/>
    <cellStyle name="Normal 151" xfId="492" xr:uid="{00000000-0005-0000-0000-000060190000}"/>
    <cellStyle name="Normal 151 2" xfId="589" xr:uid="{00000000-0005-0000-0000-000061190000}"/>
    <cellStyle name="Normal 151 3" xfId="1008" xr:uid="{00000000-0005-0000-0000-000062190000}"/>
    <cellStyle name="Normal 151 4" xfId="1159" xr:uid="{00000000-0005-0000-0000-000063190000}"/>
    <cellStyle name="Normal 151 5" xfId="1095" xr:uid="{00000000-0005-0000-0000-000064190000}"/>
    <cellStyle name="Normal 151 6" xfId="1202" xr:uid="{00000000-0005-0000-0000-000065190000}"/>
    <cellStyle name="Normal 151 7" xfId="985" xr:uid="{00000000-0005-0000-0000-000066190000}"/>
    <cellStyle name="Normal 151 8" xfId="1222" xr:uid="{00000000-0005-0000-0000-000067190000}"/>
    <cellStyle name="Normal 151 9" xfId="1168" xr:uid="{00000000-0005-0000-0000-000068190000}"/>
    <cellStyle name="Normal 152" xfId="493" xr:uid="{00000000-0005-0000-0000-000069190000}"/>
    <cellStyle name="Normal 152 2" xfId="590" xr:uid="{00000000-0005-0000-0000-00006A190000}"/>
    <cellStyle name="Normal 152 3" xfId="1009" xr:uid="{00000000-0005-0000-0000-00006B190000}"/>
    <cellStyle name="Normal 152 4" xfId="1158" xr:uid="{00000000-0005-0000-0000-00006C190000}"/>
    <cellStyle name="Normal 152 5" xfId="1096" xr:uid="{00000000-0005-0000-0000-00006D190000}"/>
    <cellStyle name="Normal 152 6" xfId="881" xr:uid="{00000000-0005-0000-0000-00006E190000}"/>
    <cellStyle name="Normal 152 7" xfId="1283" xr:uid="{00000000-0005-0000-0000-00006F190000}"/>
    <cellStyle name="Normal 152 8" xfId="1352" xr:uid="{00000000-0005-0000-0000-000070190000}"/>
    <cellStyle name="Normal 152 9" xfId="1415" xr:uid="{00000000-0005-0000-0000-000071190000}"/>
    <cellStyle name="Normal 153" xfId="494" xr:uid="{00000000-0005-0000-0000-000072190000}"/>
    <cellStyle name="Normal 153 2" xfId="591" xr:uid="{00000000-0005-0000-0000-000073190000}"/>
    <cellStyle name="Normal 153 3" xfId="1010" xr:uid="{00000000-0005-0000-0000-000074190000}"/>
    <cellStyle name="Normal 153 4" xfId="1157" xr:uid="{00000000-0005-0000-0000-000075190000}"/>
    <cellStyle name="Normal 153 5" xfId="1097" xr:uid="{00000000-0005-0000-0000-000076190000}"/>
    <cellStyle name="Normal 153 6" xfId="897" xr:uid="{00000000-0005-0000-0000-000077190000}"/>
    <cellStyle name="Normal 153 7" xfId="1273" xr:uid="{00000000-0005-0000-0000-000078190000}"/>
    <cellStyle name="Normal 153 8" xfId="1342" xr:uid="{00000000-0005-0000-0000-000079190000}"/>
    <cellStyle name="Normal 153 9" xfId="1405" xr:uid="{00000000-0005-0000-0000-00007A190000}"/>
    <cellStyle name="Normal 154" xfId="495" xr:uid="{00000000-0005-0000-0000-00007B190000}"/>
    <cellStyle name="Normal 154 2" xfId="592" xr:uid="{00000000-0005-0000-0000-00007C190000}"/>
    <cellStyle name="Normal 154 3" xfId="1011" xr:uid="{00000000-0005-0000-0000-00007D190000}"/>
    <cellStyle name="Normal 154 4" xfId="1156" xr:uid="{00000000-0005-0000-0000-00007E190000}"/>
    <cellStyle name="Normal 154 5" xfId="1098" xr:uid="{00000000-0005-0000-0000-00007F190000}"/>
    <cellStyle name="Normal 154 6" xfId="896" xr:uid="{00000000-0005-0000-0000-000080190000}"/>
    <cellStyle name="Normal 154 7" xfId="1274" xr:uid="{00000000-0005-0000-0000-000081190000}"/>
    <cellStyle name="Normal 154 8" xfId="1343" xr:uid="{00000000-0005-0000-0000-000082190000}"/>
    <cellStyle name="Normal 154 9" xfId="1406" xr:uid="{00000000-0005-0000-0000-000083190000}"/>
    <cellStyle name="Normal 155" xfId="496" xr:uid="{00000000-0005-0000-0000-000084190000}"/>
    <cellStyle name="Normal 155 2" xfId="593" xr:uid="{00000000-0005-0000-0000-000085190000}"/>
    <cellStyle name="Normal 155 3" xfId="1012" xr:uid="{00000000-0005-0000-0000-000086190000}"/>
    <cellStyle name="Normal 155 4" xfId="1155" xr:uid="{00000000-0005-0000-0000-000087190000}"/>
    <cellStyle name="Normal 155 5" xfId="860" xr:uid="{00000000-0005-0000-0000-000088190000}"/>
    <cellStyle name="Normal 155 6" xfId="959" xr:uid="{00000000-0005-0000-0000-000089190000}"/>
    <cellStyle name="Normal 155 7" xfId="876" xr:uid="{00000000-0005-0000-0000-00008A190000}"/>
    <cellStyle name="Normal 155 8" xfId="1284" xr:uid="{00000000-0005-0000-0000-00008B190000}"/>
    <cellStyle name="Normal 155 9" xfId="1353" xr:uid="{00000000-0005-0000-0000-00008C190000}"/>
    <cellStyle name="Normal 156" xfId="497" xr:uid="{00000000-0005-0000-0000-00008D190000}"/>
    <cellStyle name="Normal 156 2" xfId="594" xr:uid="{00000000-0005-0000-0000-00008E190000}"/>
    <cellStyle name="Normal 156 3" xfId="1013" xr:uid="{00000000-0005-0000-0000-00008F190000}"/>
    <cellStyle name="Normal 156 4" xfId="1154" xr:uid="{00000000-0005-0000-0000-000090190000}"/>
    <cellStyle name="Normal 156 5" xfId="1196" xr:uid="{00000000-0005-0000-0000-000091190000}"/>
    <cellStyle name="Normal 156 6" xfId="988" xr:uid="{00000000-0005-0000-0000-000092190000}"/>
    <cellStyle name="Normal 156 7" xfId="1219" xr:uid="{00000000-0005-0000-0000-000093190000}"/>
    <cellStyle name="Normal 156 8" xfId="1169" xr:uid="{00000000-0005-0000-0000-000094190000}"/>
    <cellStyle name="Normal 156 9" xfId="1192" xr:uid="{00000000-0005-0000-0000-000095190000}"/>
    <cellStyle name="Normal 157" xfId="498" xr:uid="{00000000-0005-0000-0000-000096190000}"/>
    <cellStyle name="Normal 157 2" xfId="595" xr:uid="{00000000-0005-0000-0000-000097190000}"/>
    <cellStyle name="Normal 157 3" xfId="1014" xr:uid="{00000000-0005-0000-0000-000098190000}"/>
    <cellStyle name="Normal 157 4" xfId="1153" xr:uid="{00000000-0005-0000-0000-000099190000}"/>
    <cellStyle name="Normal 157 5" xfId="1197" xr:uid="{00000000-0005-0000-0000-00009A190000}"/>
    <cellStyle name="Normal 157 6" xfId="1180" xr:uid="{00000000-0005-0000-0000-00009B190000}"/>
    <cellStyle name="Normal 157 7" xfId="1332" xr:uid="{00000000-0005-0000-0000-00009C190000}"/>
    <cellStyle name="Normal 157 8" xfId="1396" xr:uid="{00000000-0005-0000-0000-00009D190000}"/>
    <cellStyle name="Normal 157 9" xfId="1446" xr:uid="{00000000-0005-0000-0000-00009E190000}"/>
    <cellStyle name="Normal 158" xfId="499" xr:uid="{00000000-0005-0000-0000-00009F190000}"/>
    <cellStyle name="Normal 158 2" xfId="596" xr:uid="{00000000-0005-0000-0000-0000A0190000}"/>
    <cellStyle name="Normal 158 3" xfId="1015" xr:uid="{00000000-0005-0000-0000-0000A1190000}"/>
    <cellStyle name="Normal 158 4" xfId="1214" xr:uid="{00000000-0005-0000-0000-0000A2190000}"/>
    <cellStyle name="Normal 158 5" xfId="980" xr:uid="{00000000-0005-0000-0000-0000A3190000}"/>
    <cellStyle name="Normal 158 6" xfId="1227" xr:uid="{00000000-0005-0000-0000-0000A4190000}"/>
    <cellStyle name="Normal 158 7" xfId="1166" xr:uid="{00000000-0005-0000-0000-0000A5190000}"/>
    <cellStyle name="Normal 158 8" xfId="859" xr:uid="{00000000-0005-0000-0000-0000A6190000}"/>
    <cellStyle name="Normal 158 9" xfId="1292" xr:uid="{00000000-0005-0000-0000-0000A7190000}"/>
    <cellStyle name="Normal 159" xfId="500" xr:uid="{00000000-0005-0000-0000-0000A8190000}"/>
    <cellStyle name="Normal 159 2" xfId="597" xr:uid="{00000000-0005-0000-0000-0000A9190000}"/>
    <cellStyle name="Normal 159 3" xfId="1016" xr:uid="{00000000-0005-0000-0000-0000AA190000}"/>
    <cellStyle name="Normal 159 4" xfId="864" xr:uid="{00000000-0005-0000-0000-0000AB190000}"/>
    <cellStyle name="Normal 159 5" xfId="957" xr:uid="{00000000-0005-0000-0000-0000AC190000}"/>
    <cellStyle name="Normal 159 6" xfId="1235" xr:uid="{00000000-0005-0000-0000-0000AD190000}"/>
    <cellStyle name="Normal 159 7" xfId="855" xr:uid="{00000000-0005-0000-0000-0000AE190000}"/>
    <cellStyle name="Normal 159 8" xfId="1310" xr:uid="{00000000-0005-0000-0000-0000AF190000}"/>
    <cellStyle name="Normal 159 9" xfId="1375" xr:uid="{00000000-0005-0000-0000-0000B0190000}"/>
    <cellStyle name="Normal 16" xfId="140" xr:uid="{00000000-0005-0000-0000-0000B1190000}"/>
    <cellStyle name="Normal 16 10" xfId="4886" xr:uid="{00000000-0005-0000-0000-0000B2190000}"/>
    <cellStyle name="Normal 16 10 2" xfId="16924" xr:uid="{00000000-0005-0000-0000-0000B3190000}"/>
    <cellStyle name="Normal 16 11" xfId="4887" xr:uid="{00000000-0005-0000-0000-0000B4190000}"/>
    <cellStyle name="Normal 16 11 2" xfId="16925" xr:uid="{00000000-0005-0000-0000-0000B5190000}"/>
    <cellStyle name="Normal 16 12" xfId="4888" xr:uid="{00000000-0005-0000-0000-0000B6190000}"/>
    <cellStyle name="Normal 16 12 2" xfId="16926" xr:uid="{00000000-0005-0000-0000-0000B7190000}"/>
    <cellStyle name="Normal 16 13" xfId="4889" xr:uid="{00000000-0005-0000-0000-0000B8190000}"/>
    <cellStyle name="Normal 16 13 2" xfId="16927" xr:uid="{00000000-0005-0000-0000-0000B9190000}"/>
    <cellStyle name="Normal 16 14" xfId="4890" xr:uid="{00000000-0005-0000-0000-0000BA190000}"/>
    <cellStyle name="Normal 16 14 2" xfId="16928" xr:uid="{00000000-0005-0000-0000-0000BB190000}"/>
    <cellStyle name="Normal 16 15" xfId="4891" xr:uid="{00000000-0005-0000-0000-0000BC190000}"/>
    <cellStyle name="Normal 16 15 2" xfId="16929" xr:uid="{00000000-0005-0000-0000-0000BD190000}"/>
    <cellStyle name="Normal 16 16" xfId="4892" xr:uid="{00000000-0005-0000-0000-0000BE190000}"/>
    <cellStyle name="Normal 16 16 2" xfId="16930" xr:uid="{00000000-0005-0000-0000-0000BF190000}"/>
    <cellStyle name="Normal 16 17" xfId="4893" xr:uid="{00000000-0005-0000-0000-0000C0190000}"/>
    <cellStyle name="Normal 16 17 2" xfId="16931" xr:uid="{00000000-0005-0000-0000-0000C1190000}"/>
    <cellStyle name="Normal 16 18" xfId="4894" xr:uid="{00000000-0005-0000-0000-0000C2190000}"/>
    <cellStyle name="Normal 16 18 2" xfId="16932" xr:uid="{00000000-0005-0000-0000-0000C3190000}"/>
    <cellStyle name="Normal 16 19" xfId="4895" xr:uid="{00000000-0005-0000-0000-0000C4190000}"/>
    <cellStyle name="Normal 16 19 2" xfId="16933" xr:uid="{00000000-0005-0000-0000-0000C5190000}"/>
    <cellStyle name="Normal 16 2" xfId="163" xr:uid="{00000000-0005-0000-0000-0000C6190000}"/>
    <cellStyle name="Normal 16 2 10" xfId="4897" xr:uid="{00000000-0005-0000-0000-0000C7190000}"/>
    <cellStyle name="Normal 16 2 10 2" xfId="16935" xr:uid="{00000000-0005-0000-0000-0000C8190000}"/>
    <cellStyle name="Normal 16 2 11" xfId="4898" xr:uid="{00000000-0005-0000-0000-0000C9190000}"/>
    <cellStyle name="Normal 16 2 11 2" xfId="16936" xr:uid="{00000000-0005-0000-0000-0000CA190000}"/>
    <cellStyle name="Normal 16 2 12" xfId="4899" xr:uid="{00000000-0005-0000-0000-0000CB190000}"/>
    <cellStyle name="Normal 16 2 12 2" xfId="16937" xr:uid="{00000000-0005-0000-0000-0000CC190000}"/>
    <cellStyle name="Normal 16 2 13" xfId="4900" xr:uid="{00000000-0005-0000-0000-0000CD190000}"/>
    <cellStyle name="Normal 16 2 13 2" xfId="16938" xr:uid="{00000000-0005-0000-0000-0000CE190000}"/>
    <cellStyle name="Normal 16 2 14" xfId="4901" xr:uid="{00000000-0005-0000-0000-0000CF190000}"/>
    <cellStyle name="Normal 16 2 14 2" xfId="16939" xr:uid="{00000000-0005-0000-0000-0000D0190000}"/>
    <cellStyle name="Normal 16 2 15" xfId="4902" xr:uid="{00000000-0005-0000-0000-0000D1190000}"/>
    <cellStyle name="Normal 16 2 15 2" xfId="16940" xr:uid="{00000000-0005-0000-0000-0000D2190000}"/>
    <cellStyle name="Normal 16 2 16" xfId="4903" xr:uid="{00000000-0005-0000-0000-0000D3190000}"/>
    <cellStyle name="Normal 16 2 16 2" xfId="16941" xr:uid="{00000000-0005-0000-0000-0000D4190000}"/>
    <cellStyle name="Normal 16 2 17" xfId="4904" xr:uid="{00000000-0005-0000-0000-0000D5190000}"/>
    <cellStyle name="Normal 16 2 17 2" xfId="16942" xr:uid="{00000000-0005-0000-0000-0000D6190000}"/>
    <cellStyle name="Normal 16 2 18" xfId="4905" xr:uid="{00000000-0005-0000-0000-0000D7190000}"/>
    <cellStyle name="Normal 16 2 18 2" xfId="16943" xr:uid="{00000000-0005-0000-0000-0000D8190000}"/>
    <cellStyle name="Normal 16 2 19" xfId="4906" xr:uid="{00000000-0005-0000-0000-0000D9190000}"/>
    <cellStyle name="Normal 16 2 19 2" xfId="16944" xr:uid="{00000000-0005-0000-0000-0000DA190000}"/>
    <cellStyle name="Normal 16 2 2" xfId="4907" xr:uid="{00000000-0005-0000-0000-0000DB190000}"/>
    <cellStyle name="Normal 16 2 2 2" xfId="16945" xr:uid="{00000000-0005-0000-0000-0000DC190000}"/>
    <cellStyle name="Normal 16 2 20" xfId="4908" xr:uid="{00000000-0005-0000-0000-0000DD190000}"/>
    <cellStyle name="Normal 16 2 20 2" xfId="16946" xr:uid="{00000000-0005-0000-0000-0000DE190000}"/>
    <cellStyle name="Normal 16 2 21" xfId="4909" xr:uid="{00000000-0005-0000-0000-0000DF190000}"/>
    <cellStyle name="Normal 16 2 21 2" xfId="16947" xr:uid="{00000000-0005-0000-0000-0000E0190000}"/>
    <cellStyle name="Normal 16 2 22" xfId="4910" xr:uid="{00000000-0005-0000-0000-0000E1190000}"/>
    <cellStyle name="Normal 16 2 22 2" xfId="16948" xr:uid="{00000000-0005-0000-0000-0000E2190000}"/>
    <cellStyle name="Normal 16 2 23" xfId="4911" xr:uid="{00000000-0005-0000-0000-0000E3190000}"/>
    <cellStyle name="Normal 16 2 23 2" xfId="16949" xr:uid="{00000000-0005-0000-0000-0000E4190000}"/>
    <cellStyle name="Normal 16 2 24" xfId="4912" xr:uid="{00000000-0005-0000-0000-0000E5190000}"/>
    <cellStyle name="Normal 16 2 24 2" xfId="16950" xr:uid="{00000000-0005-0000-0000-0000E6190000}"/>
    <cellStyle name="Normal 16 2 25" xfId="4913" xr:uid="{00000000-0005-0000-0000-0000E7190000}"/>
    <cellStyle name="Normal 16 2 25 2" xfId="16951" xr:uid="{00000000-0005-0000-0000-0000E8190000}"/>
    <cellStyle name="Normal 16 2 26" xfId="4914" xr:uid="{00000000-0005-0000-0000-0000E9190000}"/>
    <cellStyle name="Normal 16 2 26 2" xfId="16952" xr:uid="{00000000-0005-0000-0000-0000EA190000}"/>
    <cellStyle name="Normal 16 2 27" xfId="4915" xr:uid="{00000000-0005-0000-0000-0000EB190000}"/>
    <cellStyle name="Normal 16 2 27 2" xfId="16953" xr:uid="{00000000-0005-0000-0000-0000EC190000}"/>
    <cellStyle name="Normal 16 2 28" xfId="4916" xr:uid="{00000000-0005-0000-0000-0000ED190000}"/>
    <cellStyle name="Normal 16 2 28 2" xfId="16954" xr:uid="{00000000-0005-0000-0000-0000EE190000}"/>
    <cellStyle name="Normal 16 2 29" xfId="4917" xr:uid="{00000000-0005-0000-0000-0000EF190000}"/>
    <cellStyle name="Normal 16 2 29 2" xfId="16955" xr:uid="{00000000-0005-0000-0000-0000F0190000}"/>
    <cellStyle name="Normal 16 2 3" xfId="4918" xr:uid="{00000000-0005-0000-0000-0000F1190000}"/>
    <cellStyle name="Normal 16 2 3 2" xfId="16956" xr:uid="{00000000-0005-0000-0000-0000F2190000}"/>
    <cellStyle name="Normal 16 2 30" xfId="4919" xr:uid="{00000000-0005-0000-0000-0000F3190000}"/>
    <cellStyle name="Normal 16 2 30 2" xfId="16957" xr:uid="{00000000-0005-0000-0000-0000F4190000}"/>
    <cellStyle name="Normal 16 2 31" xfId="4920" xr:uid="{00000000-0005-0000-0000-0000F5190000}"/>
    <cellStyle name="Normal 16 2 31 2" xfId="16958" xr:uid="{00000000-0005-0000-0000-0000F6190000}"/>
    <cellStyle name="Normal 16 2 32" xfId="4921" xr:uid="{00000000-0005-0000-0000-0000F7190000}"/>
    <cellStyle name="Normal 16 2 32 2" xfId="16959" xr:uid="{00000000-0005-0000-0000-0000F8190000}"/>
    <cellStyle name="Normal 16 2 33" xfId="4922" xr:uid="{00000000-0005-0000-0000-0000F9190000}"/>
    <cellStyle name="Normal 16 2 33 2" xfId="16960" xr:uid="{00000000-0005-0000-0000-0000FA190000}"/>
    <cellStyle name="Normal 16 2 34" xfId="4923" xr:uid="{00000000-0005-0000-0000-0000FB190000}"/>
    <cellStyle name="Normal 16 2 34 2" xfId="16961" xr:uid="{00000000-0005-0000-0000-0000FC190000}"/>
    <cellStyle name="Normal 16 2 35" xfId="4924" xr:uid="{00000000-0005-0000-0000-0000FD190000}"/>
    <cellStyle name="Normal 16 2 35 2" xfId="16962" xr:uid="{00000000-0005-0000-0000-0000FE190000}"/>
    <cellStyle name="Normal 16 2 36" xfId="4925" xr:uid="{00000000-0005-0000-0000-0000FF190000}"/>
    <cellStyle name="Normal 16 2 36 2" xfId="16963" xr:uid="{00000000-0005-0000-0000-0000001A0000}"/>
    <cellStyle name="Normal 16 2 37" xfId="4926" xr:uid="{00000000-0005-0000-0000-0000011A0000}"/>
    <cellStyle name="Normal 16 2 37 2" xfId="16964" xr:uid="{00000000-0005-0000-0000-0000021A0000}"/>
    <cellStyle name="Normal 16 2 38" xfId="4927" xr:uid="{00000000-0005-0000-0000-0000031A0000}"/>
    <cellStyle name="Normal 16 2 38 2" xfId="16965" xr:uid="{00000000-0005-0000-0000-0000041A0000}"/>
    <cellStyle name="Normal 16 2 39" xfId="4928" xr:uid="{00000000-0005-0000-0000-0000051A0000}"/>
    <cellStyle name="Normal 16 2 39 2" xfId="16966" xr:uid="{00000000-0005-0000-0000-0000061A0000}"/>
    <cellStyle name="Normal 16 2 4" xfId="4929" xr:uid="{00000000-0005-0000-0000-0000071A0000}"/>
    <cellStyle name="Normal 16 2 4 2" xfId="16967" xr:uid="{00000000-0005-0000-0000-0000081A0000}"/>
    <cellStyle name="Normal 16 2 40" xfId="4930" xr:uid="{00000000-0005-0000-0000-0000091A0000}"/>
    <cellStyle name="Normal 16 2 40 2" xfId="16968" xr:uid="{00000000-0005-0000-0000-00000A1A0000}"/>
    <cellStyle name="Normal 16 2 41" xfId="4931" xr:uid="{00000000-0005-0000-0000-00000B1A0000}"/>
    <cellStyle name="Normal 16 2 41 2" xfId="16969" xr:uid="{00000000-0005-0000-0000-00000C1A0000}"/>
    <cellStyle name="Normal 16 2 42" xfId="4932" xr:uid="{00000000-0005-0000-0000-00000D1A0000}"/>
    <cellStyle name="Normal 16 2 42 2" xfId="16970" xr:uid="{00000000-0005-0000-0000-00000E1A0000}"/>
    <cellStyle name="Normal 16 2 43" xfId="4933" xr:uid="{00000000-0005-0000-0000-00000F1A0000}"/>
    <cellStyle name="Normal 16 2 43 2" xfId="16971" xr:uid="{00000000-0005-0000-0000-0000101A0000}"/>
    <cellStyle name="Normal 16 2 44" xfId="4934" xr:uid="{00000000-0005-0000-0000-0000111A0000}"/>
    <cellStyle name="Normal 16 2 44 2" xfId="16972" xr:uid="{00000000-0005-0000-0000-0000121A0000}"/>
    <cellStyle name="Normal 16 2 45" xfId="4935" xr:uid="{00000000-0005-0000-0000-0000131A0000}"/>
    <cellStyle name="Normal 16 2 45 2" xfId="16973" xr:uid="{00000000-0005-0000-0000-0000141A0000}"/>
    <cellStyle name="Normal 16 2 46" xfId="4936" xr:uid="{00000000-0005-0000-0000-0000151A0000}"/>
    <cellStyle name="Normal 16 2 46 2" xfId="16974" xr:uid="{00000000-0005-0000-0000-0000161A0000}"/>
    <cellStyle name="Normal 16 2 47" xfId="4937" xr:uid="{00000000-0005-0000-0000-0000171A0000}"/>
    <cellStyle name="Normal 16 2 47 2" xfId="16975" xr:uid="{00000000-0005-0000-0000-0000181A0000}"/>
    <cellStyle name="Normal 16 2 48" xfId="4938" xr:uid="{00000000-0005-0000-0000-0000191A0000}"/>
    <cellStyle name="Normal 16 2 48 2" xfId="16976" xr:uid="{00000000-0005-0000-0000-00001A1A0000}"/>
    <cellStyle name="Normal 16 2 49" xfId="4939" xr:uid="{00000000-0005-0000-0000-00001B1A0000}"/>
    <cellStyle name="Normal 16 2 49 2" xfId="16977" xr:uid="{00000000-0005-0000-0000-00001C1A0000}"/>
    <cellStyle name="Normal 16 2 5" xfId="4940" xr:uid="{00000000-0005-0000-0000-00001D1A0000}"/>
    <cellStyle name="Normal 16 2 5 2" xfId="16978" xr:uid="{00000000-0005-0000-0000-00001E1A0000}"/>
    <cellStyle name="Normal 16 2 50" xfId="4941" xr:uid="{00000000-0005-0000-0000-00001F1A0000}"/>
    <cellStyle name="Normal 16 2 50 2" xfId="16979" xr:uid="{00000000-0005-0000-0000-0000201A0000}"/>
    <cellStyle name="Normal 16 2 51" xfId="4942" xr:uid="{00000000-0005-0000-0000-0000211A0000}"/>
    <cellStyle name="Normal 16 2 51 2" xfId="16980" xr:uid="{00000000-0005-0000-0000-0000221A0000}"/>
    <cellStyle name="Normal 16 2 52" xfId="4943" xr:uid="{00000000-0005-0000-0000-0000231A0000}"/>
    <cellStyle name="Normal 16 2 52 2" xfId="16981" xr:uid="{00000000-0005-0000-0000-0000241A0000}"/>
    <cellStyle name="Normal 16 2 53" xfId="4944" xr:uid="{00000000-0005-0000-0000-0000251A0000}"/>
    <cellStyle name="Normal 16 2 53 2" xfId="16982" xr:uid="{00000000-0005-0000-0000-0000261A0000}"/>
    <cellStyle name="Normal 16 2 54" xfId="4945" xr:uid="{00000000-0005-0000-0000-0000271A0000}"/>
    <cellStyle name="Normal 16 2 54 2" xfId="16983" xr:uid="{00000000-0005-0000-0000-0000281A0000}"/>
    <cellStyle name="Normal 16 2 55" xfId="4946" xr:uid="{00000000-0005-0000-0000-0000291A0000}"/>
    <cellStyle name="Normal 16 2 55 2" xfId="16984" xr:uid="{00000000-0005-0000-0000-00002A1A0000}"/>
    <cellStyle name="Normal 16 2 56" xfId="4947" xr:uid="{00000000-0005-0000-0000-00002B1A0000}"/>
    <cellStyle name="Normal 16 2 56 2" xfId="16985" xr:uid="{00000000-0005-0000-0000-00002C1A0000}"/>
    <cellStyle name="Normal 16 2 57" xfId="4948" xr:uid="{00000000-0005-0000-0000-00002D1A0000}"/>
    <cellStyle name="Normal 16 2 57 2" xfId="16986" xr:uid="{00000000-0005-0000-0000-00002E1A0000}"/>
    <cellStyle name="Normal 16 2 58" xfId="4949" xr:uid="{00000000-0005-0000-0000-00002F1A0000}"/>
    <cellStyle name="Normal 16 2 58 2" xfId="16987" xr:uid="{00000000-0005-0000-0000-0000301A0000}"/>
    <cellStyle name="Normal 16 2 59" xfId="4950" xr:uid="{00000000-0005-0000-0000-0000311A0000}"/>
    <cellStyle name="Normal 16 2 59 2" xfId="16988" xr:uid="{00000000-0005-0000-0000-0000321A0000}"/>
    <cellStyle name="Normal 16 2 6" xfId="4951" xr:uid="{00000000-0005-0000-0000-0000331A0000}"/>
    <cellStyle name="Normal 16 2 6 2" xfId="16989" xr:uid="{00000000-0005-0000-0000-0000341A0000}"/>
    <cellStyle name="Normal 16 2 60" xfId="4952" xr:uid="{00000000-0005-0000-0000-0000351A0000}"/>
    <cellStyle name="Normal 16 2 60 2" xfId="16990" xr:uid="{00000000-0005-0000-0000-0000361A0000}"/>
    <cellStyle name="Normal 16 2 61" xfId="4953" xr:uid="{00000000-0005-0000-0000-0000371A0000}"/>
    <cellStyle name="Normal 16 2 61 2" xfId="16991" xr:uid="{00000000-0005-0000-0000-0000381A0000}"/>
    <cellStyle name="Normal 16 2 62" xfId="4954" xr:uid="{00000000-0005-0000-0000-0000391A0000}"/>
    <cellStyle name="Normal 16 2 62 2" xfId="16992" xr:uid="{00000000-0005-0000-0000-00003A1A0000}"/>
    <cellStyle name="Normal 16 2 63" xfId="4955" xr:uid="{00000000-0005-0000-0000-00003B1A0000}"/>
    <cellStyle name="Normal 16 2 63 2" xfId="16993" xr:uid="{00000000-0005-0000-0000-00003C1A0000}"/>
    <cellStyle name="Normal 16 2 64" xfId="4956" xr:uid="{00000000-0005-0000-0000-00003D1A0000}"/>
    <cellStyle name="Normal 16 2 64 2" xfId="16994" xr:uid="{00000000-0005-0000-0000-00003E1A0000}"/>
    <cellStyle name="Normal 16 2 65" xfId="4957" xr:uid="{00000000-0005-0000-0000-00003F1A0000}"/>
    <cellStyle name="Normal 16 2 65 2" xfId="16995" xr:uid="{00000000-0005-0000-0000-0000401A0000}"/>
    <cellStyle name="Normal 16 2 66" xfId="4958" xr:uid="{00000000-0005-0000-0000-0000411A0000}"/>
    <cellStyle name="Normal 16 2 66 2" xfId="16996" xr:uid="{00000000-0005-0000-0000-0000421A0000}"/>
    <cellStyle name="Normal 16 2 67" xfId="4959" xr:uid="{00000000-0005-0000-0000-0000431A0000}"/>
    <cellStyle name="Normal 16 2 67 2" xfId="16997" xr:uid="{00000000-0005-0000-0000-0000441A0000}"/>
    <cellStyle name="Normal 16 2 68" xfId="4960" xr:uid="{00000000-0005-0000-0000-0000451A0000}"/>
    <cellStyle name="Normal 16 2 68 2" xfId="16998" xr:uid="{00000000-0005-0000-0000-0000461A0000}"/>
    <cellStyle name="Normal 16 2 69" xfId="4961" xr:uid="{00000000-0005-0000-0000-0000471A0000}"/>
    <cellStyle name="Normal 16 2 69 2" xfId="16999" xr:uid="{00000000-0005-0000-0000-0000481A0000}"/>
    <cellStyle name="Normal 16 2 7" xfId="4962" xr:uid="{00000000-0005-0000-0000-0000491A0000}"/>
    <cellStyle name="Normal 16 2 7 2" xfId="17000" xr:uid="{00000000-0005-0000-0000-00004A1A0000}"/>
    <cellStyle name="Normal 16 2 70" xfId="4963" xr:uid="{00000000-0005-0000-0000-00004B1A0000}"/>
    <cellStyle name="Normal 16 2 70 2" xfId="17001" xr:uid="{00000000-0005-0000-0000-00004C1A0000}"/>
    <cellStyle name="Normal 16 2 71" xfId="4964" xr:uid="{00000000-0005-0000-0000-00004D1A0000}"/>
    <cellStyle name="Normal 16 2 71 2" xfId="17002" xr:uid="{00000000-0005-0000-0000-00004E1A0000}"/>
    <cellStyle name="Normal 16 2 72" xfId="4965" xr:uid="{00000000-0005-0000-0000-00004F1A0000}"/>
    <cellStyle name="Normal 16 2 72 2" xfId="17003" xr:uid="{00000000-0005-0000-0000-0000501A0000}"/>
    <cellStyle name="Normal 16 2 73" xfId="4966" xr:uid="{00000000-0005-0000-0000-0000511A0000}"/>
    <cellStyle name="Normal 16 2 73 2" xfId="17004" xr:uid="{00000000-0005-0000-0000-0000521A0000}"/>
    <cellStyle name="Normal 16 2 74" xfId="4967" xr:uid="{00000000-0005-0000-0000-0000531A0000}"/>
    <cellStyle name="Normal 16 2 74 2" xfId="17005" xr:uid="{00000000-0005-0000-0000-0000541A0000}"/>
    <cellStyle name="Normal 16 2 75" xfId="4968" xr:uid="{00000000-0005-0000-0000-0000551A0000}"/>
    <cellStyle name="Normal 16 2 75 2" xfId="17006" xr:uid="{00000000-0005-0000-0000-0000561A0000}"/>
    <cellStyle name="Normal 16 2 76" xfId="4969" xr:uid="{00000000-0005-0000-0000-0000571A0000}"/>
    <cellStyle name="Normal 16 2 76 2" xfId="17007" xr:uid="{00000000-0005-0000-0000-0000581A0000}"/>
    <cellStyle name="Normal 16 2 77" xfId="4970" xr:uid="{00000000-0005-0000-0000-0000591A0000}"/>
    <cellStyle name="Normal 16 2 77 2" xfId="17008" xr:uid="{00000000-0005-0000-0000-00005A1A0000}"/>
    <cellStyle name="Normal 16 2 78" xfId="4971" xr:uid="{00000000-0005-0000-0000-00005B1A0000}"/>
    <cellStyle name="Normal 16 2 78 2" xfId="17009" xr:uid="{00000000-0005-0000-0000-00005C1A0000}"/>
    <cellStyle name="Normal 16 2 79" xfId="4972" xr:uid="{00000000-0005-0000-0000-00005D1A0000}"/>
    <cellStyle name="Normal 16 2 79 2" xfId="17010" xr:uid="{00000000-0005-0000-0000-00005E1A0000}"/>
    <cellStyle name="Normal 16 2 8" xfId="4973" xr:uid="{00000000-0005-0000-0000-00005F1A0000}"/>
    <cellStyle name="Normal 16 2 8 2" xfId="17011" xr:uid="{00000000-0005-0000-0000-0000601A0000}"/>
    <cellStyle name="Normal 16 2 80" xfId="16934" xr:uid="{00000000-0005-0000-0000-0000611A0000}"/>
    <cellStyle name="Normal 16 2 81" xfId="4896" xr:uid="{00000000-0005-0000-0000-0000621A0000}"/>
    <cellStyle name="Normal 16 2 9" xfId="4974" xr:uid="{00000000-0005-0000-0000-0000631A0000}"/>
    <cellStyle name="Normal 16 2 9 2" xfId="17012" xr:uid="{00000000-0005-0000-0000-0000641A0000}"/>
    <cellStyle name="Normal 16 20" xfId="4975" xr:uid="{00000000-0005-0000-0000-0000651A0000}"/>
    <cellStyle name="Normal 16 20 2" xfId="17013" xr:uid="{00000000-0005-0000-0000-0000661A0000}"/>
    <cellStyle name="Normal 16 21" xfId="4976" xr:uid="{00000000-0005-0000-0000-0000671A0000}"/>
    <cellStyle name="Normal 16 21 2" xfId="17014" xr:uid="{00000000-0005-0000-0000-0000681A0000}"/>
    <cellStyle name="Normal 16 22" xfId="4977" xr:uid="{00000000-0005-0000-0000-0000691A0000}"/>
    <cellStyle name="Normal 16 22 2" xfId="17015" xr:uid="{00000000-0005-0000-0000-00006A1A0000}"/>
    <cellStyle name="Normal 16 23" xfId="4978" xr:uid="{00000000-0005-0000-0000-00006B1A0000}"/>
    <cellStyle name="Normal 16 23 2" xfId="17016" xr:uid="{00000000-0005-0000-0000-00006C1A0000}"/>
    <cellStyle name="Normal 16 24" xfId="4979" xr:uid="{00000000-0005-0000-0000-00006D1A0000}"/>
    <cellStyle name="Normal 16 24 2" xfId="17017" xr:uid="{00000000-0005-0000-0000-00006E1A0000}"/>
    <cellStyle name="Normal 16 25" xfId="4980" xr:uid="{00000000-0005-0000-0000-00006F1A0000}"/>
    <cellStyle name="Normal 16 25 2" xfId="17018" xr:uid="{00000000-0005-0000-0000-0000701A0000}"/>
    <cellStyle name="Normal 16 26" xfId="4981" xr:uid="{00000000-0005-0000-0000-0000711A0000}"/>
    <cellStyle name="Normal 16 26 2" xfId="17019" xr:uid="{00000000-0005-0000-0000-0000721A0000}"/>
    <cellStyle name="Normal 16 27" xfId="4982" xr:uid="{00000000-0005-0000-0000-0000731A0000}"/>
    <cellStyle name="Normal 16 27 2" xfId="17020" xr:uid="{00000000-0005-0000-0000-0000741A0000}"/>
    <cellStyle name="Normal 16 28" xfId="4983" xr:uid="{00000000-0005-0000-0000-0000751A0000}"/>
    <cellStyle name="Normal 16 28 2" xfId="17021" xr:uid="{00000000-0005-0000-0000-0000761A0000}"/>
    <cellStyle name="Normal 16 29" xfId="4984" xr:uid="{00000000-0005-0000-0000-0000771A0000}"/>
    <cellStyle name="Normal 16 29 2" xfId="17022" xr:uid="{00000000-0005-0000-0000-0000781A0000}"/>
    <cellStyle name="Normal 16 3" xfId="698" xr:uid="{00000000-0005-0000-0000-0000791A0000}"/>
    <cellStyle name="Normal 16 3 10" xfId="4986" xr:uid="{00000000-0005-0000-0000-00007A1A0000}"/>
    <cellStyle name="Normal 16 3 10 2" xfId="17024" xr:uid="{00000000-0005-0000-0000-00007B1A0000}"/>
    <cellStyle name="Normal 16 3 11" xfId="4987" xr:uid="{00000000-0005-0000-0000-00007C1A0000}"/>
    <cellStyle name="Normal 16 3 11 2" xfId="17025" xr:uid="{00000000-0005-0000-0000-00007D1A0000}"/>
    <cellStyle name="Normal 16 3 12" xfId="4988" xr:uid="{00000000-0005-0000-0000-00007E1A0000}"/>
    <cellStyle name="Normal 16 3 12 2" xfId="17026" xr:uid="{00000000-0005-0000-0000-00007F1A0000}"/>
    <cellStyle name="Normal 16 3 13" xfId="4989" xr:uid="{00000000-0005-0000-0000-0000801A0000}"/>
    <cellStyle name="Normal 16 3 13 2" xfId="17027" xr:uid="{00000000-0005-0000-0000-0000811A0000}"/>
    <cellStyle name="Normal 16 3 14" xfId="4990" xr:uid="{00000000-0005-0000-0000-0000821A0000}"/>
    <cellStyle name="Normal 16 3 14 2" xfId="17028" xr:uid="{00000000-0005-0000-0000-0000831A0000}"/>
    <cellStyle name="Normal 16 3 15" xfId="4991" xr:uid="{00000000-0005-0000-0000-0000841A0000}"/>
    <cellStyle name="Normal 16 3 15 2" xfId="17029" xr:uid="{00000000-0005-0000-0000-0000851A0000}"/>
    <cellStyle name="Normal 16 3 16" xfId="4992" xr:uid="{00000000-0005-0000-0000-0000861A0000}"/>
    <cellStyle name="Normal 16 3 16 2" xfId="17030" xr:uid="{00000000-0005-0000-0000-0000871A0000}"/>
    <cellStyle name="Normal 16 3 17" xfId="4993" xr:uid="{00000000-0005-0000-0000-0000881A0000}"/>
    <cellStyle name="Normal 16 3 17 2" xfId="17031" xr:uid="{00000000-0005-0000-0000-0000891A0000}"/>
    <cellStyle name="Normal 16 3 18" xfId="4994" xr:uid="{00000000-0005-0000-0000-00008A1A0000}"/>
    <cellStyle name="Normal 16 3 18 2" xfId="17032" xr:uid="{00000000-0005-0000-0000-00008B1A0000}"/>
    <cellStyle name="Normal 16 3 19" xfId="4995" xr:uid="{00000000-0005-0000-0000-00008C1A0000}"/>
    <cellStyle name="Normal 16 3 19 2" xfId="17033" xr:uid="{00000000-0005-0000-0000-00008D1A0000}"/>
    <cellStyle name="Normal 16 3 2" xfId="4996" xr:uid="{00000000-0005-0000-0000-00008E1A0000}"/>
    <cellStyle name="Normal 16 3 2 2" xfId="17034" xr:uid="{00000000-0005-0000-0000-00008F1A0000}"/>
    <cellStyle name="Normal 16 3 20" xfId="4997" xr:uid="{00000000-0005-0000-0000-0000901A0000}"/>
    <cellStyle name="Normal 16 3 20 2" xfId="17035" xr:uid="{00000000-0005-0000-0000-0000911A0000}"/>
    <cellStyle name="Normal 16 3 21" xfId="4998" xr:uid="{00000000-0005-0000-0000-0000921A0000}"/>
    <cellStyle name="Normal 16 3 21 2" xfId="17036" xr:uid="{00000000-0005-0000-0000-0000931A0000}"/>
    <cellStyle name="Normal 16 3 22" xfId="4999" xr:uid="{00000000-0005-0000-0000-0000941A0000}"/>
    <cellStyle name="Normal 16 3 22 2" xfId="17037" xr:uid="{00000000-0005-0000-0000-0000951A0000}"/>
    <cellStyle name="Normal 16 3 23" xfId="5000" xr:uid="{00000000-0005-0000-0000-0000961A0000}"/>
    <cellStyle name="Normal 16 3 23 2" xfId="17038" xr:uid="{00000000-0005-0000-0000-0000971A0000}"/>
    <cellStyle name="Normal 16 3 24" xfId="5001" xr:uid="{00000000-0005-0000-0000-0000981A0000}"/>
    <cellStyle name="Normal 16 3 24 2" xfId="17039" xr:uid="{00000000-0005-0000-0000-0000991A0000}"/>
    <cellStyle name="Normal 16 3 25" xfId="5002" xr:uid="{00000000-0005-0000-0000-00009A1A0000}"/>
    <cellStyle name="Normal 16 3 25 2" xfId="17040" xr:uid="{00000000-0005-0000-0000-00009B1A0000}"/>
    <cellStyle name="Normal 16 3 26" xfId="5003" xr:uid="{00000000-0005-0000-0000-00009C1A0000}"/>
    <cellStyle name="Normal 16 3 26 2" xfId="17041" xr:uid="{00000000-0005-0000-0000-00009D1A0000}"/>
    <cellStyle name="Normal 16 3 27" xfId="5004" xr:uid="{00000000-0005-0000-0000-00009E1A0000}"/>
    <cellStyle name="Normal 16 3 27 2" xfId="17042" xr:uid="{00000000-0005-0000-0000-00009F1A0000}"/>
    <cellStyle name="Normal 16 3 28" xfId="5005" xr:uid="{00000000-0005-0000-0000-0000A01A0000}"/>
    <cellStyle name="Normal 16 3 28 2" xfId="17043" xr:uid="{00000000-0005-0000-0000-0000A11A0000}"/>
    <cellStyle name="Normal 16 3 29" xfId="5006" xr:uid="{00000000-0005-0000-0000-0000A21A0000}"/>
    <cellStyle name="Normal 16 3 29 2" xfId="17044" xr:uid="{00000000-0005-0000-0000-0000A31A0000}"/>
    <cellStyle name="Normal 16 3 3" xfId="5007" xr:uid="{00000000-0005-0000-0000-0000A41A0000}"/>
    <cellStyle name="Normal 16 3 3 2" xfId="17045" xr:uid="{00000000-0005-0000-0000-0000A51A0000}"/>
    <cellStyle name="Normal 16 3 30" xfId="5008" xr:uid="{00000000-0005-0000-0000-0000A61A0000}"/>
    <cellStyle name="Normal 16 3 30 2" xfId="17046" xr:uid="{00000000-0005-0000-0000-0000A71A0000}"/>
    <cellStyle name="Normal 16 3 31" xfId="5009" xr:uid="{00000000-0005-0000-0000-0000A81A0000}"/>
    <cellStyle name="Normal 16 3 31 2" xfId="17047" xr:uid="{00000000-0005-0000-0000-0000A91A0000}"/>
    <cellStyle name="Normal 16 3 32" xfId="5010" xr:uid="{00000000-0005-0000-0000-0000AA1A0000}"/>
    <cellStyle name="Normal 16 3 32 2" xfId="17048" xr:uid="{00000000-0005-0000-0000-0000AB1A0000}"/>
    <cellStyle name="Normal 16 3 33" xfId="5011" xr:uid="{00000000-0005-0000-0000-0000AC1A0000}"/>
    <cellStyle name="Normal 16 3 33 2" xfId="17049" xr:uid="{00000000-0005-0000-0000-0000AD1A0000}"/>
    <cellStyle name="Normal 16 3 34" xfId="5012" xr:uid="{00000000-0005-0000-0000-0000AE1A0000}"/>
    <cellStyle name="Normal 16 3 34 2" xfId="17050" xr:uid="{00000000-0005-0000-0000-0000AF1A0000}"/>
    <cellStyle name="Normal 16 3 35" xfId="5013" xr:uid="{00000000-0005-0000-0000-0000B01A0000}"/>
    <cellStyle name="Normal 16 3 35 2" xfId="17051" xr:uid="{00000000-0005-0000-0000-0000B11A0000}"/>
    <cellStyle name="Normal 16 3 36" xfId="5014" xr:uid="{00000000-0005-0000-0000-0000B21A0000}"/>
    <cellStyle name="Normal 16 3 36 2" xfId="17052" xr:uid="{00000000-0005-0000-0000-0000B31A0000}"/>
    <cellStyle name="Normal 16 3 37" xfId="5015" xr:uid="{00000000-0005-0000-0000-0000B41A0000}"/>
    <cellStyle name="Normal 16 3 37 2" xfId="17053" xr:uid="{00000000-0005-0000-0000-0000B51A0000}"/>
    <cellStyle name="Normal 16 3 38" xfId="5016" xr:uid="{00000000-0005-0000-0000-0000B61A0000}"/>
    <cellStyle name="Normal 16 3 38 2" xfId="17054" xr:uid="{00000000-0005-0000-0000-0000B71A0000}"/>
    <cellStyle name="Normal 16 3 39" xfId="5017" xr:uid="{00000000-0005-0000-0000-0000B81A0000}"/>
    <cellStyle name="Normal 16 3 39 2" xfId="17055" xr:uid="{00000000-0005-0000-0000-0000B91A0000}"/>
    <cellStyle name="Normal 16 3 4" xfId="5018" xr:uid="{00000000-0005-0000-0000-0000BA1A0000}"/>
    <cellStyle name="Normal 16 3 4 2" xfId="17056" xr:uid="{00000000-0005-0000-0000-0000BB1A0000}"/>
    <cellStyle name="Normal 16 3 40" xfId="5019" xr:uid="{00000000-0005-0000-0000-0000BC1A0000}"/>
    <cellStyle name="Normal 16 3 40 2" xfId="17057" xr:uid="{00000000-0005-0000-0000-0000BD1A0000}"/>
    <cellStyle name="Normal 16 3 41" xfId="5020" xr:uid="{00000000-0005-0000-0000-0000BE1A0000}"/>
    <cellStyle name="Normal 16 3 41 2" xfId="17058" xr:uid="{00000000-0005-0000-0000-0000BF1A0000}"/>
    <cellStyle name="Normal 16 3 42" xfId="5021" xr:uid="{00000000-0005-0000-0000-0000C01A0000}"/>
    <cellStyle name="Normal 16 3 42 2" xfId="17059" xr:uid="{00000000-0005-0000-0000-0000C11A0000}"/>
    <cellStyle name="Normal 16 3 43" xfId="5022" xr:uid="{00000000-0005-0000-0000-0000C21A0000}"/>
    <cellStyle name="Normal 16 3 43 2" xfId="17060" xr:uid="{00000000-0005-0000-0000-0000C31A0000}"/>
    <cellStyle name="Normal 16 3 44" xfId="5023" xr:uid="{00000000-0005-0000-0000-0000C41A0000}"/>
    <cellStyle name="Normal 16 3 44 2" xfId="17061" xr:uid="{00000000-0005-0000-0000-0000C51A0000}"/>
    <cellStyle name="Normal 16 3 45" xfId="5024" xr:uid="{00000000-0005-0000-0000-0000C61A0000}"/>
    <cellStyle name="Normal 16 3 45 2" xfId="17062" xr:uid="{00000000-0005-0000-0000-0000C71A0000}"/>
    <cellStyle name="Normal 16 3 46" xfId="5025" xr:uid="{00000000-0005-0000-0000-0000C81A0000}"/>
    <cellStyle name="Normal 16 3 46 2" xfId="17063" xr:uid="{00000000-0005-0000-0000-0000C91A0000}"/>
    <cellStyle name="Normal 16 3 47" xfId="5026" xr:uid="{00000000-0005-0000-0000-0000CA1A0000}"/>
    <cellStyle name="Normal 16 3 47 2" xfId="17064" xr:uid="{00000000-0005-0000-0000-0000CB1A0000}"/>
    <cellStyle name="Normal 16 3 48" xfId="5027" xr:uid="{00000000-0005-0000-0000-0000CC1A0000}"/>
    <cellStyle name="Normal 16 3 48 2" xfId="17065" xr:uid="{00000000-0005-0000-0000-0000CD1A0000}"/>
    <cellStyle name="Normal 16 3 49" xfId="5028" xr:uid="{00000000-0005-0000-0000-0000CE1A0000}"/>
    <cellStyle name="Normal 16 3 49 2" xfId="17066" xr:uid="{00000000-0005-0000-0000-0000CF1A0000}"/>
    <cellStyle name="Normal 16 3 5" xfId="5029" xr:uid="{00000000-0005-0000-0000-0000D01A0000}"/>
    <cellStyle name="Normal 16 3 5 2" xfId="17067" xr:uid="{00000000-0005-0000-0000-0000D11A0000}"/>
    <cellStyle name="Normal 16 3 50" xfId="5030" xr:uid="{00000000-0005-0000-0000-0000D21A0000}"/>
    <cellStyle name="Normal 16 3 50 2" xfId="17068" xr:uid="{00000000-0005-0000-0000-0000D31A0000}"/>
    <cellStyle name="Normal 16 3 51" xfId="5031" xr:uid="{00000000-0005-0000-0000-0000D41A0000}"/>
    <cellStyle name="Normal 16 3 51 2" xfId="17069" xr:uid="{00000000-0005-0000-0000-0000D51A0000}"/>
    <cellStyle name="Normal 16 3 52" xfId="5032" xr:uid="{00000000-0005-0000-0000-0000D61A0000}"/>
    <cellStyle name="Normal 16 3 52 2" xfId="17070" xr:uid="{00000000-0005-0000-0000-0000D71A0000}"/>
    <cellStyle name="Normal 16 3 53" xfId="5033" xr:uid="{00000000-0005-0000-0000-0000D81A0000}"/>
    <cellStyle name="Normal 16 3 53 2" xfId="17071" xr:uid="{00000000-0005-0000-0000-0000D91A0000}"/>
    <cellStyle name="Normal 16 3 54" xfId="5034" xr:uid="{00000000-0005-0000-0000-0000DA1A0000}"/>
    <cellStyle name="Normal 16 3 54 2" xfId="17072" xr:uid="{00000000-0005-0000-0000-0000DB1A0000}"/>
    <cellStyle name="Normal 16 3 55" xfId="5035" xr:uid="{00000000-0005-0000-0000-0000DC1A0000}"/>
    <cellStyle name="Normal 16 3 55 2" xfId="17073" xr:uid="{00000000-0005-0000-0000-0000DD1A0000}"/>
    <cellStyle name="Normal 16 3 56" xfId="5036" xr:uid="{00000000-0005-0000-0000-0000DE1A0000}"/>
    <cellStyle name="Normal 16 3 56 2" xfId="17074" xr:uid="{00000000-0005-0000-0000-0000DF1A0000}"/>
    <cellStyle name="Normal 16 3 57" xfId="5037" xr:uid="{00000000-0005-0000-0000-0000E01A0000}"/>
    <cellStyle name="Normal 16 3 57 2" xfId="17075" xr:uid="{00000000-0005-0000-0000-0000E11A0000}"/>
    <cellStyle name="Normal 16 3 58" xfId="5038" xr:uid="{00000000-0005-0000-0000-0000E21A0000}"/>
    <cellStyle name="Normal 16 3 58 2" xfId="17076" xr:uid="{00000000-0005-0000-0000-0000E31A0000}"/>
    <cellStyle name="Normal 16 3 59" xfId="5039" xr:uid="{00000000-0005-0000-0000-0000E41A0000}"/>
    <cellStyle name="Normal 16 3 59 2" xfId="17077" xr:uid="{00000000-0005-0000-0000-0000E51A0000}"/>
    <cellStyle name="Normal 16 3 6" xfId="5040" xr:uid="{00000000-0005-0000-0000-0000E61A0000}"/>
    <cellStyle name="Normal 16 3 6 2" xfId="17078" xr:uid="{00000000-0005-0000-0000-0000E71A0000}"/>
    <cellStyle name="Normal 16 3 60" xfId="5041" xr:uid="{00000000-0005-0000-0000-0000E81A0000}"/>
    <cellStyle name="Normal 16 3 60 2" xfId="17079" xr:uid="{00000000-0005-0000-0000-0000E91A0000}"/>
    <cellStyle name="Normal 16 3 61" xfId="5042" xr:uid="{00000000-0005-0000-0000-0000EA1A0000}"/>
    <cellStyle name="Normal 16 3 61 2" xfId="17080" xr:uid="{00000000-0005-0000-0000-0000EB1A0000}"/>
    <cellStyle name="Normal 16 3 62" xfId="5043" xr:uid="{00000000-0005-0000-0000-0000EC1A0000}"/>
    <cellStyle name="Normal 16 3 62 2" xfId="17081" xr:uid="{00000000-0005-0000-0000-0000ED1A0000}"/>
    <cellStyle name="Normal 16 3 63" xfId="5044" xr:uid="{00000000-0005-0000-0000-0000EE1A0000}"/>
    <cellStyle name="Normal 16 3 63 2" xfId="17082" xr:uid="{00000000-0005-0000-0000-0000EF1A0000}"/>
    <cellStyle name="Normal 16 3 64" xfId="5045" xr:uid="{00000000-0005-0000-0000-0000F01A0000}"/>
    <cellStyle name="Normal 16 3 64 2" xfId="17083" xr:uid="{00000000-0005-0000-0000-0000F11A0000}"/>
    <cellStyle name="Normal 16 3 65" xfId="5046" xr:uid="{00000000-0005-0000-0000-0000F21A0000}"/>
    <cellStyle name="Normal 16 3 65 2" xfId="17084" xr:uid="{00000000-0005-0000-0000-0000F31A0000}"/>
    <cellStyle name="Normal 16 3 66" xfId="5047" xr:uid="{00000000-0005-0000-0000-0000F41A0000}"/>
    <cellStyle name="Normal 16 3 66 2" xfId="17085" xr:uid="{00000000-0005-0000-0000-0000F51A0000}"/>
    <cellStyle name="Normal 16 3 67" xfId="5048" xr:uid="{00000000-0005-0000-0000-0000F61A0000}"/>
    <cellStyle name="Normal 16 3 67 2" xfId="17086" xr:uid="{00000000-0005-0000-0000-0000F71A0000}"/>
    <cellStyle name="Normal 16 3 68" xfId="5049" xr:uid="{00000000-0005-0000-0000-0000F81A0000}"/>
    <cellStyle name="Normal 16 3 68 2" xfId="17087" xr:uid="{00000000-0005-0000-0000-0000F91A0000}"/>
    <cellStyle name="Normal 16 3 69" xfId="5050" xr:uid="{00000000-0005-0000-0000-0000FA1A0000}"/>
    <cellStyle name="Normal 16 3 69 2" xfId="17088" xr:uid="{00000000-0005-0000-0000-0000FB1A0000}"/>
    <cellStyle name="Normal 16 3 7" xfId="5051" xr:uid="{00000000-0005-0000-0000-0000FC1A0000}"/>
    <cellStyle name="Normal 16 3 7 2" xfId="17089" xr:uid="{00000000-0005-0000-0000-0000FD1A0000}"/>
    <cellStyle name="Normal 16 3 70" xfId="5052" xr:uid="{00000000-0005-0000-0000-0000FE1A0000}"/>
    <cellStyle name="Normal 16 3 70 2" xfId="17090" xr:uid="{00000000-0005-0000-0000-0000FF1A0000}"/>
    <cellStyle name="Normal 16 3 71" xfId="5053" xr:uid="{00000000-0005-0000-0000-0000001B0000}"/>
    <cellStyle name="Normal 16 3 71 2" xfId="17091" xr:uid="{00000000-0005-0000-0000-0000011B0000}"/>
    <cellStyle name="Normal 16 3 72" xfId="5054" xr:uid="{00000000-0005-0000-0000-0000021B0000}"/>
    <cellStyle name="Normal 16 3 72 2" xfId="17092" xr:uid="{00000000-0005-0000-0000-0000031B0000}"/>
    <cellStyle name="Normal 16 3 73" xfId="5055" xr:uid="{00000000-0005-0000-0000-0000041B0000}"/>
    <cellStyle name="Normal 16 3 73 2" xfId="17093" xr:uid="{00000000-0005-0000-0000-0000051B0000}"/>
    <cellStyle name="Normal 16 3 74" xfId="5056" xr:uid="{00000000-0005-0000-0000-0000061B0000}"/>
    <cellStyle name="Normal 16 3 74 2" xfId="17094" xr:uid="{00000000-0005-0000-0000-0000071B0000}"/>
    <cellStyle name="Normal 16 3 75" xfId="5057" xr:uid="{00000000-0005-0000-0000-0000081B0000}"/>
    <cellStyle name="Normal 16 3 75 2" xfId="17095" xr:uid="{00000000-0005-0000-0000-0000091B0000}"/>
    <cellStyle name="Normal 16 3 76" xfId="5058" xr:uid="{00000000-0005-0000-0000-00000A1B0000}"/>
    <cellStyle name="Normal 16 3 76 2" xfId="17096" xr:uid="{00000000-0005-0000-0000-00000B1B0000}"/>
    <cellStyle name="Normal 16 3 77" xfId="5059" xr:uid="{00000000-0005-0000-0000-00000C1B0000}"/>
    <cellStyle name="Normal 16 3 77 2" xfId="17097" xr:uid="{00000000-0005-0000-0000-00000D1B0000}"/>
    <cellStyle name="Normal 16 3 78" xfId="5060" xr:uid="{00000000-0005-0000-0000-00000E1B0000}"/>
    <cellStyle name="Normal 16 3 78 2" xfId="17098" xr:uid="{00000000-0005-0000-0000-00000F1B0000}"/>
    <cellStyle name="Normal 16 3 79" xfId="5061" xr:uid="{00000000-0005-0000-0000-0000101B0000}"/>
    <cellStyle name="Normal 16 3 79 2" xfId="17099" xr:uid="{00000000-0005-0000-0000-0000111B0000}"/>
    <cellStyle name="Normal 16 3 8" xfId="5062" xr:uid="{00000000-0005-0000-0000-0000121B0000}"/>
    <cellStyle name="Normal 16 3 8 2" xfId="17100" xr:uid="{00000000-0005-0000-0000-0000131B0000}"/>
    <cellStyle name="Normal 16 3 80" xfId="17023" xr:uid="{00000000-0005-0000-0000-0000141B0000}"/>
    <cellStyle name="Normal 16 3 81" xfId="4985" xr:uid="{00000000-0005-0000-0000-0000151B0000}"/>
    <cellStyle name="Normal 16 3 9" xfId="5063" xr:uid="{00000000-0005-0000-0000-0000161B0000}"/>
    <cellStyle name="Normal 16 3 9 2" xfId="17101" xr:uid="{00000000-0005-0000-0000-0000171B0000}"/>
    <cellStyle name="Normal 16 30" xfId="5064" xr:uid="{00000000-0005-0000-0000-0000181B0000}"/>
    <cellStyle name="Normal 16 30 2" xfId="17102" xr:uid="{00000000-0005-0000-0000-0000191B0000}"/>
    <cellStyle name="Normal 16 31" xfId="5065" xr:uid="{00000000-0005-0000-0000-00001A1B0000}"/>
    <cellStyle name="Normal 16 31 2" xfId="17103" xr:uid="{00000000-0005-0000-0000-00001B1B0000}"/>
    <cellStyle name="Normal 16 32" xfId="5066" xr:uid="{00000000-0005-0000-0000-00001C1B0000}"/>
    <cellStyle name="Normal 16 32 2" xfId="17104" xr:uid="{00000000-0005-0000-0000-00001D1B0000}"/>
    <cellStyle name="Normal 16 33" xfId="5067" xr:uid="{00000000-0005-0000-0000-00001E1B0000}"/>
    <cellStyle name="Normal 16 33 2" xfId="17105" xr:uid="{00000000-0005-0000-0000-00001F1B0000}"/>
    <cellStyle name="Normal 16 34" xfId="5068" xr:uid="{00000000-0005-0000-0000-0000201B0000}"/>
    <cellStyle name="Normal 16 34 2" xfId="17106" xr:uid="{00000000-0005-0000-0000-0000211B0000}"/>
    <cellStyle name="Normal 16 35" xfId="5069" xr:uid="{00000000-0005-0000-0000-0000221B0000}"/>
    <cellStyle name="Normal 16 35 2" xfId="17107" xr:uid="{00000000-0005-0000-0000-0000231B0000}"/>
    <cellStyle name="Normal 16 36" xfId="5070" xr:uid="{00000000-0005-0000-0000-0000241B0000}"/>
    <cellStyle name="Normal 16 36 2" xfId="17108" xr:uid="{00000000-0005-0000-0000-0000251B0000}"/>
    <cellStyle name="Normal 16 37" xfId="5071" xr:uid="{00000000-0005-0000-0000-0000261B0000}"/>
    <cellStyle name="Normal 16 37 2" xfId="17109" xr:uid="{00000000-0005-0000-0000-0000271B0000}"/>
    <cellStyle name="Normal 16 38" xfId="5072" xr:uid="{00000000-0005-0000-0000-0000281B0000}"/>
    <cellStyle name="Normal 16 38 2" xfId="17110" xr:uid="{00000000-0005-0000-0000-0000291B0000}"/>
    <cellStyle name="Normal 16 39" xfId="5073" xr:uid="{00000000-0005-0000-0000-00002A1B0000}"/>
    <cellStyle name="Normal 16 39 2" xfId="17111" xr:uid="{00000000-0005-0000-0000-00002B1B0000}"/>
    <cellStyle name="Normal 16 4" xfId="307" xr:uid="{00000000-0005-0000-0000-00002C1B0000}"/>
    <cellStyle name="Normal 16 4 10" xfId="5074" xr:uid="{00000000-0005-0000-0000-00002D1B0000}"/>
    <cellStyle name="Normal 16 4 10 2" xfId="17113" xr:uid="{00000000-0005-0000-0000-00002E1B0000}"/>
    <cellStyle name="Normal 16 4 11" xfId="5075" xr:uid="{00000000-0005-0000-0000-00002F1B0000}"/>
    <cellStyle name="Normal 16 4 11 2" xfId="17114" xr:uid="{00000000-0005-0000-0000-0000301B0000}"/>
    <cellStyle name="Normal 16 4 12" xfId="5076" xr:uid="{00000000-0005-0000-0000-0000311B0000}"/>
    <cellStyle name="Normal 16 4 12 2" xfId="17115" xr:uid="{00000000-0005-0000-0000-0000321B0000}"/>
    <cellStyle name="Normal 16 4 13" xfId="5077" xr:uid="{00000000-0005-0000-0000-0000331B0000}"/>
    <cellStyle name="Normal 16 4 13 2" xfId="17116" xr:uid="{00000000-0005-0000-0000-0000341B0000}"/>
    <cellStyle name="Normal 16 4 14" xfId="5078" xr:uid="{00000000-0005-0000-0000-0000351B0000}"/>
    <cellStyle name="Normal 16 4 14 2" xfId="17117" xr:uid="{00000000-0005-0000-0000-0000361B0000}"/>
    <cellStyle name="Normal 16 4 15" xfId="5079" xr:uid="{00000000-0005-0000-0000-0000371B0000}"/>
    <cellStyle name="Normal 16 4 15 2" xfId="17118" xr:uid="{00000000-0005-0000-0000-0000381B0000}"/>
    <cellStyle name="Normal 16 4 16" xfId="5080" xr:uid="{00000000-0005-0000-0000-0000391B0000}"/>
    <cellStyle name="Normal 16 4 16 2" xfId="17119" xr:uid="{00000000-0005-0000-0000-00003A1B0000}"/>
    <cellStyle name="Normal 16 4 17" xfId="5081" xr:uid="{00000000-0005-0000-0000-00003B1B0000}"/>
    <cellStyle name="Normal 16 4 17 2" xfId="17120" xr:uid="{00000000-0005-0000-0000-00003C1B0000}"/>
    <cellStyle name="Normal 16 4 18" xfId="5082" xr:uid="{00000000-0005-0000-0000-00003D1B0000}"/>
    <cellStyle name="Normal 16 4 18 2" xfId="17121" xr:uid="{00000000-0005-0000-0000-00003E1B0000}"/>
    <cellStyle name="Normal 16 4 19" xfId="5083" xr:uid="{00000000-0005-0000-0000-00003F1B0000}"/>
    <cellStyle name="Normal 16 4 19 2" xfId="17122" xr:uid="{00000000-0005-0000-0000-0000401B0000}"/>
    <cellStyle name="Normal 16 4 2" xfId="5084" xr:uid="{00000000-0005-0000-0000-0000411B0000}"/>
    <cellStyle name="Normal 16 4 2 2" xfId="17123" xr:uid="{00000000-0005-0000-0000-0000421B0000}"/>
    <cellStyle name="Normal 16 4 20" xfId="5085" xr:uid="{00000000-0005-0000-0000-0000431B0000}"/>
    <cellStyle name="Normal 16 4 20 2" xfId="17124" xr:uid="{00000000-0005-0000-0000-0000441B0000}"/>
    <cellStyle name="Normal 16 4 21" xfId="5086" xr:uid="{00000000-0005-0000-0000-0000451B0000}"/>
    <cellStyle name="Normal 16 4 21 2" xfId="17125" xr:uid="{00000000-0005-0000-0000-0000461B0000}"/>
    <cellStyle name="Normal 16 4 22" xfId="5087" xr:uid="{00000000-0005-0000-0000-0000471B0000}"/>
    <cellStyle name="Normal 16 4 22 2" xfId="17126" xr:uid="{00000000-0005-0000-0000-0000481B0000}"/>
    <cellStyle name="Normal 16 4 23" xfId="5088" xr:uid="{00000000-0005-0000-0000-0000491B0000}"/>
    <cellStyle name="Normal 16 4 23 2" xfId="17127" xr:uid="{00000000-0005-0000-0000-00004A1B0000}"/>
    <cellStyle name="Normal 16 4 24" xfId="5089" xr:uid="{00000000-0005-0000-0000-00004B1B0000}"/>
    <cellStyle name="Normal 16 4 24 2" xfId="17128" xr:uid="{00000000-0005-0000-0000-00004C1B0000}"/>
    <cellStyle name="Normal 16 4 25" xfId="5090" xr:uid="{00000000-0005-0000-0000-00004D1B0000}"/>
    <cellStyle name="Normal 16 4 25 2" xfId="17129" xr:uid="{00000000-0005-0000-0000-00004E1B0000}"/>
    <cellStyle name="Normal 16 4 26" xfId="5091" xr:uid="{00000000-0005-0000-0000-00004F1B0000}"/>
    <cellStyle name="Normal 16 4 26 2" xfId="17130" xr:uid="{00000000-0005-0000-0000-0000501B0000}"/>
    <cellStyle name="Normal 16 4 27" xfId="5092" xr:uid="{00000000-0005-0000-0000-0000511B0000}"/>
    <cellStyle name="Normal 16 4 27 2" xfId="17131" xr:uid="{00000000-0005-0000-0000-0000521B0000}"/>
    <cellStyle name="Normal 16 4 28" xfId="5093" xr:uid="{00000000-0005-0000-0000-0000531B0000}"/>
    <cellStyle name="Normal 16 4 28 2" xfId="17132" xr:uid="{00000000-0005-0000-0000-0000541B0000}"/>
    <cellStyle name="Normal 16 4 29" xfId="5094" xr:uid="{00000000-0005-0000-0000-0000551B0000}"/>
    <cellStyle name="Normal 16 4 29 2" xfId="17133" xr:uid="{00000000-0005-0000-0000-0000561B0000}"/>
    <cellStyle name="Normal 16 4 3" xfId="5095" xr:uid="{00000000-0005-0000-0000-0000571B0000}"/>
    <cellStyle name="Normal 16 4 3 2" xfId="17134" xr:uid="{00000000-0005-0000-0000-0000581B0000}"/>
    <cellStyle name="Normal 16 4 30" xfId="5096" xr:uid="{00000000-0005-0000-0000-0000591B0000}"/>
    <cellStyle name="Normal 16 4 30 2" xfId="17135" xr:uid="{00000000-0005-0000-0000-00005A1B0000}"/>
    <cellStyle name="Normal 16 4 31" xfId="5097" xr:uid="{00000000-0005-0000-0000-00005B1B0000}"/>
    <cellStyle name="Normal 16 4 31 2" xfId="17136" xr:uid="{00000000-0005-0000-0000-00005C1B0000}"/>
    <cellStyle name="Normal 16 4 32" xfId="5098" xr:uid="{00000000-0005-0000-0000-00005D1B0000}"/>
    <cellStyle name="Normal 16 4 32 2" xfId="17137" xr:uid="{00000000-0005-0000-0000-00005E1B0000}"/>
    <cellStyle name="Normal 16 4 33" xfId="5099" xr:uid="{00000000-0005-0000-0000-00005F1B0000}"/>
    <cellStyle name="Normal 16 4 33 2" xfId="17138" xr:uid="{00000000-0005-0000-0000-0000601B0000}"/>
    <cellStyle name="Normal 16 4 34" xfId="5100" xr:uid="{00000000-0005-0000-0000-0000611B0000}"/>
    <cellStyle name="Normal 16 4 34 2" xfId="17139" xr:uid="{00000000-0005-0000-0000-0000621B0000}"/>
    <cellStyle name="Normal 16 4 35" xfId="5101" xr:uid="{00000000-0005-0000-0000-0000631B0000}"/>
    <cellStyle name="Normal 16 4 35 2" xfId="17140" xr:uid="{00000000-0005-0000-0000-0000641B0000}"/>
    <cellStyle name="Normal 16 4 36" xfId="5102" xr:uid="{00000000-0005-0000-0000-0000651B0000}"/>
    <cellStyle name="Normal 16 4 36 2" xfId="17141" xr:uid="{00000000-0005-0000-0000-0000661B0000}"/>
    <cellStyle name="Normal 16 4 37" xfId="5103" xr:uid="{00000000-0005-0000-0000-0000671B0000}"/>
    <cellStyle name="Normal 16 4 37 2" xfId="17142" xr:uid="{00000000-0005-0000-0000-0000681B0000}"/>
    <cellStyle name="Normal 16 4 38" xfId="5104" xr:uid="{00000000-0005-0000-0000-0000691B0000}"/>
    <cellStyle name="Normal 16 4 38 2" xfId="17143" xr:uid="{00000000-0005-0000-0000-00006A1B0000}"/>
    <cellStyle name="Normal 16 4 39" xfId="5105" xr:uid="{00000000-0005-0000-0000-00006B1B0000}"/>
    <cellStyle name="Normal 16 4 39 2" xfId="17144" xr:uid="{00000000-0005-0000-0000-00006C1B0000}"/>
    <cellStyle name="Normal 16 4 4" xfId="5106" xr:uid="{00000000-0005-0000-0000-00006D1B0000}"/>
    <cellStyle name="Normal 16 4 4 2" xfId="17145" xr:uid="{00000000-0005-0000-0000-00006E1B0000}"/>
    <cellStyle name="Normal 16 4 40" xfId="5107" xr:uid="{00000000-0005-0000-0000-00006F1B0000}"/>
    <cellStyle name="Normal 16 4 40 2" xfId="17146" xr:uid="{00000000-0005-0000-0000-0000701B0000}"/>
    <cellStyle name="Normal 16 4 41" xfId="5108" xr:uid="{00000000-0005-0000-0000-0000711B0000}"/>
    <cellStyle name="Normal 16 4 41 2" xfId="17147" xr:uid="{00000000-0005-0000-0000-0000721B0000}"/>
    <cellStyle name="Normal 16 4 42" xfId="5109" xr:uid="{00000000-0005-0000-0000-0000731B0000}"/>
    <cellStyle name="Normal 16 4 42 2" xfId="17148" xr:uid="{00000000-0005-0000-0000-0000741B0000}"/>
    <cellStyle name="Normal 16 4 43" xfId="5110" xr:uid="{00000000-0005-0000-0000-0000751B0000}"/>
    <cellStyle name="Normal 16 4 43 2" xfId="17149" xr:uid="{00000000-0005-0000-0000-0000761B0000}"/>
    <cellStyle name="Normal 16 4 44" xfId="5111" xr:uid="{00000000-0005-0000-0000-0000771B0000}"/>
    <cellStyle name="Normal 16 4 44 2" xfId="17150" xr:uid="{00000000-0005-0000-0000-0000781B0000}"/>
    <cellStyle name="Normal 16 4 45" xfId="5112" xr:uid="{00000000-0005-0000-0000-0000791B0000}"/>
    <cellStyle name="Normal 16 4 45 2" xfId="17151" xr:uid="{00000000-0005-0000-0000-00007A1B0000}"/>
    <cellStyle name="Normal 16 4 46" xfId="5113" xr:uid="{00000000-0005-0000-0000-00007B1B0000}"/>
    <cellStyle name="Normal 16 4 46 2" xfId="17152" xr:uid="{00000000-0005-0000-0000-00007C1B0000}"/>
    <cellStyle name="Normal 16 4 47" xfId="5114" xr:uid="{00000000-0005-0000-0000-00007D1B0000}"/>
    <cellStyle name="Normal 16 4 47 2" xfId="17153" xr:uid="{00000000-0005-0000-0000-00007E1B0000}"/>
    <cellStyle name="Normal 16 4 48" xfId="5115" xr:uid="{00000000-0005-0000-0000-00007F1B0000}"/>
    <cellStyle name="Normal 16 4 48 2" xfId="17154" xr:uid="{00000000-0005-0000-0000-0000801B0000}"/>
    <cellStyle name="Normal 16 4 49" xfId="5116" xr:uid="{00000000-0005-0000-0000-0000811B0000}"/>
    <cellStyle name="Normal 16 4 49 2" xfId="17155" xr:uid="{00000000-0005-0000-0000-0000821B0000}"/>
    <cellStyle name="Normal 16 4 5" xfId="5117" xr:uid="{00000000-0005-0000-0000-0000831B0000}"/>
    <cellStyle name="Normal 16 4 5 2" xfId="17156" xr:uid="{00000000-0005-0000-0000-0000841B0000}"/>
    <cellStyle name="Normal 16 4 50" xfId="5118" xr:uid="{00000000-0005-0000-0000-0000851B0000}"/>
    <cellStyle name="Normal 16 4 50 2" xfId="17157" xr:uid="{00000000-0005-0000-0000-0000861B0000}"/>
    <cellStyle name="Normal 16 4 51" xfId="5119" xr:uid="{00000000-0005-0000-0000-0000871B0000}"/>
    <cellStyle name="Normal 16 4 51 2" xfId="17158" xr:uid="{00000000-0005-0000-0000-0000881B0000}"/>
    <cellStyle name="Normal 16 4 52" xfId="5120" xr:uid="{00000000-0005-0000-0000-0000891B0000}"/>
    <cellStyle name="Normal 16 4 52 2" xfId="17159" xr:uid="{00000000-0005-0000-0000-00008A1B0000}"/>
    <cellStyle name="Normal 16 4 53" xfId="5121" xr:uid="{00000000-0005-0000-0000-00008B1B0000}"/>
    <cellStyle name="Normal 16 4 53 2" xfId="17160" xr:uid="{00000000-0005-0000-0000-00008C1B0000}"/>
    <cellStyle name="Normal 16 4 54" xfId="5122" xr:uid="{00000000-0005-0000-0000-00008D1B0000}"/>
    <cellStyle name="Normal 16 4 54 2" xfId="17161" xr:uid="{00000000-0005-0000-0000-00008E1B0000}"/>
    <cellStyle name="Normal 16 4 55" xfId="5123" xr:uid="{00000000-0005-0000-0000-00008F1B0000}"/>
    <cellStyle name="Normal 16 4 55 2" xfId="17162" xr:uid="{00000000-0005-0000-0000-0000901B0000}"/>
    <cellStyle name="Normal 16 4 56" xfId="5124" xr:uid="{00000000-0005-0000-0000-0000911B0000}"/>
    <cellStyle name="Normal 16 4 56 2" xfId="17163" xr:uid="{00000000-0005-0000-0000-0000921B0000}"/>
    <cellStyle name="Normal 16 4 57" xfId="5125" xr:uid="{00000000-0005-0000-0000-0000931B0000}"/>
    <cellStyle name="Normal 16 4 57 2" xfId="17164" xr:uid="{00000000-0005-0000-0000-0000941B0000}"/>
    <cellStyle name="Normal 16 4 58" xfId="5126" xr:uid="{00000000-0005-0000-0000-0000951B0000}"/>
    <cellStyle name="Normal 16 4 58 2" xfId="17165" xr:uid="{00000000-0005-0000-0000-0000961B0000}"/>
    <cellStyle name="Normal 16 4 59" xfId="5127" xr:uid="{00000000-0005-0000-0000-0000971B0000}"/>
    <cellStyle name="Normal 16 4 59 2" xfId="17166" xr:uid="{00000000-0005-0000-0000-0000981B0000}"/>
    <cellStyle name="Normal 16 4 6" xfId="5128" xr:uid="{00000000-0005-0000-0000-0000991B0000}"/>
    <cellStyle name="Normal 16 4 6 2" xfId="17167" xr:uid="{00000000-0005-0000-0000-00009A1B0000}"/>
    <cellStyle name="Normal 16 4 60" xfId="5129" xr:uid="{00000000-0005-0000-0000-00009B1B0000}"/>
    <cellStyle name="Normal 16 4 60 2" xfId="17168" xr:uid="{00000000-0005-0000-0000-00009C1B0000}"/>
    <cellStyle name="Normal 16 4 61" xfId="5130" xr:uid="{00000000-0005-0000-0000-00009D1B0000}"/>
    <cellStyle name="Normal 16 4 61 2" xfId="17169" xr:uid="{00000000-0005-0000-0000-00009E1B0000}"/>
    <cellStyle name="Normal 16 4 62" xfId="5131" xr:uid="{00000000-0005-0000-0000-00009F1B0000}"/>
    <cellStyle name="Normal 16 4 62 2" xfId="17170" xr:uid="{00000000-0005-0000-0000-0000A01B0000}"/>
    <cellStyle name="Normal 16 4 63" xfId="5132" xr:uid="{00000000-0005-0000-0000-0000A11B0000}"/>
    <cellStyle name="Normal 16 4 63 2" xfId="17171" xr:uid="{00000000-0005-0000-0000-0000A21B0000}"/>
    <cellStyle name="Normal 16 4 64" xfId="5133" xr:uid="{00000000-0005-0000-0000-0000A31B0000}"/>
    <cellStyle name="Normal 16 4 64 2" xfId="17172" xr:uid="{00000000-0005-0000-0000-0000A41B0000}"/>
    <cellStyle name="Normal 16 4 65" xfId="5134" xr:uid="{00000000-0005-0000-0000-0000A51B0000}"/>
    <cellStyle name="Normal 16 4 65 2" xfId="17173" xr:uid="{00000000-0005-0000-0000-0000A61B0000}"/>
    <cellStyle name="Normal 16 4 66" xfId="5135" xr:uid="{00000000-0005-0000-0000-0000A71B0000}"/>
    <cellStyle name="Normal 16 4 66 2" xfId="17174" xr:uid="{00000000-0005-0000-0000-0000A81B0000}"/>
    <cellStyle name="Normal 16 4 67" xfId="5136" xr:uid="{00000000-0005-0000-0000-0000A91B0000}"/>
    <cellStyle name="Normal 16 4 67 2" xfId="17175" xr:uid="{00000000-0005-0000-0000-0000AA1B0000}"/>
    <cellStyle name="Normal 16 4 68" xfId="5137" xr:uid="{00000000-0005-0000-0000-0000AB1B0000}"/>
    <cellStyle name="Normal 16 4 68 2" xfId="17176" xr:uid="{00000000-0005-0000-0000-0000AC1B0000}"/>
    <cellStyle name="Normal 16 4 69" xfId="5138" xr:uid="{00000000-0005-0000-0000-0000AD1B0000}"/>
    <cellStyle name="Normal 16 4 69 2" xfId="17177" xr:uid="{00000000-0005-0000-0000-0000AE1B0000}"/>
    <cellStyle name="Normal 16 4 7" xfId="5139" xr:uid="{00000000-0005-0000-0000-0000AF1B0000}"/>
    <cellStyle name="Normal 16 4 7 2" xfId="17178" xr:uid="{00000000-0005-0000-0000-0000B01B0000}"/>
    <cellStyle name="Normal 16 4 70" xfId="5140" xr:uid="{00000000-0005-0000-0000-0000B11B0000}"/>
    <cellStyle name="Normal 16 4 70 2" xfId="17179" xr:uid="{00000000-0005-0000-0000-0000B21B0000}"/>
    <cellStyle name="Normal 16 4 71" xfId="5141" xr:uid="{00000000-0005-0000-0000-0000B31B0000}"/>
    <cellStyle name="Normal 16 4 71 2" xfId="17180" xr:uid="{00000000-0005-0000-0000-0000B41B0000}"/>
    <cellStyle name="Normal 16 4 72" xfId="5142" xr:uid="{00000000-0005-0000-0000-0000B51B0000}"/>
    <cellStyle name="Normal 16 4 72 2" xfId="17181" xr:uid="{00000000-0005-0000-0000-0000B61B0000}"/>
    <cellStyle name="Normal 16 4 73" xfId="5143" xr:uid="{00000000-0005-0000-0000-0000B71B0000}"/>
    <cellStyle name="Normal 16 4 73 2" xfId="17182" xr:uid="{00000000-0005-0000-0000-0000B81B0000}"/>
    <cellStyle name="Normal 16 4 74" xfId="5144" xr:uid="{00000000-0005-0000-0000-0000B91B0000}"/>
    <cellStyle name="Normal 16 4 74 2" xfId="17183" xr:uid="{00000000-0005-0000-0000-0000BA1B0000}"/>
    <cellStyle name="Normal 16 4 75" xfId="5145" xr:uid="{00000000-0005-0000-0000-0000BB1B0000}"/>
    <cellStyle name="Normal 16 4 75 2" xfId="17184" xr:uid="{00000000-0005-0000-0000-0000BC1B0000}"/>
    <cellStyle name="Normal 16 4 76" xfId="5146" xr:uid="{00000000-0005-0000-0000-0000BD1B0000}"/>
    <cellStyle name="Normal 16 4 76 2" xfId="17185" xr:uid="{00000000-0005-0000-0000-0000BE1B0000}"/>
    <cellStyle name="Normal 16 4 77" xfId="5147" xr:uid="{00000000-0005-0000-0000-0000BF1B0000}"/>
    <cellStyle name="Normal 16 4 77 2" xfId="17186" xr:uid="{00000000-0005-0000-0000-0000C01B0000}"/>
    <cellStyle name="Normal 16 4 78" xfId="5148" xr:uid="{00000000-0005-0000-0000-0000C11B0000}"/>
    <cellStyle name="Normal 16 4 78 2" xfId="17187" xr:uid="{00000000-0005-0000-0000-0000C21B0000}"/>
    <cellStyle name="Normal 16 4 79" xfId="5149" xr:uid="{00000000-0005-0000-0000-0000C31B0000}"/>
    <cellStyle name="Normal 16 4 79 2" xfId="17188" xr:uid="{00000000-0005-0000-0000-0000C41B0000}"/>
    <cellStyle name="Normal 16 4 8" xfId="5150" xr:uid="{00000000-0005-0000-0000-0000C51B0000}"/>
    <cellStyle name="Normal 16 4 8 2" xfId="17189" xr:uid="{00000000-0005-0000-0000-0000C61B0000}"/>
    <cellStyle name="Normal 16 4 80" xfId="17112" xr:uid="{00000000-0005-0000-0000-0000C71B0000}"/>
    <cellStyle name="Normal 16 4 9" xfId="5151" xr:uid="{00000000-0005-0000-0000-0000C81B0000}"/>
    <cellStyle name="Normal 16 4 9 2" xfId="17190" xr:uid="{00000000-0005-0000-0000-0000C91B0000}"/>
    <cellStyle name="Normal 16 40" xfId="5152" xr:uid="{00000000-0005-0000-0000-0000CA1B0000}"/>
    <cellStyle name="Normal 16 40 2" xfId="17191" xr:uid="{00000000-0005-0000-0000-0000CB1B0000}"/>
    <cellStyle name="Normal 16 41" xfId="5153" xr:uid="{00000000-0005-0000-0000-0000CC1B0000}"/>
    <cellStyle name="Normal 16 41 2" xfId="17192" xr:uid="{00000000-0005-0000-0000-0000CD1B0000}"/>
    <cellStyle name="Normal 16 42" xfId="5154" xr:uid="{00000000-0005-0000-0000-0000CE1B0000}"/>
    <cellStyle name="Normal 16 42 2" xfId="17193" xr:uid="{00000000-0005-0000-0000-0000CF1B0000}"/>
    <cellStyle name="Normal 16 43" xfId="5155" xr:uid="{00000000-0005-0000-0000-0000D01B0000}"/>
    <cellStyle name="Normal 16 43 2" xfId="17194" xr:uid="{00000000-0005-0000-0000-0000D11B0000}"/>
    <cellStyle name="Normal 16 44" xfId="5156" xr:uid="{00000000-0005-0000-0000-0000D21B0000}"/>
    <cellStyle name="Normal 16 44 2" xfId="17195" xr:uid="{00000000-0005-0000-0000-0000D31B0000}"/>
    <cellStyle name="Normal 16 45" xfId="5157" xr:uid="{00000000-0005-0000-0000-0000D41B0000}"/>
    <cellStyle name="Normal 16 45 2" xfId="17196" xr:uid="{00000000-0005-0000-0000-0000D51B0000}"/>
    <cellStyle name="Normal 16 46" xfId="5158" xr:uid="{00000000-0005-0000-0000-0000D61B0000}"/>
    <cellStyle name="Normal 16 46 2" xfId="17197" xr:uid="{00000000-0005-0000-0000-0000D71B0000}"/>
    <cellStyle name="Normal 16 47" xfId="5159" xr:uid="{00000000-0005-0000-0000-0000D81B0000}"/>
    <cellStyle name="Normal 16 47 2" xfId="17198" xr:uid="{00000000-0005-0000-0000-0000D91B0000}"/>
    <cellStyle name="Normal 16 48" xfId="5160" xr:uid="{00000000-0005-0000-0000-0000DA1B0000}"/>
    <cellStyle name="Normal 16 48 2" xfId="17199" xr:uid="{00000000-0005-0000-0000-0000DB1B0000}"/>
    <cellStyle name="Normal 16 49" xfId="5161" xr:uid="{00000000-0005-0000-0000-0000DC1B0000}"/>
    <cellStyle name="Normal 16 49 2" xfId="17200" xr:uid="{00000000-0005-0000-0000-0000DD1B0000}"/>
    <cellStyle name="Normal 16 5" xfId="5162" xr:uid="{00000000-0005-0000-0000-0000DE1B0000}"/>
    <cellStyle name="Normal 16 5 2" xfId="17201" xr:uid="{00000000-0005-0000-0000-0000DF1B0000}"/>
    <cellStyle name="Normal 16 50" xfId="5163" xr:uid="{00000000-0005-0000-0000-0000E01B0000}"/>
    <cellStyle name="Normal 16 50 2" xfId="17202" xr:uid="{00000000-0005-0000-0000-0000E11B0000}"/>
    <cellStyle name="Normal 16 51" xfId="5164" xr:uid="{00000000-0005-0000-0000-0000E21B0000}"/>
    <cellStyle name="Normal 16 51 2" xfId="17203" xr:uid="{00000000-0005-0000-0000-0000E31B0000}"/>
    <cellStyle name="Normal 16 52" xfId="5165" xr:uid="{00000000-0005-0000-0000-0000E41B0000}"/>
    <cellStyle name="Normal 16 52 2" xfId="17204" xr:uid="{00000000-0005-0000-0000-0000E51B0000}"/>
    <cellStyle name="Normal 16 53" xfId="5166" xr:uid="{00000000-0005-0000-0000-0000E61B0000}"/>
    <cellStyle name="Normal 16 53 2" xfId="17205" xr:uid="{00000000-0005-0000-0000-0000E71B0000}"/>
    <cellStyle name="Normal 16 54" xfId="5167" xr:uid="{00000000-0005-0000-0000-0000E81B0000}"/>
    <cellStyle name="Normal 16 54 2" xfId="17206" xr:uid="{00000000-0005-0000-0000-0000E91B0000}"/>
    <cellStyle name="Normal 16 55" xfId="5168" xr:uid="{00000000-0005-0000-0000-0000EA1B0000}"/>
    <cellStyle name="Normal 16 55 2" xfId="17207" xr:uid="{00000000-0005-0000-0000-0000EB1B0000}"/>
    <cellStyle name="Normal 16 56" xfId="5169" xr:uid="{00000000-0005-0000-0000-0000EC1B0000}"/>
    <cellStyle name="Normal 16 56 2" xfId="17208" xr:uid="{00000000-0005-0000-0000-0000ED1B0000}"/>
    <cellStyle name="Normal 16 57" xfId="5170" xr:uid="{00000000-0005-0000-0000-0000EE1B0000}"/>
    <cellStyle name="Normal 16 57 2" xfId="17209" xr:uid="{00000000-0005-0000-0000-0000EF1B0000}"/>
    <cellStyle name="Normal 16 58" xfId="5171" xr:uid="{00000000-0005-0000-0000-0000F01B0000}"/>
    <cellStyle name="Normal 16 58 2" xfId="17210" xr:uid="{00000000-0005-0000-0000-0000F11B0000}"/>
    <cellStyle name="Normal 16 59" xfId="5172" xr:uid="{00000000-0005-0000-0000-0000F21B0000}"/>
    <cellStyle name="Normal 16 59 2" xfId="17211" xr:uid="{00000000-0005-0000-0000-0000F31B0000}"/>
    <cellStyle name="Normal 16 6" xfId="5173" xr:uid="{00000000-0005-0000-0000-0000F41B0000}"/>
    <cellStyle name="Normal 16 6 2" xfId="17212" xr:uid="{00000000-0005-0000-0000-0000F51B0000}"/>
    <cellStyle name="Normal 16 60" xfId="5174" xr:uid="{00000000-0005-0000-0000-0000F61B0000}"/>
    <cellStyle name="Normal 16 60 2" xfId="17213" xr:uid="{00000000-0005-0000-0000-0000F71B0000}"/>
    <cellStyle name="Normal 16 61" xfId="5175" xr:uid="{00000000-0005-0000-0000-0000F81B0000}"/>
    <cellStyle name="Normal 16 61 2" xfId="17214" xr:uid="{00000000-0005-0000-0000-0000F91B0000}"/>
    <cellStyle name="Normal 16 62" xfId="5176" xr:uid="{00000000-0005-0000-0000-0000FA1B0000}"/>
    <cellStyle name="Normal 16 62 2" xfId="17215" xr:uid="{00000000-0005-0000-0000-0000FB1B0000}"/>
    <cellStyle name="Normal 16 63" xfId="5177" xr:uid="{00000000-0005-0000-0000-0000FC1B0000}"/>
    <cellStyle name="Normal 16 63 2" xfId="17216" xr:uid="{00000000-0005-0000-0000-0000FD1B0000}"/>
    <cellStyle name="Normal 16 64" xfId="5178" xr:uid="{00000000-0005-0000-0000-0000FE1B0000}"/>
    <cellStyle name="Normal 16 64 2" xfId="17217" xr:uid="{00000000-0005-0000-0000-0000FF1B0000}"/>
    <cellStyle name="Normal 16 65" xfId="5179" xr:uid="{00000000-0005-0000-0000-0000001C0000}"/>
    <cellStyle name="Normal 16 65 2" xfId="17218" xr:uid="{00000000-0005-0000-0000-0000011C0000}"/>
    <cellStyle name="Normal 16 66" xfId="5180" xr:uid="{00000000-0005-0000-0000-0000021C0000}"/>
    <cellStyle name="Normal 16 66 2" xfId="17219" xr:uid="{00000000-0005-0000-0000-0000031C0000}"/>
    <cellStyle name="Normal 16 67" xfId="5181" xr:uid="{00000000-0005-0000-0000-0000041C0000}"/>
    <cellStyle name="Normal 16 67 2" xfId="17220" xr:uid="{00000000-0005-0000-0000-0000051C0000}"/>
    <cellStyle name="Normal 16 68" xfId="5182" xr:uid="{00000000-0005-0000-0000-0000061C0000}"/>
    <cellStyle name="Normal 16 68 2" xfId="17221" xr:uid="{00000000-0005-0000-0000-0000071C0000}"/>
    <cellStyle name="Normal 16 69" xfId="5183" xr:uid="{00000000-0005-0000-0000-0000081C0000}"/>
    <cellStyle name="Normal 16 69 2" xfId="17222" xr:uid="{00000000-0005-0000-0000-0000091C0000}"/>
    <cellStyle name="Normal 16 7" xfId="5184" xr:uid="{00000000-0005-0000-0000-00000A1C0000}"/>
    <cellStyle name="Normal 16 7 2" xfId="17223" xr:uid="{00000000-0005-0000-0000-00000B1C0000}"/>
    <cellStyle name="Normal 16 70" xfId="5185" xr:uid="{00000000-0005-0000-0000-00000C1C0000}"/>
    <cellStyle name="Normal 16 70 2" xfId="17224" xr:uid="{00000000-0005-0000-0000-00000D1C0000}"/>
    <cellStyle name="Normal 16 71" xfId="5186" xr:uid="{00000000-0005-0000-0000-00000E1C0000}"/>
    <cellStyle name="Normal 16 71 2" xfId="17225" xr:uid="{00000000-0005-0000-0000-00000F1C0000}"/>
    <cellStyle name="Normal 16 72" xfId="5187" xr:uid="{00000000-0005-0000-0000-0000101C0000}"/>
    <cellStyle name="Normal 16 72 2" xfId="17226" xr:uid="{00000000-0005-0000-0000-0000111C0000}"/>
    <cellStyle name="Normal 16 73" xfId="5188" xr:uid="{00000000-0005-0000-0000-0000121C0000}"/>
    <cellStyle name="Normal 16 73 2" xfId="17227" xr:uid="{00000000-0005-0000-0000-0000131C0000}"/>
    <cellStyle name="Normal 16 74" xfId="5189" xr:uid="{00000000-0005-0000-0000-0000141C0000}"/>
    <cellStyle name="Normal 16 74 2" xfId="17228" xr:uid="{00000000-0005-0000-0000-0000151C0000}"/>
    <cellStyle name="Normal 16 75" xfId="5190" xr:uid="{00000000-0005-0000-0000-0000161C0000}"/>
    <cellStyle name="Normal 16 75 2" xfId="17229" xr:uid="{00000000-0005-0000-0000-0000171C0000}"/>
    <cellStyle name="Normal 16 76" xfId="5191" xr:uid="{00000000-0005-0000-0000-0000181C0000}"/>
    <cellStyle name="Normal 16 76 2" xfId="17230" xr:uid="{00000000-0005-0000-0000-0000191C0000}"/>
    <cellStyle name="Normal 16 77" xfId="5192" xr:uid="{00000000-0005-0000-0000-00001A1C0000}"/>
    <cellStyle name="Normal 16 77 2" xfId="17231" xr:uid="{00000000-0005-0000-0000-00001B1C0000}"/>
    <cellStyle name="Normal 16 78" xfId="5193" xr:uid="{00000000-0005-0000-0000-00001C1C0000}"/>
    <cellStyle name="Normal 16 78 2" xfId="17232" xr:uid="{00000000-0005-0000-0000-00001D1C0000}"/>
    <cellStyle name="Normal 16 79" xfId="5194" xr:uid="{00000000-0005-0000-0000-00001E1C0000}"/>
    <cellStyle name="Normal 16 79 2" xfId="17233" xr:uid="{00000000-0005-0000-0000-00001F1C0000}"/>
    <cellStyle name="Normal 16 8" xfId="5195" xr:uid="{00000000-0005-0000-0000-0000201C0000}"/>
    <cellStyle name="Normal 16 8 2" xfId="17234" xr:uid="{00000000-0005-0000-0000-0000211C0000}"/>
    <cellStyle name="Normal 16 80" xfId="5196" xr:uid="{00000000-0005-0000-0000-0000221C0000}"/>
    <cellStyle name="Normal 16 80 2" xfId="17235" xr:uid="{00000000-0005-0000-0000-0000231C0000}"/>
    <cellStyle name="Normal 16 81" xfId="5197" xr:uid="{00000000-0005-0000-0000-0000241C0000}"/>
    <cellStyle name="Normal 16 81 2" xfId="17236" xr:uid="{00000000-0005-0000-0000-0000251C0000}"/>
    <cellStyle name="Normal 16 82" xfId="5198" xr:uid="{00000000-0005-0000-0000-0000261C0000}"/>
    <cellStyle name="Normal 16 82 2" xfId="17237" xr:uid="{00000000-0005-0000-0000-0000271C0000}"/>
    <cellStyle name="Normal 16 83" xfId="3320" xr:uid="{00000000-0005-0000-0000-0000281C0000}"/>
    <cellStyle name="Normal 16 9" xfId="5199" xr:uid="{00000000-0005-0000-0000-0000291C0000}"/>
    <cellStyle name="Normal 16 9 2" xfId="17238" xr:uid="{00000000-0005-0000-0000-00002A1C0000}"/>
    <cellStyle name="Normal 160" xfId="501" xr:uid="{00000000-0005-0000-0000-00002B1C0000}"/>
    <cellStyle name="Normal 160 2" xfId="598" xr:uid="{00000000-0005-0000-0000-00002C1C0000}"/>
    <cellStyle name="Normal 160 3" xfId="1017" xr:uid="{00000000-0005-0000-0000-00002D1C0000}"/>
    <cellStyle name="Normal 160 4" xfId="1152" xr:uid="{00000000-0005-0000-0000-00002E1C0000}"/>
    <cellStyle name="Normal 160 5" xfId="1099" xr:uid="{00000000-0005-0000-0000-00002F1C0000}"/>
    <cellStyle name="Normal 160 6" xfId="895" xr:uid="{00000000-0005-0000-0000-0000301C0000}"/>
    <cellStyle name="Normal 160 7" xfId="1275" xr:uid="{00000000-0005-0000-0000-0000311C0000}"/>
    <cellStyle name="Normal 160 8" xfId="1344" xr:uid="{00000000-0005-0000-0000-0000321C0000}"/>
    <cellStyle name="Normal 160 9" xfId="1407" xr:uid="{00000000-0005-0000-0000-0000331C0000}"/>
    <cellStyle name="Normal 161" xfId="502" xr:uid="{00000000-0005-0000-0000-0000341C0000}"/>
    <cellStyle name="Normal 161 2" xfId="599" xr:uid="{00000000-0005-0000-0000-0000351C0000}"/>
    <cellStyle name="Normal 161 3" xfId="1018" xr:uid="{00000000-0005-0000-0000-0000361C0000}"/>
    <cellStyle name="Normal 161 4" xfId="1151" xr:uid="{00000000-0005-0000-0000-0000371C0000}"/>
    <cellStyle name="Normal 161 5" xfId="1100" xr:uid="{00000000-0005-0000-0000-0000381C0000}"/>
    <cellStyle name="Normal 161 6" xfId="894" xr:uid="{00000000-0005-0000-0000-0000391C0000}"/>
    <cellStyle name="Normal 161 7" xfId="1276" xr:uid="{00000000-0005-0000-0000-00003A1C0000}"/>
    <cellStyle name="Normal 161 8" xfId="1345" xr:uid="{00000000-0005-0000-0000-00003B1C0000}"/>
    <cellStyle name="Normal 161 9" xfId="1408" xr:uid="{00000000-0005-0000-0000-00003C1C0000}"/>
    <cellStyle name="Normal 162" xfId="503" xr:uid="{00000000-0005-0000-0000-00003D1C0000}"/>
    <cellStyle name="Normal 162 2" xfId="600" xr:uid="{00000000-0005-0000-0000-00003E1C0000}"/>
    <cellStyle name="Normal 162 3" xfId="1019" xr:uid="{00000000-0005-0000-0000-00003F1C0000}"/>
    <cellStyle name="Normal 162 4" xfId="1150" xr:uid="{00000000-0005-0000-0000-0000401C0000}"/>
    <cellStyle name="Normal 162 5" xfId="1101" xr:uid="{00000000-0005-0000-0000-0000411C0000}"/>
    <cellStyle name="Normal 162 6" xfId="893" xr:uid="{00000000-0005-0000-0000-0000421C0000}"/>
    <cellStyle name="Normal 162 7" xfId="1277" xr:uid="{00000000-0005-0000-0000-0000431C0000}"/>
    <cellStyle name="Normal 162 8" xfId="1346" xr:uid="{00000000-0005-0000-0000-0000441C0000}"/>
    <cellStyle name="Normal 162 9" xfId="1409" xr:uid="{00000000-0005-0000-0000-0000451C0000}"/>
    <cellStyle name="Normal 163" xfId="504" xr:uid="{00000000-0005-0000-0000-0000461C0000}"/>
    <cellStyle name="Normal 163 2" xfId="601" xr:uid="{00000000-0005-0000-0000-0000471C0000}"/>
    <cellStyle name="Normal 163 3" xfId="1020" xr:uid="{00000000-0005-0000-0000-0000481C0000}"/>
    <cellStyle name="Normal 163 4" xfId="1149" xr:uid="{00000000-0005-0000-0000-0000491C0000}"/>
    <cellStyle name="Normal 163 5" xfId="1102" xr:uid="{00000000-0005-0000-0000-00004A1C0000}"/>
    <cellStyle name="Normal 163 6" xfId="892" xr:uid="{00000000-0005-0000-0000-00004B1C0000}"/>
    <cellStyle name="Normal 163 7" xfId="946" xr:uid="{00000000-0005-0000-0000-00004C1C0000}"/>
    <cellStyle name="Normal 163 8" xfId="1319" xr:uid="{00000000-0005-0000-0000-00004D1C0000}"/>
    <cellStyle name="Normal 163 9" xfId="1384" xr:uid="{00000000-0005-0000-0000-00004E1C0000}"/>
    <cellStyle name="Normal 164" xfId="505" xr:uid="{00000000-0005-0000-0000-00004F1C0000}"/>
    <cellStyle name="Normal 164 2" xfId="602" xr:uid="{00000000-0005-0000-0000-0000501C0000}"/>
    <cellStyle name="Normal 164 3" xfId="1021" xr:uid="{00000000-0005-0000-0000-0000511C0000}"/>
    <cellStyle name="Normal 164 4" xfId="1148" xr:uid="{00000000-0005-0000-0000-0000521C0000}"/>
    <cellStyle name="Normal 164 5" xfId="1103" xr:uid="{00000000-0005-0000-0000-0000531C0000}"/>
    <cellStyle name="Normal 164 6" xfId="891" xr:uid="{00000000-0005-0000-0000-0000541C0000}"/>
    <cellStyle name="Normal 164 7" xfId="1278" xr:uid="{00000000-0005-0000-0000-0000551C0000}"/>
    <cellStyle name="Normal 164 8" xfId="1347" xr:uid="{00000000-0005-0000-0000-0000561C0000}"/>
    <cellStyle name="Normal 164 9" xfId="1410" xr:uid="{00000000-0005-0000-0000-0000571C0000}"/>
    <cellStyle name="Normal 165" xfId="506" xr:uid="{00000000-0005-0000-0000-0000581C0000}"/>
    <cellStyle name="Normal 165 2" xfId="603" xr:uid="{00000000-0005-0000-0000-0000591C0000}"/>
    <cellStyle name="Normal 165 3" xfId="1022" xr:uid="{00000000-0005-0000-0000-00005A1C0000}"/>
    <cellStyle name="Normal 165 4" xfId="1147" xr:uid="{00000000-0005-0000-0000-00005B1C0000}"/>
    <cellStyle name="Normal 165 5" xfId="1104" xr:uid="{00000000-0005-0000-0000-00005C1C0000}"/>
    <cellStyle name="Normal 165 6" xfId="890" xr:uid="{00000000-0005-0000-0000-00005D1C0000}"/>
    <cellStyle name="Normal 165 7" xfId="947" xr:uid="{00000000-0005-0000-0000-00005E1C0000}"/>
    <cellStyle name="Normal 165 8" xfId="1240" xr:uid="{00000000-0005-0000-0000-00005F1C0000}"/>
    <cellStyle name="Normal 165 9" xfId="825" xr:uid="{00000000-0005-0000-0000-0000601C0000}"/>
    <cellStyle name="Normal 166" xfId="507" xr:uid="{00000000-0005-0000-0000-0000611C0000}"/>
    <cellStyle name="Normal 166 2" xfId="604" xr:uid="{00000000-0005-0000-0000-0000621C0000}"/>
    <cellStyle name="Normal 166 3" xfId="1023" xr:uid="{00000000-0005-0000-0000-0000631C0000}"/>
    <cellStyle name="Normal 166 4" xfId="1146" xr:uid="{00000000-0005-0000-0000-0000641C0000}"/>
    <cellStyle name="Normal 166 5" xfId="1105" xr:uid="{00000000-0005-0000-0000-0000651C0000}"/>
    <cellStyle name="Normal 166 6" xfId="1201" xr:uid="{00000000-0005-0000-0000-0000661C0000}"/>
    <cellStyle name="Normal 166 7" xfId="1178" xr:uid="{00000000-0005-0000-0000-0000671C0000}"/>
    <cellStyle name="Normal 166 8" xfId="1333" xr:uid="{00000000-0005-0000-0000-0000681C0000}"/>
    <cellStyle name="Normal 166 9" xfId="1397" xr:uid="{00000000-0005-0000-0000-0000691C0000}"/>
    <cellStyle name="Normal 167" xfId="508" xr:uid="{00000000-0005-0000-0000-00006A1C0000}"/>
    <cellStyle name="Normal 167 2" xfId="605" xr:uid="{00000000-0005-0000-0000-00006B1C0000}"/>
    <cellStyle name="Normal 167 3" xfId="1024" xr:uid="{00000000-0005-0000-0000-00006C1C0000}"/>
    <cellStyle name="Normal 167 4" xfId="1145" xr:uid="{00000000-0005-0000-0000-00006D1C0000}"/>
    <cellStyle name="Normal 167 5" xfId="1106" xr:uid="{00000000-0005-0000-0000-00006E1C0000}"/>
    <cellStyle name="Normal 167 6" xfId="1326" xr:uid="{00000000-0005-0000-0000-00006F1C0000}"/>
    <cellStyle name="Normal 167 7" xfId="1391" xr:uid="{00000000-0005-0000-0000-0000701C0000}"/>
    <cellStyle name="Normal 167 8" xfId="1441" xr:uid="{00000000-0005-0000-0000-0000711C0000}"/>
    <cellStyle name="Normal 167 9" xfId="1470" xr:uid="{00000000-0005-0000-0000-0000721C0000}"/>
    <cellStyle name="Normal 168" xfId="509" xr:uid="{00000000-0005-0000-0000-0000731C0000}"/>
    <cellStyle name="Normal 168 2" xfId="606" xr:uid="{00000000-0005-0000-0000-0000741C0000}"/>
    <cellStyle name="Normal 168 3" xfId="1025" xr:uid="{00000000-0005-0000-0000-0000751C0000}"/>
    <cellStyle name="Normal 168 4" xfId="1144" xr:uid="{00000000-0005-0000-0000-0000761C0000}"/>
    <cellStyle name="Normal 168 5" xfId="1107" xr:uid="{00000000-0005-0000-0000-0000771C0000}"/>
    <cellStyle name="Normal 168 6" xfId="889" xr:uid="{00000000-0005-0000-0000-0000781C0000}"/>
    <cellStyle name="Normal 168 7" xfId="1279" xr:uid="{00000000-0005-0000-0000-0000791C0000}"/>
    <cellStyle name="Normal 168 8" xfId="1348" xr:uid="{00000000-0005-0000-0000-00007A1C0000}"/>
    <cellStyle name="Normal 168 9" xfId="1411" xr:uid="{00000000-0005-0000-0000-00007B1C0000}"/>
    <cellStyle name="Normal 169" xfId="510" xr:uid="{00000000-0005-0000-0000-00007C1C0000}"/>
    <cellStyle name="Normal 169 2" xfId="607" xr:uid="{00000000-0005-0000-0000-00007D1C0000}"/>
    <cellStyle name="Normal 169 3" xfId="1026" xr:uid="{00000000-0005-0000-0000-00007E1C0000}"/>
    <cellStyle name="Normal 169 4" xfId="1143" xr:uid="{00000000-0005-0000-0000-00007F1C0000}"/>
    <cellStyle name="Normal 169 5" xfId="1108" xr:uid="{00000000-0005-0000-0000-0000801C0000}"/>
    <cellStyle name="Normal 169 6" xfId="1200" xr:uid="{00000000-0005-0000-0000-0000811C0000}"/>
    <cellStyle name="Normal 169 7" xfId="986" xr:uid="{00000000-0005-0000-0000-0000821C0000}"/>
    <cellStyle name="Normal 169 8" xfId="1221" xr:uid="{00000000-0005-0000-0000-0000831C0000}"/>
    <cellStyle name="Normal 169 9" xfId="976" xr:uid="{00000000-0005-0000-0000-0000841C0000}"/>
    <cellStyle name="Normal 17" xfId="83" xr:uid="{00000000-0005-0000-0000-0000851C0000}"/>
    <cellStyle name="Normal 17 10" xfId="5200" xr:uid="{00000000-0005-0000-0000-0000861C0000}"/>
    <cellStyle name="Normal 17 10 2" xfId="17240" xr:uid="{00000000-0005-0000-0000-0000871C0000}"/>
    <cellStyle name="Normal 17 11" xfId="5201" xr:uid="{00000000-0005-0000-0000-0000881C0000}"/>
    <cellStyle name="Normal 17 11 2" xfId="17241" xr:uid="{00000000-0005-0000-0000-0000891C0000}"/>
    <cellStyle name="Normal 17 12" xfId="5202" xr:uid="{00000000-0005-0000-0000-00008A1C0000}"/>
    <cellStyle name="Normal 17 12 2" xfId="17242" xr:uid="{00000000-0005-0000-0000-00008B1C0000}"/>
    <cellStyle name="Normal 17 13" xfId="5203" xr:uid="{00000000-0005-0000-0000-00008C1C0000}"/>
    <cellStyle name="Normal 17 13 2" xfId="17243" xr:uid="{00000000-0005-0000-0000-00008D1C0000}"/>
    <cellStyle name="Normal 17 14" xfId="5204" xr:uid="{00000000-0005-0000-0000-00008E1C0000}"/>
    <cellStyle name="Normal 17 14 2" xfId="17244" xr:uid="{00000000-0005-0000-0000-00008F1C0000}"/>
    <cellStyle name="Normal 17 15" xfId="5205" xr:uid="{00000000-0005-0000-0000-0000901C0000}"/>
    <cellStyle name="Normal 17 15 2" xfId="17245" xr:uid="{00000000-0005-0000-0000-0000911C0000}"/>
    <cellStyle name="Normal 17 16" xfId="5206" xr:uid="{00000000-0005-0000-0000-0000921C0000}"/>
    <cellStyle name="Normal 17 16 2" xfId="17246" xr:uid="{00000000-0005-0000-0000-0000931C0000}"/>
    <cellStyle name="Normal 17 17" xfId="5207" xr:uid="{00000000-0005-0000-0000-0000941C0000}"/>
    <cellStyle name="Normal 17 17 2" xfId="17247" xr:uid="{00000000-0005-0000-0000-0000951C0000}"/>
    <cellStyle name="Normal 17 18" xfId="5208" xr:uid="{00000000-0005-0000-0000-0000961C0000}"/>
    <cellStyle name="Normal 17 18 2" xfId="17248" xr:uid="{00000000-0005-0000-0000-0000971C0000}"/>
    <cellStyle name="Normal 17 19" xfId="5209" xr:uid="{00000000-0005-0000-0000-0000981C0000}"/>
    <cellStyle name="Normal 17 19 2" xfId="17249" xr:uid="{00000000-0005-0000-0000-0000991C0000}"/>
    <cellStyle name="Normal 17 2" xfId="5210" xr:uid="{00000000-0005-0000-0000-00009A1C0000}"/>
    <cellStyle name="Normal 17 2 10" xfId="5211" xr:uid="{00000000-0005-0000-0000-00009B1C0000}"/>
    <cellStyle name="Normal 17 2 10 2" xfId="17251" xr:uid="{00000000-0005-0000-0000-00009C1C0000}"/>
    <cellStyle name="Normal 17 2 11" xfId="5212" xr:uid="{00000000-0005-0000-0000-00009D1C0000}"/>
    <cellStyle name="Normal 17 2 11 2" xfId="17252" xr:uid="{00000000-0005-0000-0000-00009E1C0000}"/>
    <cellStyle name="Normal 17 2 12" xfId="5213" xr:uid="{00000000-0005-0000-0000-00009F1C0000}"/>
    <cellStyle name="Normal 17 2 12 2" xfId="17253" xr:uid="{00000000-0005-0000-0000-0000A01C0000}"/>
    <cellStyle name="Normal 17 2 13" xfId="5214" xr:uid="{00000000-0005-0000-0000-0000A11C0000}"/>
    <cellStyle name="Normal 17 2 13 2" xfId="17254" xr:uid="{00000000-0005-0000-0000-0000A21C0000}"/>
    <cellStyle name="Normal 17 2 14" xfId="5215" xr:uid="{00000000-0005-0000-0000-0000A31C0000}"/>
    <cellStyle name="Normal 17 2 14 2" xfId="17255" xr:uid="{00000000-0005-0000-0000-0000A41C0000}"/>
    <cellStyle name="Normal 17 2 15" xfId="5216" xr:uid="{00000000-0005-0000-0000-0000A51C0000}"/>
    <cellStyle name="Normal 17 2 15 2" xfId="17256" xr:uid="{00000000-0005-0000-0000-0000A61C0000}"/>
    <cellStyle name="Normal 17 2 16" xfId="5217" xr:uid="{00000000-0005-0000-0000-0000A71C0000}"/>
    <cellStyle name="Normal 17 2 16 2" xfId="17257" xr:uid="{00000000-0005-0000-0000-0000A81C0000}"/>
    <cellStyle name="Normal 17 2 17" xfId="5218" xr:uid="{00000000-0005-0000-0000-0000A91C0000}"/>
    <cellStyle name="Normal 17 2 17 2" xfId="17258" xr:uid="{00000000-0005-0000-0000-0000AA1C0000}"/>
    <cellStyle name="Normal 17 2 18" xfId="5219" xr:uid="{00000000-0005-0000-0000-0000AB1C0000}"/>
    <cellStyle name="Normal 17 2 18 2" xfId="17259" xr:uid="{00000000-0005-0000-0000-0000AC1C0000}"/>
    <cellStyle name="Normal 17 2 19" xfId="5220" xr:uid="{00000000-0005-0000-0000-0000AD1C0000}"/>
    <cellStyle name="Normal 17 2 19 2" xfId="17260" xr:uid="{00000000-0005-0000-0000-0000AE1C0000}"/>
    <cellStyle name="Normal 17 2 2" xfId="5221" xr:uid="{00000000-0005-0000-0000-0000AF1C0000}"/>
    <cellStyle name="Normal 17 2 2 2" xfId="17261" xr:uid="{00000000-0005-0000-0000-0000B01C0000}"/>
    <cellStyle name="Normal 17 2 20" xfId="5222" xr:uid="{00000000-0005-0000-0000-0000B11C0000}"/>
    <cellStyle name="Normal 17 2 20 2" xfId="17262" xr:uid="{00000000-0005-0000-0000-0000B21C0000}"/>
    <cellStyle name="Normal 17 2 21" xfId="5223" xr:uid="{00000000-0005-0000-0000-0000B31C0000}"/>
    <cellStyle name="Normal 17 2 21 2" xfId="17263" xr:uid="{00000000-0005-0000-0000-0000B41C0000}"/>
    <cellStyle name="Normal 17 2 22" xfId="5224" xr:uid="{00000000-0005-0000-0000-0000B51C0000}"/>
    <cellStyle name="Normal 17 2 22 2" xfId="17264" xr:uid="{00000000-0005-0000-0000-0000B61C0000}"/>
    <cellStyle name="Normal 17 2 23" xfId="5225" xr:uid="{00000000-0005-0000-0000-0000B71C0000}"/>
    <cellStyle name="Normal 17 2 23 2" xfId="17265" xr:uid="{00000000-0005-0000-0000-0000B81C0000}"/>
    <cellStyle name="Normal 17 2 24" xfId="5226" xr:uid="{00000000-0005-0000-0000-0000B91C0000}"/>
    <cellStyle name="Normal 17 2 24 2" xfId="17266" xr:uid="{00000000-0005-0000-0000-0000BA1C0000}"/>
    <cellStyle name="Normal 17 2 25" xfId="5227" xr:uid="{00000000-0005-0000-0000-0000BB1C0000}"/>
    <cellStyle name="Normal 17 2 25 2" xfId="17267" xr:uid="{00000000-0005-0000-0000-0000BC1C0000}"/>
    <cellStyle name="Normal 17 2 26" xfId="5228" xr:uid="{00000000-0005-0000-0000-0000BD1C0000}"/>
    <cellStyle name="Normal 17 2 26 2" xfId="17268" xr:uid="{00000000-0005-0000-0000-0000BE1C0000}"/>
    <cellStyle name="Normal 17 2 27" xfId="5229" xr:uid="{00000000-0005-0000-0000-0000BF1C0000}"/>
    <cellStyle name="Normal 17 2 27 2" xfId="17269" xr:uid="{00000000-0005-0000-0000-0000C01C0000}"/>
    <cellStyle name="Normal 17 2 28" xfId="5230" xr:uid="{00000000-0005-0000-0000-0000C11C0000}"/>
    <cellStyle name="Normal 17 2 28 2" xfId="17270" xr:uid="{00000000-0005-0000-0000-0000C21C0000}"/>
    <cellStyle name="Normal 17 2 29" xfId="5231" xr:uid="{00000000-0005-0000-0000-0000C31C0000}"/>
    <cellStyle name="Normal 17 2 29 2" xfId="17271" xr:uid="{00000000-0005-0000-0000-0000C41C0000}"/>
    <cellStyle name="Normal 17 2 3" xfId="5232" xr:uid="{00000000-0005-0000-0000-0000C51C0000}"/>
    <cellStyle name="Normal 17 2 3 2" xfId="17272" xr:uid="{00000000-0005-0000-0000-0000C61C0000}"/>
    <cellStyle name="Normal 17 2 30" xfId="5233" xr:uid="{00000000-0005-0000-0000-0000C71C0000}"/>
    <cellStyle name="Normal 17 2 30 2" xfId="17273" xr:uid="{00000000-0005-0000-0000-0000C81C0000}"/>
    <cellStyle name="Normal 17 2 31" xfId="5234" xr:uid="{00000000-0005-0000-0000-0000C91C0000}"/>
    <cellStyle name="Normal 17 2 31 2" xfId="17274" xr:uid="{00000000-0005-0000-0000-0000CA1C0000}"/>
    <cellStyle name="Normal 17 2 32" xfId="5235" xr:uid="{00000000-0005-0000-0000-0000CB1C0000}"/>
    <cellStyle name="Normal 17 2 32 2" xfId="17275" xr:uid="{00000000-0005-0000-0000-0000CC1C0000}"/>
    <cellStyle name="Normal 17 2 33" xfId="5236" xr:uid="{00000000-0005-0000-0000-0000CD1C0000}"/>
    <cellStyle name="Normal 17 2 33 2" xfId="17276" xr:uid="{00000000-0005-0000-0000-0000CE1C0000}"/>
    <cellStyle name="Normal 17 2 34" xfId="5237" xr:uid="{00000000-0005-0000-0000-0000CF1C0000}"/>
    <cellStyle name="Normal 17 2 34 2" xfId="17277" xr:uid="{00000000-0005-0000-0000-0000D01C0000}"/>
    <cellStyle name="Normal 17 2 35" xfId="5238" xr:uid="{00000000-0005-0000-0000-0000D11C0000}"/>
    <cellStyle name="Normal 17 2 35 2" xfId="17278" xr:uid="{00000000-0005-0000-0000-0000D21C0000}"/>
    <cellStyle name="Normal 17 2 36" xfId="5239" xr:uid="{00000000-0005-0000-0000-0000D31C0000}"/>
    <cellStyle name="Normal 17 2 36 2" xfId="17279" xr:uid="{00000000-0005-0000-0000-0000D41C0000}"/>
    <cellStyle name="Normal 17 2 37" xfId="5240" xr:uid="{00000000-0005-0000-0000-0000D51C0000}"/>
    <cellStyle name="Normal 17 2 37 2" xfId="17280" xr:uid="{00000000-0005-0000-0000-0000D61C0000}"/>
    <cellStyle name="Normal 17 2 38" xfId="5241" xr:uid="{00000000-0005-0000-0000-0000D71C0000}"/>
    <cellStyle name="Normal 17 2 38 2" xfId="17281" xr:uid="{00000000-0005-0000-0000-0000D81C0000}"/>
    <cellStyle name="Normal 17 2 39" xfId="5242" xr:uid="{00000000-0005-0000-0000-0000D91C0000}"/>
    <cellStyle name="Normal 17 2 39 2" xfId="17282" xr:uid="{00000000-0005-0000-0000-0000DA1C0000}"/>
    <cellStyle name="Normal 17 2 4" xfId="5243" xr:uid="{00000000-0005-0000-0000-0000DB1C0000}"/>
    <cellStyle name="Normal 17 2 4 2" xfId="17283" xr:uid="{00000000-0005-0000-0000-0000DC1C0000}"/>
    <cellStyle name="Normal 17 2 40" xfId="5244" xr:uid="{00000000-0005-0000-0000-0000DD1C0000}"/>
    <cellStyle name="Normal 17 2 40 2" xfId="17284" xr:uid="{00000000-0005-0000-0000-0000DE1C0000}"/>
    <cellStyle name="Normal 17 2 41" xfId="5245" xr:uid="{00000000-0005-0000-0000-0000DF1C0000}"/>
    <cellStyle name="Normal 17 2 41 2" xfId="17285" xr:uid="{00000000-0005-0000-0000-0000E01C0000}"/>
    <cellStyle name="Normal 17 2 42" xfId="5246" xr:uid="{00000000-0005-0000-0000-0000E11C0000}"/>
    <cellStyle name="Normal 17 2 42 2" xfId="17286" xr:uid="{00000000-0005-0000-0000-0000E21C0000}"/>
    <cellStyle name="Normal 17 2 43" xfId="5247" xr:uid="{00000000-0005-0000-0000-0000E31C0000}"/>
    <cellStyle name="Normal 17 2 43 2" xfId="17287" xr:uid="{00000000-0005-0000-0000-0000E41C0000}"/>
    <cellStyle name="Normal 17 2 44" xfId="5248" xr:uid="{00000000-0005-0000-0000-0000E51C0000}"/>
    <cellStyle name="Normal 17 2 44 2" xfId="17288" xr:uid="{00000000-0005-0000-0000-0000E61C0000}"/>
    <cellStyle name="Normal 17 2 45" xfId="5249" xr:uid="{00000000-0005-0000-0000-0000E71C0000}"/>
    <cellStyle name="Normal 17 2 45 2" xfId="17289" xr:uid="{00000000-0005-0000-0000-0000E81C0000}"/>
    <cellStyle name="Normal 17 2 46" xfId="5250" xr:uid="{00000000-0005-0000-0000-0000E91C0000}"/>
    <cellStyle name="Normal 17 2 46 2" xfId="17290" xr:uid="{00000000-0005-0000-0000-0000EA1C0000}"/>
    <cellStyle name="Normal 17 2 47" xfId="5251" xr:uid="{00000000-0005-0000-0000-0000EB1C0000}"/>
    <cellStyle name="Normal 17 2 47 2" xfId="17291" xr:uid="{00000000-0005-0000-0000-0000EC1C0000}"/>
    <cellStyle name="Normal 17 2 48" xfId="5252" xr:uid="{00000000-0005-0000-0000-0000ED1C0000}"/>
    <cellStyle name="Normal 17 2 48 2" xfId="17292" xr:uid="{00000000-0005-0000-0000-0000EE1C0000}"/>
    <cellStyle name="Normal 17 2 49" xfId="5253" xr:uid="{00000000-0005-0000-0000-0000EF1C0000}"/>
    <cellStyle name="Normal 17 2 49 2" xfId="17293" xr:uid="{00000000-0005-0000-0000-0000F01C0000}"/>
    <cellStyle name="Normal 17 2 5" xfId="5254" xr:uid="{00000000-0005-0000-0000-0000F11C0000}"/>
    <cellStyle name="Normal 17 2 5 2" xfId="17294" xr:uid="{00000000-0005-0000-0000-0000F21C0000}"/>
    <cellStyle name="Normal 17 2 50" xfId="5255" xr:uid="{00000000-0005-0000-0000-0000F31C0000}"/>
    <cellStyle name="Normal 17 2 50 2" xfId="17295" xr:uid="{00000000-0005-0000-0000-0000F41C0000}"/>
    <cellStyle name="Normal 17 2 51" xfId="5256" xr:uid="{00000000-0005-0000-0000-0000F51C0000}"/>
    <cellStyle name="Normal 17 2 51 2" xfId="17296" xr:uid="{00000000-0005-0000-0000-0000F61C0000}"/>
    <cellStyle name="Normal 17 2 52" xfId="5257" xr:uid="{00000000-0005-0000-0000-0000F71C0000}"/>
    <cellStyle name="Normal 17 2 52 2" xfId="17297" xr:uid="{00000000-0005-0000-0000-0000F81C0000}"/>
    <cellStyle name="Normal 17 2 53" xfId="5258" xr:uid="{00000000-0005-0000-0000-0000F91C0000}"/>
    <cellStyle name="Normal 17 2 53 2" xfId="17298" xr:uid="{00000000-0005-0000-0000-0000FA1C0000}"/>
    <cellStyle name="Normal 17 2 54" xfId="5259" xr:uid="{00000000-0005-0000-0000-0000FB1C0000}"/>
    <cellStyle name="Normal 17 2 54 2" xfId="17299" xr:uid="{00000000-0005-0000-0000-0000FC1C0000}"/>
    <cellStyle name="Normal 17 2 55" xfId="5260" xr:uid="{00000000-0005-0000-0000-0000FD1C0000}"/>
    <cellStyle name="Normal 17 2 55 2" xfId="17300" xr:uid="{00000000-0005-0000-0000-0000FE1C0000}"/>
    <cellStyle name="Normal 17 2 56" xfId="5261" xr:uid="{00000000-0005-0000-0000-0000FF1C0000}"/>
    <cellStyle name="Normal 17 2 56 2" xfId="17301" xr:uid="{00000000-0005-0000-0000-0000001D0000}"/>
    <cellStyle name="Normal 17 2 57" xfId="5262" xr:uid="{00000000-0005-0000-0000-0000011D0000}"/>
    <cellStyle name="Normal 17 2 57 2" xfId="17302" xr:uid="{00000000-0005-0000-0000-0000021D0000}"/>
    <cellStyle name="Normal 17 2 58" xfId="5263" xr:uid="{00000000-0005-0000-0000-0000031D0000}"/>
    <cellStyle name="Normal 17 2 58 2" xfId="17303" xr:uid="{00000000-0005-0000-0000-0000041D0000}"/>
    <cellStyle name="Normal 17 2 59" xfId="5264" xr:uid="{00000000-0005-0000-0000-0000051D0000}"/>
    <cellStyle name="Normal 17 2 59 2" xfId="17304" xr:uid="{00000000-0005-0000-0000-0000061D0000}"/>
    <cellStyle name="Normal 17 2 6" xfId="5265" xr:uid="{00000000-0005-0000-0000-0000071D0000}"/>
    <cellStyle name="Normal 17 2 6 2" xfId="17305" xr:uid="{00000000-0005-0000-0000-0000081D0000}"/>
    <cellStyle name="Normal 17 2 60" xfId="5266" xr:uid="{00000000-0005-0000-0000-0000091D0000}"/>
    <cellStyle name="Normal 17 2 60 2" xfId="17306" xr:uid="{00000000-0005-0000-0000-00000A1D0000}"/>
    <cellStyle name="Normal 17 2 61" xfId="5267" xr:uid="{00000000-0005-0000-0000-00000B1D0000}"/>
    <cellStyle name="Normal 17 2 61 2" xfId="17307" xr:uid="{00000000-0005-0000-0000-00000C1D0000}"/>
    <cellStyle name="Normal 17 2 62" xfId="5268" xr:uid="{00000000-0005-0000-0000-00000D1D0000}"/>
    <cellStyle name="Normal 17 2 62 2" xfId="17308" xr:uid="{00000000-0005-0000-0000-00000E1D0000}"/>
    <cellStyle name="Normal 17 2 63" xfId="5269" xr:uid="{00000000-0005-0000-0000-00000F1D0000}"/>
    <cellStyle name="Normal 17 2 63 2" xfId="17309" xr:uid="{00000000-0005-0000-0000-0000101D0000}"/>
    <cellStyle name="Normal 17 2 64" xfId="5270" xr:uid="{00000000-0005-0000-0000-0000111D0000}"/>
    <cellStyle name="Normal 17 2 64 2" xfId="17310" xr:uid="{00000000-0005-0000-0000-0000121D0000}"/>
    <cellStyle name="Normal 17 2 65" xfId="5271" xr:uid="{00000000-0005-0000-0000-0000131D0000}"/>
    <cellStyle name="Normal 17 2 65 2" xfId="17311" xr:uid="{00000000-0005-0000-0000-0000141D0000}"/>
    <cellStyle name="Normal 17 2 66" xfId="5272" xr:uid="{00000000-0005-0000-0000-0000151D0000}"/>
    <cellStyle name="Normal 17 2 66 2" xfId="17312" xr:uid="{00000000-0005-0000-0000-0000161D0000}"/>
    <cellStyle name="Normal 17 2 67" xfId="5273" xr:uid="{00000000-0005-0000-0000-0000171D0000}"/>
    <cellStyle name="Normal 17 2 67 2" xfId="17313" xr:uid="{00000000-0005-0000-0000-0000181D0000}"/>
    <cellStyle name="Normal 17 2 68" xfId="5274" xr:uid="{00000000-0005-0000-0000-0000191D0000}"/>
    <cellStyle name="Normal 17 2 68 2" xfId="17314" xr:uid="{00000000-0005-0000-0000-00001A1D0000}"/>
    <cellStyle name="Normal 17 2 69" xfId="5275" xr:uid="{00000000-0005-0000-0000-00001B1D0000}"/>
    <cellStyle name="Normal 17 2 69 2" xfId="17315" xr:uid="{00000000-0005-0000-0000-00001C1D0000}"/>
    <cellStyle name="Normal 17 2 7" xfId="5276" xr:uid="{00000000-0005-0000-0000-00001D1D0000}"/>
    <cellStyle name="Normal 17 2 7 2" xfId="17316" xr:uid="{00000000-0005-0000-0000-00001E1D0000}"/>
    <cellStyle name="Normal 17 2 70" xfId="5277" xr:uid="{00000000-0005-0000-0000-00001F1D0000}"/>
    <cellStyle name="Normal 17 2 70 2" xfId="17317" xr:uid="{00000000-0005-0000-0000-0000201D0000}"/>
    <cellStyle name="Normal 17 2 71" xfId="5278" xr:uid="{00000000-0005-0000-0000-0000211D0000}"/>
    <cellStyle name="Normal 17 2 71 2" xfId="17318" xr:uid="{00000000-0005-0000-0000-0000221D0000}"/>
    <cellStyle name="Normal 17 2 72" xfId="5279" xr:uid="{00000000-0005-0000-0000-0000231D0000}"/>
    <cellStyle name="Normal 17 2 72 2" xfId="17319" xr:uid="{00000000-0005-0000-0000-0000241D0000}"/>
    <cellStyle name="Normal 17 2 73" xfId="5280" xr:uid="{00000000-0005-0000-0000-0000251D0000}"/>
    <cellStyle name="Normal 17 2 73 2" xfId="17320" xr:uid="{00000000-0005-0000-0000-0000261D0000}"/>
    <cellStyle name="Normal 17 2 74" xfId="5281" xr:uid="{00000000-0005-0000-0000-0000271D0000}"/>
    <cellStyle name="Normal 17 2 74 2" xfId="17321" xr:uid="{00000000-0005-0000-0000-0000281D0000}"/>
    <cellStyle name="Normal 17 2 75" xfId="5282" xr:uid="{00000000-0005-0000-0000-0000291D0000}"/>
    <cellStyle name="Normal 17 2 75 2" xfId="17322" xr:uid="{00000000-0005-0000-0000-00002A1D0000}"/>
    <cellStyle name="Normal 17 2 76" xfId="5283" xr:uid="{00000000-0005-0000-0000-00002B1D0000}"/>
    <cellStyle name="Normal 17 2 76 2" xfId="17323" xr:uid="{00000000-0005-0000-0000-00002C1D0000}"/>
    <cellStyle name="Normal 17 2 77" xfId="5284" xr:uid="{00000000-0005-0000-0000-00002D1D0000}"/>
    <cellStyle name="Normal 17 2 77 2" xfId="17324" xr:uid="{00000000-0005-0000-0000-00002E1D0000}"/>
    <cellStyle name="Normal 17 2 78" xfId="5285" xr:uid="{00000000-0005-0000-0000-00002F1D0000}"/>
    <cellStyle name="Normal 17 2 78 2" xfId="17325" xr:uid="{00000000-0005-0000-0000-0000301D0000}"/>
    <cellStyle name="Normal 17 2 79" xfId="5286" xr:uid="{00000000-0005-0000-0000-0000311D0000}"/>
    <cellStyle name="Normal 17 2 79 2" xfId="17326" xr:uid="{00000000-0005-0000-0000-0000321D0000}"/>
    <cellStyle name="Normal 17 2 8" xfId="5287" xr:uid="{00000000-0005-0000-0000-0000331D0000}"/>
    <cellStyle name="Normal 17 2 8 2" xfId="17327" xr:uid="{00000000-0005-0000-0000-0000341D0000}"/>
    <cellStyle name="Normal 17 2 80" xfId="17250" xr:uid="{00000000-0005-0000-0000-0000351D0000}"/>
    <cellStyle name="Normal 17 2 9" xfId="5288" xr:uid="{00000000-0005-0000-0000-0000361D0000}"/>
    <cellStyle name="Normal 17 2 9 2" xfId="17328" xr:uid="{00000000-0005-0000-0000-0000371D0000}"/>
    <cellStyle name="Normal 17 20" xfId="5289" xr:uid="{00000000-0005-0000-0000-0000381D0000}"/>
    <cellStyle name="Normal 17 20 2" xfId="17329" xr:uid="{00000000-0005-0000-0000-0000391D0000}"/>
    <cellStyle name="Normal 17 21" xfId="5290" xr:uid="{00000000-0005-0000-0000-00003A1D0000}"/>
    <cellStyle name="Normal 17 21 2" xfId="17330" xr:uid="{00000000-0005-0000-0000-00003B1D0000}"/>
    <cellStyle name="Normal 17 22" xfId="5291" xr:uid="{00000000-0005-0000-0000-00003C1D0000}"/>
    <cellStyle name="Normal 17 22 2" xfId="17331" xr:uid="{00000000-0005-0000-0000-00003D1D0000}"/>
    <cellStyle name="Normal 17 23" xfId="5292" xr:uid="{00000000-0005-0000-0000-00003E1D0000}"/>
    <cellStyle name="Normal 17 23 2" xfId="17332" xr:uid="{00000000-0005-0000-0000-00003F1D0000}"/>
    <cellStyle name="Normal 17 24" xfId="5293" xr:uid="{00000000-0005-0000-0000-0000401D0000}"/>
    <cellStyle name="Normal 17 24 2" xfId="17333" xr:uid="{00000000-0005-0000-0000-0000411D0000}"/>
    <cellStyle name="Normal 17 25" xfId="5294" xr:uid="{00000000-0005-0000-0000-0000421D0000}"/>
    <cellStyle name="Normal 17 25 2" xfId="17334" xr:uid="{00000000-0005-0000-0000-0000431D0000}"/>
    <cellStyle name="Normal 17 26" xfId="5295" xr:uid="{00000000-0005-0000-0000-0000441D0000}"/>
    <cellStyle name="Normal 17 26 2" xfId="17335" xr:uid="{00000000-0005-0000-0000-0000451D0000}"/>
    <cellStyle name="Normal 17 27" xfId="5296" xr:uid="{00000000-0005-0000-0000-0000461D0000}"/>
    <cellStyle name="Normal 17 27 2" xfId="17336" xr:uid="{00000000-0005-0000-0000-0000471D0000}"/>
    <cellStyle name="Normal 17 28" xfId="5297" xr:uid="{00000000-0005-0000-0000-0000481D0000}"/>
    <cellStyle name="Normal 17 28 2" xfId="17337" xr:uid="{00000000-0005-0000-0000-0000491D0000}"/>
    <cellStyle name="Normal 17 29" xfId="5298" xr:uid="{00000000-0005-0000-0000-00004A1D0000}"/>
    <cellStyle name="Normal 17 29 2" xfId="17338" xr:uid="{00000000-0005-0000-0000-00004B1D0000}"/>
    <cellStyle name="Normal 17 3" xfId="5299" xr:uid="{00000000-0005-0000-0000-00004C1D0000}"/>
    <cellStyle name="Normal 17 3 10" xfId="5300" xr:uid="{00000000-0005-0000-0000-00004D1D0000}"/>
    <cellStyle name="Normal 17 3 10 2" xfId="17340" xr:uid="{00000000-0005-0000-0000-00004E1D0000}"/>
    <cellStyle name="Normal 17 3 11" xfId="5301" xr:uid="{00000000-0005-0000-0000-00004F1D0000}"/>
    <cellStyle name="Normal 17 3 11 2" xfId="17341" xr:uid="{00000000-0005-0000-0000-0000501D0000}"/>
    <cellStyle name="Normal 17 3 12" xfId="5302" xr:uid="{00000000-0005-0000-0000-0000511D0000}"/>
    <cellStyle name="Normal 17 3 12 2" xfId="17342" xr:uid="{00000000-0005-0000-0000-0000521D0000}"/>
    <cellStyle name="Normal 17 3 13" xfId="5303" xr:uid="{00000000-0005-0000-0000-0000531D0000}"/>
    <cellStyle name="Normal 17 3 13 2" xfId="17343" xr:uid="{00000000-0005-0000-0000-0000541D0000}"/>
    <cellStyle name="Normal 17 3 14" xfId="5304" xr:uid="{00000000-0005-0000-0000-0000551D0000}"/>
    <cellStyle name="Normal 17 3 14 2" xfId="17344" xr:uid="{00000000-0005-0000-0000-0000561D0000}"/>
    <cellStyle name="Normal 17 3 15" xfId="5305" xr:uid="{00000000-0005-0000-0000-0000571D0000}"/>
    <cellStyle name="Normal 17 3 15 2" xfId="17345" xr:uid="{00000000-0005-0000-0000-0000581D0000}"/>
    <cellStyle name="Normal 17 3 16" xfId="5306" xr:uid="{00000000-0005-0000-0000-0000591D0000}"/>
    <cellStyle name="Normal 17 3 16 2" xfId="17346" xr:uid="{00000000-0005-0000-0000-00005A1D0000}"/>
    <cellStyle name="Normal 17 3 17" xfId="5307" xr:uid="{00000000-0005-0000-0000-00005B1D0000}"/>
    <cellStyle name="Normal 17 3 17 2" xfId="17347" xr:uid="{00000000-0005-0000-0000-00005C1D0000}"/>
    <cellStyle name="Normal 17 3 18" xfId="5308" xr:uid="{00000000-0005-0000-0000-00005D1D0000}"/>
    <cellStyle name="Normal 17 3 18 2" xfId="17348" xr:uid="{00000000-0005-0000-0000-00005E1D0000}"/>
    <cellStyle name="Normal 17 3 19" xfId="5309" xr:uid="{00000000-0005-0000-0000-00005F1D0000}"/>
    <cellStyle name="Normal 17 3 19 2" xfId="17349" xr:uid="{00000000-0005-0000-0000-0000601D0000}"/>
    <cellStyle name="Normal 17 3 2" xfId="5310" xr:uid="{00000000-0005-0000-0000-0000611D0000}"/>
    <cellStyle name="Normal 17 3 2 2" xfId="17350" xr:uid="{00000000-0005-0000-0000-0000621D0000}"/>
    <cellStyle name="Normal 17 3 20" xfId="5311" xr:uid="{00000000-0005-0000-0000-0000631D0000}"/>
    <cellStyle name="Normal 17 3 20 2" xfId="17351" xr:uid="{00000000-0005-0000-0000-0000641D0000}"/>
    <cellStyle name="Normal 17 3 21" xfId="5312" xr:uid="{00000000-0005-0000-0000-0000651D0000}"/>
    <cellStyle name="Normal 17 3 21 2" xfId="17352" xr:uid="{00000000-0005-0000-0000-0000661D0000}"/>
    <cellStyle name="Normal 17 3 22" xfId="5313" xr:uid="{00000000-0005-0000-0000-0000671D0000}"/>
    <cellStyle name="Normal 17 3 22 2" xfId="17353" xr:uid="{00000000-0005-0000-0000-0000681D0000}"/>
    <cellStyle name="Normal 17 3 23" xfId="5314" xr:uid="{00000000-0005-0000-0000-0000691D0000}"/>
    <cellStyle name="Normal 17 3 23 2" xfId="17354" xr:uid="{00000000-0005-0000-0000-00006A1D0000}"/>
    <cellStyle name="Normal 17 3 24" xfId="5315" xr:uid="{00000000-0005-0000-0000-00006B1D0000}"/>
    <cellStyle name="Normal 17 3 24 2" xfId="17355" xr:uid="{00000000-0005-0000-0000-00006C1D0000}"/>
    <cellStyle name="Normal 17 3 25" xfId="5316" xr:uid="{00000000-0005-0000-0000-00006D1D0000}"/>
    <cellStyle name="Normal 17 3 25 2" xfId="17356" xr:uid="{00000000-0005-0000-0000-00006E1D0000}"/>
    <cellStyle name="Normal 17 3 26" xfId="5317" xr:uid="{00000000-0005-0000-0000-00006F1D0000}"/>
    <cellStyle name="Normal 17 3 26 2" xfId="17357" xr:uid="{00000000-0005-0000-0000-0000701D0000}"/>
    <cellStyle name="Normal 17 3 27" xfId="5318" xr:uid="{00000000-0005-0000-0000-0000711D0000}"/>
    <cellStyle name="Normal 17 3 27 2" xfId="17358" xr:uid="{00000000-0005-0000-0000-0000721D0000}"/>
    <cellStyle name="Normal 17 3 28" xfId="5319" xr:uid="{00000000-0005-0000-0000-0000731D0000}"/>
    <cellStyle name="Normal 17 3 28 2" xfId="17359" xr:uid="{00000000-0005-0000-0000-0000741D0000}"/>
    <cellStyle name="Normal 17 3 29" xfId="5320" xr:uid="{00000000-0005-0000-0000-0000751D0000}"/>
    <cellStyle name="Normal 17 3 29 2" xfId="17360" xr:uid="{00000000-0005-0000-0000-0000761D0000}"/>
    <cellStyle name="Normal 17 3 3" xfId="5321" xr:uid="{00000000-0005-0000-0000-0000771D0000}"/>
    <cellStyle name="Normal 17 3 3 2" xfId="17361" xr:uid="{00000000-0005-0000-0000-0000781D0000}"/>
    <cellStyle name="Normal 17 3 30" xfId="5322" xr:uid="{00000000-0005-0000-0000-0000791D0000}"/>
    <cellStyle name="Normal 17 3 30 2" xfId="17362" xr:uid="{00000000-0005-0000-0000-00007A1D0000}"/>
    <cellStyle name="Normal 17 3 31" xfId="5323" xr:uid="{00000000-0005-0000-0000-00007B1D0000}"/>
    <cellStyle name="Normal 17 3 31 2" xfId="17363" xr:uid="{00000000-0005-0000-0000-00007C1D0000}"/>
    <cellStyle name="Normal 17 3 32" xfId="5324" xr:uid="{00000000-0005-0000-0000-00007D1D0000}"/>
    <cellStyle name="Normal 17 3 32 2" xfId="17364" xr:uid="{00000000-0005-0000-0000-00007E1D0000}"/>
    <cellStyle name="Normal 17 3 33" xfId="5325" xr:uid="{00000000-0005-0000-0000-00007F1D0000}"/>
    <cellStyle name="Normal 17 3 33 2" xfId="17365" xr:uid="{00000000-0005-0000-0000-0000801D0000}"/>
    <cellStyle name="Normal 17 3 34" xfId="5326" xr:uid="{00000000-0005-0000-0000-0000811D0000}"/>
    <cellStyle name="Normal 17 3 34 2" xfId="17366" xr:uid="{00000000-0005-0000-0000-0000821D0000}"/>
    <cellStyle name="Normal 17 3 35" xfId="5327" xr:uid="{00000000-0005-0000-0000-0000831D0000}"/>
    <cellStyle name="Normal 17 3 35 2" xfId="17367" xr:uid="{00000000-0005-0000-0000-0000841D0000}"/>
    <cellStyle name="Normal 17 3 36" xfId="5328" xr:uid="{00000000-0005-0000-0000-0000851D0000}"/>
    <cellStyle name="Normal 17 3 36 2" xfId="17368" xr:uid="{00000000-0005-0000-0000-0000861D0000}"/>
    <cellStyle name="Normal 17 3 37" xfId="5329" xr:uid="{00000000-0005-0000-0000-0000871D0000}"/>
    <cellStyle name="Normal 17 3 37 2" xfId="17369" xr:uid="{00000000-0005-0000-0000-0000881D0000}"/>
    <cellStyle name="Normal 17 3 38" xfId="5330" xr:uid="{00000000-0005-0000-0000-0000891D0000}"/>
    <cellStyle name="Normal 17 3 38 2" xfId="17370" xr:uid="{00000000-0005-0000-0000-00008A1D0000}"/>
    <cellStyle name="Normal 17 3 39" xfId="5331" xr:uid="{00000000-0005-0000-0000-00008B1D0000}"/>
    <cellStyle name="Normal 17 3 39 2" xfId="17371" xr:uid="{00000000-0005-0000-0000-00008C1D0000}"/>
    <cellStyle name="Normal 17 3 4" xfId="5332" xr:uid="{00000000-0005-0000-0000-00008D1D0000}"/>
    <cellStyle name="Normal 17 3 4 2" xfId="17372" xr:uid="{00000000-0005-0000-0000-00008E1D0000}"/>
    <cellStyle name="Normal 17 3 40" xfId="5333" xr:uid="{00000000-0005-0000-0000-00008F1D0000}"/>
    <cellStyle name="Normal 17 3 40 2" xfId="17373" xr:uid="{00000000-0005-0000-0000-0000901D0000}"/>
    <cellStyle name="Normal 17 3 41" xfId="5334" xr:uid="{00000000-0005-0000-0000-0000911D0000}"/>
    <cellStyle name="Normal 17 3 41 2" xfId="17374" xr:uid="{00000000-0005-0000-0000-0000921D0000}"/>
    <cellStyle name="Normal 17 3 42" xfId="5335" xr:uid="{00000000-0005-0000-0000-0000931D0000}"/>
    <cellStyle name="Normal 17 3 42 2" xfId="17375" xr:uid="{00000000-0005-0000-0000-0000941D0000}"/>
    <cellStyle name="Normal 17 3 43" xfId="5336" xr:uid="{00000000-0005-0000-0000-0000951D0000}"/>
    <cellStyle name="Normal 17 3 43 2" xfId="17376" xr:uid="{00000000-0005-0000-0000-0000961D0000}"/>
    <cellStyle name="Normal 17 3 44" xfId="5337" xr:uid="{00000000-0005-0000-0000-0000971D0000}"/>
    <cellStyle name="Normal 17 3 44 2" xfId="17377" xr:uid="{00000000-0005-0000-0000-0000981D0000}"/>
    <cellStyle name="Normal 17 3 45" xfId="5338" xr:uid="{00000000-0005-0000-0000-0000991D0000}"/>
    <cellStyle name="Normal 17 3 45 2" xfId="17378" xr:uid="{00000000-0005-0000-0000-00009A1D0000}"/>
    <cellStyle name="Normal 17 3 46" xfId="5339" xr:uid="{00000000-0005-0000-0000-00009B1D0000}"/>
    <cellStyle name="Normal 17 3 46 2" xfId="17379" xr:uid="{00000000-0005-0000-0000-00009C1D0000}"/>
    <cellStyle name="Normal 17 3 47" xfId="5340" xr:uid="{00000000-0005-0000-0000-00009D1D0000}"/>
    <cellStyle name="Normal 17 3 47 2" xfId="17380" xr:uid="{00000000-0005-0000-0000-00009E1D0000}"/>
    <cellStyle name="Normal 17 3 48" xfId="5341" xr:uid="{00000000-0005-0000-0000-00009F1D0000}"/>
    <cellStyle name="Normal 17 3 48 2" xfId="17381" xr:uid="{00000000-0005-0000-0000-0000A01D0000}"/>
    <cellStyle name="Normal 17 3 49" xfId="5342" xr:uid="{00000000-0005-0000-0000-0000A11D0000}"/>
    <cellStyle name="Normal 17 3 49 2" xfId="17382" xr:uid="{00000000-0005-0000-0000-0000A21D0000}"/>
    <cellStyle name="Normal 17 3 5" xfId="5343" xr:uid="{00000000-0005-0000-0000-0000A31D0000}"/>
    <cellStyle name="Normal 17 3 5 2" xfId="17383" xr:uid="{00000000-0005-0000-0000-0000A41D0000}"/>
    <cellStyle name="Normal 17 3 50" xfId="5344" xr:uid="{00000000-0005-0000-0000-0000A51D0000}"/>
    <cellStyle name="Normal 17 3 50 2" xfId="17384" xr:uid="{00000000-0005-0000-0000-0000A61D0000}"/>
    <cellStyle name="Normal 17 3 51" xfId="5345" xr:uid="{00000000-0005-0000-0000-0000A71D0000}"/>
    <cellStyle name="Normal 17 3 51 2" xfId="17385" xr:uid="{00000000-0005-0000-0000-0000A81D0000}"/>
    <cellStyle name="Normal 17 3 52" xfId="5346" xr:uid="{00000000-0005-0000-0000-0000A91D0000}"/>
    <cellStyle name="Normal 17 3 52 2" xfId="17386" xr:uid="{00000000-0005-0000-0000-0000AA1D0000}"/>
    <cellStyle name="Normal 17 3 53" xfId="5347" xr:uid="{00000000-0005-0000-0000-0000AB1D0000}"/>
    <cellStyle name="Normal 17 3 53 2" xfId="17387" xr:uid="{00000000-0005-0000-0000-0000AC1D0000}"/>
    <cellStyle name="Normal 17 3 54" xfId="5348" xr:uid="{00000000-0005-0000-0000-0000AD1D0000}"/>
    <cellStyle name="Normal 17 3 54 2" xfId="17388" xr:uid="{00000000-0005-0000-0000-0000AE1D0000}"/>
    <cellStyle name="Normal 17 3 55" xfId="5349" xr:uid="{00000000-0005-0000-0000-0000AF1D0000}"/>
    <cellStyle name="Normal 17 3 55 2" xfId="17389" xr:uid="{00000000-0005-0000-0000-0000B01D0000}"/>
    <cellStyle name="Normal 17 3 56" xfId="5350" xr:uid="{00000000-0005-0000-0000-0000B11D0000}"/>
    <cellStyle name="Normal 17 3 56 2" xfId="17390" xr:uid="{00000000-0005-0000-0000-0000B21D0000}"/>
    <cellStyle name="Normal 17 3 57" xfId="5351" xr:uid="{00000000-0005-0000-0000-0000B31D0000}"/>
    <cellStyle name="Normal 17 3 57 2" xfId="17391" xr:uid="{00000000-0005-0000-0000-0000B41D0000}"/>
    <cellStyle name="Normal 17 3 58" xfId="5352" xr:uid="{00000000-0005-0000-0000-0000B51D0000}"/>
    <cellStyle name="Normal 17 3 58 2" xfId="17392" xr:uid="{00000000-0005-0000-0000-0000B61D0000}"/>
    <cellStyle name="Normal 17 3 59" xfId="5353" xr:uid="{00000000-0005-0000-0000-0000B71D0000}"/>
    <cellStyle name="Normal 17 3 59 2" xfId="17393" xr:uid="{00000000-0005-0000-0000-0000B81D0000}"/>
    <cellStyle name="Normal 17 3 6" xfId="5354" xr:uid="{00000000-0005-0000-0000-0000B91D0000}"/>
    <cellStyle name="Normal 17 3 6 2" xfId="17394" xr:uid="{00000000-0005-0000-0000-0000BA1D0000}"/>
    <cellStyle name="Normal 17 3 60" xfId="5355" xr:uid="{00000000-0005-0000-0000-0000BB1D0000}"/>
    <cellStyle name="Normal 17 3 60 2" xfId="17395" xr:uid="{00000000-0005-0000-0000-0000BC1D0000}"/>
    <cellStyle name="Normal 17 3 61" xfId="5356" xr:uid="{00000000-0005-0000-0000-0000BD1D0000}"/>
    <cellStyle name="Normal 17 3 61 2" xfId="17396" xr:uid="{00000000-0005-0000-0000-0000BE1D0000}"/>
    <cellStyle name="Normal 17 3 62" xfId="5357" xr:uid="{00000000-0005-0000-0000-0000BF1D0000}"/>
    <cellStyle name="Normal 17 3 62 2" xfId="17397" xr:uid="{00000000-0005-0000-0000-0000C01D0000}"/>
    <cellStyle name="Normal 17 3 63" xfId="5358" xr:uid="{00000000-0005-0000-0000-0000C11D0000}"/>
    <cellStyle name="Normal 17 3 63 2" xfId="17398" xr:uid="{00000000-0005-0000-0000-0000C21D0000}"/>
    <cellStyle name="Normal 17 3 64" xfId="5359" xr:uid="{00000000-0005-0000-0000-0000C31D0000}"/>
    <cellStyle name="Normal 17 3 64 2" xfId="17399" xr:uid="{00000000-0005-0000-0000-0000C41D0000}"/>
    <cellStyle name="Normal 17 3 65" xfId="5360" xr:uid="{00000000-0005-0000-0000-0000C51D0000}"/>
    <cellStyle name="Normal 17 3 65 2" xfId="17400" xr:uid="{00000000-0005-0000-0000-0000C61D0000}"/>
    <cellStyle name="Normal 17 3 66" xfId="5361" xr:uid="{00000000-0005-0000-0000-0000C71D0000}"/>
    <cellStyle name="Normal 17 3 66 2" xfId="17401" xr:uid="{00000000-0005-0000-0000-0000C81D0000}"/>
    <cellStyle name="Normal 17 3 67" xfId="5362" xr:uid="{00000000-0005-0000-0000-0000C91D0000}"/>
    <cellStyle name="Normal 17 3 67 2" xfId="17402" xr:uid="{00000000-0005-0000-0000-0000CA1D0000}"/>
    <cellStyle name="Normal 17 3 68" xfId="5363" xr:uid="{00000000-0005-0000-0000-0000CB1D0000}"/>
    <cellStyle name="Normal 17 3 68 2" xfId="17403" xr:uid="{00000000-0005-0000-0000-0000CC1D0000}"/>
    <cellStyle name="Normal 17 3 69" xfId="5364" xr:uid="{00000000-0005-0000-0000-0000CD1D0000}"/>
    <cellStyle name="Normal 17 3 69 2" xfId="17404" xr:uid="{00000000-0005-0000-0000-0000CE1D0000}"/>
    <cellStyle name="Normal 17 3 7" xfId="5365" xr:uid="{00000000-0005-0000-0000-0000CF1D0000}"/>
    <cellStyle name="Normal 17 3 7 2" xfId="17405" xr:uid="{00000000-0005-0000-0000-0000D01D0000}"/>
    <cellStyle name="Normal 17 3 70" xfId="5366" xr:uid="{00000000-0005-0000-0000-0000D11D0000}"/>
    <cellStyle name="Normal 17 3 70 2" xfId="17406" xr:uid="{00000000-0005-0000-0000-0000D21D0000}"/>
    <cellStyle name="Normal 17 3 71" xfId="5367" xr:uid="{00000000-0005-0000-0000-0000D31D0000}"/>
    <cellStyle name="Normal 17 3 71 2" xfId="17407" xr:uid="{00000000-0005-0000-0000-0000D41D0000}"/>
    <cellStyle name="Normal 17 3 72" xfId="5368" xr:uid="{00000000-0005-0000-0000-0000D51D0000}"/>
    <cellStyle name="Normal 17 3 72 2" xfId="17408" xr:uid="{00000000-0005-0000-0000-0000D61D0000}"/>
    <cellStyle name="Normal 17 3 73" xfId="5369" xr:uid="{00000000-0005-0000-0000-0000D71D0000}"/>
    <cellStyle name="Normal 17 3 73 2" xfId="17409" xr:uid="{00000000-0005-0000-0000-0000D81D0000}"/>
    <cellStyle name="Normal 17 3 74" xfId="5370" xr:uid="{00000000-0005-0000-0000-0000D91D0000}"/>
    <cellStyle name="Normal 17 3 74 2" xfId="17410" xr:uid="{00000000-0005-0000-0000-0000DA1D0000}"/>
    <cellStyle name="Normal 17 3 75" xfId="5371" xr:uid="{00000000-0005-0000-0000-0000DB1D0000}"/>
    <cellStyle name="Normal 17 3 75 2" xfId="17411" xr:uid="{00000000-0005-0000-0000-0000DC1D0000}"/>
    <cellStyle name="Normal 17 3 76" xfId="5372" xr:uid="{00000000-0005-0000-0000-0000DD1D0000}"/>
    <cellStyle name="Normal 17 3 76 2" xfId="17412" xr:uid="{00000000-0005-0000-0000-0000DE1D0000}"/>
    <cellStyle name="Normal 17 3 77" xfId="5373" xr:uid="{00000000-0005-0000-0000-0000DF1D0000}"/>
    <cellStyle name="Normal 17 3 77 2" xfId="17413" xr:uid="{00000000-0005-0000-0000-0000E01D0000}"/>
    <cellStyle name="Normal 17 3 78" xfId="5374" xr:uid="{00000000-0005-0000-0000-0000E11D0000}"/>
    <cellStyle name="Normal 17 3 78 2" xfId="17414" xr:uid="{00000000-0005-0000-0000-0000E21D0000}"/>
    <cellStyle name="Normal 17 3 79" xfId="5375" xr:uid="{00000000-0005-0000-0000-0000E31D0000}"/>
    <cellStyle name="Normal 17 3 79 2" xfId="17415" xr:uid="{00000000-0005-0000-0000-0000E41D0000}"/>
    <cellStyle name="Normal 17 3 8" xfId="5376" xr:uid="{00000000-0005-0000-0000-0000E51D0000}"/>
    <cellStyle name="Normal 17 3 8 2" xfId="17416" xr:uid="{00000000-0005-0000-0000-0000E61D0000}"/>
    <cellStyle name="Normal 17 3 80" xfId="17339" xr:uid="{00000000-0005-0000-0000-0000E71D0000}"/>
    <cellStyle name="Normal 17 3 9" xfId="5377" xr:uid="{00000000-0005-0000-0000-0000E81D0000}"/>
    <cellStyle name="Normal 17 3 9 2" xfId="17417" xr:uid="{00000000-0005-0000-0000-0000E91D0000}"/>
    <cellStyle name="Normal 17 30" xfId="5378" xr:uid="{00000000-0005-0000-0000-0000EA1D0000}"/>
    <cellStyle name="Normal 17 30 2" xfId="17418" xr:uid="{00000000-0005-0000-0000-0000EB1D0000}"/>
    <cellStyle name="Normal 17 31" xfId="5379" xr:uid="{00000000-0005-0000-0000-0000EC1D0000}"/>
    <cellStyle name="Normal 17 31 2" xfId="17419" xr:uid="{00000000-0005-0000-0000-0000ED1D0000}"/>
    <cellStyle name="Normal 17 32" xfId="5380" xr:uid="{00000000-0005-0000-0000-0000EE1D0000}"/>
    <cellStyle name="Normal 17 32 2" xfId="17420" xr:uid="{00000000-0005-0000-0000-0000EF1D0000}"/>
    <cellStyle name="Normal 17 33" xfId="5381" xr:uid="{00000000-0005-0000-0000-0000F01D0000}"/>
    <cellStyle name="Normal 17 33 2" xfId="17421" xr:uid="{00000000-0005-0000-0000-0000F11D0000}"/>
    <cellStyle name="Normal 17 34" xfId="5382" xr:uid="{00000000-0005-0000-0000-0000F21D0000}"/>
    <cellStyle name="Normal 17 34 2" xfId="17422" xr:uid="{00000000-0005-0000-0000-0000F31D0000}"/>
    <cellStyle name="Normal 17 35" xfId="5383" xr:uid="{00000000-0005-0000-0000-0000F41D0000}"/>
    <cellStyle name="Normal 17 35 2" xfId="17423" xr:uid="{00000000-0005-0000-0000-0000F51D0000}"/>
    <cellStyle name="Normal 17 36" xfId="5384" xr:uid="{00000000-0005-0000-0000-0000F61D0000}"/>
    <cellStyle name="Normal 17 36 2" xfId="17424" xr:uid="{00000000-0005-0000-0000-0000F71D0000}"/>
    <cellStyle name="Normal 17 37" xfId="5385" xr:uid="{00000000-0005-0000-0000-0000F81D0000}"/>
    <cellStyle name="Normal 17 37 2" xfId="17425" xr:uid="{00000000-0005-0000-0000-0000F91D0000}"/>
    <cellStyle name="Normal 17 38" xfId="5386" xr:uid="{00000000-0005-0000-0000-0000FA1D0000}"/>
    <cellStyle name="Normal 17 38 2" xfId="17426" xr:uid="{00000000-0005-0000-0000-0000FB1D0000}"/>
    <cellStyle name="Normal 17 39" xfId="5387" xr:uid="{00000000-0005-0000-0000-0000FC1D0000}"/>
    <cellStyle name="Normal 17 39 2" xfId="17427" xr:uid="{00000000-0005-0000-0000-0000FD1D0000}"/>
    <cellStyle name="Normal 17 4" xfId="5388" xr:uid="{00000000-0005-0000-0000-0000FE1D0000}"/>
    <cellStyle name="Normal 17 4 10" xfId="5389" xr:uid="{00000000-0005-0000-0000-0000FF1D0000}"/>
    <cellStyle name="Normal 17 4 10 2" xfId="17429" xr:uid="{00000000-0005-0000-0000-0000001E0000}"/>
    <cellStyle name="Normal 17 4 11" xfId="5390" xr:uid="{00000000-0005-0000-0000-0000011E0000}"/>
    <cellStyle name="Normal 17 4 11 2" xfId="17430" xr:uid="{00000000-0005-0000-0000-0000021E0000}"/>
    <cellStyle name="Normal 17 4 12" xfId="5391" xr:uid="{00000000-0005-0000-0000-0000031E0000}"/>
    <cellStyle name="Normal 17 4 12 2" xfId="17431" xr:uid="{00000000-0005-0000-0000-0000041E0000}"/>
    <cellStyle name="Normal 17 4 13" xfId="5392" xr:uid="{00000000-0005-0000-0000-0000051E0000}"/>
    <cellStyle name="Normal 17 4 13 2" xfId="17432" xr:uid="{00000000-0005-0000-0000-0000061E0000}"/>
    <cellStyle name="Normal 17 4 14" xfId="5393" xr:uid="{00000000-0005-0000-0000-0000071E0000}"/>
    <cellStyle name="Normal 17 4 14 2" xfId="17433" xr:uid="{00000000-0005-0000-0000-0000081E0000}"/>
    <cellStyle name="Normal 17 4 15" xfId="5394" xr:uid="{00000000-0005-0000-0000-0000091E0000}"/>
    <cellStyle name="Normal 17 4 15 2" xfId="17434" xr:uid="{00000000-0005-0000-0000-00000A1E0000}"/>
    <cellStyle name="Normal 17 4 16" xfId="5395" xr:uid="{00000000-0005-0000-0000-00000B1E0000}"/>
    <cellStyle name="Normal 17 4 16 2" xfId="17435" xr:uid="{00000000-0005-0000-0000-00000C1E0000}"/>
    <cellStyle name="Normal 17 4 17" xfId="5396" xr:uid="{00000000-0005-0000-0000-00000D1E0000}"/>
    <cellStyle name="Normal 17 4 17 2" xfId="17436" xr:uid="{00000000-0005-0000-0000-00000E1E0000}"/>
    <cellStyle name="Normal 17 4 18" xfId="5397" xr:uid="{00000000-0005-0000-0000-00000F1E0000}"/>
    <cellStyle name="Normal 17 4 18 2" xfId="17437" xr:uid="{00000000-0005-0000-0000-0000101E0000}"/>
    <cellStyle name="Normal 17 4 19" xfId="5398" xr:uid="{00000000-0005-0000-0000-0000111E0000}"/>
    <cellStyle name="Normal 17 4 19 2" xfId="17438" xr:uid="{00000000-0005-0000-0000-0000121E0000}"/>
    <cellStyle name="Normal 17 4 2" xfId="5399" xr:uid="{00000000-0005-0000-0000-0000131E0000}"/>
    <cellStyle name="Normal 17 4 2 2" xfId="17439" xr:uid="{00000000-0005-0000-0000-0000141E0000}"/>
    <cellStyle name="Normal 17 4 20" xfId="5400" xr:uid="{00000000-0005-0000-0000-0000151E0000}"/>
    <cellStyle name="Normal 17 4 20 2" xfId="17440" xr:uid="{00000000-0005-0000-0000-0000161E0000}"/>
    <cellStyle name="Normal 17 4 21" xfId="5401" xr:uid="{00000000-0005-0000-0000-0000171E0000}"/>
    <cellStyle name="Normal 17 4 21 2" xfId="17441" xr:uid="{00000000-0005-0000-0000-0000181E0000}"/>
    <cellStyle name="Normal 17 4 22" xfId="5402" xr:uid="{00000000-0005-0000-0000-0000191E0000}"/>
    <cellStyle name="Normal 17 4 22 2" xfId="17442" xr:uid="{00000000-0005-0000-0000-00001A1E0000}"/>
    <cellStyle name="Normal 17 4 23" xfId="5403" xr:uid="{00000000-0005-0000-0000-00001B1E0000}"/>
    <cellStyle name="Normal 17 4 23 2" xfId="17443" xr:uid="{00000000-0005-0000-0000-00001C1E0000}"/>
    <cellStyle name="Normal 17 4 24" xfId="5404" xr:uid="{00000000-0005-0000-0000-00001D1E0000}"/>
    <cellStyle name="Normal 17 4 24 2" xfId="17444" xr:uid="{00000000-0005-0000-0000-00001E1E0000}"/>
    <cellStyle name="Normal 17 4 25" xfId="5405" xr:uid="{00000000-0005-0000-0000-00001F1E0000}"/>
    <cellStyle name="Normal 17 4 25 2" xfId="17445" xr:uid="{00000000-0005-0000-0000-0000201E0000}"/>
    <cellStyle name="Normal 17 4 26" xfId="5406" xr:uid="{00000000-0005-0000-0000-0000211E0000}"/>
    <cellStyle name="Normal 17 4 26 2" xfId="17446" xr:uid="{00000000-0005-0000-0000-0000221E0000}"/>
    <cellStyle name="Normal 17 4 27" xfId="5407" xr:uid="{00000000-0005-0000-0000-0000231E0000}"/>
    <cellStyle name="Normal 17 4 27 2" xfId="17447" xr:uid="{00000000-0005-0000-0000-0000241E0000}"/>
    <cellStyle name="Normal 17 4 28" xfId="5408" xr:uid="{00000000-0005-0000-0000-0000251E0000}"/>
    <cellStyle name="Normal 17 4 28 2" xfId="17448" xr:uid="{00000000-0005-0000-0000-0000261E0000}"/>
    <cellStyle name="Normal 17 4 29" xfId="5409" xr:uid="{00000000-0005-0000-0000-0000271E0000}"/>
    <cellStyle name="Normal 17 4 29 2" xfId="17449" xr:uid="{00000000-0005-0000-0000-0000281E0000}"/>
    <cellStyle name="Normal 17 4 3" xfId="5410" xr:uid="{00000000-0005-0000-0000-0000291E0000}"/>
    <cellStyle name="Normal 17 4 3 2" xfId="17450" xr:uid="{00000000-0005-0000-0000-00002A1E0000}"/>
    <cellStyle name="Normal 17 4 30" xfId="5411" xr:uid="{00000000-0005-0000-0000-00002B1E0000}"/>
    <cellStyle name="Normal 17 4 30 2" xfId="17451" xr:uid="{00000000-0005-0000-0000-00002C1E0000}"/>
    <cellStyle name="Normal 17 4 31" xfId="5412" xr:uid="{00000000-0005-0000-0000-00002D1E0000}"/>
    <cellStyle name="Normal 17 4 31 2" xfId="17452" xr:uid="{00000000-0005-0000-0000-00002E1E0000}"/>
    <cellStyle name="Normal 17 4 32" xfId="5413" xr:uid="{00000000-0005-0000-0000-00002F1E0000}"/>
    <cellStyle name="Normal 17 4 32 2" xfId="17453" xr:uid="{00000000-0005-0000-0000-0000301E0000}"/>
    <cellStyle name="Normal 17 4 33" xfId="5414" xr:uid="{00000000-0005-0000-0000-0000311E0000}"/>
    <cellStyle name="Normal 17 4 33 2" xfId="17454" xr:uid="{00000000-0005-0000-0000-0000321E0000}"/>
    <cellStyle name="Normal 17 4 34" xfId="5415" xr:uid="{00000000-0005-0000-0000-0000331E0000}"/>
    <cellStyle name="Normal 17 4 34 2" xfId="17455" xr:uid="{00000000-0005-0000-0000-0000341E0000}"/>
    <cellStyle name="Normal 17 4 35" xfId="5416" xr:uid="{00000000-0005-0000-0000-0000351E0000}"/>
    <cellStyle name="Normal 17 4 35 2" xfId="17456" xr:uid="{00000000-0005-0000-0000-0000361E0000}"/>
    <cellStyle name="Normal 17 4 36" xfId="5417" xr:uid="{00000000-0005-0000-0000-0000371E0000}"/>
    <cellStyle name="Normal 17 4 36 2" xfId="17457" xr:uid="{00000000-0005-0000-0000-0000381E0000}"/>
    <cellStyle name="Normal 17 4 37" xfId="5418" xr:uid="{00000000-0005-0000-0000-0000391E0000}"/>
    <cellStyle name="Normal 17 4 37 2" xfId="17458" xr:uid="{00000000-0005-0000-0000-00003A1E0000}"/>
    <cellStyle name="Normal 17 4 38" xfId="5419" xr:uid="{00000000-0005-0000-0000-00003B1E0000}"/>
    <cellStyle name="Normal 17 4 38 2" xfId="17459" xr:uid="{00000000-0005-0000-0000-00003C1E0000}"/>
    <cellStyle name="Normal 17 4 39" xfId="5420" xr:uid="{00000000-0005-0000-0000-00003D1E0000}"/>
    <cellStyle name="Normal 17 4 39 2" xfId="17460" xr:uid="{00000000-0005-0000-0000-00003E1E0000}"/>
    <cellStyle name="Normal 17 4 4" xfId="5421" xr:uid="{00000000-0005-0000-0000-00003F1E0000}"/>
    <cellStyle name="Normal 17 4 4 2" xfId="17461" xr:uid="{00000000-0005-0000-0000-0000401E0000}"/>
    <cellStyle name="Normal 17 4 40" xfId="5422" xr:uid="{00000000-0005-0000-0000-0000411E0000}"/>
    <cellStyle name="Normal 17 4 40 2" xfId="17462" xr:uid="{00000000-0005-0000-0000-0000421E0000}"/>
    <cellStyle name="Normal 17 4 41" xfId="5423" xr:uid="{00000000-0005-0000-0000-0000431E0000}"/>
    <cellStyle name="Normal 17 4 41 2" xfId="17463" xr:uid="{00000000-0005-0000-0000-0000441E0000}"/>
    <cellStyle name="Normal 17 4 42" xfId="5424" xr:uid="{00000000-0005-0000-0000-0000451E0000}"/>
    <cellStyle name="Normal 17 4 42 2" xfId="17464" xr:uid="{00000000-0005-0000-0000-0000461E0000}"/>
    <cellStyle name="Normal 17 4 43" xfId="5425" xr:uid="{00000000-0005-0000-0000-0000471E0000}"/>
    <cellStyle name="Normal 17 4 43 2" xfId="17465" xr:uid="{00000000-0005-0000-0000-0000481E0000}"/>
    <cellStyle name="Normal 17 4 44" xfId="5426" xr:uid="{00000000-0005-0000-0000-0000491E0000}"/>
    <cellStyle name="Normal 17 4 44 2" xfId="17466" xr:uid="{00000000-0005-0000-0000-00004A1E0000}"/>
    <cellStyle name="Normal 17 4 45" xfId="5427" xr:uid="{00000000-0005-0000-0000-00004B1E0000}"/>
    <cellStyle name="Normal 17 4 45 2" xfId="17467" xr:uid="{00000000-0005-0000-0000-00004C1E0000}"/>
    <cellStyle name="Normal 17 4 46" xfId="5428" xr:uid="{00000000-0005-0000-0000-00004D1E0000}"/>
    <cellStyle name="Normal 17 4 46 2" xfId="17468" xr:uid="{00000000-0005-0000-0000-00004E1E0000}"/>
    <cellStyle name="Normal 17 4 47" xfId="5429" xr:uid="{00000000-0005-0000-0000-00004F1E0000}"/>
    <cellStyle name="Normal 17 4 47 2" xfId="17469" xr:uid="{00000000-0005-0000-0000-0000501E0000}"/>
    <cellStyle name="Normal 17 4 48" xfId="5430" xr:uid="{00000000-0005-0000-0000-0000511E0000}"/>
    <cellStyle name="Normal 17 4 48 2" xfId="17470" xr:uid="{00000000-0005-0000-0000-0000521E0000}"/>
    <cellStyle name="Normal 17 4 49" xfId="5431" xr:uid="{00000000-0005-0000-0000-0000531E0000}"/>
    <cellStyle name="Normal 17 4 49 2" xfId="17471" xr:uid="{00000000-0005-0000-0000-0000541E0000}"/>
    <cellStyle name="Normal 17 4 5" xfId="5432" xr:uid="{00000000-0005-0000-0000-0000551E0000}"/>
    <cellStyle name="Normal 17 4 5 2" xfId="17472" xr:uid="{00000000-0005-0000-0000-0000561E0000}"/>
    <cellStyle name="Normal 17 4 50" xfId="5433" xr:uid="{00000000-0005-0000-0000-0000571E0000}"/>
    <cellStyle name="Normal 17 4 50 2" xfId="17473" xr:uid="{00000000-0005-0000-0000-0000581E0000}"/>
    <cellStyle name="Normal 17 4 51" xfId="5434" xr:uid="{00000000-0005-0000-0000-0000591E0000}"/>
    <cellStyle name="Normal 17 4 51 2" xfId="17474" xr:uid="{00000000-0005-0000-0000-00005A1E0000}"/>
    <cellStyle name="Normal 17 4 52" xfId="5435" xr:uid="{00000000-0005-0000-0000-00005B1E0000}"/>
    <cellStyle name="Normal 17 4 52 2" xfId="17475" xr:uid="{00000000-0005-0000-0000-00005C1E0000}"/>
    <cellStyle name="Normal 17 4 53" xfId="5436" xr:uid="{00000000-0005-0000-0000-00005D1E0000}"/>
    <cellStyle name="Normal 17 4 53 2" xfId="17476" xr:uid="{00000000-0005-0000-0000-00005E1E0000}"/>
    <cellStyle name="Normal 17 4 54" xfId="5437" xr:uid="{00000000-0005-0000-0000-00005F1E0000}"/>
    <cellStyle name="Normal 17 4 54 2" xfId="17477" xr:uid="{00000000-0005-0000-0000-0000601E0000}"/>
    <cellStyle name="Normal 17 4 55" xfId="5438" xr:uid="{00000000-0005-0000-0000-0000611E0000}"/>
    <cellStyle name="Normal 17 4 55 2" xfId="17478" xr:uid="{00000000-0005-0000-0000-0000621E0000}"/>
    <cellStyle name="Normal 17 4 56" xfId="5439" xr:uid="{00000000-0005-0000-0000-0000631E0000}"/>
    <cellStyle name="Normal 17 4 56 2" xfId="17479" xr:uid="{00000000-0005-0000-0000-0000641E0000}"/>
    <cellStyle name="Normal 17 4 57" xfId="5440" xr:uid="{00000000-0005-0000-0000-0000651E0000}"/>
    <cellStyle name="Normal 17 4 57 2" xfId="17480" xr:uid="{00000000-0005-0000-0000-0000661E0000}"/>
    <cellStyle name="Normal 17 4 58" xfId="5441" xr:uid="{00000000-0005-0000-0000-0000671E0000}"/>
    <cellStyle name="Normal 17 4 58 2" xfId="17481" xr:uid="{00000000-0005-0000-0000-0000681E0000}"/>
    <cellStyle name="Normal 17 4 59" xfId="5442" xr:uid="{00000000-0005-0000-0000-0000691E0000}"/>
    <cellStyle name="Normal 17 4 59 2" xfId="17482" xr:uid="{00000000-0005-0000-0000-00006A1E0000}"/>
    <cellStyle name="Normal 17 4 6" xfId="5443" xr:uid="{00000000-0005-0000-0000-00006B1E0000}"/>
    <cellStyle name="Normal 17 4 6 2" xfId="17483" xr:uid="{00000000-0005-0000-0000-00006C1E0000}"/>
    <cellStyle name="Normal 17 4 60" xfId="5444" xr:uid="{00000000-0005-0000-0000-00006D1E0000}"/>
    <cellStyle name="Normal 17 4 60 2" xfId="17484" xr:uid="{00000000-0005-0000-0000-00006E1E0000}"/>
    <cellStyle name="Normal 17 4 61" xfId="5445" xr:uid="{00000000-0005-0000-0000-00006F1E0000}"/>
    <cellStyle name="Normal 17 4 61 2" xfId="17485" xr:uid="{00000000-0005-0000-0000-0000701E0000}"/>
    <cellStyle name="Normal 17 4 62" xfId="5446" xr:uid="{00000000-0005-0000-0000-0000711E0000}"/>
    <cellStyle name="Normal 17 4 62 2" xfId="17486" xr:uid="{00000000-0005-0000-0000-0000721E0000}"/>
    <cellStyle name="Normal 17 4 63" xfId="5447" xr:uid="{00000000-0005-0000-0000-0000731E0000}"/>
    <cellStyle name="Normal 17 4 63 2" xfId="17487" xr:uid="{00000000-0005-0000-0000-0000741E0000}"/>
    <cellStyle name="Normal 17 4 64" xfId="5448" xr:uid="{00000000-0005-0000-0000-0000751E0000}"/>
    <cellStyle name="Normal 17 4 64 2" xfId="17488" xr:uid="{00000000-0005-0000-0000-0000761E0000}"/>
    <cellStyle name="Normal 17 4 65" xfId="5449" xr:uid="{00000000-0005-0000-0000-0000771E0000}"/>
    <cellStyle name="Normal 17 4 65 2" xfId="17489" xr:uid="{00000000-0005-0000-0000-0000781E0000}"/>
    <cellStyle name="Normal 17 4 66" xfId="5450" xr:uid="{00000000-0005-0000-0000-0000791E0000}"/>
    <cellStyle name="Normal 17 4 66 2" xfId="17490" xr:uid="{00000000-0005-0000-0000-00007A1E0000}"/>
    <cellStyle name="Normal 17 4 67" xfId="5451" xr:uid="{00000000-0005-0000-0000-00007B1E0000}"/>
    <cellStyle name="Normal 17 4 67 2" xfId="17491" xr:uid="{00000000-0005-0000-0000-00007C1E0000}"/>
    <cellStyle name="Normal 17 4 68" xfId="5452" xr:uid="{00000000-0005-0000-0000-00007D1E0000}"/>
    <cellStyle name="Normal 17 4 68 2" xfId="17492" xr:uid="{00000000-0005-0000-0000-00007E1E0000}"/>
    <cellStyle name="Normal 17 4 69" xfId="5453" xr:uid="{00000000-0005-0000-0000-00007F1E0000}"/>
    <cellStyle name="Normal 17 4 69 2" xfId="17493" xr:uid="{00000000-0005-0000-0000-0000801E0000}"/>
    <cellStyle name="Normal 17 4 7" xfId="5454" xr:uid="{00000000-0005-0000-0000-0000811E0000}"/>
    <cellStyle name="Normal 17 4 7 2" xfId="17494" xr:uid="{00000000-0005-0000-0000-0000821E0000}"/>
    <cellStyle name="Normal 17 4 70" xfId="5455" xr:uid="{00000000-0005-0000-0000-0000831E0000}"/>
    <cellStyle name="Normal 17 4 70 2" xfId="17495" xr:uid="{00000000-0005-0000-0000-0000841E0000}"/>
    <cellStyle name="Normal 17 4 71" xfId="5456" xr:uid="{00000000-0005-0000-0000-0000851E0000}"/>
    <cellStyle name="Normal 17 4 71 2" xfId="17496" xr:uid="{00000000-0005-0000-0000-0000861E0000}"/>
    <cellStyle name="Normal 17 4 72" xfId="5457" xr:uid="{00000000-0005-0000-0000-0000871E0000}"/>
    <cellStyle name="Normal 17 4 72 2" xfId="17497" xr:uid="{00000000-0005-0000-0000-0000881E0000}"/>
    <cellStyle name="Normal 17 4 73" xfId="5458" xr:uid="{00000000-0005-0000-0000-0000891E0000}"/>
    <cellStyle name="Normal 17 4 73 2" xfId="17498" xr:uid="{00000000-0005-0000-0000-00008A1E0000}"/>
    <cellStyle name="Normal 17 4 74" xfId="5459" xr:uid="{00000000-0005-0000-0000-00008B1E0000}"/>
    <cellStyle name="Normal 17 4 74 2" xfId="17499" xr:uid="{00000000-0005-0000-0000-00008C1E0000}"/>
    <cellStyle name="Normal 17 4 75" xfId="5460" xr:uid="{00000000-0005-0000-0000-00008D1E0000}"/>
    <cellStyle name="Normal 17 4 75 2" xfId="17500" xr:uid="{00000000-0005-0000-0000-00008E1E0000}"/>
    <cellStyle name="Normal 17 4 76" xfId="5461" xr:uid="{00000000-0005-0000-0000-00008F1E0000}"/>
    <cellStyle name="Normal 17 4 76 2" xfId="17501" xr:uid="{00000000-0005-0000-0000-0000901E0000}"/>
    <cellStyle name="Normal 17 4 77" xfId="5462" xr:uid="{00000000-0005-0000-0000-0000911E0000}"/>
    <cellStyle name="Normal 17 4 77 2" xfId="17502" xr:uid="{00000000-0005-0000-0000-0000921E0000}"/>
    <cellStyle name="Normal 17 4 78" xfId="5463" xr:uid="{00000000-0005-0000-0000-0000931E0000}"/>
    <cellStyle name="Normal 17 4 78 2" xfId="17503" xr:uid="{00000000-0005-0000-0000-0000941E0000}"/>
    <cellStyle name="Normal 17 4 79" xfId="5464" xr:uid="{00000000-0005-0000-0000-0000951E0000}"/>
    <cellStyle name="Normal 17 4 79 2" xfId="17504" xr:uid="{00000000-0005-0000-0000-0000961E0000}"/>
    <cellStyle name="Normal 17 4 8" xfId="5465" xr:uid="{00000000-0005-0000-0000-0000971E0000}"/>
    <cellStyle name="Normal 17 4 8 2" xfId="17505" xr:uid="{00000000-0005-0000-0000-0000981E0000}"/>
    <cellStyle name="Normal 17 4 80" xfId="17428" xr:uid="{00000000-0005-0000-0000-0000991E0000}"/>
    <cellStyle name="Normal 17 4 9" xfId="5466" xr:uid="{00000000-0005-0000-0000-00009A1E0000}"/>
    <cellStyle name="Normal 17 4 9 2" xfId="17506" xr:uid="{00000000-0005-0000-0000-00009B1E0000}"/>
    <cellStyle name="Normal 17 40" xfId="5467" xr:uid="{00000000-0005-0000-0000-00009C1E0000}"/>
    <cellStyle name="Normal 17 40 2" xfId="17507" xr:uid="{00000000-0005-0000-0000-00009D1E0000}"/>
    <cellStyle name="Normal 17 41" xfId="5468" xr:uid="{00000000-0005-0000-0000-00009E1E0000}"/>
    <cellStyle name="Normal 17 41 2" xfId="17508" xr:uid="{00000000-0005-0000-0000-00009F1E0000}"/>
    <cellStyle name="Normal 17 42" xfId="5469" xr:uid="{00000000-0005-0000-0000-0000A01E0000}"/>
    <cellStyle name="Normal 17 42 2" xfId="17509" xr:uid="{00000000-0005-0000-0000-0000A11E0000}"/>
    <cellStyle name="Normal 17 43" xfId="5470" xr:uid="{00000000-0005-0000-0000-0000A21E0000}"/>
    <cellStyle name="Normal 17 43 2" xfId="17510" xr:uid="{00000000-0005-0000-0000-0000A31E0000}"/>
    <cellStyle name="Normal 17 44" xfId="5471" xr:uid="{00000000-0005-0000-0000-0000A41E0000}"/>
    <cellStyle name="Normal 17 44 2" xfId="17511" xr:uid="{00000000-0005-0000-0000-0000A51E0000}"/>
    <cellStyle name="Normal 17 45" xfId="5472" xr:uid="{00000000-0005-0000-0000-0000A61E0000}"/>
    <cellStyle name="Normal 17 45 2" xfId="17512" xr:uid="{00000000-0005-0000-0000-0000A71E0000}"/>
    <cellStyle name="Normal 17 46" xfId="5473" xr:uid="{00000000-0005-0000-0000-0000A81E0000}"/>
    <cellStyle name="Normal 17 46 2" xfId="17513" xr:uid="{00000000-0005-0000-0000-0000A91E0000}"/>
    <cellStyle name="Normal 17 47" xfId="5474" xr:uid="{00000000-0005-0000-0000-0000AA1E0000}"/>
    <cellStyle name="Normal 17 47 2" xfId="17514" xr:uid="{00000000-0005-0000-0000-0000AB1E0000}"/>
    <cellStyle name="Normal 17 48" xfId="5475" xr:uid="{00000000-0005-0000-0000-0000AC1E0000}"/>
    <cellStyle name="Normal 17 48 2" xfId="17515" xr:uid="{00000000-0005-0000-0000-0000AD1E0000}"/>
    <cellStyle name="Normal 17 49" xfId="5476" xr:uid="{00000000-0005-0000-0000-0000AE1E0000}"/>
    <cellStyle name="Normal 17 49 2" xfId="17516" xr:uid="{00000000-0005-0000-0000-0000AF1E0000}"/>
    <cellStyle name="Normal 17 5" xfId="5477" xr:uid="{00000000-0005-0000-0000-0000B01E0000}"/>
    <cellStyle name="Normal 17 5 2" xfId="17517" xr:uid="{00000000-0005-0000-0000-0000B11E0000}"/>
    <cellStyle name="Normal 17 50" xfId="5478" xr:uid="{00000000-0005-0000-0000-0000B21E0000}"/>
    <cellStyle name="Normal 17 50 2" xfId="17518" xr:uid="{00000000-0005-0000-0000-0000B31E0000}"/>
    <cellStyle name="Normal 17 51" xfId="5479" xr:uid="{00000000-0005-0000-0000-0000B41E0000}"/>
    <cellStyle name="Normal 17 51 2" xfId="17519" xr:uid="{00000000-0005-0000-0000-0000B51E0000}"/>
    <cellStyle name="Normal 17 52" xfId="5480" xr:uid="{00000000-0005-0000-0000-0000B61E0000}"/>
    <cellStyle name="Normal 17 52 2" xfId="17520" xr:uid="{00000000-0005-0000-0000-0000B71E0000}"/>
    <cellStyle name="Normal 17 53" xfId="5481" xr:uid="{00000000-0005-0000-0000-0000B81E0000}"/>
    <cellStyle name="Normal 17 53 2" xfId="17521" xr:uid="{00000000-0005-0000-0000-0000B91E0000}"/>
    <cellStyle name="Normal 17 54" xfId="5482" xr:uid="{00000000-0005-0000-0000-0000BA1E0000}"/>
    <cellStyle name="Normal 17 54 2" xfId="17522" xr:uid="{00000000-0005-0000-0000-0000BB1E0000}"/>
    <cellStyle name="Normal 17 55" xfId="5483" xr:uid="{00000000-0005-0000-0000-0000BC1E0000}"/>
    <cellStyle name="Normal 17 55 2" xfId="17523" xr:uid="{00000000-0005-0000-0000-0000BD1E0000}"/>
    <cellStyle name="Normal 17 56" xfId="5484" xr:uid="{00000000-0005-0000-0000-0000BE1E0000}"/>
    <cellStyle name="Normal 17 56 2" xfId="17524" xr:uid="{00000000-0005-0000-0000-0000BF1E0000}"/>
    <cellStyle name="Normal 17 57" xfId="5485" xr:uid="{00000000-0005-0000-0000-0000C01E0000}"/>
    <cellStyle name="Normal 17 57 2" xfId="17525" xr:uid="{00000000-0005-0000-0000-0000C11E0000}"/>
    <cellStyle name="Normal 17 58" xfId="5486" xr:uid="{00000000-0005-0000-0000-0000C21E0000}"/>
    <cellStyle name="Normal 17 58 2" xfId="17526" xr:uid="{00000000-0005-0000-0000-0000C31E0000}"/>
    <cellStyle name="Normal 17 59" xfId="5487" xr:uid="{00000000-0005-0000-0000-0000C41E0000}"/>
    <cellStyle name="Normal 17 59 2" xfId="17527" xr:uid="{00000000-0005-0000-0000-0000C51E0000}"/>
    <cellStyle name="Normal 17 6" xfId="5488" xr:uid="{00000000-0005-0000-0000-0000C61E0000}"/>
    <cellStyle name="Normal 17 6 2" xfId="17528" xr:uid="{00000000-0005-0000-0000-0000C71E0000}"/>
    <cellStyle name="Normal 17 60" xfId="5489" xr:uid="{00000000-0005-0000-0000-0000C81E0000}"/>
    <cellStyle name="Normal 17 60 2" xfId="17529" xr:uid="{00000000-0005-0000-0000-0000C91E0000}"/>
    <cellStyle name="Normal 17 61" xfId="5490" xr:uid="{00000000-0005-0000-0000-0000CA1E0000}"/>
    <cellStyle name="Normal 17 61 2" xfId="17530" xr:uid="{00000000-0005-0000-0000-0000CB1E0000}"/>
    <cellStyle name="Normal 17 62" xfId="5491" xr:uid="{00000000-0005-0000-0000-0000CC1E0000}"/>
    <cellStyle name="Normal 17 62 2" xfId="17531" xr:uid="{00000000-0005-0000-0000-0000CD1E0000}"/>
    <cellStyle name="Normal 17 63" xfId="5492" xr:uid="{00000000-0005-0000-0000-0000CE1E0000}"/>
    <cellStyle name="Normal 17 63 2" xfId="17532" xr:uid="{00000000-0005-0000-0000-0000CF1E0000}"/>
    <cellStyle name="Normal 17 64" xfId="5493" xr:uid="{00000000-0005-0000-0000-0000D01E0000}"/>
    <cellStyle name="Normal 17 64 2" xfId="17533" xr:uid="{00000000-0005-0000-0000-0000D11E0000}"/>
    <cellStyle name="Normal 17 65" xfId="5494" xr:uid="{00000000-0005-0000-0000-0000D21E0000}"/>
    <cellStyle name="Normal 17 65 2" xfId="17534" xr:uid="{00000000-0005-0000-0000-0000D31E0000}"/>
    <cellStyle name="Normal 17 66" xfId="5495" xr:uid="{00000000-0005-0000-0000-0000D41E0000}"/>
    <cellStyle name="Normal 17 66 2" xfId="17535" xr:uid="{00000000-0005-0000-0000-0000D51E0000}"/>
    <cellStyle name="Normal 17 67" xfId="5496" xr:uid="{00000000-0005-0000-0000-0000D61E0000}"/>
    <cellStyle name="Normal 17 67 2" xfId="17536" xr:uid="{00000000-0005-0000-0000-0000D71E0000}"/>
    <cellStyle name="Normal 17 68" xfId="5497" xr:uid="{00000000-0005-0000-0000-0000D81E0000}"/>
    <cellStyle name="Normal 17 68 2" xfId="17537" xr:uid="{00000000-0005-0000-0000-0000D91E0000}"/>
    <cellStyle name="Normal 17 69" xfId="5498" xr:uid="{00000000-0005-0000-0000-0000DA1E0000}"/>
    <cellStyle name="Normal 17 69 2" xfId="17538" xr:uid="{00000000-0005-0000-0000-0000DB1E0000}"/>
    <cellStyle name="Normal 17 7" xfId="5499" xr:uid="{00000000-0005-0000-0000-0000DC1E0000}"/>
    <cellStyle name="Normal 17 7 2" xfId="17539" xr:uid="{00000000-0005-0000-0000-0000DD1E0000}"/>
    <cellStyle name="Normal 17 70" xfId="5500" xr:uid="{00000000-0005-0000-0000-0000DE1E0000}"/>
    <cellStyle name="Normal 17 70 2" xfId="17540" xr:uid="{00000000-0005-0000-0000-0000DF1E0000}"/>
    <cellStyle name="Normal 17 71" xfId="5501" xr:uid="{00000000-0005-0000-0000-0000E01E0000}"/>
    <cellStyle name="Normal 17 71 2" xfId="17541" xr:uid="{00000000-0005-0000-0000-0000E11E0000}"/>
    <cellStyle name="Normal 17 72" xfId="5502" xr:uid="{00000000-0005-0000-0000-0000E21E0000}"/>
    <cellStyle name="Normal 17 72 2" xfId="17542" xr:uid="{00000000-0005-0000-0000-0000E31E0000}"/>
    <cellStyle name="Normal 17 73" xfId="5503" xr:uid="{00000000-0005-0000-0000-0000E41E0000}"/>
    <cellStyle name="Normal 17 73 2" xfId="17543" xr:uid="{00000000-0005-0000-0000-0000E51E0000}"/>
    <cellStyle name="Normal 17 74" xfId="5504" xr:uid="{00000000-0005-0000-0000-0000E61E0000}"/>
    <cellStyle name="Normal 17 74 2" xfId="17544" xr:uid="{00000000-0005-0000-0000-0000E71E0000}"/>
    <cellStyle name="Normal 17 75" xfId="5505" xr:uid="{00000000-0005-0000-0000-0000E81E0000}"/>
    <cellStyle name="Normal 17 75 2" xfId="17545" xr:uid="{00000000-0005-0000-0000-0000E91E0000}"/>
    <cellStyle name="Normal 17 76" xfId="5506" xr:uid="{00000000-0005-0000-0000-0000EA1E0000}"/>
    <cellStyle name="Normal 17 76 2" xfId="17546" xr:uid="{00000000-0005-0000-0000-0000EB1E0000}"/>
    <cellStyle name="Normal 17 77" xfId="5507" xr:uid="{00000000-0005-0000-0000-0000EC1E0000}"/>
    <cellStyle name="Normal 17 77 2" xfId="17547" xr:uid="{00000000-0005-0000-0000-0000ED1E0000}"/>
    <cellStyle name="Normal 17 78" xfId="5508" xr:uid="{00000000-0005-0000-0000-0000EE1E0000}"/>
    <cellStyle name="Normal 17 78 2" xfId="17548" xr:uid="{00000000-0005-0000-0000-0000EF1E0000}"/>
    <cellStyle name="Normal 17 79" xfId="5509" xr:uid="{00000000-0005-0000-0000-0000F01E0000}"/>
    <cellStyle name="Normal 17 79 2" xfId="17549" xr:uid="{00000000-0005-0000-0000-0000F11E0000}"/>
    <cellStyle name="Normal 17 8" xfId="5510" xr:uid="{00000000-0005-0000-0000-0000F21E0000}"/>
    <cellStyle name="Normal 17 8 2" xfId="17550" xr:uid="{00000000-0005-0000-0000-0000F31E0000}"/>
    <cellStyle name="Normal 17 80" xfId="5511" xr:uid="{00000000-0005-0000-0000-0000F41E0000}"/>
    <cellStyle name="Normal 17 80 2" xfId="17551" xr:uid="{00000000-0005-0000-0000-0000F51E0000}"/>
    <cellStyle name="Normal 17 81" xfId="5512" xr:uid="{00000000-0005-0000-0000-0000F61E0000}"/>
    <cellStyle name="Normal 17 81 2" xfId="17552" xr:uid="{00000000-0005-0000-0000-0000F71E0000}"/>
    <cellStyle name="Normal 17 82" xfId="5513" xr:uid="{00000000-0005-0000-0000-0000F81E0000}"/>
    <cellStyle name="Normal 17 82 2" xfId="17553" xr:uid="{00000000-0005-0000-0000-0000F91E0000}"/>
    <cellStyle name="Normal 17 83" xfId="17239" xr:uid="{00000000-0005-0000-0000-0000FA1E0000}"/>
    <cellStyle name="Normal 17 9" xfId="5514" xr:uid="{00000000-0005-0000-0000-0000FB1E0000}"/>
    <cellStyle name="Normal 17 9 2" xfId="17554" xr:uid="{00000000-0005-0000-0000-0000FC1E0000}"/>
    <cellStyle name="Normal 170" xfId="511" xr:uid="{00000000-0005-0000-0000-0000FD1E0000}"/>
    <cellStyle name="Normal 170 2" xfId="608" xr:uid="{00000000-0005-0000-0000-0000FE1E0000}"/>
    <cellStyle name="Normal 170 3" xfId="1027" xr:uid="{00000000-0005-0000-0000-0000FF1E0000}"/>
    <cellStyle name="Normal 170 4" xfId="1213" xr:uid="{00000000-0005-0000-0000-0000001F0000}"/>
    <cellStyle name="Normal 170 5" xfId="1172" xr:uid="{00000000-0005-0000-0000-0000011F0000}"/>
    <cellStyle name="Normal 170 6" xfId="1334" xr:uid="{00000000-0005-0000-0000-0000021F0000}"/>
    <cellStyle name="Normal 170 7" xfId="1398" xr:uid="{00000000-0005-0000-0000-0000031F0000}"/>
    <cellStyle name="Normal 170 8" xfId="1447" xr:uid="{00000000-0005-0000-0000-0000041F0000}"/>
    <cellStyle name="Normal 170 9" xfId="1473" xr:uid="{00000000-0005-0000-0000-0000051F0000}"/>
    <cellStyle name="Normal 171" xfId="512" xr:uid="{00000000-0005-0000-0000-0000061F0000}"/>
    <cellStyle name="Normal 171 2" xfId="609" xr:uid="{00000000-0005-0000-0000-0000071F0000}"/>
    <cellStyle name="Normal 171 3" xfId="1028" xr:uid="{00000000-0005-0000-0000-0000081F0000}"/>
    <cellStyle name="Normal 171 4" xfId="863" xr:uid="{00000000-0005-0000-0000-0000091F0000}"/>
    <cellStyle name="Normal 171 5" xfId="1290" xr:uid="{00000000-0005-0000-0000-00000A1F0000}"/>
    <cellStyle name="Normal 171 6" xfId="1357" xr:uid="{00000000-0005-0000-0000-00000B1F0000}"/>
    <cellStyle name="Normal 171 7" xfId="1419" xr:uid="{00000000-0005-0000-0000-00000C1F0000}"/>
    <cellStyle name="Normal 171 8" xfId="1457" xr:uid="{00000000-0005-0000-0000-00000D1F0000}"/>
    <cellStyle name="Normal 171 9" xfId="1483" xr:uid="{00000000-0005-0000-0000-00000E1F0000}"/>
    <cellStyle name="Normal 172" xfId="513" xr:uid="{00000000-0005-0000-0000-00000F1F0000}"/>
    <cellStyle name="Normal 172 2" xfId="610" xr:uid="{00000000-0005-0000-0000-0000101F0000}"/>
    <cellStyle name="Normal 172 3" xfId="1029" xr:uid="{00000000-0005-0000-0000-0000111F0000}"/>
    <cellStyle name="Normal 172 4" xfId="1142" xr:uid="{00000000-0005-0000-0000-0000121F0000}"/>
    <cellStyle name="Normal 172 5" xfId="861" xr:uid="{00000000-0005-0000-0000-0000131F0000}"/>
    <cellStyle name="Normal 172 6" xfId="1291" xr:uid="{00000000-0005-0000-0000-0000141F0000}"/>
    <cellStyle name="Normal 172 7" xfId="1358" xr:uid="{00000000-0005-0000-0000-0000151F0000}"/>
    <cellStyle name="Normal 172 8" xfId="1420" xr:uid="{00000000-0005-0000-0000-0000161F0000}"/>
    <cellStyle name="Normal 172 9" xfId="1458" xr:uid="{00000000-0005-0000-0000-0000171F0000}"/>
    <cellStyle name="Normal 173" xfId="514" xr:uid="{00000000-0005-0000-0000-0000181F0000}"/>
    <cellStyle name="Normal 173 2" xfId="611" xr:uid="{00000000-0005-0000-0000-0000191F0000}"/>
    <cellStyle name="Normal 173 3" xfId="1030" xr:uid="{00000000-0005-0000-0000-00001A1F0000}"/>
    <cellStyle name="Normal 173 4" xfId="1141" xr:uid="{00000000-0005-0000-0000-00001B1F0000}"/>
    <cellStyle name="Normal 173 5" xfId="1198" xr:uid="{00000000-0005-0000-0000-00001C1F0000}"/>
    <cellStyle name="Normal 173 6" xfId="987" xr:uid="{00000000-0005-0000-0000-00001D1F0000}"/>
    <cellStyle name="Normal 173 7" xfId="1220" xr:uid="{00000000-0005-0000-0000-00001E1F0000}"/>
    <cellStyle name="Normal 173 8" xfId="977" xr:uid="{00000000-0005-0000-0000-00001F1F0000}"/>
    <cellStyle name="Normal 173 9" xfId="1229" xr:uid="{00000000-0005-0000-0000-0000201F0000}"/>
    <cellStyle name="Normal 174" xfId="515" xr:uid="{00000000-0005-0000-0000-0000211F0000}"/>
    <cellStyle name="Normal 174 2" xfId="612" xr:uid="{00000000-0005-0000-0000-0000221F0000}"/>
    <cellStyle name="Normal 174 3" xfId="1031" xr:uid="{00000000-0005-0000-0000-0000231F0000}"/>
    <cellStyle name="Normal 174 4" xfId="1140" xr:uid="{00000000-0005-0000-0000-0000241F0000}"/>
    <cellStyle name="Normal 174 5" xfId="1199" xr:uid="{00000000-0005-0000-0000-0000251F0000}"/>
    <cellStyle name="Normal 174 6" xfId="1179" xr:uid="{00000000-0005-0000-0000-0000261F0000}"/>
    <cellStyle name="Normal 174 7" xfId="1188" xr:uid="{00000000-0005-0000-0000-0000271F0000}"/>
    <cellStyle name="Normal 174 8" xfId="1185" xr:uid="{00000000-0005-0000-0000-0000281F0000}"/>
    <cellStyle name="Normal 174 9" xfId="1186" xr:uid="{00000000-0005-0000-0000-0000291F0000}"/>
    <cellStyle name="Normal 175" xfId="516" xr:uid="{00000000-0005-0000-0000-00002A1F0000}"/>
    <cellStyle name="Normal 175 2" xfId="613" xr:uid="{00000000-0005-0000-0000-00002B1F0000}"/>
    <cellStyle name="Normal 175 3" xfId="1032" xr:uid="{00000000-0005-0000-0000-00002C1F0000}"/>
    <cellStyle name="Normal 175 4" xfId="1139" xr:uid="{00000000-0005-0000-0000-00002D1F0000}"/>
    <cellStyle name="Normal 175 5" xfId="1109" xr:uid="{00000000-0005-0000-0000-00002E1F0000}"/>
    <cellStyle name="Normal 175 6" xfId="888" xr:uid="{00000000-0005-0000-0000-00002F1F0000}"/>
    <cellStyle name="Normal 175 7" xfId="948" xr:uid="{00000000-0005-0000-0000-0000301F0000}"/>
    <cellStyle name="Normal 175 8" xfId="878" xr:uid="{00000000-0005-0000-0000-0000311F0000}"/>
    <cellStyle name="Normal 175 9" xfId="952" xr:uid="{00000000-0005-0000-0000-0000321F0000}"/>
    <cellStyle name="Normal 176" xfId="517" xr:uid="{00000000-0005-0000-0000-0000331F0000}"/>
    <cellStyle name="Normal 176 2" xfId="614" xr:uid="{00000000-0005-0000-0000-0000341F0000}"/>
    <cellStyle name="Normal 176 3" xfId="1033" xr:uid="{00000000-0005-0000-0000-0000351F0000}"/>
    <cellStyle name="Normal 176 4" xfId="1138" xr:uid="{00000000-0005-0000-0000-0000361F0000}"/>
    <cellStyle name="Normal 176 5" xfId="1110" xr:uid="{00000000-0005-0000-0000-0000371F0000}"/>
    <cellStyle name="Normal 176 6" xfId="850" xr:uid="{00000000-0005-0000-0000-0000381F0000}"/>
    <cellStyle name="Normal 176 7" xfId="1296" xr:uid="{00000000-0005-0000-0000-0000391F0000}"/>
    <cellStyle name="Normal 176 8" xfId="1362" xr:uid="{00000000-0005-0000-0000-00003A1F0000}"/>
    <cellStyle name="Normal 176 9" xfId="1423" xr:uid="{00000000-0005-0000-0000-00003B1F0000}"/>
    <cellStyle name="Normal 177" xfId="518" xr:uid="{00000000-0005-0000-0000-00003C1F0000}"/>
    <cellStyle name="Normal 177 2" xfId="615" xr:uid="{00000000-0005-0000-0000-00003D1F0000}"/>
    <cellStyle name="Normal 177 3" xfId="1034" xr:uid="{00000000-0005-0000-0000-00003E1F0000}"/>
    <cellStyle name="Normal 177 4" xfId="1137" xr:uid="{00000000-0005-0000-0000-00003F1F0000}"/>
    <cellStyle name="Normal 177 5" xfId="1111" xr:uid="{00000000-0005-0000-0000-0000401F0000}"/>
    <cellStyle name="Normal 177 6" xfId="1132" xr:uid="{00000000-0005-0000-0000-0000411F0000}"/>
    <cellStyle name="Normal 177 7" xfId="1116" xr:uid="{00000000-0005-0000-0000-0000421F0000}"/>
    <cellStyle name="Normal 177 8" xfId="1127" xr:uid="{00000000-0005-0000-0000-0000431F0000}"/>
    <cellStyle name="Normal 177 9" xfId="1120" xr:uid="{00000000-0005-0000-0000-0000441F0000}"/>
    <cellStyle name="Normal 178" xfId="519" xr:uid="{00000000-0005-0000-0000-0000451F0000}"/>
    <cellStyle name="Normal 178 2" xfId="616" xr:uid="{00000000-0005-0000-0000-0000461F0000}"/>
    <cellStyle name="Normal 178 3" xfId="1035" xr:uid="{00000000-0005-0000-0000-0000471F0000}"/>
    <cellStyle name="Normal 178 4" xfId="1136" xr:uid="{00000000-0005-0000-0000-0000481F0000}"/>
    <cellStyle name="Normal 178 5" xfId="1112" xr:uid="{00000000-0005-0000-0000-0000491F0000}"/>
    <cellStyle name="Normal 178 6" xfId="1131" xr:uid="{00000000-0005-0000-0000-00004A1F0000}"/>
    <cellStyle name="Normal 178 7" xfId="1117" xr:uid="{00000000-0005-0000-0000-00004B1F0000}"/>
    <cellStyle name="Normal 178 8" xfId="1126" xr:uid="{00000000-0005-0000-0000-00004C1F0000}"/>
    <cellStyle name="Normal 178 9" xfId="1121" xr:uid="{00000000-0005-0000-0000-00004D1F0000}"/>
    <cellStyle name="Normal 179" xfId="520" xr:uid="{00000000-0005-0000-0000-00004E1F0000}"/>
    <cellStyle name="Normal 179 2" xfId="617" xr:uid="{00000000-0005-0000-0000-00004F1F0000}"/>
    <cellStyle name="Normal 179 3" xfId="1036" xr:uid="{00000000-0005-0000-0000-0000501F0000}"/>
    <cellStyle name="Normal 179 4" xfId="1135" xr:uid="{00000000-0005-0000-0000-0000511F0000}"/>
    <cellStyle name="Normal 179 5" xfId="1113" xr:uid="{00000000-0005-0000-0000-0000521F0000}"/>
    <cellStyle name="Normal 179 6" xfId="1130" xr:uid="{00000000-0005-0000-0000-0000531F0000}"/>
    <cellStyle name="Normal 179 7" xfId="1118" xr:uid="{00000000-0005-0000-0000-0000541F0000}"/>
    <cellStyle name="Normal 179 8" xfId="1125" xr:uid="{00000000-0005-0000-0000-0000551F0000}"/>
    <cellStyle name="Normal 179 9" xfId="1122" xr:uid="{00000000-0005-0000-0000-0000561F0000}"/>
    <cellStyle name="Normal 18" xfId="84" xr:uid="{00000000-0005-0000-0000-0000571F0000}"/>
    <cellStyle name="Normal 18 10" xfId="5515" xr:uid="{00000000-0005-0000-0000-0000581F0000}"/>
    <cellStyle name="Normal 18 10 2" xfId="17556" xr:uid="{00000000-0005-0000-0000-0000591F0000}"/>
    <cellStyle name="Normal 18 11" xfId="5516" xr:uid="{00000000-0005-0000-0000-00005A1F0000}"/>
    <cellStyle name="Normal 18 11 2" xfId="17557" xr:uid="{00000000-0005-0000-0000-00005B1F0000}"/>
    <cellStyle name="Normal 18 12" xfId="5517" xr:uid="{00000000-0005-0000-0000-00005C1F0000}"/>
    <cellStyle name="Normal 18 12 2" xfId="17558" xr:uid="{00000000-0005-0000-0000-00005D1F0000}"/>
    <cellStyle name="Normal 18 13" xfId="5518" xr:uid="{00000000-0005-0000-0000-00005E1F0000}"/>
    <cellStyle name="Normal 18 13 2" xfId="17559" xr:uid="{00000000-0005-0000-0000-00005F1F0000}"/>
    <cellStyle name="Normal 18 14" xfId="5519" xr:uid="{00000000-0005-0000-0000-0000601F0000}"/>
    <cellStyle name="Normal 18 14 2" xfId="17560" xr:uid="{00000000-0005-0000-0000-0000611F0000}"/>
    <cellStyle name="Normal 18 15" xfId="5520" xr:uid="{00000000-0005-0000-0000-0000621F0000}"/>
    <cellStyle name="Normal 18 15 2" xfId="17561" xr:uid="{00000000-0005-0000-0000-0000631F0000}"/>
    <cellStyle name="Normal 18 16" xfId="5521" xr:uid="{00000000-0005-0000-0000-0000641F0000}"/>
    <cellStyle name="Normal 18 16 2" xfId="17562" xr:uid="{00000000-0005-0000-0000-0000651F0000}"/>
    <cellStyle name="Normal 18 17" xfId="5522" xr:uid="{00000000-0005-0000-0000-0000661F0000}"/>
    <cellStyle name="Normal 18 17 2" xfId="17563" xr:uid="{00000000-0005-0000-0000-0000671F0000}"/>
    <cellStyle name="Normal 18 18" xfId="5523" xr:uid="{00000000-0005-0000-0000-0000681F0000}"/>
    <cellStyle name="Normal 18 18 2" xfId="17564" xr:uid="{00000000-0005-0000-0000-0000691F0000}"/>
    <cellStyle name="Normal 18 19" xfId="5524" xr:uid="{00000000-0005-0000-0000-00006A1F0000}"/>
    <cellStyle name="Normal 18 19 2" xfId="17565" xr:uid="{00000000-0005-0000-0000-00006B1F0000}"/>
    <cellStyle name="Normal 18 2" xfId="5525" xr:uid="{00000000-0005-0000-0000-00006C1F0000}"/>
    <cellStyle name="Normal 18 2 10" xfId="5526" xr:uid="{00000000-0005-0000-0000-00006D1F0000}"/>
    <cellStyle name="Normal 18 2 10 2" xfId="17567" xr:uid="{00000000-0005-0000-0000-00006E1F0000}"/>
    <cellStyle name="Normal 18 2 11" xfId="5527" xr:uid="{00000000-0005-0000-0000-00006F1F0000}"/>
    <cellStyle name="Normal 18 2 11 2" xfId="17568" xr:uid="{00000000-0005-0000-0000-0000701F0000}"/>
    <cellStyle name="Normal 18 2 12" xfId="5528" xr:uid="{00000000-0005-0000-0000-0000711F0000}"/>
    <cellStyle name="Normal 18 2 12 2" xfId="17569" xr:uid="{00000000-0005-0000-0000-0000721F0000}"/>
    <cellStyle name="Normal 18 2 13" xfId="5529" xr:uid="{00000000-0005-0000-0000-0000731F0000}"/>
    <cellStyle name="Normal 18 2 13 2" xfId="17570" xr:uid="{00000000-0005-0000-0000-0000741F0000}"/>
    <cellStyle name="Normal 18 2 14" xfId="5530" xr:uid="{00000000-0005-0000-0000-0000751F0000}"/>
    <cellStyle name="Normal 18 2 14 2" xfId="17571" xr:uid="{00000000-0005-0000-0000-0000761F0000}"/>
    <cellStyle name="Normal 18 2 15" xfId="5531" xr:uid="{00000000-0005-0000-0000-0000771F0000}"/>
    <cellStyle name="Normal 18 2 15 2" xfId="17572" xr:uid="{00000000-0005-0000-0000-0000781F0000}"/>
    <cellStyle name="Normal 18 2 16" xfId="5532" xr:uid="{00000000-0005-0000-0000-0000791F0000}"/>
    <cellStyle name="Normal 18 2 16 2" xfId="17573" xr:uid="{00000000-0005-0000-0000-00007A1F0000}"/>
    <cellStyle name="Normal 18 2 17" xfId="5533" xr:uid="{00000000-0005-0000-0000-00007B1F0000}"/>
    <cellStyle name="Normal 18 2 17 2" xfId="17574" xr:uid="{00000000-0005-0000-0000-00007C1F0000}"/>
    <cellStyle name="Normal 18 2 18" xfId="5534" xr:uid="{00000000-0005-0000-0000-00007D1F0000}"/>
    <cellStyle name="Normal 18 2 18 2" xfId="17575" xr:uid="{00000000-0005-0000-0000-00007E1F0000}"/>
    <cellStyle name="Normal 18 2 19" xfId="5535" xr:uid="{00000000-0005-0000-0000-00007F1F0000}"/>
    <cellStyle name="Normal 18 2 19 2" xfId="17576" xr:uid="{00000000-0005-0000-0000-0000801F0000}"/>
    <cellStyle name="Normal 18 2 2" xfId="5536" xr:uid="{00000000-0005-0000-0000-0000811F0000}"/>
    <cellStyle name="Normal 18 2 2 2" xfId="17577" xr:uid="{00000000-0005-0000-0000-0000821F0000}"/>
    <cellStyle name="Normal 18 2 20" xfId="5537" xr:uid="{00000000-0005-0000-0000-0000831F0000}"/>
    <cellStyle name="Normal 18 2 20 2" xfId="17578" xr:uid="{00000000-0005-0000-0000-0000841F0000}"/>
    <cellStyle name="Normal 18 2 21" xfId="5538" xr:uid="{00000000-0005-0000-0000-0000851F0000}"/>
    <cellStyle name="Normal 18 2 21 2" xfId="17579" xr:uid="{00000000-0005-0000-0000-0000861F0000}"/>
    <cellStyle name="Normal 18 2 22" xfId="5539" xr:uid="{00000000-0005-0000-0000-0000871F0000}"/>
    <cellStyle name="Normal 18 2 22 2" xfId="17580" xr:uid="{00000000-0005-0000-0000-0000881F0000}"/>
    <cellStyle name="Normal 18 2 23" xfId="5540" xr:uid="{00000000-0005-0000-0000-0000891F0000}"/>
    <cellStyle name="Normal 18 2 23 2" xfId="17581" xr:uid="{00000000-0005-0000-0000-00008A1F0000}"/>
    <cellStyle name="Normal 18 2 24" xfId="5541" xr:uid="{00000000-0005-0000-0000-00008B1F0000}"/>
    <cellStyle name="Normal 18 2 24 2" xfId="17582" xr:uid="{00000000-0005-0000-0000-00008C1F0000}"/>
    <cellStyle name="Normal 18 2 25" xfId="5542" xr:uid="{00000000-0005-0000-0000-00008D1F0000}"/>
    <cellStyle name="Normal 18 2 25 2" xfId="17583" xr:uid="{00000000-0005-0000-0000-00008E1F0000}"/>
    <cellStyle name="Normal 18 2 26" xfId="5543" xr:uid="{00000000-0005-0000-0000-00008F1F0000}"/>
    <cellStyle name="Normal 18 2 26 2" xfId="17584" xr:uid="{00000000-0005-0000-0000-0000901F0000}"/>
    <cellStyle name="Normal 18 2 27" xfId="5544" xr:uid="{00000000-0005-0000-0000-0000911F0000}"/>
    <cellStyle name="Normal 18 2 27 2" xfId="17585" xr:uid="{00000000-0005-0000-0000-0000921F0000}"/>
    <cellStyle name="Normal 18 2 28" xfId="5545" xr:uid="{00000000-0005-0000-0000-0000931F0000}"/>
    <cellStyle name="Normal 18 2 28 2" xfId="17586" xr:uid="{00000000-0005-0000-0000-0000941F0000}"/>
    <cellStyle name="Normal 18 2 29" xfId="5546" xr:uid="{00000000-0005-0000-0000-0000951F0000}"/>
    <cellStyle name="Normal 18 2 29 2" xfId="17587" xr:uid="{00000000-0005-0000-0000-0000961F0000}"/>
    <cellStyle name="Normal 18 2 3" xfId="5547" xr:uid="{00000000-0005-0000-0000-0000971F0000}"/>
    <cellStyle name="Normal 18 2 3 2" xfId="17588" xr:uid="{00000000-0005-0000-0000-0000981F0000}"/>
    <cellStyle name="Normal 18 2 30" xfId="5548" xr:uid="{00000000-0005-0000-0000-0000991F0000}"/>
    <cellStyle name="Normal 18 2 30 2" xfId="17589" xr:uid="{00000000-0005-0000-0000-00009A1F0000}"/>
    <cellStyle name="Normal 18 2 31" xfId="5549" xr:uid="{00000000-0005-0000-0000-00009B1F0000}"/>
    <cellStyle name="Normal 18 2 31 2" xfId="17590" xr:uid="{00000000-0005-0000-0000-00009C1F0000}"/>
    <cellStyle name="Normal 18 2 32" xfId="5550" xr:uid="{00000000-0005-0000-0000-00009D1F0000}"/>
    <cellStyle name="Normal 18 2 32 2" xfId="17591" xr:uid="{00000000-0005-0000-0000-00009E1F0000}"/>
    <cellStyle name="Normal 18 2 33" xfId="5551" xr:uid="{00000000-0005-0000-0000-00009F1F0000}"/>
    <cellStyle name="Normal 18 2 33 2" xfId="17592" xr:uid="{00000000-0005-0000-0000-0000A01F0000}"/>
    <cellStyle name="Normal 18 2 34" xfId="5552" xr:uid="{00000000-0005-0000-0000-0000A11F0000}"/>
    <cellStyle name="Normal 18 2 34 2" xfId="17593" xr:uid="{00000000-0005-0000-0000-0000A21F0000}"/>
    <cellStyle name="Normal 18 2 35" xfId="5553" xr:uid="{00000000-0005-0000-0000-0000A31F0000}"/>
    <cellStyle name="Normal 18 2 35 2" xfId="17594" xr:uid="{00000000-0005-0000-0000-0000A41F0000}"/>
    <cellStyle name="Normal 18 2 36" xfId="5554" xr:uid="{00000000-0005-0000-0000-0000A51F0000}"/>
    <cellStyle name="Normal 18 2 36 2" xfId="17595" xr:uid="{00000000-0005-0000-0000-0000A61F0000}"/>
    <cellStyle name="Normal 18 2 37" xfId="5555" xr:uid="{00000000-0005-0000-0000-0000A71F0000}"/>
    <cellStyle name="Normal 18 2 37 2" xfId="17596" xr:uid="{00000000-0005-0000-0000-0000A81F0000}"/>
    <cellStyle name="Normal 18 2 38" xfId="5556" xr:uid="{00000000-0005-0000-0000-0000A91F0000}"/>
    <cellStyle name="Normal 18 2 38 2" xfId="17597" xr:uid="{00000000-0005-0000-0000-0000AA1F0000}"/>
    <cellStyle name="Normal 18 2 39" xfId="5557" xr:uid="{00000000-0005-0000-0000-0000AB1F0000}"/>
    <cellStyle name="Normal 18 2 39 2" xfId="17598" xr:uid="{00000000-0005-0000-0000-0000AC1F0000}"/>
    <cellStyle name="Normal 18 2 4" xfId="5558" xr:uid="{00000000-0005-0000-0000-0000AD1F0000}"/>
    <cellStyle name="Normal 18 2 4 2" xfId="17599" xr:uid="{00000000-0005-0000-0000-0000AE1F0000}"/>
    <cellStyle name="Normal 18 2 40" xfId="5559" xr:uid="{00000000-0005-0000-0000-0000AF1F0000}"/>
    <cellStyle name="Normal 18 2 40 2" xfId="17600" xr:uid="{00000000-0005-0000-0000-0000B01F0000}"/>
    <cellStyle name="Normal 18 2 41" xfId="5560" xr:uid="{00000000-0005-0000-0000-0000B11F0000}"/>
    <cellStyle name="Normal 18 2 41 2" xfId="17601" xr:uid="{00000000-0005-0000-0000-0000B21F0000}"/>
    <cellStyle name="Normal 18 2 42" xfId="5561" xr:uid="{00000000-0005-0000-0000-0000B31F0000}"/>
    <cellStyle name="Normal 18 2 42 2" xfId="17602" xr:uid="{00000000-0005-0000-0000-0000B41F0000}"/>
    <cellStyle name="Normal 18 2 43" xfId="5562" xr:uid="{00000000-0005-0000-0000-0000B51F0000}"/>
    <cellStyle name="Normal 18 2 43 2" xfId="17603" xr:uid="{00000000-0005-0000-0000-0000B61F0000}"/>
    <cellStyle name="Normal 18 2 44" xfId="5563" xr:uid="{00000000-0005-0000-0000-0000B71F0000}"/>
    <cellStyle name="Normal 18 2 44 2" xfId="17604" xr:uid="{00000000-0005-0000-0000-0000B81F0000}"/>
    <cellStyle name="Normal 18 2 45" xfId="5564" xr:uid="{00000000-0005-0000-0000-0000B91F0000}"/>
    <cellStyle name="Normal 18 2 45 2" xfId="17605" xr:uid="{00000000-0005-0000-0000-0000BA1F0000}"/>
    <cellStyle name="Normal 18 2 46" xfId="5565" xr:uid="{00000000-0005-0000-0000-0000BB1F0000}"/>
    <cellStyle name="Normal 18 2 46 2" xfId="17606" xr:uid="{00000000-0005-0000-0000-0000BC1F0000}"/>
    <cellStyle name="Normal 18 2 47" xfId="5566" xr:uid="{00000000-0005-0000-0000-0000BD1F0000}"/>
    <cellStyle name="Normal 18 2 47 2" xfId="17607" xr:uid="{00000000-0005-0000-0000-0000BE1F0000}"/>
    <cellStyle name="Normal 18 2 48" xfId="5567" xr:uid="{00000000-0005-0000-0000-0000BF1F0000}"/>
    <cellStyle name="Normal 18 2 48 2" xfId="17608" xr:uid="{00000000-0005-0000-0000-0000C01F0000}"/>
    <cellStyle name="Normal 18 2 49" xfId="5568" xr:uid="{00000000-0005-0000-0000-0000C11F0000}"/>
    <cellStyle name="Normal 18 2 49 2" xfId="17609" xr:uid="{00000000-0005-0000-0000-0000C21F0000}"/>
    <cellStyle name="Normal 18 2 5" xfId="5569" xr:uid="{00000000-0005-0000-0000-0000C31F0000}"/>
    <cellStyle name="Normal 18 2 5 2" xfId="17610" xr:uid="{00000000-0005-0000-0000-0000C41F0000}"/>
    <cellStyle name="Normal 18 2 50" xfId="5570" xr:uid="{00000000-0005-0000-0000-0000C51F0000}"/>
    <cellStyle name="Normal 18 2 50 2" xfId="17611" xr:uid="{00000000-0005-0000-0000-0000C61F0000}"/>
    <cellStyle name="Normal 18 2 51" xfId="5571" xr:uid="{00000000-0005-0000-0000-0000C71F0000}"/>
    <cellStyle name="Normal 18 2 51 2" xfId="17612" xr:uid="{00000000-0005-0000-0000-0000C81F0000}"/>
    <cellStyle name="Normal 18 2 52" xfId="5572" xr:uid="{00000000-0005-0000-0000-0000C91F0000}"/>
    <cellStyle name="Normal 18 2 52 2" xfId="17613" xr:uid="{00000000-0005-0000-0000-0000CA1F0000}"/>
    <cellStyle name="Normal 18 2 53" xfId="5573" xr:uid="{00000000-0005-0000-0000-0000CB1F0000}"/>
    <cellStyle name="Normal 18 2 53 2" xfId="17614" xr:uid="{00000000-0005-0000-0000-0000CC1F0000}"/>
    <cellStyle name="Normal 18 2 54" xfId="5574" xr:uid="{00000000-0005-0000-0000-0000CD1F0000}"/>
    <cellStyle name="Normal 18 2 54 2" xfId="17615" xr:uid="{00000000-0005-0000-0000-0000CE1F0000}"/>
    <cellStyle name="Normal 18 2 55" xfId="5575" xr:uid="{00000000-0005-0000-0000-0000CF1F0000}"/>
    <cellStyle name="Normal 18 2 55 2" xfId="17616" xr:uid="{00000000-0005-0000-0000-0000D01F0000}"/>
    <cellStyle name="Normal 18 2 56" xfId="5576" xr:uid="{00000000-0005-0000-0000-0000D11F0000}"/>
    <cellStyle name="Normal 18 2 56 2" xfId="17617" xr:uid="{00000000-0005-0000-0000-0000D21F0000}"/>
    <cellStyle name="Normal 18 2 57" xfId="5577" xr:uid="{00000000-0005-0000-0000-0000D31F0000}"/>
    <cellStyle name="Normal 18 2 57 2" xfId="17618" xr:uid="{00000000-0005-0000-0000-0000D41F0000}"/>
    <cellStyle name="Normal 18 2 58" xfId="5578" xr:uid="{00000000-0005-0000-0000-0000D51F0000}"/>
    <cellStyle name="Normal 18 2 58 2" xfId="17619" xr:uid="{00000000-0005-0000-0000-0000D61F0000}"/>
    <cellStyle name="Normal 18 2 59" xfId="5579" xr:uid="{00000000-0005-0000-0000-0000D71F0000}"/>
    <cellStyle name="Normal 18 2 59 2" xfId="17620" xr:uid="{00000000-0005-0000-0000-0000D81F0000}"/>
    <cellStyle name="Normal 18 2 6" xfId="5580" xr:uid="{00000000-0005-0000-0000-0000D91F0000}"/>
    <cellStyle name="Normal 18 2 6 2" xfId="17621" xr:uid="{00000000-0005-0000-0000-0000DA1F0000}"/>
    <cellStyle name="Normal 18 2 60" xfId="5581" xr:uid="{00000000-0005-0000-0000-0000DB1F0000}"/>
    <cellStyle name="Normal 18 2 60 2" xfId="17622" xr:uid="{00000000-0005-0000-0000-0000DC1F0000}"/>
    <cellStyle name="Normal 18 2 61" xfId="5582" xr:uid="{00000000-0005-0000-0000-0000DD1F0000}"/>
    <cellStyle name="Normal 18 2 61 2" xfId="17623" xr:uid="{00000000-0005-0000-0000-0000DE1F0000}"/>
    <cellStyle name="Normal 18 2 62" xfId="5583" xr:uid="{00000000-0005-0000-0000-0000DF1F0000}"/>
    <cellStyle name="Normal 18 2 62 2" xfId="17624" xr:uid="{00000000-0005-0000-0000-0000E01F0000}"/>
    <cellStyle name="Normal 18 2 63" xfId="5584" xr:uid="{00000000-0005-0000-0000-0000E11F0000}"/>
    <cellStyle name="Normal 18 2 63 2" xfId="17625" xr:uid="{00000000-0005-0000-0000-0000E21F0000}"/>
    <cellStyle name="Normal 18 2 64" xfId="5585" xr:uid="{00000000-0005-0000-0000-0000E31F0000}"/>
    <cellStyle name="Normal 18 2 64 2" xfId="17626" xr:uid="{00000000-0005-0000-0000-0000E41F0000}"/>
    <cellStyle name="Normal 18 2 65" xfId="5586" xr:uid="{00000000-0005-0000-0000-0000E51F0000}"/>
    <cellStyle name="Normal 18 2 65 2" xfId="17627" xr:uid="{00000000-0005-0000-0000-0000E61F0000}"/>
    <cellStyle name="Normal 18 2 66" xfId="5587" xr:uid="{00000000-0005-0000-0000-0000E71F0000}"/>
    <cellStyle name="Normal 18 2 66 2" xfId="17628" xr:uid="{00000000-0005-0000-0000-0000E81F0000}"/>
    <cellStyle name="Normal 18 2 67" xfId="5588" xr:uid="{00000000-0005-0000-0000-0000E91F0000}"/>
    <cellStyle name="Normal 18 2 67 2" xfId="17629" xr:uid="{00000000-0005-0000-0000-0000EA1F0000}"/>
    <cellStyle name="Normal 18 2 68" xfId="5589" xr:uid="{00000000-0005-0000-0000-0000EB1F0000}"/>
    <cellStyle name="Normal 18 2 68 2" xfId="17630" xr:uid="{00000000-0005-0000-0000-0000EC1F0000}"/>
    <cellStyle name="Normal 18 2 69" xfId="5590" xr:uid="{00000000-0005-0000-0000-0000ED1F0000}"/>
    <cellStyle name="Normal 18 2 69 2" xfId="17631" xr:uid="{00000000-0005-0000-0000-0000EE1F0000}"/>
    <cellStyle name="Normal 18 2 7" xfId="5591" xr:uid="{00000000-0005-0000-0000-0000EF1F0000}"/>
    <cellStyle name="Normal 18 2 7 2" xfId="17632" xr:uid="{00000000-0005-0000-0000-0000F01F0000}"/>
    <cellStyle name="Normal 18 2 70" xfId="5592" xr:uid="{00000000-0005-0000-0000-0000F11F0000}"/>
    <cellStyle name="Normal 18 2 70 2" xfId="17633" xr:uid="{00000000-0005-0000-0000-0000F21F0000}"/>
    <cellStyle name="Normal 18 2 71" xfId="5593" xr:uid="{00000000-0005-0000-0000-0000F31F0000}"/>
    <cellStyle name="Normal 18 2 71 2" xfId="17634" xr:uid="{00000000-0005-0000-0000-0000F41F0000}"/>
    <cellStyle name="Normal 18 2 72" xfId="5594" xr:uid="{00000000-0005-0000-0000-0000F51F0000}"/>
    <cellStyle name="Normal 18 2 72 2" xfId="17635" xr:uid="{00000000-0005-0000-0000-0000F61F0000}"/>
    <cellStyle name="Normal 18 2 73" xfId="5595" xr:uid="{00000000-0005-0000-0000-0000F71F0000}"/>
    <cellStyle name="Normal 18 2 73 2" xfId="17636" xr:uid="{00000000-0005-0000-0000-0000F81F0000}"/>
    <cellStyle name="Normal 18 2 74" xfId="5596" xr:uid="{00000000-0005-0000-0000-0000F91F0000}"/>
    <cellStyle name="Normal 18 2 74 2" xfId="17637" xr:uid="{00000000-0005-0000-0000-0000FA1F0000}"/>
    <cellStyle name="Normal 18 2 75" xfId="5597" xr:uid="{00000000-0005-0000-0000-0000FB1F0000}"/>
    <cellStyle name="Normal 18 2 75 2" xfId="17638" xr:uid="{00000000-0005-0000-0000-0000FC1F0000}"/>
    <cellStyle name="Normal 18 2 76" xfId="5598" xr:uid="{00000000-0005-0000-0000-0000FD1F0000}"/>
    <cellStyle name="Normal 18 2 76 2" xfId="17639" xr:uid="{00000000-0005-0000-0000-0000FE1F0000}"/>
    <cellStyle name="Normal 18 2 77" xfId="5599" xr:uid="{00000000-0005-0000-0000-0000FF1F0000}"/>
    <cellStyle name="Normal 18 2 77 2" xfId="17640" xr:uid="{00000000-0005-0000-0000-000000200000}"/>
    <cellStyle name="Normal 18 2 78" xfId="5600" xr:uid="{00000000-0005-0000-0000-000001200000}"/>
    <cellStyle name="Normal 18 2 78 2" xfId="17641" xr:uid="{00000000-0005-0000-0000-000002200000}"/>
    <cellStyle name="Normal 18 2 79" xfId="5601" xr:uid="{00000000-0005-0000-0000-000003200000}"/>
    <cellStyle name="Normal 18 2 79 2" xfId="17642" xr:uid="{00000000-0005-0000-0000-000004200000}"/>
    <cellStyle name="Normal 18 2 8" xfId="5602" xr:uid="{00000000-0005-0000-0000-000005200000}"/>
    <cellStyle name="Normal 18 2 8 2" xfId="17643" xr:uid="{00000000-0005-0000-0000-000006200000}"/>
    <cellStyle name="Normal 18 2 80" xfId="17566" xr:uid="{00000000-0005-0000-0000-000007200000}"/>
    <cellStyle name="Normal 18 2 9" xfId="5603" xr:uid="{00000000-0005-0000-0000-000008200000}"/>
    <cellStyle name="Normal 18 2 9 2" xfId="17644" xr:uid="{00000000-0005-0000-0000-000009200000}"/>
    <cellStyle name="Normal 18 20" xfId="5604" xr:uid="{00000000-0005-0000-0000-00000A200000}"/>
    <cellStyle name="Normal 18 20 2" xfId="17645" xr:uid="{00000000-0005-0000-0000-00000B200000}"/>
    <cellStyle name="Normal 18 21" xfId="5605" xr:uid="{00000000-0005-0000-0000-00000C200000}"/>
    <cellStyle name="Normal 18 21 2" xfId="17646" xr:uid="{00000000-0005-0000-0000-00000D200000}"/>
    <cellStyle name="Normal 18 22" xfId="5606" xr:uid="{00000000-0005-0000-0000-00000E200000}"/>
    <cellStyle name="Normal 18 22 2" xfId="17647" xr:uid="{00000000-0005-0000-0000-00000F200000}"/>
    <cellStyle name="Normal 18 23" xfId="5607" xr:uid="{00000000-0005-0000-0000-000010200000}"/>
    <cellStyle name="Normal 18 23 2" xfId="17648" xr:uid="{00000000-0005-0000-0000-000011200000}"/>
    <cellStyle name="Normal 18 24" xfId="5608" xr:uid="{00000000-0005-0000-0000-000012200000}"/>
    <cellStyle name="Normal 18 24 2" xfId="17649" xr:uid="{00000000-0005-0000-0000-000013200000}"/>
    <cellStyle name="Normal 18 25" xfId="5609" xr:uid="{00000000-0005-0000-0000-000014200000}"/>
    <cellStyle name="Normal 18 25 2" xfId="17650" xr:uid="{00000000-0005-0000-0000-000015200000}"/>
    <cellStyle name="Normal 18 26" xfId="5610" xr:uid="{00000000-0005-0000-0000-000016200000}"/>
    <cellStyle name="Normal 18 26 2" xfId="17651" xr:uid="{00000000-0005-0000-0000-000017200000}"/>
    <cellStyle name="Normal 18 27" xfId="5611" xr:uid="{00000000-0005-0000-0000-000018200000}"/>
    <cellStyle name="Normal 18 27 2" xfId="17652" xr:uid="{00000000-0005-0000-0000-000019200000}"/>
    <cellStyle name="Normal 18 28" xfId="5612" xr:uid="{00000000-0005-0000-0000-00001A200000}"/>
    <cellStyle name="Normal 18 28 2" xfId="17653" xr:uid="{00000000-0005-0000-0000-00001B200000}"/>
    <cellStyle name="Normal 18 29" xfId="5613" xr:uid="{00000000-0005-0000-0000-00001C200000}"/>
    <cellStyle name="Normal 18 29 2" xfId="17654" xr:uid="{00000000-0005-0000-0000-00001D200000}"/>
    <cellStyle name="Normal 18 3" xfId="5614" xr:uid="{00000000-0005-0000-0000-00001E200000}"/>
    <cellStyle name="Normal 18 3 10" xfId="5615" xr:uid="{00000000-0005-0000-0000-00001F200000}"/>
    <cellStyle name="Normal 18 3 10 2" xfId="17656" xr:uid="{00000000-0005-0000-0000-000020200000}"/>
    <cellStyle name="Normal 18 3 11" xfId="5616" xr:uid="{00000000-0005-0000-0000-000021200000}"/>
    <cellStyle name="Normal 18 3 11 2" xfId="17657" xr:uid="{00000000-0005-0000-0000-000022200000}"/>
    <cellStyle name="Normal 18 3 12" xfId="5617" xr:uid="{00000000-0005-0000-0000-000023200000}"/>
    <cellStyle name="Normal 18 3 12 2" xfId="17658" xr:uid="{00000000-0005-0000-0000-000024200000}"/>
    <cellStyle name="Normal 18 3 13" xfId="5618" xr:uid="{00000000-0005-0000-0000-000025200000}"/>
    <cellStyle name="Normal 18 3 13 2" xfId="17659" xr:uid="{00000000-0005-0000-0000-000026200000}"/>
    <cellStyle name="Normal 18 3 14" xfId="5619" xr:uid="{00000000-0005-0000-0000-000027200000}"/>
    <cellStyle name="Normal 18 3 14 2" xfId="17660" xr:uid="{00000000-0005-0000-0000-000028200000}"/>
    <cellStyle name="Normal 18 3 15" xfId="5620" xr:uid="{00000000-0005-0000-0000-000029200000}"/>
    <cellStyle name="Normal 18 3 15 2" xfId="17661" xr:uid="{00000000-0005-0000-0000-00002A200000}"/>
    <cellStyle name="Normal 18 3 16" xfId="5621" xr:uid="{00000000-0005-0000-0000-00002B200000}"/>
    <cellStyle name="Normal 18 3 16 2" xfId="17662" xr:uid="{00000000-0005-0000-0000-00002C200000}"/>
    <cellStyle name="Normal 18 3 17" xfId="5622" xr:uid="{00000000-0005-0000-0000-00002D200000}"/>
    <cellStyle name="Normal 18 3 17 2" xfId="17663" xr:uid="{00000000-0005-0000-0000-00002E200000}"/>
    <cellStyle name="Normal 18 3 18" xfId="5623" xr:uid="{00000000-0005-0000-0000-00002F200000}"/>
    <cellStyle name="Normal 18 3 18 2" xfId="17664" xr:uid="{00000000-0005-0000-0000-000030200000}"/>
    <cellStyle name="Normal 18 3 19" xfId="5624" xr:uid="{00000000-0005-0000-0000-000031200000}"/>
    <cellStyle name="Normal 18 3 19 2" xfId="17665" xr:uid="{00000000-0005-0000-0000-000032200000}"/>
    <cellStyle name="Normal 18 3 2" xfId="5625" xr:uid="{00000000-0005-0000-0000-000033200000}"/>
    <cellStyle name="Normal 18 3 2 2" xfId="17666" xr:uid="{00000000-0005-0000-0000-000034200000}"/>
    <cellStyle name="Normal 18 3 20" xfId="5626" xr:uid="{00000000-0005-0000-0000-000035200000}"/>
    <cellStyle name="Normal 18 3 20 2" xfId="17667" xr:uid="{00000000-0005-0000-0000-000036200000}"/>
    <cellStyle name="Normal 18 3 21" xfId="5627" xr:uid="{00000000-0005-0000-0000-000037200000}"/>
    <cellStyle name="Normal 18 3 21 2" xfId="17668" xr:uid="{00000000-0005-0000-0000-000038200000}"/>
    <cellStyle name="Normal 18 3 22" xfId="5628" xr:uid="{00000000-0005-0000-0000-000039200000}"/>
    <cellStyle name="Normal 18 3 22 2" xfId="17669" xr:uid="{00000000-0005-0000-0000-00003A200000}"/>
    <cellStyle name="Normal 18 3 23" xfId="5629" xr:uid="{00000000-0005-0000-0000-00003B200000}"/>
    <cellStyle name="Normal 18 3 23 2" xfId="17670" xr:uid="{00000000-0005-0000-0000-00003C200000}"/>
    <cellStyle name="Normal 18 3 24" xfId="5630" xr:uid="{00000000-0005-0000-0000-00003D200000}"/>
    <cellStyle name="Normal 18 3 24 2" xfId="17671" xr:uid="{00000000-0005-0000-0000-00003E200000}"/>
    <cellStyle name="Normal 18 3 25" xfId="5631" xr:uid="{00000000-0005-0000-0000-00003F200000}"/>
    <cellStyle name="Normal 18 3 25 2" xfId="17672" xr:uid="{00000000-0005-0000-0000-000040200000}"/>
    <cellStyle name="Normal 18 3 26" xfId="5632" xr:uid="{00000000-0005-0000-0000-000041200000}"/>
    <cellStyle name="Normal 18 3 26 2" xfId="17673" xr:uid="{00000000-0005-0000-0000-000042200000}"/>
    <cellStyle name="Normal 18 3 27" xfId="5633" xr:uid="{00000000-0005-0000-0000-000043200000}"/>
    <cellStyle name="Normal 18 3 27 2" xfId="17674" xr:uid="{00000000-0005-0000-0000-000044200000}"/>
    <cellStyle name="Normal 18 3 28" xfId="5634" xr:uid="{00000000-0005-0000-0000-000045200000}"/>
    <cellStyle name="Normal 18 3 28 2" xfId="17675" xr:uid="{00000000-0005-0000-0000-000046200000}"/>
    <cellStyle name="Normal 18 3 29" xfId="5635" xr:uid="{00000000-0005-0000-0000-000047200000}"/>
    <cellStyle name="Normal 18 3 29 2" xfId="17676" xr:uid="{00000000-0005-0000-0000-000048200000}"/>
    <cellStyle name="Normal 18 3 3" xfId="5636" xr:uid="{00000000-0005-0000-0000-000049200000}"/>
    <cellStyle name="Normal 18 3 3 2" xfId="17677" xr:uid="{00000000-0005-0000-0000-00004A200000}"/>
    <cellStyle name="Normal 18 3 30" xfId="5637" xr:uid="{00000000-0005-0000-0000-00004B200000}"/>
    <cellStyle name="Normal 18 3 30 2" xfId="17678" xr:uid="{00000000-0005-0000-0000-00004C200000}"/>
    <cellStyle name="Normal 18 3 31" xfId="5638" xr:uid="{00000000-0005-0000-0000-00004D200000}"/>
    <cellStyle name="Normal 18 3 31 2" xfId="17679" xr:uid="{00000000-0005-0000-0000-00004E200000}"/>
    <cellStyle name="Normal 18 3 32" xfId="5639" xr:uid="{00000000-0005-0000-0000-00004F200000}"/>
    <cellStyle name="Normal 18 3 32 2" xfId="17680" xr:uid="{00000000-0005-0000-0000-000050200000}"/>
    <cellStyle name="Normal 18 3 33" xfId="5640" xr:uid="{00000000-0005-0000-0000-000051200000}"/>
    <cellStyle name="Normal 18 3 33 2" xfId="17681" xr:uid="{00000000-0005-0000-0000-000052200000}"/>
    <cellStyle name="Normal 18 3 34" xfId="5641" xr:uid="{00000000-0005-0000-0000-000053200000}"/>
    <cellStyle name="Normal 18 3 34 2" xfId="17682" xr:uid="{00000000-0005-0000-0000-000054200000}"/>
    <cellStyle name="Normal 18 3 35" xfId="5642" xr:uid="{00000000-0005-0000-0000-000055200000}"/>
    <cellStyle name="Normal 18 3 35 2" xfId="17683" xr:uid="{00000000-0005-0000-0000-000056200000}"/>
    <cellStyle name="Normal 18 3 36" xfId="5643" xr:uid="{00000000-0005-0000-0000-000057200000}"/>
    <cellStyle name="Normal 18 3 36 2" xfId="17684" xr:uid="{00000000-0005-0000-0000-000058200000}"/>
    <cellStyle name="Normal 18 3 37" xfId="5644" xr:uid="{00000000-0005-0000-0000-000059200000}"/>
    <cellStyle name="Normal 18 3 37 2" xfId="17685" xr:uid="{00000000-0005-0000-0000-00005A200000}"/>
    <cellStyle name="Normal 18 3 38" xfId="5645" xr:uid="{00000000-0005-0000-0000-00005B200000}"/>
    <cellStyle name="Normal 18 3 38 2" xfId="17686" xr:uid="{00000000-0005-0000-0000-00005C200000}"/>
    <cellStyle name="Normal 18 3 39" xfId="5646" xr:uid="{00000000-0005-0000-0000-00005D200000}"/>
    <cellStyle name="Normal 18 3 39 2" xfId="17687" xr:uid="{00000000-0005-0000-0000-00005E200000}"/>
    <cellStyle name="Normal 18 3 4" xfId="5647" xr:uid="{00000000-0005-0000-0000-00005F200000}"/>
    <cellStyle name="Normal 18 3 4 2" xfId="17688" xr:uid="{00000000-0005-0000-0000-000060200000}"/>
    <cellStyle name="Normal 18 3 40" xfId="5648" xr:uid="{00000000-0005-0000-0000-000061200000}"/>
    <cellStyle name="Normal 18 3 40 2" xfId="17689" xr:uid="{00000000-0005-0000-0000-000062200000}"/>
    <cellStyle name="Normal 18 3 41" xfId="5649" xr:uid="{00000000-0005-0000-0000-000063200000}"/>
    <cellStyle name="Normal 18 3 41 2" xfId="17690" xr:uid="{00000000-0005-0000-0000-000064200000}"/>
    <cellStyle name="Normal 18 3 42" xfId="5650" xr:uid="{00000000-0005-0000-0000-000065200000}"/>
    <cellStyle name="Normal 18 3 42 2" xfId="17691" xr:uid="{00000000-0005-0000-0000-000066200000}"/>
    <cellStyle name="Normal 18 3 43" xfId="5651" xr:uid="{00000000-0005-0000-0000-000067200000}"/>
    <cellStyle name="Normal 18 3 43 2" xfId="17692" xr:uid="{00000000-0005-0000-0000-000068200000}"/>
    <cellStyle name="Normal 18 3 44" xfId="5652" xr:uid="{00000000-0005-0000-0000-000069200000}"/>
    <cellStyle name="Normal 18 3 44 2" xfId="17693" xr:uid="{00000000-0005-0000-0000-00006A200000}"/>
    <cellStyle name="Normal 18 3 45" xfId="5653" xr:uid="{00000000-0005-0000-0000-00006B200000}"/>
    <cellStyle name="Normal 18 3 45 2" xfId="17694" xr:uid="{00000000-0005-0000-0000-00006C200000}"/>
    <cellStyle name="Normal 18 3 46" xfId="5654" xr:uid="{00000000-0005-0000-0000-00006D200000}"/>
    <cellStyle name="Normal 18 3 46 2" xfId="17695" xr:uid="{00000000-0005-0000-0000-00006E200000}"/>
    <cellStyle name="Normal 18 3 47" xfId="5655" xr:uid="{00000000-0005-0000-0000-00006F200000}"/>
    <cellStyle name="Normal 18 3 47 2" xfId="17696" xr:uid="{00000000-0005-0000-0000-000070200000}"/>
    <cellStyle name="Normal 18 3 48" xfId="5656" xr:uid="{00000000-0005-0000-0000-000071200000}"/>
    <cellStyle name="Normal 18 3 48 2" xfId="17697" xr:uid="{00000000-0005-0000-0000-000072200000}"/>
    <cellStyle name="Normal 18 3 49" xfId="5657" xr:uid="{00000000-0005-0000-0000-000073200000}"/>
    <cellStyle name="Normal 18 3 49 2" xfId="17698" xr:uid="{00000000-0005-0000-0000-000074200000}"/>
    <cellStyle name="Normal 18 3 5" xfId="5658" xr:uid="{00000000-0005-0000-0000-000075200000}"/>
    <cellStyle name="Normal 18 3 5 2" xfId="17699" xr:uid="{00000000-0005-0000-0000-000076200000}"/>
    <cellStyle name="Normal 18 3 50" xfId="5659" xr:uid="{00000000-0005-0000-0000-000077200000}"/>
    <cellStyle name="Normal 18 3 50 2" xfId="17700" xr:uid="{00000000-0005-0000-0000-000078200000}"/>
    <cellStyle name="Normal 18 3 51" xfId="5660" xr:uid="{00000000-0005-0000-0000-000079200000}"/>
    <cellStyle name="Normal 18 3 51 2" xfId="17701" xr:uid="{00000000-0005-0000-0000-00007A200000}"/>
    <cellStyle name="Normal 18 3 52" xfId="5661" xr:uid="{00000000-0005-0000-0000-00007B200000}"/>
    <cellStyle name="Normal 18 3 52 2" xfId="17702" xr:uid="{00000000-0005-0000-0000-00007C200000}"/>
    <cellStyle name="Normal 18 3 53" xfId="5662" xr:uid="{00000000-0005-0000-0000-00007D200000}"/>
    <cellStyle name="Normal 18 3 53 2" xfId="17703" xr:uid="{00000000-0005-0000-0000-00007E200000}"/>
    <cellStyle name="Normal 18 3 54" xfId="5663" xr:uid="{00000000-0005-0000-0000-00007F200000}"/>
    <cellStyle name="Normal 18 3 54 2" xfId="17704" xr:uid="{00000000-0005-0000-0000-000080200000}"/>
    <cellStyle name="Normal 18 3 55" xfId="5664" xr:uid="{00000000-0005-0000-0000-000081200000}"/>
    <cellStyle name="Normal 18 3 55 2" xfId="17705" xr:uid="{00000000-0005-0000-0000-000082200000}"/>
    <cellStyle name="Normal 18 3 56" xfId="5665" xr:uid="{00000000-0005-0000-0000-000083200000}"/>
    <cellStyle name="Normal 18 3 56 2" xfId="17706" xr:uid="{00000000-0005-0000-0000-000084200000}"/>
    <cellStyle name="Normal 18 3 57" xfId="5666" xr:uid="{00000000-0005-0000-0000-000085200000}"/>
    <cellStyle name="Normal 18 3 57 2" xfId="17707" xr:uid="{00000000-0005-0000-0000-000086200000}"/>
    <cellStyle name="Normal 18 3 58" xfId="5667" xr:uid="{00000000-0005-0000-0000-000087200000}"/>
    <cellStyle name="Normal 18 3 58 2" xfId="17708" xr:uid="{00000000-0005-0000-0000-000088200000}"/>
    <cellStyle name="Normal 18 3 59" xfId="5668" xr:uid="{00000000-0005-0000-0000-000089200000}"/>
    <cellStyle name="Normal 18 3 59 2" xfId="17709" xr:uid="{00000000-0005-0000-0000-00008A200000}"/>
    <cellStyle name="Normal 18 3 6" xfId="5669" xr:uid="{00000000-0005-0000-0000-00008B200000}"/>
    <cellStyle name="Normal 18 3 6 2" xfId="17710" xr:uid="{00000000-0005-0000-0000-00008C200000}"/>
    <cellStyle name="Normal 18 3 60" xfId="5670" xr:uid="{00000000-0005-0000-0000-00008D200000}"/>
    <cellStyle name="Normal 18 3 60 2" xfId="17711" xr:uid="{00000000-0005-0000-0000-00008E200000}"/>
    <cellStyle name="Normal 18 3 61" xfId="5671" xr:uid="{00000000-0005-0000-0000-00008F200000}"/>
    <cellStyle name="Normal 18 3 61 2" xfId="17712" xr:uid="{00000000-0005-0000-0000-000090200000}"/>
    <cellStyle name="Normal 18 3 62" xfId="5672" xr:uid="{00000000-0005-0000-0000-000091200000}"/>
    <cellStyle name="Normal 18 3 62 2" xfId="17713" xr:uid="{00000000-0005-0000-0000-000092200000}"/>
    <cellStyle name="Normal 18 3 63" xfId="5673" xr:uid="{00000000-0005-0000-0000-000093200000}"/>
    <cellStyle name="Normal 18 3 63 2" xfId="17714" xr:uid="{00000000-0005-0000-0000-000094200000}"/>
    <cellStyle name="Normal 18 3 64" xfId="5674" xr:uid="{00000000-0005-0000-0000-000095200000}"/>
    <cellStyle name="Normal 18 3 64 2" xfId="17715" xr:uid="{00000000-0005-0000-0000-000096200000}"/>
    <cellStyle name="Normal 18 3 65" xfId="5675" xr:uid="{00000000-0005-0000-0000-000097200000}"/>
    <cellStyle name="Normal 18 3 65 2" xfId="17716" xr:uid="{00000000-0005-0000-0000-000098200000}"/>
    <cellStyle name="Normal 18 3 66" xfId="5676" xr:uid="{00000000-0005-0000-0000-000099200000}"/>
    <cellStyle name="Normal 18 3 66 2" xfId="17717" xr:uid="{00000000-0005-0000-0000-00009A200000}"/>
    <cellStyle name="Normal 18 3 67" xfId="5677" xr:uid="{00000000-0005-0000-0000-00009B200000}"/>
    <cellStyle name="Normal 18 3 67 2" xfId="17718" xr:uid="{00000000-0005-0000-0000-00009C200000}"/>
    <cellStyle name="Normal 18 3 68" xfId="5678" xr:uid="{00000000-0005-0000-0000-00009D200000}"/>
    <cellStyle name="Normal 18 3 68 2" xfId="17719" xr:uid="{00000000-0005-0000-0000-00009E200000}"/>
    <cellStyle name="Normal 18 3 69" xfId="5679" xr:uid="{00000000-0005-0000-0000-00009F200000}"/>
    <cellStyle name="Normal 18 3 69 2" xfId="17720" xr:uid="{00000000-0005-0000-0000-0000A0200000}"/>
    <cellStyle name="Normal 18 3 7" xfId="5680" xr:uid="{00000000-0005-0000-0000-0000A1200000}"/>
    <cellStyle name="Normal 18 3 7 2" xfId="17721" xr:uid="{00000000-0005-0000-0000-0000A2200000}"/>
    <cellStyle name="Normal 18 3 70" xfId="5681" xr:uid="{00000000-0005-0000-0000-0000A3200000}"/>
    <cellStyle name="Normal 18 3 70 2" xfId="17722" xr:uid="{00000000-0005-0000-0000-0000A4200000}"/>
    <cellStyle name="Normal 18 3 71" xfId="5682" xr:uid="{00000000-0005-0000-0000-0000A5200000}"/>
    <cellStyle name="Normal 18 3 71 2" xfId="17723" xr:uid="{00000000-0005-0000-0000-0000A6200000}"/>
    <cellStyle name="Normal 18 3 72" xfId="5683" xr:uid="{00000000-0005-0000-0000-0000A7200000}"/>
    <cellStyle name="Normal 18 3 72 2" xfId="17724" xr:uid="{00000000-0005-0000-0000-0000A8200000}"/>
    <cellStyle name="Normal 18 3 73" xfId="5684" xr:uid="{00000000-0005-0000-0000-0000A9200000}"/>
    <cellStyle name="Normal 18 3 73 2" xfId="17725" xr:uid="{00000000-0005-0000-0000-0000AA200000}"/>
    <cellStyle name="Normal 18 3 74" xfId="5685" xr:uid="{00000000-0005-0000-0000-0000AB200000}"/>
    <cellStyle name="Normal 18 3 74 2" xfId="17726" xr:uid="{00000000-0005-0000-0000-0000AC200000}"/>
    <cellStyle name="Normal 18 3 75" xfId="5686" xr:uid="{00000000-0005-0000-0000-0000AD200000}"/>
    <cellStyle name="Normal 18 3 75 2" xfId="17727" xr:uid="{00000000-0005-0000-0000-0000AE200000}"/>
    <cellStyle name="Normal 18 3 76" xfId="5687" xr:uid="{00000000-0005-0000-0000-0000AF200000}"/>
    <cellStyle name="Normal 18 3 76 2" xfId="17728" xr:uid="{00000000-0005-0000-0000-0000B0200000}"/>
    <cellStyle name="Normal 18 3 77" xfId="5688" xr:uid="{00000000-0005-0000-0000-0000B1200000}"/>
    <cellStyle name="Normal 18 3 77 2" xfId="17729" xr:uid="{00000000-0005-0000-0000-0000B2200000}"/>
    <cellStyle name="Normal 18 3 78" xfId="5689" xr:uid="{00000000-0005-0000-0000-0000B3200000}"/>
    <cellStyle name="Normal 18 3 78 2" xfId="17730" xr:uid="{00000000-0005-0000-0000-0000B4200000}"/>
    <cellStyle name="Normal 18 3 79" xfId="5690" xr:uid="{00000000-0005-0000-0000-0000B5200000}"/>
    <cellStyle name="Normal 18 3 79 2" xfId="17731" xr:uid="{00000000-0005-0000-0000-0000B6200000}"/>
    <cellStyle name="Normal 18 3 8" xfId="5691" xr:uid="{00000000-0005-0000-0000-0000B7200000}"/>
    <cellStyle name="Normal 18 3 8 2" xfId="17732" xr:uid="{00000000-0005-0000-0000-0000B8200000}"/>
    <cellStyle name="Normal 18 3 80" xfId="17655" xr:uid="{00000000-0005-0000-0000-0000B9200000}"/>
    <cellStyle name="Normal 18 3 9" xfId="5692" xr:uid="{00000000-0005-0000-0000-0000BA200000}"/>
    <cellStyle name="Normal 18 3 9 2" xfId="17733" xr:uid="{00000000-0005-0000-0000-0000BB200000}"/>
    <cellStyle name="Normal 18 30" xfId="5693" xr:uid="{00000000-0005-0000-0000-0000BC200000}"/>
    <cellStyle name="Normal 18 30 2" xfId="17734" xr:uid="{00000000-0005-0000-0000-0000BD200000}"/>
    <cellStyle name="Normal 18 31" xfId="5694" xr:uid="{00000000-0005-0000-0000-0000BE200000}"/>
    <cellStyle name="Normal 18 31 2" xfId="17735" xr:uid="{00000000-0005-0000-0000-0000BF200000}"/>
    <cellStyle name="Normal 18 32" xfId="5695" xr:uid="{00000000-0005-0000-0000-0000C0200000}"/>
    <cellStyle name="Normal 18 32 2" xfId="17736" xr:uid="{00000000-0005-0000-0000-0000C1200000}"/>
    <cellStyle name="Normal 18 33" xfId="5696" xr:uid="{00000000-0005-0000-0000-0000C2200000}"/>
    <cellStyle name="Normal 18 33 2" xfId="17737" xr:uid="{00000000-0005-0000-0000-0000C3200000}"/>
    <cellStyle name="Normal 18 34" xfId="5697" xr:uid="{00000000-0005-0000-0000-0000C4200000}"/>
    <cellStyle name="Normal 18 34 2" xfId="17738" xr:uid="{00000000-0005-0000-0000-0000C5200000}"/>
    <cellStyle name="Normal 18 35" xfId="5698" xr:uid="{00000000-0005-0000-0000-0000C6200000}"/>
    <cellStyle name="Normal 18 35 2" xfId="17739" xr:uid="{00000000-0005-0000-0000-0000C7200000}"/>
    <cellStyle name="Normal 18 36" xfId="5699" xr:uid="{00000000-0005-0000-0000-0000C8200000}"/>
    <cellStyle name="Normal 18 36 2" xfId="17740" xr:uid="{00000000-0005-0000-0000-0000C9200000}"/>
    <cellStyle name="Normal 18 37" xfId="5700" xr:uid="{00000000-0005-0000-0000-0000CA200000}"/>
    <cellStyle name="Normal 18 37 2" xfId="17741" xr:uid="{00000000-0005-0000-0000-0000CB200000}"/>
    <cellStyle name="Normal 18 38" xfId="5701" xr:uid="{00000000-0005-0000-0000-0000CC200000}"/>
    <cellStyle name="Normal 18 38 2" xfId="17742" xr:uid="{00000000-0005-0000-0000-0000CD200000}"/>
    <cellStyle name="Normal 18 39" xfId="5702" xr:uid="{00000000-0005-0000-0000-0000CE200000}"/>
    <cellStyle name="Normal 18 39 2" xfId="17743" xr:uid="{00000000-0005-0000-0000-0000CF200000}"/>
    <cellStyle name="Normal 18 4" xfId="5703" xr:uid="{00000000-0005-0000-0000-0000D0200000}"/>
    <cellStyle name="Normal 18 4 10" xfId="5704" xr:uid="{00000000-0005-0000-0000-0000D1200000}"/>
    <cellStyle name="Normal 18 4 10 2" xfId="17745" xr:uid="{00000000-0005-0000-0000-0000D2200000}"/>
    <cellStyle name="Normal 18 4 11" xfId="5705" xr:uid="{00000000-0005-0000-0000-0000D3200000}"/>
    <cellStyle name="Normal 18 4 11 2" xfId="17746" xr:uid="{00000000-0005-0000-0000-0000D4200000}"/>
    <cellStyle name="Normal 18 4 12" xfId="5706" xr:uid="{00000000-0005-0000-0000-0000D5200000}"/>
    <cellStyle name="Normal 18 4 12 2" xfId="17747" xr:uid="{00000000-0005-0000-0000-0000D6200000}"/>
    <cellStyle name="Normal 18 4 13" xfId="5707" xr:uid="{00000000-0005-0000-0000-0000D7200000}"/>
    <cellStyle name="Normal 18 4 13 2" xfId="17748" xr:uid="{00000000-0005-0000-0000-0000D8200000}"/>
    <cellStyle name="Normal 18 4 14" xfId="5708" xr:uid="{00000000-0005-0000-0000-0000D9200000}"/>
    <cellStyle name="Normal 18 4 14 2" xfId="17749" xr:uid="{00000000-0005-0000-0000-0000DA200000}"/>
    <cellStyle name="Normal 18 4 15" xfId="5709" xr:uid="{00000000-0005-0000-0000-0000DB200000}"/>
    <cellStyle name="Normal 18 4 15 2" xfId="17750" xr:uid="{00000000-0005-0000-0000-0000DC200000}"/>
    <cellStyle name="Normal 18 4 16" xfId="5710" xr:uid="{00000000-0005-0000-0000-0000DD200000}"/>
    <cellStyle name="Normal 18 4 16 2" xfId="17751" xr:uid="{00000000-0005-0000-0000-0000DE200000}"/>
    <cellStyle name="Normal 18 4 17" xfId="5711" xr:uid="{00000000-0005-0000-0000-0000DF200000}"/>
    <cellStyle name="Normal 18 4 17 2" xfId="17752" xr:uid="{00000000-0005-0000-0000-0000E0200000}"/>
    <cellStyle name="Normal 18 4 18" xfId="5712" xr:uid="{00000000-0005-0000-0000-0000E1200000}"/>
    <cellStyle name="Normal 18 4 18 2" xfId="17753" xr:uid="{00000000-0005-0000-0000-0000E2200000}"/>
    <cellStyle name="Normal 18 4 19" xfId="5713" xr:uid="{00000000-0005-0000-0000-0000E3200000}"/>
    <cellStyle name="Normal 18 4 19 2" xfId="17754" xr:uid="{00000000-0005-0000-0000-0000E4200000}"/>
    <cellStyle name="Normal 18 4 2" xfId="5714" xr:uid="{00000000-0005-0000-0000-0000E5200000}"/>
    <cellStyle name="Normal 18 4 2 2" xfId="17755" xr:uid="{00000000-0005-0000-0000-0000E6200000}"/>
    <cellStyle name="Normal 18 4 20" xfId="5715" xr:uid="{00000000-0005-0000-0000-0000E7200000}"/>
    <cellStyle name="Normal 18 4 20 2" xfId="17756" xr:uid="{00000000-0005-0000-0000-0000E8200000}"/>
    <cellStyle name="Normal 18 4 21" xfId="5716" xr:uid="{00000000-0005-0000-0000-0000E9200000}"/>
    <cellStyle name="Normal 18 4 21 2" xfId="17757" xr:uid="{00000000-0005-0000-0000-0000EA200000}"/>
    <cellStyle name="Normal 18 4 22" xfId="5717" xr:uid="{00000000-0005-0000-0000-0000EB200000}"/>
    <cellStyle name="Normal 18 4 22 2" xfId="17758" xr:uid="{00000000-0005-0000-0000-0000EC200000}"/>
    <cellStyle name="Normal 18 4 23" xfId="5718" xr:uid="{00000000-0005-0000-0000-0000ED200000}"/>
    <cellStyle name="Normal 18 4 23 2" xfId="17759" xr:uid="{00000000-0005-0000-0000-0000EE200000}"/>
    <cellStyle name="Normal 18 4 24" xfId="5719" xr:uid="{00000000-0005-0000-0000-0000EF200000}"/>
    <cellStyle name="Normal 18 4 24 2" xfId="17760" xr:uid="{00000000-0005-0000-0000-0000F0200000}"/>
    <cellStyle name="Normal 18 4 25" xfId="5720" xr:uid="{00000000-0005-0000-0000-0000F1200000}"/>
    <cellStyle name="Normal 18 4 25 2" xfId="17761" xr:uid="{00000000-0005-0000-0000-0000F2200000}"/>
    <cellStyle name="Normal 18 4 26" xfId="5721" xr:uid="{00000000-0005-0000-0000-0000F3200000}"/>
    <cellStyle name="Normal 18 4 26 2" xfId="17762" xr:uid="{00000000-0005-0000-0000-0000F4200000}"/>
    <cellStyle name="Normal 18 4 27" xfId="5722" xr:uid="{00000000-0005-0000-0000-0000F5200000}"/>
    <cellStyle name="Normal 18 4 27 2" xfId="17763" xr:uid="{00000000-0005-0000-0000-0000F6200000}"/>
    <cellStyle name="Normal 18 4 28" xfId="5723" xr:uid="{00000000-0005-0000-0000-0000F7200000}"/>
    <cellStyle name="Normal 18 4 28 2" xfId="17764" xr:uid="{00000000-0005-0000-0000-0000F8200000}"/>
    <cellStyle name="Normal 18 4 29" xfId="5724" xr:uid="{00000000-0005-0000-0000-0000F9200000}"/>
    <cellStyle name="Normal 18 4 29 2" xfId="17765" xr:uid="{00000000-0005-0000-0000-0000FA200000}"/>
    <cellStyle name="Normal 18 4 3" xfId="5725" xr:uid="{00000000-0005-0000-0000-0000FB200000}"/>
    <cellStyle name="Normal 18 4 3 2" xfId="17766" xr:uid="{00000000-0005-0000-0000-0000FC200000}"/>
    <cellStyle name="Normal 18 4 30" xfId="5726" xr:uid="{00000000-0005-0000-0000-0000FD200000}"/>
    <cellStyle name="Normal 18 4 30 2" xfId="17767" xr:uid="{00000000-0005-0000-0000-0000FE200000}"/>
    <cellStyle name="Normal 18 4 31" xfId="5727" xr:uid="{00000000-0005-0000-0000-0000FF200000}"/>
    <cellStyle name="Normal 18 4 31 2" xfId="17768" xr:uid="{00000000-0005-0000-0000-000000210000}"/>
    <cellStyle name="Normal 18 4 32" xfId="5728" xr:uid="{00000000-0005-0000-0000-000001210000}"/>
    <cellStyle name="Normal 18 4 32 2" xfId="17769" xr:uid="{00000000-0005-0000-0000-000002210000}"/>
    <cellStyle name="Normal 18 4 33" xfId="5729" xr:uid="{00000000-0005-0000-0000-000003210000}"/>
    <cellStyle name="Normal 18 4 33 2" xfId="17770" xr:uid="{00000000-0005-0000-0000-000004210000}"/>
    <cellStyle name="Normal 18 4 34" xfId="5730" xr:uid="{00000000-0005-0000-0000-000005210000}"/>
    <cellStyle name="Normal 18 4 34 2" xfId="17771" xr:uid="{00000000-0005-0000-0000-000006210000}"/>
    <cellStyle name="Normal 18 4 35" xfId="5731" xr:uid="{00000000-0005-0000-0000-000007210000}"/>
    <cellStyle name="Normal 18 4 35 2" xfId="17772" xr:uid="{00000000-0005-0000-0000-000008210000}"/>
    <cellStyle name="Normal 18 4 36" xfId="5732" xr:uid="{00000000-0005-0000-0000-000009210000}"/>
    <cellStyle name="Normal 18 4 36 2" xfId="17773" xr:uid="{00000000-0005-0000-0000-00000A210000}"/>
    <cellStyle name="Normal 18 4 37" xfId="5733" xr:uid="{00000000-0005-0000-0000-00000B210000}"/>
    <cellStyle name="Normal 18 4 37 2" xfId="17774" xr:uid="{00000000-0005-0000-0000-00000C210000}"/>
    <cellStyle name="Normal 18 4 38" xfId="5734" xr:uid="{00000000-0005-0000-0000-00000D210000}"/>
    <cellStyle name="Normal 18 4 38 2" xfId="17775" xr:uid="{00000000-0005-0000-0000-00000E210000}"/>
    <cellStyle name="Normal 18 4 39" xfId="5735" xr:uid="{00000000-0005-0000-0000-00000F210000}"/>
    <cellStyle name="Normal 18 4 39 2" xfId="17776" xr:uid="{00000000-0005-0000-0000-000010210000}"/>
    <cellStyle name="Normal 18 4 4" xfId="5736" xr:uid="{00000000-0005-0000-0000-000011210000}"/>
    <cellStyle name="Normal 18 4 4 2" xfId="17777" xr:uid="{00000000-0005-0000-0000-000012210000}"/>
    <cellStyle name="Normal 18 4 40" xfId="5737" xr:uid="{00000000-0005-0000-0000-000013210000}"/>
    <cellStyle name="Normal 18 4 40 2" xfId="17778" xr:uid="{00000000-0005-0000-0000-000014210000}"/>
    <cellStyle name="Normal 18 4 41" xfId="5738" xr:uid="{00000000-0005-0000-0000-000015210000}"/>
    <cellStyle name="Normal 18 4 41 2" xfId="17779" xr:uid="{00000000-0005-0000-0000-000016210000}"/>
    <cellStyle name="Normal 18 4 42" xfId="5739" xr:uid="{00000000-0005-0000-0000-000017210000}"/>
    <cellStyle name="Normal 18 4 42 2" xfId="17780" xr:uid="{00000000-0005-0000-0000-000018210000}"/>
    <cellStyle name="Normal 18 4 43" xfId="5740" xr:uid="{00000000-0005-0000-0000-000019210000}"/>
    <cellStyle name="Normal 18 4 43 2" xfId="17781" xr:uid="{00000000-0005-0000-0000-00001A210000}"/>
    <cellStyle name="Normal 18 4 44" xfId="5741" xr:uid="{00000000-0005-0000-0000-00001B210000}"/>
    <cellStyle name="Normal 18 4 44 2" xfId="17782" xr:uid="{00000000-0005-0000-0000-00001C210000}"/>
    <cellStyle name="Normal 18 4 45" xfId="5742" xr:uid="{00000000-0005-0000-0000-00001D210000}"/>
    <cellStyle name="Normal 18 4 45 2" xfId="17783" xr:uid="{00000000-0005-0000-0000-00001E210000}"/>
    <cellStyle name="Normal 18 4 46" xfId="5743" xr:uid="{00000000-0005-0000-0000-00001F210000}"/>
    <cellStyle name="Normal 18 4 46 2" xfId="17784" xr:uid="{00000000-0005-0000-0000-000020210000}"/>
    <cellStyle name="Normal 18 4 47" xfId="5744" xr:uid="{00000000-0005-0000-0000-000021210000}"/>
    <cellStyle name="Normal 18 4 47 2" xfId="17785" xr:uid="{00000000-0005-0000-0000-000022210000}"/>
    <cellStyle name="Normal 18 4 48" xfId="5745" xr:uid="{00000000-0005-0000-0000-000023210000}"/>
    <cellStyle name="Normal 18 4 48 2" xfId="17786" xr:uid="{00000000-0005-0000-0000-000024210000}"/>
    <cellStyle name="Normal 18 4 49" xfId="5746" xr:uid="{00000000-0005-0000-0000-000025210000}"/>
    <cellStyle name="Normal 18 4 49 2" xfId="17787" xr:uid="{00000000-0005-0000-0000-000026210000}"/>
    <cellStyle name="Normal 18 4 5" xfId="5747" xr:uid="{00000000-0005-0000-0000-000027210000}"/>
    <cellStyle name="Normal 18 4 5 2" xfId="17788" xr:uid="{00000000-0005-0000-0000-000028210000}"/>
    <cellStyle name="Normal 18 4 50" xfId="5748" xr:uid="{00000000-0005-0000-0000-000029210000}"/>
    <cellStyle name="Normal 18 4 50 2" xfId="17789" xr:uid="{00000000-0005-0000-0000-00002A210000}"/>
    <cellStyle name="Normal 18 4 51" xfId="5749" xr:uid="{00000000-0005-0000-0000-00002B210000}"/>
    <cellStyle name="Normal 18 4 51 2" xfId="17790" xr:uid="{00000000-0005-0000-0000-00002C210000}"/>
    <cellStyle name="Normal 18 4 52" xfId="5750" xr:uid="{00000000-0005-0000-0000-00002D210000}"/>
    <cellStyle name="Normal 18 4 52 2" xfId="17791" xr:uid="{00000000-0005-0000-0000-00002E210000}"/>
    <cellStyle name="Normal 18 4 53" xfId="5751" xr:uid="{00000000-0005-0000-0000-00002F210000}"/>
    <cellStyle name="Normal 18 4 53 2" xfId="17792" xr:uid="{00000000-0005-0000-0000-000030210000}"/>
    <cellStyle name="Normal 18 4 54" xfId="5752" xr:uid="{00000000-0005-0000-0000-000031210000}"/>
    <cellStyle name="Normal 18 4 54 2" xfId="17793" xr:uid="{00000000-0005-0000-0000-000032210000}"/>
    <cellStyle name="Normal 18 4 55" xfId="5753" xr:uid="{00000000-0005-0000-0000-000033210000}"/>
    <cellStyle name="Normal 18 4 55 2" xfId="17794" xr:uid="{00000000-0005-0000-0000-000034210000}"/>
    <cellStyle name="Normal 18 4 56" xfId="5754" xr:uid="{00000000-0005-0000-0000-000035210000}"/>
    <cellStyle name="Normal 18 4 56 2" xfId="17795" xr:uid="{00000000-0005-0000-0000-000036210000}"/>
    <cellStyle name="Normal 18 4 57" xfId="5755" xr:uid="{00000000-0005-0000-0000-000037210000}"/>
    <cellStyle name="Normal 18 4 57 2" xfId="17796" xr:uid="{00000000-0005-0000-0000-000038210000}"/>
    <cellStyle name="Normal 18 4 58" xfId="5756" xr:uid="{00000000-0005-0000-0000-000039210000}"/>
    <cellStyle name="Normal 18 4 58 2" xfId="17797" xr:uid="{00000000-0005-0000-0000-00003A210000}"/>
    <cellStyle name="Normal 18 4 59" xfId="5757" xr:uid="{00000000-0005-0000-0000-00003B210000}"/>
    <cellStyle name="Normal 18 4 59 2" xfId="17798" xr:uid="{00000000-0005-0000-0000-00003C210000}"/>
    <cellStyle name="Normal 18 4 6" xfId="5758" xr:uid="{00000000-0005-0000-0000-00003D210000}"/>
    <cellStyle name="Normal 18 4 6 2" xfId="17799" xr:uid="{00000000-0005-0000-0000-00003E210000}"/>
    <cellStyle name="Normal 18 4 60" xfId="5759" xr:uid="{00000000-0005-0000-0000-00003F210000}"/>
    <cellStyle name="Normal 18 4 60 2" xfId="17800" xr:uid="{00000000-0005-0000-0000-000040210000}"/>
    <cellStyle name="Normal 18 4 61" xfId="5760" xr:uid="{00000000-0005-0000-0000-000041210000}"/>
    <cellStyle name="Normal 18 4 61 2" xfId="17801" xr:uid="{00000000-0005-0000-0000-000042210000}"/>
    <cellStyle name="Normal 18 4 62" xfId="5761" xr:uid="{00000000-0005-0000-0000-000043210000}"/>
    <cellStyle name="Normal 18 4 62 2" xfId="17802" xr:uid="{00000000-0005-0000-0000-000044210000}"/>
    <cellStyle name="Normal 18 4 63" xfId="5762" xr:uid="{00000000-0005-0000-0000-000045210000}"/>
    <cellStyle name="Normal 18 4 63 2" xfId="17803" xr:uid="{00000000-0005-0000-0000-000046210000}"/>
    <cellStyle name="Normal 18 4 64" xfId="5763" xr:uid="{00000000-0005-0000-0000-000047210000}"/>
    <cellStyle name="Normal 18 4 64 2" xfId="17804" xr:uid="{00000000-0005-0000-0000-000048210000}"/>
    <cellStyle name="Normal 18 4 65" xfId="5764" xr:uid="{00000000-0005-0000-0000-000049210000}"/>
    <cellStyle name="Normal 18 4 65 2" xfId="17805" xr:uid="{00000000-0005-0000-0000-00004A210000}"/>
    <cellStyle name="Normal 18 4 66" xfId="5765" xr:uid="{00000000-0005-0000-0000-00004B210000}"/>
    <cellStyle name="Normal 18 4 66 2" xfId="17806" xr:uid="{00000000-0005-0000-0000-00004C210000}"/>
    <cellStyle name="Normal 18 4 67" xfId="5766" xr:uid="{00000000-0005-0000-0000-00004D210000}"/>
    <cellStyle name="Normal 18 4 67 2" xfId="17807" xr:uid="{00000000-0005-0000-0000-00004E210000}"/>
    <cellStyle name="Normal 18 4 68" xfId="5767" xr:uid="{00000000-0005-0000-0000-00004F210000}"/>
    <cellStyle name="Normal 18 4 68 2" xfId="17808" xr:uid="{00000000-0005-0000-0000-000050210000}"/>
    <cellStyle name="Normal 18 4 69" xfId="5768" xr:uid="{00000000-0005-0000-0000-000051210000}"/>
    <cellStyle name="Normal 18 4 69 2" xfId="17809" xr:uid="{00000000-0005-0000-0000-000052210000}"/>
    <cellStyle name="Normal 18 4 7" xfId="5769" xr:uid="{00000000-0005-0000-0000-000053210000}"/>
    <cellStyle name="Normal 18 4 7 2" xfId="17810" xr:uid="{00000000-0005-0000-0000-000054210000}"/>
    <cellStyle name="Normal 18 4 70" xfId="5770" xr:uid="{00000000-0005-0000-0000-000055210000}"/>
    <cellStyle name="Normal 18 4 70 2" xfId="17811" xr:uid="{00000000-0005-0000-0000-000056210000}"/>
    <cellStyle name="Normal 18 4 71" xfId="5771" xr:uid="{00000000-0005-0000-0000-000057210000}"/>
    <cellStyle name="Normal 18 4 71 2" xfId="17812" xr:uid="{00000000-0005-0000-0000-000058210000}"/>
    <cellStyle name="Normal 18 4 72" xfId="5772" xr:uid="{00000000-0005-0000-0000-000059210000}"/>
    <cellStyle name="Normal 18 4 72 2" xfId="17813" xr:uid="{00000000-0005-0000-0000-00005A210000}"/>
    <cellStyle name="Normal 18 4 73" xfId="5773" xr:uid="{00000000-0005-0000-0000-00005B210000}"/>
    <cellStyle name="Normal 18 4 73 2" xfId="17814" xr:uid="{00000000-0005-0000-0000-00005C210000}"/>
    <cellStyle name="Normal 18 4 74" xfId="5774" xr:uid="{00000000-0005-0000-0000-00005D210000}"/>
    <cellStyle name="Normal 18 4 74 2" xfId="17815" xr:uid="{00000000-0005-0000-0000-00005E210000}"/>
    <cellStyle name="Normal 18 4 75" xfId="5775" xr:uid="{00000000-0005-0000-0000-00005F210000}"/>
    <cellStyle name="Normal 18 4 75 2" xfId="17816" xr:uid="{00000000-0005-0000-0000-000060210000}"/>
    <cellStyle name="Normal 18 4 76" xfId="5776" xr:uid="{00000000-0005-0000-0000-000061210000}"/>
    <cellStyle name="Normal 18 4 76 2" xfId="17817" xr:uid="{00000000-0005-0000-0000-000062210000}"/>
    <cellStyle name="Normal 18 4 77" xfId="5777" xr:uid="{00000000-0005-0000-0000-000063210000}"/>
    <cellStyle name="Normal 18 4 77 2" xfId="17818" xr:uid="{00000000-0005-0000-0000-000064210000}"/>
    <cellStyle name="Normal 18 4 78" xfId="5778" xr:uid="{00000000-0005-0000-0000-000065210000}"/>
    <cellStyle name="Normal 18 4 78 2" xfId="17819" xr:uid="{00000000-0005-0000-0000-000066210000}"/>
    <cellStyle name="Normal 18 4 79" xfId="5779" xr:uid="{00000000-0005-0000-0000-000067210000}"/>
    <cellStyle name="Normal 18 4 79 2" xfId="17820" xr:uid="{00000000-0005-0000-0000-000068210000}"/>
    <cellStyle name="Normal 18 4 8" xfId="5780" xr:uid="{00000000-0005-0000-0000-000069210000}"/>
    <cellStyle name="Normal 18 4 8 2" xfId="17821" xr:uid="{00000000-0005-0000-0000-00006A210000}"/>
    <cellStyle name="Normal 18 4 80" xfId="17744" xr:uid="{00000000-0005-0000-0000-00006B210000}"/>
    <cellStyle name="Normal 18 4 9" xfId="5781" xr:uid="{00000000-0005-0000-0000-00006C210000}"/>
    <cellStyle name="Normal 18 4 9 2" xfId="17822" xr:uid="{00000000-0005-0000-0000-00006D210000}"/>
    <cellStyle name="Normal 18 40" xfId="5782" xr:uid="{00000000-0005-0000-0000-00006E210000}"/>
    <cellStyle name="Normal 18 40 2" xfId="17823" xr:uid="{00000000-0005-0000-0000-00006F210000}"/>
    <cellStyle name="Normal 18 41" xfId="5783" xr:uid="{00000000-0005-0000-0000-000070210000}"/>
    <cellStyle name="Normal 18 41 2" xfId="17824" xr:uid="{00000000-0005-0000-0000-000071210000}"/>
    <cellStyle name="Normal 18 42" xfId="5784" xr:uid="{00000000-0005-0000-0000-000072210000}"/>
    <cellStyle name="Normal 18 42 2" xfId="17825" xr:uid="{00000000-0005-0000-0000-000073210000}"/>
    <cellStyle name="Normal 18 43" xfId="5785" xr:uid="{00000000-0005-0000-0000-000074210000}"/>
    <cellStyle name="Normal 18 43 2" xfId="17826" xr:uid="{00000000-0005-0000-0000-000075210000}"/>
    <cellStyle name="Normal 18 44" xfId="5786" xr:uid="{00000000-0005-0000-0000-000076210000}"/>
    <cellStyle name="Normal 18 44 2" xfId="17827" xr:uid="{00000000-0005-0000-0000-000077210000}"/>
    <cellStyle name="Normal 18 45" xfId="5787" xr:uid="{00000000-0005-0000-0000-000078210000}"/>
    <cellStyle name="Normal 18 45 2" xfId="17828" xr:uid="{00000000-0005-0000-0000-000079210000}"/>
    <cellStyle name="Normal 18 46" xfId="5788" xr:uid="{00000000-0005-0000-0000-00007A210000}"/>
    <cellStyle name="Normal 18 46 2" xfId="17829" xr:uid="{00000000-0005-0000-0000-00007B210000}"/>
    <cellStyle name="Normal 18 47" xfId="5789" xr:uid="{00000000-0005-0000-0000-00007C210000}"/>
    <cellStyle name="Normal 18 47 2" xfId="17830" xr:uid="{00000000-0005-0000-0000-00007D210000}"/>
    <cellStyle name="Normal 18 48" xfId="5790" xr:uid="{00000000-0005-0000-0000-00007E210000}"/>
    <cellStyle name="Normal 18 48 2" xfId="17831" xr:uid="{00000000-0005-0000-0000-00007F210000}"/>
    <cellStyle name="Normal 18 49" xfId="5791" xr:uid="{00000000-0005-0000-0000-000080210000}"/>
    <cellStyle name="Normal 18 49 2" xfId="17832" xr:uid="{00000000-0005-0000-0000-000081210000}"/>
    <cellStyle name="Normal 18 5" xfId="5792" xr:uid="{00000000-0005-0000-0000-000082210000}"/>
    <cellStyle name="Normal 18 5 2" xfId="17833" xr:uid="{00000000-0005-0000-0000-000083210000}"/>
    <cellStyle name="Normal 18 50" xfId="5793" xr:uid="{00000000-0005-0000-0000-000084210000}"/>
    <cellStyle name="Normal 18 50 2" xfId="17834" xr:uid="{00000000-0005-0000-0000-000085210000}"/>
    <cellStyle name="Normal 18 51" xfId="5794" xr:uid="{00000000-0005-0000-0000-000086210000}"/>
    <cellStyle name="Normal 18 51 2" xfId="17835" xr:uid="{00000000-0005-0000-0000-000087210000}"/>
    <cellStyle name="Normal 18 52" xfId="5795" xr:uid="{00000000-0005-0000-0000-000088210000}"/>
    <cellStyle name="Normal 18 52 2" xfId="17836" xr:uid="{00000000-0005-0000-0000-000089210000}"/>
    <cellStyle name="Normal 18 53" xfId="5796" xr:uid="{00000000-0005-0000-0000-00008A210000}"/>
    <cellStyle name="Normal 18 53 2" xfId="17837" xr:uid="{00000000-0005-0000-0000-00008B210000}"/>
    <cellStyle name="Normal 18 54" xfId="5797" xr:uid="{00000000-0005-0000-0000-00008C210000}"/>
    <cellStyle name="Normal 18 54 2" xfId="17838" xr:uid="{00000000-0005-0000-0000-00008D210000}"/>
    <cellStyle name="Normal 18 55" xfId="5798" xr:uid="{00000000-0005-0000-0000-00008E210000}"/>
    <cellStyle name="Normal 18 55 2" xfId="17839" xr:uid="{00000000-0005-0000-0000-00008F210000}"/>
    <cellStyle name="Normal 18 56" xfId="5799" xr:uid="{00000000-0005-0000-0000-000090210000}"/>
    <cellStyle name="Normal 18 56 2" xfId="17840" xr:uid="{00000000-0005-0000-0000-000091210000}"/>
    <cellStyle name="Normal 18 57" xfId="5800" xr:uid="{00000000-0005-0000-0000-000092210000}"/>
    <cellStyle name="Normal 18 57 2" xfId="17841" xr:uid="{00000000-0005-0000-0000-000093210000}"/>
    <cellStyle name="Normal 18 58" xfId="5801" xr:uid="{00000000-0005-0000-0000-000094210000}"/>
    <cellStyle name="Normal 18 58 2" xfId="17842" xr:uid="{00000000-0005-0000-0000-000095210000}"/>
    <cellStyle name="Normal 18 59" xfId="5802" xr:uid="{00000000-0005-0000-0000-000096210000}"/>
    <cellStyle name="Normal 18 59 2" xfId="17843" xr:uid="{00000000-0005-0000-0000-000097210000}"/>
    <cellStyle name="Normal 18 6" xfId="5803" xr:uid="{00000000-0005-0000-0000-000098210000}"/>
    <cellStyle name="Normal 18 6 2" xfId="17844" xr:uid="{00000000-0005-0000-0000-000099210000}"/>
    <cellStyle name="Normal 18 60" xfId="5804" xr:uid="{00000000-0005-0000-0000-00009A210000}"/>
    <cellStyle name="Normal 18 60 2" xfId="17845" xr:uid="{00000000-0005-0000-0000-00009B210000}"/>
    <cellStyle name="Normal 18 61" xfId="5805" xr:uid="{00000000-0005-0000-0000-00009C210000}"/>
    <cellStyle name="Normal 18 61 2" xfId="17846" xr:uid="{00000000-0005-0000-0000-00009D210000}"/>
    <cellStyle name="Normal 18 62" xfId="5806" xr:uid="{00000000-0005-0000-0000-00009E210000}"/>
    <cellStyle name="Normal 18 62 2" xfId="17847" xr:uid="{00000000-0005-0000-0000-00009F210000}"/>
    <cellStyle name="Normal 18 63" xfId="5807" xr:uid="{00000000-0005-0000-0000-0000A0210000}"/>
    <cellStyle name="Normal 18 63 2" xfId="17848" xr:uid="{00000000-0005-0000-0000-0000A1210000}"/>
    <cellStyle name="Normal 18 64" xfId="5808" xr:uid="{00000000-0005-0000-0000-0000A2210000}"/>
    <cellStyle name="Normal 18 64 2" xfId="17849" xr:uid="{00000000-0005-0000-0000-0000A3210000}"/>
    <cellStyle name="Normal 18 65" xfId="5809" xr:uid="{00000000-0005-0000-0000-0000A4210000}"/>
    <cellStyle name="Normal 18 65 2" xfId="17850" xr:uid="{00000000-0005-0000-0000-0000A5210000}"/>
    <cellStyle name="Normal 18 66" xfId="5810" xr:uid="{00000000-0005-0000-0000-0000A6210000}"/>
    <cellStyle name="Normal 18 66 2" xfId="17851" xr:uid="{00000000-0005-0000-0000-0000A7210000}"/>
    <cellStyle name="Normal 18 67" xfId="5811" xr:uid="{00000000-0005-0000-0000-0000A8210000}"/>
    <cellStyle name="Normal 18 67 2" xfId="17852" xr:uid="{00000000-0005-0000-0000-0000A9210000}"/>
    <cellStyle name="Normal 18 68" xfId="5812" xr:uid="{00000000-0005-0000-0000-0000AA210000}"/>
    <cellStyle name="Normal 18 68 2" xfId="17853" xr:uid="{00000000-0005-0000-0000-0000AB210000}"/>
    <cellStyle name="Normal 18 69" xfId="5813" xr:uid="{00000000-0005-0000-0000-0000AC210000}"/>
    <cellStyle name="Normal 18 69 2" xfId="17854" xr:uid="{00000000-0005-0000-0000-0000AD210000}"/>
    <cellStyle name="Normal 18 7" xfId="5814" xr:uid="{00000000-0005-0000-0000-0000AE210000}"/>
    <cellStyle name="Normal 18 7 2" xfId="17855" xr:uid="{00000000-0005-0000-0000-0000AF210000}"/>
    <cellStyle name="Normal 18 70" xfId="5815" xr:uid="{00000000-0005-0000-0000-0000B0210000}"/>
    <cellStyle name="Normal 18 70 2" xfId="17856" xr:uid="{00000000-0005-0000-0000-0000B1210000}"/>
    <cellStyle name="Normal 18 71" xfId="5816" xr:uid="{00000000-0005-0000-0000-0000B2210000}"/>
    <cellStyle name="Normal 18 71 2" xfId="17857" xr:uid="{00000000-0005-0000-0000-0000B3210000}"/>
    <cellStyle name="Normal 18 72" xfId="5817" xr:uid="{00000000-0005-0000-0000-0000B4210000}"/>
    <cellStyle name="Normal 18 72 2" xfId="17858" xr:uid="{00000000-0005-0000-0000-0000B5210000}"/>
    <cellStyle name="Normal 18 73" xfId="5818" xr:uid="{00000000-0005-0000-0000-0000B6210000}"/>
    <cellStyle name="Normal 18 73 2" xfId="17859" xr:uid="{00000000-0005-0000-0000-0000B7210000}"/>
    <cellStyle name="Normal 18 74" xfId="5819" xr:uid="{00000000-0005-0000-0000-0000B8210000}"/>
    <cellStyle name="Normal 18 74 2" xfId="17860" xr:uid="{00000000-0005-0000-0000-0000B9210000}"/>
    <cellStyle name="Normal 18 75" xfId="5820" xr:uid="{00000000-0005-0000-0000-0000BA210000}"/>
    <cellStyle name="Normal 18 75 2" xfId="17861" xr:uid="{00000000-0005-0000-0000-0000BB210000}"/>
    <cellStyle name="Normal 18 76" xfId="5821" xr:uid="{00000000-0005-0000-0000-0000BC210000}"/>
    <cellStyle name="Normal 18 76 2" xfId="17862" xr:uid="{00000000-0005-0000-0000-0000BD210000}"/>
    <cellStyle name="Normal 18 77" xfId="5822" xr:uid="{00000000-0005-0000-0000-0000BE210000}"/>
    <cellStyle name="Normal 18 77 2" xfId="17863" xr:uid="{00000000-0005-0000-0000-0000BF210000}"/>
    <cellStyle name="Normal 18 78" xfId="5823" xr:uid="{00000000-0005-0000-0000-0000C0210000}"/>
    <cellStyle name="Normal 18 78 2" xfId="17864" xr:uid="{00000000-0005-0000-0000-0000C1210000}"/>
    <cellStyle name="Normal 18 79" xfId="5824" xr:uid="{00000000-0005-0000-0000-0000C2210000}"/>
    <cellStyle name="Normal 18 79 2" xfId="17865" xr:uid="{00000000-0005-0000-0000-0000C3210000}"/>
    <cellStyle name="Normal 18 8" xfId="5825" xr:uid="{00000000-0005-0000-0000-0000C4210000}"/>
    <cellStyle name="Normal 18 8 2" xfId="17866" xr:uid="{00000000-0005-0000-0000-0000C5210000}"/>
    <cellStyle name="Normal 18 80" xfId="5826" xr:uid="{00000000-0005-0000-0000-0000C6210000}"/>
    <cellStyle name="Normal 18 80 2" xfId="17867" xr:uid="{00000000-0005-0000-0000-0000C7210000}"/>
    <cellStyle name="Normal 18 81" xfId="5827" xr:uid="{00000000-0005-0000-0000-0000C8210000}"/>
    <cellStyle name="Normal 18 81 2" xfId="17868" xr:uid="{00000000-0005-0000-0000-0000C9210000}"/>
    <cellStyle name="Normal 18 82" xfId="5828" xr:uid="{00000000-0005-0000-0000-0000CA210000}"/>
    <cellStyle name="Normal 18 82 2" xfId="17869" xr:uid="{00000000-0005-0000-0000-0000CB210000}"/>
    <cellStyle name="Normal 18 83" xfId="17555" xr:uid="{00000000-0005-0000-0000-0000CC210000}"/>
    <cellStyle name="Normal 18 9" xfId="5829" xr:uid="{00000000-0005-0000-0000-0000CD210000}"/>
    <cellStyle name="Normal 18 9 2" xfId="17870" xr:uid="{00000000-0005-0000-0000-0000CE210000}"/>
    <cellStyle name="Normal 180" xfId="521" xr:uid="{00000000-0005-0000-0000-0000CF210000}"/>
    <cellStyle name="Normal 180 2" xfId="618" xr:uid="{00000000-0005-0000-0000-0000D0210000}"/>
    <cellStyle name="Normal 180 3" xfId="1037" xr:uid="{00000000-0005-0000-0000-0000D1210000}"/>
    <cellStyle name="Normal 180 4" xfId="1134" xr:uid="{00000000-0005-0000-0000-0000D2210000}"/>
    <cellStyle name="Normal 180 5" xfId="1114" xr:uid="{00000000-0005-0000-0000-0000D3210000}"/>
    <cellStyle name="Normal 180 6" xfId="1129" xr:uid="{00000000-0005-0000-0000-0000D4210000}"/>
    <cellStyle name="Normal 180 7" xfId="862" xr:uid="{00000000-0005-0000-0000-0000D5210000}"/>
    <cellStyle name="Normal 180 8" xfId="958" xr:uid="{00000000-0005-0000-0000-0000D6210000}"/>
    <cellStyle name="Normal 180 9" xfId="1236" xr:uid="{00000000-0005-0000-0000-0000D7210000}"/>
    <cellStyle name="Normal 181" xfId="522" xr:uid="{00000000-0005-0000-0000-0000D8210000}"/>
    <cellStyle name="Normal 181 2" xfId="619" xr:uid="{00000000-0005-0000-0000-0000D9210000}"/>
    <cellStyle name="Normal 181 3" xfId="1038" xr:uid="{00000000-0005-0000-0000-0000DA210000}"/>
    <cellStyle name="Normal 181 4" xfId="1133" xr:uid="{00000000-0005-0000-0000-0000DB210000}"/>
    <cellStyle name="Normal 181 5" xfId="1115" xr:uid="{00000000-0005-0000-0000-0000DC210000}"/>
    <cellStyle name="Normal 181 6" xfId="1128" xr:uid="{00000000-0005-0000-0000-0000DD210000}"/>
    <cellStyle name="Normal 181 7" xfId="1119" xr:uid="{00000000-0005-0000-0000-0000DE210000}"/>
    <cellStyle name="Normal 181 8" xfId="1124" xr:uid="{00000000-0005-0000-0000-0000DF210000}"/>
    <cellStyle name="Normal 181 9" xfId="1123" xr:uid="{00000000-0005-0000-0000-0000E0210000}"/>
    <cellStyle name="Normal 182" xfId="523" xr:uid="{00000000-0005-0000-0000-0000E1210000}"/>
    <cellStyle name="Normal 182 2" xfId="620" xr:uid="{00000000-0005-0000-0000-0000E2210000}"/>
    <cellStyle name="Normal 182 3" xfId="1039" xr:uid="{00000000-0005-0000-0000-0000E3210000}"/>
    <cellStyle name="Normal 182 4" xfId="1212" xr:uid="{00000000-0005-0000-0000-0000E4210000}"/>
    <cellStyle name="Normal 182 5" xfId="981" xr:uid="{00000000-0005-0000-0000-0000E5210000}"/>
    <cellStyle name="Normal 182 6" xfId="1226" xr:uid="{00000000-0005-0000-0000-0000E6210000}"/>
    <cellStyle name="Normal 182 7" xfId="974" xr:uid="{00000000-0005-0000-0000-0000E7210000}"/>
    <cellStyle name="Normal 182 8" xfId="1315" xr:uid="{00000000-0005-0000-0000-0000E8210000}"/>
    <cellStyle name="Normal 182 9" xfId="1380" xr:uid="{00000000-0005-0000-0000-0000E9210000}"/>
    <cellStyle name="Normal 183" xfId="524" xr:uid="{00000000-0005-0000-0000-0000EA210000}"/>
    <cellStyle name="Normal 183 2" xfId="621" xr:uid="{00000000-0005-0000-0000-0000EB210000}"/>
    <cellStyle name="Normal 183 3" xfId="1040" xr:uid="{00000000-0005-0000-0000-0000EC210000}"/>
    <cellStyle name="Normal 183 4" xfId="1211" xr:uid="{00000000-0005-0000-0000-0000ED210000}"/>
    <cellStyle name="Normal 183 5" xfId="1173" xr:uid="{00000000-0005-0000-0000-0000EE210000}"/>
    <cellStyle name="Normal 183 6" xfId="1090" xr:uid="{00000000-0005-0000-0000-0000EF210000}"/>
    <cellStyle name="Normal 183 7" xfId="902" xr:uid="{00000000-0005-0000-0000-0000F0210000}"/>
    <cellStyle name="Normal 183 8" xfId="1269" xr:uid="{00000000-0005-0000-0000-0000F1210000}"/>
    <cellStyle name="Normal 183 9" xfId="1338" xr:uid="{00000000-0005-0000-0000-0000F2210000}"/>
    <cellStyle name="Normal 184" xfId="525" xr:uid="{00000000-0005-0000-0000-0000F3210000}"/>
    <cellStyle name="Normal 184 2" xfId="622" xr:uid="{00000000-0005-0000-0000-0000F4210000}"/>
    <cellStyle name="Normal 184 3" xfId="1041" xr:uid="{00000000-0005-0000-0000-0000F5210000}"/>
    <cellStyle name="Normal 184 4" xfId="937" xr:uid="{00000000-0005-0000-0000-0000F6210000}"/>
    <cellStyle name="Normal 184 5" xfId="1246" xr:uid="{00000000-0005-0000-0000-0000F7210000}"/>
    <cellStyle name="Normal 184 6" xfId="831" xr:uid="{00000000-0005-0000-0000-0000F8210000}"/>
    <cellStyle name="Normal 184 7" xfId="1306" xr:uid="{00000000-0005-0000-0000-0000F9210000}"/>
    <cellStyle name="Normal 184 8" xfId="1371" xr:uid="{00000000-0005-0000-0000-0000FA210000}"/>
    <cellStyle name="Normal 184 9" xfId="1429" xr:uid="{00000000-0005-0000-0000-0000FB210000}"/>
    <cellStyle name="Normal 185" xfId="526" xr:uid="{00000000-0005-0000-0000-0000FC210000}"/>
    <cellStyle name="Normal 185 2" xfId="623" xr:uid="{00000000-0005-0000-0000-0000FD210000}"/>
    <cellStyle name="Normal 185 3" xfId="1042" xr:uid="{00000000-0005-0000-0000-0000FE210000}"/>
    <cellStyle name="Normal 185 4" xfId="1210" xr:uid="{00000000-0005-0000-0000-0000FF210000}"/>
    <cellStyle name="Normal 185 5" xfId="982" xr:uid="{00000000-0005-0000-0000-000000220000}"/>
    <cellStyle name="Normal 185 6" xfId="1225" xr:uid="{00000000-0005-0000-0000-000001220000}"/>
    <cellStyle name="Normal 185 7" xfId="1167" xr:uid="{00000000-0005-0000-0000-000002220000}"/>
    <cellStyle name="Normal 185 8" xfId="1193" xr:uid="{00000000-0005-0000-0000-000003220000}"/>
    <cellStyle name="Normal 185 9" xfId="989" xr:uid="{00000000-0005-0000-0000-000004220000}"/>
    <cellStyle name="Normal 186" xfId="527" xr:uid="{00000000-0005-0000-0000-000005220000}"/>
    <cellStyle name="Normal 186 2" xfId="624" xr:uid="{00000000-0005-0000-0000-000006220000}"/>
    <cellStyle name="Normal 186 3" xfId="1043" xr:uid="{00000000-0005-0000-0000-000007220000}"/>
    <cellStyle name="Normal 186 4" xfId="1209" xr:uid="{00000000-0005-0000-0000-000008220000}"/>
    <cellStyle name="Normal 186 5" xfId="1174" xr:uid="{00000000-0005-0000-0000-000009220000}"/>
    <cellStyle name="Normal 186 6" xfId="1190" xr:uid="{00000000-0005-0000-0000-00000A220000}"/>
    <cellStyle name="Normal 186 7" xfId="858" xr:uid="{00000000-0005-0000-0000-00000B220000}"/>
    <cellStyle name="Normal 186 8" xfId="960" xr:uid="{00000000-0005-0000-0000-00000C220000}"/>
    <cellStyle name="Normal 186 9" xfId="1234" xr:uid="{00000000-0005-0000-0000-00000D220000}"/>
    <cellStyle name="Normal 187" xfId="528" xr:uid="{00000000-0005-0000-0000-00000E220000}"/>
    <cellStyle name="Normal 187 2" xfId="625" xr:uid="{00000000-0005-0000-0000-00000F220000}"/>
    <cellStyle name="Normal 187 3" xfId="1044" xr:uid="{00000000-0005-0000-0000-000010220000}"/>
    <cellStyle name="Normal 187 4" xfId="1325" xr:uid="{00000000-0005-0000-0000-000011220000}"/>
    <cellStyle name="Normal 187 5" xfId="1390" xr:uid="{00000000-0005-0000-0000-000012220000}"/>
    <cellStyle name="Normal 187 6" xfId="1440" xr:uid="{00000000-0005-0000-0000-000013220000}"/>
    <cellStyle name="Normal 187 7" xfId="1469" xr:uid="{00000000-0005-0000-0000-000014220000}"/>
    <cellStyle name="Normal 187 8" xfId="1491" xr:uid="{00000000-0005-0000-0000-000015220000}"/>
    <cellStyle name="Normal 187 9" xfId="1500" xr:uid="{00000000-0005-0000-0000-000016220000}"/>
    <cellStyle name="Normal 188" xfId="529" xr:uid="{00000000-0005-0000-0000-000017220000}"/>
    <cellStyle name="Normal 188 2" xfId="626" xr:uid="{00000000-0005-0000-0000-000018220000}"/>
    <cellStyle name="Normal 188 3" xfId="1045" xr:uid="{00000000-0005-0000-0000-000019220000}"/>
    <cellStyle name="Normal 188 4" xfId="887" xr:uid="{00000000-0005-0000-0000-00001A220000}"/>
    <cellStyle name="Normal 188 5" xfId="1280" xr:uid="{00000000-0005-0000-0000-00001B220000}"/>
    <cellStyle name="Normal 188 6" xfId="1349" xr:uid="{00000000-0005-0000-0000-00001C220000}"/>
    <cellStyle name="Normal 188 7" xfId="1412" xr:uid="{00000000-0005-0000-0000-00001D220000}"/>
    <cellStyle name="Normal 188 8" xfId="1451" xr:uid="{00000000-0005-0000-0000-00001E220000}"/>
    <cellStyle name="Normal 188 9" xfId="1477" xr:uid="{00000000-0005-0000-0000-00001F220000}"/>
    <cellStyle name="Normal 189" xfId="530" xr:uid="{00000000-0005-0000-0000-000020220000}"/>
    <cellStyle name="Normal 189 2" xfId="627" xr:uid="{00000000-0005-0000-0000-000021220000}"/>
    <cellStyle name="Normal 189 3" xfId="1046" xr:uid="{00000000-0005-0000-0000-000022220000}"/>
    <cellStyle name="Normal 189 4" xfId="1208" xr:uid="{00000000-0005-0000-0000-000023220000}"/>
    <cellStyle name="Normal 189 5" xfId="857" xr:uid="{00000000-0005-0000-0000-000024220000}"/>
    <cellStyle name="Normal 189 6" xfId="1293" xr:uid="{00000000-0005-0000-0000-000025220000}"/>
    <cellStyle name="Normal 189 7" xfId="1359" xr:uid="{00000000-0005-0000-0000-000026220000}"/>
    <cellStyle name="Normal 189 8" xfId="1421" xr:uid="{00000000-0005-0000-0000-000027220000}"/>
    <cellStyle name="Normal 189 9" xfId="1459" xr:uid="{00000000-0005-0000-0000-000028220000}"/>
    <cellStyle name="Normal 19" xfId="141" xr:uid="{00000000-0005-0000-0000-000029220000}"/>
    <cellStyle name="Normal 19 10" xfId="5830" xr:uid="{00000000-0005-0000-0000-00002A220000}"/>
    <cellStyle name="Normal 19 10 2" xfId="17872" xr:uid="{00000000-0005-0000-0000-00002B220000}"/>
    <cellStyle name="Normal 19 11" xfId="5831" xr:uid="{00000000-0005-0000-0000-00002C220000}"/>
    <cellStyle name="Normal 19 11 2" xfId="17873" xr:uid="{00000000-0005-0000-0000-00002D220000}"/>
    <cellStyle name="Normal 19 12" xfId="5832" xr:uid="{00000000-0005-0000-0000-00002E220000}"/>
    <cellStyle name="Normal 19 12 2" xfId="17874" xr:uid="{00000000-0005-0000-0000-00002F220000}"/>
    <cellStyle name="Normal 19 13" xfId="5833" xr:uid="{00000000-0005-0000-0000-000030220000}"/>
    <cellStyle name="Normal 19 13 2" xfId="17875" xr:uid="{00000000-0005-0000-0000-000031220000}"/>
    <cellStyle name="Normal 19 14" xfId="5834" xr:uid="{00000000-0005-0000-0000-000032220000}"/>
    <cellStyle name="Normal 19 14 2" xfId="17876" xr:uid="{00000000-0005-0000-0000-000033220000}"/>
    <cellStyle name="Normal 19 15" xfId="5835" xr:uid="{00000000-0005-0000-0000-000034220000}"/>
    <cellStyle name="Normal 19 15 2" xfId="17877" xr:uid="{00000000-0005-0000-0000-000035220000}"/>
    <cellStyle name="Normal 19 16" xfId="5836" xr:uid="{00000000-0005-0000-0000-000036220000}"/>
    <cellStyle name="Normal 19 16 2" xfId="17878" xr:uid="{00000000-0005-0000-0000-000037220000}"/>
    <cellStyle name="Normal 19 17" xfId="5837" xr:uid="{00000000-0005-0000-0000-000038220000}"/>
    <cellStyle name="Normal 19 17 2" xfId="17879" xr:uid="{00000000-0005-0000-0000-000039220000}"/>
    <cellStyle name="Normal 19 18" xfId="5838" xr:uid="{00000000-0005-0000-0000-00003A220000}"/>
    <cellStyle name="Normal 19 18 2" xfId="17880" xr:uid="{00000000-0005-0000-0000-00003B220000}"/>
    <cellStyle name="Normal 19 19" xfId="5839" xr:uid="{00000000-0005-0000-0000-00003C220000}"/>
    <cellStyle name="Normal 19 19 2" xfId="17881" xr:uid="{00000000-0005-0000-0000-00003D220000}"/>
    <cellStyle name="Normal 19 2" xfId="164" xr:uid="{00000000-0005-0000-0000-00003E220000}"/>
    <cellStyle name="Normal 19 2 10" xfId="5841" xr:uid="{00000000-0005-0000-0000-00003F220000}"/>
    <cellStyle name="Normal 19 2 10 2" xfId="17883" xr:uid="{00000000-0005-0000-0000-000040220000}"/>
    <cellStyle name="Normal 19 2 11" xfId="5842" xr:uid="{00000000-0005-0000-0000-000041220000}"/>
    <cellStyle name="Normal 19 2 11 2" xfId="17884" xr:uid="{00000000-0005-0000-0000-000042220000}"/>
    <cellStyle name="Normal 19 2 12" xfId="5843" xr:uid="{00000000-0005-0000-0000-000043220000}"/>
    <cellStyle name="Normal 19 2 12 2" xfId="17885" xr:uid="{00000000-0005-0000-0000-000044220000}"/>
    <cellStyle name="Normal 19 2 13" xfId="5844" xr:uid="{00000000-0005-0000-0000-000045220000}"/>
    <cellStyle name="Normal 19 2 13 2" xfId="17886" xr:uid="{00000000-0005-0000-0000-000046220000}"/>
    <cellStyle name="Normal 19 2 14" xfId="5845" xr:uid="{00000000-0005-0000-0000-000047220000}"/>
    <cellStyle name="Normal 19 2 14 2" xfId="17887" xr:uid="{00000000-0005-0000-0000-000048220000}"/>
    <cellStyle name="Normal 19 2 15" xfId="5846" xr:uid="{00000000-0005-0000-0000-000049220000}"/>
    <cellStyle name="Normal 19 2 15 2" xfId="17888" xr:uid="{00000000-0005-0000-0000-00004A220000}"/>
    <cellStyle name="Normal 19 2 16" xfId="5847" xr:uid="{00000000-0005-0000-0000-00004B220000}"/>
    <cellStyle name="Normal 19 2 16 2" xfId="17889" xr:uid="{00000000-0005-0000-0000-00004C220000}"/>
    <cellStyle name="Normal 19 2 17" xfId="5848" xr:uid="{00000000-0005-0000-0000-00004D220000}"/>
    <cellStyle name="Normal 19 2 17 2" xfId="17890" xr:uid="{00000000-0005-0000-0000-00004E220000}"/>
    <cellStyle name="Normal 19 2 18" xfId="5849" xr:uid="{00000000-0005-0000-0000-00004F220000}"/>
    <cellStyle name="Normal 19 2 18 2" xfId="17891" xr:uid="{00000000-0005-0000-0000-000050220000}"/>
    <cellStyle name="Normal 19 2 19" xfId="5850" xr:uid="{00000000-0005-0000-0000-000051220000}"/>
    <cellStyle name="Normal 19 2 19 2" xfId="17892" xr:uid="{00000000-0005-0000-0000-000052220000}"/>
    <cellStyle name="Normal 19 2 2" xfId="5851" xr:uid="{00000000-0005-0000-0000-000053220000}"/>
    <cellStyle name="Normal 19 2 2 2" xfId="17893" xr:uid="{00000000-0005-0000-0000-000054220000}"/>
    <cellStyle name="Normal 19 2 20" xfId="5852" xr:uid="{00000000-0005-0000-0000-000055220000}"/>
    <cellStyle name="Normal 19 2 20 2" xfId="17894" xr:uid="{00000000-0005-0000-0000-000056220000}"/>
    <cellStyle name="Normal 19 2 21" xfId="5853" xr:uid="{00000000-0005-0000-0000-000057220000}"/>
    <cellStyle name="Normal 19 2 21 2" xfId="17895" xr:uid="{00000000-0005-0000-0000-000058220000}"/>
    <cellStyle name="Normal 19 2 22" xfId="5854" xr:uid="{00000000-0005-0000-0000-000059220000}"/>
    <cellStyle name="Normal 19 2 22 2" xfId="17896" xr:uid="{00000000-0005-0000-0000-00005A220000}"/>
    <cellStyle name="Normal 19 2 23" xfId="5855" xr:uid="{00000000-0005-0000-0000-00005B220000}"/>
    <cellStyle name="Normal 19 2 23 2" xfId="17897" xr:uid="{00000000-0005-0000-0000-00005C220000}"/>
    <cellStyle name="Normal 19 2 24" xfId="5856" xr:uid="{00000000-0005-0000-0000-00005D220000}"/>
    <cellStyle name="Normal 19 2 24 2" xfId="17898" xr:uid="{00000000-0005-0000-0000-00005E220000}"/>
    <cellStyle name="Normal 19 2 25" xfId="5857" xr:uid="{00000000-0005-0000-0000-00005F220000}"/>
    <cellStyle name="Normal 19 2 25 2" xfId="17899" xr:uid="{00000000-0005-0000-0000-000060220000}"/>
    <cellStyle name="Normal 19 2 26" xfId="5858" xr:uid="{00000000-0005-0000-0000-000061220000}"/>
    <cellStyle name="Normal 19 2 26 2" xfId="17900" xr:uid="{00000000-0005-0000-0000-000062220000}"/>
    <cellStyle name="Normal 19 2 27" xfId="5859" xr:uid="{00000000-0005-0000-0000-000063220000}"/>
    <cellStyle name="Normal 19 2 27 2" xfId="17901" xr:uid="{00000000-0005-0000-0000-000064220000}"/>
    <cellStyle name="Normal 19 2 28" xfId="5860" xr:uid="{00000000-0005-0000-0000-000065220000}"/>
    <cellStyle name="Normal 19 2 28 2" xfId="17902" xr:uid="{00000000-0005-0000-0000-000066220000}"/>
    <cellStyle name="Normal 19 2 29" xfId="5861" xr:uid="{00000000-0005-0000-0000-000067220000}"/>
    <cellStyle name="Normal 19 2 29 2" xfId="17903" xr:uid="{00000000-0005-0000-0000-000068220000}"/>
    <cellStyle name="Normal 19 2 3" xfId="5862" xr:uid="{00000000-0005-0000-0000-000069220000}"/>
    <cellStyle name="Normal 19 2 3 2" xfId="17904" xr:uid="{00000000-0005-0000-0000-00006A220000}"/>
    <cellStyle name="Normal 19 2 30" xfId="5863" xr:uid="{00000000-0005-0000-0000-00006B220000}"/>
    <cellStyle name="Normal 19 2 30 2" xfId="17905" xr:uid="{00000000-0005-0000-0000-00006C220000}"/>
    <cellStyle name="Normal 19 2 31" xfId="5864" xr:uid="{00000000-0005-0000-0000-00006D220000}"/>
    <cellStyle name="Normal 19 2 31 2" xfId="17906" xr:uid="{00000000-0005-0000-0000-00006E220000}"/>
    <cellStyle name="Normal 19 2 32" xfId="5865" xr:uid="{00000000-0005-0000-0000-00006F220000}"/>
    <cellStyle name="Normal 19 2 32 2" xfId="17907" xr:uid="{00000000-0005-0000-0000-000070220000}"/>
    <cellStyle name="Normal 19 2 33" xfId="5866" xr:uid="{00000000-0005-0000-0000-000071220000}"/>
    <cellStyle name="Normal 19 2 33 2" xfId="17908" xr:uid="{00000000-0005-0000-0000-000072220000}"/>
    <cellStyle name="Normal 19 2 34" xfId="5867" xr:uid="{00000000-0005-0000-0000-000073220000}"/>
    <cellStyle name="Normal 19 2 34 2" xfId="17909" xr:uid="{00000000-0005-0000-0000-000074220000}"/>
    <cellStyle name="Normal 19 2 35" xfId="5868" xr:uid="{00000000-0005-0000-0000-000075220000}"/>
    <cellStyle name="Normal 19 2 35 2" xfId="17910" xr:uid="{00000000-0005-0000-0000-000076220000}"/>
    <cellStyle name="Normal 19 2 36" xfId="5869" xr:uid="{00000000-0005-0000-0000-000077220000}"/>
    <cellStyle name="Normal 19 2 36 2" xfId="17911" xr:uid="{00000000-0005-0000-0000-000078220000}"/>
    <cellStyle name="Normal 19 2 37" xfId="5870" xr:uid="{00000000-0005-0000-0000-000079220000}"/>
    <cellStyle name="Normal 19 2 37 2" xfId="17912" xr:uid="{00000000-0005-0000-0000-00007A220000}"/>
    <cellStyle name="Normal 19 2 38" xfId="5871" xr:uid="{00000000-0005-0000-0000-00007B220000}"/>
    <cellStyle name="Normal 19 2 38 2" xfId="17913" xr:uid="{00000000-0005-0000-0000-00007C220000}"/>
    <cellStyle name="Normal 19 2 39" xfId="5872" xr:uid="{00000000-0005-0000-0000-00007D220000}"/>
    <cellStyle name="Normal 19 2 39 2" xfId="17914" xr:uid="{00000000-0005-0000-0000-00007E220000}"/>
    <cellStyle name="Normal 19 2 4" xfId="5873" xr:uid="{00000000-0005-0000-0000-00007F220000}"/>
    <cellStyle name="Normal 19 2 4 2" xfId="17915" xr:uid="{00000000-0005-0000-0000-000080220000}"/>
    <cellStyle name="Normal 19 2 40" xfId="5874" xr:uid="{00000000-0005-0000-0000-000081220000}"/>
    <cellStyle name="Normal 19 2 40 2" xfId="17916" xr:uid="{00000000-0005-0000-0000-000082220000}"/>
    <cellStyle name="Normal 19 2 41" xfId="5875" xr:uid="{00000000-0005-0000-0000-000083220000}"/>
    <cellStyle name="Normal 19 2 41 2" xfId="17917" xr:uid="{00000000-0005-0000-0000-000084220000}"/>
    <cellStyle name="Normal 19 2 42" xfId="5876" xr:uid="{00000000-0005-0000-0000-000085220000}"/>
    <cellStyle name="Normal 19 2 42 2" xfId="17918" xr:uid="{00000000-0005-0000-0000-000086220000}"/>
    <cellStyle name="Normal 19 2 43" xfId="5877" xr:uid="{00000000-0005-0000-0000-000087220000}"/>
    <cellStyle name="Normal 19 2 43 2" xfId="17919" xr:uid="{00000000-0005-0000-0000-000088220000}"/>
    <cellStyle name="Normal 19 2 44" xfId="5878" xr:uid="{00000000-0005-0000-0000-000089220000}"/>
    <cellStyle name="Normal 19 2 44 2" xfId="17920" xr:uid="{00000000-0005-0000-0000-00008A220000}"/>
    <cellStyle name="Normal 19 2 45" xfId="5879" xr:uid="{00000000-0005-0000-0000-00008B220000}"/>
    <cellStyle name="Normal 19 2 45 2" xfId="17921" xr:uid="{00000000-0005-0000-0000-00008C220000}"/>
    <cellStyle name="Normal 19 2 46" xfId="5880" xr:uid="{00000000-0005-0000-0000-00008D220000}"/>
    <cellStyle name="Normal 19 2 46 2" xfId="17922" xr:uid="{00000000-0005-0000-0000-00008E220000}"/>
    <cellStyle name="Normal 19 2 47" xfId="5881" xr:uid="{00000000-0005-0000-0000-00008F220000}"/>
    <cellStyle name="Normal 19 2 47 2" xfId="17923" xr:uid="{00000000-0005-0000-0000-000090220000}"/>
    <cellStyle name="Normal 19 2 48" xfId="5882" xr:uid="{00000000-0005-0000-0000-000091220000}"/>
    <cellStyle name="Normal 19 2 48 2" xfId="17924" xr:uid="{00000000-0005-0000-0000-000092220000}"/>
    <cellStyle name="Normal 19 2 49" xfId="5883" xr:uid="{00000000-0005-0000-0000-000093220000}"/>
    <cellStyle name="Normal 19 2 49 2" xfId="17925" xr:uid="{00000000-0005-0000-0000-000094220000}"/>
    <cellStyle name="Normal 19 2 5" xfId="5884" xr:uid="{00000000-0005-0000-0000-000095220000}"/>
    <cellStyle name="Normal 19 2 5 2" xfId="17926" xr:uid="{00000000-0005-0000-0000-000096220000}"/>
    <cellStyle name="Normal 19 2 50" xfId="5885" xr:uid="{00000000-0005-0000-0000-000097220000}"/>
    <cellStyle name="Normal 19 2 50 2" xfId="17927" xr:uid="{00000000-0005-0000-0000-000098220000}"/>
    <cellStyle name="Normal 19 2 51" xfId="5886" xr:uid="{00000000-0005-0000-0000-000099220000}"/>
    <cellStyle name="Normal 19 2 51 2" xfId="17928" xr:uid="{00000000-0005-0000-0000-00009A220000}"/>
    <cellStyle name="Normal 19 2 52" xfId="5887" xr:uid="{00000000-0005-0000-0000-00009B220000}"/>
    <cellStyle name="Normal 19 2 52 2" xfId="17929" xr:uid="{00000000-0005-0000-0000-00009C220000}"/>
    <cellStyle name="Normal 19 2 53" xfId="5888" xr:uid="{00000000-0005-0000-0000-00009D220000}"/>
    <cellStyle name="Normal 19 2 53 2" xfId="17930" xr:uid="{00000000-0005-0000-0000-00009E220000}"/>
    <cellStyle name="Normal 19 2 54" xfId="5889" xr:uid="{00000000-0005-0000-0000-00009F220000}"/>
    <cellStyle name="Normal 19 2 54 2" xfId="17931" xr:uid="{00000000-0005-0000-0000-0000A0220000}"/>
    <cellStyle name="Normal 19 2 55" xfId="5890" xr:uid="{00000000-0005-0000-0000-0000A1220000}"/>
    <cellStyle name="Normal 19 2 55 2" xfId="17932" xr:uid="{00000000-0005-0000-0000-0000A2220000}"/>
    <cellStyle name="Normal 19 2 56" xfId="5891" xr:uid="{00000000-0005-0000-0000-0000A3220000}"/>
    <cellStyle name="Normal 19 2 56 2" xfId="17933" xr:uid="{00000000-0005-0000-0000-0000A4220000}"/>
    <cellStyle name="Normal 19 2 57" xfId="5892" xr:uid="{00000000-0005-0000-0000-0000A5220000}"/>
    <cellStyle name="Normal 19 2 57 2" xfId="17934" xr:uid="{00000000-0005-0000-0000-0000A6220000}"/>
    <cellStyle name="Normal 19 2 58" xfId="5893" xr:uid="{00000000-0005-0000-0000-0000A7220000}"/>
    <cellStyle name="Normal 19 2 58 2" xfId="17935" xr:uid="{00000000-0005-0000-0000-0000A8220000}"/>
    <cellStyle name="Normal 19 2 59" xfId="5894" xr:uid="{00000000-0005-0000-0000-0000A9220000}"/>
    <cellStyle name="Normal 19 2 59 2" xfId="17936" xr:uid="{00000000-0005-0000-0000-0000AA220000}"/>
    <cellStyle name="Normal 19 2 6" xfId="5895" xr:uid="{00000000-0005-0000-0000-0000AB220000}"/>
    <cellStyle name="Normal 19 2 6 2" xfId="17937" xr:uid="{00000000-0005-0000-0000-0000AC220000}"/>
    <cellStyle name="Normal 19 2 60" xfId="5896" xr:uid="{00000000-0005-0000-0000-0000AD220000}"/>
    <cellStyle name="Normal 19 2 60 2" xfId="17938" xr:uid="{00000000-0005-0000-0000-0000AE220000}"/>
    <cellStyle name="Normal 19 2 61" xfId="5897" xr:uid="{00000000-0005-0000-0000-0000AF220000}"/>
    <cellStyle name="Normal 19 2 61 2" xfId="17939" xr:uid="{00000000-0005-0000-0000-0000B0220000}"/>
    <cellStyle name="Normal 19 2 62" xfId="5898" xr:uid="{00000000-0005-0000-0000-0000B1220000}"/>
    <cellStyle name="Normal 19 2 62 2" xfId="17940" xr:uid="{00000000-0005-0000-0000-0000B2220000}"/>
    <cellStyle name="Normal 19 2 63" xfId="5899" xr:uid="{00000000-0005-0000-0000-0000B3220000}"/>
    <cellStyle name="Normal 19 2 63 2" xfId="17941" xr:uid="{00000000-0005-0000-0000-0000B4220000}"/>
    <cellStyle name="Normal 19 2 64" xfId="5900" xr:uid="{00000000-0005-0000-0000-0000B5220000}"/>
    <cellStyle name="Normal 19 2 64 2" xfId="17942" xr:uid="{00000000-0005-0000-0000-0000B6220000}"/>
    <cellStyle name="Normal 19 2 65" xfId="5901" xr:uid="{00000000-0005-0000-0000-0000B7220000}"/>
    <cellStyle name="Normal 19 2 65 2" xfId="17943" xr:uid="{00000000-0005-0000-0000-0000B8220000}"/>
    <cellStyle name="Normal 19 2 66" xfId="5902" xr:uid="{00000000-0005-0000-0000-0000B9220000}"/>
    <cellStyle name="Normal 19 2 66 2" xfId="17944" xr:uid="{00000000-0005-0000-0000-0000BA220000}"/>
    <cellStyle name="Normal 19 2 67" xfId="5903" xr:uid="{00000000-0005-0000-0000-0000BB220000}"/>
    <cellStyle name="Normal 19 2 67 2" xfId="17945" xr:uid="{00000000-0005-0000-0000-0000BC220000}"/>
    <cellStyle name="Normal 19 2 68" xfId="5904" xr:uid="{00000000-0005-0000-0000-0000BD220000}"/>
    <cellStyle name="Normal 19 2 68 2" xfId="17946" xr:uid="{00000000-0005-0000-0000-0000BE220000}"/>
    <cellStyle name="Normal 19 2 69" xfId="5905" xr:uid="{00000000-0005-0000-0000-0000BF220000}"/>
    <cellStyle name="Normal 19 2 69 2" xfId="17947" xr:uid="{00000000-0005-0000-0000-0000C0220000}"/>
    <cellStyle name="Normal 19 2 7" xfId="5906" xr:uid="{00000000-0005-0000-0000-0000C1220000}"/>
    <cellStyle name="Normal 19 2 7 2" xfId="17948" xr:uid="{00000000-0005-0000-0000-0000C2220000}"/>
    <cellStyle name="Normal 19 2 70" xfId="5907" xr:uid="{00000000-0005-0000-0000-0000C3220000}"/>
    <cellStyle name="Normal 19 2 70 2" xfId="17949" xr:uid="{00000000-0005-0000-0000-0000C4220000}"/>
    <cellStyle name="Normal 19 2 71" xfId="5908" xr:uid="{00000000-0005-0000-0000-0000C5220000}"/>
    <cellStyle name="Normal 19 2 71 2" xfId="17950" xr:uid="{00000000-0005-0000-0000-0000C6220000}"/>
    <cellStyle name="Normal 19 2 72" xfId="5909" xr:uid="{00000000-0005-0000-0000-0000C7220000}"/>
    <cellStyle name="Normal 19 2 72 2" xfId="17951" xr:uid="{00000000-0005-0000-0000-0000C8220000}"/>
    <cellStyle name="Normal 19 2 73" xfId="5910" xr:uid="{00000000-0005-0000-0000-0000C9220000}"/>
    <cellStyle name="Normal 19 2 73 2" xfId="17952" xr:uid="{00000000-0005-0000-0000-0000CA220000}"/>
    <cellStyle name="Normal 19 2 74" xfId="5911" xr:uid="{00000000-0005-0000-0000-0000CB220000}"/>
    <cellStyle name="Normal 19 2 74 2" xfId="17953" xr:uid="{00000000-0005-0000-0000-0000CC220000}"/>
    <cellStyle name="Normal 19 2 75" xfId="5912" xr:uid="{00000000-0005-0000-0000-0000CD220000}"/>
    <cellStyle name="Normal 19 2 75 2" xfId="17954" xr:uid="{00000000-0005-0000-0000-0000CE220000}"/>
    <cellStyle name="Normal 19 2 76" xfId="5913" xr:uid="{00000000-0005-0000-0000-0000CF220000}"/>
    <cellStyle name="Normal 19 2 76 2" xfId="17955" xr:uid="{00000000-0005-0000-0000-0000D0220000}"/>
    <cellStyle name="Normal 19 2 77" xfId="5914" xr:uid="{00000000-0005-0000-0000-0000D1220000}"/>
    <cellStyle name="Normal 19 2 77 2" xfId="17956" xr:uid="{00000000-0005-0000-0000-0000D2220000}"/>
    <cellStyle name="Normal 19 2 78" xfId="5915" xr:uid="{00000000-0005-0000-0000-0000D3220000}"/>
    <cellStyle name="Normal 19 2 78 2" xfId="17957" xr:uid="{00000000-0005-0000-0000-0000D4220000}"/>
    <cellStyle name="Normal 19 2 79" xfId="5916" xr:uid="{00000000-0005-0000-0000-0000D5220000}"/>
    <cellStyle name="Normal 19 2 79 2" xfId="17958" xr:uid="{00000000-0005-0000-0000-0000D6220000}"/>
    <cellStyle name="Normal 19 2 8" xfId="5917" xr:uid="{00000000-0005-0000-0000-0000D7220000}"/>
    <cellStyle name="Normal 19 2 8 2" xfId="17959" xr:uid="{00000000-0005-0000-0000-0000D8220000}"/>
    <cellStyle name="Normal 19 2 80" xfId="17882" xr:uid="{00000000-0005-0000-0000-0000D9220000}"/>
    <cellStyle name="Normal 19 2 81" xfId="5840" xr:uid="{00000000-0005-0000-0000-0000DA220000}"/>
    <cellStyle name="Normal 19 2 9" xfId="5918" xr:uid="{00000000-0005-0000-0000-0000DB220000}"/>
    <cellStyle name="Normal 19 2 9 2" xfId="17960" xr:uid="{00000000-0005-0000-0000-0000DC220000}"/>
    <cellStyle name="Normal 19 20" xfId="5919" xr:uid="{00000000-0005-0000-0000-0000DD220000}"/>
    <cellStyle name="Normal 19 20 2" xfId="17961" xr:uid="{00000000-0005-0000-0000-0000DE220000}"/>
    <cellStyle name="Normal 19 21" xfId="5920" xr:uid="{00000000-0005-0000-0000-0000DF220000}"/>
    <cellStyle name="Normal 19 21 2" xfId="17962" xr:uid="{00000000-0005-0000-0000-0000E0220000}"/>
    <cellStyle name="Normal 19 22" xfId="5921" xr:uid="{00000000-0005-0000-0000-0000E1220000}"/>
    <cellStyle name="Normal 19 22 2" xfId="17963" xr:uid="{00000000-0005-0000-0000-0000E2220000}"/>
    <cellStyle name="Normal 19 23" xfId="5922" xr:uid="{00000000-0005-0000-0000-0000E3220000}"/>
    <cellStyle name="Normal 19 23 2" xfId="17964" xr:uid="{00000000-0005-0000-0000-0000E4220000}"/>
    <cellStyle name="Normal 19 24" xfId="5923" xr:uid="{00000000-0005-0000-0000-0000E5220000}"/>
    <cellStyle name="Normal 19 24 2" xfId="17965" xr:uid="{00000000-0005-0000-0000-0000E6220000}"/>
    <cellStyle name="Normal 19 25" xfId="5924" xr:uid="{00000000-0005-0000-0000-0000E7220000}"/>
    <cellStyle name="Normal 19 25 2" xfId="17966" xr:uid="{00000000-0005-0000-0000-0000E8220000}"/>
    <cellStyle name="Normal 19 26" xfId="5925" xr:uid="{00000000-0005-0000-0000-0000E9220000}"/>
    <cellStyle name="Normal 19 26 2" xfId="17967" xr:uid="{00000000-0005-0000-0000-0000EA220000}"/>
    <cellStyle name="Normal 19 27" xfId="5926" xr:uid="{00000000-0005-0000-0000-0000EB220000}"/>
    <cellStyle name="Normal 19 27 2" xfId="17968" xr:uid="{00000000-0005-0000-0000-0000EC220000}"/>
    <cellStyle name="Normal 19 28" xfId="5927" xr:uid="{00000000-0005-0000-0000-0000ED220000}"/>
    <cellStyle name="Normal 19 28 2" xfId="17969" xr:uid="{00000000-0005-0000-0000-0000EE220000}"/>
    <cellStyle name="Normal 19 29" xfId="5928" xr:uid="{00000000-0005-0000-0000-0000EF220000}"/>
    <cellStyle name="Normal 19 29 2" xfId="17970" xr:uid="{00000000-0005-0000-0000-0000F0220000}"/>
    <cellStyle name="Normal 19 3" xfId="699" xr:uid="{00000000-0005-0000-0000-0000F1220000}"/>
    <cellStyle name="Normal 19 3 10" xfId="5930" xr:uid="{00000000-0005-0000-0000-0000F2220000}"/>
    <cellStyle name="Normal 19 3 10 2" xfId="17972" xr:uid="{00000000-0005-0000-0000-0000F3220000}"/>
    <cellStyle name="Normal 19 3 11" xfId="5931" xr:uid="{00000000-0005-0000-0000-0000F4220000}"/>
    <cellStyle name="Normal 19 3 11 2" xfId="17973" xr:uid="{00000000-0005-0000-0000-0000F5220000}"/>
    <cellStyle name="Normal 19 3 12" xfId="5932" xr:uid="{00000000-0005-0000-0000-0000F6220000}"/>
    <cellStyle name="Normal 19 3 12 2" xfId="17974" xr:uid="{00000000-0005-0000-0000-0000F7220000}"/>
    <cellStyle name="Normal 19 3 13" xfId="5933" xr:uid="{00000000-0005-0000-0000-0000F8220000}"/>
    <cellStyle name="Normal 19 3 13 2" xfId="17975" xr:uid="{00000000-0005-0000-0000-0000F9220000}"/>
    <cellStyle name="Normal 19 3 14" xfId="5934" xr:uid="{00000000-0005-0000-0000-0000FA220000}"/>
    <cellStyle name="Normal 19 3 14 2" xfId="17976" xr:uid="{00000000-0005-0000-0000-0000FB220000}"/>
    <cellStyle name="Normal 19 3 15" xfId="5935" xr:uid="{00000000-0005-0000-0000-0000FC220000}"/>
    <cellStyle name="Normal 19 3 15 2" xfId="17977" xr:uid="{00000000-0005-0000-0000-0000FD220000}"/>
    <cellStyle name="Normal 19 3 16" xfId="5936" xr:uid="{00000000-0005-0000-0000-0000FE220000}"/>
    <cellStyle name="Normal 19 3 16 2" xfId="17978" xr:uid="{00000000-0005-0000-0000-0000FF220000}"/>
    <cellStyle name="Normal 19 3 17" xfId="5937" xr:uid="{00000000-0005-0000-0000-000000230000}"/>
    <cellStyle name="Normal 19 3 17 2" xfId="17979" xr:uid="{00000000-0005-0000-0000-000001230000}"/>
    <cellStyle name="Normal 19 3 18" xfId="5938" xr:uid="{00000000-0005-0000-0000-000002230000}"/>
    <cellStyle name="Normal 19 3 18 2" xfId="17980" xr:uid="{00000000-0005-0000-0000-000003230000}"/>
    <cellStyle name="Normal 19 3 19" xfId="5939" xr:uid="{00000000-0005-0000-0000-000004230000}"/>
    <cellStyle name="Normal 19 3 19 2" xfId="17981" xr:uid="{00000000-0005-0000-0000-000005230000}"/>
    <cellStyle name="Normal 19 3 2" xfId="5940" xr:uid="{00000000-0005-0000-0000-000006230000}"/>
    <cellStyle name="Normal 19 3 2 2" xfId="17982" xr:uid="{00000000-0005-0000-0000-000007230000}"/>
    <cellStyle name="Normal 19 3 20" xfId="5941" xr:uid="{00000000-0005-0000-0000-000008230000}"/>
    <cellStyle name="Normal 19 3 20 2" xfId="17983" xr:uid="{00000000-0005-0000-0000-000009230000}"/>
    <cellStyle name="Normal 19 3 21" xfId="5942" xr:uid="{00000000-0005-0000-0000-00000A230000}"/>
    <cellStyle name="Normal 19 3 21 2" xfId="17984" xr:uid="{00000000-0005-0000-0000-00000B230000}"/>
    <cellStyle name="Normal 19 3 22" xfId="5943" xr:uid="{00000000-0005-0000-0000-00000C230000}"/>
    <cellStyle name="Normal 19 3 22 2" xfId="17985" xr:uid="{00000000-0005-0000-0000-00000D230000}"/>
    <cellStyle name="Normal 19 3 23" xfId="5944" xr:uid="{00000000-0005-0000-0000-00000E230000}"/>
    <cellStyle name="Normal 19 3 23 2" xfId="17986" xr:uid="{00000000-0005-0000-0000-00000F230000}"/>
    <cellStyle name="Normal 19 3 24" xfId="5945" xr:uid="{00000000-0005-0000-0000-000010230000}"/>
    <cellStyle name="Normal 19 3 24 2" xfId="17987" xr:uid="{00000000-0005-0000-0000-000011230000}"/>
    <cellStyle name="Normal 19 3 25" xfId="5946" xr:uid="{00000000-0005-0000-0000-000012230000}"/>
    <cellStyle name="Normal 19 3 25 2" xfId="17988" xr:uid="{00000000-0005-0000-0000-000013230000}"/>
    <cellStyle name="Normal 19 3 26" xfId="5947" xr:uid="{00000000-0005-0000-0000-000014230000}"/>
    <cellStyle name="Normal 19 3 26 2" xfId="17989" xr:uid="{00000000-0005-0000-0000-000015230000}"/>
    <cellStyle name="Normal 19 3 27" xfId="5948" xr:uid="{00000000-0005-0000-0000-000016230000}"/>
    <cellStyle name="Normal 19 3 27 2" xfId="17990" xr:uid="{00000000-0005-0000-0000-000017230000}"/>
    <cellStyle name="Normal 19 3 28" xfId="5949" xr:uid="{00000000-0005-0000-0000-000018230000}"/>
    <cellStyle name="Normal 19 3 28 2" xfId="17991" xr:uid="{00000000-0005-0000-0000-000019230000}"/>
    <cellStyle name="Normal 19 3 29" xfId="5950" xr:uid="{00000000-0005-0000-0000-00001A230000}"/>
    <cellStyle name="Normal 19 3 29 2" xfId="17992" xr:uid="{00000000-0005-0000-0000-00001B230000}"/>
    <cellStyle name="Normal 19 3 3" xfId="5951" xr:uid="{00000000-0005-0000-0000-00001C230000}"/>
    <cellStyle name="Normal 19 3 3 2" xfId="17993" xr:uid="{00000000-0005-0000-0000-00001D230000}"/>
    <cellStyle name="Normal 19 3 30" xfId="5952" xr:uid="{00000000-0005-0000-0000-00001E230000}"/>
    <cellStyle name="Normal 19 3 30 2" xfId="17994" xr:uid="{00000000-0005-0000-0000-00001F230000}"/>
    <cellStyle name="Normal 19 3 31" xfId="5953" xr:uid="{00000000-0005-0000-0000-000020230000}"/>
    <cellStyle name="Normal 19 3 31 2" xfId="17995" xr:uid="{00000000-0005-0000-0000-000021230000}"/>
    <cellStyle name="Normal 19 3 32" xfId="5954" xr:uid="{00000000-0005-0000-0000-000022230000}"/>
    <cellStyle name="Normal 19 3 32 2" xfId="17996" xr:uid="{00000000-0005-0000-0000-000023230000}"/>
    <cellStyle name="Normal 19 3 33" xfId="5955" xr:uid="{00000000-0005-0000-0000-000024230000}"/>
    <cellStyle name="Normal 19 3 33 2" xfId="17997" xr:uid="{00000000-0005-0000-0000-000025230000}"/>
    <cellStyle name="Normal 19 3 34" xfId="5956" xr:uid="{00000000-0005-0000-0000-000026230000}"/>
    <cellStyle name="Normal 19 3 34 2" xfId="17998" xr:uid="{00000000-0005-0000-0000-000027230000}"/>
    <cellStyle name="Normal 19 3 35" xfId="5957" xr:uid="{00000000-0005-0000-0000-000028230000}"/>
    <cellStyle name="Normal 19 3 35 2" xfId="17999" xr:uid="{00000000-0005-0000-0000-000029230000}"/>
    <cellStyle name="Normal 19 3 36" xfId="5958" xr:uid="{00000000-0005-0000-0000-00002A230000}"/>
    <cellStyle name="Normal 19 3 36 2" xfId="18000" xr:uid="{00000000-0005-0000-0000-00002B230000}"/>
    <cellStyle name="Normal 19 3 37" xfId="5959" xr:uid="{00000000-0005-0000-0000-00002C230000}"/>
    <cellStyle name="Normal 19 3 37 2" xfId="18001" xr:uid="{00000000-0005-0000-0000-00002D230000}"/>
    <cellStyle name="Normal 19 3 38" xfId="5960" xr:uid="{00000000-0005-0000-0000-00002E230000}"/>
    <cellStyle name="Normal 19 3 38 2" xfId="18002" xr:uid="{00000000-0005-0000-0000-00002F230000}"/>
    <cellStyle name="Normal 19 3 39" xfId="5961" xr:uid="{00000000-0005-0000-0000-000030230000}"/>
    <cellStyle name="Normal 19 3 39 2" xfId="18003" xr:uid="{00000000-0005-0000-0000-000031230000}"/>
    <cellStyle name="Normal 19 3 4" xfId="5962" xr:uid="{00000000-0005-0000-0000-000032230000}"/>
    <cellStyle name="Normal 19 3 4 2" xfId="18004" xr:uid="{00000000-0005-0000-0000-000033230000}"/>
    <cellStyle name="Normal 19 3 40" xfId="5963" xr:uid="{00000000-0005-0000-0000-000034230000}"/>
    <cellStyle name="Normal 19 3 40 2" xfId="18005" xr:uid="{00000000-0005-0000-0000-000035230000}"/>
    <cellStyle name="Normal 19 3 41" xfId="5964" xr:uid="{00000000-0005-0000-0000-000036230000}"/>
    <cellStyle name="Normal 19 3 41 2" xfId="18006" xr:uid="{00000000-0005-0000-0000-000037230000}"/>
    <cellStyle name="Normal 19 3 42" xfId="5965" xr:uid="{00000000-0005-0000-0000-000038230000}"/>
    <cellStyle name="Normal 19 3 42 2" xfId="18007" xr:uid="{00000000-0005-0000-0000-000039230000}"/>
    <cellStyle name="Normal 19 3 43" xfId="5966" xr:uid="{00000000-0005-0000-0000-00003A230000}"/>
    <cellStyle name="Normal 19 3 43 2" xfId="18008" xr:uid="{00000000-0005-0000-0000-00003B230000}"/>
    <cellStyle name="Normal 19 3 44" xfId="5967" xr:uid="{00000000-0005-0000-0000-00003C230000}"/>
    <cellStyle name="Normal 19 3 44 2" xfId="18009" xr:uid="{00000000-0005-0000-0000-00003D230000}"/>
    <cellStyle name="Normal 19 3 45" xfId="5968" xr:uid="{00000000-0005-0000-0000-00003E230000}"/>
    <cellStyle name="Normal 19 3 45 2" xfId="18010" xr:uid="{00000000-0005-0000-0000-00003F230000}"/>
    <cellStyle name="Normal 19 3 46" xfId="5969" xr:uid="{00000000-0005-0000-0000-000040230000}"/>
    <cellStyle name="Normal 19 3 46 2" xfId="18011" xr:uid="{00000000-0005-0000-0000-000041230000}"/>
    <cellStyle name="Normal 19 3 47" xfId="5970" xr:uid="{00000000-0005-0000-0000-000042230000}"/>
    <cellStyle name="Normal 19 3 47 2" xfId="18012" xr:uid="{00000000-0005-0000-0000-000043230000}"/>
    <cellStyle name="Normal 19 3 48" xfId="5971" xr:uid="{00000000-0005-0000-0000-000044230000}"/>
    <cellStyle name="Normal 19 3 48 2" xfId="18013" xr:uid="{00000000-0005-0000-0000-000045230000}"/>
    <cellStyle name="Normal 19 3 49" xfId="5972" xr:uid="{00000000-0005-0000-0000-000046230000}"/>
    <cellStyle name="Normal 19 3 49 2" xfId="18014" xr:uid="{00000000-0005-0000-0000-000047230000}"/>
    <cellStyle name="Normal 19 3 5" xfId="5973" xr:uid="{00000000-0005-0000-0000-000048230000}"/>
    <cellStyle name="Normal 19 3 5 2" xfId="18015" xr:uid="{00000000-0005-0000-0000-000049230000}"/>
    <cellStyle name="Normal 19 3 50" xfId="5974" xr:uid="{00000000-0005-0000-0000-00004A230000}"/>
    <cellStyle name="Normal 19 3 50 2" xfId="18016" xr:uid="{00000000-0005-0000-0000-00004B230000}"/>
    <cellStyle name="Normal 19 3 51" xfId="5975" xr:uid="{00000000-0005-0000-0000-00004C230000}"/>
    <cellStyle name="Normal 19 3 51 2" xfId="18017" xr:uid="{00000000-0005-0000-0000-00004D230000}"/>
    <cellStyle name="Normal 19 3 52" xfId="5976" xr:uid="{00000000-0005-0000-0000-00004E230000}"/>
    <cellStyle name="Normal 19 3 52 2" xfId="18018" xr:uid="{00000000-0005-0000-0000-00004F230000}"/>
    <cellStyle name="Normal 19 3 53" xfId="5977" xr:uid="{00000000-0005-0000-0000-000050230000}"/>
    <cellStyle name="Normal 19 3 53 2" xfId="18019" xr:uid="{00000000-0005-0000-0000-000051230000}"/>
    <cellStyle name="Normal 19 3 54" xfId="5978" xr:uid="{00000000-0005-0000-0000-000052230000}"/>
    <cellStyle name="Normal 19 3 54 2" xfId="18020" xr:uid="{00000000-0005-0000-0000-000053230000}"/>
    <cellStyle name="Normal 19 3 55" xfId="5979" xr:uid="{00000000-0005-0000-0000-000054230000}"/>
    <cellStyle name="Normal 19 3 55 2" xfId="18021" xr:uid="{00000000-0005-0000-0000-000055230000}"/>
    <cellStyle name="Normal 19 3 56" xfId="5980" xr:uid="{00000000-0005-0000-0000-000056230000}"/>
    <cellStyle name="Normal 19 3 56 2" xfId="18022" xr:uid="{00000000-0005-0000-0000-000057230000}"/>
    <cellStyle name="Normal 19 3 57" xfId="5981" xr:uid="{00000000-0005-0000-0000-000058230000}"/>
    <cellStyle name="Normal 19 3 57 2" xfId="18023" xr:uid="{00000000-0005-0000-0000-000059230000}"/>
    <cellStyle name="Normal 19 3 58" xfId="5982" xr:uid="{00000000-0005-0000-0000-00005A230000}"/>
    <cellStyle name="Normal 19 3 58 2" xfId="18024" xr:uid="{00000000-0005-0000-0000-00005B230000}"/>
    <cellStyle name="Normal 19 3 59" xfId="5983" xr:uid="{00000000-0005-0000-0000-00005C230000}"/>
    <cellStyle name="Normal 19 3 59 2" xfId="18025" xr:uid="{00000000-0005-0000-0000-00005D230000}"/>
    <cellStyle name="Normal 19 3 6" xfId="5984" xr:uid="{00000000-0005-0000-0000-00005E230000}"/>
    <cellStyle name="Normal 19 3 6 2" xfId="18026" xr:uid="{00000000-0005-0000-0000-00005F230000}"/>
    <cellStyle name="Normal 19 3 60" xfId="5985" xr:uid="{00000000-0005-0000-0000-000060230000}"/>
    <cellStyle name="Normal 19 3 60 2" xfId="18027" xr:uid="{00000000-0005-0000-0000-000061230000}"/>
    <cellStyle name="Normal 19 3 61" xfId="5986" xr:uid="{00000000-0005-0000-0000-000062230000}"/>
    <cellStyle name="Normal 19 3 61 2" xfId="18028" xr:uid="{00000000-0005-0000-0000-000063230000}"/>
    <cellStyle name="Normal 19 3 62" xfId="5987" xr:uid="{00000000-0005-0000-0000-000064230000}"/>
    <cellStyle name="Normal 19 3 62 2" xfId="18029" xr:uid="{00000000-0005-0000-0000-000065230000}"/>
    <cellStyle name="Normal 19 3 63" xfId="5988" xr:uid="{00000000-0005-0000-0000-000066230000}"/>
    <cellStyle name="Normal 19 3 63 2" xfId="18030" xr:uid="{00000000-0005-0000-0000-000067230000}"/>
    <cellStyle name="Normal 19 3 64" xfId="5989" xr:uid="{00000000-0005-0000-0000-000068230000}"/>
    <cellStyle name="Normal 19 3 64 2" xfId="18031" xr:uid="{00000000-0005-0000-0000-000069230000}"/>
    <cellStyle name="Normal 19 3 65" xfId="5990" xr:uid="{00000000-0005-0000-0000-00006A230000}"/>
    <cellStyle name="Normal 19 3 65 2" xfId="18032" xr:uid="{00000000-0005-0000-0000-00006B230000}"/>
    <cellStyle name="Normal 19 3 66" xfId="5991" xr:uid="{00000000-0005-0000-0000-00006C230000}"/>
    <cellStyle name="Normal 19 3 66 2" xfId="18033" xr:uid="{00000000-0005-0000-0000-00006D230000}"/>
    <cellStyle name="Normal 19 3 67" xfId="5992" xr:uid="{00000000-0005-0000-0000-00006E230000}"/>
    <cellStyle name="Normal 19 3 67 2" xfId="18034" xr:uid="{00000000-0005-0000-0000-00006F230000}"/>
    <cellStyle name="Normal 19 3 68" xfId="5993" xr:uid="{00000000-0005-0000-0000-000070230000}"/>
    <cellStyle name="Normal 19 3 68 2" xfId="18035" xr:uid="{00000000-0005-0000-0000-000071230000}"/>
    <cellStyle name="Normal 19 3 69" xfId="5994" xr:uid="{00000000-0005-0000-0000-000072230000}"/>
    <cellStyle name="Normal 19 3 69 2" xfId="18036" xr:uid="{00000000-0005-0000-0000-000073230000}"/>
    <cellStyle name="Normal 19 3 7" xfId="5995" xr:uid="{00000000-0005-0000-0000-000074230000}"/>
    <cellStyle name="Normal 19 3 7 2" xfId="18037" xr:uid="{00000000-0005-0000-0000-000075230000}"/>
    <cellStyle name="Normal 19 3 70" xfId="5996" xr:uid="{00000000-0005-0000-0000-000076230000}"/>
    <cellStyle name="Normal 19 3 70 2" xfId="18038" xr:uid="{00000000-0005-0000-0000-000077230000}"/>
    <cellStyle name="Normal 19 3 71" xfId="5997" xr:uid="{00000000-0005-0000-0000-000078230000}"/>
    <cellStyle name="Normal 19 3 71 2" xfId="18039" xr:uid="{00000000-0005-0000-0000-000079230000}"/>
    <cellStyle name="Normal 19 3 72" xfId="5998" xr:uid="{00000000-0005-0000-0000-00007A230000}"/>
    <cellStyle name="Normal 19 3 72 2" xfId="18040" xr:uid="{00000000-0005-0000-0000-00007B230000}"/>
    <cellStyle name="Normal 19 3 73" xfId="5999" xr:uid="{00000000-0005-0000-0000-00007C230000}"/>
    <cellStyle name="Normal 19 3 73 2" xfId="18041" xr:uid="{00000000-0005-0000-0000-00007D230000}"/>
    <cellStyle name="Normal 19 3 74" xfId="6000" xr:uid="{00000000-0005-0000-0000-00007E230000}"/>
    <cellStyle name="Normal 19 3 74 2" xfId="18042" xr:uid="{00000000-0005-0000-0000-00007F230000}"/>
    <cellStyle name="Normal 19 3 75" xfId="6001" xr:uid="{00000000-0005-0000-0000-000080230000}"/>
    <cellStyle name="Normal 19 3 75 2" xfId="18043" xr:uid="{00000000-0005-0000-0000-000081230000}"/>
    <cellStyle name="Normal 19 3 76" xfId="6002" xr:uid="{00000000-0005-0000-0000-000082230000}"/>
    <cellStyle name="Normal 19 3 76 2" xfId="18044" xr:uid="{00000000-0005-0000-0000-000083230000}"/>
    <cellStyle name="Normal 19 3 77" xfId="6003" xr:uid="{00000000-0005-0000-0000-000084230000}"/>
    <cellStyle name="Normal 19 3 77 2" xfId="18045" xr:uid="{00000000-0005-0000-0000-000085230000}"/>
    <cellStyle name="Normal 19 3 78" xfId="6004" xr:uid="{00000000-0005-0000-0000-000086230000}"/>
    <cellStyle name="Normal 19 3 78 2" xfId="18046" xr:uid="{00000000-0005-0000-0000-000087230000}"/>
    <cellStyle name="Normal 19 3 79" xfId="6005" xr:uid="{00000000-0005-0000-0000-000088230000}"/>
    <cellStyle name="Normal 19 3 79 2" xfId="18047" xr:uid="{00000000-0005-0000-0000-000089230000}"/>
    <cellStyle name="Normal 19 3 8" xfId="6006" xr:uid="{00000000-0005-0000-0000-00008A230000}"/>
    <cellStyle name="Normal 19 3 8 2" xfId="18048" xr:uid="{00000000-0005-0000-0000-00008B230000}"/>
    <cellStyle name="Normal 19 3 80" xfId="17971" xr:uid="{00000000-0005-0000-0000-00008C230000}"/>
    <cellStyle name="Normal 19 3 81" xfId="5929" xr:uid="{00000000-0005-0000-0000-00008D230000}"/>
    <cellStyle name="Normal 19 3 9" xfId="6007" xr:uid="{00000000-0005-0000-0000-00008E230000}"/>
    <cellStyle name="Normal 19 3 9 2" xfId="18049" xr:uid="{00000000-0005-0000-0000-00008F230000}"/>
    <cellStyle name="Normal 19 30" xfId="6008" xr:uid="{00000000-0005-0000-0000-000090230000}"/>
    <cellStyle name="Normal 19 30 2" xfId="18050" xr:uid="{00000000-0005-0000-0000-000091230000}"/>
    <cellStyle name="Normal 19 31" xfId="6009" xr:uid="{00000000-0005-0000-0000-000092230000}"/>
    <cellStyle name="Normal 19 31 2" xfId="18051" xr:uid="{00000000-0005-0000-0000-000093230000}"/>
    <cellStyle name="Normal 19 32" xfId="6010" xr:uid="{00000000-0005-0000-0000-000094230000}"/>
    <cellStyle name="Normal 19 32 2" xfId="18052" xr:uid="{00000000-0005-0000-0000-000095230000}"/>
    <cellStyle name="Normal 19 33" xfId="6011" xr:uid="{00000000-0005-0000-0000-000096230000}"/>
    <cellStyle name="Normal 19 33 2" xfId="18053" xr:uid="{00000000-0005-0000-0000-000097230000}"/>
    <cellStyle name="Normal 19 34" xfId="6012" xr:uid="{00000000-0005-0000-0000-000098230000}"/>
    <cellStyle name="Normal 19 34 2" xfId="18054" xr:uid="{00000000-0005-0000-0000-000099230000}"/>
    <cellStyle name="Normal 19 35" xfId="6013" xr:uid="{00000000-0005-0000-0000-00009A230000}"/>
    <cellStyle name="Normal 19 35 2" xfId="18055" xr:uid="{00000000-0005-0000-0000-00009B230000}"/>
    <cellStyle name="Normal 19 36" xfId="6014" xr:uid="{00000000-0005-0000-0000-00009C230000}"/>
    <cellStyle name="Normal 19 36 2" xfId="18056" xr:uid="{00000000-0005-0000-0000-00009D230000}"/>
    <cellStyle name="Normal 19 37" xfId="6015" xr:uid="{00000000-0005-0000-0000-00009E230000}"/>
    <cellStyle name="Normal 19 37 2" xfId="18057" xr:uid="{00000000-0005-0000-0000-00009F230000}"/>
    <cellStyle name="Normal 19 38" xfId="6016" xr:uid="{00000000-0005-0000-0000-0000A0230000}"/>
    <cellStyle name="Normal 19 38 2" xfId="18058" xr:uid="{00000000-0005-0000-0000-0000A1230000}"/>
    <cellStyle name="Normal 19 39" xfId="6017" xr:uid="{00000000-0005-0000-0000-0000A2230000}"/>
    <cellStyle name="Normal 19 39 2" xfId="18059" xr:uid="{00000000-0005-0000-0000-0000A3230000}"/>
    <cellStyle name="Normal 19 4" xfId="308" xr:uid="{00000000-0005-0000-0000-0000A4230000}"/>
    <cellStyle name="Normal 19 4 10" xfId="6018" xr:uid="{00000000-0005-0000-0000-0000A5230000}"/>
    <cellStyle name="Normal 19 4 10 2" xfId="18061" xr:uid="{00000000-0005-0000-0000-0000A6230000}"/>
    <cellStyle name="Normal 19 4 11" xfId="6019" xr:uid="{00000000-0005-0000-0000-0000A7230000}"/>
    <cellStyle name="Normal 19 4 11 2" xfId="18062" xr:uid="{00000000-0005-0000-0000-0000A8230000}"/>
    <cellStyle name="Normal 19 4 12" xfId="6020" xr:uid="{00000000-0005-0000-0000-0000A9230000}"/>
    <cellStyle name="Normal 19 4 12 2" xfId="18063" xr:uid="{00000000-0005-0000-0000-0000AA230000}"/>
    <cellStyle name="Normal 19 4 13" xfId="6021" xr:uid="{00000000-0005-0000-0000-0000AB230000}"/>
    <cellStyle name="Normal 19 4 13 2" xfId="18064" xr:uid="{00000000-0005-0000-0000-0000AC230000}"/>
    <cellStyle name="Normal 19 4 14" xfId="6022" xr:uid="{00000000-0005-0000-0000-0000AD230000}"/>
    <cellStyle name="Normal 19 4 14 2" xfId="18065" xr:uid="{00000000-0005-0000-0000-0000AE230000}"/>
    <cellStyle name="Normal 19 4 15" xfId="6023" xr:uid="{00000000-0005-0000-0000-0000AF230000}"/>
    <cellStyle name="Normal 19 4 15 2" xfId="18066" xr:uid="{00000000-0005-0000-0000-0000B0230000}"/>
    <cellStyle name="Normal 19 4 16" xfId="6024" xr:uid="{00000000-0005-0000-0000-0000B1230000}"/>
    <cellStyle name="Normal 19 4 16 2" xfId="18067" xr:uid="{00000000-0005-0000-0000-0000B2230000}"/>
    <cellStyle name="Normal 19 4 17" xfId="6025" xr:uid="{00000000-0005-0000-0000-0000B3230000}"/>
    <cellStyle name="Normal 19 4 17 2" xfId="18068" xr:uid="{00000000-0005-0000-0000-0000B4230000}"/>
    <cellStyle name="Normal 19 4 18" xfId="6026" xr:uid="{00000000-0005-0000-0000-0000B5230000}"/>
    <cellStyle name="Normal 19 4 18 2" xfId="18069" xr:uid="{00000000-0005-0000-0000-0000B6230000}"/>
    <cellStyle name="Normal 19 4 19" xfId="6027" xr:uid="{00000000-0005-0000-0000-0000B7230000}"/>
    <cellStyle name="Normal 19 4 19 2" xfId="18070" xr:uid="{00000000-0005-0000-0000-0000B8230000}"/>
    <cellStyle name="Normal 19 4 2" xfId="6028" xr:uid="{00000000-0005-0000-0000-0000B9230000}"/>
    <cellStyle name="Normal 19 4 2 2" xfId="18071" xr:uid="{00000000-0005-0000-0000-0000BA230000}"/>
    <cellStyle name="Normal 19 4 20" xfId="6029" xr:uid="{00000000-0005-0000-0000-0000BB230000}"/>
    <cellStyle name="Normal 19 4 20 2" xfId="18072" xr:uid="{00000000-0005-0000-0000-0000BC230000}"/>
    <cellStyle name="Normal 19 4 21" xfId="6030" xr:uid="{00000000-0005-0000-0000-0000BD230000}"/>
    <cellStyle name="Normal 19 4 21 2" xfId="18073" xr:uid="{00000000-0005-0000-0000-0000BE230000}"/>
    <cellStyle name="Normal 19 4 22" xfId="6031" xr:uid="{00000000-0005-0000-0000-0000BF230000}"/>
    <cellStyle name="Normal 19 4 22 2" xfId="18074" xr:uid="{00000000-0005-0000-0000-0000C0230000}"/>
    <cellStyle name="Normal 19 4 23" xfId="6032" xr:uid="{00000000-0005-0000-0000-0000C1230000}"/>
    <cellStyle name="Normal 19 4 23 2" xfId="18075" xr:uid="{00000000-0005-0000-0000-0000C2230000}"/>
    <cellStyle name="Normal 19 4 24" xfId="6033" xr:uid="{00000000-0005-0000-0000-0000C3230000}"/>
    <cellStyle name="Normal 19 4 24 2" xfId="18076" xr:uid="{00000000-0005-0000-0000-0000C4230000}"/>
    <cellStyle name="Normal 19 4 25" xfId="6034" xr:uid="{00000000-0005-0000-0000-0000C5230000}"/>
    <cellStyle name="Normal 19 4 25 2" xfId="18077" xr:uid="{00000000-0005-0000-0000-0000C6230000}"/>
    <cellStyle name="Normal 19 4 26" xfId="6035" xr:uid="{00000000-0005-0000-0000-0000C7230000}"/>
    <cellStyle name="Normal 19 4 26 2" xfId="18078" xr:uid="{00000000-0005-0000-0000-0000C8230000}"/>
    <cellStyle name="Normal 19 4 27" xfId="6036" xr:uid="{00000000-0005-0000-0000-0000C9230000}"/>
    <cellStyle name="Normal 19 4 27 2" xfId="18079" xr:uid="{00000000-0005-0000-0000-0000CA230000}"/>
    <cellStyle name="Normal 19 4 28" xfId="6037" xr:uid="{00000000-0005-0000-0000-0000CB230000}"/>
    <cellStyle name="Normal 19 4 28 2" xfId="18080" xr:uid="{00000000-0005-0000-0000-0000CC230000}"/>
    <cellStyle name="Normal 19 4 29" xfId="6038" xr:uid="{00000000-0005-0000-0000-0000CD230000}"/>
    <cellStyle name="Normal 19 4 29 2" xfId="18081" xr:uid="{00000000-0005-0000-0000-0000CE230000}"/>
    <cellStyle name="Normal 19 4 3" xfId="6039" xr:uid="{00000000-0005-0000-0000-0000CF230000}"/>
    <cellStyle name="Normal 19 4 3 2" xfId="18082" xr:uid="{00000000-0005-0000-0000-0000D0230000}"/>
    <cellStyle name="Normal 19 4 30" xfId="6040" xr:uid="{00000000-0005-0000-0000-0000D1230000}"/>
    <cellStyle name="Normal 19 4 30 2" xfId="18083" xr:uid="{00000000-0005-0000-0000-0000D2230000}"/>
    <cellStyle name="Normal 19 4 31" xfId="6041" xr:uid="{00000000-0005-0000-0000-0000D3230000}"/>
    <cellStyle name="Normal 19 4 31 2" xfId="18084" xr:uid="{00000000-0005-0000-0000-0000D4230000}"/>
    <cellStyle name="Normal 19 4 32" xfId="6042" xr:uid="{00000000-0005-0000-0000-0000D5230000}"/>
    <cellStyle name="Normal 19 4 32 2" xfId="18085" xr:uid="{00000000-0005-0000-0000-0000D6230000}"/>
    <cellStyle name="Normal 19 4 33" xfId="6043" xr:uid="{00000000-0005-0000-0000-0000D7230000}"/>
    <cellStyle name="Normal 19 4 33 2" xfId="18086" xr:uid="{00000000-0005-0000-0000-0000D8230000}"/>
    <cellStyle name="Normal 19 4 34" xfId="6044" xr:uid="{00000000-0005-0000-0000-0000D9230000}"/>
    <cellStyle name="Normal 19 4 34 2" xfId="18087" xr:uid="{00000000-0005-0000-0000-0000DA230000}"/>
    <cellStyle name="Normal 19 4 35" xfId="6045" xr:uid="{00000000-0005-0000-0000-0000DB230000}"/>
    <cellStyle name="Normal 19 4 35 2" xfId="18088" xr:uid="{00000000-0005-0000-0000-0000DC230000}"/>
    <cellStyle name="Normal 19 4 36" xfId="6046" xr:uid="{00000000-0005-0000-0000-0000DD230000}"/>
    <cellStyle name="Normal 19 4 36 2" xfId="18089" xr:uid="{00000000-0005-0000-0000-0000DE230000}"/>
    <cellStyle name="Normal 19 4 37" xfId="6047" xr:uid="{00000000-0005-0000-0000-0000DF230000}"/>
    <cellStyle name="Normal 19 4 37 2" xfId="18090" xr:uid="{00000000-0005-0000-0000-0000E0230000}"/>
    <cellStyle name="Normal 19 4 38" xfId="6048" xr:uid="{00000000-0005-0000-0000-0000E1230000}"/>
    <cellStyle name="Normal 19 4 38 2" xfId="18091" xr:uid="{00000000-0005-0000-0000-0000E2230000}"/>
    <cellStyle name="Normal 19 4 39" xfId="6049" xr:uid="{00000000-0005-0000-0000-0000E3230000}"/>
    <cellStyle name="Normal 19 4 39 2" xfId="18092" xr:uid="{00000000-0005-0000-0000-0000E4230000}"/>
    <cellStyle name="Normal 19 4 4" xfId="6050" xr:uid="{00000000-0005-0000-0000-0000E5230000}"/>
    <cellStyle name="Normal 19 4 4 2" xfId="18093" xr:uid="{00000000-0005-0000-0000-0000E6230000}"/>
    <cellStyle name="Normal 19 4 40" xfId="6051" xr:uid="{00000000-0005-0000-0000-0000E7230000}"/>
    <cellStyle name="Normal 19 4 40 2" xfId="18094" xr:uid="{00000000-0005-0000-0000-0000E8230000}"/>
    <cellStyle name="Normal 19 4 41" xfId="6052" xr:uid="{00000000-0005-0000-0000-0000E9230000}"/>
    <cellStyle name="Normal 19 4 41 2" xfId="18095" xr:uid="{00000000-0005-0000-0000-0000EA230000}"/>
    <cellStyle name="Normal 19 4 42" xfId="6053" xr:uid="{00000000-0005-0000-0000-0000EB230000}"/>
    <cellStyle name="Normal 19 4 42 2" xfId="18096" xr:uid="{00000000-0005-0000-0000-0000EC230000}"/>
    <cellStyle name="Normal 19 4 43" xfId="6054" xr:uid="{00000000-0005-0000-0000-0000ED230000}"/>
    <cellStyle name="Normal 19 4 43 2" xfId="18097" xr:uid="{00000000-0005-0000-0000-0000EE230000}"/>
    <cellStyle name="Normal 19 4 44" xfId="6055" xr:uid="{00000000-0005-0000-0000-0000EF230000}"/>
    <cellStyle name="Normal 19 4 44 2" xfId="18098" xr:uid="{00000000-0005-0000-0000-0000F0230000}"/>
    <cellStyle name="Normal 19 4 45" xfId="6056" xr:uid="{00000000-0005-0000-0000-0000F1230000}"/>
    <cellStyle name="Normal 19 4 45 2" xfId="18099" xr:uid="{00000000-0005-0000-0000-0000F2230000}"/>
    <cellStyle name="Normal 19 4 46" xfId="6057" xr:uid="{00000000-0005-0000-0000-0000F3230000}"/>
    <cellStyle name="Normal 19 4 46 2" xfId="18100" xr:uid="{00000000-0005-0000-0000-0000F4230000}"/>
    <cellStyle name="Normal 19 4 47" xfId="6058" xr:uid="{00000000-0005-0000-0000-0000F5230000}"/>
    <cellStyle name="Normal 19 4 47 2" xfId="18101" xr:uid="{00000000-0005-0000-0000-0000F6230000}"/>
    <cellStyle name="Normal 19 4 48" xfId="6059" xr:uid="{00000000-0005-0000-0000-0000F7230000}"/>
    <cellStyle name="Normal 19 4 48 2" xfId="18102" xr:uid="{00000000-0005-0000-0000-0000F8230000}"/>
    <cellStyle name="Normal 19 4 49" xfId="6060" xr:uid="{00000000-0005-0000-0000-0000F9230000}"/>
    <cellStyle name="Normal 19 4 49 2" xfId="18103" xr:uid="{00000000-0005-0000-0000-0000FA230000}"/>
    <cellStyle name="Normal 19 4 5" xfId="6061" xr:uid="{00000000-0005-0000-0000-0000FB230000}"/>
    <cellStyle name="Normal 19 4 5 2" xfId="18104" xr:uid="{00000000-0005-0000-0000-0000FC230000}"/>
    <cellStyle name="Normal 19 4 50" xfId="6062" xr:uid="{00000000-0005-0000-0000-0000FD230000}"/>
    <cellStyle name="Normal 19 4 50 2" xfId="18105" xr:uid="{00000000-0005-0000-0000-0000FE230000}"/>
    <cellStyle name="Normal 19 4 51" xfId="6063" xr:uid="{00000000-0005-0000-0000-0000FF230000}"/>
    <cellStyle name="Normal 19 4 51 2" xfId="18106" xr:uid="{00000000-0005-0000-0000-000000240000}"/>
    <cellStyle name="Normal 19 4 52" xfId="6064" xr:uid="{00000000-0005-0000-0000-000001240000}"/>
    <cellStyle name="Normal 19 4 52 2" xfId="18107" xr:uid="{00000000-0005-0000-0000-000002240000}"/>
    <cellStyle name="Normal 19 4 53" xfId="6065" xr:uid="{00000000-0005-0000-0000-000003240000}"/>
    <cellStyle name="Normal 19 4 53 2" xfId="18108" xr:uid="{00000000-0005-0000-0000-000004240000}"/>
    <cellStyle name="Normal 19 4 54" xfId="6066" xr:uid="{00000000-0005-0000-0000-000005240000}"/>
    <cellStyle name="Normal 19 4 54 2" xfId="18109" xr:uid="{00000000-0005-0000-0000-000006240000}"/>
    <cellStyle name="Normal 19 4 55" xfId="6067" xr:uid="{00000000-0005-0000-0000-000007240000}"/>
    <cellStyle name="Normal 19 4 55 2" xfId="18110" xr:uid="{00000000-0005-0000-0000-000008240000}"/>
    <cellStyle name="Normal 19 4 56" xfId="6068" xr:uid="{00000000-0005-0000-0000-000009240000}"/>
    <cellStyle name="Normal 19 4 56 2" xfId="18111" xr:uid="{00000000-0005-0000-0000-00000A240000}"/>
    <cellStyle name="Normal 19 4 57" xfId="6069" xr:uid="{00000000-0005-0000-0000-00000B240000}"/>
    <cellStyle name="Normal 19 4 57 2" xfId="18112" xr:uid="{00000000-0005-0000-0000-00000C240000}"/>
    <cellStyle name="Normal 19 4 58" xfId="6070" xr:uid="{00000000-0005-0000-0000-00000D240000}"/>
    <cellStyle name="Normal 19 4 58 2" xfId="18113" xr:uid="{00000000-0005-0000-0000-00000E240000}"/>
    <cellStyle name="Normal 19 4 59" xfId="6071" xr:uid="{00000000-0005-0000-0000-00000F240000}"/>
    <cellStyle name="Normal 19 4 59 2" xfId="18114" xr:uid="{00000000-0005-0000-0000-000010240000}"/>
    <cellStyle name="Normal 19 4 6" xfId="6072" xr:uid="{00000000-0005-0000-0000-000011240000}"/>
    <cellStyle name="Normal 19 4 6 2" xfId="18115" xr:uid="{00000000-0005-0000-0000-000012240000}"/>
    <cellStyle name="Normal 19 4 60" xfId="6073" xr:uid="{00000000-0005-0000-0000-000013240000}"/>
    <cellStyle name="Normal 19 4 60 2" xfId="18116" xr:uid="{00000000-0005-0000-0000-000014240000}"/>
    <cellStyle name="Normal 19 4 61" xfId="6074" xr:uid="{00000000-0005-0000-0000-000015240000}"/>
    <cellStyle name="Normal 19 4 61 2" xfId="18117" xr:uid="{00000000-0005-0000-0000-000016240000}"/>
    <cellStyle name="Normal 19 4 62" xfId="6075" xr:uid="{00000000-0005-0000-0000-000017240000}"/>
    <cellStyle name="Normal 19 4 62 2" xfId="18118" xr:uid="{00000000-0005-0000-0000-000018240000}"/>
    <cellStyle name="Normal 19 4 63" xfId="6076" xr:uid="{00000000-0005-0000-0000-000019240000}"/>
    <cellStyle name="Normal 19 4 63 2" xfId="18119" xr:uid="{00000000-0005-0000-0000-00001A240000}"/>
    <cellStyle name="Normal 19 4 64" xfId="6077" xr:uid="{00000000-0005-0000-0000-00001B240000}"/>
    <cellStyle name="Normal 19 4 64 2" xfId="18120" xr:uid="{00000000-0005-0000-0000-00001C240000}"/>
    <cellStyle name="Normal 19 4 65" xfId="6078" xr:uid="{00000000-0005-0000-0000-00001D240000}"/>
    <cellStyle name="Normal 19 4 65 2" xfId="18121" xr:uid="{00000000-0005-0000-0000-00001E240000}"/>
    <cellStyle name="Normal 19 4 66" xfId="6079" xr:uid="{00000000-0005-0000-0000-00001F240000}"/>
    <cellStyle name="Normal 19 4 66 2" xfId="18122" xr:uid="{00000000-0005-0000-0000-000020240000}"/>
    <cellStyle name="Normal 19 4 67" xfId="6080" xr:uid="{00000000-0005-0000-0000-000021240000}"/>
    <cellStyle name="Normal 19 4 67 2" xfId="18123" xr:uid="{00000000-0005-0000-0000-000022240000}"/>
    <cellStyle name="Normal 19 4 68" xfId="6081" xr:uid="{00000000-0005-0000-0000-000023240000}"/>
    <cellStyle name="Normal 19 4 68 2" xfId="18124" xr:uid="{00000000-0005-0000-0000-000024240000}"/>
    <cellStyle name="Normal 19 4 69" xfId="6082" xr:uid="{00000000-0005-0000-0000-000025240000}"/>
    <cellStyle name="Normal 19 4 69 2" xfId="18125" xr:uid="{00000000-0005-0000-0000-000026240000}"/>
    <cellStyle name="Normal 19 4 7" xfId="6083" xr:uid="{00000000-0005-0000-0000-000027240000}"/>
    <cellStyle name="Normal 19 4 7 2" xfId="18126" xr:uid="{00000000-0005-0000-0000-000028240000}"/>
    <cellStyle name="Normal 19 4 70" xfId="6084" xr:uid="{00000000-0005-0000-0000-000029240000}"/>
    <cellStyle name="Normal 19 4 70 2" xfId="18127" xr:uid="{00000000-0005-0000-0000-00002A240000}"/>
    <cellStyle name="Normal 19 4 71" xfId="6085" xr:uid="{00000000-0005-0000-0000-00002B240000}"/>
    <cellStyle name="Normal 19 4 71 2" xfId="18128" xr:uid="{00000000-0005-0000-0000-00002C240000}"/>
    <cellStyle name="Normal 19 4 72" xfId="6086" xr:uid="{00000000-0005-0000-0000-00002D240000}"/>
    <cellStyle name="Normal 19 4 72 2" xfId="18129" xr:uid="{00000000-0005-0000-0000-00002E240000}"/>
    <cellStyle name="Normal 19 4 73" xfId="6087" xr:uid="{00000000-0005-0000-0000-00002F240000}"/>
    <cellStyle name="Normal 19 4 73 2" xfId="18130" xr:uid="{00000000-0005-0000-0000-000030240000}"/>
    <cellStyle name="Normal 19 4 74" xfId="6088" xr:uid="{00000000-0005-0000-0000-000031240000}"/>
    <cellStyle name="Normal 19 4 74 2" xfId="18131" xr:uid="{00000000-0005-0000-0000-000032240000}"/>
    <cellStyle name="Normal 19 4 75" xfId="6089" xr:uid="{00000000-0005-0000-0000-000033240000}"/>
    <cellStyle name="Normal 19 4 75 2" xfId="18132" xr:uid="{00000000-0005-0000-0000-000034240000}"/>
    <cellStyle name="Normal 19 4 76" xfId="6090" xr:uid="{00000000-0005-0000-0000-000035240000}"/>
    <cellStyle name="Normal 19 4 76 2" xfId="18133" xr:uid="{00000000-0005-0000-0000-000036240000}"/>
    <cellStyle name="Normal 19 4 77" xfId="6091" xr:uid="{00000000-0005-0000-0000-000037240000}"/>
    <cellStyle name="Normal 19 4 77 2" xfId="18134" xr:uid="{00000000-0005-0000-0000-000038240000}"/>
    <cellStyle name="Normal 19 4 78" xfId="6092" xr:uid="{00000000-0005-0000-0000-000039240000}"/>
    <cellStyle name="Normal 19 4 78 2" xfId="18135" xr:uid="{00000000-0005-0000-0000-00003A240000}"/>
    <cellStyle name="Normal 19 4 79" xfId="6093" xr:uid="{00000000-0005-0000-0000-00003B240000}"/>
    <cellStyle name="Normal 19 4 79 2" xfId="18136" xr:uid="{00000000-0005-0000-0000-00003C240000}"/>
    <cellStyle name="Normal 19 4 8" xfId="6094" xr:uid="{00000000-0005-0000-0000-00003D240000}"/>
    <cellStyle name="Normal 19 4 8 2" xfId="18137" xr:uid="{00000000-0005-0000-0000-00003E240000}"/>
    <cellStyle name="Normal 19 4 80" xfId="18060" xr:uid="{00000000-0005-0000-0000-00003F240000}"/>
    <cellStyle name="Normal 19 4 9" xfId="6095" xr:uid="{00000000-0005-0000-0000-000040240000}"/>
    <cellStyle name="Normal 19 4 9 2" xfId="18138" xr:uid="{00000000-0005-0000-0000-000041240000}"/>
    <cellStyle name="Normal 19 40" xfId="6096" xr:uid="{00000000-0005-0000-0000-000042240000}"/>
    <cellStyle name="Normal 19 40 2" xfId="18139" xr:uid="{00000000-0005-0000-0000-000043240000}"/>
    <cellStyle name="Normal 19 41" xfId="6097" xr:uid="{00000000-0005-0000-0000-000044240000}"/>
    <cellStyle name="Normal 19 41 2" xfId="18140" xr:uid="{00000000-0005-0000-0000-000045240000}"/>
    <cellStyle name="Normal 19 42" xfId="6098" xr:uid="{00000000-0005-0000-0000-000046240000}"/>
    <cellStyle name="Normal 19 42 2" xfId="18141" xr:uid="{00000000-0005-0000-0000-000047240000}"/>
    <cellStyle name="Normal 19 43" xfId="6099" xr:uid="{00000000-0005-0000-0000-000048240000}"/>
    <cellStyle name="Normal 19 43 2" xfId="18142" xr:uid="{00000000-0005-0000-0000-000049240000}"/>
    <cellStyle name="Normal 19 44" xfId="6100" xr:uid="{00000000-0005-0000-0000-00004A240000}"/>
    <cellStyle name="Normal 19 44 2" xfId="18143" xr:uid="{00000000-0005-0000-0000-00004B240000}"/>
    <cellStyle name="Normal 19 45" xfId="6101" xr:uid="{00000000-0005-0000-0000-00004C240000}"/>
    <cellStyle name="Normal 19 45 2" xfId="18144" xr:uid="{00000000-0005-0000-0000-00004D240000}"/>
    <cellStyle name="Normal 19 46" xfId="6102" xr:uid="{00000000-0005-0000-0000-00004E240000}"/>
    <cellStyle name="Normal 19 46 2" xfId="18145" xr:uid="{00000000-0005-0000-0000-00004F240000}"/>
    <cellStyle name="Normal 19 47" xfId="6103" xr:uid="{00000000-0005-0000-0000-000050240000}"/>
    <cellStyle name="Normal 19 47 2" xfId="18146" xr:uid="{00000000-0005-0000-0000-000051240000}"/>
    <cellStyle name="Normal 19 48" xfId="6104" xr:uid="{00000000-0005-0000-0000-000052240000}"/>
    <cellStyle name="Normal 19 48 2" xfId="18147" xr:uid="{00000000-0005-0000-0000-000053240000}"/>
    <cellStyle name="Normal 19 49" xfId="6105" xr:uid="{00000000-0005-0000-0000-000054240000}"/>
    <cellStyle name="Normal 19 49 2" xfId="18148" xr:uid="{00000000-0005-0000-0000-000055240000}"/>
    <cellStyle name="Normal 19 5" xfId="6106" xr:uid="{00000000-0005-0000-0000-000056240000}"/>
    <cellStyle name="Normal 19 5 2" xfId="18149" xr:uid="{00000000-0005-0000-0000-000057240000}"/>
    <cellStyle name="Normal 19 50" xfId="6107" xr:uid="{00000000-0005-0000-0000-000058240000}"/>
    <cellStyle name="Normal 19 50 2" xfId="18150" xr:uid="{00000000-0005-0000-0000-000059240000}"/>
    <cellStyle name="Normal 19 51" xfId="6108" xr:uid="{00000000-0005-0000-0000-00005A240000}"/>
    <cellStyle name="Normal 19 51 2" xfId="18151" xr:uid="{00000000-0005-0000-0000-00005B240000}"/>
    <cellStyle name="Normal 19 52" xfId="6109" xr:uid="{00000000-0005-0000-0000-00005C240000}"/>
    <cellStyle name="Normal 19 52 2" xfId="18152" xr:uid="{00000000-0005-0000-0000-00005D240000}"/>
    <cellStyle name="Normal 19 53" xfId="6110" xr:uid="{00000000-0005-0000-0000-00005E240000}"/>
    <cellStyle name="Normal 19 53 2" xfId="18153" xr:uid="{00000000-0005-0000-0000-00005F240000}"/>
    <cellStyle name="Normal 19 54" xfId="6111" xr:uid="{00000000-0005-0000-0000-000060240000}"/>
    <cellStyle name="Normal 19 54 2" xfId="18154" xr:uid="{00000000-0005-0000-0000-000061240000}"/>
    <cellStyle name="Normal 19 55" xfId="6112" xr:uid="{00000000-0005-0000-0000-000062240000}"/>
    <cellStyle name="Normal 19 55 2" xfId="18155" xr:uid="{00000000-0005-0000-0000-000063240000}"/>
    <cellStyle name="Normal 19 56" xfId="6113" xr:uid="{00000000-0005-0000-0000-000064240000}"/>
    <cellStyle name="Normal 19 56 2" xfId="18156" xr:uid="{00000000-0005-0000-0000-000065240000}"/>
    <cellStyle name="Normal 19 57" xfId="6114" xr:uid="{00000000-0005-0000-0000-000066240000}"/>
    <cellStyle name="Normal 19 57 2" xfId="18157" xr:uid="{00000000-0005-0000-0000-000067240000}"/>
    <cellStyle name="Normal 19 58" xfId="6115" xr:uid="{00000000-0005-0000-0000-000068240000}"/>
    <cellStyle name="Normal 19 58 2" xfId="18158" xr:uid="{00000000-0005-0000-0000-000069240000}"/>
    <cellStyle name="Normal 19 59" xfId="6116" xr:uid="{00000000-0005-0000-0000-00006A240000}"/>
    <cellStyle name="Normal 19 59 2" xfId="18159" xr:uid="{00000000-0005-0000-0000-00006B240000}"/>
    <cellStyle name="Normal 19 6" xfId="6117" xr:uid="{00000000-0005-0000-0000-00006C240000}"/>
    <cellStyle name="Normal 19 6 2" xfId="18160" xr:uid="{00000000-0005-0000-0000-00006D240000}"/>
    <cellStyle name="Normal 19 60" xfId="6118" xr:uid="{00000000-0005-0000-0000-00006E240000}"/>
    <cellStyle name="Normal 19 60 2" xfId="18161" xr:uid="{00000000-0005-0000-0000-00006F240000}"/>
    <cellStyle name="Normal 19 61" xfId="6119" xr:uid="{00000000-0005-0000-0000-000070240000}"/>
    <cellStyle name="Normal 19 61 2" xfId="18162" xr:uid="{00000000-0005-0000-0000-000071240000}"/>
    <cellStyle name="Normal 19 62" xfId="6120" xr:uid="{00000000-0005-0000-0000-000072240000}"/>
    <cellStyle name="Normal 19 62 2" xfId="18163" xr:uid="{00000000-0005-0000-0000-000073240000}"/>
    <cellStyle name="Normal 19 63" xfId="6121" xr:uid="{00000000-0005-0000-0000-000074240000}"/>
    <cellStyle name="Normal 19 63 2" xfId="18164" xr:uid="{00000000-0005-0000-0000-000075240000}"/>
    <cellStyle name="Normal 19 64" xfId="6122" xr:uid="{00000000-0005-0000-0000-000076240000}"/>
    <cellStyle name="Normal 19 64 2" xfId="18165" xr:uid="{00000000-0005-0000-0000-000077240000}"/>
    <cellStyle name="Normal 19 65" xfId="6123" xr:uid="{00000000-0005-0000-0000-000078240000}"/>
    <cellStyle name="Normal 19 65 2" xfId="18166" xr:uid="{00000000-0005-0000-0000-000079240000}"/>
    <cellStyle name="Normal 19 66" xfId="6124" xr:uid="{00000000-0005-0000-0000-00007A240000}"/>
    <cellStyle name="Normal 19 66 2" xfId="18167" xr:uid="{00000000-0005-0000-0000-00007B240000}"/>
    <cellStyle name="Normal 19 67" xfId="6125" xr:uid="{00000000-0005-0000-0000-00007C240000}"/>
    <cellStyle name="Normal 19 67 2" xfId="18168" xr:uid="{00000000-0005-0000-0000-00007D240000}"/>
    <cellStyle name="Normal 19 68" xfId="6126" xr:uid="{00000000-0005-0000-0000-00007E240000}"/>
    <cellStyle name="Normal 19 68 2" xfId="18169" xr:uid="{00000000-0005-0000-0000-00007F240000}"/>
    <cellStyle name="Normal 19 69" xfId="6127" xr:uid="{00000000-0005-0000-0000-000080240000}"/>
    <cellStyle name="Normal 19 69 2" xfId="18170" xr:uid="{00000000-0005-0000-0000-000081240000}"/>
    <cellStyle name="Normal 19 7" xfId="6128" xr:uid="{00000000-0005-0000-0000-000082240000}"/>
    <cellStyle name="Normal 19 7 2" xfId="18171" xr:uid="{00000000-0005-0000-0000-000083240000}"/>
    <cellStyle name="Normal 19 70" xfId="6129" xr:uid="{00000000-0005-0000-0000-000084240000}"/>
    <cellStyle name="Normal 19 70 2" xfId="18172" xr:uid="{00000000-0005-0000-0000-000085240000}"/>
    <cellStyle name="Normal 19 71" xfId="6130" xr:uid="{00000000-0005-0000-0000-000086240000}"/>
    <cellStyle name="Normal 19 71 2" xfId="18173" xr:uid="{00000000-0005-0000-0000-000087240000}"/>
    <cellStyle name="Normal 19 72" xfId="6131" xr:uid="{00000000-0005-0000-0000-000088240000}"/>
    <cellStyle name="Normal 19 72 2" xfId="18174" xr:uid="{00000000-0005-0000-0000-000089240000}"/>
    <cellStyle name="Normal 19 73" xfId="6132" xr:uid="{00000000-0005-0000-0000-00008A240000}"/>
    <cellStyle name="Normal 19 73 2" xfId="18175" xr:uid="{00000000-0005-0000-0000-00008B240000}"/>
    <cellStyle name="Normal 19 74" xfId="6133" xr:uid="{00000000-0005-0000-0000-00008C240000}"/>
    <cellStyle name="Normal 19 74 2" xfId="18176" xr:uid="{00000000-0005-0000-0000-00008D240000}"/>
    <cellStyle name="Normal 19 75" xfId="6134" xr:uid="{00000000-0005-0000-0000-00008E240000}"/>
    <cellStyle name="Normal 19 75 2" xfId="18177" xr:uid="{00000000-0005-0000-0000-00008F240000}"/>
    <cellStyle name="Normal 19 76" xfId="6135" xr:uid="{00000000-0005-0000-0000-000090240000}"/>
    <cellStyle name="Normal 19 76 2" xfId="18178" xr:uid="{00000000-0005-0000-0000-000091240000}"/>
    <cellStyle name="Normal 19 77" xfId="6136" xr:uid="{00000000-0005-0000-0000-000092240000}"/>
    <cellStyle name="Normal 19 77 2" xfId="18179" xr:uid="{00000000-0005-0000-0000-000093240000}"/>
    <cellStyle name="Normal 19 78" xfId="6137" xr:uid="{00000000-0005-0000-0000-000094240000}"/>
    <cellStyle name="Normal 19 78 2" xfId="18180" xr:uid="{00000000-0005-0000-0000-000095240000}"/>
    <cellStyle name="Normal 19 79" xfId="6138" xr:uid="{00000000-0005-0000-0000-000096240000}"/>
    <cellStyle name="Normal 19 79 2" xfId="18181" xr:uid="{00000000-0005-0000-0000-000097240000}"/>
    <cellStyle name="Normal 19 8" xfId="6139" xr:uid="{00000000-0005-0000-0000-000098240000}"/>
    <cellStyle name="Normal 19 8 2" xfId="18182" xr:uid="{00000000-0005-0000-0000-000099240000}"/>
    <cellStyle name="Normal 19 80" xfId="6140" xr:uid="{00000000-0005-0000-0000-00009A240000}"/>
    <cellStyle name="Normal 19 80 2" xfId="18183" xr:uid="{00000000-0005-0000-0000-00009B240000}"/>
    <cellStyle name="Normal 19 81" xfId="6141" xr:uid="{00000000-0005-0000-0000-00009C240000}"/>
    <cellStyle name="Normal 19 81 2" xfId="18184" xr:uid="{00000000-0005-0000-0000-00009D240000}"/>
    <cellStyle name="Normal 19 82" xfId="6142" xr:uid="{00000000-0005-0000-0000-00009E240000}"/>
    <cellStyle name="Normal 19 82 2" xfId="18185" xr:uid="{00000000-0005-0000-0000-00009F240000}"/>
    <cellStyle name="Normal 19 83" xfId="17871" xr:uid="{00000000-0005-0000-0000-0000A0240000}"/>
    <cellStyle name="Normal 19 9" xfId="6143" xr:uid="{00000000-0005-0000-0000-0000A1240000}"/>
    <cellStyle name="Normal 19 9 2" xfId="18186" xr:uid="{00000000-0005-0000-0000-0000A2240000}"/>
    <cellStyle name="Normal 190" xfId="531" xr:uid="{00000000-0005-0000-0000-0000A3240000}"/>
    <cellStyle name="Normal 190 2" xfId="628" xr:uid="{00000000-0005-0000-0000-0000A4240000}"/>
    <cellStyle name="Normal 190 3" xfId="1047" xr:uid="{00000000-0005-0000-0000-0000A5240000}"/>
    <cellStyle name="Normal 190 4" xfId="1324" xr:uid="{00000000-0005-0000-0000-0000A6240000}"/>
    <cellStyle name="Normal 190 5" xfId="1389" xr:uid="{00000000-0005-0000-0000-0000A7240000}"/>
    <cellStyle name="Normal 190 6" xfId="1439" xr:uid="{00000000-0005-0000-0000-0000A8240000}"/>
    <cellStyle name="Normal 190 7" xfId="1468" xr:uid="{00000000-0005-0000-0000-0000A9240000}"/>
    <cellStyle name="Normal 190 8" xfId="1490" xr:uid="{00000000-0005-0000-0000-0000AA240000}"/>
    <cellStyle name="Normal 190 9" xfId="1499" xr:uid="{00000000-0005-0000-0000-0000AB240000}"/>
    <cellStyle name="Normal 191" xfId="532" xr:uid="{00000000-0005-0000-0000-0000AC240000}"/>
    <cellStyle name="Normal 191 2" xfId="629" xr:uid="{00000000-0005-0000-0000-0000AD240000}"/>
    <cellStyle name="Normal 191 3" xfId="1048" xr:uid="{00000000-0005-0000-0000-0000AE240000}"/>
    <cellStyle name="Normal 191 4" xfId="886" xr:uid="{00000000-0005-0000-0000-0000AF240000}"/>
    <cellStyle name="Normal 191 5" xfId="949" xr:uid="{00000000-0005-0000-0000-0000B0240000}"/>
    <cellStyle name="Normal 191 6" xfId="938" xr:uid="{00000000-0005-0000-0000-0000B1240000}"/>
    <cellStyle name="Normal 191 7" xfId="1245" xr:uid="{00000000-0005-0000-0000-0000B2240000}"/>
    <cellStyle name="Normal 191 8" xfId="835" xr:uid="{00000000-0005-0000-0000-0000B3240000}"/>
    <cellStyle name="Normal 191 9" xfId="968" xr:uid="{00000000-0005-0000-0000-0000B4240000}"/>
    <cellStyle name="Normal 192" xfId="533" xr:uid="{00000000-0005-0000-0000-0000B5240000}"/>
    <cellStyle name="Normal 192 2" xfId="630" xr:uid="{00000000-0005-0000-0000-0000B6240000}"/>
    <cellStyle name="Normal 192 3" xfId="1049" xr:uid="{00000000-0005-0000-0000-0000B7240000}"/>
    <cellStyle name="Normal 192 4" xfId="1207" xr:uid="{00000000-0005-0000-0000-0000B8240000}"/>
    <cellStyle name="Normal 192 5" xfId="1175" xr:uid="{00000000-0005-0000-0000-0000B9240000}"/>
    <cellStyle name="Normal 192 6" xfId="1331" xr:uid="{00000000-0005-0000-0000-0000BA240000}"/>
    <cellStyle name="Normal 192 7" xfId="1395" xr:uid="{00000000-0005-0000-0000-0000BB240000}"/>
    <cellStyle name="Normal 192 8" xfId="1445" xr:uid="{00000000-0005-0000-0000-0000BC240000}"/>
    <cellStyle name="Normal 192 9" xfId="1472" xr:uid="{00000000-0005-0000-0000-0000BD240000}"/>
    <cellStyle name="Normal 193" xfId="534" xr:uid="{00000000-0005-0000-0000-0000BE240000}"/>
    <cellStyle name="Normal 193 2" xfId="631" xr:uid="{00000000-0005-0000-0000-0000BF240000}"/>
    <cellStyle name="Normal 193 3" xfId="1050" xr:uid="{00000000-0005-0000-0000-0000C0240000}"/>
    <cellStyle name="Normal 193 4" xfId="885" xr:uid="{00000000-0005-0000-0000-0000C1240000}"/>
    <cellStyle name="Normal 193 5" xfId="1327" xr:uid="{00000000-0005-0000-0000-0000C2240000}"/>
    <cellStyle name="Normal 193 6" xfId="1392" xr:uid="{00000000-0005-0000-0000-0000C3240000}"/>
    <cellStyle name="Normal 193 7" xfId="1442" xr:uid="{00000000-0005-0000-0000-0000C4240000}"/>
    <cellStyle name="Normal 193 8" xfId="1471" xr:uid="{00000000-0005-0000-0000-0000C5240000}"/>
    <cellStyle name="Normal 193 9" xfId="1492" xr:uid="{00000000-0005-0000-0000-0000C6240000}"/>
    <cellStyle name="Normal 194" xfId="535" xr:uid="{00000000-0005-0000-0000-0000C7240000}"/>
    <cellStyle name="Normal 194 2" xfId="632" xr:uid="{00000000-0005-0000-0000-0000C8240000}"/>
    <cellStyle name="Normal 194 3" xfId="1051" xr:uid="{00000000-0005-0000-0000-0000C9240000}"/>
    <cellStyle name="Normal 194 4" xfId="1206" xr:uid="{00000000-0005-0000-0000-0000CA240000}"/>
    <cellStyle name="Normal 194 5" xfId="983" xr:uid="{00000000-0005-0000-0000-0000CB240000}"/>
    <cellStyle name="Normal 194 6" xfId="1224" xr:uid="{00000000-0005-0000-0000-0000CC240000}"/>
    <cellStyle name="Normal 194 7" xfId="856" xr:uid="{00000000-0005-0000-0000-0000CD240000}"/>
    <cellStyle name="Normal 194 8" xfId="853" xr:uid="{00000000-0005-0000-0000-0000CE240000}"/>
    <cellStyle name="Normal 194 9" xfId="961" xr:uid="{00000000-0005-0000-0000-0000CF240000}"/>
    <cellStyle name="Normal 195" xfId="536" xr:uid="{00000000-0005-0000-0000-0000D0240000}"/>
    <cellStyle name="Normal 195 2" xfId="633" xr:uid="{00000000-0005-0000-0000-0000D1240000}"/>
    <cellStyle name="Normal 195 3" xfId="1052" xr:uid="{00000000-0005-0000-0000-0000D2240000}"/>
    <cellStyle name="Normal 195 4" xfId="1323" xr:uid="{00000000-0005-0000-0000-0000D3240000}"/>
    <cellStyle name="Normal 195 5" xfId="1388" xr:uid="{00000000-0005-0000-0000-0000D4240000}"/>
    <cellStyle name="Normal 195 6" xfId="1438" xr:uid="{00000000-0005-0000-0000-0000D5240000}"/>
    <cellStyle name="Normal 195 7" xfId="1467" xr:uid="{00000000-0005-0000-0000-0000D6240000}"/>
    <cellStyle name="Normal 195 8" xfId="1489" xr:uid="{00000000-0005-0000-0000-0000D7240000}"/>
    <cellStyle name="Normal 195 9" xfId="1498" xr:uid="{00000000-0005-0000-0000-0000D8240000}"/>
    <cellStyle name="Normal 196" xfId="537" xr:uid="{00000000-0005-0000-0000-0000D9240000}"/>
    <cellStyle name="Normal 196 2" xfId="634" xr:uid="{00000000-0005-0000-0000-0000DA240000}"/>
    <cellStyle name="Normal 196 3" xfId="1053" xr:uid="{00000000-0005-0000-0000-0000DB240000}"/>
    <cellStyle name="Normal 196 4" xfId="884" xr:uid="{00000000-0005-0000-0000-0000DC240000}"/>
    <cellStyle name="Normal 196 5" xfId="1281" xr:uid="{00000000-0005-0000-0000-0000DD240000}"/>
    <cellStyle name="Normal 196 6" xfId="1350" xr:uid="{00000000-0005-0000-0000-0000DE240000}"/>
    <cellStyle name="Normal 196 7" xfId="1413" xr:uid="{00000000-0005-0000-0000-0000DF240000}"/>
    <cellStyle name="Normal 196 8" xfId="1452" xr:uid="{00000000-0005-0000-0000-0000E0240000}"/>
    <cellStyle name="Normal 196 9" xfId="1478" xr:uid="{00000000-0005-0000-0000-0000E1240000}"/>
    <cellStyle name="Normal 197" xfId="538" xr:uid="{00000000-0005-0000-0000-0000E2240000}"/>
    <cellStyle name="Normal 197 2" xfId="635" xr:uid="{00000000-0005-0000-0000-0000E3240000}"/>
    <cellStyle name="Normal 197 3" xfId="1054" xr:uid="{00000000-0005-0000-0000-0000E4240000}"/>
    <cellStyle name="Normal 197 4" xfId="936" xr:uid="{00000000-0005-0000-0000-0000E5240000}"/>
    <cellStyle name="Normal 197 5" xfId="914" xr:uid="{00000000-0005-0000-0000-0000E6240000}"/>
    <cellStyle name="Normal 197 6" xfId="1263" xr:uid="{00000000-0005-0000-0000-0000E7240000}"/>
    <cellStyle name="Normal 197 7" xfId="836" xr:uid="{00000000-0005-0000-0000-0000E8240000}"/>
    <cellStyle name="Normal 197 8" xfId="1304" xr:uid="{00000000-0005-0000-0000-0000E9240000}"/>
    <cellStyle name="Normal 197 9" xfId="1369" xr:uid="{00000000-0005-0000-0000-0000EA240000}"/>
    <cellStyle name="Normal 198" xfId="539" xr:uid="{00000000-0005-0000-0000-0000EB240000}"/>
    <cellStyle name="Normal 198 2" xfId="636" xr:uid="{00000000-0005-0000-0000-0000EC240000}"/>
    <cellStyle name="Normal 198 3" xfId="1055" xr:uid="{00000000-0005-0000-0000-0000ED240000}"/>
    <cellStyle name="Normal 198 4" xfId="935" xr:uid="{00000000-0005-0000-0000-0000EE240000}"/>
    <cellStyle name="Normal 198 5" xfId="1247" xr:uid="{00000000-0005-0000-0000-0000EF240000}"/>
    <cellStyle name="Normal 198 6" xfId="827" xr:uid="{00000000-0005-0000-0000-0000F0240000}"/>
    <cellStyle name="Normal 198 7" xfId="1308" xr:uid="{00000000-0005-0000-0000-0000F1240000}"/>
    <cellStyle name="Normal 198 8" xfId="1373" xr:uid="{00000000-0005-0000-0000-0000F2240000}"/>
    <cellStyle name="Normal 198 9" xfId="1431" xr:uid="{00000000-0005-0000-0000-0000F3240000}"/>
    <cellStyle name="Normal 199" xfId="540" xr:uid="{00000000-0005-0000-0000-0000F4240000}"/>
    <cellStyle name="Normal 199 2" xfId="637" xr:uid="{00000000-0005-0000-0000-0000F5240000}"/>
    <cellStyle name="Normal 199 3" xfId="1056" xr:uid="{00000000-0005-0000-0000-0000F6240000}"/>
    <cellStyle name="Normal 199 4" xfId="934" xr:uid="{00000000-0005-0000-0000-0000F7240000}"/>
    <cellStyle name="Normal 199 5" xfId="1248" xr:uid="{00000000-0005-0000-0000-0000F8240000}"/>
    <cellStyle name="Normal 199 6" xfId="849" xr:uid="{00000000-0005-0000-0000-0000F9240000}"/>
    <cellStyle name="Normal 199 7" xfId="1297" xr:uid="{00000000-0005-0000-0000-0000FA240000}"/>
    <cellStyle name="Normal 199 8" xfId="1363" xr:uid="{00000000-0005-0000-0000-0000FB240000}"/>
    <cellStyle name="Normal 199 9" xfId="1424" xr:uid="{00000000-0005-0000-0000-0000FC240000}"/>
    <cellStyle name="Normal 2" xfId="3" xr:uid="{00000000-0005-0000-0000-0000FD240000}"/>
    <cellStyle name="Normal 2 10" xfId="104" xr:uid="{00000000-0005-0000-0000-0000FE240000}"/>
    <cellStyle name="Normal 2 10 2" xfId="700" xr:uid="{00000000-0005-0000-0000-0000FF240000}"/>
    <cellStyle name="Normal 2 10 2 2" xfId="15066" xr:uid="{00000000-0005-0000-0000-000000250000}"/>
    <cellStyle name="Normal 2 10 3" xfId="337" xr:uid="{00000000-0005-0000-0000-000001250000}"/>
    <cellStyle name="Normal 2 11" xfId="338" xr:uid="{00000000-0005-0000-0000-000002250000}"/>
    <cellStyle name="Normal 2 11 2" xfId="805" xr:uid="{00000000-0005-0000-0000-000003250000}"/>
    <cellStyle name="Normal 2 11 3" xfId="701" xr:uid="{00000000-0005-0000-0000-000004250000}"/>
    <cellStyle name="Normal 2 11 3 2" xfId="15067" xr:uid="{00000000-0005-0000-0000-000005250000}"/>
    <cellStyle name="Normal 2 11 4" xfId="14953" xr:uid="{00000000-0005-0000-0000-000006250000}"/>
    <cellStyle name="Normal 2 12" xfId="339" xr:uid="{00000000-0005-0000-0000-000007250000}"/>
    <cellStyle name="Normal 2 12 2" xfId="15068" xr:uid="{00000000-0005-0000-0000-000008250000}"/>
    <cellStyle name="Normal 2 13" xfId="340" xr:uid="{00000000-0005-0000-0000-000009250000}"/>
    <cellStyle name="Normal 2 13 2" xfId="15069" xr:uid="{00000000-0005-0000-0000-00000A250000}"/>
    <cellStyle name="Normal 2 14" xfId="341" xr:uid="{00000000-0005-0000-0000-00000B250000}"/>
    <cellStyle name="Normal 2 14 2" xfId="15070" xr:uid="{00000000-0005-0000-0000-00000C250000}"/>
    <cellStyle name="Normal 2 15" xfId="342" xr:uid="{00000000-0005-0000-0000-00000D250000}"/>
    <cellStyle name="Normal 2 15 2" xfId="15071" xr:uid="{00000000-0005-0000-0000-00000E250000}"/>
    <cellStyle name="Normal 2 16" xfId="343" xr:uid="{00000000-0005-0000-0000-00000F250000}"/>
    <cellStyle name="Normal 2 16 2" xfId="15072" xr:uid="{00000000-0005-0000-0000-000010250000}"/>
    <cellStyle name="Normal 2 17" xfId="344" xr:uid="{00000000-0005-0000-0000-000011250000}"/>
    <cellStyle name="Normal 2 17 2" xfId="15073" xr:uid="{00000000-0005-0000-0000-000012250000}"/>
    <cellStyle name="Normal 2 18" xfId="345" xr:uid="{00000000-0005-0000-0000-000013250000}"/>
    <cellStyle name="Normal 2 18 2" xfId="15074" xr:uid="{00000000-0005-0000-0000-000014250000}"/>
    <cellStyle name="Normal 2 19" xfId="346" xr:uid="{00000000-0005-0000-0000-000015250000}"/>
    <cellStyle name="Normal 2 19 2" xfId="15075" xr:uid="{00000000-0005-0000-0000-000016250000}"/>
    <cellStyle name="Normal 2 2" xfId="1" xr:uid="{00000000-0005-0000-0000-000017250000}"/>
    <cellStyle name="Normal 2 2 10" xfId="2911" xr:uid="{00000000-0005-0000-0000-000018250000}"/>
    <cellStyle name="Normal 2 2 10 2" xfId="15076" xr:uid="{00000000-0005-0000-0000-000019250000}"/>
    <cellStyle name="Normal 2 2 11" xfId="2912" xr:uid="{00000000-0005-0000-0000-00001A250000}"/>
    <cellStyle name="Normal 2 2 11 2" xfId="15077" xr:uid="{00000000-0005-0000-0000-00001B250000}"/>
    <cellStyle name="Normal 2 2 12" xfId="2913" xr:uid="{00000000-0005-0000-0000-00001C250000}"/>
    <cellStyle name="Normal 2 2 12 2" xfId="15078" xr:uid="{00000000-0005-0000-0000-00001D250000}"/>
    <cellStyle name="Normal 2 2 13" xfId="2914" xr:uid="{00000000-0005-0000-0000-00001E250000}"/>
    <cellStyle name="Normal 2 2 13 2" xfId="15079" xr:uid="{00000000-0005-0000-0000-00001F250000}"/>
    <cellStyle name="Normal 2 2 14" xfId="2915" xr:uid="{00000000-0005-0000-0000-000020250000}"/>
    <cellStyle name="Normal 2 2 14 2" xfId="15080" xr:uid="{00000000-0005-0000-0000-000021250000}"/>
    <cellStyle name="Normal 2 2 15" xfId="2916" xr:uid="{00000000-0005-0000-0000-000022250000}"/>
    <cellStyle name="Normal 2 2 15 2" xfId="15081" xr:uid="{00000000-0005-0000-0000-000023250000}"/>
    <cellStyle name="Normal 2 2 16" xfId="2917" xr:uid="{00000000-0005-0000-0000-000024250000}"/>
    <cellStyle name="Normal 2 2 16 2" xfId="15082" xr:uid="{00000000-0005-0000-0000-000025250000}"/>
    <cellStyle name="Normal 2 2 17" xfId="2918" xr:uid="{00000000-0005-0000-0000-000026250000}"/>
    <cellStyle name="Normal 2 2 17 2" xfId="15083" xr:uid="{00000000-0005-0000-0000-000027250000}"/>
    <cellStyle name="Normal 2 2 18" xfId="2919" xr:uid="{00000000-0005-0000-0000-000028250000}"/>
    <cellStyle name="Normal 2 2 18 2" xfId="15084" xr:uid="{00000000-0005-0000-0000-000029250000}"/>
    <cellStyle name="Normal 2 2 19" xfId="2920" xr:uid="{00000000-0005-0000-0000-00002A250000}"/>
    <cellStyle name="Normal 2 2 19 2" xfId="15085" xr:uid="{00000000-0005-0000-0000-00002B250000}"/>
    <cellStyle name="Normal 2 2 2" xfId="57" xr:uid="{00000000-0005-0000-0000-00002C250000}"/>
    <cellStyle name="Normal 2 2 2 2" xfId="1508" xr:uid="{00000000-0005-0000-0000-00002D250000}"/>
    <cellStyle name="Normal 2 2 2 2 2" xfId="15086" xr:uid="{00000000-0005-0000-0000-00002E250000}"/>
    <cellStyle name="Normal 2 2 2 3" xfId="702" xr:uid="{00000000-0005-0000-0000-00002F250000}"/>
    <cellStyle name="Normal 2 2 2 3 2" xfId="15087" xr:uid="{00000000-0005-0000-0000-000030250000}"/>
    <cellStyle name="Normal 2 2 2 3 3" xfId="2921" xr:uid="{00000000-0005-0000-0000-000031250000}"/>
    <cellStyle name="Normal 2 2 2 4" xfId="15028" xr:uid="{00000000-0005-0000-0000-000032250000}"/>
    <cellStyle name="Normal 2 2 2 5" xfId="1605" xr:uid="{00000000-0005-0000-0000-000033250000}"/>
    <cellStyle name="Normal 2 2 20" xfId="2922" xr:uid="{00000000-0005-0000-0000-000034250000}"/>
    <cellStyle name="Normal 2 2 20 2" xfId="15088" xr:uid="{00000000-0005-0000-0000-000035250000}"/>
    <cellStyle name="Normal 2 2 21" xfId="2923" xr:uid="{00000000-0005-0000-0000-000036250000}"/>
    <cellStyle name="Normal 2 2 21 2" xfId="15089" xr:uid="{00000000-0005-0000-0000-000037250000}"/>
    <cellStyle name="Normal 2 2 22" xfId="2924" xr:uid="{00000000-0005-0000-0000-000038250000}"/>
    <cellStyle name="Normal 2 2 22 2" xfId="15090" xr:uid="{00000000-0005-0000-0000-000039250000}"/>
    <cellStyle name="Normal 2 2 23" xfId="2925" xr:uid="{00000000-0005-0000-0000-00003A250000}"/>
    <cellStyle name="Normal 2 2 23 2" xfId="15091" xr:uid="{00000000-0005-0000-0000-00003B250000}"/>
    <cellStyle name="Normal 2 2 24" xfId="2926" xr:uid="{00000000-0005-0000-0000-00003C250000}"/>
    <cellStyle name="Normal 2 2 24 2" xfId="15092" xr:uid="{00000000-0005-0000-0000-00003D250000}"/>
    <cellStyle name="Normal 2 2 25" xfId="2927" xr:uid="{00000000-0005-0000-0000-00003E250000}"/>
    <cellStyle name="Normal 2 2 25 2" xfId="15093" xr:uid="{00000000-0005-0000-0000-00003F250000}"/>
    <cellStyle name="Normal 2 2 26" xfId="2928" xr:uid="{00000000-0005-0000-0000-000040250000}"/>
    <cellStyle name="Normal 2 2 26 2" xfId="15094" xr:uid="{00000000-0005-0000-0000-000041250000}"/>
    <cellStyle name="Normal 2 2 27" xfId="2929" xr:uid="{00000000-0005-0000-0000-000042250000}"/>
    <cellStyle name="Normal 2 2 27 2" xfId="15095" xr:uid="{00000000-0005-0000-0000-000043250000}"/>
    <cellStyle name="Normal 2 2 28" xfId="2930" xr:uid="{00000000-0005-0000-0000-000044250000}"/>
    <cellStyle name="Normal 2 2 28 2" xfId="15096" xr:uid="{00000000-0005-0000-0000-000045250000}"/>
    <cellStyle name="Normal 2 2 29" xfId="6144" xr:uid="{00000000-0005-0000-0000-000046250000}"/>
    <cellStyle name="Normal 2 2 29 2" xfId="18187" xr:uid="{00000000-0005-0000-0000-000047250000}"/>
    <cellStyle name="Normal 2 2 3" xfId="329" xr:uid="{00000000-0005-0000-0000-000048250000}"/>
    <cellStyle name="Normal 2 2 3 2" xfId="15029" xr:uid="{00000000-0005-0000-0000-000049250000}"/>
    <cellStyle name="Normal 2 2 30" xfId="6145" xr:uid="{00000000-0005-0000-0000-00004A250000}"/>
    <cellStyle name="Normal 2 2 30 2" xfId="18188" xr:uid="{00000000-0005-0000-0000-00004B250000}"/>
    <cellStyle name="Normal 2 2 31" xfId="6146" xr:uid="{00000000-0005-0000-0000-00004C250000}"/>
    <cellStyle name="Normal 2 2 31 2" xfId="18189" xr:uid="{00000000-0005-0000-0000-00004D250000}"/>
    <cellStyle name="Normal 2 2 32" xfId="6147" xr:uid="{00000000-0005-0000-0000-00004E250000}"/>
    <cellStyle name="Normal 2 2 32 2" xfId="18190" xr:uid="{00000000-0005-0000-0000-00004F250000}"/>
    <cellStyle name="Normal 2 2 33" xfId="6148" xr:uid="{00000000-0005-0000-0000-000050250000}"/>
    <cellStyle name="Normal 2 2 33 2" xfId="18191" xr:uid="{00000000-0005-0000-0000-000051250000}"/>
    <cellStyle name="Normal 2 2 34" xfId="6149" xr:uid="{00000000-0005-0000-0000-000052250000}"/>
    <cellStyle name="Normal 2 2 34 2" xfId="18192" xr:uid="{00000000-0005-0000-0000-000053250000}"/>
    <cellStyle name="Normal 2 2 35" xfId="6150" xr:uid="{00000000-0005-0000-0000-000054250000}"/>
    <cellStyle name="Normal 2 2 35 2" xfId="18193" xr:uid="{00000000-0005-0000-0000-000055250000}"/>
    <cellStyle name="Normal 2 2 36" xfId="6151" xr:uid="{00000000-0005-0000-0000-000056250000}"/>
    <cellStyle name="Normal 2 2 36 2" xfId="18194" xr:uid="{00000000-0005-0000-0000-000057250000}"/>
    <cellStyle name="Normal 2 2 37" xfId="6152" xr:uid="{00000000-0005-0000-0000-000058250000}"/>
    <cellStyle name="Normal 2 2 37 2" xfId="18195" xr:uid="{00000000-0005-0000-0000-000059250000}"/>
    <cellStyle name="Normal 2 2 38" xfId="6153" xr:uid="{00000000-0005-0000-0000-00005A250000}"/>
    <cellStyle name="Normal 2 2 38 2" xfId="18196" xr:uid="{00000000-0005-0000-0000-00005B250000}"/>
    <cellStyle name="Normal 2 2 39" xfId="6154" xr:uid="{00000000-0005-0000-0000-00005C250000}"/>
    <cellStyle name="Normal 2 2 39 2" xfId="18197" xr:uid="{00000000-0005-0000-0000-00005D250000}"/>
    <cellStyle name="Normal 2 2 4" xfId="1606" xr:uid="{00000000-0005-0000-0000-00005E250000}"/>
    <cellStyle name="Normal 2 2 4 2" xfId="15030" xr:uid="{00000000-0005-0000-0000-00005F250000}"/>
    <cellStyle name="Normal 2 2 4 3" xfId="31347" xr:uid="{00000000-0005-0000-0000-000060250000}"/>
    <cellStyle name="Normal 2 2 40" xfId="6155" xr:uid="{00000000-0005-0000-0000-000061250000}"/>
    <cellStyle name="Normal 2 2 40 2" xfId="18198" xr:uid="{00000000-0005-0000-0000-000062250000}"/>
    <cellStyle name="Normal 2 2 41" xfId="6156" xr:uid="{00000000-0005-0000-0000-000063250000}"/>
    <cellStyle name="Normal 2 2 41 2" xfId="18199" xr:uid="{00000000-0005-0000-0000-000064250000}"/>
    <cellStyle name="Normal 2 2 42" xfId="6157" xr:uid="{00000000-0005-0000-0000-000065250000}"/>
    <cellStyle name="Normal 2 2 42 2" xfId="18200" xr:uid="{00000000-0005-0000-0000-000066250000}"/>
    <cellStyle name="Normal 2 2 43" xfId="6158" xr:uid="{00000000-0005-0000-0000-000067250000}"/>
    <cellStyle name="Normal 2 2 43 2" xfId="18201" xr:uid="{00000000-0005-0000-0000-000068250000}"/>
    <cellStyle name="Normal 2 2 44" xfId="6159" xr:uid="{00000000-0005-0000-0000-000069250000}"/>
    <cellStyle name="Normal 2 2 44 2" xfId="18202" xr:uid="{00000000-0005-0000-0000-00006A250000}"/>
    <cellStyle name="Normal 2 2 45" xfId="6160" xr:uid="{00000000-0005-0000-0000-00006B250000}"/>
    <cellStyle name="Normal 2 2 45 2" xfId="18203" xr:uid="{00000000-0005-0000-0000-00006C250000}"/>
    <cellStyle name="Normal 2 2 46" xfId="6161" xr:uid="{00000000-0005-0000-0000-00006D250000}"/>
    <cellStyle name="Normal 2 2 46 2" xfId="18204" xr:uid="{00000000-0005-0000-0000-00006E250000}"/>
    <cellStyle name="Normal 2 2 47" xfId="6162" xr:uid="{00000000-0005-0000-0000-00006F250000}"/>
    <cellStyle name="Normal 2 2 47 2" xfId="18205" xr:uid="{00000000-0005-0000-0000-000070250000}"/>
    <cellStyle name="Normal 2 2 48" xfId="6163" xr:uid="{00000000-0005-0000-0000-000071250000}"/>
    <cellStyle name="Normal 2 2 48 2" xfId="18206" xr:uid="{00000000-0005-0000-0000-000072250000}"/>
    <cellStyle name="Normal 2 2 49" xfId="6164" xr:uid="{00000000-0005-0000-0000-000073250000}"/>
    <cellStyle name="Normal 2 2 49 2" xfId="18207" xr:uid="{00000000-0005-0000-0000-000074250000}"/>
    <cellStyle name="Normal 2 2 5" xfId="1607" xr:uid="{00000000-0005-0000-0000-000075250000}"/>
    <cellStyle name="Normal 2 2 5 2" xfId="15031" xr:uid="{00000000-0005-0000-0000-000076250000}"/>
    <cellStyle name="Normal 2 2 50" xfId="6165" xr:uid="{00000000-0005-0000-0000-000077250000}"/>
    <cellStyle name="Normal 2 2 50 2" xfId="18208" xr:uid="{00000000-0005-0000-0000-000078250000}"/>
    <cellStyle name="Normal 2 2 51" xfId="6166" xr:uid="{00000000-0005-0000-0000-000079250000}"/>
    <cellStyle name="Normal 2 2 51 2" xfId="18209" xr:uid="{00000000-0005-0000-0000-00007A250000}"/>
    <cellStyle name="Normal 2 2 52" xfId="6167" xr:uid="{00000000-0005-0000-0000-00007B250000}"/>
    <cellStyle name="Normal 2 2 52 2" xfId="18210" xr:uid="{00000000-0005-0000-0000-00007C250000}"/>
    <cellStyle name="Normal 2 2 53" xfId="6168" xr:uid="{00000000-0005-0000-0000-00007D250000}"/>
    <cellStyle name="Normal 2 2 53 2" xfId="18211" xr:uid="{00000000-0005-0000-0000-00007E250000}"/>
    <cellStyle name="Normal 2 2 54" xfId="6169" xr:uid="{00000000-0005-0000-0000-00007F250000}"/>
    <cellStyle name="Normal 2 2 54 2" xfId="18212" xr:uid="{00000000-0005-0000-0000-000080250000}"/>
    <cellStyle name="Normal 2 2 55" xfId="6170" xr:uid="{00000000-0005-0000-0000-000081250000}"/>
    <cellStyle name="Normal 2 2 55 2" xfId="18213" xr:uid="{00000000-0005-0000-0000-000082250000}"/>
    <cellStyle name="Normal 2 2 56" xfId="6171" xr:uid="{00000000-0005-0000-0000-000083250000}"/>
    <cellStyle name="Normal 2 2 56 2" xfId="18214" xr:uid="{00000000-0005-0000-0000-000084250000}"/>
    <cellStyle name="Normal 2 2 57" xfId="6172" xr:uid="{00000000-0005-0000-0000-000085250000}"/>
    <cellStyle name="Normal 2 2 57 2" xfId="18215" xr:uid="{00000000-0005-0000-0000-000086250000}"/>
    <cellStyle name="Normal 2 2 58" xfId="6173" xr:uid="{00000000-0005-0000-0000-000087250000}"/>
    <cellStyle name="Normal 2 2 58 2" xfId="18216" xr:uid="{00000000-0005-0000-0000-000088250000}"/>
    <cellStyle name="Normal 2 2 59" xfId="6174" xr:uid="{00000000-0005-0000-0000-000089250000}"/>
    <cellStyle name="Normal 2 2 59 2" xfId="18217" xr:uid="{00000000-0005-0000-0000-00008A250000}"/>
    <cellStyle name="Normal 2 2 6" xfId="1608" xr:uid="{00000000-0005-0000-0000-00008B250000}"/>
    <cellStyle name="Normal 2 2 6 2" xfId="15032" xr:uid="{00000000-0005-0000-0000-00008C250000}"/>
    <cellStyle name="Normal 2 2 60" xfId="6175" xr:uid="{00000000-0005-0000-0000-00008D250000}"/>
    <cellStyle name="Normal 2 2 60 2" xfId="18218" xr:uid="{00000000-0005-0000-0000-00008E250000}"/>
    <cellStyle name="Normal 2 2 61" xfId="6176" xr:uid="{00000000-0005-0000-0000-00008F250000}"/>
    <cellStyle name="Normal 2 2 61 2" xfId="18219" xr:uid="{00000000-0005-0000-0000-000090250000}"/>
    <cellStyle name="Normal 2 2 62" xfId="6177" xr:uid="{00000000-0005-0000-0000-000091250000}"/>
    <cellStyle name="Normal 2 2 62 2" xfId="18220" xr:uid="{00000000-0005-0000-0000-000092250000}"/>
    <cellStyle name="Normal 2 2 63" xfId="6178" xr:uid="{00000000-0005-0000-0000-000093250000}"/>
    <cellStyle name="Normal 2 2 63 2" xfId="18221" xr:uid="{00000000-0005-0000-0000-000094250000}"/>
    <cellStyle name="Normal 2 2 64" xfId="6179" xr:uid="{00000000-0005-0000-0000-000095250000}"/>
    <cellStyle name="Normal 2 2 64 2" xfId="18222" xr:uid="{00000000-0005-0000-0000-000096250000}"/>
    <cellStyle name="Normal 2 2 65" xfId="6180" xr:uid="{00000000-0005-0000-0000-000097250000}"/>
    <cellStyle name="Normal 2 2 65 2" xfId="18223" xr:uid="{00000000-0005-0000-0000-000098250000}"/>
    <cellStyle name="Normal 2 2 66" xfId="6181" xr:uid="{00000000-0005-0000-0000-000099250000}"/>
    <cellStyle name="Normal 2 2 66 2" xfId="18224" xr:uid="{00000000-0005-0000-0000-00009A250000}"/>
    <cellStyle name="Normal 2 2 67" xfId="6182" xr:uid="{00000000-0005-0000-0000-00009B250000}"/>
    <cellStyle name="Normal 2 2 67 2" xfId="18225" xr:uid="{00000000-0005-0000-0000-00009C250000}"/>
    <cellStyle name="Normal 2 2 68" xfId="6183" xr:uid="{00000000-0005-0000-0000-00009D250000}"/>
    <cellStyle name="Normal 2 2 68 2" xfId="18226" xr:uid="{00000000-0005-0000-0000-00009E250000}"/>
    <cellStyle name="Normal 2 2 69" xfId="6184" xr:uid="{00000000-0005-0000-0000-00009F250000}"/>
    <cellStyle name="Normal 2 2 69 2" xfId="18227" xr:uid="{00000000-0005-0000-0000-0000A0250000}"/>
    <cellStyle name="Normal 2 2 7" xfId="1609" xr:uid="{00000000-0005-0000-0000-0000A1250000}"/>
    <cellStyle name="Normal 2 2 7 2" xfId="15033" xr:uid="{00000000-0005-0000-0000-0000A2250000}"/>
    <cellStyle name="Normal 2 2 70" xfId="6185" xr:uid="{00000000-0005-0000-0000-0000A3250000}"/>
    <cellStyle name="Normal 2 2 70 2" xfId="18228" xr:uid="{00000000-0005-0000-0000-0000A4250000}"/>
    <cellStyle name="Normal 2 2 71" xfId="6186" xr:uid="{00000000-0005-0000-0000-0000A5250000}"/>
    <cellStyle name="Normal 2 2 71 2" xfId="18229" xr:uid="{00000000-0005-0000-0000-0000A6250000}"/>
    <cellStyle name="Normal 2 2 72" xfId="6187" xr:uid="{00000000-0005-0000-0000-0000A7250000}"/>
    <cellStyle name="Normal 2 2 72 2" xfId="18230" xr:uid="{00000000-0005-0000-0000-0000A8250000}"/>
    <cellStyle name="Normal 2 2 73" xfId="6188" xr:uid="{00000000-0005-0000-0000-0000A9250000}"/>
    <cellStyle name="Normal 2 2 73 2" xfId="18231" xr:uid="{00000000-0005-0000-0000-0000AA250000}"/>
    <cellStyle name="Normal 2 2 74" xfId="6189" xr:uid="{00000000-0005-0000-0000-0000AB250000}"/>
    <cellStyle name="Normal 2 2 74 2" xfId="18232" xr:uid="{00000000-0005-0000-0000-0000AC250000}"/>
    <cellStyle name="Normal 2 2 75" xfId="6190" xr:uid="{00000000-0005-0000-0000-0000AD250000}"/>
    <cellStyle name="Normal 2 2 75 2" xfId="18233" xr:uid="{00000000-0005-0000-0000-0000AE250000}"/>
    <cellStyle name="Normal 2 2 76" xfId="6191" xr:uid="{00000000-0005-0000-0000-0000AF250000}"/>
    <cellStyle name="Normal 2 2 76 2" xfId="18234" xr:uid="{00000000-0005-0000-0000-0000B0250000}"/>
    <cellStyle name="Normal 2 2 77" xfId="6192" xr:uid="{00000000-0005-0000-0000-0000B1250000}"/>
    <cellStyle name="Normal 2 2 77 2" xfId="18235" xr:uid="{00000000-0005-0000-0000-0000B2250000}"/>
    <cellStyle name="Normal 2 2 78" xfId="6193" xr:uid="{00000000-0005-0000-0000-0000B3250000}"/>
    <cellStyle name="Normal 2 2 78 2" xfId="18236" xr:uid="{00000000-0005-0000-0000-0000B4250000}"/>
    <cellStyle name="Normal 2 2 79" xfId="6194" xr:uid="{00000000-0005-0000-0000-0000B5250000}"/>
    <cellStyle name="Normal 2 2 79 2" xfId="18237" xr:uid="{00000000-0005-0000-0000-0000B6250000}"/>
    <cellStyle name="Normal 2 2 8" xfId="1610" xr:uid="{00000000-0005-0000-0000-0000B7250000}"/>
    <cellStyle name="Normal 2 2 8 2" xfId="15034" xr:uid="{00000000-0005-0000-0000-0000B8250000}"/>
    <cellStyle name="Normal 2 2 80" xfId="27174" xr:uid="{00000000-0005-0000-0000-0000B9250000}"/>
    <cellStyle name="Normal 2 2 81" xfId="1604" xr:uid="{00000000-0005-0000-0000-0000BA250000}"/>
    <cellStyle name="Normal 2 2 82" xfId="28303" xr:uid="{00000000-0005-0000-0000-0000BB250000}"/>
    <cellStyle name="Normal 2 2 9" xfId="2931" xr:uid="{00000000-0005-0000-0000-0000BC250000}"/>
    <cellStyle name="Normal 2 2 9 2" xfId="14969" xr:uid="{00000000-0005-0000-0000-0000BD250000}"/>
    <cellStyle name="Normal 2 2 9 3" xfId="15097" xr:uid="{00000000-0005-0000-0000-0000BE250000}"/>
    <cellStyle name="Normal 2 2 9 4" xfId="14955" xr:uid="{00000000-0005-0000-0000-0000BF250000}"/>
    <cellStyle name="Normal 2 2_DSS" xfId="1511" xr:uid="{00000000-0005-0000-0000-0000C0250000}"/>
    <cellStyle name="Normal 2 20" xfId="347" xr:uid="{00000000-0005-0000-0000-0000C1250000}"/>
    <cellStyle name="Normal 2 20 2" xfId="15098" xr:uid="{00000000-0005-0000-0000-0000C2250000}"/>
    <cellStyle name="Normal 2 21" xfId="348" xr:uid="{00000000-0005-0000-0000-0000C3250000}"/>
    <cellStyle name="Normal 2 21 2" xfId="15099" xr:uid="{00000000-0005-0000-0000-0000C4250000}"/>
    <cellStyle name="Normal 2 22" xfId="349" xr:uid="{00000000-0005-0000-0000-0000C5250000}"/>
    <cellStyle name="Normal 2 22 2" xfId="15100" xr:uid="{00000000-0005-0000-0000-0000C6250000}"/>
    <cellStyle name="Normal 2 23" xfId="350" xr:uid="{00000000-0005-0000-0000-0000C7250000}"/>
    <cellStyle name="Normal 2 23 2" xfId="15101" xr:uid="{00000000-0005-0000-0000-0000C8250000}"/>
    <cellStyle name="Normal 2 24" xfId="351" xr:uid="{00000000-0005-0000-0000-0000C9250000}"/>
    <cellStyle name="Normal 2 24 2" xfId="15102" xr:uid="{00000000-0005-0000-0000-0000CA250000}"/>
    <cellStyle name="Normal 2 25" xfId="352" xr:uid="{00000000-0005-0000-0000-0000CB250000}"/>
    <cellStyle name="Normal 2 25 2" xfId="15103" xr:uid="{00000000-0005-0000-0000-0000CC250000}"/>
    <cellStyle name="Normal 2 26" xfId="353" xr:uid="{00000000-0005-0000-0000-0000CD250000}"/>
    <cellStyle name="Normal 2 26 2" xfId="15355" xr:uid="{00000000-0005-0000-0000-0000CE250000}"/>
    <cellStyle name="Normal 2 27" xfId="354" xr:uid="{00000000-0005-0000-0000-0000CF250000}"/>
    <cellStyle name="Normal 2 27 2" xfId="18238" xr:uid="{00000000-0005-0000-0000-0000D0250000}"/>
    <cellStyle name="Normal 2 28" xfId="355" xr:uid="{00000000-0005-0000-0000-0000D1250000}"/>
    <cellStyle name="Normal 2 28 2" xfId="18239" xr:uid="{00000000-0005-0000-0000-0000D2250000}"/>
    <cellStyle name="Normal 2 29" xfId="356" xr:uid="{00000000-0005-0000-0000-0000D3250000}"/>
    <cellStyle name="Normal 2 29 2" xfId="18240" xr:uid="{00000000-0005-0000-0000-0000D4250000}"/>
    <cellStyle name="Normal 2 3" xfId="74" xr:uid="{00000000-0005-0000-0000-0000D5250000}"/>
    <cellStyle name="Normal 2 3 10" xfId="2932" xr:uid="{00000000-0005-0000-0000-0000D6250000}"/>
    <cellStyle name="Normal 2 3 10 2" xfId="15104" xr:uid="{00000000-0005-0000-0000-0000D7250000}"/>
    <cellStyle name="Normal 2 3 11" xfId="2933" xr:uid="{00000000-0005-0000-0000-0000D8250000}"/>
    <cellStyle name="Normal 2 3 11 2" xfId="15105" xr:uid="{00000000-0005-0000-0000-0000D9250000}"/>
    <cellStyle name="Normal 2 3 12" xfId="2934" xr:uid="{00000000-0005-0000-0000-0000DA250000}"/>
    <cellStyle name="Normal 2 3 12 2" xfId="15106" xr:uid="{00000000-0005-0000-0000-0000DB250000}"/>
    <cellStyle name="Normal 2 3 13" xfId="2935" xr:uid="{00000000-0005-0000-0000-0000DC250000}"/>
    <cellStyle name="Normal 2 3 13 2" xfId="15107" xr:uid="{00000000-0005-0000-0000-0000DD250000}"/>
    <cellStyle name="Normal 2 3 14" xfId="2936" xr:uid="{00000000-0005-0000-0000-0000DE250000}"/>
    <cellStyle name="Normal 2 3 14 2" xfId="15108" xr:uid="{00000000-0005-0000-0000-0000DF250000}"/>
    <cellStyle name="Normal 2 3 15" xfId="2937" xr:uid="{00000000-0005-0000-0000-0000E0250000}"/>
    <cellStyle name="Normal 2 3 15 2" xfId="15109" xr:uid="{00000000-0005-0000-0000-0000E1250000}"/>
    <cellStyle name="Normal 2 3 16" xfId="2938" xr:uid="{00000000-0005-0000-0000-0000E2250000}"/>
    <cellStyle name="Normal 2 3 16 2" xfId="15110" xr:uid="{00000000-0005-0000-0000-0000E3250000}"/>
    <cellStyle name="Normal 2 3 17" xfId="2939" xr:uid="{00000000-0005-0000-0000-0000E4250000}"/>
    <cellStyle name="Normal 2 3 17 2" xfId="15111" xr:uid="{00000000-0005-0000-0000-0000E5250000}"/>
    <cellStyle name="Normal 2 3 18" xfId="2940" xr:uid="{00000000-0005-0000-0000-0000E6250000}"/>
    <cellStyle name="Normal 2 3 18 2" xfId="15112" xr:uid="{00000000-0005-0000-0000-0000E7250000}"/>
    <cellStyle name="Normal 2 3 19" xfId="2941" xr:uid="{00000000-0005-0000-0000-0000E8250000}"/>
    <cellStyle name="Normal 2 3 19 2" xfId="15113" xr:uid="{00000000-0005-0000-0000-0000E9250000}"/>
    <cellStyle name="Normal 2 3 2" xfId="800" xr:uid="{00000000-0005-0000-0000-0000EA250000}"/>
    <cellStyle name="Normal 2 3 2 2" xfId="2942" xr:uid="{00000000-0005-0000-0000-0000EB250000}"/>
    <cellStyle name="Normal 2 3 2 2 2" xfId="15114" xr:uid="{00000000-0005-0000-0000-0000EC250000}"/>
    <cellStyle name="Normal 2 3 2 3" xfId="2943" xr:uid="{00000000-0005-0000-0000-0000ED250000}"/>
    <cellStyle name="Normal 2 3 2 3 2" xfId="15115" xr:uid="{00000000-0005-0000-0000-0000EE250000}"/>
    <cellStyle name="Normal 2 3 2 4" xfId="15035" xr:uid="{00000000-0005-0000-0000-0000EF250000}"/>
    <cellStyle name="Normal 2 3 2 5" xfId="27415" xr:uid="{00000000-0005-0000-0000-0000F0250000}"/>
    <cellStyle name="Normal 2 3 2 6" xfId="27408" xr:uid="{00000000-0005-0000-0000-0000F1250000}"/>
    <cellStyle name="Normal 2 3 20" xfId="2944" xr:uid="{00000000-0005-0000-0000-0000F2250000}"/>
    <cellStyle name="Normal 2 3 20 2" xfId="15116" xr:uid="{00000000-0005-0000-0000-0000F3250000}"/>
    <cellStyle name="Normal 2 3 21" xfId="2945" xr:uid="{00000000-0005-0000-0000-0000F4250000}"/>
    <cellStyle name="Normal 2 3 21 2" xfId="15117" xr:uid="{00000000-0005-0000-0000-0000F5250000}"/>
    <cellStyle name="Normal 2 3 22" xfId="2946" xr:uid="{00000000-0005-0000-0000-0000F6250000}"/>
    <cellStyle name="Normal 2 3 22 2" xfId="15118" xr:uid="{00000000-0005-0000-0000-0000F7250000}"/>
    <cellStyle name="Normal 2 3 23" xfId="2947" xr:uid="{00000000-0005-0000-0000-0000F8250000}"/>
    <cellStyle name="Normal 2 3 23 2" xfId="15119" xr:uid="{00000000-0005-0000-0000-0000F9250000}"/>
    <cellStyle name="Normal 2 3 24" xfId="2948" xr:uid="{00000000-0005-0000-0000-0000FA250000}"/>
    <cellStyle name="Normal 2 3 24 2" xfId="15120" xr:uid="{00000000-0005-0000-0000-0000FB250000}"/>
    <cellStyle name="Normal 2 3 25" xfId="2949" xr:uid="{00000000-0005-0000-0000-0000FC250000}"/>
    <cellStyle name="Normal 2 3 25 2" xfId="15121" xr:uid="{00000000-0005-0000-0000-0000FD250000}"/>
    <cellStyle name="Normal 2 3 26" xfId="2950" xr:uid="{00000000-0005-0000-0000-0000FE250000}"/>
    <cellStyle name="Normal 2 3 26 2" xfId="15122" xr:uid="{00000000-0005-0000-0000-0000FF250000}"/>
    <cellStyle name="Normal 2 3 27" xfId="2951" xr:uid="{00000000-0005-0000-0000-000000260000}"/>
    <cellStyle name="Normal 2 3 27 2" xfId="15123" xr:uid="{00000000-0005-0000-0000-000001260000}"/>
    <cellStyle name="Normal 2 3 28" xfId="2952" xr:uid="{00000000-0005-0000-0000-000002260000}"/>
    <cellStyle name="Normal 2 3 28 2" xfId="15124" xr:uid="{00000000-0005-0000-0000-000003260000}"/>
    <cellStyle name="Normal 2 3 29" xfId="6195" xr:uid="{00000000-0005-0000-0000-000004260000}"/>
    <cellStyle name="Normal 2 3 29 2" xfId="18241" xr:uid="{00000000-0005-0000-0000-000005260000}"/>
    <cellStyle name="Normal 2 3 3" xfId="703" xr:uid="{00000000-0005-0000-0000-000006260000}"/>
    <cellStyle name="Normal 2 3 3 2" xfId="15036" xr:uid="{00000000-0005-0000-0000-000007260000}"/>
    <cellStyle name="Normal 2 3 3 3" xfId="1612" xr:uid="{00000000-0005-0000-0000-000008260000}"/>
    <cellStyle name="Normal 2 3 30" xfId="6196" xr:uid="{00000000-0005-0000-0000-000009260000}"/>
    <cellStyle name="Normal 2 3 30 2" xfId="18242" xr:uid="{00000000-0005-0000-0000-00000A260000}"/>
    <cellStyle name="Normal 2 3 31" xfId="6197" xr:uid="{00000000-0005-0000-0000-00000B260000}"/>
    <cellStyle name="Normal 2 3 31 2" xfId="18243" xr:uid="{00000000-0005-0000-0000-00000C260000}"/>
    <cellStyle name="Normal 2 3 32" xfId="6198" xr:uid="{00000000-0005-0000-0000-00000D260000}"/>
    <cellStyle name="Normal 2 3 32 2" xfId="18244" xr:uid="{00000000-0005-0000-0000-00000E260000}"/>
    <cellStyle name="Normal 2 3 33" xfId="6199" xr:uid="{00000000-0005-0000-0000-00000F260000}"/>
    <cellStyle name="Normal 2 3 33 2" xfId="18245" xr:uid="{00000000-0005-0000-0000-000010260000}"/>
    <cellStyle name="Normal 2 3 34" xfId="6200" xr:uid="{00000000-0005-0000-0000-000011260000}"/>
    <cellStyle name="Normal 2 3 34 2" xfId="18246" xr:uid="{00000000-0005-0000-0000-000012260000}"/>
    <cellStyle name="Normal 2 3 35" xfId="6201" xr:uid="{00000000-0005-0000-0000-000013260000}"/>
    <cellStyle name="Normal 2 3 35 2" xfId="18247" xr:uid="{00000000-0005-0000-0000-000014260000}"/>
    <cellStyle name="Normal 2 3 36" xfId="6202" xr:uid="{00000000-0005-0000-0000-000015260000}"/>
    <cellStyle name="Normal 2 3 36 2" xfId="18248" xr:uid="{00000000-0005-0000-0000-000016260000}"/>
    <cellStyle name="Normal 2 3 37" xfId="6203" xr:uid="{00000000-0005-0000-0000-000017260000}"/>
    <cellStyle name="Normal 2 3 37 2" xfId="18249" xr:uid="{00000000-0005-0000-0000-000018260000}"/>
    <cellStyle name="Normal 2 3 38" xfId="6204" xr:uid="{00000000-0005-0000-0000-000019260000}"/>
    <cellStyle name="Normal 2 3 38 2" xfId="18250" xr:uid="{00000000-0005-0000-0000-00001A260000}"/>
    <cellStyle name="Normal 2 3 39" xfId="6205" xr:uid="{00000000-0005-0000-0000-00001B260000}"/>
    <cellStyle name="Normal 2 3 39 2" xfId="18251" xr:uid="{00000000-0005-0000-0000-00001C260000}"/>
    <cellStyle name="Normal 2 3 4" xfId="330" xr:uid="{00000000-0005-0000-0000-00001D260000}"/>
    <cellStyle name="Normal 2 3 4 2" xfId="15037" xr:uid="{00000000-0005-0000-0000-00001E260000}"/>
    <cellStyle name="Normal 2 3 40" xfId="6206" xr:uid="{00000000-0005-0000-0000-00001F260000}"/>
    <cellStyle name="Normal 2 3 40 2" xfId="18252" xr:uid="{00000000-0005-0000-0000-000020260000}"/>
    <cellStyle name="Normal 2 3 41" xfId="6207" xr:uid="{00000000-0005-0000-0000-000021260000}"/>
    <cellStyle name="Normal 2 3 41 2" xfId="18253" xr:uid="{00000000-0005-0000-0000-000022260000}"/>
    <cellStyle name="Normal 2 3 42" xfId="6208" xr:uid="{00000000-0005-0000-0000-000023260000}"/>
    <cellStyle name="Normal 2 3 42 2" xfId="18254" xr:uid="{00000000-0005-0000-0000-000024260000}"/>
    <cellStyle name="Normal 2 3 43" xfId="6209" xr:uid="{00000000-0005-0000-0000-000025260000}"/>
    <cellStyle name="Normal 2 3 43 2" xfId="18255" xr:uid="{00000000-0005-0000-0000-000026260000}"/>
    <cellStyle name="Normal 2 3 44" xfId="6210" xr:uid="{00000000-0005-0000-0000-000027260000}"/>
    <cellStyle name="Normal 2 3 44 2" xfId="18256" xr:uid="{00000000-0005-0000-0000-000028260000}"/>
    <cellStyle name="Normal 2 3 45" xfId="6211" xr:uid="{00000000-0005-0000-0000-000029260000}"/>
    <cellStyle name="Normal 2 3 45 2" xfId="18257" xr:uid="{00000000-0005-0000-0000-00002A260000}"/>
    <cellStyle name="Normal 2 3 46" xfId="6212" xr:uid="{00000000-0005-0000-0000-00002B260000}"/>
    <cellStyle name="Normal 2 3 46 2" xfId="18258" xr:uid="{00000000-0005-0000-0000-00002C260000}"/>
    <cellStyle name="Normal 2 3 47" xfId="6213" xr:uid="{00000000-0005-0000-0000-00002D260000}"/>
    <cellStyle name="Normal 2 3 47 2" xfId="18259" xr:uid="{00000000-0005-0000-0000-00002E260000}"/>
    <cellStyle name="Normal 2 3 48" xfId="6214" xr:uid="{00000000-0005-0000-0000-00002F260000}"/>
    <cellStyle name="Normal 2 3 48 2" xfId="18260" xr:uid="{00000000-0005-0000-0000-000030260000}"/>
    <cellStyle name="Normal 2 3 49" xfId="6215" xr:uid="{00000000-0005-0000-0000-000031260000}"/>
    <cellStyle name="Normal 2 3 49 2" xfId="18261" xr:uid="{00000000-0005-0000-0000-000032260000}"/>
    <cellStyle name="Normal 2 3 5" xfId="1613" xr:uid="{00000000-0005-0000-0000-000033260000}"/>
    <cellStyle name="Normal 2 3 5 2" xfId="15038" xr:uid="{00000000-0005-0000-0000-000034260000}"/>
    <cellStyle name="Normal 2 3 50" xfId="6216" xr:uid="{00000000-0005-0000-0000-000035260000}"/>
    <cellStyle name="Normal 2 3 50 2" xfId="18262" xr:uid="{00000000-0005-0000-0000-000036260000}"/>
    <cellStyle name="Normal 2 3 51" xfId="6217" xr:uid="{00000000-0005-0000-0000-000037260000}"/>
    <cellStyle name="Normal 2 3 51 2" xfId="18263" xr:uid="{00000000-0005-0000-0000-000038260000}"/>
    <cellStyle name="Normal 2 3 52" xfId="6218" xr:uid="{00000000-0005-0000-0000-000039260000}"/>
    <cellStyle name="Normal 2 3 52 2" xfId="18264" xr:uid="{00000000-0005-0000-0000-00003A260000}"/>
    <cellStyle name="Normal 2 3 53" xfId="6219" xr:uid="{00000000-0005-0000-0000-00003B260000}"/>
    <cellStyle name="Normal 2 3 53 2" xfId="18265" xr:uid="{00000000-0005-0000-0000-00003C260000}"/>
    <cellStyle name="Normal 2 3 54" xfId="6220" xr:uid="{00000000-0005-0000-0000-00003D260000}"/>
    <cellStyle name="Normal 2 3 54 2" xfId="18266" xr:uid="{00000000-0005-0000-0000-00003E260000}"/>
    <cellStyle name="Normal 2 3 55" xfId="6221" xr:uid="{00000000-0005-0000-0000-00003F260000}"/>
    <cellStyle name="Normal 2 3 55 2" xfId="18267" xr:uid="{00000000-0005-0000-0000-000040260000}"/>
    <cellStyle name="Normal 2 3 56" xfId="6222" xr:uid="{00000000-0005-0000-0000-000041260000}"/>
    <cellStyle name="Normal 2 3 56 2" xfId="18268" xr:uid="{00000000-0005-0000-0000-000042260000}"/>
    <cellStyle name="Normal 2 3 57" xfId="6223" xr:uid="{00000000-0005-0000-0000-000043260000}"/>
    <cellStyle name="Normal 2 3 57 2" xfId="18269" xr:uid="{00000000-0005-0000-0000-000044260000}"/>
    <cellStyle name="Normal 2 3 58" xfId="6224" xr:uid="{00000000-0005-0000-0000-000045260000}"/>
    <cellStyle name="Normal 2 3 58 2" xfId="18270" xr:uid="{00000000-0005-0000-0000-000046260000}"/>
    <cellStyle name="Normal 2 3 59" xfId="6225" xr:uid="{00000000-0005-0000-0000-000047260000}"/>
    <cellStyle name="Normal 2 3 59 2" xfId="18271" xr:uid="{00000000-0005-0000-0000-000048260000}"/>
    <cellStyle name="Normal 2 3 6" xfId="1614" xr:uid="{00000000-0005-0000-0000-000049260000}"/>
    <cellStyle name="Normal 2 3 6 2" xfId="15039" xr:uid="{00000000-0005-0000-0000-00004A260000}"/>
    <cellStyle name="Normal 2 3 60" xfId="6226" xr:uid="{00000000-0005-0000-0000-00004B260000}"/>
    <cellStyle name="Normal 2 3 60 2" xfId="18272" xr:uid="{00000000-0005-0000-0000-00004C260000}"/>
    <cellStyle name="Normal 2 3 61" xfId="6227" xr:uid="{00000000-0005-0000-0000-00004D260000}"/>
    <cellStyle name="Normal 2 3 61 2" xfId="18273" xr:uid="{00000000-0005-0000-0000-00004E260000}"/>
    <cellStyle name="Normal 2 3 62" xfId="6228" xr:uid="{00000000-0005-0000-0000-00004F260000}"/>
    <cellStyle name="Normal 2 3 62 2" xfId="18274" xr:uid="{00000000-0005-0000-0000-000050260000}"/>
    <cellStyle name="Normal 2 3 63" xfId="6229" xr:uid="{00000000-0005-0000-0000-000051260000}"/>
    <cellStyle name="Normal 2 3 63 2" xfId="18275" xr:uid="{00000000-0005-0000-0000-000052260000}"/>
    <cellStyle name="Normal 2 3 64" xfId="6230" xr:uid="{00000000-0005-0000-0000-000053260000}"/>
    <cellStyle name="Normal 2 3 64 2" xfId="18276" xr:uid="{00000000-0005-0000-0000-000054260000}"/>
    <cellStyle name="Normal 2 3 65" xfId="6231" xr:uid="{00000000-0005-0000-0000-000055260000}"/>
    <cellStyle name="Normal 2 3 65 2" xfId="18277" xr:uid="{00000000-0005-0000-0000-000056260000}"/>
    <cellStyle name="Normal 2 3 66" xfId="6232" xr:uid="{00000000-0005-0000-0000-000057260000}"/>
    <cellStyle name="Normal 2 3 66 2" xfId="18278" xr:uid="{00000000-0005-0000-0000-000058260000}"/>
    <cellStyle name="Normal 2 3 67" xfId="6233" xr:uid="{00000000-0005-0000-0000-000059260000}"/>
    <cellStyle name="Normal 2 3 67 2" xfId="18279" xr:uid="{00000000-0005-0000-0000-00005A260000}"/>
    <cellStyle name="Normal 2 3 68" xfId="6234" xr:uid="{00000000-0005-0000-0000-00005B260000}"/>
    <cellStyle name="Normal 2 3 68 2" xfId="18280" xr:uid="{00000000-0005-0000-0000-00005C260000}"/>
    <cellStyle name="Normal 2 3 69" xfId="6235" xr:uid="{00000000-0005-0000-0000-00005D260000}"/>
    <cellStyle name="Normal 2 3 69 2" xfId="18281" xr:uid="{00000000-0005-0000-0000-00005E260000}"/>
    <cellStyle name="Normal 2 3 7" xfId="1615" xr:uid="{00000000-0005-0000-0000-00005F260000}"/>
    <cellStyle name="Normal 2 3 7 2" xfId="15040" xr:uid="{00000000-0005-0000-0000-000060260000}"/>
    <cellStyle name="Normal 2 3 70" xfId="6236" xr:uid="{00000000-0005-0000-0000-000061260000}"/>
    <cellStyle name="Normal 2 3 70 2" xfId="18282" xr:uid="{00000000-0005-0000-0000-000062260000}"/>
    <cellStyle name="Normal 2 3 71" xfId="6237" xr:uid="{00000000-0005-0000-0000-000063260000}"/>
    <cellStyle name="Normal 2 3 71 2" xfId="18283" xr:uid="{00000000-0005-0000-0000-000064260000}"/>
    <cellStyle name="Normal 2 3 72" xfId="6238" xr:uid="{00000000-0005-0000-0000-000065260000}"/>
    <cellStyle name="Normal 2 3 72 2" xfId="18284" xr:uid="{00000000-0005-0000-0000-000066260000}"/>
    <cellStyle name="Normal 2 3 73" xfId="6239" xr:uid="{00000000-0005-0000-0000-000067260000}"/>
    <cellStyle name="Normal 2 3 73 2" xfId="18285" xr:uid="{00000000-0005-0000-0000-000068260000}"/>
    <cellStyle name="Normal 2 3 74" xfId="6240" xr:uid="{00000000-0005-0000-0000-000069260000}"/>
    <cellStyle name="Normal 2 3 74 2" xfId="18286" xr:uid="{00000000-0005-0000-0000-00006A260000}"/>
    <cellStyle name="Normal 2 3 75" xfId="6241" xr:uid="{00000000-0005-0000-0000-00006B260000}"/>
    <cellStyle name="Normal 2 3 75 2" xfId="18287" xr:uid="{00000000-0005-0000-0000-00006C260000}"/>
    <cellStyle name="Normal 2 3 76" xfId="6242" xr:uid="{00000000-0005-0000-0000-00006D260000}"/>
    <cellStyle name="Normal 2 3 76 2" xfId="18288" xr:uid="{00000000-0005-0000-0000-00006E260000}"/>
    <cellStyle name="Normal 2 3 77" xfId="6243" xr:uid="{00000000-0005-0000-0000-00006F260000}"/>
    <cellStyle name="Normal 2 3 77 2" xfId="18289" xr:uid="{00000000-0005-0000-0000-000070260000}"/>
    <cellStyle name="Normal 2 3 78" xfId="6244" xr:uid="{00000000-0005-0000-0000-000071260000}"/>
    <cellStyle name="Normal 2 3 78 2" xfId="18290" xr:uid="{00000000-0005-0000-0000-000072260000}"/>
    <cellStyle name="Normal 2 3 79" xfId="6245" xr:uid="{00000000-0005-0000-0000-000073260000}"/>
    <cellStyle name="Normal 2 3 79 2" xfId="18291" xr:uid="{00000000-0005-0000-0000-000074260000}"/>
    <cellStyle name="Normal 2 3 8" xfId="1616" xr:uid="{00000000-0005-0000-0000-000075260000}"/>
    <cellStyle name="Normal 2 3 8 2" xfId="15041" xr:uid="{00000000-0005-0000-0000-000076260000}"/>
    <cellStyle name="Normal 2 3 80" xfId="27175" xr:uid="{00000000-0005-0000-0000-000077260000}"/>
    <cellStyle name="Normal 2 3 81" xfId="1611" xr:uid="{00000000-0005-0000-0000-000078260000}"/>
    <cellStyle name="Normal 2 3 82" xfId="27406" xr:uid="{00000000-0005-0000-0000-000079260000}"/>
    <cellStyle name="Normal 2 3 9" xfId="2953" xr:uid="{00000000-0005-0000-0000-00007A260000}"/>
    <cellStyle name="Normal 2 3 9 2" xfId="15125" xr:uid="{00000000-0005-0000-0000-00007B260000}"/>
    <cellStyle name="Normal 2 30" xfId="357" xr:uid="{00000000-0005-0000-0000-00007C260000}"/>
    <cellStyle name="Normal 2 30 2" xfId="18292" xr:uid="{00000000-0005-0000-0000-00007D260000}"/>
    <cellStyle name="Normal 2 31" xfId="358" xr:uid="{00000000-0005-0000-0000-00007E260000}"/>
    <cellStyle name="Normal 2 31 2" xfId="18293" xr:uid="{00000000-0005-0000-0000-00007F260000}"/>
    <cellStyle name="Normal 2 32" xfId="359" xr:uid="{00000000-0005-0000-0000-000080260000}"/>
    <cellStyle name="Normal 2 32 2" xfId="18294" xr:uid="{00000000-0005-0000-0000-000081260000}"/>
    <cellStyle name="Normal 2 33" xfId="360" xr:uid="{00000000-0005-0000-0000-000082260000}"/>
    <cellStyle name="Normal 2 33 2" xfId="18295" xr:uid="{00000000-0005-0000-0000-000083260000}"/>
    <cellStyle name="Normal 2 34" xfId="361" xr:uid="{00000000-0005-0000-0000-000084260000}"/>
    <cellStyle name="Normal 2 34 2" xfId="18296" xr:uid="{00000000-0005-0000-0000-000085260000}"/>
    <cellStyle name="Normal 2 35" xfId="362" xr:uid="{00000000-0005-0000-0000-000086260000}"/>
    <cellStyle name="Normal 2 35 2" xfId="18297" xr:uid="{00000000-0005-0000-0000-000087260000}"/>
    <cellStyle name="Normal 2 36" xfId="363" xr:uid="{00000000-0005-0000-0000-000088260000}"/>
    <cellStyle name="Normal 2 36 2" xfId="18298" xr:uid="{00000000-0005-0000-0000-000089260000}"/>
    <cellStyle name="Normal 2 37" xfId="364" xr:uid="{00000000-0005-0000-0000-00008A260000}"/>
    <cellStyle name="Normal 2 37 2" xfId="18299" xr:uid="{00000000-0005-0000-0000-00008B260000}"/>
    <cellStyle name="Normal 2 38" xfId="365" xr:uid="{00000000-0005-0000-0000-00008C260000}"/>
    <cellStyle name="Normal 2 38 2" xfId="18300" xr:uid="{00000000-0005-0000-0000-00008D260000}"/>
    <cellStyle name="Normal 2 39" xfId="366" xr:uid="{00000000-0005-0000-0000-00008E260000}"/>
    <cellStyle name="Normal 2 39 2" xfId="18301" xr:uid="{00000000-0005-0000-0000-00008F260000}"/>
    <cellStyle name="Normal 2 4" xfId="79" xr:uid="{00000000-0005-0000-0000-000090260000}"/>
    <cellStyle name="Normal 2 4 10" xfId="2954" xr:uid="{00000000-0005-0000-0000-000091260000}"/>
    <cellStyle name="Normal 2 4 10 2" xfId="15126" xr:uid="{00000000-0005-0000-0000-000092260000}"/>
    <cellStyle name="Normal 2 4 11" xfId="2955" xr:uid="{00000000-0005-0000-0000-000093260000}"/>
    <cellStyle name="Normal 2 4 11 2" xfId="15127" xr:uid="{00000000-0005-0000-0000-000094260000}"/>
    <cellStyle name="Normal 2 4 12" xfId="2956" xr:uid="{00000000-0005-0000-0000-000095260000}"/>
    <cellStyle name="Normal 2 4 12 2" xfId="15128" xr:uid="{00000000-0005-0000-0000-000096260000}"/>
    <cellStyle name="Normal 2 4 13" xfId="2957" xr:uid="{00000000-0005-0000-0000-000097260000}"/>
    <cellStyle name="Normal 2 4 13 2" xfId="15129" xr:uid="{00000000-0005-0000-0000-000098260000}"/>
    <cellStyle name="Normal 2 4 14" xfId="2958" xr:uid="{00000000-0005-0000-0000-000099260000}"/>
    <cellStyle name="Normal 2 4 14 2" xfId="15130" xr:uid="{00000000-0005-0000-0000-00009A260000}"/>
    <cellStyle name="Normal 2 4 15" xfId="2959" xr:uid="{00000000-0005-0000-0000-00009B260000}"/>
    <cellStyle name="Normal 2 4 15 2" xfId="15131" xr:uid="{00000000-0005-0000-0000-00009C260000}"/>
    <cellStyle name="Normal 2 4 16" xfId="2960" xr:uid="{00000000-0005-0000-0000-00009D260000}"/>
    <cellStyle name="Normal 2 4 16 2" xfId="15132" xr:uid="{00000000-0005-0000-0000-00009E260000}"/>
    <cellStyle name="Normal 2 4 17" xfId="2961" xr:uid="{00000000-0005-0000-0000-00009F260000}"/>
    <cellStyle name="Normal 2 4 17 2" xfId="15133" xr:uid="{00000000-0005-0000-0000-0000A0260000}"/>
    <cellStyle name="Normal 2 4 18" xfId="2962" xr:uid="{00000000-0005-0000-0000-0000A1260000}"/>
    <cellStyle name="Normal 2 4 18 2" xfId="15134" xr:uid="{00000000-0005-0000-0000-0000A2260000}"/>
    <cellStyle name="Normal 2 4 19" xfId="2963" xr:uid="{00000000-0005-0000-0000-0000A3260000}"/>
    <cellStyle name="Normal 2 4 19 2" xfId="15135" xr:uid="{00000000-0005-0000-0000-0000A4260000}"/>
    <cellStyle name="Normal 2 4 2" xfId="801" xr:uid="{00000000-0005-0000-0000-0000A5260000}"/>
    <cellStyle name="Normal 2 4 2 2" xfId="2964" xr:uid="{00000000-0005-0000-0000-0000A6260000}"/>
    <cellStyle name="Normal 2 4 2 2 2" xfId="15137" xr:uid="{00000000-0005-0000-0000-0000A7260000}"/>
    <cellStyle name="Normal 2 4 2 3" xfId="2965" xr:uid="{00000000-0005-0000-0000-0000A8260000}"/>
    <cellStyle name="Normal 2 4 2 3 2" xfId="15138" xr:uid="{00000000-0005-0000-0000-0000A9260000}"/>
    <cellStyle name="Normal 2 4 2 4" xfId="15136" xr:uid="{00000000-0005-0000-0000-0000AA260000}"/>
    <cellStyle name="Normal 2 4 20" xfId="2966" xr:uid="{00000000-0005-0000-0000-0000AB260000}"/>
    <cellStyle name="Normal 2 4 20 2" xfId="15139" xr:uid="{00000000-0005-0000-0000-0000AC260000}"/>
    <cellStyle name="Normal 2 4 21" xfId="2967" xr:uid="{00000000-0005-0000-0000-0000AD260000}"/>
    <cellStyle name="Normal 2 4 21 2" xfId="15140" xr:uid="{00000000-0005-0000-0000-0000AE260000}"/>
    <cellStyle name="Normal 2 4 22" xfId="2968" xr:uid="{00000000-0005-0000-0000-0000AF260000}"/>
    <cellStyle name="Normal 2 4 22 2" xfId="15141" xr:uid="{00000000-0005-0000-0000-0000B0260000}"/>
    <cellStyle name="Normal 2 4 23" xfId="2969" xr:uid="{00000000-0005-0000-0000-0000B1260000}"/>
    <cellStyle name="Normal 2 4 23 2" xfId="15142" xr:uid="{00000000-0005-0000-0000-0000B2260000}"/>
    <cellStyle name="Normal 2 4 24" xfId="2970" xr:uid="{00000000-0005-0000-0000-0000B3260000}"/>
    <cellStyle name="Normal 2 4 24 2" xfId="15143" xr:uid="{00000000-0005-0000-0000-0000B4260000}"/>
    <cellStyle name="Normal 2 4 25" xfId="2971" xr:uid="{00000000-0005-0000-0000-0000B5260000}"/>
    <cellStyle name="Normal 2 4 25 2" xfId="15144" xr:uid="{00000000-0005-0000-0000-0000B6260000}"/>
    <cellStyle name="Normal 2 4 26" xfId="2972" xr:uid="{00000000-0005-0000-0000-0000B7260000}"/>
    <cellStyle name="Normal 2 4 26 2" xfId="15145" xr:uid="{00000000-0005-0000-0000-0000B8260000}"/>
    <cellStyle name="Normal 2 4 27" xfId="2973" xr:uid="{00000000-0005-0000-0000-0000B9260000}"/>
    <cellStyle name="Normal 2 4 27 2" xfId="15146" xr:uid="{00000000-0005-0000-0000-0000BA260000}"/>
    <cellStyle name="Normal 2 4 28" xfId="2974" xr:uid="{00000000-0005-0000-0000-0000BB260000}"/>
    <cellStyle name="Normal 2 4 28 2" xfId="15147" xr:uid="{00000000-0005-0000-0000-0000BC260000}"/>
    <cellStyle name="Normal 2 4 29" xfId="6246" xr:uid="{00000000-0005-0000-0000-0000BD260000}"/>
    <cellStyle name="Normal 2 4 29 2" xfId="18302" xr:uid="{00000000-0005-0000-0000-0000BE260000}"/>
    <cellStyle name="Normal 2 4 3" xfId="704" xr:uid="{00000000-0005-0000-0000-0000BF260000}"/>
    <cellStyle name="Normal 2 4 3 2" xfId="15148" xr:uid="{00000000-0005-0000-0000-0000C0260000}"/>
    <cellStyle name="Normal 2 4 3 3" xfId="2975" xr:uid="{00000000-0005-0000-0000-0000C1260000}"/>
    <cellStyle name="Normal 2 4 30" xfId="6247" xr:uid="{00000000-0005-0000-0000-0000C2260000}"/>
    <cellStyle name="Normal 2 4 30 2" xfId="18303" xr:uid="{00000000-0005-0000-0000-0000C3260000}"/>
    <cellStyle name="Normal 2 4 31" xfId="6248" xr:uid="{00000000-0005-0000-0000-0000C4260000}"/>
    <cellStyle name="Normal 2 4 31 2" xfId="18304" xr:uid="{00000000-0005-0000-0000-0000C5260000}"/>
    <cellStyle name="Normal 2 4 32" xfId="6249" xr:uid="{00000000-0005-0000-0000-0000C6260000}"/>
    <cellStyle name="Normal 2 4 32 2" xfId="18305" xr:uid="{00000000-0005-0000-0000-0000C7260000}"/>
    <cellStyle name="Normal 2 4 33" xfId="6250" xr:uid="{00000000-0005-0000-0000-0000C8260000}"/>
    <cellStyle name="Normal 2 4 33 2" xfId="18306" xr:uid="{00000000-0005-0000-0000-0000C9260000}"/>
    <cellStyle name="Normal 2 4 34" xfId="6251" xr:uid="{00000000-0005-0000-0000-0000CA260000}"/>
    <cellStyle name="Normal 2 4 34 2" xfId="18307" xr:uid="{00000000-0005-0000-0000-0000CB260000}"/>
    <cellStyle name="Normal 2 4 35" xfId="6252" xr:uid="{00000000-0005-0000-0000-0000CC260000}"/>
    <cellStyle name="Normal 2 4 35 2" xfId="18308" xr:uid="{00000000-0005-0000-0000-0000CD260000}"/>
    <cellStyle name="Normal 2 4 36" xfId="6253" xr:uid="{00000000-0005-0000-0000-0000CE260000}"/>
    <cellStyle name="Normal 2 4 36 2" xfId="18309" xr:uid="{00000000-0005-0000-0000-0000CF260000}"/>
    <cellStyle name="Normal 2 4 37" xfId="6254" xr:uid="{00000000-0005-0000-0000-0000D0260000}"/>
    <cellStyle name="Normal 2 4 37 2" xfId="18310" xr:uid="{00000000-0005-0000-0000-0000D1260000}"/>
    <cellStyle name="Normal 2 4 38" xfId="6255" xr:uid="{00000000-0005-0000-0000-0000D2260000}"/>
    <cellStyle name="Normal 2 4 38 2" xfId="18311" xr:uid="{00000000-0005-0000-0000-0000D3260000}"/>
    <cellStyle name="Normal 2 4 39" xfId="6256" xr:uid="{00000000-0005-0000-0000-0000D4260000}"/>
    <cellStyle name="Normal 2 4 39 2" xfId="18312" xr:uid="{00000000-0005-0000-0000-0000D5260000}"/>
    <cellStyle name="Normal 2 4 4" xfId="331" xr:uid="{00000000-0005-0000-0000-0000D6260000}"/>
    <cellStyle name="Normal 2 4 4 2" xfId="15149" xr:uid="{00000000-0005-0000-0000-0000D7260000}"/>
    <cellStyle name="Normal 2 4 40" xfId="6257" xr:uid="{00000000-0005-0000-0000-0000D8260000}"/>
    <cellStyle name="Normal 2 4 40 2" xfId="18313" xr:uid="{00000000-0005-0000-0000-0000D9260000}"/>
    <cellStyle name="Normal 2 4 41" xfId="6258" xr:uid="{00000000-0005-0000-0000-0000DA260000}"/>
    <cellStyle name="Normal 2 4 41 2" xfId="18314" xr:uid="{00000000-0005-0000-0000-0000DB260000}"/>
    <cellStyle name="Normal 2 4 42" xfId="6259" xr:uid="{00000000-0005-0000-0000-0000DC260000}"/>
    <cellStyle name="Normal 2 4 42 2" xfId="18315" xr:uid="{00000000-0005-0000-0000-0000DD260000}"/>
    <cellStyle name="Normal 2 4 43" xfId="6260" xr:uid="{00000000-0005-0000-0000-0000DE260000}"/>
    <cellStyle name="Normal 2 4 43 2" xfId="18316" xr:uid="{00000000-0005-0000-0000-0000DF260000}"/>
    <cellStyle name="Normal 2 4 44" xfId="6261" xr:uid="{00000000-0005-0000-0000-0000E0260000}"/>
    <cellStyle name="Normal 2 4 44 2" xfId="18317" xr:uid="{00000000-0005-0000-0000-0000E1260000}"/>
    <cellStyle name="Normal 2 4 45" xfId="6262" xr:uid="{00000000-0005-0000-0000-0000E2260000}"/>
    <cellStyle name="Normal 2 4 45 2" xfId="18318" xr:uid="{00000000-0005-0000-0000-0000E3260000}"/>
    <cellStyle name="Normal 2 4 46" xfId="6263" xr:uid="{00000000-0005-0000-0000-0000E4260000}"/>
    <cellStyle name="Normal 2 4 46 2" xfId="18319" xr:uid="{00000000-0005-0000-0000-0000E5260000}"/>
    <cellStyle name="Normal 2 4 47" xfId="6264" xr:uid="{00000000-0005-0000-0000-0000E6260000}"/>
    <cellStyle name="Normal 2 4 47 2" xfId="18320" xr:uid="{00000000-0005-0000-0000-0000E7260000}"/>
    <cellStyle name="Normal 2 4 48" xfId="6265" xr:uid="{00000000-0005-0000-0000-0000E8260000}"/>
    <cellStyle name="Normal 2 4 48 2" xfId="18321" xr:uid="{00000000-0005-0000-0000-0000E9260000}"/>
    <cellStyle name="Normal 2 4 49" xfId="6266" xr:uid="{00000000-0005-0000-0000-0000EA260000}"/>
    <cellStyle name="Normal 2 4 49 2" xfId="18322" xr:uid="{00000000-0005-0000-0000-0000EB260000}"/>
    <cellStyle name="Normal 2 4 5" xfId="2976" xr:uid="{00000000-0005-0000-0000-0000EC260000}"/>
    <cellStyle name="Normal 2 4 5 2" xfId="15150" xr:uid="{00000000-0005-0000-0000-0000ED260000}"/>
    <cellStyle name="Normal 2 4 50" xfId="6267" xr:uid="{00000000-0005-0000-0000-0000EE260000}"/>
    <cellStyle name="Normal 2 4 50 2" xfId="18323" xr:uid="{00000000-0005-0000-0000-0000EF260000}"/>
    <cellStyle name="Normal 2 4 51" xfId="6268" xr:uid="{00000000-0005-0000-0000-0000F0260000}"/>
    <cellStyle name="Normal 2 4 51 2" xfId="18324" xr:uid="{00000000-0005-0000-0000-0000F1260000}"/>
    <cellStyle name="Normal 2 4 52" xfId="6269" xr:uid="{00000000-0005-0000-0000-0000F2260000}"/>
    <cellStyle name="Normal 2 4 52 2" xfId="18325" xr:uid="{00000000-0005-0000-0000-0000F3260000}"/>
    <cellStyle name="Normal 2 4 53" xfId="6270" xr:uid="{00000000-0005-0000-0000-0000F4260000}"/>
    <cellStyle name="Normal 2 4 53 2" xfId="18326" xr:uid="{00000000-0005-0000-0000-0000F5260000}"/>
    <cellStyle name="Normal 2 4 54" xfId="6271" xr:uid="{00000000-0005-0000-0000-0000F6260000}"/>
    <cellStyle name="Normal 2 4 54 2" xfId="18327" xr:uid="{00000000-0005-0000-0000-0000F7260000}"/>
    <cellStyle name="Normal 2 4 55" xfId="6272" xr:uid="{00000000-0005-0000-0000-0000F8260000}"/>
    <cellStyle name="Normal 2 4 55 2" xfId="18328" xr:uid="{00000000-0005-0000-0000-0000F9260000}"/>
    <cellStyle name="Normal 2 4 56" xfId="6273" xr:uid="{00000000-0005-0000-0000-0000FA260000}"/>
    <cellStyle name="Normal 2 4 56 2" xfId="18329" xr:uid="{00000000-0005-0000-0000-0000FB260000}"/>
    <cellStyle name="Normal 2 4 57" xfId="6274" xr:uid="{00000000-0005-0000-0000-0000FC260000}"/>
    <cellStyle name="Normal 2 4 57 2" xfId="18330" xr:uid="{00000000-0005-0000-0000-0000FD260000}"/>
    <cellStyle name="Normal 2 4 58" xfId="6275" xr:uid="{00000000-0005-0000-0000-0000FE260000}"/>
    <cellStyle name="Normal 2 4 58 2" xfId="18331" xr:uid="{00000000-0005-0000-0000-0000FF260000}"/>
    <cellStyle name="Normal 2 4 59" xfId="6276" xr:uid="{00000000-0005-0000-0000-000000270000}"/>
    <cellStyle name="Normal 2 4 59 2" xfId="18332" xr:uid="{00000000-0005-0000-0000-000001270000}"/>
    <cellStyle name="Normal 2 4 6" xfId="2977" xr:uid="{00000000-0005-0000-0000-000002270000}"/>
    <cellStyle name="Normal 2 4 6 2" xfId="15151" xr:uid="{00000000-0005-0000-0000-000003270000}"/>
    <cellStyle name="Normal 2 4 60" xfId="6277" xr:uid="{00000000-0005-0000-0000-000004270000}"/>
    <cellStyle name="Normal 2 4 60 2" xfId="18333" xr:uid="{00000000-0005-0000-0000-000005270000}"/>
    <cellStyle name="Normal 2 4 61" xfId="6278" xr:uid="{00000000-0005-0000-0000-000006270000}"/>
    <cellStyle name="Normal 2 4 61 2" xfId="18334" xr:uid="{00000000-0005-0000-0000-000007270000}"/>
    <cellStyle name="Normal 2 4 62" xfId="6279" xr:uid="{00000000-0005-0000-0000-000008270000}"/>
    <cellStyle name="Normal 2 4 62 2" xfId="18335" xr:uid="{00000000-0005-0000-0000-000009270000}"/>
    <cellStyle name="Normal 2 4 63" xfId="6280" xr:uid="{00000000-0005-0000-0000-00000A270000}"/>
    <cellStyle name="Normal 2 4 63 2" xfId="18336" xr:uid="{00000000-0005-0000-0000-00000B270000}"/>
    <cellStyle name="Normal 2 4 64" xfId="6281" xr:uid="{00000000-0005-0000-0000-00000C270000}"/>
    <cellStyle name="Normal 2 4 64 2" xfId="18337" xr:uid="{00000000-0005-0000-0000-00000D270000}"/>
    <cellStyle name="Normal 2 4 65" xfId="6282" xr:uid="{00000000-0005-0000-0000-00000E270000}"/>
    <cellStyle name="Normal 2 4 65 2" xfId="18338" xr:uid="{00000000-0005-0000-0000-00000F270000}"/>
    <cellStyle name="Normal 2 4 66" xfId="6283" xr:uid="{00000000-0005-0000-0000-000010270000}"/>
    <cellStyle name="Normal 2 4 66 2" xfId="18339" xr:uid="{00000000-0005-0000-0000-000011270000}"/>
    <cellStyle name="Normal 2 4 67" xfId="6284" xr:uid="{00000000-0005-0000-0000-000012270000}"/>
    <cellStyle name="Normal 2 4 67 2" xfId="18340" xr:uid="{00000000-0005-0000-0000-000013270000}"/>
    <cellStyle name="Normal 2 4 68" xfId="6285" xr:uid="{00000000-0005-0000-0000-000014270000}"/>
    <cellStyle name="Normal 2 4 68 2" xfId="18341" xr:uid="{00000000-0005-0000-0000-000015270000}"/>
    <cellStyle name="Normal 2 4 69" xfId="6286" xr:uid="{00000000-0005-0000-0000-000016270000}"/>
    <cellStyle name="Normal 2 4 69 2" xfId="18342" xr:uid="{00000000-0005-0000-0000-000017270000}"/>
    <cellStyle name="Normal 2 4 7" xfId="2978" xr:uid="{00000000-0005-0000-0000-000018270000}"/>
    <cellStyle name="Normal 2 4 7 2" xfId="15152" xr:uid="{00000000-0005-0000-0000-000019270000}"/>
    <cellStyle name="Normal 2 4 70" xfId="6287" xr:uid="{00000000-0005-0000-0000-00001A270000}"/>
    <cellStyle name="Normal 2 4 70 2" xfId="18343" xr:uid="{00000000-0005-0000-0000-00001B270000}"/>
    <cellStyle name="Normal 2 4 71" xfId="6288" xr:uid="{00000000-0005-0000-0000-00001C270000}"/>
    <cellStyle name="Normal 2 4 71 2" xfId="18344" xr:uid="{00000000-0005-0000-0000-00001D270000}"/>
    <cellStyle name="Normal 2 4 72" xfId="6289" xr:uid="{00000000-0005-0000-0000-00001E270000}"/>
    <cellStyle name="Normal 2 4 72 2" xfId="18345" xr:uid="{00000000-0005-0000-0000-00001F270000}"/>
    <cellStyle name="Normal 2 4 73" xfId="6290" xr:uid="{00000000-0005-0000-0000-000020270000}"/>
    <cellStyle name="Normal 2 4 73 2" xfId="18346" xr:uid="{00000000-0005-0000-0000-000021270000}"/>
    <cellStyle name="Normal 2 4 74" xfId="6291" xr:uid="{00000000-0005-0000-0000-000022270000}"/>
    <cellStyle name="Normal 2 4 74 2" xfId="18347" xr:uid="{00000000-0005-0000-0000-000023270000}"/>
    <cellStyle name="Normal 2 4 75" xfId="6292" xr:uid="{00000000-0005-0000-0000-000024270000}"/>
    <cellStyle name="Normal 2 4 75 2" xfId="18348" xr:uid="{00000000-0005-0000-0000-000025270000}"/>
    <cellStyle name="Normal 2 4 76" xfId="6293" xr:uid="{00000000-0005-0000-0000-000026270000}"/>
    <cellStyle name="Normal 2 4 76 2" xfId="18349" xr:uid="{00000000-0005-0000-0000-000027270000}"/>
    <cellStyle name="Normal 2 4 77" xfId="6294" xr:uid="{00000000-0005-0000-0000-000028270000}"/>
    <cellStyle name="Normal 2 4 77 2" xfId="18350" xr:uid="{00000000-0005-0000-0000-000029270000}"/>
    <cellStyle name="Normal 2 4 78" xfId="6295" xr:uid="{00000000-0005-0000-0000-00002A270000}"/>
    <cellStyle name="Normal 2 4 78 2" xfId="18351" xr:uid="{00000000-0005-0000-0000-00002B270000}"/>
    <cellStyle name="Normal 2 4 79" xfId="6296" xr:uid="{00000000-0005-0000-0000-00002C270000}"/>
    <cellStyle name="Normal 2 4 79 2" xfId="18352" xr:uid="{00000000-0005-0000-0000-00002D270000}"/>
    <cellStyle name="Normal 2 4 8" xfId="2979" xr:uid="{00000000-0005-0000-0000-00002E270000}"/>
    <cellStyle name="Normal 2 4 8 2" xfId="15153" xr:uid="{00000000-0005-0000-0000-00002F270000}"/>
    <cellStyle name="Normal 2 4 80" xfId="15042" xr:uid="{00000000-0005-0000-0000-000030270000}"/>
    <cellStyle name="Normal 2 4 9" xfId="2980" xr:uid="{00000000-0005-0000-0000-000031270000}"/>
    <cellStyle name="Normal 2 4 9 2" xfId="15154" xr:uid="{00000000-0005-0000-0000-000032270000}"/>
    <cellStyle name="Normal 2 40" xfId="373" xr:uid="{00000000-0005-0000-0000-000033270000}"/>
    <cellStyle name="Normal 2 40 2" xfId="18353" xr:uid="{00000000-0005-0000-0000-000034270000}"/>
    <cellStyle name="Normal 2 41" xfId="374" xr:uid="{00000000-0005-0000-0000-000035270000}"/>
    <cellStyle name="Normal 2 41 2" xfId="18354" xr:uid="{00000000-0005-0000-0000-000036270000}"/>
    <cellStyle name="Normal 2 42" xfId="375" xr:uid="{00000000-0005-0000-0000-000037270000}"/>
    <cellStyle name="Normal 2 42 2" xfId="18355" xr:uid="{00000000-0005-0000-0000-000038270000}"/>
    <cellStyle name="Normal 2 43" xfId="376" xr:uid="{00000000-0005-0000-0000-000039270000}"/>
    <cellStyle name="Normal 2 43 2" xfId="18356" xr:uid="{00000000-0005-0000-0000-00003A270000}"/>
    <cellStyle name="Normal 2 44" xfId="377" xr:uid="{00000000-0005-0000-0000-00003B270000}"/>
    <cellStyle name="Normal 2 44 2" xfId="18357" xr:uid="{00000000-0005-0000-0000-00003C270000}"/>
    <cellStyle name="Normal 2 45" xfId="378" xr:uid="{00000000-0005-0000-0000-00003D270000}"/>
    <cellStyle name="Normal 2 45 2" xfId="18358" xr:uid="{00000000-0005-0000-0000-00003E270000}"/>
    <cellStyle name="Normal 2 46" xfId="379" xr:uid="{00000000-0005-0000-0000-00003F270000}"/>
    <cellStyle name="Normal 2 46 2" xfId="18359" xr:uid="{00000000-0005-0000-0000-000040270000}"/>
    <cellStyle name="Normal 2 47" xfId="380" xr:uid="{00000000-0005-0000-0000-000041270000}"/>
    <cellStyle name="Normal 2 47 2" xfId="18360" xr:uid="{00000000-0005-0000-0000-000042270000}"/>
    <cellStyle name="Normal 2 48" xfId="381" xr:uid="{00000000-0005-0000-0000-000043270000}"/>
    <cellStyle name="Normal 2 48 2" xfId="18361" xr:uid="{00000000-0005-0000-0000-000044270000}"/>
    <cellStyle name="Normal 2 49" xfId="382" xr:uid="{00000000-0005-0000-0000-000045270000}"/>
    <cellStyle name="Normal 2 49 2" xfId="18362" xr:uid="{00000000-0005-0000-0000-000046270000}"/>
    <cellStyle name="Normal 2 5" xfId="81" xr:uid="{00000000-0005-0000-0000-000047270000}"/>
    <cellStyle name="Normal 2 5 10" xfId="2981" xr:uid="{00000000-0005-0000-0000-000048270000}"/>
    <cellStyle name="Normal 2 5 10 2" xfId="15155" xr:uid="{00000000-0005-0000-0000-000049270000}"/>
    <cellStyle name="Normal 2 5 11" xfId="2982" xr:uid="{00000000-0005-0000-0000-00004A270000}"/>
    <cellStyle name="Normal 2 5 11 2" xfId="15156" xr:uid="{00000000-0005-0000-0000-00004B270000}"/>
    <cellStyle name="Normal 2 5 12" xfId="2983" xr:uid="{00000000-0005-0000-0000-00004C270000}"/>
    <cellStyle name="Normal 2 5 12 2" xfId="15157" xr:uid="{00000000-0005-0000-0000-00004D270000}"/>
    <cellStyle name="Normal 2 5 13" xfId="2984" xr:uid="{00000000-0005-0000-0000-00004E270000}"/>
    <cellStyle name="Normal 2 5 13 2" xfId="15158" xr:uid="{00000000-0005-0000-0000-00004F270000}"/>
    <cellStyle name="Normal 2 5 14" xfId="2985" xr:uid="{00000000-0005-0000-0000-000050270000}"/>
    <cellStyle name="Normal 2 5 14 2" xfId="15159" xr:uid="{00000000-0005-0000-0000-000051270000}"/>
    <cellStyle name="Normal 2 5 15" xfId="2986" xr:uid="{00000000-0005-0000-0000-000052270000}"/>
    <cellStyle name="Normal 2 5 15 2" xfId="15160" xr:uid="{00000000-0005-0000-0000-000053270000}"/>
    <cellStyle name="Normal 2 5 16" xfId="2987" xr:uid="{00000000-0005-0000-0000-000054270000}"/>
    <cellStyle name="Normal 2 5 16 2" xfId="15161" xr:uid="{00000000-0005-0000-0000-000055270000}"/>
    <cellStyle name="Normal 2 5 17" xfId="2988" xr:uid="{00000000-0005-0000-0000-000056270000}"/>
    <cellStyle name="Normal 2 5 17 2" xfId="15162" xr:uid="{00000000-0005-0000-0000-000057270000}"/>
    <cellStyle name="Normal 2 5 18" xfId="2989" xr:uid="{00000000-0005-0000-0000-000058270000}"/>
    <cellStyle name="Normal 2 5 18 2" xfId="15163" xr:uid="{00000000-0005-0000-0000-000059270000}"/>
    <cellStyle name="Normal 2 5 19" xfId="2990" xr:uid="{00000000-0005-0000-0000-00005A270000}"/>
    <cellStyle name="Normal 2 5 19 2" xfId="15164" xr:uid="{00000000-0005-0000-0000-00005B270000}"/>
    <cellStyle name="Normal 2 5 2" xfId="705" xr:uid="{00000000-0005-0000-0000-00005C270000}"/>
    <cellStyle name="Normal 2 5 2 2" xfId="2992" xr:uid="{00000000-0005-0000-0000-00005D270000}"/>
    <cellStyle name="Normal 2 5 2 2 2" xfId="15166" xr:uid="{00000000-0005-0000-0000-00005E270000}"/>
    <cellStyle name="Normal 2 5 2 3" xfId="2993" xr:uid="{00000000-0005-0000-0000-00005F270000}"/>
    <cellStyle name="Normal 2 5 2 3 2" xfId="15167" xr:uid="{00000000-0005-0000-0000-000060270000}"/>
    <cellStyle name="Normal 2 5 2 4" xfId="15165" xr:uid="{00000000-0005-0000-0000-000061270000}"/>
    <cellStyle name="Normal 2 5 2 5" xfId="2991" xr:uid="{00000000-0005-0000-0000-000062270000}"/>
    <cellStyle name="Normal 2 5 20" xfId="2994" xr:uid="{00000000-0005-0000-0000-000063270000}"/>
    <cellStyle name="Normal 2 5 20 2" xfId="15168" xr:uid="{00000000-0005-0000-0000-000064270000}"/>
    <cellStyle name="Normal 2 5 21" xfId="2995" xr:uid="{00000000-0005-0000-0000-000065270000}"/>
    <cellStyle name="Normal 2 5 21 2" xfId="15169" xr:uid="{00000000-0005-0000-0000-000066270000}"/>
    <cellStyle name="Normal 2 5 22" xfId="2996" xr:uid="{00000000-0005-0000-0000-000067270000}"/>
    <cellStyle name="Normal 2 5 22 2" xfId="15170" xr:uid="{00000000-0005-0000-0000-000068270000}"/>
    <cellStyle name="Normal 2 5 23" xfId="2997" xr:uid="{00000000-0005-0000-0000-000069270000}"/>
    <cellStyle name="Normal 2 5 23 2" xfId="15171" xr:uid="{00000000-0005-0000-0000-00006A270000}"/>
    <cellStyle name="Normal 2 5 24" xfId="2998" xr:uid="{00000000-0005-0000-0000-00006B270000}"/>
    <cellStyle name="Normal 2 5 24 2" xfId="15172" xr:uid="{00000000-0005-0000-0000-00006C270000}"/>
    <cellStyle name="Normal 2 5 25" xfId="2999" xr:uid="{00000000-0005-0000-0000-00006D270000}"/>
    <cellStyle name="Normal 2 5 25 2" xfId="15173" xr:uid="{00000000-0005-0000-0000-00006E270000}"/>
    <cellStyle name="Normal 2 5 26" xfId="3000" xr:uid="{00000000-0005-0000-0000-00006F270000}"/>
    <cellStyle name="Normal 2 5 26 2" xfId="15174" xr:uid="{00000000-0005-0000-0000-000070270000}"/>
    <cellStyle name="Normal 2 5 27" xfId="3001" xr:uid="{00000000-0005-0000-0000-000071270000}"/>
    <cellStyle name="Normal 2 5 27 2" xfId="15175" xr:uid="{00000000-0005-0000-0000-000072270000}"/>
    <cellStyle name="Normal 2 5 28" xfId="3002" xr:uid="{00000000-0005-0000-0000-000073270000}"/>
    <cellStyle name="Normal 2 5 28 2" xfId="15176" xr:uid="{00000000-0005-0000-0000-000074270000}"/>
    <cellStyle name="Normal 2 5 29" xfId="15043" xr:uid="{00000000-0005-0000-0000-000075270000}"/>
    <cellStyle name="Normal 2 5 3" xfId="332" xr:uid="{00000000-0005-0000-0000-000076270000}"/>
    <cellStyle name="Normal 2 5 3 2" xfId="15177" xr:uid="{00000000-0005-0000-0000-000077270000}"/>
    <cellStyle name="Normal 2 5 4" xfId="3003" xr:uid="{00000000-0005-0000-0000-000078270000}"/>
    <cellStyle name="Normal 2 5 4 2" xfId="15178" xr:uid="{00000000-0005-0000-0000-000079270000}"/>
    <cellStyle name="Normal 2 5 5" xfId="3004" xr:uid="{00000000-0005-0000-0000-00007A270000}"/>
    <cellStyle name="Normal 2 5 5 2" xfId="15179" xr:uid="{00000000-0005-0000-0000-00007B270000}"/>
    <cellStyle name="Normal 2 5 6" xfId="3005" xr:uid="{00000000-0005-0000-0000-00007C270000}"/>
    <cellStyle name="Normal 2 5 6 2" xfId="15180" xr:uid="{00000000-0005-0000-0000-00007D270000}"/>
    <cellStyle name="Normal 2 5 7" xfId="3006" xr:uid="{00000000-0005-0000-0000-00007E270000}"/>
    <cellStyle name="Normal 2 5 7 2" xfId="15181" xr:uid="{00000000-0005-0000-0000-00007F270000}"/>
    <cellStyle name="Normal 2 5 8" xfId="3007" xr:uid="{00000000-0005-0000-0000-000080270000}"/>
    <cellStyle name="Normal 2 5 8 2" xfId="15182" xr:uid="{00000000-0005-0000-0000-000081270000}"/>
    <cellStyle name="Normal 2 5 9" xfId="3008" xr:uid="{00000000-0005-0000-0000-000082270000}"/>
    <cellStyle name="Normal 2 5 9 2" xfId="15183" xr:uid="{00000000-0005-0000-0000-000083270000}"/>
    <cellStyle name="Normal 2 50" xfId="383" xr:uid="{00000000-0005-0000-0000-000084270000}"/>
    <cellStyle name="Normal 2 50 2" xfId="18363" xr:uid="{00000000-0005-0000-0000-000085270000}"/>
    <cellStyle name="Normal 2 51" xfId="384" xr:uid="{00000000-0005-0000-0000-000086270000}"/>
    <cellStyle name="Normal 2 51 2" xfId="18364" xr:uid="{00000000-0005-0000-0000-000087270000}"/>
    <cellStyle name="Normal 2 52" xfId="385" xr:uid="{00000000-0005-0000-0000-000088270000}"/>
    <cellStyle name="Normal 2 52 2" xfId="18365" xr:uid="{00000000-0005-0000-0000-000089270000}"/>
    <cellStyle name="Normal 2 53" xfId="386" xr:uid="{00000000-0005-0000-0000-00008A270000}"/>
    <cellStyle name="Normal 2 53 2" xfId="18366" xr:uid="{00000000-0005-0000-0000-00008B270000}"/>
    <cellStyle name="Normal 2 54" xfId="387" xr:uid="{00000000-0005-0000-0000-00008C270000}"/>
    <cellStyle name="Normal 2 54 2" xfId="18367" xr:uid="{00000000-0005-0000-0000-00008D270000}"/>
    <cellStyle name="Normal 2 55" xfId="388" xr:uid="{00000000-0005-0000-0000-00008E270000}"/>
    <cellStyle name="Normal 2 55 2" xfId="18368" xr:uid="{00000000-0005-0000-0000-00008F270000}"/>
    <cellStyle name="Normal 2 56" xfId="389" xr:uid="{00000000-0005-0000-0000-000090270000}"/>
    <cellStyle name="Normal 2 56 2" xfId="18369" xr:uid="{00000000-0005-0000-0000-000091270000}"/>
    <cellStyle name="Normal 2 57" xfId="390" xr:uid="{00000000-0005-0000-0000-000092270000}"/>
    <cellStyle name="Normal 2 57 2" xfId="18370" xr:uid="{00000000-0005-0000-0000-000093270000}"/>
    <cellStyle name="Normal 2 58" xfId="299" xr:uid="{00000000-0005-0000-0000-000094270000}"/>
    <cellStyle name="Normal 2 58 2" xfId="18371" xr:uid="{00000000-0005-0000-0000-000095270000}"/>
    <cellStyle name="Normal 2 59" xfId="49" xr:uid="{00000000-0005-0000-0000-000096270000}"/>
    <cellStyle name="Normal 2 59 2" xfId="18372" xr:uid="{00000000-0005-0000-0000-000097270000}"/>
    <cellStyle name="Normal 2 6" xfId="103" xr:uid="{00000000-0005-0000-0000-000098270000}"/>
    <cellStyle name="Normal 2 6 10" xfId="3009" xr:uid="{00000000-0005-0000-0000-000099270000}"/>
    <cellStyle name="Normal 2 6 10 2" xfId="15184" xr:uid="{00000000-0005-0000-0000-00009A270000}"/>
    <cellStyle name="Normal 2 6 11" xfId="3010" xr:uid="{00000000-0005-0000-0000-00009B270000}"/>
    <cellStyle name="Normal 2 6 11 2" xfId="15185" xr:uid="{00000000-0005-0000-0000-00009C270000}"/>
    <cellStyle name="Normal 2 6 12" xfId="3011" xr:uid="{00000000-0005-0000-0000-00009D270000}"/>
    <cellStyle name="Normal 2 6 12 2" xfId="15186" xr:uid="{00000000-0005-0000-0000-00009E270000}"/>
    <cellStyle name="Normal 2 6 13" xfId="3012" xr:uid="{00000000-0005-0000-0000-00009F270000}"/>
    <cellStyle name="Normal 2 6 13 2" xfId="15187" xr:uid="{00000000-0005-0000-0000-0000A0270000}"/>
    <cellStyle name="Normal 2 6 14" xfId="3013" xr:uid="{00000000-0005-0000-0000-0000A1270000}"/>
    <cellStyle name="Normal 2 6 14 2" xfId="15188" xr:uid="{00000000-0005-0000-0000-0000A2270000}"/>
    <cellStyle name="Normal 2 6 15" xfId="3014" xr:uid="{00000000-0005-0000-0000-0000A3270000}"/>
    <cellStyle name="Normal 2 6 15 2" xfId="15189" xr:uid="{00000000-0005-0000-0000-0000A4270000}"/>
    <cellStyle name="Normal 2 6 16" xfId="3015" xr:uid="{00000000-0005-0000-0000-0000A5270000}"/>
    <cellStyle name="Normal 2 6 16 2" xfId="15190" xr:uid="{00000000-0005-0000-0000-0000A6270000}"/>
    <cellStyle name="Normal 2 6 17" xfId="3016" xr:uid="{00000000-0005-0000-0000-0000A7270000}"/>
    <cellStyle name="Normal 2 6 17 2" xfId="15191" xr:uid="{00000000-0005-0000-0000-0000A8270000}"/>
    <cellStyle name="Normal 2 6 18" xfId="3017" xr:uid="{00000000-0005-0000-0000-0000A9270000}"/>
    <cellStyle name="Normal 2 6 18 2" xfId="15192" xr:uid="{00000000-0005-0000-0000-0000AA270000}"/>
    <cellStyle name="Normal 2 6 19" xfId="3018" xr:uid="{00000000-0005-0000-0000-0000AB270000}"/>
    <cellStyle name="Normal 2 6 19 2" xfId="15193" xr:uid="{00000000-0005-0000-0000-0000AC270000}"/>
    <cellStyle name="Normal 2 6 2" xfId="802" xr:uid="{00000000-0005-0000-0000-0000AD270000}"/>
    <cellStyle name="Normal 2 6 2 2" xfId="3019" xr:uid="{00000000-0005-0000-0000-0000AE270000}"/>
    <cellStyle name="Normal 2 6 2 2 2" xfId="15195" xr:uid="{00000000-0005-0000-0000-0000AF270000}"/>
    <cellStyle name="Normal 2 6 2 3" xfId="3020" xr:uid="{00000000-0005-0000-0000-0000B0270000}"/>
    <cellStyle name="Normal 2 6 2 3 2" xfId="15196" xr:uid="{00000000-0005-0000-0000-0000B1270000}"/>
    <cellStyle name="Normal 2 6 2 4" xfId="15194" xr:uid="{00000000-0005-0000-0000-0000B2270000}"/>
    <cellStyle name="Normal 2 6 20" xfId="3021" xr:uid="{00000000-0005-0000-0000-0000B3270000}"/>
    <cellStyle name="Normal 2 6 20 2" xfId="15197" xr:uid="{00000000-0005-0000-0000-0000B4270000}"/>
    <cellStyle name="Normal 2 6 21" xfId="3022" xr:uid="{00000000-0005-0000-0000-0000B5270000}"/>
    <cellStyle name="Normal 2 6 21 2" xfId="15198" xr:uid="{00000000-0005-0000-0000-0000B6270000}"/>
    <cellStyle name="Normal 2 6 22" xfId="3023" xr:uid="{00000000-0005-0000-0000-0000B7270000}"/>
    <cellStyle name="Normal 2 6 22 2" xfId="15199" xr:uid="{00000000-0005-0000-0000-0000B8270000}"/>
    <cellStyle name="Normal 2 6 23" xfId="3024" xr:uid="{00000000-0005-0000-0000-0000B9270000}"/>
    <cellStyle name="Normal 2 6 23 2" xfId="15200" xr:uid="{00000000-0005-0000-0000-0000BA270000}"/>
    <cellStyle name="Normal 2 6 24" xfId="3025" xr:uid="{00000000-0005-0000-0000-0000BB270000}"/>
    <cellStyle name="Normal 2 6 24 2" xfId="15201" xr:uid="{00000000-0005-0000-0000-0000BC270000}"/>
    <cellStyle name="Normal 2 6 25" xfId="3026" xr:uid="{00000000-0005-0000-0000-0000BD270000}"/>
    <cellStyle name="Normal 2 6 25 2" xfId="15202" xr:uid="{00000000-0005-0000-0000-0000BE270000}"/>
    <cellStyle name="Normal 2 6 26" xfId="3027" xr:uid="{00000000-0005-0000-0000-0000BF270000}"/>
    <cellStyle name="Normal 2 6 26 2" xfId="15203" xr:uid="{00000000-0005-0000-0000-0000C0270000}"/>
    <cellStyle name="Normal 2 6 27" xfId="3028" xr:uid="{00000000-0005-0000-0000-0000C1270000}"/>
    <cellStyle name="Normal 2 6 27 2" xfId="15204" xr:uid="{00000000-0005-0000-0000-0000C2270000}"/>
    <cellStyle name="Normal 2 6 28" xfId="3029" xr:uid="{00000000-0005-0000-0000-0000C3270000}"/>
    <cellStyle name="Normal 2 6 28 2" xfId="15205" xr:uid="{00000000-0005-0000-0000-0000C4270000}"/>
    <cellStyle name="Normal 2 6 29" xfId="15044" xr:uid="{00000000-0005-0000-0000-0000C5270000}"/>
    <cellStyle name="Normal 2 6 3" xfId="706" xr:uid="{00000000-0005-0000-0000-0000C6270000}"/>
    <cellStyle name="Normal 2 6 3 2" xfId="15206" xr:uid="{00000000-0005-0000-0000-0000C7270000}"/>
    <cellStyle name="Normal 2 6 3 3" xfId="3030" xr:uid="{00000000-0005-0000-0000-0000C8270000}"/>
    <cellStyle name="Normal 2 6 4" xfId="333" xr:uid="{00000000-0005-0000-0000-0000C9270000}"/>
    <cellStyle name="Normal 2 6 4 2" xfId="15207" xr:uid="{00000000-0005-0000-0000-0000CA270000}"/>
    <cellStyle name="Normal 2 6 5" xfId="3031" xr:uid="{00000000-0005-0000-0000-0000CB270000}"/>
    <cellStyle name="Normal 2 6 5 2" xfId="15208" xr:uid="{00000000-0005-0000-0000-0000CC270000}"/>
    <cellStyle name="Normal 2 6 6" xfId="3032" xr:uid="{00000000-0005-0000-0000-0000CD270000}"/>
    <cellStyle name="Normal 2 6 6 2" xfId="15209" xr:uid="{00000000-0005-0000-0000-0000CE270000}"/>
    <cellStyle name="Normal 2 6 7" xfId="3033" xr:uid="{00000000-0005-0000-0000-0000CF270000}"/>
    <cellStyle name="Normal 2 6 7 2" xfId="15210" xr:uid="{00000000-0005-0000-0000-0000D0270000}"/>
    <cellStyle name="Normal 2 6 8" xfId="3034" xr:uid="{00000000-0005-0000-0000-0000D1270000}"/>
    <cellStyle name="Normal 2 6 8 2" xfId="15211" xr:uid="{00000000-0005-0000-0000-0000D2270000}"/>
    <cellStyle name="Normal 2 6 9" xfId="3035" xr:uid="{00000000-0005-0000-0000-0000D3270000}"/>
    <cellStyle name="Normal 2 6 9 2" xfId="15212" xr:uid="{00000000-0005-0000-0000-0000D4270000}"/>
    <cellStyle name="Normal 2 60" xfId="6297" xr:uid="{00000000-0005-0000-0000-0000D5270000}"/>
    <cellStyle name="Normal 2 60 2" xfId="18373" xr:uid="{00000000-0005-0000-0000-0000D6270000}"/>
    <cellStyle name="Normal 2 61" xfId="6298" xr:uid="{00000000-0005-0000-0000-0000D7270000}"/>
    <cellStyle name="Normal 2 61 2" xfId="18374" xr:uid="{00000000-0005-0000-0000-0000D8270000}"/>
    <cellStyle name="Normal 2 62" xfId="6299" xr:uid="{00000000-0005-0000-0000-0000D9270000}"/>
    <cellStyle name="Normal 2 62 2" xfId="18375" xr:uid="{00000000-0005-0000-0000-0000DA270000}"/>
    <cellStyle name="Normal 2 63" xfId="6300" xr:uid="{00000000-0005-0000-0000-0000DB270000}"/>
    <cellStyle name="Normal 2 63 2" xfId="18376" xr:uid="{00000000-0005-0000-0000-0000DC270000}"/>
    <cellStyle name="Normal 2 64" xfId="6301" xr:uid="{00000000-0005-0000-0000-0000DD270000}"/>
    <cellStyle name="Normal 2 64 2" xfId="18377" xr:uid="{00000000-0005-0000-0000-0000DE270000}"/>
    <cellStyle name="Normal 2 65" xfId="6302" xr:uid="{00000000-0005-0000-0000-0000DF270000}"/>
    <cellStyle name="Normal 2 65 2" xfId="18378" xr:uid="{00000000-0005-0000-0000-0000E0270000}"/>
    <cellStyle name="Normal 2 66" xfId="6303" xr:uid="{00000000-0005-0000-0000-0000E1270000}"/>
    <cellStyle name="Normal 2 66 2" xfId="18379" xr:uid="{00000000-0005-0000-0000-0000E2270000}"/>
    <cellStyle name="Normal 2 67" xfId="6304" xr:uid="{00000000-0005-0000-0000-0000E3270000}"/>
    <cellStyle name="Normal 2 67 2" xfId="18380" xr:uid="{00000000-0005-0000-0000-0000E4270000}"/>
    <cellStyle name="Normal 2 68" xfId="6305" xr:uid="{00000000-0005-0000-0000-0000E5270000}"/>
    <cellStyle name="Normal 2 68 2" xfId="18381" xr:uid="{00000000-0005-0000-0000-0000E6270000}"/>
    <cellStyle name="Normal 2 69" xfId="6306" xr:uid="{00000000-0005-0000-0000-0000E7270000}"/>
    <cellStyle name="Normal 2 69 2" xfId="18382" xr:uid="{00000000-0005-0000-0000-0000E8270000}"/>
    <cellStyle name="Normal 2 7" xfId="105" xr:uid="{00000000-0005-0000-0000-0000E9270000}"/>
    <cellStyle name="Normal 2 7 10" xfId="3036" xr:uid="{00000000-0005-0000-0000-0000EA270000}"/>
    <cellStyle name="Normal 2 7 10 2" xfId="15213" xr:uid="{00000000-0005-0000-0000-0000EB270000}"/>
    <cellStyle name="Normal 2 7 11" xfId="3037" xr:uid="{00000000-0005-0000-0000-0000EC270000}"/>
    <cellStyle name="Normal 2 7 11 2" xfId="15214" xr:uid="{00000000-0005-0000-0000-0000ED270000}"/>
    <cellStyle name="Normal 2 7 12" xfId="3038" xr:uid="{00000000-0005-0000-0000-0000EE270000}"/>
    <cellStyle name="Normal 2 7 12 2" xfId="15215" xr:uid="{00000000-0005-0000-0000-0000EF270000}"/>
    <cellStyle name="Normal 2 7 13" xfId="3039" xr:uid="{00000000-0005-0000-0000-0000F0270000}"/>
    <cellStyle name="Normal 2 7 13 2" xfId="15216" xr:uid="{00000000-0005-0000-0000-0000F1270000}"/>
    <cellStyle name="Normal 2 7 14" xfId="3040" xr:uid="{00000000-0005-0000-0000-0000F2270000}"/>
    <cellStyle name="Normal 2 7 14 2" xfId="15217" xr:uid="{00000000-0005-0000-0000-0000F3270000}"/>
    <cellStyle name="Normal 2 7 15" xfId="3041" xr:uid="{00000000-0005-0000-0000-0000F4270000}"/>
    <cellStyle name="Normal 2 7 15 2" xfId="15218" xr:uid="{00000000-0005-0000-0000-0000F5270000}"/>
    <cellStyle name="Normal 2 7 16" xfId="3042" xr:uid="{00000000-0005-0000-0000-0000F6270000}"/>
    <cellStyle name="Normal 2 7 16 2" xfId="15219" xr:uid="{00000000-0005-0000-0000-0000F7270000}"/>
    <cellStyle name="Normal 2 7 17" xfId="3043" xr:uid="{00000000-0005-0000-0000-0000F8270000}"/>
    <cellStyle name="Normal 2 7 17 2" xfId="15220" xr:uid="{00000000-0005-0000-0000-0000F9270000}"/>
    <cellStyle name="Normal 2 7 18" xfId="3044" xr:uid="{00000000-0005-0000-0000-0000FA270000}"/>
    <cellStyle name="Normal 2 7 18 2" xfId="15221" xr:uid="{00000000-0005-0000-0000-0000FB270000}"/>
    <cellStyle name="Normal 2 7 19" xfId="3045" xr:uid="{00000000-0005-0000-0000-0000FC270000}"/>
    <cellStyle name="Normal 2 7 19 2" xfId="15222" xr:uid="{00000000-0005-0000-0000-0000FD270000}"/>
    <cellStyle name="Normal 2 7 2" xfId="707" xr:uid="{00000000-0005-0000-0000-0000FE270000}"/>
    <cellStyle name="Normal 2 7 2 2" xfId="3047" xr:uid="{00000000-0005-0000-0000-0000FF270000}"/>
    <cellStyle name="Normal 2 7 2 2 2" xfId="15224" xr:uid="{00000000-0005-0000-0000-000000280000}"/>
    <cellStyle name="Normal 2 7 2 3" xfId="3048" xr:uid="{00000000-0005-0000-0000-000001280000}"/>
    <cellStyle name="Normal 2 7 2 3 2" xfId="15225" xr:uid="{00000000-0005-0000-0000-000002280000}"/>
    <cellStyle name="Normal 2 7 2 4" xfId="15223" xr:uid="{00000000-0005-0000-0000-000003280000}"/>
    <cellStyle name="Normal 2 7 2 5" xfId="3046" xr:uid="{00000000-0005-0000-0000-000004280000}"/>
    <cellStyle name="Normal 2 7 20" xfId="3049" xr:uid="{00000000-0005-0000-0000-000005280000}"/>
    <cellStyle name="Normal 2 7 20 2" xfId="15226" xr:uid="{00000000-0005-0000-0000-000006280000}"/>
    <cellStyle name="Normal 2 7 21" xfId="3050" xr:uid="{00000000-0005-0000-0000-000007280000}"/>
    <cellStyle name="Normal 2 7 21 2" xfId="15227" xr:uid="{00000000-0005-0000-0000-000008280000}"/>
    <cellStyle name="Normal 2 7 22" xfId="3051" xr:uid="{00000000-0005-0000-0000-000009280000}"/>
    <cellStyle name="Normal 2 7 22 2" xfId="15228" xr:uid="{00000000-0005-0000-0000-00000A280000}"/>
    <cellStyle name="Normal 2 7 23" xfId="3052" xr:uid="{00000000-0005-0000-0000-00000B280000}"/>
    <cellStyle name="Normal 2 7 23 2" xfId="15229" xr:uid="{00000000-0005-0000-0000-00000C280000}"/>
    <cellStyle name="Normal 2 7 24" xfId="3053" xr:uid="{00000000-0005-0000-0000-00000D280000}"/>
    <cellStyle name="Normal 2 7 24 2" xfId="15230" xr:uid="{00000000-0005-0000-0000-00000E280000}"/>
    <cellStyle name="Normal 2 7 25" xfId="3054" xr:uid="{00000000-0005-0000-0000-00000F280000}"/>
    <cellStyle name="Normal 2 7 25 2" xfId="15231" xr:uid="{00000000-0005-0000-0000-000010280000}"/>
    <cellStyle name="Normal 2 7 26" xfId="3055" xr:uid="{00000000-0005-0000-0000-000011280000}"/>
    <cellStyle name="Normal 2 7 26 2" xfId="15232" xr:uid="{00000000-0005-0000-0000-000012280000}"/>
    <cellStyle name="Normal 2 7 27" xfId="3056" xr:uid="{00000000-0005-0000-0000-000013280000}"/>
    <cellStyle name="Normal 2 7 27 2" xfId="15233" xr:uid="{00000000-0005-0000-0000-000014280000}"/>
    <cellStyle name="Normal 2 7 28" xfId="3057" xr:uid="{00000000-0005-0000-0000-000015280000}"/>
    <cellStyle name="Normal 2 7 28 2" xfId="15234" xr:uid="{00000000-0005-0000-0000-000016280000}"/>
    <cellStyle name="Normal 2 7 29" xfId="15045" xr:uid="{00000000-0005-0000-0000-000017280000}"/>
    <cellStyle name="Normal 2 7 3" xfId="334" xr:uid="{00000000-0005-0000-0000-000018280000}"/>
    <cellStyle name="Normal 2 7 3 2" xfId="15235" xr:uid="{00000000-0005-0000-0000-000019280000}"/>
    <cellStyle name="Normal 2 7 4" xfId="3058" xr:uid="{00000000-0005-0000-0000-00001A280000}"/>
    <cellStyle name="Normal 2 7 4 2" xfId="15236" xr:uid="{00000000-0005-0000-0000-00001B280000}"/>
    <cellStyle name="Normal 2 7 5" xfId="3059" xr:uid="{00000000-0005-0000-0000-00001C280000}"/>
    <cellStyle name="Normal 2 7 5 2" xfId="15237" xr:uid="{00000000-0005-0000-0000-00001D280000}"/>
    <cellStyle name="Normal 2 7 6" xfId="3060" xr:uid="{00000000-0005-0000-0000-00001E280000}"/>
    <cellStyle name="Normal 2 7 6 2" xfId="15238" xr:uid="{00000000-0005-0000-0000-00001F280000}"/>
    <cellStyle name="Normal 2 7 7" xfId="3061" xr:uid="{00000000-0005-0000-0000-000020280000}"/>
    <cellStyle name="Normal 2 7 7 2" xfId="15239" xr:uid="{00000000-0005-0000-0000-000021280000}"/>
    <cellStyle name="Normal 2 7 8" xfId="3062" xr:uid="{00000000-0005-0000-0000-000022280000}"/>
    <cellStyle name="Normal 2 7 8 2" xfId="15240" xr:uid="{00000000-0005-0000-0000-000023280000}"/>
    <cellStyle name="Normal 2 7 9" xfId="3063" xr:uid="{00000000-0005-0000-0000-000024280000}"/>
    <cellStyle name="Normal 2 7 9 2" xfId="15241" xr:uid="{00000000-0005-0000-0000-000025280000}"/>
    <cellStyle name="Normal 2 70" xfId="6307" xr:uid="{00000000-0005-0000-0000-000026280000}"/>
    <cellStyle name="Normal 2 70 2" xfId="18383" xr:uid="{00000000-0005-0000-0000-000027280000}"/>
    <cellStyle name="Normal 2 71" xfId="6308" xr:uid="{00000000-0005-0000-0000-000028280000}"/>
    <cellStyle name="Normal 2 71 2" xfId="18384" xr:uid="{00000000-0005-0000-0000-000029280000}"/>
    <cellStyle name="Normal 2 72" xfId="6309" xr:uid="{00000000-0005-0000-0000-00002A280000}"/>
    <cellStyle name="Normal 2 72 2" xfId="18385" xr:uid="{00000000-0005-0000-0000-00002B280000}"/>
    <cellStyle name="Normal 2 73" xfId="6310" xr:uid="{00000000-0005-0000-0000-00002C280000}"/>
    <cellStyle name="Normal 2 73 2" xfId="18386" xr:uid="{00000000-0005-0000-0000-00002D280000}"/>
    <cellStyle name="Normal 2 74" xfId="6311" xr:uid="{00000000-0005-0000-0000-00002E280000}"/>
    <cellStyle name="Normal 2 74 2" xfId="18387" xr:uid="{00000000-0005-0000-0000-00002F280000}"/>
    <cellStyle name="Normal 2 75" xfId="6312" xr:uid="{00000000-0005-0000-0000-000030280000}"/>
    <cellStyle name="Normal 2 75 2" xfId="18388" xr:uid="{00000000-0005-0000-0000-000031280000}"/>
    <cellStyle name="Normal 2 76" xfId="6313" xr:uid="{00000000-0005-0000-0000-000032280000}"/>
    <cellStyle name="Normal 2 76 2" xfId="18389" xr:uid="{00000000-0005-0000-0000-000033280000}"/>
    <cellStyle name="Normal 2 77" xfId="6314" xr:uid="{00000000-0005-0000-0000-000034280000}"/>
    <cellStyle name="Normal 2 77 2" xfId="18390" xr:uid="{00000000-0005-0000-0000-000035280000}"/>
    <cellStyle name="Normal 2 78" xfId="6315" xr:uid="{00000000-0005-0000-0000-000036280000}"/>
    <cellStyle name="Normal 2 78 2" xfId="18391" xr:uid="{00000000-0005-0000-0000-000037280000}"/>
    <cellStyle name="Normal 2 79" xfId="6316" xr:uid="{00000000-0005-0000-0000-000038280000}"/>
    <cellStyle name="Normal 2 79 2" xfId="18392" xr:uid="{00000000-0005-0000-0000-000039280000}"/>
    <cellStyle name="Normal 2 8" xfId="120" xr:uid="{00000000-0005-0000-0000-00003A280000}"/>
    <cellStyle name="Normal 2 8 10" xfId="3064" xr:uid="{00000000-0005-0000-0000-00003B280000}"/>
    <cellStyle name="Normal 2 8 10 2" xfId="15242" xr:uid="{00000000-0005-0000-0000-00003C280000}"/>
    <cellStyle name="Normal 2 8 11" xfId="3065" xr:uid="{00000000-0005-0000-0000-00003D280000}"/>
    <cellStyle name="Normal 2 8 11 2" xfId="15243" xr:uid="{00000000-0005-0000-0000-00003E280000}"/>
    <cellStyle name="Normal 2 8 12" xfId="3066" xr:uid="{00000000-0005-0000-0000-00003F280000}"/>
    <cellStyle name="Normal 2 8 12 2" xfId="15244" xr:uid="{00000000-0005-0000-0000-000040280000}"/>
    <cellStyle name="Normal 2 8 13" xfId="3067" xr:uid="{00000000-0005-0000-0000-000041280000}"/>
    <cellStyle name="Normal 2 8 13 2" xfId="15245" xr:uid="{00000000-0005-0000-0000-000042280000}"/>
    <cellStyle name="Normal 2 8 14" xfId="3068" xr:uid="{00000000-0005-0000-0000-000043280000}"/>
    <cellStyle name="Normal 2 8 14 2" xfId="15246" xr:uid="{00000000-0005-0000-0000-000044280000}"/>
    <cellStyle name="Normal 2 8 15" xfId="3069" xr:uid="{00000000-0005-0000-0000-000045280000}"/>
    <cellStyle name="Normal 2 8 15 2" xfId="15247" xr:uid="{00000000-0005-0000-0000-000046280000}"/>
    <cellStyle name="Normal 2 8 16" xfId="3070" xr:uid="{00000000-0005-0000-0000-000047280000}"/>
    <cellStyle name="Normal 2 8 16 2" xfId="15248" xr:uid="{00000000-0005-0000-0000-000048280000}"/>
    <cellStyle name="Normal 2 8 17" xfId="3071" xr:uid="{00000000-0005-0000-0000-000049280000}"/>
    <cellStyle name="Normal 2 8 17 2" xfId="15249" xr:uid="{00000000-0005-0000-0000-00004A280000}"/>
    <cellStyle name="Normal 2 8 18" xfId="3072" xr:uid="{00000000-0005-0000-0000-00004B280000}"/>
    <cellStyle name="Normal 2 8 18 2" xfId="15250" xr:uid="{00000000-0005-0000-0000-00004C280000}"/>
    <cellStyle name="Normal 2 8 19" xfId="3073" xr:uid="{00000000-0005-0000-0000-00004D280000}"/>
    <cellStyle name="Normal 2 8 19 2" xfId="15251" xr:uid="{00000000-0005-0000-0000-00004E280000}"/>
    <cellStyle name="Normal 2 8 2" xfId="803" xr:uid="{00000000-0005-0000-0000-00004F280000}"/>
    <cellStyle name="Normal 2 8 2 2" xfId="3074" xr:uid="{00000000-0005-0000-0000-000050280000}"/>
    <cellStyle name="Normal 2 8 2 2 2" xfId="15253" xr:uid="{00000000-0005-0000-0000-000051280000}"/>
    <cellStyle name="Normal 2 8 2 3" xfId="3075" xr:uid="{00000000-0005-0000-0000-000052280000}"/>
    <cellStyle name="Normal 2 8 2 3 2" xfId="15254" xr:uid="{00000000-0005-0000-0000-000053280000}"/>
    <cellStyle name="Normal 2 8 2 4" xfId="15252" xr:uid="{00000000-0005-0000-0000-000054280000}"/>
    <cellStyle name="Normal 2 8 20" xfId="3076" xr:uid="{00000000-0005-0000-0000-000055280000}"/>
    <cellStyle name="Normal 2 8 20 2" xfId="15255" xr:uid="{00000000-0005-0000-0000-000056280000}"/>
    <cellStyle name="Normal 2 8 21" xfId="3077" xr:uid="{00000000-0005-0000-0000-000057280000}"/>
    <cellStyle name="Normal 2 8 21 2" xfId="15256" xr:uid="{00000000-0005-0000-0000-000058280000}"/>
    <cellStyle name="Normal 2 8 22" xfId="3078" xr:uid="{00000000-0005-0000-0000-000059280000}"/>
    <cellStyle name="Normal 2 8 22 2" xfId="15257" xr:uid="{00000000-0005-0000-0000-00005A280000}"/>
    <cellStyle name="Normal 2 8 23" xfId="3079" xr:uid="{00000000-0005-0000-0000-00005B280000}"/>
    <cellStyle name="Normal 2 8 23 2" xfId="15258" xr:uid="{00000000-0005-0000-0000-00005C280000}"/>
    <cellStyle name="Normal 2 8 24" xfId="3080" xr:uid="{00000000-0005-0000-0000-00005D280000}"/>
    <cellStyle name="Normal 2 8 24 2" xfId="15259" xr:uid="{00000000-0005-0000-0000-00005E280000}"/>
    <cellStyle name="Normal 2 8 25" xfId="3081" xr:uid="{00000000-0005-0000-0000-00005F280000}"/>
    <cellStyle name="Normal 2 8 25 2" xfId="15260" xr:uid="{00000000-0005-0000-0000-000060280000}"/>
    <cellStyle name="Normal 2 8 26" xfId="3082" xr:uid="{00000000-0005-0000-0000-000061280000}"/>
    <cellStyle name="Normal 2 8 26 2" xfId="15261" xr:uid="{00000000-0005-0000-0000-000062280000}"/>
    <cellStyle name="Normal 2 8 27" xfId="3083" xr:uid="{00000000-0005-0000-0000-000063280000}"/>
    <cellStyle name="Normal 2 8 27 2" xfId="15262" xr:uid="{00000000-0005-0000-0000-000064280000}"/>
    <cellStyle name="Normal 2 8 28" xfId="3084" xr:uid="{00000000-0005-0000-0000-000065280000}"/>
    <cellStyle name="Normal 2 8 28 2" xfId="15263" xr:uid="{00000000-0005-0000-0000-000066280000}"/>
    <cellStyle name="Normal 2 8 29" xfId="15046" xr:uid="{00000000-0005-0000-0000-000067280000}"/>
    <cellStyle name="Normal 2 8 3" xfId="708" xr:uid="{00000000-0005-0000-0000-000068280000}"/>
    <cellStyle name="Normal 2 8 3 2" xfId="15264" xr:uid="{00000000-0005-0000-0000-000069280000}"/>
    <cellStyle name="Normal 2 8 3 3" xfId="3085" xr:uid="{00000000-0005-0000-0000-00006A280000}"/>
    <cellStyle name="Normal 2 8 4" xfId="335" xr:uid="{00000000-0005-0000-0000-00006B280000}"/>
    <cellStyle name="Normal 2 8 4 2" xfId="15265" xr:uid="{00000000-0005-0000-0000-00006C280000}"/>
    <cellStyle name="Normal 2 8 5" xfId="3086" xr:uid="{00000000-0005-0000-0000-00006D280000}"/>
    <cellStyle name="Normal 2 8 5 2" xfId="15266" xr:uid="{00000000-0005-0000-0000-00006E280000}"/>
    <cellStyle name="Normal 2 8 6" xfId="3087" xr:uid="{00000000-0005-0000-0000-00006F280000}"/>
    <cellStyle name="Normal 2 8 6 2" xfId="15267" xr:uid="{00000000-0005-0000-0000-000070280000}"/>
    <cellStyle name="Normal 2 8 7" xfId="3088" xr:uid="{00000000-0005-0000-0000-000071280000}"/>
    <cellStyle name="Normal 2 8 7 2" xfId="15268" xr:uid="{00000000-0005-0000-0000-000072280000}"/>
    <cellStyle name="Normal 2 8 8" xfId="3089" xr:uid="{00000000-0005-0000-0000-000073280000}"/>
    <cellStyle name="Normal 2 8 8 2" xfId="15269" xr:uid="{00000000-0005-0000-0000-000074280000}"/>
    <cellStyle name="Normal 2 8 9" xfId="3090" xr:uid="{00000000-0005-0000-0000-000075280000}"/>
    <cellStyle name="Normal 2 8 9 2" xfId="15270" xr:uid="{00000000-0005-0000-0000-000076280000}"/>
    <cellStyle name="Normal 2 80" xfId="6317" xr:uid="{00000000-0005-0000-0000-000077280000}"/>
    <cellStyle name="Normal 2 80 2" xfId="18393" xr:uid="{00000000-0005-0000-0000-000078280000}"/>
    <cellStyle name="Normal 2 81" xfId="6318" xr:uid="{00000000-0005-0000-0000-000079280000}"/>
    <cellStyle name="Normal 2 81 2" xfId="18394" xr:uid="{00000000-0005-0000-0000-00007A280000}"/>
    <cellStyle name="Normal 2 82" xfId="6319" xr:uid="{00000000-0005-0000-0000-00007B280000}"/>
    <cellStyle name="Normal 2 82 2" xfId="18395" xr:uid="{00000000-0005-0000-0000-00007C280000}"/>
    <cellStyle name="Normal 2 83" xfId="28305" xr:uid="{00000000-0005-0000-0000-00007D280000}"/>
    <cellStyle name="Normal 2 9" xfId="122" xr:uid="{00000000-0005-0000-0000-00007E280000}"/>
    <cellStyle name="Normal 2 9 10" xfId="3091" xr:uid="{00000000-0005-0000-0000-00007F280000}"/>
    <cellStyle name="Normal 2 9 10 2" xfId="15271" xr:uid="{00000000-0005-0000-0000-000080280000}"/>
    <cellStyle name="Normal 2 9 11" xfId="3092" xr:uid="{00000000-0005-0000-0000-000081280000}"/>
    <cellStyle name="Normal 2 9 11 2" xfId="15272" xr:uid="{00000000-0005-0000-0000-000082280000}"/>
    <cellStyle name="Normal 2 9 12" xfId="3093" xr:uid="{00000000-0005-0000-0000-000083280000}"/>
    <cellStyle name="Normal 2 9 12 2" xfId="15273" xr:uid="{00000000-0005-0000-0000-000084280000}"/>
    <cellStyle name="Normal 2 9 13" xfId="3094" xr:uid="{00000000-0005-0000-0000-000085280000}"/>
    <cellStyle name="Normal 2 9 13 2" xfId="15274" xr:uid="{00000000-0005-0000-0000-000086280000}"/>
    <cellStyle name="Normal 2 9 14" xfId="3095" xr:uid="{00000000-0005-0000-0000-000087280000}"/>
    <cellStyle name="Normal 2 9 14 2" xfId="15275" xr:uid="{00000000-0005-0000-0000-000088280000}"/>
    <cellStyle name="Normal 2 9 15" xfId="3096" xr:uid="{00000000-0005-0000-0000-000089280000}"/>
    <cellStyle name="Normal 2 9 15 2" xfId="15276" xr:uid="{00000000-0005-0000-0000-00008A280000}"/>
    <cellStyle name="Normal 2 9 16" xfId="3097" xr:uid="{00000000-0005-0000-0000-00008B280000}"/>
    <cellStyle name="Normal 2 9 16 2" xfId="15277" xr:uid="{00000000-0005-0000-0000-00008C280000}"/>
    <cellStyle name="Normal 2 9 17" xfId="3098" xr:uid="{00000000-0005-0000-0000-00008D280000}"/>
    <cellStyle name="Normal 2 9 17 2" xfId="15278" xr:uid="{00000000-0005-0000-0000-00008E280000}"/>
    <cellStyle name="Normal 2 9 18" xfId="3099" xr:uid="{00000000-0005-0000-0000-00008F280000}"/>
    <cellStyle name="Normal 2 9 18 2" xfId="15279" xr:uid="{00000000-0005-0000-0000-000090280000}"/>
    <cellStyle name="Normal 2 9 19" xfId="3100" xr:uid="{00000000-0005-0000-0000-000091280000}"/>
    <cellStyle name="Normal 2 9 19 2" xfId="15280" xr:uid="{00000000-0005-0000-0000-000092280000}"/>
    <cellStyle name="Normal 2 9 2" xfId="804" xr:uid="{00000000-0005-0000-0000-000093280000}"/>
    <cellStyle name="Normal 2 9 2 2" xfId="3101" xr:uid="{00000000-0005-0000-0000-000094280000}"/>
    <cellStyle name="Normal 2 9 2 2 2" xfId="15282" xr:uid="{00000000-0005-0000-0000-000095280000}"/>
    <cellStyle name="Normal 2 9 2 3" xfId="3102" xr:uid="{00000000-0005-0000-0000-000096280000}"/>
    <cellStyle name="Normal 2 9 2 3 2" xfId="15283" xr:uid="{00000000-0005-0000-0000-000097280000}"/>
    <cellStyle name="Normal 2 9 2 4" xfId="15281" xr:uid="{00000000-0005-0000-0000-000098280000}"/>
    <cellStyle name="Normal 2 9 20" xfId="3103" xr:uid="{00000000-0005-0000-0000-000099280000}"/>
    <cellStyle name="Normal 2 9 20 2" xfId="15284" xr:uid="{00000000-0005-0000-0000-00009A280000}"/>
    <cellStyle name="Normal 2 9 21" xfId="3104" xr:uid="{00000000-0005-0000-0000-00009B280000}"/>
    <cellStyle name="Normal 2 9 21 2" xfId="15285" xr:uid="{00000000-0005-0000-0000-00009C280000}"/>
    <cellStyle name="Normal 2 9 22" xfId="3105" xr:uid="{00000000-0005-0000-0000-00009D280000}"/>
    <cellStyle name="Normal 2 9 22 2" xfId="15286" xr:uid="{00000000-0005-0000-0000-00009E280000}"/>
    <cellStyle name="Normal 2 9 23" xfId="3106" xr:uid="{00000000-0005-0000-0000-00009F280000}"/>
    <cellStyle name="Normal 2 9 23 2" xfId="15287" xr:uid="{00000000-0005-0000-0000-0000A0280000}"/>
    <cellStyle name="Normal 2 9 24" xfId="3107" xr:uid="{00000000-0005-0000-0000-0000A1280000}"/>
    <cellStyle name="Normal 2 9 24 2" xfId="15288" xr:uid="{00000000-0005-0000-0000-0000A2280000}"/>
    <cellStyle name="Normal 2 9 25" xfId="3108" xr:uid="{00000000-0005-0000-0000-0000A3280000}"/>
    <cellStyle name="Normal 2 9 25 2" xfId="15289" xr:uid="{00000000-0005-0000-0000-0000A4280000}"/>
    <cellStyle name="Normal 2 9 26" xfId="3109" xr:uid="{00000000-0005-0000-0000-0000A5280000}"/>
    <cellStyle name="Normal 2 9 26 2" xfId="15290" xr:uid="{00000000-0005-0000-0000-0000A6280000}"/>
    <cellStyle name="Normal 2 9 27" xfId="3110" xr:uid="{00000000-0005-0000-0000-0000A7280000}"/>
    <cellStyle name="Normal 2 9 27 2" xfId="15291" xr:uid="{00000000-0005-0000-0000-0000A8280000}"/>
    <cellStyle name="Normal 2 9 28" xfId="3111" xr:uid="{00000000-0005-0000-0000-0000A9280000}"/>
    <cellStyle name="Normal 2 9 28 2" xfId="15292" xr:uid="{00000000-0005-0000-0000-0000AA280000}"/>
    <cellStyle name="Normal 2 9 29" xfId="15047" xr:uid="{00000000-0005-0000-0000-0000AB280000}"/>
    <cellStyle name="Normal 2 9 3" xfId="709" xr:uid="{00000000-0005-0000-0000-0000AC280000}"/>
    <cellStyle name="Normal 2 9 3 2" xfId="15293" xr:uid="{00000000-0005-0000-0000-0000AD280000}"/>
    <cellStyle name="Normal 2 9 3 3" xfId="3112" xr:uid="{00000000-0005-0000-0000-0000AE280000}"/>
    <cellStyle name="Normal 2 9 4" xfId="336" xr:uid="{00000000-0005-0000-0000-0000AF280000}"/>
    <cellStyle name="Normal 2 9 4 2" xfId="15294" xr:uid="{00000000-0005-0000-0000-0000B0280000}"/>
    <cellStyle name="Normal 2 9 5" xfId="3113" xr:uid="{00000000-0005-0000-0000-0000B1280000}"/>
    <cellStyle name="Normal 2 9 5 2" xfId="15295" xr:uid="{00000000-0005-0000-0000-0000B2280000}"/>
    <cellStyle name="Normal 2 9 6" xfId="3114" xr:uid="{00000000-0005-0000-0000-0000B3280000}"/>
    <cellStyle name="Normal 2 9 6 2" xfId="15296" xr:uid="{00000000-0005-0000-0000-0000B4280000}"/>
    <cellStyle name="Normal 2 9 7" xfId="3115" xr:uid="{00000000-0005-0000-0000-0000B5280000}"/>
    <cellStyle name="Normal 2 9 7 2" xfId="15297" xr:uid="{00000000-0005-0000-0000-0000B6280000}"/>
    <cellStyle name="Normal 2 9 8" xfId="3116" xr:uid="{00000000-0005-0000-0000-0000B7280000}"/>
    <cellStyle name="Normal 2 9 8 2" xfId="15298" xr:uid="{00000000-0005-0000-0000-0000B8280000}"/>
    <cellStyle name="Normal 2 9 9" xfId="3117" xr:uid="{00000000-0005-0000-0000-0000B9280000}"/>
    <cellStyle name="Normal 2 9 9 2" xfId="15299" xr:uid="{00000000-0005-0000-0000-0000BA280000}"/>
    <cellStyle name="Normal 2_Master List" xfId="99" xr:uid="{00000000-0005-0000-0000-0000BB280000}"/>
    <cellStyle name="Normal 20" xfId="62" xr:uid="{00000000-0005-0000-0000-0000BC280000}"/>
    <cellStyle name="Normal 20 10" xfId="6320" xr:uid="{00000000-0005-0000-0000-0000BD280000}"/>
    <cellStyle name="Normal 20 10 2" xfId="18397" xr:uid="{00000000-0005-0000-0000-0000BE280000}"/>
    <cellStyle name="Normal 20 11" xfId="6321" xr:uid="{00000000-0005-0000-0000-0000BF280000}"/>
    <cellStyle name="Normal 20 11 2" xfId="18398" xr:uid="{00000000-0005-0000-0000-0000C0280000}"/>
    <cellStyle name="Normal 20 12" xfId="6322" xr:uid="{00000000-0005-0000-0000-0000C1280000}"/>
    <cellStyle name="Normal 20 12 2" xfId="18399" xr:uid="{00000000-0005-0000-0000-0000C2280000}"/>
    <cellStyle name="Normal 20 13" xfId="6323" xr:uid="{00000000-0005-0000-0000-0000C3280000}"/>
    <cellStyle name="Normal 20 13 2" xfId="18400" xr:uid="{00000000-0005-0000-0000-0000C4280000}"/>
    <cellStyle name="Normal 20 14" xfId="6324" xr:uid="{00000000-0005-0000-0000-0000C5280000}"/>
    <cellStyle name="Normal 20 14 2" xfId="18401" xr:uid="{00000000-0005-0000-0000-0000C6280000}"/>
    <cellStyle name="Normal 20 15" xfId="6325" xr:uid="{00000000-0005-0000-0000-0000C7280000}"/>
    <cellStyle name="Normal 20 15 2" xfId="18402" xr:uid="{00000000-0005-0000-0000-0000C8280000}"/>
    <cellStyle name="Normal 20 16" xfId="6326" xr:uid="{00000000-0005-0000-0000-0000C9280000}"/>
    <cellStyle name="Normal 20 16 2" xfId="18403" xr:uid="{00000000-0005-0000-0000-0000CA280000}"/>
    <cellStyle name="Normal 20 17" xfId="6327" xr:uid="{00000000-0005-0000-0000-0000CB280000}"/>
    <cellStyle name="Normal 20 17 2" xfId="18404" xr:uid="{00000000-0005-0000-0000-0000CC280000}"/>
    <cellStyle name="Normal 20 18" xfId="6328" xr:uid="{00000000-0005-0000-0000-0000CD280000}"/>
    <cellStyle name="Normal 20 18 2" xfId="18405" xr:uid="{00000000-0005-0000-0000-0000CE280000}"/>
    <cellStyle name="Normal 20 19" xfId="6329" xr:uid="{00000000-0005-0000-0000-0000CF280000}"/>
    <cellStyle name="Normal 20 19 2" xfId="18406" xr:uid="{00000000-0005-0000-0000-0000D0280000}"/>
    <cellStyle name="Normal 20 2" xfId="165" xr:uid="{00000000-0005-0000-0000-0000D1280000}"/>
    <cellStyle name="Normal 20 2 10" xfId="6331" xr:uid="{00000000-0005-0000-0000-0000D2280000}"/>
    <cellStyle name="Normal 20 2 10 2" xfId="18408" xr:uid="{00000000-0005-0000-0000-0000D3280000}"/>
    <cellStyle name="Normal 20 2 11" xfId="6332" xr:uid="{00000000-0005-0000-0000-0000D4280000}"/>
    <cellStyle name="Normal 20 2 11 2" xfId="18409" xr:uid="{00000000-0005-0000-0000-0000D5280000}"/>
    <cellStyle name="Normal 20 2 12" xfId="6333" xr:uid="{00000000-0005-0000-0000-0000D6280000}"/>
    <cellStyle name="Normal 20 2 12 2" xfId="18410" xr:uid="{00000000-0005-0000-0000-0000D7280000}"/>
    <cellStyle name="Normal 20 2 13" xfId="6334" xr:uid="{00000000-0005-0000-0000-0000D8280000}"/>
    <cellStyle name="Normal 20 2 13 2" xfId="18411" xr:uid="{00000000-0005-0000-0000-0000D9280000}"/>
    <cellStyle name="Normal 20 2 14" xfId="6335" xr:uid="{00000000-0005-0000-0000-0000DA280000}"/>
    <cellStyle name="Normal 20 2 14 2" xfId="18412" xr:uid="{00000000-0005-0000-0000-0000DB280000}"/>
    <cellStyle name="Normal 20 2 15" xfId="6336" xr:uid="{00000000-0005-0000-0000-0000DC280000}"/>
    <cellStyle name="Normal 20 2 15 2" xfId="18413" xr:uid="{00000000-0005-0000-0000-0000DD280000}"/>
    <cellStyle name="Normal 20 2 16" xfId="6337" xr:uid="{00000000-0005-0000-0000-0000DE280000}"/>
    <cellStyle name="Normal 20 2 16 2" xfId="18414" xr:uid="{00000000-0005-0000-0000-0000DF280000}"/>
    <cellStyle name="Normal 20 2 17" xfId="6338" xr:uid="{00000000-0005-0000-0000-0000E0280000}"/>
    <cellStyle name="Normal 20 2 17 2" xfId="18415" xr:uid="{00000000-0005-0000-0000-0000E1280000}"/>
    <cellStyle name="Normal 20 2 18" xfId="6339" xr:uid="{00000000-0005-0000-0000-0000E2280000}"/>
    <cellStyle name="Normal 20 2 18 2" xfId="18416" xr:uid="{00000000-0005-0000-0000-0000E3280000}"/>
    <cellStyle name="Normal 20 2 19" xfId="6340" xr:uid="{00000000-0005-0000-0000-0000E4280000}"/>
    <cellStyle name="Normal 20 2 19 2" xfId="18417" xr:uid="{00000000-0005-0000-0000-0000E5280000}"/>
    <cellStyle name="Normal 20 2 2" xfId="6341" xr:uid="{00000000-0005-0000-0000-0000E6280000}"/>
    <cellStyle name="Normal 20 2 2 2" xfId="18418" xr:uid="{00000000-0005-0000-0000-0000E7280000}"/>
    <cellStyle name="Normal 20 2 20" xfId="6342" xr:uid="{00000000-0005-0000-0000-0000E8280000}"/>
    <cellStyle name="Normal 20 2 20 2" xfId="18419" xr:uid="{00000000-0005-0000-0000-0000E9280000}"/>
    <cellStyle name="Normal 20 2 21" xfId="6343" xr:uid="{00000000-0005-0000-0000-0000EA280000}"/>
    <cellStyle name="Normal 20 2 21 2" xfId="18420" xr:uid="{00000000-0005-0000-0000-0000EB280000}"/>
    <cellStyle name="Normal 20 2 22" xfId="6344" xr:uid="{00000000-0005-0000-0000-0000EC280000}"/>
    <cellStyle name="Normal 20 2 22 2" xfId="18421" xr:uid="{00000000-0005-0000-0000-0000ED280000}"/>
    <cellStyle name="Normal 20 2 23" xfId="6345" xr:uid="{00000000-0005-0000-0000-0000EE280000}"/>
    <cellStyle name="Normal 20 2 23 2" xfId="18422" xr:uid="{00000000-0005-0000-0000-0000EF280000}"/>
    <cellStyle name="Normal 20 2 24" xfId="6346" xr:uid="{00000000-0005-0000-0000-0000F0280000}"/>
    <cellStyle name="Normal 20 2 24 2" xfId="18423" xr:uid="{00000000-0005-0000-0000-0000F1280000}"/>
    <cellStyle name="Normal 20 2 25" xfId="6347" xr:uid="{00000000-0005-0000-0000-0000F2280000}"/>
    <cellStyle name="Normal 20 2 25 2" xfId="18424" xr:uid="{00000000-0005-0000-0000-0000F3280000}"/>
    <cellStyle name="Normal 20 2 26" xfId="6348" xr:uid="{00000000-0005-0000-0000-0000F4280000}"/>
    <cellStyle name="Normal 20 2 26 2" xfId="18425" xr:uid="{00000000-0005-0000-0000-0000F5280000}"/>
    <cellStyle name="Normal 20 2 27" xfId="6349" xr:uid="{00000000-0005-0000-0000-0000F6280000}"/>
    <cellStyle name="Normal 20 2 27 2" xfId="18426" xr:uid="{00000000-0005-0000-0000-0000F7280000}"/>
    <cellStyle name="Normal 20 2 28" xfId="6350" xr:uid="{00000000-0005-0000-0000-0000F8280000}"/>
    <cellStyle name="Normal 20 2 28 2" xfId="18427" xr:uid="{00000000-0005-0000-0000-0000F9280000}"/>
    <cellStyle name="Normal 20 2 29" xfId="6351" xr:uid="{00000000-0005-0000-0000-0000FA280000}"/>
    <cellStyle name="Normal 20 2 29 2" xfId="18428" xr:uid="{00000000-0005-0000-0000-0000FB280000}"/>
    <cellStyle name="Normal 20 2 3" xfId="6352" xr:uid="{00000000-0005-0000-0000-0000FC280000}"/>
    <cellStyle name="Normal 20 2 3 2" xfId="18429" xr:uid="{00000000-0005-0000-0000-0000FD280000}"/>
    <cellStyle name="Normal 20 2 30" xfId="6353" xr:uid="{00000000-0005-0000-0000-0000FE280000}"/>
    <cellStyle name="Normal 20 2 30 2" xfId="18430" xr:uid="{00000000-0005-0000-0000-0000FF280000}"/>
    <cellStyle name="Normal 20 2 31" xfId="6354" xr:uid="{00000000-0005-0000-0000-000000290000}"/>
    <cellStyle name="Normal 20 2 31 2" xfId="18431" xr:uid="{00000000-0005-0000-0000-000001290000}"/>
    <cellStyle name="Normal 20 2 32" xfId="6355" xr:uid="{00000000-0005-0000-0000-000002290000}"/>
    <cellStyle name="Normal 20 2 32 2" xfId="18432" xr:uid="{00000000-0005-0000-0000-000003290000}"/>
    <cellStyle name="Normal 20 2 33" xfId="6356" xr:uid="{00000000-0005-0000-0000-000004290000}"/>
    <cellStyle name="Normal 20 2 33 2" xfId="18433" xr:uid="{00000000-0005-0000-0000-000005290000}"/>
    <cellStyle name="Normal 20 2 34" xfId="6357" xr:uid="{00000000-0005-0000-0000-000006290000}"/>
    <cellStyle name="Normal 20 2 34 2" xfId="18434" xr:uid="{00000000-0005-0000-0000-000007290000}"/>
    <cellStyle name="Normal 20 2 35" xfId="6358" xr:uid="{00000000-0005-0000-0000-000008290000}"/>
    <cellStyle name="Normal 20 2 35 2" xfId="18435" xr:uid="{00000000-0005-0000-0000-000009290000}"/>
    <cellStyle name="Normal 20 2 36" xfId="6359" xr:uid="{00000000-0005-0000-0000-00000A290000}"/>
    <cellStyle name="Normal 20 2 36 2" xfId="18436" xr:uid="{00000000-0005-0000-0000-00000B290000}"/>
    <cellStyle name="Normal 20 2 37" xfId="6360" xr:uid="{00000000-0005-0000-0000-00000C290000}"/>
    <cellStyle name="Normal 20 2 37 2" xfId="18437" xr:uid="{00000000-0005-0000-0000-00000D290000}"/>
    <cellStyle name="Normal 20 2 38" xfId="6361" xr:uid="{00000000-0005-0000-0000-00000E290000}"/>
    <cellStyle name="Normal 20 2 38 2" xfId="18438" xr:uid="{00000000-0005-0000-0000-00000F290000}"/>
    <cellStyle name="Normal 20 2 39" xfId="6362" xr:uid="{00000000-0005-0000-0000-000010290000}"/>
    <cellStyle name="Normal 20 2 39 2" xfId="18439" xr:uid="{00000000-0005-0000-0000-000011290000}"/>
    <cellStyle name="Normal 20 2 4" xfId="6363" xr:uid="{00000000-0005-0000-0000-000012290000}"/>
    <cellStyle name="Normal 20 2 4 2" xfId="18440" xr:uid="{00000000-0005-0000-0000-000013290000}"/>
    <cellStyle name="Normal 20 2 40" xfId="6364" xr:uid="{00000000-0005-0000-0000-000014290000}"/>
    <cellStyle name="Normal 20 2 40 2" xfId="18441" xr:uid="{00000000-0005-0000-0000-000015290000}"/>
    <cellStyle name="Normal 20 2 41" xfId="6365" xr:uid="{00000000-0005-0000-0000-000016290000}"/>
    <cellStyle name="Normal 20 2 41 2" xfId="18442" xr:uid="{00000000-0005-0000-0000-000017290000}"/>
    <cellStyle name="Normal 20 2 42" xfId="6366" xr:uid="{00000000-0005-0000-0000-000018290000}"/>
    <cellStyle name="Normal 20 2 42 2" xfId="18443" xr:uid="{00000000-0005-0000-0000-000019290000}"/>
    <cellStyle name="Normal 20 2 43" xfId="6367" xr:uid="{00000000-0005-0000-0000-00001A290000}"/>
    <cellStyle name="Normal 20 2 43 2" xfId="18444" xr:uid="{00000000-0005-0000-0000-00001B290000}"/>
    <cellStyle name="Normal 20 2 44" xfId="6368" xr:uid="{00000000-0005-0000-0000-00001C290000}"/>
    <cellStyle name="Normal 20 2 44 2" xfId="18445" xr:uid="{00000000-0005-0000-0000-00001D290000}"/>
    <cellStyle name="Normal 20 2 45" xfId="6369" xr:uid="{00000000-0005-0000-0000-00001E290000}"/>
    <cellStyle name="Normal 20 2 45 2" xfId="18446" xr:uid="{00000000-0005-0000-0000-00001F290000}"/>
    <cellStyle name="Normal 20 2 46" xfId="6370" xr:uid="{00000000-0005-0000-0000-000020290000}"/>
    <cellStyle name="Normal 20 2 46 2" xfId="18447" xr:uid="{00000000-0005-0000-0000-000021290000}"/>
    <cellStyle name="Normal 20 2 47" xfId="6371" xr:uid="{00000000-0005-0000-0000-000022290000}"/>
    <cellStyle name="Normal 20 2 47 2" xfId="18448" xr:uid="{00000000-0005-0000-0000-000023290000}"/>
    <cellStyle name="Normal 20 2 48" xfId="6372" xr:uid="{00000000-0005-0000-0000-000024290000}"/>
    <cellStyle name="Normal 20 2 48 2" xfId="18449" xr:uid="{00000000-0005-0000-0000-000025290000}"/>
    <cellStyle name="Normal 20 2 49" xfId="6373" xr:uid="{00000000-0005-0000-0000-000026290000}"/>
    <cellStyle name="Normal 20 2 49 2" xfId="18450" xr:uid="{00000000-0005-0000-0000-000027290000}"/>
    <cellStyle name="Normal 20 2 5" xfId="6374" xr:uid="{00000000-0005-0000-0000-000028290000}"/>
    <cellStyle name="Normal 20 2 5 2" xfId="18451" xr:uid="{00000000-0005-0000-0000-000029290000}"/>
    <cellStyle name="Normal 20 2 50" xfId="6375" xr:uid="{00000000-0005-0000-0000-00002A290000}"/>
    <cellStyle name="Normal 20 2 50 2" xfId="18452" xr:uid="{00000000-0005-0000-0000-00002B290000}"/>
    <cellStyle name="Normal 20 2 51" xfId="6376" xr:uid="{00000000-0005-0000-0000-00002C290000}"/>
    <cellStyle name="Normal 20 2 51 2" xfId="18453" xr:uid="{00000000-0005-0000-0000-00002D290000}"/>
    <cellStyle name="Normal 20 2 52" xfId="6377" xr:uid="{00000000-0005-0000-0000-00002E290000}"/>
    <cellStyle name="Normal 20 2 52 2" xfId="18454" xr:uid="{00000000-0005-0000-0000-00002F290000}"/>
    <cellStyle name="Normal 20 2 53" xfId="6378" xr:uid="{00000000-0005-0000-0000-000030290000}"/>
    <cellStyle name="Normal 20 2 53 2" xfId="18455" xr:uid="{00000000-0005-0000-0000-000031290000}"/>
    <cellStyle name="Normal 20 2 54" xfId="6379" xr:uid="{00000000-0005-0000-0000-000032290000}"/>
    <cellStyle name="Normal 20 2 54 2" xfId="18456" xr:uid="{00000000-0005-0000-0000-000033290000}"/>
    <cellStyle name="Normal 20 2 55" xfId="6380" xr:uid="{00000000-0005-0000-0000-000034290000}"/>
    <cellStyle name="Normal 20 2 55 2" xfId="18457" xr:uid="{00000000-0005-0000-0000-000035290000}"/>
    <cellStyle name="Normal 20 2 56" xfId="6381" xr:uid="{00000000-0005-0000-0000-000036290000}"/>
    <cellStyle name="Normal 20 2 56 2" xfId="18458" xr:uid="{00000000-0005-0000-0000-000037290000}"/>
    <cellStyle name="Normal 20 2 57" xfId="6382" xr:uid="{00000000-0005-0000-0000-000038290000}"/>
    <cellStyle name="Normal 20 2 57 2" xfId="18459" xr:uid="{00000000-0005-0000-0000-000039290000}"/>
    <cellStyle name="Normal 20 2 58" xfId="6383" xr:uid="{00000000-0005-0000-0000-00003A290000}"/>
    <cellStyle name="Normal 20 2 58 2" xfId="18460" xr:uid="{00000000-0005-0000-0000-00003B290000}"/>
    <cellStyle name="Normal 20 2 59" xfId="6384" xr:uid="{00000000-0005-0000-0000-00003C290000}"/>
    <cellStyle name="Normal 20 2 59 2" xfId="18461" xr:uid="{00000000-0005-0000-0000-00003D290000}"/>
    <cellStyle name="Normal 20 2 6" xfId="6385" xr:uid="{00000000-0005-0000-0000-00003E290000}"/>
    <cellStyle name="Normal 20 2 6 2" xfId="18462" xr:uid="{00000000-0005-0000-0000-00003F290000}"/>
    <cellStyle name="Normal 20 2 60" xfId="6386" xr:uid="{00000000-0005-0000-0000-000040290000}"/>
    <cellStyle name="Normal 20 2 60 2" xfId="18463" xr:uid="{00000000-0005-0000-0000-000041290000}"/>
    <cellStyle name="Normal 20 2 61" xfId="6387" xr:uid="{00000000-0005-0000-0000-000042290000}"/>
    <cellStyle name="Normal 20 2 61 2" xfId="18464" xr:uid="{00000000-0005-0000-0000-000043290000}"/>
    <cellStyle name="Normal 20 2 62" xfId="6388" xr:uid="{00000000-0005-0000-0000-000044290000}"/>
    <cellStyle name="Normal 20 2 62 2" xfId="18465" xr:uid="{00000000-0005-0000-0000-000045290000}"/>
    <cellStyle name="Normal 20 2 63" xfId="6389" xr:uid="{00000000-0005-0000-0000-000046290000}"/>
    <cellStyle name="Normal 20 2 63 2" xfId="18466" xr:uid="{00000000-0005-0000-0000-000047290000}"/>
    <cellStyle name="Normal 20 2 64" xfId="6390" xr:uid="{00000000-0005-0000-0000-000048290000}"/>
    <cellStyle name="Normal 20 2 64 2" xfId="18467" xr:uid="{00000000-0005-0000-0000-000049290000}"/>
    <cellStyle name="Normal 20 2 65" xfId="6391" xr:uid="{00000000-0005-0000-0000-00004A290000}"/>
    <cellStyle name="Normal 20 2 65 2" xfId="18468" xr:uid="{00000000-0005-0000-0000-00004B290000}"/>
    <cellStyle name="Normal 20 2 66" xfId="6392" xr:uid="{00000000-0005-0000-0000-00004C290000}"/>
    <cellStyle name="Normal 20 2 66 2" xfId="18469" xr:uid="{00000000-0005-0000-0000-00004D290000}"/>
    <cellStyle name="Normal 20 2 67" xfId="6393" xr:uid="{00000000-0005-0000-0000-00004E290000}"/>
    <cellStyle name="Normal 20 2 67 2" xfId="18470" xr:uid="{00000000-0005-0000-0000-00004F290000}"/>
    <cellStyle name="Normal 20 2 68" xfId="6394" xr:uid="{00000000-0005-0000-0000-000050290000}"/>
    <cellStyle name="Normal 20 2 68 2" xfId="18471" xr:uid="{00000000-0005-0000-0000-000051290000}"/>
    <cellStyle name="Normal 20 2 69" xfId="6395" xr:uid="{00000000-0005-0000-0000-000052290000}"/>
    <cellStyle name="Normal 20 2 69 2" xfId="18472" xr:uid="{00000000-0005-0000-0000-000053290000}"/>
    <cellStyle name="Normal 20 2 7" xfId="6396" xr:uid="{00000000-0005-0000-0000-000054290000}"/>
    <cellStyle name="Normal 20 2 7 2" xfId="18473" xr:uid="{00000000-0005-0000-0000-000055290000}"/>
    <cellStyle name="Normal 20 2 70" xfId="6397" xr:uid="{00000000-0005-0000-0000-000056290000}"/>
    <cellStyle name="Normal 20 2 70 2" xfId="18474" xr:uid="{00000000-0005-0000-0000-000057290000}"/>
    <cellStyle name="Normal 20 2 71" xfId="6398" xr:uid="{00000000-0005-0000-0000-000058290000}"/>
    <cellStyle name="Normal 20 2 71 2" xfId="18475" xr:uid="{00000000-0005-0000-0000-000059290000}"/>
    <cellStyle name="Normal 20 2 72" xfId="6399" xr:uid="{00000000-0005-0000-0000-00005A290000}"/>
    <cellStyle name="Normal 20 2 72 2" xfId="18476" xr:uid="{00000000-0005-0000-0000-00005B290000}"/>
    <cellStyle name="Normal 20 2 73" xfId="6400" xr:uid="{00000000-0005-0000-0000-00005C290000}"/>
    <cellStyle name="Normal 20 2 73 2" xfId="18477" xr:uid="{00000000-0005-0000-0000-00005D290000}"/>
    <cellStyle name="Normal 20 2 74" xfId="6401" xr:uid="{00000000-0005-0000-0000-00005E290000}"/>
    <cellStyle name="Normal 20 2 74 2" xfId="18478" xr:uid="{00000000-0005-0000-0000-00005F290000}"/>
    <cellStyle name="Normal 20 2 75" xfId="6402" xr:uid="{00000000-0005-0000-0000-000060290000}"/>
    <cellStyle name="Normal 20 2 75 2" xfId="18479" xr:uid="{00000000-0005-0000-0000-000061290000}"/>
    <cellStyle name="Normal 20 2 76" xfId="6403" xr:uid="{00000000-0005-0000-0000-000062290000}"/>
    <cellStyle name="Normal 20 2 76 2" xfId="18480" xr:uid="{00000000-0005-0000-0000-000063290000}"/>
    <cellStyle name="Normal 20 2 77" xfId="6404" xr:uid="{00000000-0005-0000-0000-000064290000}"/>
    <cellStyle name="Normal 20 2 77 2" xfId="18481" xr:uid="{00000000-0005-0000-0000-000065290000}"/>
    <cellStyle name="Normal 20 2 78" xfId="6405" xr:uid="{00000000-0005-0000-0000-000066290000}"/>
    <cellStyle name="Normal 20 2 78 2" xfId="18482" xr:uid="{00000000-0005-0000-0000-000067290000}"/>
    <cellStyle name="Normal 20 2 79" xfId="6406" xr:uid="{00000000-0005-0000-0000-000068290000}"/>
    <cellStyle name="Normal 20 2 79 2" xfId="18483" xr:uid="{00000000-0005-0000-0000-000069290000}"/>
    <cellStyle name="Normal 20 2 8" xfId="6407" xr:uid="{00000000-0005-0000-0000-00006A290000}"/>
    <cellStyle name="Normal 20 2 8 2" xfId="18484" xr:uid="{00000000-0005-0000-0000-00006B290000}"/>
    <cellStyle name="Normal 20 2 80" xfId="18407" xr:uid="{00000000-0005-0000-0000-00006C290000}"/>
    <cellStyle name="Normal 20 2 81" xfId="6330" xr:uid="{00000000-0005-0000-0000-00006D290000}"/>
    <cellStyle name="Normal 20 2 9" xfId="6408" xr:uid="{00000000-0005-0000-0000-00006E290000}"/>
    <cellStyle name="Normal 20 2 9 2" xfId="18485" xr:uid="{00000000-0005-0000-0000-00006F290000}"/>
    <cellStyle name="Normal 20 20" xfId="6409" xr:uid="{00000000-0005-0000-0000-000070290000}"/>
    <cellStyle name="Normal 20 20 2" xfId="18486" xr:uid="{00000000-0005-0000-0000-000071290000}"/>
    <cellStyle name="Normal 20 21" xfId="6410" xr:uid="{00000000-0005-0000-0000-000072290000}"/>
    <cellStyle name="Normal 20 21 2" xfId="18487" xr:uid="{00000000-0005-0000-0000-000073290000}"/>
    <cellStyle name="Normal 20 22" xfId="6411" xr:uid="{00000000-0005-0000-0000-000074290000}"/>
    <cellStyle name="Normal 20 22 2" xfId="18488" xr:uid="{00000000-0005-0000-0000-000075290000}"/>
    <cellStyle name="Normal 20 23" xfId="6412" xr:uid="{00000000-0005-0000-0000-000076290000}"/>
    <cellStyle name="Normal 20 23 2" xfId="18489" xr:uid="{00000000-0005-0000-0000-000077290000}"/>
    <cellStyle name="Normal 20 24" xfId="6413" xr:uid="{00000000-0005-0000-0000-000078290000}"/>
    <cellStyle name="Normal 20 24 2" xfId="18490" xr:uid="{00000000-0005-0000-0000-000079290000}"/>
    <cellStyle name="Normal 20 25" xfId="6414" xr:uid="{00000000-0005-0000-0000-00007A290000}"/>
    <cellStyle name="Normal 20 25 2" xfId="18491" xr:uid="{00000000-0005-0000-0000-00007B290000}"/>
    <cellStyle name="Normal 20 26" xfId="6415" xr:uid="{00000000-0005-0000-0000-00007C290000}"/>
    <cellStyle name="Normal 20 26 2" xfId="18492" xr:uid="{00000000-0005-0000-0000-00007D290000}"/>
    <cellStyle name="Normal 20 27" xfId="6416" xr:uid="{00000000-0005-0000-0000-00007E290000}"/>
    <cellStyle name="Normal 20 27 2" xfId="18493" xr:uid="{00000000-0005-0000-0000-00007F290000}"/>
    <cellStyle name="Normal 20 28" xfId="6417" xr:uid="{00000000-0005-0000-0000-000080290000}"/>
    <cellStyle name="Normal 20 28 2" xfId="18494" xr:uid="{00000000-0005-0000-0000-000081290000}"/>
    <cellStyle name="Normal 20 29" xfId="6418" xr:uid="{00000000-0005-0000-0000-000082290000}"/>
    <cellStyle name="Normal 20 29 2" xfId="18495" xr:uid="{00000000-0005-0000-0000-000083290000}"/>
    <cellStyle name="Normal 20 3" xfId="710" xr:uid="{00000000-0005-0000-0000-000084290000}"/>
    <cellStyle name="Normal 20 3 10" xfId="6420" xr:uid="{00000000-0005-0000-0000-000085290000}"/>
    <cellStyle name="Normal 20 3 10 2" xfId="18497" xr:uid="{00000000-0005-0000-0000-000086290000}"/>
    <cellStyle name="Normal 20 3 11" xfId="6421" xr:uid="{00000000-0005-0000-0000-000087290000}"/>
    <cellStyle name="Normal 20 3 11 2" xfId="18498" xr:uid="{00000000-0005-0000-0000-000088290000}"/>
    <cellStyle name="Normal 20 3 12" xfId="6422" xr:uid="{00000000-0005-0000-0000-000089290000}"/>
    <cellStyle name="Normal 20 3 12 2" xfId="18499" xr:uid="{00000000-0005-0000-0000-00008A290000}"/>
    <cellStyle name="Normal 20 3 13" xfId="6423" xr:uid="{00000000-0005-0000-0000-00008B290000}"/>
    <cellStyle name="Normal 20 3 13 2" xfId="18500" xr:uid="{00000000-0005-0000-0000-00008C290000}"/>
    <cellStyle name="Normal 20 3 14" xfId="6424" xr:uid="{00000000-0005-0000-0000-00008D290000}"/>
    <cellStyle name="Normal 20 3 14 2" xfId="18501" xr:uid="{00000000-0005-0000-0000-00008E290000}"/>
    <cellStyle name="Normal 20 3 15" xfId="6425" xr:uid="{00000000-0005-0000-0000-00008F290000}"/>
    <cellStyle name="Normal 20 3 15 2" xfId="18502" xr:uid="{00000000-0005-0000-0000-000090290000}"/>
    <cellStyle name="Normal 20 3 16" xfId="6426" xr:uid="{00000000-0005-0000-0000-000091290000}"/>
    <cellStyle name="Normal 20 3 16 2" xfId="18503" xr:uid="{00000000-0005-0000-0000-000092290000}"/>
    <cellStyle name="Normal 20 3 17" xfId="6427" xr:uid="{00000000-0005-0000-0000-000093290000}"/>
    <cellStyle name="Normal 20 3 17 2" xfId="18504" xr:uid="{00000000-0005-0000-0000-000094290000}"/>
    <cellStyle name="Normal 20 3 18" xfId="6428" xr:uid="{00000000-0005-0000-0000-000095290000}"/>
    <cellStyle name="Normal 20 3 18 2" xfId="18505" xr:uid="{00000000-0005-0000-0000-000096290000}"/>
    <cellStyle name="Normal 20 3 19" xfId="6429" xr:uid="{00000000-0005-0000-0000-000097290000}"/>
    <cellStyle name="Normal 20 3 19 2" xfId="18506" xr:uid="{00000000-0005-0000-0000-000098290000}"/>
    <cellStyle name="Normal 20 3 2" xfId="6430" xr:uid="{00000000-0005-0000-0000-000099290000}"/>
    <cellStyle name="Normal 20 3 2 2" xfId="18507" xr:uid="{00000000-0005-0000-0000-00009A290000}"/>
    <cellStyle name="Normal 20 3 20" xfId="6431" xr:uid="{00000000-0005-0000-0000-00009B290000}"/>
    <cellStyle name="Normal 20 3 20 2" xfId="18508" xr:uid="{00000000-0005-0000-0000-00009C290000}"/>
    <cellStyle name="Normal 20 3 21" xfId="6432" xr:uid="{00000000-0005-0000-0000-00009D290000}"/>
    <cellStyle name="Normal 20 3 21 2" xfId="18509" xr:uid="{00000000-0005-0000-0000-00009E290000}"/>
    <cellStyle name="Normal 20 3 22" xfId="6433" xr:uid="{00000000-0005-0000-0000-00009F290000}"/>
    <cellStyle name="Normal 20 3 22 2" xfId="18510" xr:uid="{00000000-0005-0000-0000-0000A0290000}"/>
    <cellStyle name="Normal 20 3 23" xfId="6434" xr:uid="{00000000-0005-0000-0000-0000A1290000}"/>
    <cellStyle name="Normal 20 3 23 2" xfId="18511" xr:uid="{00000000-0005-0000-0000-0000A2290000}"/>
    <cellStyle name="Normal 20 3 24" xfId="6435" xr:uid="{00000000-0005-0000-0000-0000A3290000}"/>
    <cellStyle name="Normal 20 3 24 2" xfId="18512" xr:uid="{00000000-0005-0000-0000-0000A4290000}"/>
    <cellStyle name="Normal 20 3 25" xfId="6436" xr:uid="{00000000-0005-0000-0000-0000A5290000}"/>
    <cellStyle name="Normal 20 3 25 2" xfId="18513" xr:uid="{00000000-0005-0000-0000-0000A6290000}"/>
    <cellStyle name="Normal 20 3 26" xfId="6437" xr:uid="{00000000-0005-0000-0000-0000A7290000}"/>
    <cellStyle name="Normal 20 3 26 2" xfId="18514" xr:uid="{00000000-0005-0000-0000-0000A8290000}"/>
    <cellStyle name="Normal 20 3 27" xfId="6438" xr:uid="{00000000-0005-0000-0000-0000A9290000}"/>
    <cellStyle name="Normal 20 3 27 2" xfId="18515" xr:uid="{00000000-0005-0000-0000-0000AA290000}"/>
    <cellStyle name="Normal 20 3 28" xfId="6439" xr:uid="{00000000-0005-0000-0000-0000AB290000}"/>
    <cellStyle name="Normal 20 3 28 2" xfId="18516" xr:uid="{00000000-0005-0000-0000-0000AC290000}"/>
    <cellStyle name="Normal 20 3 29" xfId="6440" xr:uid="{00000000-0005-0000-0000-0000AD290000}"/>
    <cellStyle name="Normal 20 3 29 2" xfId="18517" xr:uid="{00000000-0005-0000-0000-0000AE290000}"/>
    <cellStyle name="Normal 20 3 3" xfId="6441" xr:uid="{00000000-0005-0000-0000-0000AF290000}"/>
    <cellStyle name="Normal 20 3 3 2" xfId="18518" xr:uid="{00000000-0005-0000-0000-0000B0290000}"/>
    <cellStyle name="Normal 20 3 30" xfId="6442" xr:uid="{00000000-0005-0000-0000-0000B1290000}"/>
    <cellStyle name="Normal 20 3 30 2" xfId="18519" xr:uid="{00000000-0005-0000-0000-0000B2290000}"/>
    <cellStyle name="Normal 20 3 31" xfId="6443" xr:uid="{00000000-0005-0000-0000-0000B3290000}"/>
    <cellStyle name="Normal 20 3 31 2" xfId="18520" xr:uid="{00000000-0005-0000-0000-0000B4290000}"/>
    <cellStyle name="Normal 20 3 32" xfId="6444" xr:uid="{00000000-0005-0000-0000-0000B5290000}"/>
    <cellStyle name="Normal 20 3 32 2" xfId="18521" xr:uid="{00000000-0005-0000-0000-0000B6290000}"/>
    <cellStyle name="Normal 20 3 33" xfId="6445" xr:uid="{00000000-0005-0000-0000-0000B7290000}"/>
    <cellStyle name="Normal 20 3 33 2" xfId="18522" xr:uid="{00000000-0005-0000-0000-0000B8290000}"/>
    <cellStyle name="Normal 20 3 34" xfId="6446" xr:uid="{00000000-0005-0000-0000-0000B9290000}"/>
    <cellStyle name="Normal 20 3 34 2" xfId="18523" xr:uid="{00000000-0005-0000-0000-0000BA290000}"/>
    <cellStyle name="Normal 20 3 35" xfId="6447" xr:uid="{00000000-0005-0000-0000-0000BB290000}"/>
    <cellStyle name="Normal 20 3 35 2" xfId="18524" xr:uid="{00000000-0005-0000-0000-0000BC290000}"/>
    <cellStyle name="Normal 20 3 36" xfId="6448" xr:uid="{00000000-0005-0000-0000-0000BD290000}"/>
    <cellStyle name="Normal 20 3 36 2" xfId="18525" xr:uid="{00000000-0005-0000-0000-0000BE290000}"/>
    <cellStyle name="Normal 20 3 37" xfId="6449" xr:uid="{00000000-0005-0000-0000-0000BF290000}"/>
    <cellStyle name="Normal 20 3 37 2" xfId="18526" xr:uid="{00000000-0005-0000-0000-0000C0290000}"/>
    <cellStyle name="Normal 20 3 38" xfId="6450" xr:uid="{00000000-0005-0000-0000-0000C1290000}"/>
    <cellStyle name="Normal 20 3 38 2" xfId="18527" xr:uid="{00000000-0005-0000-0000-0000C2290000}"/>
    <cellStyle name="Normal 20 3 39" xfId="6451" xr:uid="{00000000-0005-0000-0000-0000C3290000}"/>
    <cellStyle name="Normal 20 3 39 2" xfId="18528" xr:uid="{00000000-0005-0000-0000-0000C4290000}"/>
    <cellStyle name="Normal 20 3 4" xfId="6452" xr:uid="{00000000-0005-0000-0000-0000C5290000}"/>
    <cellStyle name="Normal 20 3 4 2" xfId="18529" xr:uid="{00000000-0005-0000-0000-0000C6290000}"/>
    <cellStyle name="Normal 20 3 40" xfId="6453" xr:uid="{00000000-0005-0000-0000-0000C7290000}"/>
    <cellStyle name="Normal 20 3 40 2" xfId="18530" xr:uid="{00000000-0005-0000-0000-0000C8290000}"/>
    <cellStyle name="Normal 20 3 41" xfId="6454" xr:uid="{00000000-0005-0000-0000-0000C9290000}"/>
    <cellStyle name="Normal 20 3 41 2" xfId="18531" xr:uid="{00000000-0005-0000-0000-0000CA290000}"/>
    <cellStyle name="Normal 20 3 42" xfId="6455" xr:uid="{00000000-0005-0000-0000-0000CB290000}"/>
    <cellStyle name="Normal 20 3 42 2" xfId="18532" xr:uid="{00000000-0005-0000-0000-0000CC290000}"/>
    <cellStyle name="Normal 20 3 43" xfId="6456" xr:uid="{00000000-0005-0000-0000-0000CD290000}"/>
    <cellStyle name="Normal 20 3 43 2" xfId="18533" xr:uid="{00000000-0005-0000-0000-0000CE290000}"/>
    <cellStyle name="Normal 20 3 44" xfId="6457" xr:uid="{00000000-0005-0000-0000-0000CF290000}"/>
    <cellStyle name="Normal 20 3 44 2" xfId="18534" xr:uid="{00000000-0005-0000-0000-0000D0290000}"/>
    <cellStyle name="Normal 20 3 45" xfId="6458" xr:uid="{00000000-0005-0000-0000-0000D1290000}"/>
    <cellStyle name="Normal 20 3 45 2" xfId="18535" xr:uid="{00000000-0005-0000-0000-0000D2290000}"/>
    <cellStyle name="Normal 20 3 46" xfId="6459" xr:uid="{00000000-0005-0000-0000-0000D3290000}"/>
    <cellStyle name="Normal 20 3 46 2" xfId="18536" xr:uid="{00000000-0005-0000-0000-0000D4290000}"/>
    <cellStyle name="Normal 20 3 47" xfId="6460" xr:uid="{00000000-0005-0000-0000-0000D5290000}"/>
    <cellStyle name="Normal 20 3 47 2" xfId="18537" xr:uid="{00000000-0005-0000-0000-0000D6290000}"/>
    <cellStyle name="Normal 20 3 48" xfId="6461" xr:uid="{00000000-0005-0000-0000-0000D7290000}"/>
    <cellStyle name="Normal 20 3 48 2" xfId="18538" xr:uid="{00000000-0005-0000-0000-0000D8290000}"/>
    <cellStyle name="Normal 20 3 49" xfId="6462" xr:uid="{00000000-0005-0000-0000-0000D9290000}"/>
    <cellStyle name="Normal 20 3 49 2" xfId="18539" xr:uid="{00000000-0005-0000-0000-0000DA290000}"/>
    <cellStyle name="Normal 20 3 5" xfId="6463" xr:uid="{00000000-0005-0000-0000-0000DB290000}"/>
    <cellStyle name="Normal 20 3 5 2" xfId="18540" xr:uid="{00000000-0005-0000-0000-0000DC290000}"/>
    <cellStyle name="Normal 20 3 50" xfId="6464" xr:uid="{00000000-0005-0000-0000-0000DD290000}"/>
    <cellStyle name="Normal 20 3 50 2" xfId="18541" xr:uid="{00000000-0005-0000-0000-0000DE290000}"/>
    <cellStyle name="Normal 20 3 51" xfId="6465" xr:uid="{00000000-0005-0000-0000-0000DF290000}"/>
    <cellStyle name="Normal 20 3 51 2" xfId="18542" xr:uid="{00000000-0005-0000-0000-0000E0290000}"/>
    <cellStyle name="Normal 20 3 52" xfId="6466" xr:uid="{00000000-0005-0000-0000-0000E1290000}"/>
    <cellStyle name="Normal 20 3 52 2" xfId="18543" xr:uid="{00000000-0005-0000-0000-0000E2290000}"/>
    <cellStyle name="Normal 20 3 53" xfId="6467" xr:uid="{00000000-0005-0000-0000-0000E3290000}"/>
    <cellStyle name="Normal 20 3 53 2" xfId="18544" xr:uid="{00000000-0005-0000-0000-0000E4290000}"/>
    <cellStyle name="Normal 20 3 54" xfId="6468" xr:uid="{00000000-0005-0000-0000-0000E5290000}"/>
    <cellStyle name="Normal 20 3 54 2" xfId="18545" xr:uid="{00000000-0005-0000-0000-0000E6290000}"/>
    <cellStyle name="Normal 20 3 55" xfId="6469" xr:uid="{00000000-0005-0000-0000-0000E7290000}"/>
    <cellStyle name="Normal 20 3 55 2" xfId="18546" xr:uid="{00000000-0005-0000-0000-0000E8290000}"/>
    <cellStyle name="Normal 20 3 56" xfId="6470" xr:uid="{00000000-0005-0000-0000-0000E9290000}"/>
    <cellStyle name="Normal 20 3 56 2" xfId="18547" xr:uid="{00000000-0005-0000-0000-0000EA290000}"/>
    <cellStyle name="Normal 20 3 57" xfId="6471" xr:uid="{00000000-0005-0000-0000-0000EB290000}"/>
    <cellStyle name="Normal 20 3 57 2" xfId="18548" xr:uid="{00000000-0005-0000-0000-0000EC290000}"/>
    <cellStyle name="Normal 20 3 58" xfId="6472" xr:uid="{00000000-0005-0000-0000-0000ED290000}"/>
    <cellStyle name="Normal 20 3 58 2" xfId="18549" xr:uid="{00000000-0005-0000-0000-0000EE290000}"/>
    <cellStyle name="Normal 20 3 59" xfId="6473" xr:uid="{00000000-0005-0000-0000-0000EF290000}"/>
    <cellStyle name="Normal 20 3 59 2" xfId="18550" xr:uid="{00000000-0005-0000-0000-0000F0290000}"/>
    <cellStyle name="Normal 20 3 6" xfId="6474" xr:uid="{00000000-0005-0000-0000-0000F1290000}"/>
    <cellStyle name="Normal 20 3 6 2" xfId="18551" xr:uid="{00000000-0005-0000-0000-0000F2290000}"/>
    <cellStyle name="Normal 20 3 60" xfId="6475" xr:uid="{00000000-0005-0000-0000-0000F3290000}"/>
    <cellStyle name="Normal 20 3 60 2" xfId="18552" xr:uid="{00000000-0005-0000-0000-0000F4290000}"/>
    <cellStyle name="Normal 20 3 61" xfId="6476" xr:uid="{00000000-0005-0000-0000-0000F5290000}"/>
    <cellStyle name="Normal 20 3 61 2" xfId="18553" xr:uid="{00000000-0005-0000-0000-0000F6290000}"/>
    <cellStyle name="Normal 20 3 62" xfId="6477" xr:uid="{00000000-0005-0000-0000-0000F7290000}"/>
    <cellStyle name="Normal 20 3 62 2" xfId="18554" xr:uid="{00000000-0005-0000-0000-0000F8290000}"/>
    <cellStyle name="Normal 20 3 63" xfId="6478" xr:uid="{00000000-0005-0000-0000-0000F9290000}"/>
    <cellStyle name="Normal 20 3 63 2" xfId="18555" xr:uid="{00000000-0005-0000-0000-0000FA290000}"/>
    <cellStyle name="Normal 20 3 64" xfId="6479" xr:uid="{00000000-0005-0000-0000-0000FB290000}"/>
    <cellStyle name="Normal 20 3 64 2" xfId="18556" xr:uid="{00000000-0005-0000-0000-0000FC290000}"/>
    <cellStyle name="Normal 20 3 65" xfId="6480" xr:uid="{00000000-0005-0000-0000-0000FD290000}"/>
    <cellStyle name="Normal 20 3 65 2" xfId="18557" xr:uid="{00000000-0005-0000-0000-0000FE290000}"/>
    <cellStyle name="Normal 20 3 66" xfId="6481" xr:uid="{00000000-0005-0000-0000-0000FF290000}"/>
    <cellStyle name="Normal 20 3 66 2" xfId="18558" xr:uid="{00000000-0005-0000-0000-0000002A0000}"/>
    <cellStyle name="Normal 20 3 67" xfId="6482" xr:uid="{00000000-0005-0000-0000-0000012A0000}"/>
    <cellStyle name="Normal 20 3 67 2" xfId="18559" xr:uid="{00000000-0005-0000-0000-0000022A0000}"/>
    <cellStyle name="Normal 20 3 68" xfId="6483" xr:uid="{00000000-0005-0000-0000-0000032A0000}"/>
    <cellStyle name="Normal 20 3 68 2" xfId="18560" xr:uid="{00000000-0005-0000-0000-0000042A0000}"/>
    <cellStyle name="Normal 20 3 69" xfId="6484" xr:uid="{00000000-0005-0000-0000-0000052A0000}"/>
    <cellStyle name="Normal 20 3 69 2" xfId="18561" xr:uid="{00000000-0005-0000-0000-0000062A0000}"/>
    <cellStyle name="Normal 20 3 7" xfId="6485" xr:uid="{00000000-0005-0000-0000-0000072A0000}"/>
    <cellStyle name="Normal 20 3 7 2" xfId="18562" xr:uid="{00000000-0005-0000-0000-0000082A0000}"/>
    <cellStyle name="Normal 20 3 70" xfId="6486" xr:uid="{00000000-0005-0000-0000-0000092A0000}"/>
    <cellStyle name="Normal 20 3 70 2" xfId="18563" xr:uid="{00000000-0005-0000-0000-00000A2A0000}"/>
    <cellStyle name="Normal 20 3 71" xfId="6487" xr:uid="{00000000-0005-0000-0000-00000B2A0000}"/>
    <cellStyle name="Normal 20 3 71 2" xfId="18564" xr:uid="{00000000-0005-0000-0000-00000C2A0000}"/>
    <cellStyle name="Normal 20 3 72" xfId="6488" xr:uid="{00000000-0005-0000-0000-00000D2A0000}"/>
    <cellStyle name="Normal 20 3 72 2" xfId="18565" xr:uid="{00000000-0005-0000-0000-00000E2A0000}"/>
    <cellStyle name="Normal 20 3 73" xfId="6489" xr:uid="{00000000-0005-0000-0000-00000F2A0000}"/>
    <cellStyle name="Normal 20 3 73 2" xfId="18566" xr:uid="{00000000-0005-0000-0000-0000102A0000}"/>
    <cellStyle name="Normal 20 3 74" xfId="6490" xr:uid="{00000000-0005-0000-0000-0000112A0000}"/>
    <cellStyle name="Normal 20 3 74 2" xfId="18567" xr:uid="{00000000-0005-0000-0000-0000122A0000}"/>
    <cellStyle name="Normal 20 3 75" xfId="6491" xr:uid="{00000000-0005-0000-0000-0000132A0000}"/>
    <cellStyle name="Normal 20 3 75 2" xfId="18568" xr:uid="{00000000-0005-0000-0000-0000142A0000}"/>
    <cellStyle name="Normal 20 3 76" xfId="6492" xr:uid="{00000000-0005-0000-0000-0000152A0000}"/>
    <cellStyle name="Normal 20 3 76 2" xfId="18569" xr:uid="{00000000-0005-0000-0000-0000162A0000}"/>
    <cellStyle name="Normal 20 3 77" xfId="6493" xr:uid="{00000000-0005-0000-0000-0000172A0000}"/>
    <cellStyle name="Normal 20 3 77 2" xfId="18570" xr:uid="{00000000-0005-0000-0000-0000182A0000}"/>
    <cellStyle name="Normal 20 3 78" xfId="6494" xr:uid="{00000000-0005-0000-0000-0000192A0000}"/>
    <cellStyle name="Normal 20 3 78 2" xfId="18571" xr:uid="{00000000-0005-0000-0000-00001A2A0000}"/>
    <cellStyle name="Normal 20 3 79" xfId="6495" xr:uid="{00000000-0005-0000-0000-00001B2A0000}"/>
    <cellStyle name="Normal 20 3 79 2" xfId="18572" xr:uid="{00000000-0005-0000-0000-00001C2A0000}"/>
    <cellStyle name="Normal 20 3 8" xfId="6496" xr:uid="{00000000-0005-0000-0000-00001D2A0000}"/>
    <cellStyle name="Normal 20 3 8 2" xfId="18573" xr:uid="{00000000-0005-0000-0000-00001E2A0000}"/>
    <cellStyle name="Normal 20 3 80" xfId="18496" xr:uid="{00000000-0005-0000-0000-00001F2A0000}"/>
    <cellStyle name="Normal 20 3 81" xfId="6419" xr:uid="{00000000-0005-0000-0000-0000202A0000}"/>
    <cellStyle name="Normal 20 3 9" xfId="6497" xr:uid="{00000000-0005-0000-0000-0000212A0000}"/>
    <cellStyle name="Normal 20 3 9 2" xfId="18574" xr:uid="{00000000-0005-0000-0000-0000222A0000}"/>
    <cellStyle name="Normal 20 30" xfId="6498" xr:uid="{00000000-0005-0000-0000-0000232A0000}"/>
    <cellStyle name="Normal 20 30 2" xfId="18575" xr:uid="{00000000-0005-0000-0000-0000242A0000}"/>
    <cellStyle name="Normal 20 31" xfId="6499" xr:uid="{00000000-0005-0000-0000-0000252A0000}"/>
    <cellStyle name="Normal 20 31 2" xfId="18576" xr:uid="{00000000-0005-0000-0000-0000262A0000}"/>
    <cellStyle name="Normal 20 32" xfId="6500" xr:uid="{00000000-0005-0000-0000-0000272A0000}"/>
    <cellStyle name="Normal 20 32 2" xfId="18577" xr:uid="{00000000-0005-0000-0000-0000282A0000}"/>
    <cellStyle name="Normal 20 33" xfId="6501" xr:uid="{00000000-0005-0000-0000-0000292A0000}"/>
    <cellStyle name="Normal 20 33 2" xfId="18578" xr:uid="{00000000-0005-0000-0000-00002A2A0000}"/>
    <cellStyle name="Normal 20 34" xfId="6502" xr:uid="{00000000-0005-0000-0000-00002B2A0000}"/>
    <cellStyle name="Normal 20 34 2" xfId="18579" xr:uid="{00000000-0005-0000-0000-00002C2A0000}"/>
    <cellStyle name="Normal 20 35" xfId="6503" xr:uid="{00000000-0005-0000-0000-00002D2A0000}"/>
    <cellStyle name="Normal 20 35 2" xfId="18580" xr:uid="{00000000-0005-0000-0000-00002E2A0000}"/>
    <cellStyle name="Normal 20 36" xfId="6504" xr:uid="{00000000-0005-0000-0000-00002F2A0000}"/>
    <cellStyle name="Normal 20 36 2" xfId="18581" xr:uid="{00000000-0005-0000-0000-0000302A0000}"/>
    <cellStyle name="Normal 20 37" xfId="6505" xr:uid="{00000000-0005-0000-0000-0000312A0000}"/>
    <cellStyle name="Normal 20 37 2" xfId="18582" xr:uid="{00000000-0005-0000-0000-0000322A0000}"/>
    <cellStyle name="Normal 20 38" xfId="6506" xr:uid="{00000000-0005-0000-0000-0000332A0000}"/>
    <cellStyle name="Normal 20 38 2" xfId="18583" xr:uid="{00000000-0005-0000-0000-0000342A0000}"/>
    <cellStyle name="Normal 20 39" xfId="6507" xr:uid="{00000000-0005-0000-0000-0000352A0000}"/>
    <cellStyle name="Normal 20 39 2" xfId="18584" xr:uid="{00000000-0005-0000-0000-0000362A0000}"/>
    <cellStyle name="Normal 20 4" xfId="391" xr:uid="{00000000-0005-0000-0000-0000372A0000}"/>
    <cellStyle name="Normal 20 4 10" xfId="6508" xr:uid="{00000000-0005-0000-0000-0000382A0000}"/>
    <cellStyle name="Normal 20 4 10 2" xfId="18586" xr:uid="{00000000-0005-0000-0000-0000392A0000}"/>
    <cellStyle name="Normal 20 4 11" xfId="6509" xr:uid="{00000000-0005-0000-0000-00003A2A0000}"/>
    <cellStyle name="Normal 20 4 11 2" xfId="18587" xr:uid="{00000000-0005-0000-0000-00003B2A0000}"/>
    <cellStyle name="Normal 20 4 12" xfId="6510" xr:uid="{00000000-0005-0000-0000-00003C2A0000}"/>
    <cellStyle name="Normal 20 4 12 2" xfId="18588" xr:uid="{00000000-0005-0000-0000-00003D2A0000}"/>
    <cellStyle name="Normal 20 4 13" xfId="6511" xr:uid="{00000000-0005-0000-0000-00003E2A0000}"/>
    <cellStyle name="Normal 20 4 13 2" xfId="18589" xr:uid="{00000000-0005-0000-0000-00003F2A0000}"/>
    <cellStyle name="Normal 20 4 14" xfId="6512" xr:uid="{00000000-0005-0000-0000-0000402A0000}"/>
    <cellStyle name="Normal 20 4 14 2" xfId="18590" xr:uid="{00000000-0005-0000-0000-0000412A0000}"/>
    <cellStyle name="Normal 20 4 15" xfId="6513" xr:uid="{00000000-0005-0000-0000-0000422A0000}"/>
    <cellStyle name="Normal 20 4 15 2" xfId="18591" xr:uid="{00000000-0005-0000-0000-0000432A0000}"/>
    <cellStyle name="Normal 20 4 16" xfId="6514" xr:uid="{00000000-0005-0000-0000-0000442A0000}"/>
    <cellStyle name="Normal 20 4 16 2" xfId="18592" xr:uid="{00000000-0005-0000-0000-0000452A0000}"/>
    <cellStyle name="Normal 20 4 17" xfId="6515" xr:uid="{00000000-0005-0000-0000-0000462A0000}"/>
    <cellStyle name="Normal 20 4 17 2" xfId="18593" xr:uid="{00000000-0005-0000-0000-0000472A0000}"/>
    <cellStyle name="Normal 20 4 18" xfId="6516" xr:uid="{00000000-0005-0000-0000-0000482A0000}"/>
    <cellStyle name="Normal 20 4 18 2" xfId="18594" xr:uid="{00000000-0005-0000-0000-0000492A0000}"/>
    <cellStyle name="Normal 20 4 19" xfId="6517" xr:uid="{00000000-0005-0000-0000-00004A2A0000}"/>
    <cellStyle name="Normal 20 4 19 2" xfId="18595" xr:uid="{00000000-0005-0000-0000-00004B2A0000}"/>
    <cellStyle name="Normal 20 4 2" xfId="6518" xr:uid="{00000000-0005-0000-0000-00004C2A0000}"/>
    <cellStyle name="Normal 20 4 2 2" xfId="18596" xr:uid="{00000000-0005-0000-0000-00004D2A0000}"/>
    <cellStyle name="Normal 20 4 20" xfId="6519" xr:uid="{00000000-0005-0000-0000-00004E2A0000}"/>
    <cellStyle name="Normal 20 4 20 2" xfId="18597" xr:uid="{00000000-0005-0000-0000-00004F2A0000}"/>
    <cellStyle name="Normal 20 4 21" xfId="6520" xr:uid="{00000000-0005-0000-0000-0000502A0000}"/>
    <cellStyle name="Normal 20 4 21 2" xfId="18598" xr:uid="{00000000-0005-0000-0000-0000512A0000}"/>
    <cellStyle name="Normal 20 4 22" xfId="6521" xr:uid="{00000000-0005-0000-0000-0000522A0000}"/>
    <cellStyle name="Normal 20 4 22 2" xfId="18599" xr:uid="{00000000-0005-0000-0000-0000532A0000}"/>
    <cellStyle name="Normal 20 4 23" xfId="6522" xr:uid="{00000000-0005-0000-0000-0000542A0000}"/>
    <cellStyle name="Normal 20 4 23 2" xfId="18600" xr:uid="{00000000-0005-0000-0000-0000552A0000}"/>
    <cellStyle name="Normal 20 4 24" xfId="6523" xr:uid="{00000000-0005-0000-0000-0000562A0000}"/>
    <cellStyle name="Normal 20 4 24 2" xfId="18601" xr:uid="{00000000-0005-0000-0000-0000572A0000}"/>
    <cellStyle name="Normal 20 4 25" xfId="6524" xr:uid="{00000000-0005-0000-0000-0000582A0000}"/>
    <cellStyle name="Normal 20 4 25 2" xfId="18602" xr:uid="{00000000-0005-0000-0000-0000592A0000}"/>
    <cellStyle name="Normal 20 4 26" xfId="6525" xr:uid="{00000000-0005-0000-0000-00005A2A0000}"/>
    <cellStyle name="Normal 20 4 26 2" xfId="18603" xr:uid="{00000000-0005-0000-0000-00005B2A0000}"/>
    <cellStyle name="Normal 20 4 27" xfId="6526" xr:uid="{00000000-0005-0000-0000-00005C2A0000}"/>
    <cellStyle name="Normal 20 4 27 2" xfId="18604" xr:uid="{00000000-0005-0000-0000-00005D2A0000}"/>
    <cellStyle name="Normal 20 4 28" xfId="6527" xr:uid="{00000000-0005-0000-0000-00005E2A0000}"/>
    <cellStyle name="Normal 20 4 28 2" xfId="18605" xr:uid="{00000000-0005-0000-0000-00005F2A0000}"/>
    <cellStyle name="Normal 20 4 29" xfId="6528" xr:uid="{00000000-0005-0000-0000-0000602A0000}"/>
    <cellStyle name="Normal 20 4 29 2" xfId="18606" xr:uid="{00000000-0005-0000-0000-0000612A0000}"/>
    <cellStyle name="Normal 20 4 3" xfId="6529" xr:uid="{00000000-0005-0000-0000-0000622A0000}"/>
    <cellStyle name="Normal 20 4 3 2" xfId="18607" xr:uid="{00000000-0005-0000-0000-0000632A0000}"/>
    <cellStyle name="Normal 20 4 30" xfId="6530" xr:uid="{00000000-0005-0000-0000-0000642A0000}"/>
    <cellStyle name="Normal 20 4 30 2" xfId="18608" xr:uid="{00000000-0005-0000-0000-0000652A0000}"/>
    <cellStyle name="Normal 20 4 31" xfId="6531" xr:uid="{00000000-0005-0000-0000-0000662A0000}"/>
    <cellStyle name="Normal 20 4 31 2" xfId="18609" xr:uid="{00000000-0005-0000-0000-0000672A0000}"/>
    <cellStyle name="Normal 20 4 32" xfId="6532" xr:uid="{00000000-0005-0000-0000-0000682A0000}"/>
    <cellStyle name="Normal 20 4 32 2" xfId="18610" xr:uid="{00000000-0005-0000-0000-0000692A0000}"/>
    <cellStyle name="Normal 20 4 33" xfId="6533" xr:uid="{00000000-0005-0000-0000-00006A2A0000}"/>
    <cellStyle name="Normal 20 4 33 2" xfId="18611" xr:uid="{00000000-0005-0000-0000-00006B2A0000}"/>
    <cellStyle name="Normal 20 4 34" xfId="6534" xr:uid="{00000000-0005-0000-0000-00006C2A0000}"/>
    <cellStyle name="Normal 20 4 34 2" xfId="18612" xr:uid="{00000000-0005-0000-0000-00006D2A0000}"/>
    <cellStyle name="Normal 20 4 35" xfId="6535" xr:uid="{00000000-0005-0000-0000-00006E2A0000}"/>
    <cellStyle name="Normal 20 4 35 2" xfId="18613" xr:uid="{00000000-0005-0000-0000-00006F2A0000}"/>
    <cellStyle name="Normal 20 4 36" xfId="6536" xr:uid="{00000000-0005-0000-0000-0000702A0000}"/>
    <cellStyle name="Normal 20 4 36 2" xfId="18614" xr:uid="{00000000-0005-0000-0000-0000712A0000}"/>
    <cellStyle name="Normal 20 4 37" xfId="6537" xr:uid="{00000000-0005-0000-0000-0000722A0000}"/>
    <cellStyle name="Normal 20 4 37 2" xfId="18615" xr:uid="{00000000-0005-0000-0000-0000732A0000}"/>
    <cellStyle name="Normal 20 4 38" xfId="6538" xr:uid="{00000000-0005-0000-0000-0000742A0000}"/>
    <cellStyle name="Normal 20 4 38 2" xfId="18616" xr:uid="{00000000-0005-0000-0000-0000752A0000}"/>
    <cellStyle name="Normal 20 4 39" xfId="6539" xr:uid="{00000000-0005-0000-0000-0000762A0000}"/>
    <cellStyle name="Normal 20 4 39 2" xfId="18617" xr:uid="{00000000-0005-0000-0000-0000772A0000}"/>
    <cellStyle name="Normal 20 4 4" xfId="6540" xr:uid="{00000000-0005-0000-0000-0000782A0000}"/>
    <cellStyle name="Normal 20 4 4 2" xfId="18618" xr:uid="{00000000-0005-0000-0000-0000792A0000}"/>
    <cellStyle name="Normal 20 4 40" xfId="6541" xr:uid="{00000000-0005-0000-0000-00007A2A0000}"/>
    <cellStyle name="Normal 20 4 40 2" xfId="18619" xr:uid="{00000000-0005-0000-0000-00007B2A0000}"/>
    <cellStyle name="Normal 20 4 41" xfId="6542" xr:uid="{00000000-0005-0000-0000-00007C2A0000}"/>
    <cellStyle name="Normal 20 4 41 2" xfId="18620" xr:uid="{00000000-0005-0000-0000-00007D2A0000}"/>
    <cellStyle name="Normal 20 4 42" xfId="6543" xr:uid="{00000000-0005-0000-0000-00007E2A0000}"/>
    <cellStyle name="Normal 20 4 42 2" xfId="18621" xr:uid="{00000000-0005-0000-0000-00007F2A0000}"/>
    <cellStyle name="Normal 20 4 43" xfId="6544" xr:uid="{00000000-0005-0000-0000-0000802A0000}"/>
    <cellStyle name="Normal 20 4 43 2" xfId="18622" xr:uid="{00000000-0005-0000-0000-0000812A0000}"/>
    <cellStyle name="Normal 20 4 44" xfId="6545" xr:uid="{00000000-0005-0000-0000-0000822A0000}"/>
    <cellStyle name="Normal 20 4 44 2" xfId="18623" xr:uid="{00000000-0005-0000-0000-0000832A0000}"/>
    <cellStyle name="Normal 20 4 45" xfId="6546" xr:uid="{00000000-0005-0000-0000-0000842A0000}"/>
    <cellStyle name="Normal 20 4 45 2" xfId="18624" xr:uid="{00000000-0005-0000-0000-0000852A0000}"/>
    <cellStyle name="Normal 20 4 46" xfId="6547" xr:uid="{00000000-0005-0000-0000-0000862A0000}"/>
    <cellStyle name="Normal 20 4 46 2" xfId="18625" xr:uid="{00000000-0005-0000-0000-0000872A0000}"/>
    <cellStyle name="Normal 20 4 47" xfId="6548" xr:uid="{00000000-0005-0000-0000-0000882A0000}"/>
    <cellStyle name="Normal 20 4 47 2" xfId="18626" xr:uid="{00000000-0005-0000-0000-0000892A0000}"/>
    <cellStyle name="Normal 20 4 48" xfId="6549" xr:uid="{00000000-0005-0000-0000-00008A2A0000}"/>
    <cellStyle name="Normal 20 4 48 2" xfId="18627" xr:uid="{00000000-0005-0000-0000-00008B2A0000}"/>
    <cellStyle name="Normal 20 4 49" xfId="6550" xr:uid="{00000000-0005-0000-0000-00008C2A0000}"/>
    <cellStyle name="Normal 20 4 49 2" xfId="18628" xr:uid="{00000000-0005-0000-0000-00008D2A0000}"/>
    <cellStyle name="Normal 20 4 5" xfId="6551" xr:uid="{00000000-0005-0000-0000-00008E2A0000}"/>
    <cellStyle name="Normal 20 4 5 2" xfId="18629" xr:uid="{00000000-0005-0000-0000-00008F2A0000}"/>
    <cellStyle name="Normal 20 4 50" xfId="6552" xr:uid="{00000000-0005-0000-0000-0000902A0000}"/>
    <cellStyle name="Normal 20 4 50 2" xfId="18630" xr:uid="{00000000-0005-0000-0000-0000912A0000}"/>
    <cellStyle name="Normal 20 4 51" xfId="6553" xr:uid="{00000000-0005-0000-0000-0000922A0000}"/>
    <cellStyle name="Normal 20 4 51 2" xfId="18631" xr:uid="{00000000-0005-0000-0000-0000932A0000}"/>
    <cellStyle name="Normal 20 4 52" xfId="6554" xr:uid="{00000000-0005-0000-0000-0000942A0000}"/>
    <cellStyle name="Normal 20 4 52 2" xfId="18632" xr:uid="{00000000-0005-0000-0000-0000952A0000}"/>
    <cellStyle name="Normal 20 4 53" xfId="6555" xr:uid="{00000000-0005-0000-0000-0000962A0000}"/>
    <cellStyle name="Normal 20 4 53 2" xfId="18633" xr:uid="{00000000-0005-0000-0000-0000972A0000}"/>
    <cellStyle name="Normal 20 4 54" xfId="6556" xr:uid="{00000000-0005-0000-0000-0000982A0000}"/>
    <cellStyle name="Normal 20 4 54 2" xfId="18634" xr:uid="{00000000-0005-0000-0000-0000992A0000}"/>
    <cellStyle name="Normal 20 4 55" xfId="6557" xr:uid="{00000000-0005-0000-0000-00009A2A0000}"/>
    <cellStyle name="Normal 20 4 55 2" xfId="18635" xr:uid="{00000000-0005-0000-0000-00009B2A0000}"/>
    <cellStyle name="Normal 20 4 56" xfId="6558" xr:uid="{00000000-0005-0000-0000-00009C2A0000}"/>
    <cellStyle name="Normal 20 4 56 2" xfId="18636" xr:uid="{00000000-0005-0000-0000-00009D2A0000}"/>
    <cellStyle name="Normal 20 4 57" xfId="6559" xr:uid="{00000000-0005-0000-0000-00009E2A0000}"/>
    <cellStyle name="Normal 20 4 57 2" xfId="18637" xr:uid="{00000000-0005-0000-0000-00009F2A0000}"/>
    <cellStyle name="Normal 20 4 58" xfId="6560" xr:uid="{00000000-0005-0000-0000-0000A02A0000}"/>
    <cellStyle name="Normal 20 4 58 2" xfId="18638" xr:uid="{00000000-0005-0000-0000-0000A12A0000}"/>
    <cellStyle name="Normal 20 4 59" xfId="6561" xr:uid="{00000000-0005-0000-0000-0000A22A0000}"/>
    <cellStyle name="Normal 20 4 59 2" xfId="18639" xr:uid="{00000000-0005-0000-0000-0000A32A0000}"/>
    <cellStyle name="Normal 20 4 6" xfId="6562" xr:uid="{00000000-0005-0000-0000-0000A42A0000}"/>
    <cellStyle name="Normal 20 4 6 2" xfId="18640" xr:uid="{00000000-0005-0000-0000-0000A52A0000}"/>
    <cellStyle name="Normal 20 4 60" xfId="6563" xr:uid="{00000000-0005-0000-0000-0000A62A0000}"/>
    <cellStyle name="Normal 20 4 60 2" xfId="18641" xr:uid="{00000000-0005-0000-0000-0000A72A0000}"/>
    <cellStyle name="Normal 20 4 61" xfId="6564" xr:uid="{00000000-0005-0000-0000-0000A82A0000}"/>
    <cellStyle name="Normal 20 4 61 2" xfId="18642" xr:uid="{00000000-0005-0000-0000-0000A92A0000}"/>
    <cellStyle name="Normal 20 4 62" xfId="6565" xr:uid="{00000000-0005-0000-0000-0000AA2A0000}"/>
    <cellStyle name="Normal 20 4 62 2" xfId="18643" xr:uid="{00000000-0005-0000-0000-0000AB2A0000}"/>
    <cellStyle name="Normal 20 4 63" xfId="6566" xr:uid="{00000000-0005-0000-0000-0000AC2A0000}"/>
    <cellStyle name="Normal 20 4 63 2" xfId="18644" xr:uid="{00000000-0005-0000-0000-0000AD2A0000}"/>
    <cellStyle name="Normal 20 4 64" xfId="6567" xr:uid="{00000000-0005-0000-0000-0000AE2A0000}"/>
    <cellStyle name="Normal 20 4 64 2" xfId="18645" xr:uid="{00000000-0005-0000-0000-0000AF2A0000}"/>
    <cellStyle name="Normal 20 4 65" xfId="6568" xr:uid="{00000000-0005-0000-0000-0000B02A0000}"/>
    <cellStyle name="Normal 20 4 65 2" xfId="18646" xr:uid="{00000000-0005-0000-0000-0000B12A0000}"/>
    <cellStyle name="Normal 20 4 66" xfId="6569" xr:uid="{00000000-0005-0000-0000-0000B22A0000}"/>
    <cellStyle name="Normal 20 4 66 2" xfId="18647" xr:uid="{00000000-0005-0000-0000-0000B32A0000}"/>
    <cellStyle name="Normal 20 4 67" xfId="6570" xr:uid="{00000000-0005-0000-0000-0000B42A0000}"/>
    <cellStyle name="Normal 20 4 67 2" xfId="18648" xr:uid="{00000000-0005-0000-0000-0000B52A0000}"/>
    <cellStyle name="Normal 20 4 68" xfId="6571" xr:uid="{00000000-0005-0000-0000-0000B62A0000}"/>
    <cellStyle name="Normal 20 4 68 2" xfId="18649" xr:uid="{00000000-0005-0000-0000-0000B72A0000}"/>
    <cellStyle name="Normal 20 4 69" xfId="6572" xr:uid="{00000000-0005-0000-0000-0000B82A0000}"/>
    <cellStyle name="Normal 20 4 69 2" xfId="18650" xr:uid="{00000000-0005-0000-0000-0000B92A0000}"/>
    <cellStyle name="Normal 20 4 7" xfId="6573" xr:uid="{00000000-0005-0000-0000-0000BA2A0000}"/>
    <cellStyle name="Normal 20 4 7 2" xfId="18651" xr:uid="{00000000-0005-0000-0000-0000BB2A0000}"/>
    <cellStyle name="Normal 20 4 70" xfId="6574" xr:uid="{00000000-0005-0000-0000-0000BC2A0000}"/>
    <cellStyle name="Normal 20 4 70 2" xfId="18652" xr:uid="{00000000-0005-0000-0000-0000BD2A0000}"/>
    <cellStyle name="Normal 20 4 71" xfId="6575" xr:uid="{00000000-0005-0000-0000-0000BE2A0000}"/>
    <cellStyle name="Normal 20 4 71 2" xfId="18653" xr:uid="{00000000-0005-0000-0000-0000BF2A0000}"/>
    <cellStyle name="Normal 20 4 72" xfId="6576" xr:uid="{00000000-0005-0000-0000-0000C02A0000}"/>
    <cellStyle name="Normal 20 4 72 2" xfId="18654" xr:uid="{00000000-0005-0000-0000-0000C12A0000}"/>
    <cellStyle name="Normal 20 4 73" xfId="6577" xr:uid="{00000000-0005-0000-0000-0000C22A0000}"/>
    <cellStyle name="Normal 20 4 73 2" xfId="18655" xr:uid="{00000000-0005-0000-0000-0000C32A0000}"/>
    <cellStyle name="Normal 20 4 74" xfId="6578" xr:uid="{00000000-0005-0000-0000-0000C42A0000}"/>
    <cellStyle name="Normal 20 4 74 2" xfId="18656" xr:uid="{00000000-0005-0000-0000-0000C52A0000}"/>
    <cellStyle name="Normal 20 4 75" xfId="6579" xr:uid="{00000000-0005-0000-0000-0000C62A0000}"/>
    <cellStyle name="Normal 20 4 75 2" xfId="18657" xr:uid="{00000000-0005-0000-0000-0000C72A0000}"/>
    <cellStyle name="Normal 20 4 76" xfId="6580" xr:uid="{00000000-0005-0000-0000-0000C82A0000}"/>
    <cellStyle name="Normal 20 4 76 2" xfId="18658" xr:uid="{00000000-0005-0000-0000-0000C92A0000}"/>
    <cellStyle name="Normal 20 4 77" xfId="6581" xr:uid="{00000000-0005-0000-0000-0000CA2A0000}"/>
    <cellStyle name="Normal 20 4 77 2" xfId="18659" xr:uid="{00000000-0005-0000-0000-0000CB2A0000}"/>
    <cellStyle name="Normal 20 4 78" xfId="6582" xr:uid="{00000000-0005-0000-0000-0000CC2A0000}"/>
    <cellStyle name="Normal 20 4 78 2" xfId="18660" xr:uid="{00000000-0005-0000-0000-0000CD2A0000}"/>
    <cellStyle name="Normal 20 4 79" xfId="6583" xr:uid="{00000000-0005-0000-0000-0000CE2A0000}"/>
    <cellStyle name="Normal 20 4 79 2" xfId="18661" xr:uid="{00000000-0005-0000-0000-0000CF2A0000}"/>
    <cellStyle name="Normal 20 4 8" xfId="6584" xr:uid="{00000000-0005-0000-0000-0000D02A0000}"/>
    <cellStyle name="Normal 20 4 8 2" xfId="18662" xr:uid="{00000000-0005-0000-0000-0000D12A0000}"/>
    <cellStyle name="Normal 20 4 80" xfId="18585" xr:uid="{00000000-0005-0000-0000-0000D22A0000}"/>
    <cellStyle name="Normal 20 4 9" xfId="6585" xr:uid="{00000000-0005-0000-0000-0000D32A0000}"/>
    <cellStyle name="Normal 20 4 9 2" xfId="18663" xr:uid="{00000000-0005-0000-0000-0000D42A0000}"/>
    <cellStyle name="Normal 20 40" xfId="6586" xr:uid="{00000000-0005-0000-0000-0000D52A0000}"/>
    <cellStyle name="Normal 20 40 2" xfId="18664" xr:uid="{00000000-0005-0000-0000-0000D62A0000}"/>
    <cellStyle name="Normal 20 41" xfId="6587" xr:uid="{00000000-0005-0000-0000-0000D72A0000}"/>
    <cellStyle name="Normal 20 41 2" xfId="18665" xr:uid="{00000000-0005-0000-0000-0000D82A0000}"/>
    <cellStyle name="Normal 20 42" xfId="6588" xr:uid="{00000000-0005-0000-0000-0000D92A0000}"/>
    <cellStyle name="Normal 20 42 2" xfId="18666" xr:uid="{00000000-0005-0000-0000-0000DA2A0000}"/>
    <cellStyle name="Normal 20 43" xfId="6589" xr:uid="{00000000-0005-0000-0000-0000DB2A0000}"/>
    <cellStyle name="Normal 20 43 2" xfId="18667" xr:uid="{00000000-0005-0000-0000-0000DC2A0000}"/>
    <cellStyle name="Normal 20 44" xfId="6590" xr:uid="{00000000-0005-0000-0000-0000DD2A0000}"/>
    <cellStyle name="Normal 20 44 2" xfId="18668" xr:uid="{00000000-0005-0000-0000-0000DE2A0000}"/>
    <cellStyle name="Normal 20 45" xfId="6591" xr:uid="{00000000-0005-0000-0000-0000DF2A0000}"/>
    <cellStyle name="Normal 20 45 2" xfId="18669" xr:uid="{00000000-0005-0000-0000-0000E02A0000}"/>
    <cellStyle name="Normal 20 46" xfId="6592" xr:uid="{00000000-0005-0000-0000-0000E12A0000}"/>
    <cellStyle name="Normal 20 46 2" xfId="18670" xr:uid="{00000000-0005-0000-0000-0000E22A0000}"/>
    <cellStyle name="Normal 20 47" xfId="6593" xr:uid="{00000000-0005-0000-0000-0000E32A0000}"/>
    <cellStyle name="Normal 20 47 2" xfId="18671" xr:uid="{00000000-0005-0000-0000-0000E42A0000}"/>
    <cellStyle name="Normal 20 48" xfId="6594" xr:uid="{00000000-0005-0000-0000-0000E52A0000}"/>
    <cellStyle name="Normal 20 48 2" xfId="18672" xr:uid="{00000000-0005-0000-0000-0000E62A0000}"/>
    <cellStyle name="Normal 20 49" xfId="6595" xr:uid="{00000000-0005-0000-0000-0000E72A0000}"/>
    <cellStyle name="Normal 20 49 2" xfId="18673" xr:uid="{00000000-0005-0000-0000-0000E82A0000}"/>
    <cellStyle name="Normal 20 5" xfId="142" xr:uid="{00000000-0005-0000-0000-0000E92A0000}"/>
    <cellStyle name="Normal 20 5 2" xfId="18674" xr:uid="{00000000-0005-0000-0000-0000EA2A0000}"/>
    <cellStyle name="Normal 20 5 3" xfId="6596" xr:uid="{00000000-0005-0000-0000-0000EB2A0000}"/>
    <cellStyle name="Normal 20 50" xfId="6597" xr:uid="{00000000-0005-0000-0000-0000EC2A0000}"/>
    <cellStyle name="Normal 20 50 2" xfId="18675" xr:uid="{00000000-0005-0000-0000-0000ED2A0000}"/>
    <cellStyle name="Normal 20 51" xfId="6598" xr:uid="{00000000-0005-0000-0000-0000EE2A0000}"/>
    <cellStyle name="Normal 20 51 2" xfId="18676" xr:uid="{00000000-0005-0000-0000-0000EF2A0000}"/>
    <cellStyle name="Normal 20 52" xfId="6599" xr:uid="{00000000-0005-0000-0000-0000F02A0000}"/>
    <cellStyle name="Normal 20 52 2" xfId="18677" xr:uid="{00000000-0005-0000-0000-0000F12A0000}"/>
    <cellStyle name="Normal 20 53" xfId="6600" xr:uid="{00000000-0005-0000-0000-0000F22A0000}"/>
    <cellStyle name="Normal 20 53 2" xfId="18678" xr:uid="{00000000-0005-0000-0000-0000F32A0000}"/>
    <cellStyle name="Normal 20 54" xfId="6601" xr:uid="{00000000-0005-0000-0000-0000F42A0000}"/>
    <cellStyle name="Normal 20 54 2" xfId="18679" xr:uid="{00000000-0005-0000-0000-0000F52A0000}"/>
    <cellStyle name="Normal 20 55" xfId="6602" xr:uid="{00000000-0005-0000-0000-0000F62A0000}"/>
    <cellStyle name="Normal 20 55 2" xfId="18680" xr:uid="{00000000-0005-0000-0000-0000F72A0000}"/>
    <cellStyle name="Normal 20 56" xfId="6603" xr:uid="{00000000-0005-0000-0000-0000F82A0000}"/>
    <cellStyle name="Normal 20 56 2" xfId="18681" xr:uid="{00000000-0005-0000-0000-0000F92A0000}"/>
    <cellStyle name="Normal 20 57" xfId="6604" xr:uid="{00000000-0005-0000-0000-0000FA2A0000}"/>
    <cellStyle name="Normal 20 57 2" xfId="18682" xr:uid="{00000000-0005-0000-0000-0000FB2A0000}"/>
    <cellStyle name="Normal 20 58" xfId="6605" xr:uid="{00000000-0005-0000-0000-0000FC2A0000}"/>
    <cellStyle name="Normal 20 58 2" xfId="18683" xr:uid="{00000000-0005-0000-0000-0000FD2A0000}"/>
    <cellStyle name="Normal 20 59" xfId="6606" xr:uid="{00000000-0005-0000-0000-0000FE2A0000}"/>
    <cellStyle name="Normal 20 59 2" xfId="18684" xr:uid="{00000000-0005-0000-0000-0000FF2A0000}"/>
    <cellStyle name="Normal 20 6" xfId="6607" xr:uid="{00000000-0005-0000-0000-0000002B0000}"/>
    <cellStyle name="Normal 20 6 2" xfId="18685" xr:uid="{00000000-0005-0000-0000-0000012B0000}"/>
    <cellStyle name="Normal 20 60" xfId="6608" xr:uid="{00000000-0005-0000-0000-0000022B0000}"/>
    <cellStyle name="Normal 20 60 2" xfId="18686" xr:uid="{00000000-0005-0000-0000-0000032B0000}"/>
    <cellStyle name="Normal 20 61" xfId="6609" xr:uid="{00000000-0005-0000-0000-0000042B0000}"/>
    <cellStyle name="Normal 20 61 2" xfId="18687" xr:uid="{00000000-0005-0000-0000-0000052B0000}"/>
    <cellStyle name="Normal 20 62" xfId="6610" xr:uid="{00000000-0005-0000-0000-0000062B0000}"/>
    <cellStyle name="Normal 20 62 2" xfId="18688" xr:uid="{00000000-0005-0000-0000-0000072B0000}"/>
    <cellStyle name="Normal 20 63" xfId="6611" xr:uid="{00000000-0005-0000-0000-0000082B0000}"/>
    <cellStyle name="Normal 20 63 2" xfId="18689" xr:uid="{00000000-0005-0000-0000-0000092B0000}"/>
    <cellStyle name="Normal 20 64" xfId="6612" xr:uid="{00000000-0005-0000-0000-00000A2B0000}"/>
    <cellStyle name="Normal 20 64 2" xfId="18690" xr:uid="{00000000-0005-0000-0000-00000B2B0000}"/>
    <cellStyle name="Normal 20 65" xfId="6613" xr:uid="{00000000-0005-0000-0000-00000C2B0000}"/>
    <cellStyle name="Normal 20 65 2" xfId="18691" xr:uid="{00000000-0005-0000-0000-00000D2B0000}"/>
    <cellStyle name="Normal 20 66" xfId="6614" xr:uid="{00000000-0005-0000-0000-00000E2B0000}"/>
    <cellStyle name="Normal 20 66 2" xfId="18692" xr:uid="{00000000-0005-0000-0000-00000F2B0000}"/>
    <cellStyle name="Normal 20 67" xfId="6615" xr:uid="{00000000-0005-0000-0000-0000102B0000}"/>
    <cellStyle name="Normal 20 67 2" xfId="18693" xr:uid="{00000000-0005-0000-0000-0000112B0000}"/>
    <cellStyle name="Normal 20 68" xfId="6616" xr:uid="{00000000-0005-0000-0000-0000122B0000}"/>
    <cellStyle name="Normal 20 68 2" xfId="18694" xr:uid="{00000000-0005-0000-0000-0000132B0000}"/>
    <cellStyle name="Normal 20 69" xfId="6617" xr:uid="{00000000-0005-0000-0000-0000142B0000}"/>
    <cellStyle name="Normal 20 69 2" xfId="18695" xr:uid="{00000000-0005-0000-0000-0000152B0000}"/>
    <cellStyle name="Normal 20 7" xfId="6618" xr:uid="{00000000-0005-0000-0000-0000162B0000}"/>
    <cellStyle name="Normal 20 7 2" xfId="18696" xr:uid="{00000000-0005-0000-0000-0000172B0000}"/>
    <cellStyle name="Normal 20 70" xfId="6619" xr:uid="{00000000-0005-0000-0000-0000182B0000}"/>
    <cellStyle name="Normal 20 70 2" xfId="18697" xr:uid="{00000000-0005-0000-0000-0000192B0000}"/>
    <cellStyle name="Normal 20 71" xfId="6620" xr:uid="{00000000-0005-0000-0000-00001A2B0000}"/>
    <cellStyle name="Normal 20 71 2" xfId="18698" xr:uid="{00000000-0005-0000-0000-00001B2B0000}"/>
    <cellStyle name="Normal 20 72" xfId="6621" xr:uid="{00000000-0005-0000-0000-00001C2B0000}"/>
    <cellStyle name="Normal 20 72 2" xfId="18699" xr:uid="{00000000-0005-0000-0000-00001D2B0000}"/>
    <cellStyle name="Normal 20 73" xfId="6622" xr:uid="{00000000-0005-0000-0000-00001E2B0000}"/>
    <cellStyle name="Normal 20 73 2" xfId="18700" xr:uid="{00000000-0005-0000-0000-00001F2B0000}"/>
    <cellStyle name="Normal 20 74" xfId="6623" xr:uid="{00000000-0005-0000-0000-0000202B0000}"/>
    <cellStyle name="Normal 20 74 2" xfId="18701" xr:uid="{00000000-0005-0000-0000-0000212B0000}"/>
    <cellStyle name="Normal 20 75" xfId="6624" xr:uid="{00000000-0005-0000-0000-0000222B0000}"/>
    <cellStyle name="Normal 20 75 2" xfId="18702" xr:uid="{00000000-0005-0000-0000-0000232B0000}"/>
    <cellStyle name="Normal 20 76" xfId="6625" xr:uid="{00000000-0005-0000-0000-0000242B0000}"/>
    <cellStyle name="Normal 20 76 2" xfId="18703" xr:uid="{00000000-0005-0000-0000-0000252B0000}"/>
    <cellStyle name="Normal 20 77" xfId="6626" xr:uid="{00000000-0005-0000-0000-0000262B0000}"/>
    <cellStyle name="Normal 20 77 2" xfId="18704" xr:uid="{00000000-0005-0000-0000-0000272B0000}"/>
    <cellStyle name="Normal 20 78" xfId="6627" xr:uid="{00000000-0005-0000-0000-0000282B0000}"/>
    <cellStyle name="Normal 20 78 2" xfId="18705" xr:uid="{00000000-0005-0000-0000-0000292B0000}"/>
    <cellStyle name="Normal 20 79" xfId="6628" xr:uid="{00000000-0005-0000-0000-00002A2B0000}"/>
    <cellStyle name="Normal 20 79 2" xfId="18706" xr:uid="{00000000-0005-0000-0000-00002B2B0000}"/>
    <cellStyle name="Normal 20 8" xfId="6629" xr:uid="{00000000-0005-0000-0000-00002C2B0000}"/>
    <cellStyle name="Normal 20 8 2" xfId="18707" xr:uid="{00000000-0005-0000-0000-00002D2B0000}"/>
    <cellStyle name="Normal 20 80" xfId="6630" xr:uid="{00000000-0005-0000-0000-00002E2B0000}"/>
    <cellStyle name="Normal 20 80 2" xfId="18708" xr:uid="{00000000-0005-0000-0000-00002F2B0000}"/>
    <cellStyle name="Normal 20 81" xfId="6631" xr:uid="{00000000-0005-0000-0000-0000302B0000}"/>
    <cellStyle name="Normal 20 81 2" xfId="18709" xr:uid="{00000000-0005-0000-0000-0000312B0000}"/>
    <cellStyle name="Normal 20 82" xfId="6632" xr:uid="{00000000-0005-0000-0000-0000322B0000}"/>
    <cellStyle name="Normal 20 82 2" xfId="18710" xr:uid="{00000000-0005-0000-0000-0000332B0000}"/>
    <cellStyle name="Normal 20 83" xfId="18396" xr:uid="{00000000-0005-0000-0000-0000342B0000}"/>
    <cellStyle name="Normal 20 9" xfId="6633" xr:uid="{00000000-0005-0000-0000-0000352B0000}"/>
    <cellStyle name="Normal 20 9 2" xfId="18711" xr:uid="{00000000-0005-0000-0000-0000362B0000}"/>
    <cellStyle name="Normal 200" xfId="541" xr:uid="{00000000-0005-0000-0000-0000372B0000}"/>
    <cellStyle name="Normal 200 2" xfId="638" xr:uid="{00000000-0005-0000-0000-0000382B0000}"/>
    <cellStyle name="Normal 200 3" xfId="1057" xr:uid="{00000000-0005-0000-0000-0000392B0000}"/>
    <cellStyle name="Normal 200 4" xfId="933" xr:uid="{00000000-0005-0000-0000-00003A2B0000}"/>
    <cellStyle name="Normal 200 5" xfId="915" xr:uid="{00000000-0005-0000-0000-00003B2B0000}"/>
    <cellStyle name="Normal 200 6" xfId="918" xr:uid="{00000000-0005-0000-0000-00003C2B0000}"/>
    <cellStyle name="Normal 200 7" xfId="1260" xr:uid="{00000000-0005-0000-0000-00003D2B0000}"/>
    <cellStyle name="Normal 200 8" xfId="847" xr:uid="{00000000-0005-0000-0000-00003E2B0000}"/>
    <cellStyle name="Normal 200 9" xfId="1298" xr:uid="{00000000-0005-0000-0000-00003F2B0000}"/>
    <cellStyle name="Normal 201" xfId="542" xr:uid="{00000000-0005-0000-0000-0000402B0000}"/>
    <cellStyle name="Normal 201 2" xfId="639" xr:uid="{00000000-0005-0000-0000-0000412B0000}"/>
    <cellStyle name="Normal 201 3" xfId="1058" xr:uid="{00000000-0005-0000-0000-0000422B0000}"/>
    <cellStyle name="Normal 201 4" xfId="932" xr:uid="{00000000-0005-0000-0000-0000432B0000}"/>
    <cellStyle name="Normal 201 5" xfId="1249" xr:uid="{00000000-0005-0000-0000-0000442B0000}"/>
    <cellStyle name="Normal 201 6" xfId="846" xr:uid="{00000000-0005-0000-0000-0000452B0000}"/>
    <cellStyle name="Normal 201 7" xfId="1299" xr:uid="{00000000-0005-0000-0000-0000462B0000}"/>
    <cellStyle name="Normal 201 8" xfId="1364" xr:uid="{00000000-0005-0000-0000-0000472B0000}"/>
    <cellStyle name="Normal 201 9" xfId="1425" xr:uid="{00000000-0005-0000-0000-0000482B0000}"/>
    <cellStyle name="Normal 202" xfId="543" xr:uid="{00000000-0005-0000-0000-0000492B0000}"/>
    <cellStyle name="Normal 202 2" xfId="640" xr:uid="{00000000-0005-0000-0000-00004A2B0000}"/>
    <cellStyle name="Normal 202 3" xfId="1059" xr:uid="{00000000-0005-0000-0000-00004B2B0000}"/>
    <cellStyle name="Normal 202 4" xfId="931" xr:uid="{00000000-0005-0000-0000-00004C2B0000}"/>
    <cellStyle name="Normal 202 5" xfId="1250" xr:uid="{00000000-0005-0000-0000-00004D2B0000}"/>
    <cellStyle name="Normal 202 6" xfId="842" xr:uid="{00000000-0005-0000-0000-00004E2B0000}"/>
    <cellStyle name="Normal 202 7" xfId="1301" xr:uid="{00000000-0005-0000-0000-00004F2B0000}"/>
    <cellStyle name="Normal 202 8" xfId="1366" xr:uid="{00000000-0005-0000-0000-0000502B0000}"/>
    <cellStyle name="Normal 202 9" xfId="1426" xr:uid="{00000000-0005-0000-0000-0000512B0000}"/>
    <cellStyle name="Normal 203" xfId="544" xr:uid="{00000000-0005-0000-0000-0000522B0000}"/>
    <cellStyle name="Normal 203 2" xfId="641" xr:uid="{00000000-0005-0000-0000-0000532B0000}"/>
    <cellStyle name="Normal 203 3" xfId="1060" xr:uid="{00000000-0005-0000-0000-0000542B0000}"/>
    <cellStyle name="Normal 203 4" xfId="930" xr:uid="{00000000-0005-0000-0000-0000552B0000}"/>
    <cellStyle name="Normal 203 5" xfId="916" xr:uid="{00000000-0005-0000-0000-0000562B0000}"/>
    <cellStyle name="Normal 203 6" xfId="1262" xr:uid="{00000000-0005-0000-0000-0000572B0000}"/>
    <cellStyle name="Normal 203 7" xfId="840" xr:uid="{00000000-0005-0000-0000-0000582B0000}"/>
    <cellStyle name="Normal 203 8" xfId="1302" xr:uid="{00000000-0005-0000-0000-0000592B0000}"/>
    <cellStyle name="Normal 203 9" xfId="1367" xr:uid="{00000000-0005-0000-0000-00005A2B0000}"/>
    <cellStyle name="Normal 204" xfId="545" xr:uid="{00000000-0005-0000-0000-00005B2B0000}"/>
    <cellStyle name="Normal 204 2" xfId="642" xr:uid="{00000000-0005-0000-0000-00005C2B0000}"/>
    <cellStyle name="Normal 204 3" xfId="1061" xr:uid="{00000000-0005-0000-0000-00005D2B0000}"/>
    <cellStyle name="Normal 204 4" xfId="929" xr:uid="{00000000-0005-0000-0000-00005E2B0000}"/>
    <cellStyle name="Normal 204 5" xfId="1251" xr:uid="{00000000-0005-0000-0000-00005F2B0000}"/>
    <cellStyle name="Normal 204 6" xfId="838" xr:uid="{00000000-0005-0000-0000-0000602B0000}"/>
    <cellStyle name="Normal 204 7" xfId="1303" xr:uid="{00000000-0005-0000-0000-0000612B0000}"/>
    <cellStyle name="Normal 204 8" xfId="1368" xr:uid="{00000000-0005-0000-0000-0000622B0000}"/>
    <cellStyle name="Normal 204 9" xfId="1427" xr:uid="{00000000-0005-0000-0000-0000632B0000}"/>
    <cellStyle name="Normal 205" xfId="546" xr:uid="{00000000-0005-0000-0000-0000642B0000}"/>
    <cellStyle name="Normal 205 2" xfId="643" xr:uid="{00000000-0005-0000-0000-0000652B0000}"/>
    <cellStyle name="Normal 205 3" xfId="1062" xr:uid="{00000000-0005-0000-0000-0000662B0000}"/>
    <cellStyle name="Normal 205 4" xfId="1205" xr:uid="{00000000-0005-0000-0000-0000672B0000}"/>
    <cellStyle name="Normal 205 5" xfId="1176" xr:uid="{00000000-0005-0000-0000-0000682B0000}"/>
    <cellStyle name="Normal 205 6" xfId="1089" xr:uid="{00000000-0005-0000-0000-0000692B0000}"/>
    <cellStyle name="Normal 205 7" xfId="903" xr:uid="{00000000-0005-0000-0000-00006A2B0000}"/>
    <cellStyle name="Normal 205 8" xfId="944" xr:uid="{00000000-0005-0000-0000-00006B2B0000}"/>
    <cellStyle name="Normal 205 9" xfId="1242" xr:uid="{00000000-0005-0000-0000-00006C2B0000}"/>
    <cellStyle name="Normal 206" xfId="547" xr:uid="{00000000-0005-0000-0000-00006D2B0000}"/>
    <cellStyle name="Normal 206 2" xfId="644" xr:uid="{00000000-0005-0000-0000-00006E2B0000}"/>
    <cellStyle name="Normal 206 3" xfId="1063" xr:uid="{00000000-0005-0000-0000-00006F2B0000}"/>
    <cellStyle name="Normal 206 4" xfId="883" xr:uid="{00000000-0005-0000-0000-0000702B0000}"/>
    <cellStyle name="Normal 206 5" xfId="950" xr:uid="{00000000-0005-0000-0000-0000712B0000}"/>
    <cellStyle name="Normal 206 6" xfId="877" xr:uid="{00000000-0005-0000-0000-0000722B0000}"/>
    <cellStyle name="Normal 206 7" xfId="1328" xr:uid="{00000000-0005-0000-0000-0000732B0000}"/>
    <cellStyle name="Normal 206 8" xfId="1393" xr:uid="{00000000-0005-0000-0000-0000742B0000}"/>
    <cellStyle name="Normal 206 9" xfId="1443" xr:uid="{00000000-0005-0000-0000-0000752B0000}"/>
    <cellStyle name="Normal 207" xfId="548" xr:uid="{00000000-0005-0000-0000-0000762B0000}"/>
    <cellStyle name="Normal 207 2" xfId="645" xr:uid="{00000000-0005-0000-0000-0000772B0000}"/>
    <cellStyle name="Normal 207 3" xfId="1064" xr:uid="{00000000-0005-0000-0000-0000782B0000}"/>
    <cellStyle name="Normal 207 4" xfId="928" xr:uid="{00000000-0005-0000-0000-0000792B0000}"/>
    <cellStyle name="Normal 207 5" xfId="1252" xr:uid="{00000000-0005-0000-0000-00007A2B0000}"/>
    <cellStyle name="Normal 207 6" xfId="834" xr:uid="{00000000-0005-0000-0000-00007B2B0000}"/>
    <cellStyle name="Normal 207 7" xfId="1329" xr:uid="{00000000-0005-0000-0000-00007C2B0000}"/>
    <cellStyle name="Normal 207 8" xfId="1394" xr:uid="{00000000-0005-0000-0000-00007D2B0000}"/>
    <cellStyle name="Normal 207 9" xfId="1444" xr:uid="{00000000-0005-0000-0000-00007E2B0000}"/>
    <cellStyle name="Normal 208" xfId="549" xr:uid="{00000000-0005-0000-0000-00007F2B0000}"/>
    <cellStyle name="Normal 208 2" xfId="646" xr:uid="{00000000-0005-0000-0000-0000802B0000}"/>
    <cellStyle name="Normal 208 3" xfId="1065" xr:uid="{00000000-0005-0000-0000-0000812B0000}"/>
    <cellStyle name="Normal 208 4" xfId="927" xr:uid="{00000000-0005-0000-0000-0000822B0000}"/>
    <cellStyle name="Normal 208 5" xfId="917" xr:uid="{00000000-0005-0000-0000-0000832B0000}"/>
    <cellStyle name="Normal 208 6" xfId="1261" xr:uid="{00000000-0005-0000-0000-0000842B0000}"/>
    <cellStyle name="Normal 208 7" xfId="844" xr:uid="{00000000-0005-0000-0000-0000852B0000}"/>
    <cellStyle name="Normal 208 8" xfId="1300" xr:uid="{00000000-0005-0000-0000-0000862B0000}"/>
    <cellStyle name="Normal 208 9" xfId="1365" xr:uid="{00000000-0005-0000-0000-0000872B0000}"/>
    <cellStyle name="Normal 209" xfId="550" xr:uid="{00000000-0005-0000-0000-0000882B0000}"/>
    <cellStyle name="Normal 209 2" xfId="647" xr:uid="{00000000-0005-0000-0000-0000892B0000}"/>
    <cellStyle name="Normal 209 3" xfId="1066" xr:uid="{00000000-0005-0000-0000-00008A2B0000}"/>
    <cellStyle name="Normal 209 4" xfId="926" xr:uid="{00000000-0005-0000-0000-00008B2B0000}"/>
    <cellStyle name="Normal 209 5" xfId="1253" xr:uid="{00000000-0005-0000-0000-00008C2B0000}"/>
    <cellStyle name="Normal 209 6" xfId="830" xr:uid="{00000000-0005-0000-0000-00008D2B0000}"/>
    <cellStyle name="Normal 209 7" xfId="970" xr:uid="{00000000-0005-0000-0000-00008E2B0000}"/>
    <cellStyle name="Normal 209 8" xfId="872" xr:uid="{00000000-0005-0000-0000-00008F2B0000}"/>
    <cellStyle name="Normal 209 9" xfId="1286" xr:uid="{00000000-0005-0000-0000-0000902B0000}"/>
    <cellStyle name="Normal 21" xfId="85" xr:uid="{00000000-0005-0000-0000-0000912B0000}"/>
    <cellStyle name="Normal 21 10" xfId="6634" xr:uid="{00000000-0005-0000-0000-0000922B0000}"/>
    <cellStyle name="Normal 21 10 2" xfId="18713" xr:uid="{00000000-0005-0000-0000-0000932B0000}"/>
    <cellStyle name="Normal 21 11" xfId="6635" xr:uid="{00000000-0005-0000-0000-0000942B0000}"/>
    <cellStyle name="Normal 21 11 2" xfId="18714" xr:uid="{00000000-0005-0000-0000-0000952B0000}"/>
    <cellStyle name="Normal 21 12" xfId="6636" xr:uid="{00000000-0005-0000-0000-0000962B0000}"/>
    <cellStyle name="Normal 21 12 2" xfId="18715" xr:uid="{00000000-0005-0000-0000-0000972B0000}"/>
    <cellStyle name="Normal 21 13" xfId="6637" xr:uid="{00000000-0005-0000-0000-0000982B0000}"/>
    <cellStyle name="Normal 21 13 2" xfId="18716" xr:uid="{00000000-0005-0000-0000-0000992B0000}"/>
    <cellStyle name="Normal 21 14" xfId="6638" xr:uid="{00000000-0005-0000-0000-00009A2B0000}"/>
    <cellStyle name="Normal 21 14 2" xfId="18717" xr:uid="{00000000-0005-0000-0000-00009B2B0000}"/>
    <cellStyle name="Normal 21 15" xfId="6639" xr:uid="{00000000-0005-0000-0000-00009C2B0000}"/>
    <cellStyle name="Normal 21 15 2" xfId="18718" xr:uid="{00000000-0005-0000-0000-00009D2B0000}"/>
    <cellStyle name="Normal 21 16" xfId="6640" xr:uid="{00000000-0005-0000-0000-00009E2B0000}"/>
    <cellStyle name="Normal 21 16 2" xfId="18719" xr:uid="{00000000-0005-0000-0000-00009F2B0000}"/>
    <cellStyle name="Normal 21 17" xfId="6641" xr:uid="{00000000-0005-0000-0000-0000A02B0000}"/>
    <cellStyle name="Normal 21 17 2" xfId="18720" xr:uid="{00000000-0005-0000-0000-0000A12B0000}"/>
    <cellStyle name="Normal 21 18" xfId="6642" xr:uid="{00000000-0005-0000-0000-0000A22B0000}"/>
    <cellStyle name="Normal 21 18 2" xfId="18721" xr:uid="{00000000-0005-0000-0000-0000A32B0000}"/>
    <cellStyle name="Normal 21 19" xfId="6643" xr:uid="{00000000-0005-0000-0000-0000A42B0000}"/>
    <cellStyle name="Normal 21 19 2" xfId="18722" xr:uid="{00000000-0005-0000-0000-0000A52B0000}"/>
    <cellStyle name="Normal 21 2" xfId="86" xr:uid="{00000000-0005-0000-0000-0000A62B0000}"/>
    <cellStyle name="Normal 21 2 10" xfId="6644" xr:uid="{00000000-0005-0000-0000-0000A72B0000}"/>
    <cellStyle name="Normal 21 2 10 2" xfId="18724" xr:uid="{00000000-0005-0000-0000-0000A82B0000}"/>
    <cellStyle name="Normal 21 2 11" xfId="6645" xr:uid="{00000000-0005-0000-0000-0000A92B0000}"/>
    <cellStyle name="Normal 21 2 11 2" xfId="18725" xr:uid="{00000000-0005-0000-0000-0000AA2B0000}"/>
    <cellStyle name="Normal 21 2 12" xfId="6646" xr:uid="{00000000-0005-0000-0000-0000AB2B0000}"/>
    <cellStyle name="Normal 21 2 12 2" xfId="18726" xr:uid="{00000000-0005-0000-0000-0000AC2B0000}"/>
    <cellStyle name="Normal 21 2 13" xfId="6647" xr:uid="{00000000-0005-0000-0000-0000AD2B0000}"/>
    <cellStyle name="Normal 21 2 13 2" xfId="18727" xr:uid="{00000000-0005-0000-0000-0000AE2B0000}"/>
    <cellStyle name="Normal 21 2 14" xfId="6648" xr:uid="{00000000-0005-0000-0000-0000AF2B0000}"/>
    <cellStyle name="Normal 21 2 14 2" xfId="18728" xr:uid="{00000000-0005-0000-0000-0000B02B0000}"/>
    <cellStyle name="Normal 21 2 15" xfId="6649" xr:uid="{00000000-0005-0000-0000-0000B12B0000}"/>
    <cellStyle name="Normal 21 2 15 2" xfId="18729" xr:uid="{00000000-0005-0000-0000-0000B22B0000}"/>
    <cellStyle name="Normal 21 2 16" xfId="6650" xr:uid="{00000000-0005-0000-0000-0000B32B0000}"/>
    <cellStyle name="Normal 21 2 16 2" xfId="18730" xr:uid="{00000000-0005-0000-0000-0000B42B0000}"/>
    <cellStyle name="Normal 21 2 17" xfId="6651" xr:uid="{00000000-0005-0000-0000-0000B52B0000}"/>
    <cellStyle name="Normal 21 2 17 2" xfId="18731" xr:uid="{00000000-0005-0000-0000-0000B62B0000}"/>
    <cellStyle name="Normal 21 2 18" xfId="6652" xr:uid="{00000000-0005-0000-0000-0000B72B0000}"/>
    <cellStyle name="Normal 21 2 18 2" xfId="18732" xr:uid="{00000000-0005-0000-0000-0000B82B0000}"/>
    <cellStyle name="Normal 21 2 19" xfId="6653" xr:uid="{00000000-0005-0000-0000-0000B92B0000}"/>
    <cellStyle name="Normal 21 2 19 2" xfId="18733" xr:uid="{00000000-0005-0000-0000-0000BA2B0000}"/>
    <cellStyle name="Normal 21 2 2" xfId="6654" xr:uid="{00000000-0005-0000-0000-0000BB2B0000}"/>
    <cellStyle name="Normal 21 2 2 2" xfId="18734" xr:uid="{00000000-0005-0000-0000-0000BC2B0000}"/>
    <cellStyle name="Normal 21 2 20" xfId="6655" xr:uid="{00000000-0005-0000-0000-0000BD2B0000}"/>
    <cellStyle name="Normal 21 2 20 2" xfId="18735" xr:uid="{00000000-0005-0000-0000-0000BE2B0000}"/>
    <cellStyle name="Normal 21 2 21" xfId="6656" xr:uid="{00000000-0005-0000-0000-0000BF2B0000}"/>
    <cellStyle name="Normal 21 2 21 2" xfId="18736" xr:uid="{00000000-0005-0000-0000-0000C02B0000}"/>
    <cellStyle name="Normal 21 2 22" xfId="6657" xr:uid="{00000000-0005-0000-0000-0000C12B0000}"/>
    <cellStyle name="Normal 21 2 22 2" xfId="18737" xr:uid="{00000000-0005-0000-0000-0000C22B0000}"/>
    <cellStyle name="Normal 21 2 23" xfId="6658" xr:uid="{00000000-0005-0000-0000-0000C32B0000}"/>
    <cellStyle name="Normal 21 2 23 2" xfId="18738" xr:uid="{00000000-0005-0000-0000-0000C42B0000}"/>
    <cellStyle name="Normal 21 2 24" xfId="6659" xr:uid="{00000000-0005-0000-0000-0000C52B0000}"/>
    <cellStyle name="Normal 21 2 24 2" xfId="18739" xr:uid="{00000000-0005-0000-0000-0000C62B0000}"/>
    <cellStyle name="Normal 21 2 25" xfId="6660" xr:uid="{00000000-0005-0000-0000-0000C72B0000}"/>
    <cellStyle name="Normal 21 2 25 2" xfId="18740" xr:uid="{00000000-0005-0000-0000-0000C82B0000}"/>
    <cellStyle name="Normal 21 2 26" xfId="6661" xr:uid="{00000000-0005-0000-0000-0000C92B0000}"/>
    <cellStyle name="Normal 21 2 26 2" xfId="18741" xr:uid="{00000000-0005-0000-0000-0000CA2B0000}"/>
    <cellStyle name="Normal 21 2 27" xfId="6662" xr:uid="{00000000-0005-0000-0000-0000CB2B0000}"/>
    <cellStyle name="Normal 21 2 27 2" xfId="18742" xr:uid="{00000000-0005-0000-0000-0000CC2B0000}"/>
    <cellStyle name="Normal 21 2 28" xfId="6663" xr:uid="{00000000-0005-0000-0000-0000CD2B0000}"/>
    <cellStyle name="Normal 21 2 28 2" xfId="18743" xr:uid="{00000000-0005-0000-0000-0000CE2B0000}"/>
    <cellStyle name="Normal 21 2 29" xfId="6664" xr:uid="{00000000-0005-0000-0000-0000CF2B0000}"/>
    <cellStyle name="Normal 21 2 29 2" xfId="18744" xr:uid="{00000000-0005-0000-0000-0000D02B0000}"/>
    <cellStyle name="Normal 21 2 3" xfId="6665" xr:uid="{00000000-0005-0000-0000-0000D12B0000}"/>
    <cellStyle name="Normal 21 2 3 2" xfId="18745" xr:uid="{00000000-0005-0000-0000-0000D22B0000}"/>
    <cellStyle name="Normal 21 2 30" xfId="6666" xr:uid="{00000000-0005-0000-0000-0000D32B0000}"/>
    <cellStyle name="Normal 21 2 30 2" xfId="18746" xr:uid="{00000000-0005-0000-0000-0000D42B0000}"/>
    <cellStyle name="Normal 21 2 31" xfId="6667" xr:uid="{00000000-0005-0000-0000-0000D52B0000}"/>
    <cellStyle name="Normal 21 2 31 2" xfId="18747" xr:uid="{00000000-0005-0000-0000-0000D62B0000}"/>
    <cellStyle name="Normal 21 2 32" xfId="6668" xr:uid="{00000000-0005-0000-0000-0000D72B0000}"/>
    <cellStyle name="Normal 21 2 32 2" xfId="18748" xr:uid="{00000000-0005-0000-0000-0000D82B0000}"/>
    <cellStyle name="Normal 21 2 33" xfId="6669" xr:uid="{00000000-0005-0000-0000-0000D92B0000}"/>
    <cellStyle name="Normal 21 2 33 2" xfId="18749" xr:uid="{00000000-0005-0000-0000-0000DA2B0000}"/>
    <cellStyle name="Normal 21 2 34" xfId="6670" xr:uid="{00000000-0005-0000-0000-0000DB2B0000}"/>
    <cellStyle name="Normal 21 2 34 2" xfId="18750" xr:uid="{00000000-0005-0000-0000-0000DC2B0000}"/>
    <cellStyle name="Normal 21 2 35" xfId="6671" xr:uid="{00000000-0005-0000-0000-0000DD2B0000}"/>
    <cellStyle name="Normal 21 2 35 2" xfId="18751" xr:uid="{00000000-0005-0000-0000-0000DE2B0000}"/>
    <cellStyle name="Normal 21 2 36" xfId="6672" xr:uid="{00000000-0005-0000-0000-0000DF2B0000}"/>
    <cellStyle name="Normal 21 2 36 2" xfId="18752" xr:uid="{00000000-0005-0000-0000-0000E02B0000}"/>
    <cellStyle name="Normal 21 2 37" xfId="6673" xr:uid="{00000000-0005-0000-0000-0000E12B0000}"/>
    <cellStyle name="Normal 21 2 37 2" xfId="18753" xr:uid="{00000000-0005-0000-0000-0000E22B0000}"/>
    <cellStyle name="Normal 21 2 38" xfId="6674" xr:uid="{00000000-0005-0000-0000-0000E32B0000}"/>
    <cellStyle name="Normal 21 2 38 2" xfId="18754" xr:uid="{00000000-0005-0000-0000-0000E42B0000}"/>
    <cellStyle name="Normal 21 2 39" xfId="6675" xr:uid="{00000000-0005-0000-0000-0000E52B0000}"/>
    <cellStyle name="Normal 21 2 39 2" xfId="18755" xr:uid="{00000000-0005-0000-0000-0000E62B0000}"/>
    <cellStyle name="Normal 21 2 4" xfId="6676" xr:uid="{00000000-0005-0000-0000-0000E72B0000}"/>
    <cellStyle name="Normal 21 2 4 2" xfId="18756" xr:uid="{00000000-0005-0000-0000-0000E82B0000}"/>
    <cellStyle name="Normal 21 2 40" xfId="6677" xr:uid="{00000000-0005-0000-0000-0000E92B0000}"/>
    <cellStyle name="Normal 21 2 40 2" xfId="18757" xr:uid="{00000000-0005-0000-0000-0000EA2B0000}"/>
    <cellStyle name="Normal 21 2 41" xfId="6678" xr:uid="{00000000-0005-0000-0000-0000EB2B0000}"/>
    <cellStyle name="Normal 21 2 41 2" xfId="18758" xr:uid="{00000000-0005-0000-0000-0000EC2B0000}"/>
    <cellStyle name="Normal 21 2 42" xfId="6679" xr:uid="{00000000-0005-0000-0000-0000ED2B0000}"/>
    <cellStyle name="Normal 21 2 42 2" xfId="18759" xr:uid="{00000000-0005-0000-0000-0000EE2B0000}"/>
    <cellStyle name="Normal 21 2 43" xfId="6680" xr:uid="{00000000-0005-0000-0000-0000EF2B0000}"/>
    <cellStyle name="Normal 21 2 43 2" xfId="18760" xr:uid="{00000000-0005-0000-0000-0000F02B0000}"/>
    <cellStyle name="Normal 21 2 44" xfId="6681" xr:uid="{00000000-0005-0000-0000-0000F12B0000}"/>
    <cellStyle name="Normal 21 2 44 2" xfId="18761" xr:uid="{00000000-0005-0000-0000-0000F22B0000}"/>
    <cellStyle name="Normal 21 2 45" xfId="6682" xr:uid="{00000000-0005-0000-0000-0000F32B0000}"/>
    <cellStyle name="Normal 21 2 45 2" xfId="18762" xr:uid="{00000000-0005-0000-0000-0000F42B0000}"/>
    <cellStyle name="Normal 21 2 46" xfId="6683" xr:uid="{00000000-0005-0000-0000-0000F52B0000}"/>
    <cellStyle name="Normal 21 2 46 2" xfId="18763" xr:uid="{00000000-0005-0000-0000-0000F62B0000}"/>
    <cellStyle name="Normal 21 2 47" xfId="6684" xr:uid="{00000000-0005-0000-0000-0000F72B0000}"/>
    <cellStyle name="Normal 21 2 47 2" xfId="18764" xr:uid="{00000000-0005-0000-0000-0000F82B0000}"/>
    <cellStyle name="Normal 21 2 48" xfId="6685" xr:uid="{00000000-0005-0000-0000-0000F92B0000}"/>
    <cellStyle name="Normal 21 2 48 2" xfId="18765" xr:uid="{00000000-0005-0000-0000-0000FA2B0000}"/>
    <cellStyle name="Normal 21 2 49" xfId="6686" xr:uid="{00000000-0005-0000-0000-0000FB2B0000}"/>
    <cellStyle name="Normal 21 2 49 2" xfId="18766" xr:uid="{00000000-0005-0000-0000-0000FC2B0000}"/>
    <cellStyle name="Normal 21 2 5" xfId="6687" xr:uid="{00000000-0005-0000-0000-0000FD2B0000}"/>
    <cellStyle name="Normal 21 2 5 2" xfId="18767" xr:uid="{00000000-0005-0000-0000-0000FE2B0000}"/>
    <cellStyle name="Normal 21 2 50" xfId="6688" xr:uid="{00000000-0005-0000-0000-0000FF2B0000}"/>
    <cellStyle name="Normal 21 2 50 2" xfId="18768" xr:uid="{00000000-0005-0000-0000-0000002C0000}"/>
    <cellStyle name="Normal 21 2 51" xfId="6689" xr:uid="{00000000-0005-0000-0000-0000012C0000}"/>
    <cellStyle name="Normal 21 2 51 2" xfId="18769" xr:uid="{00000000-0005-0000-0000-0000022C0000}"/>
    <cellStyle name="Normal 21 2 52" xfId="6690" xr:uid="{00000000-0005-0000-0000-0000032C0000}"/>
    <cellStyle name="Normal 21 2 52 2" xfId="18770" xr:uid="{00000000-0005-0000-0000-0000042C0000}"/>
    <cellStyle name="Normal 21 2 53" xfId="6691" xr:uid="{00000000-0005-0000-0000-0000052C0000}"/>
    <cellStyle name="Normal 21 2 53 2" xfId="18771" xr:uid="{00000000-0005-0000-0000-0000062C0000}"/>
    <cellStyle name="Normal 21 2 54" xfId="6692" xr:uid="{00000000-0005-0000-0000-0000072C0000}"/>
    <cellStyle name="Normal 21 2 54 2" xfId="18772" xr:uid="{00000000-0005-0000-0000-0000082C0000}"/>
    <cellStyle name="Normal 21 2 55" xfId="6693" xr:uid="{00000000-0005-0000-0000-0000092C0000}"/>
    <cellStyle name="Normal 21 2 55 2" xfId="18773" xr:uid="{00000000-0005-0000-0000-00000A2C0000}"/>
    <cellStyle name="Normal 21 2 56" xfId="6694" xr:uid="{00000000-0005-0000-0000-00000B2C0000}"/>
    <cellStyle name="Normal 21 2 56 2" xfId="18774" xr:uid="{00000000-0005-0000-0000-00000C2C0000}"/>
    <cellStyle name="Normal 21 2 57" xfId="6695" xr:uid="{00000000-0005-0000-0000-00000D2C0000}"/>
    <cellStyle name="Normal 21 2 57 2" xfId="18775" xr:uid="{00000000-0005-0000-0000-00000E2C0000}"/>
    <cellStyle name="Normal 21 2 58" xfId="6696" xr:uid="{00000000-0005-0000-0000-00000F2C0000}"/>
    <cellStyle name="Normal 21 2 58 2" xfId="18776" xr:uid="{00000000-0005-0000-0000-0000102C0000}"/>
    <cellStyle name="Normal 21 2 59" xfId="6697" xr:uid="{00000000-0005-0000-0000-0000112C0000}"/>
    <cellStyle name="Normal 21 2 59 2" xfId="18777" xr:uid="{00000000-0005-0000-0000-0000122C0000}"/>
    <cellStyle name="Normal 21 2 6" xfId="6698" xr:uid="{00000000-0005-0000-0000-0000132C0000}"/>
    <cellStyle name="Normal 21 2 6 2" xfId="18778" xr:uid="{00000000-0005-0000-0000-0000142C0000}"/>
    <cellStyle name="Normal 21 2 60" xfId="6699" xr:uid="{00000000-0005-0000-0000-0000152C0000}"/>
    <cellStyle name="Normal 21 2 60 2" xfId="18779" xr:uid="{00000000-0005-0000-0000-0000162C0000}"/>
    <cellStyle name="Normal 21 2 61" xfId="6700" xr:uid="{00000000-0005-0000-0000-0000172C0000}"/>
    <cellStyle name="Normal 21 2 61 2" xfId="18780" xr:uid="{00000000-0005-0000-0000-0000182C0000}"/>
    <cellStyle name="Normal 21 2 62" xfId="6701" xr:uid="{00000000-0005-0000-0000-0000192C0000}"/>
    <cellStyle name="Normal 21 2 62 2" xfId="18781" xr:uid="{00000000-0005-0000-0000-00001A2C0000}"/>
    <cellStyle name="Normal 21 2 63" xfId="6702" xr:uid="{00000000-0005-0000-0000-00001B2C0000}"/>
    <cellStyle name="Normal 21 2 63 2" xfId="18782" xr:uid="{00000000-0005-0000-0000-00001C2C0000}"/>
    <cellStyle name="Normal 21 2 64" xfId="6703" xr:uid="{00000000-0005-0000-0000-00001D2C0000}"/>
    <cellStyle name="Normal 21 2 64 2" xfId="18783" xr:uid="{00000000-0005-0000-0000-00001E2C0000}"/>
    <cellStyle name="Normal 21 2 65" xfId="6704" xr:uid="{00000000-0005-0000-0000-00001F2C0000}"/>
    <cellStyle name="Normal 21 2 65 2" xfId="18784" xr:uid="{00000000-0005-0000-0000-0000202C0000}"/>
    <cellStyle name="Normal 21 2 66" xfId="6705" xr:uid="{00000000-0005-0000-0000-0000212C0000}"/>
    <cellStyle name="Normal 21 2 66 2" xfId="18785" xr:uid="{00000000-0005-0000-0000-0000222C0000}"/>
    <cellStyle name="Normal 21 2 67" xfId="6706" xr:uid="{00000000-0005-0000-0000-0000232C0000}"/>
    <cellStyle name="Normal 21 2 67 2" xfId="18786" xr:uid="{00000000-0005-0000-0000-0000242C0000}"/>
    <cellStyle name="Normal 21 2 68" xfId="6707" xr:uid="{00000000-0005-0000-0000-0000252C0000}"/>
    <cellStyle name="Normal 21 2 68 2" xfId="18787" xr:uid="{00000000-0005-0000-0000-0000262C0000}"/>
    <cellStyle name="Normal 21 2 69" xfId="6708" xr:uid="{00000000-0005-0000-0000-0000272C0000}"/>
    <cellStyle name="Normal 21 2 69 2" xfId="18788" xr:uid="{00000000-0005-0000-0000-0000282C0000}"/>
    <cellStyle name="Normal 21 2 7" xfId="6709" xr:uid="{00000000-0005-0000-0000-0000292C0000}"/>
    <cellStyle name="Normal 21 2 7 2" xfId="18789" xr:uid="{00000000-0005-0000-0000-00002A2C0000}"/>
    <cellStyle name="Normal 21 2 70" xfId="6710" xr:uid="{00000000-0005-0000-0000-00002B2C0000}"/>
    <cellStyle name="Normal 21 2 70 2" xfId="18790" xr:uid="{00000000-0005-0000-0000-00002C2C0000}"/>
    <cellStyle name="Normal 21 2 71" xfId="6711" xr:uid="{00000000-0005-0000-0000-00002D2C0000}"/>
    <cellStyle name="Normal 21 2 71 2" xfId="18791" xr:uid="{00000000-0005-0000-0000-00002E2C0000}"/>
    <cellStyle name="Normal 21 2 72" xfId="6712" xr:uid="{00000000-0005-0000-0000-00002F2C0000}"/>
    <cellStyle name="Normal 21 2 72 2" xfId="18792" xr:uid="{00000000-0005-0000-0000-0000302C0000}"/>
    <cellStyle name="Normal 21 2 73" xfId="6713" xr:uid="{00000000-0005-0000-0000-0000312C0000}"/>
    <cellStyle name="Normal 21 2 73 2" xfId="18793" xr:uid="{00000000-0005-0000-0000-0000322C0000}"/>
    <cellStyle name="Normal 21 2 74" xfId="6714" xr:uid="{00000000-0005-0000-0000-0000332C0000}"/>
    <cellStyle name="Normal 21 2 74 2" xfId="18794" xr:uid="{00000000-0005-0000-0000-0000342C0000}"/>
    <cellStyle name="Normal 21 2 75" xfId="6715" xr:uid="{00000000-0005-0000-0000-0000352C0000}"/>
    <cellStyle name="Normal 21 2 75 2" xfId="18795" xr:uid="{00000000-0005-0000-0000-0000362C0000}"/>
    <cellStyle name="Normal 21 2 76" xfId="6716" xr:uid="{00000000-0005-0000-0000-0000372C0000}"/>
    <cellStyle name="Normal 21 2 76 2" xfId="18796" xr:uid="{00000000-0005-0000-0000-0000382C0000}"/>
    <cellStyle name="Normal 21 2 77" xfId="6717" xr:uid="{00000000-0005-0000-0000-0000392C0000}"/>
    <cellStyle name="Normal 21 2 77 2" xfId="18797" xr:uid="{00000000-0005-0000-0000-00003A2C0000}"/>
    <cellStyle name="Normal 21 2 78" xfId="6718" xr:uid="{00000000-0005-0000-0000-00003B2C0000}"/>
    <cellStyle name="Normal 21 2 78 2" xfId="18798" xr:uid="{00000000-0005-0000-0000-00003C2C0000}"/>
    <cellStyle name="Normal 21 2 79" xfId="6719" xr:uid="{00000000-0005-0000-0000-00003D2C0000}"/>
    <cellStyle name="Normal 21 2 79 2" xfId="18799" xr:uid="{00000000-0005-0000-0000-00003E2C0000}"/>
    <cellStyle name="Normal 21 2 8" xfId="6720" xr:uid="{00000000-0005-0000-0000-00003F2C0000}"/>
    <cellStyle name="Normal 21 2 8 2" xfId="18800" xr:uid="{00000000-0005-0000-0000-0000402C0000}"/>
    <cellStyle name="Normal 21 2 80" xfId="18723" xr:uid="{00000000-0005-0000-0000-0000412C0000}"/>
    <cellStyle name="Normal 21 2 9" xfId="6721" xr:uid="{00000000-0005-0000-0000-0000422C0000}"/>
    <cellStyle name="Normal 21 2 9 2" xfId="18801" xr:uid="{00000000-0005-0000-0000-0000432C0000}"/>
    <cellStyle name="Normal 21 20" xfId="6722" xr:uid="{00000000-0005-0000-0000-0000442C0000}"/>
    <cellStyle name="Normal 21 20 2" xfId="18802" xr:uid="{00000000-0005-0000-0000-0000452C0000}"/>
    <cellStyle name="Normal 21 21" xfId="6723" xr:uid="{00000000-0005-0000-0000-0000462C0000}"/>
    <cellStyle name="Normal 21 21 2" xfId="18803" xr:uid="{00000000-0005-0000-0000-0000472C0000}"/>
    <cellStyle name="Normal 21 22" xfId="6724" xr:uid="{00000000-0005-0000-0000-0000482C0000}"/>
    <cellStyle name="Normal 21 22 2" xfId="18804" xr:uid="{00000000-0005-0000-0000-0000492C0000}"/>
    <cellStyle name="Normal 21 23" xfId="6725" xr:uid="{00000000-0005-0000-0000-00004A2C0000}"/>
    <cellStyle name="Normal 21 23 2" xfId="18805" xr:uid="{00000000-0005-0000-0000-00004B2C0000}"/>
    <cellStyle name="Normal 21 24" xfId="6726" xr:uid="{00000000-0005-0000-0000-00004C2C0000}"/>
    <cellStyle name="Normal 21 24 2" xfId="18806" xr:uid="{00000000-0005-0000-0000-00004D2C0000}"/>
    <cellStyle name="Normal 21 25" xfId="6727" xr:uid="{00000000-0005-0000-0000-00004E2C0000}"/>
    <cellStyle name="Normal 21 25 2" xfId="18807" xr:uid="{00000000-0005-0000-0000-00004F2C0000}"/>
    <cellStyle name="Normal 21 26" xfId="6728" xr:uid="{00000000-0005-0000-0000-0000502C0000}"/>
    <cellStyle name="Normal 21 26 2" xfId="18808" xr:uid="{00000000-0005-0000-0000-0000512C0000}"/>
    <cellStyle name="Normal 21 27" xfId="6729" xr:uid="{00000000-0005-0000-0000-0000522C0000}"/>
    <cellStyle name="Normal 21 27 2" xfId="18809" xr:uid="{00000000-0005-0000-0000-0000532C0000}"/>
    <cellStyle name="Normal 21 28" xfId="6730" xr:uid="{00000000-0005-0000-0000-0000542C0000}"/>
    <cellStyle name="Normal 21 28 2" xfId="18810" xr:uid="{00000000-0005-0000-0000-0000552C0000}"/>
    <cellStyle name="Normal 21 29" xfId="6731" xr:uid="{00000000-0005-0000-0000-0000562C0000}"/>
    <cellStyle name="Normal 21 29 2" xfId="18811" xr:uid="{00000000-0005-0000-0000-0000572C0000}"/>
    <cellStyle name="Normal 21 3" xfId="6732" xr:uid="{00000000-0005-0000-0000-0000582C0000}"/>
    <cellStyle name="Normal 21 3 10" xfId="6733" xr:uid="{00000000-0005-0000-0000-0000592C0000}"/>
    <cellStyle name="Normal 21 3 10 2" xfId="18813" xr:uid="{00000000-0005-0000-0000-00005A2C0000}"/>
    <cellStyle name="Normal 21 3 11" xfId="6734" xr:uid="{00000000-0005-0000-0000-00005B2C0000}"/>
    <cellStyle name="Normal 21 3 11 2" xfId="18814" xr:uid="{00000000-0005-0000-0000-00005C2C0000}"/>
    <cellStyle name="Normal 21 3 12" xfId="6735" xr:uid="{00000000-0005-0000-0000-00005D2C0000}"/>
    <cellStyle name="Normal 21 3 12 2" xfId="18815" xr:uid="{00000000-0005-0000-0000-00005E2C0000}"/>
    <cellStyle name="Normal 21 3 13" xfId="6736" xr:uid="{00000000-0005-0000-0000-00005F2C0000}"/>
    <cellStyle name="Normal 21 3 13 2" xfId="18816" xr:uid="{00000000-0005-0000-0000-0000602C0000}"/>
    <cellStyle name="Normal 21 3 14" xfId="6737" xr:uid="{00000000-0005-0000-0000-0000612C0000}"/>
    <cellStyle name="Normal 21 3 14 2" xfId="18817" xr:uid="{00000000-0005-0000-0000-0000622C0000}"/>
    <cellStyle name="Normal 21 3 15" xfId="6738" xr:uid="{00000000-0005-0000-0000-0000632C0000}"/>
    <cellStyle name="Normal 21 3 15 2" xfId="18818" xr:uid="{00000000-0005-0000-0000-0000642C0000}"/>
    <cellStyle name="Normal 21 3 16" xfId="6739" xr:uid="{00000000-0005-0000-0000-0000652C0000}"/>
    <cellStyle name="Normal 21 3 16 2" xfId="18819" xr:uid="{00000000-0005-0000-0000-0000662C0000}"/>
    <cellStyle name="Normal 21 3 17" xfId="6740" xr:uid="{00000000-0005-0000-0000-0000672C0000}"/>
    <cellStyle name="Normal 21 3 17 2" xfId="18820" xr:uid="{00000000-0005-0000-0000-0000682C0000}"/>
    <cellStyle name="Normal 21 3 18" xfId="6741" xr:uid="{00000000-0005-0000-0000-0000692C0000}"/>
    <cellStyle name="Normal 21 3 18 2" xfId="18821" xr:uid="{00000000-0005-0000-0000-00006A2C0000}"/>
    <cellStyle name="Normal 21 3 19" xfId="6742" xr:uid="{00000000-0005-0000-0000-00006B2C0000}"/>
    <cellStyle name="Normal 21 3 19 2" xfId="18822" xr:uid="{00000000-0005-0000-0000-00006C2C0000}"/>
    <cellStyle name="Normal 21 3 2" xfId="6743" xr:uid="{00000000-0005-0000-0000-00006D2C0000}"/>
    <cellStyle name="Normal 21 3 2 2" xfId="18823" xr:uid="{00000000-0005-0000-0000-00006E2C0000}"/>
    <cellStyle name="Normal 21 3 20" xfId="6744" xr:uid="{00000000-0005-0000-0000-00006F2C0000}"/>
    <cellStyle name="Normal 21 3 20 2" xfId="18824" xr:uid="{00000000-0005-0000-0000-0000702C0000}"/>
    <cellStyle name="Normal 21 3 21" xfId="6745" xr:uid="{00000000-0005-0000-0000-0000712C0000}"/>
    <cellStyle name="Normal 21 3 21 2" xfId="18825" xr:uid="{00000000-0005-0000-0000-0000722C0000}"/>
    <cellStyle name="Normal 21 3 22" xfId="6746" xr:uid="{00000000-0005-0000-0000-0000732C0000}"/>
    <cellStyle name="Normal 21 3 22 2" xfId="18826" xr:uid="{00000000-0005-0000-0000-0000742C0000}"/>
    <cellStyle name="Normal 21 3 23" xfId="6747" xr:uid="{00000000-0005-0000-0000-0000752C0000}"/>
    <cellStyle name="Normal 21 3 23 2" xfId="18827" xr:uid="{00000000-0005-0000-0000-0000762C0000}"/>
    <cellStyle name="Normal 21 3 24" xfId="6748" xr:uid="{00000000-0005-0000-0000-0000772C0000}"/>
    <cellStyle name="Normal 21 3 24 2" xfId="18828" xr:uid="{00000000-0005-0000-0000-0000782C0000}"/>
    <cellStyle name="Normal 21 3 25" xfId="6749" xr:uid="{00000000-0005-0000-0000-0000792C0000}"/>
    <cellStyle name="Normal 21 3 25 2" xfId="18829" xr:uid="{00000000-0005-0000-0000-00007A2C0000}"/>
    <cellStyle name="Normal 21 3 26" xfId="6750" xr:uid="{00000000-0005-0000-0000-00007B2C0000}"/>
    <cellStyle name="Normal 21 3 26 2" xfId="18830" xr:uid="{00000000-0005-0000-0000-00007C2C0000}"/>
    <cellStyle name="Normal 21 3 27" xfId="6751" xr:uid="{00000000-0005-0000-0000-00007D2C0000}"/>
    <cellStyle name="Normal 21 3 27 2" xfId="18831" xr:uid="{00000000-0005-0000-0000-00007E2C0000}"/>
    <cellStyle name="Normal 21 3 28" xfId="6752" xr:uid="{00000000-0005-0000-0000-00007F2C0000}"/>
    <cellStyle name="Normal 21 3 28 2" xfId="18832" xr:uid="{00000000-0005-0000-0000-0000802C0000}"/>
    <cellStyle name="Normal 21 3 29" xfId="6753" xr:uid="{00000000-0005-0000-0000-0000812C0000}"/>
    <cellStyle name="Normal 21 3 29 2" xfId="18833" xr:uid="{00000000-0005-0000-0000-0000822C0000}"/>
    <cellStyle name="Normal 21 3 3" xfId="6754" xr:uid="{00000000-0005-0000-0000-0000832C0000}"/>
    <cellStyle name="Normal 21 3 3 2" xfId="18834" xr:uid="{00000000-0005-0000-0000-0000842C0000}"/>
    <cellStyle name="Normal 21 3 30" xfId="6755" xr:uid="{00000000-0005-0000-0000-0000852C0000}"/>
    <cellStyle name="Normal 21 3 30 2" xfId="18835" xr:uid="{00000000-0005-0000-0000-0000862C0000}"/>
    <cellStyle name="Normal 21 3 31" xfId="6756" xr:uid="{00000000-0005-0000-0000-0000872C0000}"/>
    <cellStyle name="Normal 21 3 31 2" xfId="18836" xr:uid="{00000000-0005-0000-0000-0000882C0000}"/>
    <cellStyle name="Normal 21 3 32" xfId="6757" xr:uid="{00000000-0005-0000-0000-0000892C0000}"/>
    <cellStyle name="Normal 21 3 32 2" xfId="18837" xr:uid="{00000000-0005-0000-0000-00008A2C0000}"/>
    <cellStyle name="Normal 21 3 33" xfId="6758" xr:uid="{00000000-0005-0000-0000-00008B2C0000}"/>
    <cellStyle name="Normal 21 3 33 2" xfId="18838" xr:uid="{00000000-0005-0000-0000-00008C2C0000}"/>
    <cellStyle name="Normal 21 3 34" xfId="6759" xr:uid="{00000000-0005-0000-0000-00008D2C0000}"/>
    <cellStyle name="Normal 21 3 34 2" xfId="18839" xr:uid="{00000000-0005-0000-0000-00008E2C0000}"/>
    <cellStyle name="Normal 21 3 35" xfId="6760" xr:uid="{00000000-0005-0000-0000-00008F2C0000}"/>
    <cellStyle name="Normal 21 3 35 2" xfId="18840" xr:uid="{00000000-0005-0000-0000-0000902C0000}"/>
    <cellStyle name="Normal 21 3 36" xfId="6761" xr:uid="{00000000-0005-0000-0000-0000912C0000}"/>
    <cellStyle name="Normal 21 3 36 2" xfId="18841" xr:uid="{00000000-0005-0000-0000-0000922C0000}"/>
    <cellStyle name="Normal 21 3 37" xfId="6762" xr:uid="{00000000-0005-0000-0000-0000932C0000}"/>
    <cellStyle name="Normal 21 3 37 2" xfId="18842" xr:uid="{00000000-0005-0000-0000-0000942C0000}"/>
    <cellStyle name="Normal 21 3 38" xfId="6763" xr:uid="{00000000-0005-0000-0000-0000952C0000}"/>
    <cellStyle name="Normal 21 3 38 2" xfId="18843" xr:uid="{00000000-0005-0000-0000-0000962C0000}"/>
    <cellStyle name="Normal 21 3 39" xfId="6764" xr:uid="{00000000-0005-0000-0000-0000972C0000}"/>
    <cellStyle name="Normal 21 3 39 2" xfId="18844" xr:uid="{00000000-0005-0000-0000-0000982C0000}"/>
    <cellStyle name="Normal 21 3 4" xfId="6765" xr:uid="{00000000-0005-0000-0000-0000992C0000}"/>
    <cellStyle name="Normal 21 3 4 2" xfId="18845" xr:uid="{00000000-0005-0000-0000-00009A2C0000}"/>
    <cellStyle name="Normal 21 3 40" xfId="6766" xr:uid="{00000000-0005-0000-0000-00009B2C0000}"/>
    <cellStyle name="Normal 21 3 40 2" xfId="18846" xr:uid="{00000000-0005-0000-0000-00009C2C0000}"/>
    <cellStyle name="Normal 21 3 41" xfId="6767" xr:uid="{00000000-0005-0000-0000-00009D2C0000}"/>
    <cellStyle name="Normal 21 3 41 2" xfId="18847" xr:uid="{00000000-0005-0000-0000-00009E2C0000}"/>
    <cellStyle name="Normal 21 3 42" xfId="6768" xr:uid="{00000000-0005-0000-0000-00009F2C0000}"/>
    <cellStyle name="Normal 21 3 42 2" xfId="18848" xr:uid="{00000000-0005-0000-0000-0000A02C0000}"/>
    <cellStyle name="Normal 21 3 43" xfId="6769" xr:uid="{00000000-0005-0000-0000-0000A12C0000}"/>
    <cellStyle name="Normal 21 3 43 2" xfId="18849" xr:uid="{00000000-0005-0000-0000-0000A22C0000}"/>
    <cellStyle name="Normal 21 3 44" xfId="6770" xr:uid="{00000000-0005-0000-0000-0000A32C0000}"/>
    <cellStyle name="Normal 21 3 44 2" xfId="18850" xr:uid="{00000000-0005-0000-0000-0000A42C0000}"/>
    <cellStyle name="Normal 21 3 45" xfId="6771" xr:uid="{00000000-0005-0000-0000-0000A52C0000}"/>
    <cellStyle name="Normal 21 3 45 2" xfId="18851" xr:uid="{00000000-0005-0000-0000-0000A62C0000}"/>
    <cellStyle name="Normal 21 3 46" xfId="6772" xr:uid="{00000000-0005-0000-0000-0000A72C0000}"/>
    <cellStyle name="Normal 21 3 46 2" xfId="18852" xr:uid="{00000000-0005-0000-0000-0000A82C0000}"/>
    <cellStyle name="Normal 21 3 47" xfId="6773" xr:uid="{00000000-0005-0000-0000-0000A92C0000}"/>
    <cellStyle name="Normal 21 3 47 2" xfId="18853" xr:uid="{00000000-0005-0000-0000-0000AA2C0000}"/>
    <cellStyle name="Normal 21 3 48" xfId="6774" xr:uid="{00000000-0005-0000-0000-0000AB2C0000}"/>
    <cellStyle name="Normal 21 3 48 2" xfId="18854" xr:uid="{00000000-0005-0000-0000-0000AC2C0000}"/>
    <cellStyle name="Normal 21 3 49" xfId="6775" xr:uid="{00000000-0005-0000-0000-0000AD2C0000}"/>
    <cellStyle name="Normal 21 3 49 2" xfId="18855" xr:uid="{00000000-0005-0000-0000-0000AE2C0000}"/>
    <cellStyle name="Normal 21 3 5" xfId="6776" xr:uid="{00000000-0005-0000-0000-0000AF2C0000}"/>
    <cellStyle name="Normal 21 3 5 2" xfId="18856" xr:uid="{00000000-0005-0000-0000-0000B02C0000}"/>
    <cellStyle name="Normal 21 3 50" xfId="6777" xr:uid="{00000000-0005-0000-0000-0000B12C0000}"/>
    <cellStyle name="Normal 21 3 50 2" xfId="18857" xr:uid="{00000000-0005-0000-0000-0000B22C0000}"/>
    <cellStyle name="Normal 21 3 51" xfId="6778" xr:uid="{00000000-0005-0000-0000-0000B32C0000}"/>
    <cellStyle name="Normal 21 3 51 2" xfId="18858" xr:uid="{00000000-0005-0000-0000-0000B42C0000}"/>
    <cellStyle name="Normal 21 3 52" xfId="6779" xr:uid="{00000000-0005-0000-0000-0000B52C0000}"/>
    <cellStyle name="Normal 21 3 52 2" xfId="18859" xr:uid="{00000000-0005-0000-0000-0000B62C0000}"/>
    <cellStyle name="Normal 21 3 53" xfId="6780" xr:uid="{00000000-0005-0000-0000-0000B72C0000}"/>
    <cellStyle name="Normal 21 3 53 2" xfId="18860" xr:uid="{00000000-0005-0000-0000-0000B82C0000}"/>
    <cellStyle name="Normal 21 3 54" xfId="6781" xr:uid="{00000000-0005-0000-0000-0000B92C0000}"/>
    <cellStyle name="Normal 21 3 54 2" xfId="18861" xr:uid="{00000000-0005-0000-0000-0000BA2C0000}"/>
    <cellStyle name="Normal 21 3 55" xfId="6782" xr:uid="{00000000-0005-0000-0000-0000BB2C0000}"/>
    <cellStyle name="Normal 21 3 55 2" xfId="18862" xr:uid="{00000000-0005-0000-0000-0000BC2C0000}"/>
    <cellStyle name="Normal 21 3 56" xfId="6783" xr:uid="{00000000-0005-0000-0000-0000BD2C0000}"/>
    <cellStyle name="Normal 21 3 56 2" xfId="18863" xr:uid="{00000000-0005-0000-0000-0000BE2C0000}"/>
    <cellStyle name="Normal 21 3 57" xfId="6784" xr:uid="{00000000-0005-0000-0000-0000BF2C0000}"/>
    <cellStyle name="Normal 21 3 57 2" xfId="18864" xr:uid="{00000000-0005-0000-0000-0000C02C0000}"/>
    <cellStyle name="Normal 21 3 58" xfId="6785" xr:uid="{00000000-0005-0000-0000-0000C12C0000}"/>
    <cellStyle name="Normal 21 3 58 2" xfId="18865" xr:uid="{00000000-0005-0000-0000-0000C22C0000}"/>
    <cellStyle name="Normal 21 3 59" xfId="6786" xr:uid="{00000000-0005-0000-0000-0000C32C0000}"/>
    <cellStyle name="Normal 21 3 59 2" xfId="18866" xr:uid="{00000000-0005-0000-0000-0000C42C0000}"/>
    <cellStyle name="Normal 21 3 6" xfId="6787" xr:uid="{00000000-0005-0000-0000-0000C52C0000}"/>
    <cellStyle name="Normal 21 3 6 2" xfId="18867" xr:uid="{00000000-0005-0000-0000-0000C62C0000}"/>
    <cellStyle name="Normal 21 3 60" xfId="6788" xr:uid="{00000000-0005-0000-0000-0000C72C0000}"/>
    <cellStyle name="Normal 21 3 60 2" xfId="18868" xr:uid="{00000000-0005-0000-0000-0000C82C0000}"/>
    <cellStyle name="Normal 21 3 61" xfId="6789" xr:uid="{00000000-0005-0000-0000-0000C92C0000}"/>
    <cellStyle name="Normal 21 3 61 2" xfId="18869" xr:uid="{00000000-0005-0000-0000-0000CA2C0000}"/>
    <cellStyle name="Normal 21 3 62" xfId="6790" xr:uid="{00000000-0005-0000-0000-0000CB2C0000}"/>
    <cellStyle name="Normal 21 3 62 2" xfId="18870" xr:uid="{00000000-0005-0000-0000-0000CC2C0000}"/>
    <cellStyle name="Normal 21 3 63" xfId="6791" xr:uid="{00000000-0005-0000-0000-0000CD2C0000}"/>
    <cellStyle name="Normal 21 3 63 2" xfId="18871" xr:uid="{00000000-0005-0000-0000-0000CE2C0000}"/>
    <cellStyle name="Normal 21 3 64" xfId="6792" xr:uid="{00000000-0005-0000-0000-0000CF2C0000}"/>
    <cellStyle name="Normal 21 3 64 2" xfId="18872" xr:uid="{00000000-0005-0000-0000-0000D02C0000}"/>
    <cellStyle name="Normal 21 3 65" xfId="6793" xr:uid="{00000000-0005-0000-0000-0000D12C0000}"/>
    <cellStyle name="Normal 21 3 65 2" xfId="18873" xr:uid="{00000000-0005-0000-0000-0000D22C0000}"/>
    <cellStyle name="Normal 21 3 66" xfId="6794" xr:uid="{00000000-0005-0000-0000-0000D32C0000}"/>
    <cellStyle name="Normal 21 3 66 2" xfId="18874" xr:uid="{00000000-0005-0000-0000-0000D42C0000}"/>
    <cellStyle name="Normal 21 3 67" xfId="6795" xr:uid="{00000000-0005-0000-0000-0000D52C0000}"/>
    <cellStyle name="Normal 21 3 67 2" xfId="18875" xr:uid="{00000000-0005-0000-0000-0000D62C0000}"/>
    <cellStyle name="Normal 21 3 68" xfId="6796" xr:uid="{00000000-0005-0000-0000-0000D72C0000}"/>
    <cellStyle name="Normal 21 3 68 2" xfId="18876" xr:uid="{00000000-0005-0000-0000-0000D82C0000}"/>
    <cellStyle name="Normal 21 3 69" xfId="6797" xr:uid="{00000000-0005-0000-0000-0000D92C0000}"/>
    <cellStyle name="Normal 21 3 69 2" xfId="18877" xr:uid="{00000000-0005-0000-0000-0000DA2C0000}"/>
    <cellStyle name="Normal 21 3 7" xfId="6798" xr:uid="{00000000-0005-0000-0000-0000DB2C0000}"/>
    <cellStyle name="Normal 21 3 7 2" xfId="18878" xr:uid="{00000000-0005-0000-0000-0000DC2C0000}"/>
    <cellStyle name="Normal 21 3 70" xfId="6799" xr:uid="{00000000-0005-0000-0000-0000DD2C0000}"/>
    <cellStyle name="Normal 21 3 70 2" xfId="18879" xr:uid="{00000000-0005-0000-0000-0000DE2C0000}"/>
    <cellStyle name="Normal 21 3 71" xfId="6800" xr:uid="{00000000-0005-0000-0000-0000DF2C0000}"/>
    <cellStyle name="Normal 21 3 71 2" xfId="18880" xr:uid="{00000000-0005-0000-0000-0000E02C0000}"/>
    <cellStyle name="Normal 21 3 72" xfId="6801" xr:uid="{00000000-0005-0000-0000-0000E12C0000}"/>
    <cellStyle name="Normal 21 3 72 2" xfId="18881" xr:uid="{00000000-0005-0000-0000-0000E22C0000}"/>
    <cellStyle name="Normal 21 3 73" xfId="6802" xr:uid="{00000000-0005-0000-0000-0000E32C0000}"/>
    <cellStyle name="Normal 21 3 73 2" xfId="18882" xr:uid="{00000000-0005-0000-0000-0000E42C0000}"/>
    <cellStyle name="Normal 21 3 74" xfId="6803" xr:uid="{00000000-0005-0000-0000-0000E52C0000}"/>
    <cellStyle name="Normal 21 3 74 2" xfId="18883" xr:uid="{00000000-0005-0000-0000-0000E62C0000}"/>
    <cellStyle name="Normal 21 3 75" xfId="6804" xr:uid="{00000000-0005-0000-0000-0000E72C0000}"/>
    <cellStyle name="Normal 21 3 75 2" xfId="18884" xr:uid="{00000000-0005-0000-0000-0000E82C0000}"/>
    <cellStyle name="Normal 21 3 76" xfId="6805" xr:uid="{00000000-0005-0000-0000-0000E92C0000}"/>
    <cellStyle name="Normal 21 3 76 2" xfId="18885" xr:uid="{00000000-0005-0000-0000-0000EA2C0000}"/>
    <cellStyle name="Normal 21 3 77" xfId="6806" xr:uid="{00000000-0005-0000-0000-0000EB2C0000}"/>
    <cellStyle name="Normal 21 3 77 2" xfId="18886" xr:uid="{00000000-0005-0000-0000-0000EC2C0000}"/>
    <cellStyle name="Normal 21 3 78" xfId="6807" xr:uid="{00000000-0005-0000-0000-0000ED2C0000}"/>
    <cellStyle name="Normal 21 3 78 2" xfId="18887" xr:uid="{00000000-0005-0000-0000-0000EE2C0000}"/>
    <cellStyle name="Normal 21 3 79" xfId="6808" xr:uid="{00000000-0005-0000-0000-0000EF2C0000}"/>
    <cellStyle name="Normal 21 3 79 2" xfId="18888" xr:uid="{00000000-0005-0000-0000-0000F02C0000}"/>
    <cellStyle name="Normal 21 3 8" xfId="6809" xr:uid="{00000000-0005-0000-0000-0000F12C0000}"/>
    <cellStyle name="Normal 21 3 8 2" xfId="18889" xr:uid="{00000000-0005-0000-0000-0000F22C0000}"/>
    <cellStyle name="Normal 21 3 80" xfId="18812" xr:uid="{00000000-0005-0000-0000-0000F32C0000}"/>
    <cellStyle name="Normal 21 3 9" xfId="6810" xr:uid="{00000000-0005-0000-0000-0000F42C0000}"/>
    <cellStyle name="Normal 21 3 9 2" xfId="18890" xr:uid="{00000000-0005-0000-0000-0000F52C0000}"/>
    <cellStyle name="Normal 21 30" xfId="6811" xr:uid="{00000000-0005-0000-0000-0000F62C0000}"/>
    <cellStyle name="Normal 21 30 2" xfId="18891" xr:uid="{00000000-0005-0000-0000-0000F72C0000}"/>
    <cellStyle name="Normal 21 31" xfId="6812" xr:uid="{00000000-0005-0000-0000-0000F82C0000}"/>
    <cellStyle name="Normal 21 31 2" xfId="18892" xr:uid="{00000000-0005-0000-0000-0000F92C0000}"/>
    <cellStyle name="Normal 21 32" xfId="6813" xr:uid="{00000000-0005-0000-0000-0000FA2C0000}"/>
    <cellStyle name="Normal 21 32 2" xfId="18893" xr:uid="{00000000-0005-0000-0000-0000FB2C0000}"/>
    <cellStyle name="Normal 21 33" xfId="6814" xr:uid="{00000000-0005-0000-0000-0000FC2C0000}"/>
    <cellStyle name="Normal 21 33 2" xfId="18894" xr:uid="{00000000-0005-0000-0000-0000FD2C0000}"/>
    <cellStyle name="Normal 21 34" xfId="6815" xr:uid="{00000000-0005-0000-0000-0000FE2C0000}"/>
    <cellStyle name="Normal 21 34 2" xfId="18895" xr:uid="{00000000-0005-0000-0000-0000FF2C0000}"/>
    <cellStyle name="Normal 21 35" xfId="6816" xr:uid="{00000000-0005-0000-0000-0000002D0000}"/>
    <cellStyle name="Normal 21 35 2" xfId="18896" xr:uid="{00000000-0005-0000-0000-0000012D0000}"/>
    <cellStyle name="Normal 21 36" xfId="6817" xr:uid="{00000000-0005-0000-0000-0000022D0000}"/>
    <cellStyle name="Normal 21 36 2" xfId="18897" xr:uid="{00000000-0005-0000-0000-0000032D0000}"/>
    <cellStyle name="Normal 21 37" xfId="6818" xr:uid="{00000000-0005-0000-0000-0000042D0000}"/>
    <cellStyle name="Normal 21 37 2" xfId="18898" xr:uid="{00000000-0005-0000-0000-0000052D0000}"/>
    <cellStyle name="Normal 21 38" xfId="6819" xr:uid="{00000000-0005-0000-0000-0000062D0000}"/>
    <cellStyle name="Normal 21 38 2" xfId="18899" xr:uid="{00000000-0005-0000-0000-0000072D0000}"/>
    <cellStyle name="Normal 21 39" xfId="6820" xr:uid="{00000000-0005-0000-0000-0000082D0000}"/>
    <cellStyle name="Normal 21 39 2" xfId="18900" xr:uid="{00000000-0005-0000-0000-0000092D0000}"/>
    <cellStyle name="Normal 21 4" xfId="6821" xr:uid="{00000000-0005-0000-0000-00000A2D0000}"/>
    <cellStyle name="Normal 21 4 10" xfId="6822" xr:uid="{00000000-0005-0000-0000-00000B2D0000}"/>
    <cellStyle name="Normal 21 4 10 2" xfId="18902" xr:uid="{00000000-0005-0000-0000-00000C2D0000}"/>
    <cellStyle name="Normal 21 4 11" xfId="6823" xr:uid="{00000000-0005-0000-0000-00000D2D0000}"/>
    <cellStyle name="Normal 21 4 11 2" xfId="18903" xr:uid="{00000000-0005-0000-0000-00000E2D0000}"/>
    <cellStyle name="Normal 21 4 12" xfId="6824" xr:uid="{00000000-0005-0000-0000-00000F2D0000}"/>
    <cellStyle name="Normal 21 4 12 2" xfId="18904" xr:uid="{00000000-0005-0000-0000-0000102D0000}"/>
    <cellStyle name="Normal 21 4 13" xfId="6825" xr:uid="{00000000-0005-0000-0000-0000112D0000}"/>
    <cellStyle name="Normal 21 4 13 2" xfId="18905" xr:uid="{00000000-0005-0000-0000-0000122D0000}"/>
    <cellStyle name="Normal 21 4 14" xfId="6826" xr:uid="{00000000-0005-0000-0000-0000132D0000}"/>
    <cellStyle name="Normal 21 4 14 2" xfId="18906" xr:uid="{00000000-0005-0000-0000-0000142D0000}"/>
    <cellStyle name="Normal 21 4 15" xfId="6827" xr:uid="{00000000-0005-0000-0000-0000152D0000}"/>
    <cellStyle name="Normal 21 4 15 2" xfId="18907" xr:uid="{00000000-0005-0000-0000-0000162D0000}"/>
    <cellStyle name="Normal 21 4 16" xfId="6828" xr:uid="{00000000-0005-0000-0000-0000172D0000}"/>
    <cellStyle name="Normal 21 4 16 2" xfId="18908" xr:uid="{00000000-0005-0000-0000-0000182D0000}"/>
    <cellStyle name="Normal 21 4 17" xfId="6829" xr:uid="{00000000-0005-0000-0000-0000192D0000}"/>
    <cellStyle name="Normal 21 4 17 2" xfId="18909" xr:uid="{00000000-0005-0000-0000-00001A2D0000}"/>
    <cellStyle name="Normal 21 4 18" xfId="6830" xr:uid="{00000000-0005-0000-0000-00001B2D0000}"/>
    <cellStyle name="Normal 21 4 18 2" xfId="18910" xr:uid="{00000000-0005-0000-0000-00001C2D0000}"/>
    <cellStyle name="Normal 21 4 19" xfId="6831" xr:uid="{00000000-0005-0000-0000-00001D2D0000}"/>
    <cellStyle name="Normal 21 4 19 2" xfId="18911" xr:uid="{00000000-0005-0000-0000-00001E2D0000}"/>
    <cellStyle name="Normal 21 4 2" xfId="6832" xr:uid="{00000000-0005-0000-0000-00001F2D0000}"/>
    <cellStyle name="Normal 21 4 2 2" xfId="18912" xr:uid="{00000000-0005-0000-0000-0000202D0000}"/>
    <cellStyle name="Normal 21 4 20" xfId="6833" xr:uid="{00000000-0005-0000-0000-0000212D0000}"/>
    <cellStyle name="Normal 21 4 20 2" xfId="18913" xr:uid="{00000000-0005-0000-0000-0000222D0000}"/>
    <cellStyle name="Normal 21 4 21" xfId="6834" xr:uid="{00000000-0005-0000-0000-0000232D0000}"/>
    <cellStyle name="Normal 21 4 21 2" xfId="18914" xr:uid="{00000000-0005-0000-0000-0000242D0000}"/>
    <cellStyle name="Normal 21 4 22" xfId="6835" xr:uid="{00000000-0005-0000-0000-0000252D0000}"/>
    <cellStyle name="Normal 21 4 22 2" xfId="18915" xr:uid="{00000000-0005-0000-0000-0000262D0000}"/>
    <cellStyle name="Normal 21 4 23" xfId="6836" xr:uid="{00000000-0005-0000-0000-0000272D0000}"/>
    <cellStyle name="Normal 21 4 23 2" xfId="18916" xr:uid="{00000000-0005-0000-0000-0000282D0000}"/>
    <cellStyle name="Normal 21 4 24" xfId="6837" xr:uid="{00000000-0005-0000-0000-0000292D0000}"/>
    <cellStyle name="Normal 21 4 24 2" xfId="18917" xr:uid="{00000000-0005-0000-0000-00002A2D0000}"/>
    <cellStyle name="Normal 21 4 25" xfId="6838" xr:uid="{00000000-0005-0000-0000-00002B2D0000}"/>
    <cellStyle name="Normal 21 4 25 2" xfId="18918" xr:uid="{00000000-0005-0000-0000-00002C2D0000}"/>
    <cellStyle name="Normal 21 4 26" xfId="6839" xr:uid="{00000000-0005-0000-0000-00002D2D0000}"/>
    <cellStyle name="Normal 21 4 26 2" xfId="18919" xr:uid="{00000000-0005-0000-0000-00002E2D0000}"/>
    <cellStyle name="Normal 21 4 27" xfId="6840" xr:uid="{00000000-0005-0000-0000-00002F2D0000}"/>
    <cellStyle name="Normal 21 4 27 2" xfId="18920" xr:uid="{00000000-0005-0000-0000-0000302D0000}"/>
    <cellStyle name="Normal 21 4 28" xfId="6841" xr:uid="{00000000-0005-0000-0000-0000312D0000}"/>
    <cellStyle name="Normal 21 4 28 2" xfId="18921" xr:uid="{00000000-0005-0000-0000-0000322D0000}"/>
    <cellStyle name="Normal 21 4 29" xfId="6842" xr:uid="{00000000-0005-0000-0000-0000332D0000}"/>
    <cellStyle name="Normal 21 4 29 2" xfId="18922" xr:uid="{00000000-0005-0000-0000-0000342D0000}"/>
    <cellStyle name="Normal 21 4 3" xfId="6843" xr:uid="{00000000-0005-0000-0000-0000352D0000}"/>
    <cellStyle name="Normal 21 4 3 2" xfId="18923" xr:uid="{00000000-0005-0000-0000-0000362D0000}"/>
    <cellStyle name="Normal 21 4 30" xfId="6844" xr:uid="{00000000-0005-0000-0000-0000372D0000}"/>
    <cellStyle name="Normal 21 4 30 2" xfId="18924" xr:uid="{00000000-0005-0000-0000-0000382D0000}"/>
    <cellStyle name="Normal 21 4 31" xfId="6845" xr:uid="{00000000-0005-0000-0000-0000392D0000}"/>
    <cellStyle name="Normal 21 4 31 2" xfId="18925" xr:uid="{00000000-0005-0000-0000-00003A2D0000}"/>
    <cellStyle name="Normal 21 4 32" xfId="6846" xr:uid="{00000000-0005-0000-0000-00003B2D0000}"/>
    <cellStyle name="Normal 21 4 32 2" xfId="18926" xr:uid="{00000000-0005-0000-0000-00003C2D0000}"/>
    <cellStyle name="Normal 21 4 33" xfId="6847" xr:uid="{00000000-0005-0000-0000-00003D2D0000}"/>
    <cellStyle name="Normal 21 4 33 2" xfId="18927" xr:uid="{00000000-0005-0000-0000-00003E2D0000}"/>
    <cellStyle name="Normal 21 4 34" xfId="6848" xr:uid="{00000000-0005-0000-0000-00003F2D0000}"/>
    <cellStyle name="Normal 21 4 34 2" xfId="18928" xr:uid="{00000000-0005-0000-0000-0000402D0000}"/>
    <cellStyle name="Normal 21 4 35" xfId="6849" xr:uid="{00000000-0005-0000-0000-0000412D0000}"/>
    <cellStyle name="Normal 21 4 35 2" xfId="18929" xr:uid="{00000000-0005-0000-0000-0000422D0000}"/>
    <cellStyle name="Normal 21 4 36" xfId="6850" xr:uid="{00000000-0005-0000-0000-0000432D0000}"/>
    <cellStyle name="Normal 21 4 36 2" xfId="18930" xr:uid="{00000000-0005-0000-0000-0000442D0000}"/>
    <cellStyle name="Normal 21 4 37" xfId="6851" xr:uid="{00000000-0005-0000-0000-0000452D0000}"/>
    <cellStyle name="Normal 21 4 37 2" xfId="18931" xr:uid="{00000000-0005-0000-0000-0000462D0000}"/>
    <cellStyle name="Normal 21 4 38" xfId="6852" xr:uid="{00000000-0005-0000-0000-0000472D0000}"/>
    <cellStyle name="Normal 21 4 38 2" xfId="18932" xr:uid="{00000000-0005-0000-0000-0000482D0000}"/>
    <cellStyle name="Normal 21 4 39" xfId="6853" xr:uid="{00000000-0005-0000-0000-0000492D0000}"/>
    <cellStyle name="Normal 21 4 39 2" xfId="18933" xr:uid="{00000000-0005-0000-0000-00004A2D0000}"/>
    <cellStyle name="Normal 21 4 4" xfId="6854" xr:uid="{00000000-0005-0000-0000-00004B2D0000}"/>
    <cellStyle name="Normal 21 4 4 2" xfId="18934" xr:uid="{00000000-0005-0000-0000-00004C2D0000}"/>
    <cellStyle name="Normal 21 4 40" xfId="6855" xr:uid="{00000000-0005-0000-0000-00004D2D0000}"/>
    <cellStyle name="Normal 21 4 40 2" xfId="18935" xr:uid="{00000000-0005-0000-0000-00004E2D0000}"/>
    <cellStyle name="Normal 21 4 41" xfId="6856" xr:uid="{00000000-0005-0000-0000-00004F2D0000}"/>
    <cellStyle name="Normal 21 4 41 2" xfId="18936" xr:uid="{00000000-0005-0000-0000-0000502D0000}"/>
    <cellStyle name="Normal 21 4 42" xfId="6857" xr:uid="{00000000-0005-0000-0000-0000512D0000}"/>
    <cellStyle name="Normal 21 4 42 2" xfId="18937" xr:uid="{00000000-0005-0000-0000-0000522D0000}"/>
    <cellStyle name="Normal 21 4 43" xfId="6858" xr:uid="{00000000-0005-0000-0000-0000532D0000}"/>
    <cellStyle name="Normal 21 4 43 2" xfId="18938" xr:uid="{00000000-0005-0000-0000-0000542D0000}"/>
    <cellStyle name="Normal 21 4 44" xfId="6859" xr:uid="{00000000-0005-0000-0000-0000552D0000}"/>
    <cellStyle name="Normal 21 4 44 2" xfId="18939" xr:uid="{00000000-0005-0000-0000-0000562D0000}"/>
    <cellStyle name="Normal 21 4 45" xfId="6860" xr:uid="{00000000-0005-0000-0000-0000572D0000}"/>
    <cellStyle name="Normal 21 4 45 2" xfId="18940" xr:uid="{00000000-0005-0000-0000-0000582D0000}"/>
    <cellStyle name="Normal 21 4 46" xfId="6861" xr:uid="{00000000-0005-0000-0000-0000592D0000}"/>
    <cellStyle name="Normal 21 4 46 2" xfId="18941" xr:uid="{00000000-0005-0000-0000-00005A2D0000}"/>
    <cellStyle name="Normal 21 4 47" xfId="6862" xr:uid="{00000000-0005-0000-0000-00005B2D0000}"/>
    <cellStyle name="Normal 21 4 47 2" xfId="18942" xr:uid="{00000000-0005-0000-0000-00005C2D0000}"/>
    <cellStyle name="Normal 21 4 48" xfId="6863" xr:uid="{00000000-0005-0000-0000-00005D2D0000}"/>
    <cellStyle name="Normal 21 4 48 2" xfId="18943" xr:uid="{00000000-0005-0000-0000-00005E2D0000}"/>
    <cellStyle name="Normal 21 4 49" xfId="6864" xr:uid="{00000000-0005-0000-0000-00005F2D0000}"/>
    <cellStyle name="Normal 21 4 49 2" xfId="18944" xr:uid="{00000000-0005-0000-0000-0000602D0000}"/>
    <cellStyle name="Normal 21 4 5" xfId="6865" xr:uid="{00000000-0005-0000-0000-0000612D0000}"/>
    <cellStyle name="Normal 21 4 5 2" xfId="18945" xr:uid="{00000000-0005-0000-0000-0000622D0000}"/>
    <cellStyle name="Normal 21 4 50" xfId="6866" xr:uid="{00000000-0005-0000-0000-0000632D0000}"/>
    <cellStyle name="Normal 21 4 50 2" xfId="18946" xr:uid="{00000000-0005-0000-0000-0000642D0000}"/>
    <cellStyle name="Normal 21 4 51" xfId="6867" xr:uid="{00000000-0005-0000-0000-0000652D0000}"/>
    <cellStyle name="Normal 21 4 51 2" xfId="18947" xr:uid="{00000000-0005-0000-0000-0000662D0000}"/>
    <cellStyle name="Normal 21 4 52" xfId="6868" xr:uid="{00000000-0005-0000-0000-0000672D0000}"/>
    <cellStyle name="Normal 21 4 52 2" xfId="18948" xr:uid="{00000000-0005-0000-0000-0000682D0000}"/>
    <cellStyle name="Normal 21 4 53" xfId="6869" xr:uid="{00000000-0005-0000-0000-0000692D0000}"/>
    <cellStyle name="Normal 21 4 53 2" xfId="18949" xr:uid="{00000000-0005-0000-0000-00006A2D0000}"/>
    <cellStyle name="Normal 21 4 54" xfId="6870" xr:uid="{00000000-0005-0000-0000-00006B2D0000}"/>
    <cellStyle name="Normal 21 4 54 2" xfId="18950" xr:uid="{00000000-0005-0000-0000-00006C2D0000}"/>
    <cellStyle name="Normal 21 4 55" xfId="6871" xr:uid="{00000000-0005-0000-0000-00006D2D0000}"/>
    <cellStyle name="Normal 21 4 55 2" xfId="18951" xr:uid="{00000000-0005-0000-0000-00006E2D0000}"/>
    <cellStyle name="Normal 21 4 56" xfId="6872" xr:uid="{00000000-0005-0000-0000-00006F2D0000}"/>
    <cellStyle name="Normal 21 4 56 2" xfId="18952" xr:uid="{00000000-0005-0000-0000-0000702D0000}"/>
    <cellStyle name="Normal 21 4 57" xfId="6873" xr:uid="{00000000-0005-0000-0000-0000712D0000}"/>
    <cellStyle name="Normal 21 4 57 2" xfId="18953" xr:uid="{00000000-0005-0000-0000-0000722D0000}"/>
    <cellStyle name="Normal 21 4 58" xfId="6874" xr:uid="{00000000-0005-0000-0000-0000732D0000}"/>
    <cellStyle name="Normal 21 4 58 2" xfId="18954" xr:uid="{00000000-0005-0000-0000-0000742D0000}"/>
    <cellStyle name="Normal 21 4 59" xfId="6875" xr:uid="{00000000-0005-0000-0000-0000752D0000}"/>
    <cellStyle name="Normal 21 4 59 2" xfId="18955" xr:uid="{00000000-0005-0000-0000-0000762D0000}"/>
    <cellStyle name="Normal 21 4 6" xfId="6876" xr:uid="{00000000-0005-0000-0000-0000772D0000}"/>
    <cellStyle name="Normal 21 4 6 2" xfId="18956" xr:uid="{00000000-0005-0000-0000-0000782D0000}"/>
    <cellStyle name="Normal 21 4 60" xfId="6877" xr:uid="{00000000-0005-0000-0000-0000792D0000}"/>
    <cellStyle name="Normal 21 4 60 2" xfId="18957" xr:uid="{00000000-0005-0000-0000-00007A2D0000}"/>
    <cellStyle name="Normal 21 4 61" xfId="6878" xr:uid="{00000000-0005-0000-0000-00007B2D0000}"/>
    <cellStyle name="Normal 21 4 61 2" xfId="18958" xr:uid="{00000000-0005-0000-0000-00007C2D0000}"/>
    <cellStyle name="Normal 21 4 62" xfId="6879" xr:uid="{00000000-0005-0000-0000-00007D2D0000}"/>
    <cellStyle name="Normal 21 4 62 2" xfId="18959" xr:uid="{00000000-0005-0000-0000-00007E2D0000}"/>
    <cellStyle name="Normal 21 4 63" xfId="6880" xr:uid="{00000000-0005-0000-0000-00007F2D0000}"/>
    <cellStyle name="Normal 21 4 63 2" xfId="18960" xr:uid="{00000000-0005-0000-0000-0000802D0000}"/>
    <cellStyle name="Normal 21 4 64" xfId="6881" xr:uid="{00000000-0005-0000-0000-0000812D0000}"/>
    <cellStyle name="Normal 21 4 64 2" xfId="18961" xr:uid="{00000000-0005-0000-0000-0000822D0000}"/>
    <cellStyle name="Normal 21 4 65" xfId="6882" xr:uid="{00000000-0005-0000-0000-0000832D0000}"/>
    <cellStyle name="Normal 21 4 65 2" xfId="18962" xr:uid="{00000000-0005-0000-0000-0000842D0000}"/>
    <cellStyle name="Normal 21 4 66" xfId="6883" xr:uid="{00000000-0005-0000-0000-0000852D0000}"/>
    <cellStyle name="Normal 21 4 66 2" xfId="18963" xr:uid="{00000000-0005-0000-0000-0000862D0000}"/>
    <cellStyle name="Normal 21 4 67" xfId="6884" xr:uid="{00000000-0005-0000-0000-0000872D0000}"/>
    <cellStyle name="Normal 21 4 67 2" xfId="18964" xr:uid="{00000000-0005-0000-0000-0000882D0000}"/>
    <cellStyle name="Normal 21 4 68" xfId="6885" xr:uid="{00000000-0005-0000-0000-0000892D0000}"/>
    <cellStyle name="Normal 21 4 68 2" xfId="18965" xr:uid="{00000000-0005-0000-0000-00008A2D0000}"/>
    <cellStyle name="Normal 21 4 69" xfId="6886" xr:uid="{00000000-0005-0000-0000-00008B2D0000}"/>
    <cellStyle name="Normal 21 4 69 2" xfId="18966" xr:uid="{00000000-0005-0000-0000-00008C2D0000}"/>
    <cellStyle name="Normal 21 4 7" xfId="6887" xr:uid="{00000000-0005-0000-0000-00008D2D0000}"/>
    <cellStyle name="Normal 21 4 7 2" xfId="18967" xr:uid="{00000000-0005-0000-0000-00008E2D0000}"/>
    <cellStyle name="Normal 21 4 70" xfId="6888" xr:uid="{00000000-0005-0000-0000-00008F2D0000}"/>
    <cellStyle name="Normal 21 4 70 2" xfId="18968" xr:uid="{00000000-0005-0000-0000-0000902D0000}"/>
    <cellStyle name="Normal 21 4 71" xfId="6889" xr:uid="{00000000-0005-0000-0000-0000912D0000}"/>
    <cellStyle name="Normal 21 4 71 2" xfId="18969" xr:uid="{00000000-0005-0000-0000-0000922D0000}"/>
    <cellStyle name="Normal 21 4 72" xfId="6890" xr:uid="{00000000-0005-0000-0000-0000932D0000}"/>
    <cellStyle name="Normal 21 4 72 2" xfId="18970" xr:uid="{00000000-0005-0000-0000-0000942D0000}"/>
    <cellStyle name="Normal 21 4 73" xfId="6891" xr:uid="{00000000-0005-0000-0000-0000952D0000}"/>
    <cellStyle name="Normal 21 4 73 2" xfId="18971" xr:uid="{00000000-0005-0000-0000-0000962D0000}"/>
    <cellStyle name="Normal 21 4 74" xfId="6892" xr:uid="{00000000-0005-0000-0000-0000972D0000}"/>
    <cellStyle name="Normal 21 4 74 2" xfId="18972" xr:uid="{00000000-0005-0000-0000-0000982D0000}"/>
    <cellStyle name="Normal 21 4 75" xfId="6893" xr:uid="{00000000-0005-0000-0000-0000992D0000}"/>
    <cellStyle name="Normal 21 4 75 2" xfId="18973" xr:uid="{00000000-0005-0000-0000-00009A2D0000}"/>
    <cellStyle name="Normal 21 4 76" xfId="6894" xr:uid="{00000000-0005-0000-0000-00009B2D0000}"/>
    <cellStyle name="Normal 21 4 76 2" xfId="18974" xr:uid="{00000000-0005-0000-0000-00009C2D0000}"/>
    <cellStyle name="Normal 21 4 77" xfId="6895" xr:uid="{00000000-0005-0000-0000-00009D2D0000}"/>
    <cellStyle name="Normal 21 4 77 2" xfId="18975" xr:uid="{00000000-0005-0000-0000-00009E2D0000}"/>
    <cellStyle name="Normal 21 4 78" xfId="6896" xr:uid="{00000000-0005-0000-0000-00009F2D0000}"/>
    <cellStyle name="Normal 21 4 78 2" xfId="18976" xr:uid="{00000000-0005-0000-0000-0000A02D0000}"/>
    <cellStyle name="Normal 21 4 79" xfId="6897" xr:uid="{00000000-0005-0000-0000-0000A12D0000}"/>
    <cellStyle name="Normal 21 4 79 2" xfId="18977" xr:uid="{00000000-0005-0000-0000-0000A22D0000}"/>
    <cellStyle name="Normal 21 4 8" xfId="6898" xr:uid="{00000000-0005-0000-0000-0000A32D0000}"/>
    <cellStyle name="Normal 21 4 8 2" xfId="18978" xr:uid="{00000000-0005-0000-0000-0000A42D0000}"/>
    <cellStyle name="Normal 21 4 80" xfId="18901" xr:uid="{00000000-0005-0000-0000-0000A52D0000}"/>
    <cellStyle name="Normal 21 4 9" xfId="6899" xr:uid="{00000000-0005-0000-0000-0000A62D0000}"/>
    <cellStyle name="Normal 21 4 9 2" xfId="18979" xr:uid="{00000000-0005-0000-0000-0000A72D0000}"/>
    <cellStyle name="Normal 21 40" xfId="6900" xr:uid="{00000000-0005-0000-0000-0000A82D0000}"/>
    <cellStyle name="Normal 21 40 2" xfId="18980" xr:uid="{00000000-0005-0000-0000-0000A92D0000}"/>
    <cellStyle name="Normal 21 41" xfId="6901" xr:uid="{00000000-0005-0000-0000-0000AA2D0000}"/>
    <cellStyle name="Normal 21 41 2" xfId="18981" xr:uid="{00000000-0005-0000-0000-0000AB2D0000}"/>
    <cellStyle name="Normal 21 42" xfId="6902" xr:uid="{00000000-0005-0000-0000-0000AC2D0000}"/>
    <cellStyle name="Normal 21 42 2" xfId="18982" xr:uid="{00000000-0005-0000-0000-0000AD2D0000}"/>
    <cellStyle name="Normal 21 43" xfId="6903" xr:uid="{00000000-0005-0000-0000-0000AE2D0000}"/>
    <cellStyle name="Normal 21 43 2" xfId="18983" xr:uid="{00000000-0005-0000-0000-0000AF2D0000}"/>
    <cellStyle name="Normal 21 44" xfId="6904" xr:uid="{00000000-0005-0000-0000-0000B02D0000}"/>
    <cellStyle name="Normal 21 44 2" xfId="18984" xr:uid="{00000000-0005-0000-0000-0000B12D0000}"/>
    <cellStyle name="Normal 21 45" xfId="6905" xr:uid="{00000000-0005-0000-0000-0000B22D0000}"/>
    <cellStyle name="Normal 21 45 2" xfId="18985" xr:uid="{00000000-0005-0000-0000-0000B32D0000}"/>
    <cellStyle name="Normal 21 46" xfId="6906" xr:uid="{00000000-0005-0000-0000-0000B42D0000}"/>
    <cellStyle name="Normal 21 46 2" xfId="18986" xr:uid="{00000000-0005-0000-0000-0000B52D0000}"/>
    <cellStyle name="Normal 21 47" xfId="6907" xr:uid="{00000000-0005-0000-0000-0000B62D0000}"/>
    <cellStyle name="Normal 21 47 2" xfId="18987" xr:uid="{00000000-0005-0000-0000-0000B72D0000}"/>
    <cellStyle name="Normal 21 48" xfId="6908" xr:uid="{00000000-0005-0000-0000-0000B82D0000}"/>
    <cellStyle name="Normal 21 48 2" xfId="18988" xr:uid="{00000000-0005-0000-0000-0000B92D0000}"/>
    <cellStyle name="Normal 21 49" xfId="6909" xr:uid="{00000000-0005-0000-0000-0000BA2D0000}"/>
    <cellStyle name="Normal 21 49 2" xfId="18989" xr:uid="{00000000-0005-0000-0000-0000BB2D0000}"/>
    <cellStyle name="Normal 21 5" xfId="6910" xr:uid="{00000000-0005-0000-0000-0000BC2D0000}"/>
    <cellStyle name="Normal 21 5 2" xfId="18990" xr:uid="{00000000-0005-0000-0000-0000BD2D0000}"/>
    <cellStyle name="Normal 21 50" xfId="6911" xr:uid="{00000000-0005-0000-0000-0000BE2D0000}"/>
    <cellStyle name="Normal 21 50 2" xfId="18991" xr:uid="{00000000-0005-0000-0000-0000BF2D0000}"/>
    <cellStyle name="Normal 21 51" xfId="6912" xr:uid="{00000000-0005-0000-0000-0000C02D0000}"/>
    <cellStyle name="Normal 21 51 2" xfId="18992" xr:uid="{00000000-0005-0000-0000-0000C12D0000}"/>
    <cellStyle name="Normal 21 52" xfId="6913" xr:uid="{00000000-0005-0000-0000-0000C22D0000}"/>
    <cellStyle name="Normal 21 52 2" xfId="18993" xr:uid="{00000000-0005-0000-0000-0000C32D0000}"/>
    <cellStyle name="Normal 21 53" xfId="6914" xr:uid="{00000000-0005-0000-0000-0000C42D0000}"/>
    <cellStyle name="Normal 21 53 2" xfId="18994" xr:uid="{00000000-0005-0000-0000-0000C52D0000}"/>
    <cellStyle name="Normal 21 54" xfId="6915" xr:uid="{00000000-0005-0000-0000-0000C62D0000}"/>
    <cellStyle name="Normal 21 54 2" xfId="18995" xr:uid="{00000000-0005-0000-0000-0000C72D0000}"/>
    <cellStyle name="Normal 21 55" xfId="6916" xr:uid="{00000000-0005-0000-0000-0000C82D0000}"/>
    <cellStyle name="Normal 21 55 2" xfId="18996" xr:uid="{00000000-0005-0000-0000-0000C92D0000}"/>
    <cellStyle name="Normal 21 56" xfId="6917" xr:uid="{00000000-0005-0000-0000-0000CA2D0000}"/>
    <cellStyle name="Normal 21 56 2" xfId="18997" xr:uid="{00000000-0005-0000-0000-0000CB2D0000}"/>
    <cellStyle name="Normal 21 57" xfId="6918" xr:uid="{00000000-0005-0000-0000-0000CC2D0000}"/>
    <cellStyle name="Normal 21 57 2" xfId="18998" xr:uid="{00000000-0005-0000-0000-0000CD2D0000}"/>
    <cellStyle name="Normal 21 58" xfId="6919" xr:uid="{00000000-0005-0000-0000-0000CE2D0000}"/>
    <cellStyle name="Normal 21 58 2" xfId="18999" xr:uid="{00000000-0005-0000-0000-0000CF2D0000}"/>
    <cellStyle name="Normal 21 59" xfId="6920" xr:uid="{00000000-0005-0000-0000-0000D02D0000}"/>
    <cellStyle name="Normal 21 59 2" xfId="19000" xr:uid="{00000000-0005-0000-0000-0000D12D0000}"/>
    <cellStyle name="Normal 21 6" xfId="6921" xr:uid="{00000000-0005-0000-0000-0000D22D0000}"/>
    <cellStyle name="Normal 21 6 2" xfId="19001" xr:uid="{00000000-0005-0000-0000-0000D32D0000}"/>
    <cellStyle name="Normal 21 60" xfId="6922" xr:uid="{00000000-0005-0000-0000-0000D42D0000}"/>
    <cellStyle name="Normal 21 60 2" xfId="19002" xr:uid="{00000000-0005-0000-0000-0000D52D0000}"/>
    <cellStyle name="Normal 21 61" xfId="6923" xr:uid="{00000000-0005-0000-0000-0000D62D0000}"/>
    <cellStyle name="Normal 21 61 2" xfId="19003" xr:uid="{00000000-0005-0000-0000-0000D72D0000}"/>
    <cellStyle name="Normal 21 62" xfId="6924" xr:uid="{00000000-0005-0000-0000-0000D82D0000}"/>
    <cellStyle name="Normal 21 62 2" xfId="19004" xr:uid="{00000000-0005-0000-0000-0000D92D0000}"/>
    <cellStyle name="Normal 21 63" xfId="6925" xr:uid="{00000000-0005-0000-0000-0000DA2D0000}"/>
    <cellStyle name="Normal 21 63 2" xfId="19005" xr:uid="{00000000-0005-0000-0000-0000DB2D0000}"/>
    <cellStyle name="Normal 21 64" xfId="6926" xr:uid="{00000000-0005-0000-0000-0000DC2D0000}"/>
    <cellStyle name="Normal 21 64 2" xfId="19006" xr:uid="{00000000-0005-0000-0000-0000DD2D0000}"/>
    <cellStyle name="Normal 21 65" xfId="6927" xr:uid="{00000000-0005-0000-0000-0000DE2D0000}"/>
    <cellStyle name="Normal 21 65 2" xfId="19007" xr:uid="{00000000-0005-0000-0000-0000DF2D0000}"/>
    <cellStyle name="Normal 21 66" xfId="6928" xr:uid="{00000000-0005-0000-0000-0000E02D0000}"/>
    <cellStyle name="Normal 21 66 2" xfId="19008" xr:uid="{00000000-0005-0000-0000-0000E12D0000}"/>
    <cellStyle name="Normal 21 67" xfId="6929" xr:uid="{00000000-0005-0000-0000-0000E22D0000}"/>
    <cellStyle name="Normal 21 67 2" xfId="19009" xr:uid="{00000000-0005-0000-0000-0000E32D0000}"/>
    <cellStyle name="Normal 21 68" xfId="6930" xr:uid="{00000000-0005-0000-0000-0000E42D0000}"/>
    <cellStyle name="Normal 21 68 2" xfId="19010" xr:uid="{00000000-0005-0000-0000-0000E52D0000}"/>
    <cellStyle name="Normal 21 69" xfId="6931" xr:uid="{00000000-0005-0000-0000-0000E62D0000}"/>
    <cellStyle name="Normal 21 69 2" xfId="19011" xr:uid="{00000000-0005-0000-0000-0000E72D0000}"/>
    <cellStyle name="Normal 21 7" xfId="6932" xr:uid="{00000000-0005-0000-0000-0000E82D0000}"/>
    <cellStyle name="Normal 21 7 2" xfId="19012" xr:uid="{00000000-0005-0000-0000-0000E92D0000}"/>
    <cellStyle name="Normal 21 70" xfId="6933" xr:uid="{00000000-0005-0000-0000-0000EA2D0000}"/>
    <cellStyle name="Normal 21 70 2" xfId="19013" xr:uid="{00000000-0005-0000-0000-0000EB2D0000}"/>
    <cellStyle name="Normal 21 71" xfId="6934" xr:uid="{00000000-0005-0000-0000-0000EC2D0000}"/>
    <cellStyle name="Normal 21 71 2" xfId="19014" xr:uid="{00000000-0005-0000-0000-0000ED2D0000}"/>
    <cellStyle name="Normal 21 72" xfId="6935" xr:uid="{00000000-0005-0000-0000-0000EE2D0000}"/>
    <cellStyle name="Normal 21 72 2" xfId="19015" xr:uid="{00000000-0005-0000-0000-0000EF2D0000}"/>
    <cellStyle name="Normal 21 73" xfId="6936" xr:uid="{00000000-0005-0000-0000-0000F02D0000}"/>
    <cellStyle name="Normal 21 73 2" xfId="19016" xr:uid="{00000000-0005-0000-0000-0000F12D0000}"/>
    <cellStyle name="Normal 21 74" xfId="6937" xr:uid="{00000000-0005-0000-0000-0000F22D0000}"/>
    <cellStyle name="Normal 21 74 2" xfId="19017" xr:uid="{00000000-0005-0000-0000-0000F32D0000}"/>
    <cellStyle name="Normal 21 75" xfId="6938" xr:uid="{00000000-0005-0000-0000-0000F42D0000}"/>
    <cellStyle name="Normal 21 75 2" xfId="19018" xr:uid="{00000000-0005-0000-0000-0000F52D0000}"/>
    <cellStyle name="Normal 21 76" xfId="6939" xr:uid="{00000000-0005-0000-0000-0000F62D0000}"/>
    <cellStyle name="Normal 21 76 2" xfId="19019" xr:uid="{00000000-0005-0000-0000-0000F72D0000}"/>
    <cellStyle name="Normal 21 77" xfId="6940" xr:uid="{00000000-0005-0000-0000-0000F82D0000}"/>
    <cellStyle name="Normal 21 77 2" xfId="19020" xr:uid="{00000000-0005-0000-0000-0000F92D0000}"/>
    <cellStyle name="Normal 21 78" xfId="6941" xr:uid="{00000000-0005-0000-0000-0000FA2D0000}"/>
    <cellStyle name="Normal 21 78 2" xfId="19021" xr:uid="{00000000-0005-0000-0000-0000FB2D0000}"/>
    <cellStyle name="Normal 21 79" xfId="6942" xr:uid="{00000000-0005-0000-0000-0000FC2D0000}"/>
    <cellStyle name="Normal 21 79 2" xfId="19022" xr:uid="{00000000-0005-0000-0000-0000FD2D0000}"/>
    <cellStyle name="Normal 21 8" xfId="6943" xr:uid="{00000000-0005-0000-0000-0000FE2D0000}"/>
    <cellStyle name="Normal 21 8 2" xfId="19023" xr:uid="{00000000-0005-0000-0000-0000FF2D0000}"/>
    <cellStyle name="Normal 21 80" xfId="6944" xr:uid="{00000000-0005-0000-0000-0000002E0000}"/>
    <cellStyle name="Normal 21 80 2" xfId="19024" xr:uid="{00000000-0005-0000-0000-0000012E0000}"/>
    <cellStyle name="Normal 21 81" xfId="6945" xr:uid="{00000000-0005-0000-0000-0000022E0000}"/>
    <cellStyle name="Normal 21 81 2" xfId="19025" xr:uid="{00000000-0005-0000-0000-0000032E0000}"/>
    <cellStyle name="Normal 21 82" xfId="6946" xr:uid="{00000000-0005-0000-0000-0000042E0000}"/>
    <cellStyle name="Normal 21 82 2" xfId="19026" xr:uid="{00000000-0005-0000-0000-0000052E0000}"/>
    <cellStyle name="Normal 21 83" xfId="18712" xr:uid="{00000000-0005-0000-0000-0000062E0000}"/>
    <cellStyle name="Normal 21 9" xfId="6947" xr:uid="{00000000-0005-0000-0000-0000072E0000}"/>
    <cellStyle name="Normal 21 9 2" xfId="19027" xr:uid="{00000000-0005-0000-0000-0000082E0000}"/>
    <cellStyle name="Normal 210" xfId="551" xr:uid="{00000000-0005-0000-0000-0000092E0000}"/>
    <cellStyle name="Normal 210 2" xfId="648" xr:uid="{00000000-0005-0000-0000-00000A2E0000}"/>
    <cellStyle name="Normal 210 3" xfId="1067" xr:uid="{00000000-0005-0000-0000-00000B2E0000}"/>
    <cellStyle name="Normal 210 4" xfId="925" xr:uid="{00000000-0005-0000-0000-00000C2E0000}"/>
    <cellStyle name="Normal 210 5" xfId="852" xr:uid="{00000000-0005-0000-0000-00000D2E0000}"/>
    <cellStyle name="Normal 210 6" xfId="1295" xr:uid="{00000000-0005-0000-0000-00000E2E0000}"/>
    <cellStyle name="Normal 210 7" xfId="1361" xr:uid="{00000000-0005-0000-0000-00000F2E0000}"/>
    <cellStyle name="Normal 210 8" xfId="1422" xr:uid="{00000000-0005-0000-0000-0000102E0000}"/>
    <cellStyle name="Normal 210 9" xfId="1460" xr:uid="{00000000-0005-0000-0000-0000112E0000}"/>
    <cellStyle name="Normal 211" xfId="552" xr:uid="{00000000-0005-0000-0000-0000122E0000}"/>
    <cellStyle name="Normal 211 2" xfId="649" xr:uid="{00000000-0005-0000-0000-0000132E0000}"/>
    <cellStyle name="Normal 211 3" xfId="1068" xr:uid="{00000000-0005-0000-0000-0000142E0000}"/>
    <cellStyle name="Normal 211 4" xfId="924" xr:uid="{00000000-0005-0000-0000-0000152E0000}"/>
    <cellStyle name="Normal 211 5" xfId="1254" xr:uid="{00000000-0005-0000-0000-0000162E0000}"/>
    <cellStyle name="Normal 211 6" xfId="848" xr:uid="{00000000-0005-0000-0000-0000172E0000}"/>
    <cellStyle name="Normal 211 7" xfId="963" xr:uid="{00000000-0005-0000-0000-0000182E0000}"/>
    <cellStyle name="Normal 211 8" xfId="1318" xr:uid="{00000000-0005-0000-0000-0000192E0000}"/>
    <cellStyle name="Normal 211 9" xfId="1383" xr:uid="{00000000-0005-0000-0000-00001A2E0000}"/>
    <cellStyle name="Normal 212" xfId="553" xr:uid="{00000000-0005-0000-0000-00001B2E0000}"/>
    <cellStyle name="Normal 212 2" xfId="650" xr:uid="{00000000-0005-0000-0000-00001C2E0000}"/>
    <cellStyle name="Normal 212 3" xfId="1069" xr:uid="{00000000-0005-0000-0000-00001D2E0000}"/>
    <cellStyle name="Normal 212 4" xfId="923" xr:uid="{00000000-0005-0000-0000-00001E2E0000}"/>
    <cellStyle name="Normal 212 5" xfId="1255" xr:uid="{00000000-0005-0000-0000-00001F2E0000}"/>
    <cellStyle name="Normal 212 6" xfId="845" xr:uid="{00000000-0005-0000-0000-0000202E0000}"/>
    <cellStyle name="Normal 212 7" xfId="964" xr:uid="{00000000-0005-0000-0000-0000212E0000}"/>
    <cellStyle name="Normal 212 8" xfId="874" xr:uid="{00000000-0005-0000-0000-0000222E0000}"/>
    <cellStyle name="Normal 212 9" xfId="1285" xr:uid="{00000000-0005-0000-0000-0000232E0000}"/>
    <cellStyle name="Normal 213" xfId="554" xr:uid="{00000000-0005-0000-0000-0000242E0000}"/>
    <cellStyle name="Normal 213 2" xfId="651" xr:uid="{00000000-0005-0000-0000-0000252E0000}"/>
    <cellStyle name="Normal 213 3" xfId="1070" xr:uid="{00000000-0005-0000-0000-0000262E0000}"/>
    <cellStyle name="Normal 213 4" xfId="922" xr:uid="{00000000-0005-0000-0000-0000272E0000}"/>
    <cellStyle name="Normal 213 5" xfId="1256" xr:uid="{00000000-0005-0000-0000-0000282E0000}"/>
    <cellStyle name="Normal 213 6" xfId="841" xr:uid="{00000000-0005-0000-0000-0000292E0000}"/>
    <cellStyle name="Normal 213 7" xfId="966" xr:uid="{00000000-0005-0000-0000-00002A2E0000}"/>
    <cellStyle name="Normal 213 8" xfId="1317" xr:uid="{00000000-0005-0000-0000-00002B2E0000}"/>
    <cellStyle name="Normal 213 9" xfId="1382" xr:uid="{00000000-0005-0000-0000-00002C2E0000}"/>
    <cellStyle name="Normal 214" xfId="555" xr:uid="{00000000-0005-0000-0000-00002D2E0000}"/>
    <cellStyle name="Normal 214 2" xfId="652" xr:uid="{00000000-0005-0000-0000-00002E2E0000}"/>
    <cellStyle name="Normal 214 3" xfId="1071" xr:uid="{00000000-0005-0000-0000-00002F2E0000}"/>
    <cellStyle name="Normal 214 4" xfId="921" xr:uid="{00000000-0005-0000-0000-0000302E0000}"/>
    <cellStyle name="Normal 214 5" xfId="1257" xr:uid="{00000000-0005-0000-0000-0000312E0000}"/>
    <cellStyle name="Normal 214 6" xfId="837" xr:uid="{00000000-0005-0000-0000-0000322E0000}"/>
    <cellStyle name="Normal 214 7" xfId="854" xr:uid="{00000000-0005-0000-0000-0000332E0000}"/>
    <cellStyle name="Normal 214 8" xfId="1294" xr:uid="{00000000-0005-0000-0000-0000342E0000}"/>
    <cellStyle name="Normal 214 9" xfId="1360" xr:uid="{00000000-0005-0000-0000-0000352E0000}"/>
    <cellStyle name="Normal 215" xfId="556" xr:uid="{00000000-0005-0000-0000-0000362E0000}"/>
    <cellStyle name="Normal 215 2" xfId="653" xr:uid="{00000000-0005-0000-0000-0000372E0000}"/>
    <cellStyle name="Normal 215 3" xfId="1072" xr:uid="{00000000-0005-0000-0000-0000382E0000}"/>
    <cellStyle name="Normal 215 4" xfId="920" xr:uid="{00000000-0005-0000-0000-0000392E0000}"/>
    <cellStyle name="Normal 215 5" xfId="1258" xr:uid="{00000000-0005-0000-0000-00003A2E0000}"/>
    <cellStyle name="Normal 215 6" xfId="833" xr:uid="{00000000-0005-0000-0000-00003B2E0000}"/>
    <cellStyle name="Normal 215 7" xfId="1305" xr:uid="{00000000-0005-0000-0000-00003C2E0000}"/>
    <cellStyle name="Normal 215 8" xfId="1370" xr:uid="{00000000-0005-0000-0000-00003D2E0000}"/>
    <cellStyle name="Normal 215 9" xfId="1428" xr:uid="{00000000-0005-0000-0000-00003E2E0000}"/>
    <cellStyle name="Normal 216" xfId="557" xr:uid="{00000000-0005-0000-0000-00003F2E0000}"/>
    <cellStyle name="Normal 216 2" xfId="654" xr:uid="{00000000-0005-0000-0000-0000402E0000}"/>
    <cellStyle name="Normal 216 3" xfId="1073" xr:uid="{00000000-0005-0000-0000-0000412E0000}"/>
    <cellStyle name="Normal 216 4" xfId="919" xr:uid="{00000000-0005-0000-0000-0000422E0000}"/>
    <cellStyle name="Normal 216 5" xfId="1259" xr:uid="{00000000-0005-0000-0000-0000432E0000}"/>
    <cellStyle name="Normal 216 6" xfId="829" xr:uid="{00000000-0005-0000-0000-0000442E0000}"/>
    <cellStyle name="Normal 216 7" xfId="1307" xr:uid="{00000000-0005-0000-0000-0000452E0000}"/>
    <cellStyle name="Normal 216 8" xfId="1372" xr:uid="{00000000-0005-0000-0000-0000462E0000}"/>
    <cellStyle name="Normal 216 9" xfId="1430" xr:uid="{00000000-0005-0000-0000-0000472E0000}"/>
    <cellStyle name="Normal 217" xfId="558" xr:uid="{00000000-0005-0000-0000-0000482E0000}"/>
    <cellStyle name="Normal 217 2" xfId="655" xr:uid="{00000000-0005-0000-0000-0000492E0000}"/>
    <cellStyle name="Normal 217 3" xfId="1074" xr:uid="{00000000-0005-0000-0000-00004A2E0000}"/>
    <cellStyle name="Normal 217 4" xfId="1204" xr:uid="{00000000-0005-0000-0000-00004B2E0000}"/>
    <cellStyle name="Normal 217 5" xfId="984" xr:uid="{00000000-0005-0000-0000-00004C2E0000}"/>
    <cellStyle name="Normal 217 6" xfId="1223" xr:uid="{00000000-0005-0000-0000-00004D2E0000}"/>
    <cellStyle name="Normal 217 7" xfId="975" xr:uid="{00000000-0005-0000-0000-00004E2E0000}"/>
    <cellStyle name="Normal 217 8" xfId="1230" xr:uid="{00000000-0005-0000-0000-00004F2E0000}"/>
    <cellStyle name="Normal 217 9" xfId="973" xr:uid="{00000000-0005-0000-0000-0000502E0000}"/>
    <cellStyle name="Normal 218" xfId="559" xr:uid="{00000000-0005-0000-0000-0000512E0000}"/>
    <cellStyle name="Normal 218 2" xfId="656" xr:uid="{00000000-0005-0000-0000-0000522E0000}"/>
    <cellStyle name="Normal 218 3" xfId="1075" xr:uid="{00000000-0005-0000-0000-0000532E0000}"/>
    <cellStyle name="Normal 218 4" xfId="1322" xr:uid="{00000000-0005-0000-0000-0000542E0000}"/>
    <cellStyle name="Normal 218 5" xfId="1387" xr:uid="{00000000-0005-0000-0000-0000552E0000}"/>
    <cellStyle name="Normal 218 6" xfId="1437" xr:uid="{00000000-0005-0000-0000-0000562E0000}"/>
    <cellStyle name="Normal 218 7" xfId="1466" xr:uid="{00000000-0005-0000-0000-0000572E0000}"/>
    <cellStyle name="Normal 218 8" xfId="1488" xr:uid="{00000000-0005-0000-0000-0000582E0000}"/>
    <cellStyle name="Normal 218 9" xfId="1497" xr:uid="{00000000-0005-0000-0000-0000592E0000}"/>
    <cellStyle name="Normal 219" xfId="560" xr:uid="{00000000-0005-0000-0000-00005A2E0000}"/>
    <cellStyle name="Normal 219 2" xfId="657" xr:uid="{00000000-0005-0000-0000-00005B2E0000}"/>
    <cellStyle name="Normal 219 3" xfId="1076" xr:uid="{00000000-0005-0000-0000-00005C2E0000}"/>
    <cellStyle name="Normal 219 4" xfId="882" xr:uid="{00000000-0005-0000-0000-00005D2E0000}"/>
    <cellStyle name="Normal 219 5" xfId="1282" xr:uid="{00000000-0005-0000-0000-00005E2E0000}"/>
    <cellStyle name="Normal 219 6" xfId="1351" xr:uid="{00000000-0005-0000-0000-00005F2E0000}"/>
    <cellStyle name="Normal 219 7" xfId="1414" xr:uid="{00000000-0005-0000-0000-0000602E0000}"/>
    <cellStyle name="Normal 219 8" xfId="1453" xr:uid="{00000000-0005-0000-0000-0000612E0000}"/>
    <cellStyle name="Normal 219 9" xfId="1479" xr:uid="{00000000-0005-0000-0000-0000622E0000}"/>
    <cellStyle name="Normal 22" xfId="61" xr:uid="{00000000-0005-0000-0000-0000632E0000}"/>
    <cellStyle name="Normal 22 10" xfId="6948" xr:uid="{00000000-0005-0000-0000-0000642E0000}"/>
    <cellStyle name="Normal 22 10 2" xfId="19028" xr:uid="{00000000-0005-0000-0000-0000652E0000}"/>
    <cellStyle name="Normal 22 11" xfId="6949" xr:uid="{00000000-0005-0000-0000-0000662E0000}"/>
    <cellStyle name="Normal 22 11 2" xfId="19029" xr:uid="{00000000-0005-0000-0000-0000672E0000}"/>
    <cellStyle name="Normal 22 12" xfId="6950" xr:uid="{00000000-0005-0000-0000-0000682E0000}"/>
    <cellStyle name="Normal 22 12 2" xfId="19030" xr:uid="{00000000-0005-0000-0000-0000692E0000}"/>
    <cellStyle name="Normal 22 13" xfId="6951" xr:uid="{00000000-0005-0000-0000-00006A2E0000}"/>
    <cellStyle name="Normal 22 13 2" xfId="19031" xr:uid="{00000000-0005-0000-0000-00006B2E0000}"/>
    <cellStyle name="Normal 22 14" xfId="6952" xr:uid="{00000000-0005-0000-0000-00006C2E0000}"/>
    <cellStyle name="Normal 22 14 2" xfId="19032" xr:uid="{00000000-0005-0000-0000-00006D2E0000}"/>
    <cellStyle name="Normal 22 15" xfId="6953" xr:uid="{00000000-0005-0000-0000-00006E2E0000}"/>
    <cellStyle name="Normal 22 15 2" xfId="19033" xr:uid="{00000000-0005-0000-0000-00006F2E0000}"/>
    <cellStyle name="Normal 22 16" xfId="6954" xr:uid="{00000000-0005-0000-0000-0000702E0000}"/>
    <cellStyle name="Normal 22 16 2" xfId="19034" xr:uid="{00000000-0005-0000-0000-0000712E0000}"/>
    <cellStyle name="Normal 22 17" xfId="6955" xr:uid="{00000000-0005-0000-0000-0000722E0000}"/>
    <cellStyle name="Normal 22 17 2" xfId="19035" xr:uid="{00000000-0005-0000-0000-0000732E0000}"/>
    <cellStyle name="Normal 22 18" xfId="6956" xr:uid="{00000000-0005-0000-0000-0000742E0000}"/>
    <cellStyle name="Normal 22 18 2" xfId="19036" xr:uid="{00000000-0005-0000-0000-0000752E0000}"/>
    <cellStyle name="Normal 22 19" xfId="6957" xr:uid="{00000000-0005-0000-0000-0000762E0000}"/>
    <cellStyle name="Normal 22 19 2" xfId="19037" xr:uid="{00000000-0005-0000-0000-0000772E0000}"/>
    <cellStyle name="Normal 22 2" xfId="711" xr:uid="{00000000-0005-0000-0000-0000782E0000}"/>
    <cellStyle name="Normal 22 2 10" xfId="6959" xr:uid="{00000000-0005-0000-0000-0000792E0000}"/>
    <cellStyle name="Normal 22 2 10 2" xfId="19039" xr:uid="{00000000-0005-0000-0000-00007A2E0000}"/>
    <cellStyle name="Normal 22 2 11" xfId="6960" xr:uid="{00000000-0005-0000-0000-00007B2E0000}"/>
    <cellStyle name="Normal 22 2 11 2" xfId="19040" xr:uid="{00000000-0005-0000-0000-00007C2E0000}"/>
    <cellStyle name="Normal 22 2 12" xfId="6961" xr:uid="{00000000-0005-0000-0000-00007D2E0000}"/>
    <cellStyle name="Normal 22 2 12 2" xfId="19041" xr:uid="{00000000-0005-0000-0000-00007E2E0000}"/>
    <cellStyle name="Normal 22 2 13" xfId="6962" xr:uid="{00000000-0005-0000-0000-00007F2E0000}"/>
    <cellStyle name="Normal 22 2 13 2" xfId="19042" xr:uid="{00000000-0005-0000-0000-0000802E0000}"/>
    <cellStyle name="Normal 22 2 14" xfId="6963" xr:uid="{00000000-0005-0000-0000-0000812E0000}"/>
    <cellStyle name="Normal 22 2 14 2" xfId="19043" xr:uid="{00000000-0005-0000-0000-0000822E0000}"/>
    <cellStyle name="Normal 22 2 15" xfId="6964" xr:uid="{00000000-0005-0000-0000-0000832E0000}"/>
    <cellStyle name="Normal 22 2 15 2" xfId="19044" xr:uid="{00000000-0005-0000-0000-0000842E0000}"/>
    <cellStyle name="Normal 22 2 16" xfId="6965" xr:uid="{00000000-0005-0000-0000-0000852E0000}"/>
    <cellStyle name="Normal 22 2 16 2" xfId="19045" xr:uid="{00000000-0005-0000-0000-0000862E0000}"/>
    <cellStyle name="Normal 22 2 17" xfId="6966" xr:uid="{00000000-0005-0000-0000-0000872E0000}"/>
    <cellStyle name="Normal 22 2 17 2" xfId="19046" xr:uid="{00000000-0005-0000-0000-0000882E0000}"/>
    <cellStyle name="Normal 22 2 18" xfId="6967" xr:uid="{00000000-0005-0000-0000-0000892E0000}"/>
    <cellStyle name="Normal 22 2 18 2" xfId="19047" xr:uid="{00000000-0005-0000-0000-00008A2E0000}"/>
    <cellStyle name="Normal 22 2 19" xfId="6968" xr:uid="{00000000-0005-0000-0000-00008B2E0000}"/>
    <cellStyle name="Normal 22 2 19 2" xfId="19048" xr:uid="{00000000-0005-0000-0000-00008C2E0000}"/>
    <cellStyle name="Normal 22 2 2" xfId="6969" xr:uid="{00000000-0005-0000-0000-00008D2E0000}"/>
    <cellStyle name="Normal 22 2 2 2" xfId="19049" xr:uid="{00000000-0005-0000-0000-00008E2E0000}"/>
    <cellStyle name="Normal 22 2 20" xfId="6970" xr:uid="{00000000-0005-0000-0000-00008F2E0000}"/>
    <cellStyle name="Normal 22 2 20 2" xfId="19050" xr:uid="{00000000-0005-0000-0000-0000902E0000}"/>
    <cellStyle name="Normal 22 2 21" xfId="6971" xr:uid="{00000000-0005-0000-0000-0000912E0000}"/>
    <cellStyle name="Normal 22 2 21 2" xfId="19051" xr:uid="{00000000-0005-0000-0000-0000922E0000}"/>
    <cellStyle name="Normal 22 2 22" xfId="6972" xr:uid="{00000000-0005-0000-0000-0000932E0000}"/>
    <cellStyle name="Normal 22 2 22 2" xfId="19052" xr:uid="{00000000-0005-0000-0000-0000942E0000}"/>
    <cellStyle name="Normal 22 2 23" xfId="6973" xr:uid="{00000000-0005-0000-0000-0000952E0000}"/>
    <cellStyle name="Normal 22 2 23 2" xfId="19053" xr:uid="{00000000-0005-0000-0000-0000962E0000}"/>
    <cellStyle name="Normal 22 2 24" xfId="6974" xr:uid="{00000000-0005-0000-0000-0000972E0000}"/>
    <cellStyle name="Normal 22 2 24 2" xfId="19054" xr:uid="{00000000-0005-0000-0000-0000982E0000}"/>
    <cellStyle name="Normal 22 2 25" xfId="6975" xr:uid="{00000000-0005-0000-0000-0000992E0000}"/>
    <cellStyle name="Normal 22 2 25 2" xfId="19055" xr:uid="{00000000-0005-0000-0000-00009A2E0000}"/>
    <cellStyle name="Normal 22 2 26" xfId="6976" xr:uid="{00000000-0005-0000-0000-00009B2E0000}"/>
    <cellStyle name="Normal 22 2 26 2" xfId="19056" xr:uid="{00000000-0005-0000-0000-00009C2E0000}"/>
    <cellStyle name="Normal 22 2 27" xfId="6977" xr:uid="{00000000-0005-0000-0000-00009D2E0000}"/>
    <cellStyle name="Normal 22 2 27 2" xfId="19057" xr:uid="{00000000-0005-0000-0000-00009E2E0000}"/>
    <cellStyle name="Normal 22 2 28" xfId="6978" xr:uid="{00000000-0005-0000-0000-00009F2E0000}"/>
    <cellStyle name="Normal 22 2 28 2" xfId="19058" xr:uid="{00000000-0005-0000-0000-0000A02E0000}"/>
    <cellStyle name="Normal 22 2 29" xfId="6979" xr:uid="{00000000-0005-0000-0000-0000A12E0000}"/>
    <cellStyle name="Normal 22 2 29 2" xfId="19059" xr:uid="{00000000-0005-0000-0000-0000A22E0000}"/>
    <cellStyle name="Normal 22 2 3" xfId="6980" xr:uid="{00000000-0005-0000-0000-0000A32E0000}"/>
    <cellStyle name="Normal 22 2 3 2" xfId="19060" xr:uid="{00000000-0005-0000-0000-0000A42E0000}"/>
    <cellStyle name="Normal 22 2 30" xfId="6981" xr:uid="{00000000-0005-0000-0000-0000A52E0000}"/>
    <cellStyle name="Normal 22 2 30 2" xfId="19061" xr:uid="{00000000-0005-0000-0000-0000A62E0000}"/>
    <cellStyle name="Normal 22 2 31" xfId="6982" xr:uid="{00000000-0005-0000-0000-0000A72E0000}"/>
    <cellStyle name="Normal 22 2 31 2" xfId="19062" xr:uid="{00000000-0005-0000-0000-0000A82E0000}"/>
    <cellStyle name="Normal 22 2 32" xfId="6983" xr:uid="{00000000-0005-0000-0000-0000A92E0000}"/>
    <cellStyle name="Normal 22 2 32 2" xfId="19063" xr:uid="{00000000-0005-0000-0000-0000AA2E0000}"/>
    <cellStyle name="Normal 22 2 33" xfId="6984" xr:uid="{00000000-0005-0000-0000-0000AB2E0000}"/>
    <cellStyle name="Normal 22 2 33 2" xfId="19064" xr:uid="{00000000-0005-0000-0000-0000AC2E0000}"/>
    <cellStyle name="Normal 22 2 34" xfId="6985" xr:uid="{00000000-0005-0000-0000-0000AD2E0000}"/>
    <cellStyle name="Normal 22 2 34 2" xfId="19065" xr:uid="{00000000-0005-0000-0000-0000AE2E0000}"/>
    <cellStyle name="Normal 22 2 35" xfId="6986" xr:uid="{00000000-0005-0000-0000-0000AF2E0000}"/>
    <cellStyle name="Normal 22 2 35 2" xfId="19066" xr:uid="{00000000-0005-0000-0000-0000B02E0000}"/>
    <cellStyle name="Normal 22 2 36" xfId="6987" xr:uid="{00000000-0005-0000-0000-0000B12E0000}"/>
    <cellStyle name="Normal 22 2 36 2" xfId="19067" xr:uid="{00000000-0005-0000-0000-0000B22E0000}"/>
    <cellStyle name="Normal 22 2 37" xfId="6988" xr:uid="{00000000-0005-0000-0000-0000B32E0000}"/>
    <cellStyle name="Normal 22 2 37 2" xfId="19068" xr:uid="{00000000-0005-0000-0000-0000B42E0000}"/>
    <cellStyle name="Normal 22 2 38" xfId="6989" xr:uid="{00000000-0005-0000-0000-0000B52E0000}"/>
    <cellStyle name="Normal 22 2 38 2" xfId="19069" xr:uid="{00000000-0005-0000-0000-0000B62E0000}"/>
    <cellStyle name="Normal 22 2 39" xfId="6990" xr:uid="{00000000-0005-0000-0000-0000B72E0000}"/>
    <cellStyle name="Normal 22 2 39 2" xfId="19070" xr:uid="{00000000-0005-0000-0000-0000B82E0000}"/>
    <cellStyle name="Normal 22 2 4" xfId="6991" xr:uid="{00000000-0005-0000-0000-0000B92E0000}"/>
    <cellStyle name="Normal 22 2 4 2" xfId="19071" xr:uid="{00000000-0005-0000-0000-0000BA2E0000}"/>
    <cellStyle name="Normal 22 2 40" xfId="6992" xr:uid="{00000000-0005-0000-0000-0000BB2E0000}"/>
    <cellStyle name="Normal 22 2 40 2" xfId="19072" xr:uid="{00000000-0005-0000-0000-0000BC2E0000}"/>
    <cellStyle name="Normal 22 2 41" xfId="6993" xr:uid="{00000000-0005-0000-0000-0000BD2E0000}"/>
    <cellStyle name="Normal 22 2 41 2" xfId="19073" xr:uid="{00000000-0005-0000-0000-0000BE2E0000}"/>
    <cellStyle name="Normal 22 2 42" xfId="6994" xr:uid="{00000000-0005-0000-0000-0000BF2E0000}"/>
    <cellStyle name="Normal 22 2 42 2" xfId="19074" xr:uid="{00000000-0005-0000-0000-0000C02E0000}"/>
    <cellStyle name="Normal 22 2 43" xfId="6995" xr:uid="{00000000-0005-0000-0000-0000C12E0000}"/>
    <cellStyle name="Normal 22 2 43 2" xfId="19075" xr:uid="{00000000-0005-0000-0000-0000C22E0000}"/>
    <cellStyle name="Normal 22 2 44" xfId="6996" xr:uid="{00000000-0005-0000-0000-0000C32E0000}"/>
    <cellStyle name="Normal 22 2 44 2" xfId="19076" xr:uid="{00000000-0005-0000-0000-0000C42E0000}"/>
    <cellStyle name="Normal 22 2 45" xfId="6997" xr:uid="{00000000-0005-0000-0000-0000C52E0000}"/>
    <cellStyle name="Normal 22 2 45 2" xfId="19077" xr:uid="{00000000-0005-0000-0000-0000C62E0000}"/>
    <cellStyle name="Normal 22 2 46" xfId="6998" xr:uid="{00000000-0005-0000-0000-0000C72E0000}"/>
    <cellStyle name="Normal 22 2 46 2" xfId="19078" xr:uid="{00000000-0005-0000-0000-0000C82E0000}"/>
    <cellStyle name="Normal 22 2 47" xfId="6999" xr:uid="{00000000-0005-0000-0000-0000C92E0000}"/>
    <cellStyle name="Normal 22 2 47 2" xfId="19079" xr:uid="{00000000-0005-0000-0000-0000CA2E0000}"/>
    <cellStyle name="Normal 22 2 48" xfId="7000" xr:uid="{00000000-0005-0000-0000-0000CB2E0000}"/>
    <cellStyle name="Normal 22 2 48 2" xfId="19080" xr:uid="{00000000-0005-0000-0000-0000CC2E0000}"/>
    <cellStyle name="Normal 22 2 49" xfId="7001" xr:uid="{00000000-0005-0000-0000-0000CD2E0000}"/>
    <cellStyle name="Normal 22 2 49 2" xfId="19081" xr:uid="{00000000-0005-0000-0000-0000CE2E0000}"/>
    <cellStyle name="Normal 22 2 5" xfId="7002" xr:uid="{00000000-0005-0000-0000-0000CF2E0000}"/>
    <cellStyle name="Normal 22 2 5 2" xfId="19082" xr:uid="{00000000-0005-0000-0000-0000D02E0000}"/>
    <cellStyle name="Normal 22 2 50" xfId="7003" xr:uid="{00000000-0005-0000-0000-0000D12E0000}"/>
    <cellStyle name="Normal 22 2 50 2" xfId="19083" xr:uid="{00000000-0005-0000-0000-0000D22E0000}"/>
    <cellStyle name="Normal 22 2 51" xfId="7004" xr:uid="{00000000-0005-0000-0000-0000D32E0000}"/>
    <cellStyle name="Normal 22 2 51 2" xfId="19084" xr:uid="{00000000-0005-0000-0000-0000D42E0000}"/>
    <cellStyle name="Normal 22 2 52" xfId="7005" xr:uid="{00000000-0005-0000-0000-0000D52E0000}"/>
    <cellStyle name="Normal 22 2 52 2" xfId="19085" xr:uid="{00000000-0005-0000-0000-0000D62E0000}"/>
    <cellStyle name="Normal 22 2 53" xfId="7006" xr:uid="{00000000-0005-0000-0000-0000D72E0000}"/>
    <cellStyle name="Normal 22 2 53 2" xfId="19086" xr:uid="{00000000-0005-0000-0000-0000D82E0000}"/>
    <cellStyle name="Normal 22 2 54" xfId="7007" xr:uid="{00000000-0005-0000-0000-0000D92E0000}"/>
    <cellStyle name="Normal 22 2 54 2" xfId="19087" xr:uid="{00000000-0005-0000-0000-0000DA2E0000}"/>
    <cellStyle name="Normal 22 2 55" xfId="7008" xr:uid="{00000000-0005-0000-0000-0000DB2E0000}"/>
    <cellStyle name="Normal 22 2 55 2" xfId="19088" xr:uid="{00000000-0005-0000-0000-0000DC2E0000}"/>
    <cellStyle name="Normal 22 2 56" xfId="7009" xr:uid="{00000000-0005-0000-0000-0000DD2E0000}"/>
    <cellStyle name="Normal 22 2 56 2" xfId="19089" xr:uid="{00000000-0005-0000-0000-0000DE2E0000}"/>
    <cellStyle name="Normal 22 2 57" xfId="7010" xr:uid="{00000000-0005-0000-0000-0000DF2E0000}"/>
    <cellStyle name="Normal 22 2 57 2" xfId="19090" xr:uid="{00000000-0005-0000-0000-0000E02E0000}"/>
    <cellStyle name="Normal 22 2 58" xfId="7011" xr:uid="{00000000-0005-0000-0000-0000E12E0000}"/>
    <cellStyle name="Normal 22 2 58 2" xfId="19091" xr:uid="{00000000-0005-0000-0000-0000E22E0000}"/>
    <cellStyle name="Normal 22 2 59" xfId="7012" xr:uid="{00000000-0005-0000-0000-0000E32E0000}"/>
    <cellStyle name="Normal 22 2 59 2" xfId="19092" xr:uid="{00000000-0005-0000-0000-0000E42E0000}"/>
    <cellStyle name="Normal 22 2 6" xfId="7013" xr:uid="{00000000-0005-0000-0000-0000E52E0000}"/>
    <cellStyle name="Normal 22 2 6 2" xfId="19093" xr:uid="{00000000-0005-0000-0000-0000E62E0000}"/>
    <cellStyle name="Normal 22 2 60" xfId="7014" xr:uid="{00000000-0005-0000-0000-0000E72E0000}"/>
    <cellStyle name="Normal 22 2 60 2" xfId="19094" xr:uid="{00000000-0005-0000-0000-0000E82E0000}"/>
    <cellStyle name="Normal 22 2 61" xfId="7015" xr:uid="{00000000-0005-0000-0000-0000E92E0000}"/>
    <cellStyle name="Normal 22 2 61 2" xfId="19095" xr:uid="{00000000-0005-0000-0000-0000EA2E0000}"/>
    <cellStyle name="Normal 22 2 62" xfId="7016" xr:uid="{00000000-0005-0000-0000-0000EB2E0000}"/>
    <cellStyle name="Normal 22 2 62 2" xfId="19096" xr:uid="{00000000-0005-0000-0000-0000EC2E0000}"/>
    <cellStyle name="Normal 22 2 63" xfId="7017" xr:uid="{00000000-0005-0000-0000-0000ED2E0000}"/>
    <cellStyle name="Normal 22 2 63 2" xfId="19097" xr:uid="{00000000-0005-0000-0000-0000EE2E0000}"/>
    <cellStyle name="Normal 22 2 64" xfId="7018" xr:uid="{00000000-0005-0000-0000-0000EF2E0000}"/>
    <cellStyle name="Normal 22 2 64 2" xfId="19098" xr:uid="{00000000-0005-0000-0000-0000F02E0000}"/>
    <cellStyle name="Normal 22 2 65" xfId="7019" xr:uid="{00000000-0005-0000-0000-0000F12E0000}"/>
    <cellStyle name="Normal 22 2 65 2" xfId="19099" xr:uid="{00000000-0005-0000-0000-0000F22E0000}"/>
    <cellStyle name="Normal 22 2 66" xfId="7020" xr:uid="{00000000-0005-0000-0000-0000F32E0000}"/>
    <cellStyle name="Normal 22 2 66 2" xfId="19100" xr:uid="{00000000-0005-0000-0000-0000F42E0000}"/>
    <cellStyle name="Normal 22 2 67" xfId="7021" xr:uid="{00000000-0005-0000-0000-0000F52E0000}"/>
    <cellStyle name="Normal 22 2 67 2" xfId="19101" xr:uid="{00000000-0005-0000-0000-0000F62E0000}"/>
    <cellStyle name="Normal 22 2 68" xfId="7022" xr:uid="{00000000-0005-0000-0000-0000F72E0000}"/>
    <cellStyle name="Normal 22 2 68 2" xfId="19102" xr:uid="{00000000-0005-0000-0000-0000F82E0000}"/>
    <cellStyle name="Normal 22 2 69" xfId="7023" xr:uid="{00000000-0005-0000-0000-0000F92E0000}"/>
    <cellStyle name="Normal 22 2 69 2" xfId="19103" xr:uid="{00000000-0005-0000-0000-0000FA2E0000}"/>
    <cellStyle name="Normal 22 2 7" xfId="7024" xr:uid="{00000000-0005-0000-0000-0000FB2E0000}"/>
    <cellStyle name="Normal 22 2 7 2" xfId="19104" xr:uid="{00000000-0005-0000-0000-0000FC2E0000}"/>
    <cellStyle name="Normal 22 2 70" xfId="7025" xr:uid="{00000000-0005-0000-0000-0000FD2E0000}"/>
    <cellStyle name="Normal 22 2 70 2" xfId="19105" xr:uid="{00000000-0005-0000-0000-0000FE2E0000}"/>
    <cellStyle name="Normal 22 2 71" xfId="7026" xr:uid="{00000000-0005-0000-0000-0000FF2E0000}"/>
    <cellStyle name="Normal 22 2 71 2" xfId="19106" xr:uid="{00000000-0005-0000-0000-0000002F0000}"/>
    <cellStyle name="Normal 22 2 72" xfId="7027" xr:uid="{00000000-0005-0000-0000-0000012F0000}"/>
    <cellStyle name="Normal 22 2 72 2" xfId="19107" xr:uid="{00000000-0005-0000-0000-0000022F0000}"/>
    <cellStyle name="Normal 22 2 73" xfId="7028" xr:uid="{00000000-0005-0000-0000-0000032F0000}"/>
    <cellStyle name="Normal 22 2 73 2" xfId="19108" xr:uid="{00000000-0005-0000-0000-0000042F0000}"/>
    <cellStyle name="Normal 22 2 74" xfId="7029" xr:uid="{00000000-0005-0000-0000-0000052F0000}"/>
    <cellStyle name="Normal 22 2 74 2" xfId="19109" xr:uid="{00000000-0005-0000-0000-0000062F0000}"/>
    <cellStyle name="Normal 22 2 75" xfId="7030" xr:uid="{00000000-0005-0000-0000-0000072F0000}"/>
    <cellStyle name="Normal 22 2 75 2" xfId="19110" xr:uid="{00000000-0005-0000-0000-0000082F0000}"/>
    <cellStyle name="Normal 22 2 76" xfId="7031" xr:uid="{00000000-0005-0000-0000-0000092F0000}"/>
    <cellStyle name="Normal 22 2 76 2" xfId="19111" xr:uid="{00000000-0005-0000-0000-00000A2F0000}"/>
    <cellStyle name="Normal 22 2 77" xfId="7032" xr:uid="{00000000-0005-0000-0000-00000B2F0000}"/>
    <cellStyle name="Normal 22 2 77 2" xfId="19112" xr:uid="{00000000-0005-0000-0000-00000C2F0000}"/>
    <cellStyle name="Normal 22 2 78" xfId="7033" xr:uid="{00000000-0005-0000-0000-00000D2F0000}"/>
    <cellStyle name="Normal 22 2 78 2" xfId="19113" xr:uid="{00000000-0005-0000-0000-00000E2F0000}"/>
    <cellStyle name="Normal 22 2 79" xfId="7034" xr:uid="{00000000-0005-0000-0000-00000F2F0000}"/>
    <cellStyle name="Normal 22 2 79 2" xfId="19114" xr:uid="{00000000-0005-0000-0000-0000102F0000}"/>
    <cellStyle name="Normal 22 2 8" xfId="7035" xr:uid="{00000000-0005-0000-0000-0000112F0000}"/>
    <cellStyle name="Normal 22 2 8 2" xfId="19115" xr:uid="{00000000-0005-0000-0000-0000122F0000}"/>
    <cellStyle name="Normal 22 2 80" xfId="19038" xr:uid="{00000000-0005-0000-0000-0000132F0000}"/>
    <cellStyle name="Normal 22 2 81" xfId="6958" xr:uid="{00000000-0005-0000-0000-0000142F0000}"/>
    <cellStyle name="Normal 22 2 9" xfId="7036" xr:uid="{00000000-0005-0000-0000-0000152F0000}"/>
    <cellStyle name="Normal 22 2 9 2" xfId="19116" xr:uid="{00000000-0005-0000-0000-0000162F0000}"/>
    <cellStyle name="Normal 22 20" xfId="7037" xr:uid="{00000000-0005-0000-0000-0000172F0000}"/>
    <cellStyle name="Normal 22 20 2" xfId="19117" xr:uid="{00000000-0005-0000-0000-0000182F0000}"/>
    <cellStyle name="Normal 22 21" xfId="7038" xr:uid="{00000000-0005-0000-0000-0000192F0000}"/>
    <cellStyle name="Normal 22 21 2" xfId="19118" xr:uid="{00000000-0005-0000-0000-00001A2F0000}"/>
    <cellStyle name="Normal 22 22" xfId="7039" xr:uid="{00000000-0005-0000-0000-00001B2F0000}"/>
    <cellStyle name="Normal 22 22 2" xfId="19119" xr:uid="{00000000-0005-0000-0000-00001C2F0000}"/>
    <cellStyle name="Normal 22 23" xfId="7040" xr:uid="{00000000-0005-0000-0000-00001D2F0000}"/>
    <cellStyle name="Normal 22 23 2" xfId="19120" xr:uid="{00000000-0005-0000-0000-00001E2F0000}"/>
    <cellStyle name="Normal 22 24" xfId="7041" xr:uid="{00000000-0005-0000-0000-00001F2F0000}"/>
    <cellStyle name="Normal 22 24 2" xfId="19121" xr:uid="{00000000-0005-0000-0000-0000202F0000}"/>
    <cellStyle name="Normal 22 25" xfId="7042" xr:uid="{00000000-0005-0000-0000-0000212F0000}"/>
    <cellStyle name="Normal 22 25 2" xfId="19122" xr:uid="{00000000-0005-0000-0000-0000222F0000}"/>
    <cellStyle name="Normal 22 26" xfId="7043" xr:uid="{00000000-0005-0000-0000-0000232F0000}"/>
    <cellStyle name="Normal 22 26 2" xfId="19123" xr:uid="{00000000-0005-0000-0000-0000242F0000}"/>
    <cellStyle name="Normal 22 27" xfId="7044" xr:uid="{00000000-0005-0000-0000-0000252F0000}"/>
    <cellStyle name="Normal 22 27 2" xfId="19124" xr:uid="{00000000-0005-0000-0000-0000262F0000}"/>
    <cellStyle name="Normal 22 28" xfId="7045" xr:uid="{00000000-0005-0000-0000-0000272F0000}"/>
    <cellStyle name="Normal 22 28 2" xfId="19125" xr:uid="{00000000-0005-0000-0000-0000282F0000}"/>
    <cellStyle name="Normal 22 29" xfId="7046" xr:uid="{00000000-0005-0000-0000-0000292F0000}"/>
    <cellStyle name="Normal 22 29 2" xfId="19126" xr:uid="{00000000-0005-0000-0000-00002A2F0000}"/>
    <cellStyle name="Normal 22 3" xfId="309" xr:uid="{00000000-0005-0000-0000-00002B2F0000}"/>
    <cellStyle name="Normal 22 3 10" xfId="7047" xr:uid="{00000000-0005-0000-0000-00002C2F0000}"/>
    <cellStyle name="Normal 22 3 10 2" xfId="19128" xr:uid="{00000000-0005-0000-0000-00002D2F0000}"/>
    <cellStyle name="Normal 22 3 11" xfId="7048" xr:uid="{00000000-0005-0000-0000-00002E2F0000}"/>
    <cellStyle name="Normal 22 3 11 2" xfId="19129" xr:uid="{00000000-0005-0000-0000-00002F2F0000}"/>
    <cellStyle name="Normal 22 3 12" xfId="7049" xr:uid="{00000000-0005-0000-0000-0000302F0000}"/>
    <cellStyle name="Normal 22 3 12 2" xfId="19130" xr:uid="{00000000-0005-0000-0000-0000312F0000}"/>
    <cellStyle name="Normal 22 3 13" xfId="7050" xr:uid="{00000000-0005-0000-0000-0000322F0000}"/>
    <cellStyle name="Normal 22 3 13 2" xfId="19131" xr:uid="{00000000-0005-0000-0000-0000332F0000}"/>
    <cellStyle name="Normal 22 3 14" xfId="7051" xr:uid="{00000000-0005-0000-0000-0000342F0000}"/>
    <cellStyle name="Normal 22 3 14 2" xfId="19132" xr:uid="{00000000-0005-0000-0000-0000352F0000}"/>
    <cellStyle name="Normal 22 3 15" xfId="7052" xr:uid="{00000000-0005-0000-0000-0000362F0000}"/>
    <cellStyle name="Normal 22 3 15 2" xfId="19133" xr:uid="{00000000-0005-0000-0000-0000372F0000}"/>
    <cellStyle name="Normal 22 3 16" xfId="7053" xr:uid="{00000000-0005-0000-0000-0000382F0000}"/>
    <cellStyle name="Normal 22 3 16 2" xfId="19134" xr:uid="{00000000-0005-0000-0000-0000392F0000}"/>
    <cellStyle name="Normal 22 3 17" xfId="7054" xr:uid="{00000000-0005-0000-0000-00003A2F0000}"/>
    <cellStyle name="Normal 22 3 17 2" xfId="19135" xr:uid="{00000000-0005-0000-0000-00003B2F0000}"/>
    <cellStyle name="Normal 22 3 18" xfId="7055" xr:uid="{00000000-0005-0000-0000-00003C2F0000}"/>
    <cellStyle name="Normal 22 3 18 2" xfId="19136" xr:uid="{00000000-0005-0000-0000-00003D2F0000}"/>
    <cellStyle name="Normal 22 3 19" xfId="7056" xr:uid="{00000000-0005-0000-0000-00003E2F0000}"/>
    <cellStyle name="Normal 22 3 19 2" xfId="19137" xr:uid="{00000000-0005-0000-0000-00003F2F0000}"/>
    <cellStyle name="Normal 22 3 2" xfId="7057" xr:uid="{00000000-0005-0000-0000-0000402F0000}"/>
    <cellStyle name="Normal 22 3 2 2" xfId="19138" xr:uid="{00000000-0005-0000-0000-0000412F0000}"/>
    <cellStyle name="Normal 22 3 20" xfId="7058" xr:uid="{00000000-0005-0000-0000-0000422F0000}"/>
    <cellStyle name="Normal 22 3 20 2" xfId="19139" xr:uid="{00000000-0005-0000-0000-0000432F0000}"/>
    <cellStyle name="Normal 22 3 21" xfId="7059" xr:uid="{00000000-0005-0000-0000-0000442F0000}"/>
    <cellStyle name="Normal 22 3 21 2" xfId="19140" xr:uid="{00000000-0005-0000-0000-0000452F0000}"/>
    <cellStyle name="Normal 22 3 22" xfId="7060" xr:uid="{00000000-0005-0000-0000-0000462F0000}"/>
    <cellStyle name="Normal 22 3 22 2" xfId="19141" xr:uid="{00000000-0005-0000-0000-0000472F0000}"/>
    <cellStyle name="Normal 22 3 23" xfId="7061" xr:uid="{00000000-0005-0000-0000-0000482F0000}"/>
    <cellStyle name="Normal 22 3 23 2" xfId="19142" xr:uid="{00000000-0005-0000-0000-0000492F0000}"/>
    <cellStyle name="Normal 22 3 24" xfId="7062" xr:uid="{00000000-0005-0000-0000-00004A2F0000}"/>
    <cellStyle name="Normal 22 3 24 2" xfId="19143" xr:uid="{00000000-0005-0000-0000-00004B2F0000}"/>
    <cellStyle name="Normal 22 3 25" xfId="7063" xr:uid="{00000000-0005-0000-0000-00004C2F0000}"/>
    <cellStyle name="Normal 22 3 25 2" xfId="19144" xr:uid="{00000000-0005-0000-0000-00004D2F0000}"/>
    <cellStyle name="Normal 22 3 26" xfId="7064" xr:uid="{00000000-0005-0000-0000-00004E2F0000}"/>
    <cellStyle name="Normal 22 3 26 2" xfId="19145" xr:uid="{00000000-0005-0000-0000-00004F2F0000}"/>
    <cellStyle name="Normal 22 3 27" xfId="7065" xr:uid="{00000000-0005-0000-0000-0000502F0000}"/>
    <cellStyle name="Normal 22 3 27 2" xfId="19146" xr:uid="{00000000-0005-0000-0000-0000512F0000}"/>
    <cellStyle name="Normal 22 3 28" xfId="7066" xr:uid="{00000000-0005-0000-0000-0000522F0000}"/>
    <cellStyle name="Normal 22 3 28 2" xfId="19147" xr:uid="{00000000-0005-0000-0000-0000532F0000}"/>
    <cellStyle name="Normal 22 3 29" xfId="7067" xr:uid="{00000000-0005-0000-0000-0000542F0000}"/>
    <cellStyle name="Normal 22 3 29 2" xfId="19148" xr:uid="{00000000-0005-0000-0000-0000552F0000}"/>
    <cellStyle name="Normal 22 3 3" xfId="7068" xr:uid="{00000000-0005-0000-0000-0000562F0000}"/>
    <cellStyle name="Normal 22 3 3 2" xfId="19149" xr:uid="{00000000-0005-0000-0000-0000572F0000}"/>
    <cellStyle name="Normal 22 3 30" xfId="7069" xr:uid="{00000000-0005-0000-0000-0000582F0000}"/>
    <cellStyle name="Normal 22 3 30 2" xfId="19150" xr:uid="{00000000-0005-0000-0000-0000592F0000}"/>
    <cellStyle name="Normal 22 3 31" xfId="7070" xr:uid="{00000000-0005-0000-0000-00005A2F0000}"/>
    <cellStyle name="Normal 22 3 31 2" xfId="19151" xr:uid="{00000000-0005-0000-0000-00005B2F0000}"/>
    <cellStyle name="Normal 22 3 32" xfId="7071" xr:uid="{00000000-0005-0000-0000-00005C2F0000}"/>
    <cellStyle name="Normal 22 3 32 2" xfId="19152" xr:uid="{00000000-0005-0000-0000-00005D2F0000}"/>
    <cellStyle name="Normal 22 3 33" xfId="7072" xr:uid="{00000000-0005-0000-0000-00005E2F0000}"/>
    <cellStyle name="Normal 22 3 33 2" xfId="19153" xr:uid="{00000000-0005-0000-0000-00005F2F0000}"/>
    <cellStyle name="Normal 22 3 34" xfId="7073" xr:uid="{00000000-0005-0000-0000-0000602F0000}"/>
    <cellStyle name="Normal 22 3 34 2" xfId="19154" xr:uid="{00000000-0005-0000-0000-0000612F0000}"/>
    <cellStyle name="Normal 22 3 35" xfId="7074" xr:uid="{00000000-0005-0000-0000-0000622F0000}"/>
    <cellStyle name="Normal 22 3 35 2" xfId="19155" xr:uid="{00000000-0005-0000-0000-0000632F0000}"/>
    <cellStyle name="Normal 22 3 36" xfId="7075" xr:uid="{00000000-0005-0000-0000-0000642F0000}"/>
    <cellStyle name="Normal 22 3 36 2" xfId="19156" xr:uid="{00000000-0005-0000-0000-0000652F0000}"/>
    <cellStyle name="Normal 22 3 37" xfId="7076" xr:uid="{00000000-0005-0000-0000-0000662F0000}"/>
    <cellStyle name="Normal 22 3 37 2" xfId="19157" xr:uid="{00000000-0005-0000-0000-0000672F0000}"/>
    <cellStyle name="Normal 22 3 38" xfId="7077" xr:uid="{00000000-0005-0000-0000-0000682F0000}"/>
    <cellStyle name="Normal 22 3 38 2" xfId="19158" xr:uid="{00000000-0005-0000-0000-0000692F0000}"/>
    <cellStyle name="Normal 22 3 39" xfId="7078" xr:uid="{00000000-0005-0000-0000-00006A2F0000}"/>
    <cellStyle name="Normal 22 3 39 2" xfId="19159" xr:uid="{00000000-0005-0000-0000-00006B2F0000}"/>
    <cellStyle name="Normal 22 3 4" xfId="7079" xr:uid="{00000000-0005-0000-0000-00006C2F0000}"/>
    <cellStyle name="Normal 22 3 4 2" xfId="19160" xr:uid="{00000000-0005-0000-0000-00006D2F0000}"/>
    <cellStyle name="Normal 22 3 40" xfId="7080" xr:uid="{00000000-0005-0000-0000-00006E2F0000}"/>
    <cellStyle name="Normal 22 3 40 2" xfId="19161" xr:uid="{00000000-0005-0000-0000-00006F2F0000}"/>
    <cellStyle name="Normal 22 3 41" xfId="7081" xr:uid="{00000000-0005-0000-0000-0000702F0000}"/>
    <cellStyle name="Normal 22 3 41 2" xfId="19162" xr:uid="{00000000-0005-0000-0000-0000712F0000}"/>
    <cellStyle name="Normal 22 3 42" xfId="7082" xr:uid="{00000000-0005-0000-0000-0000722F0000}"/>
    <cellStyle name="Normal 22 3 42 2" xfId="19163" xr:uid="{00000000-0005-0000-0000-0000732F0000}"/>
    <cellStyle name="Normal 22 3 43" xfId="7083" xr:uid="{00000000-0005-0000-0000-0000742F0000}"/>
    <cellStyle name="Normal 22 3 43 2" xfId="19164" xr:uid="{00000000-0005-0000-0000-0000752F0000}"/>
    <cellStyle name="Normal 22 3 44" xfId="7084" xr:uid="{00000000-0005-0000-0000-0000762F0000}"/>
    <cellStyle name="Normal 22 3 44 2" xfId="19165" xr:uid="{00000000-0005-0000-0000-0000772F0000}"/>
    <cellStyle name="Normal 22 3 45" xfId="7085" xr:uid="{00000000-0005-0000-0000-0000782F0000}"/>
    <cellStyle name="Normal 22 3 45 2" xfId="19166" xr:uid="{00000000-0005-0000-0000-0000792F0000}"/>
    <cellStyle name="Normal 22 3 46" xfId="7086" xr:uid="{00000000-0005-0000-0000-00007A2F0000}"/>
    <cellStyle name="Normal 22 3 46 2" xfId="19167" xr:uid="{00000000-0005-0000-0000-00007B2F0000}"/>
    <cellStyle name="Normal 22 3 47" xfId="7087" xr:uid="{00000000-0005-0000-0000-00007C2F0000}"/>
    <cellStyle name="Normal 22 3 47 2" xfId="19168" xr:uid="{00000000-0005-0000-0000-00007D2F0000}"/>
    <cellStyle name="Normal 22 3 48" xfId="7088" xr:uid="{00000000-0005-0000-0000-00007E2F0000}"/>
    <cellStyle name="Normal 22 3 48 2" xfId="19169" xr:uid="{00000000-0005-0000-0000-00007F2F0000}"/>
    <cellStyle name="Normal 22 3 49" xfId="7089" xr:uid="{00000000-0005-0000-0000-0000802F0000}"/>
    <cellStyle name="Normal 22 3 49 2" xfId="19170" xr:uid="{00000000-0005-0000-0000-0000812F0000}"/>
    <cellStyle name="Normal 22 3 5" xfId="7090" xr:uid="{00000000-0005-0000-0000-0000822F0000}"/>
    <cellStyle name="Normal 22 3 5 2" xfId="19171" xr:uid="{00000000-0005-0000-0000-0000832F0000}"/>
    <cellStyle name="Normal 22 3 50" xfId="7091" xr:uid="{00000000-0005-0000-0000-0000842F0000}"/>
    <cellStyle name="Normal 22 3 50 2" xfId="19172" xr:uid="{00000000-0005-0000-0000-0000852F0000}"/>
    <cellStyle name="Normal 22 3 51" xfId="7092" xr:uid="{00000000-0005-0000-0000-0000862F0000}"/>
    <cellStyle name="Normal 22 3 51 2" xfId="19173" xr:uid="{00000000-0005-0000-0000-0000872F0000}"/>
    <cellStyle name="Normal 22 3 52" xfId="7093" xr:uid="{00000000-0005-0000-0000-0000882F0000}"/>
    <cellStyle name="Normal 22 3 52 2" xfId="19174" xr:uid="{00000000-0005-0000-0000-0000892F0000}"/>
    <cellStyle name="Normal 22 3 53" xfId="7094" xr:uid="{00000000-0005-0000-0000-00008A2F0000}"/>
    <cellStyle name="Normal 22 3 53 2" xfId="19175" xr:uid="{00000000-0005-0000-0000-00008B2F0000}"/>
    <cellStyle name="Normal 22 3 54" xfId="7095" xr:uid="{00000000-0005-0000-0000-00008C2F0000}"/>
    <cellStyle name="Normal 22 3 54 2" xfId="19176" xr:uid="{00000000-0005-0000-0000-00008D2F0000}"/>
    <cellStyle name="Normal 22 3 55" xfId="7096" xr:uid="{00000000-0005-0000-0000-00008E2F0000}"/>
    <cellStyle name="Normal 22 3 55 2" xfId="19177" xr:uid="{00000000-0005-0000-0000-00008F2F0000}"/>
    <cellStyle name="Normal 22 3 56" xfId="7097" xr:uid="{00000000-0005-0000-0000-0000902F0000}"/>
    <cellStyle name="Normal 22 3 56 2" xfId="19178" xr:uid="{00000000-0005-0000-0000-0000912F0000}"/>
    <cellStyle name="Normal 22 3 57" xfId="7098" xr:uid="{00000000-0005-0000-0000-0000922F0000}"/>
    <cellStyle name="Normal 22 3 57 2" xfId="19179" xr:uid="{00000000-0005-0000-0000-0000932F0000}"/>
    <cellStyle name="Normal 22 3 58" xfId="7099" xr:uid="{00000000-0005-0000-0000-0000942F0000}"/>
    <cellStyle name="Normal 22 3 58 2" xfId="19180" xr:uid="{00000000-0005-0000-0000-0000952F0000}"/>
    <cellStyle name="Normal 22 3 59" xfId="7100" xr:uid="{00000000-0005-0000-0000-0000962F0000}"/>
    <cellStyle name="Normal 22 3 59 2" xfId="19181" xr:uid="{00000000-0005-0000-0000-0000972F0000}"/>
    <cellStyle name="Normal 22 3 6" xfId="7101" xr:uid="{00000000-0005-0000-0000-0000982F0000}"/>
    <cellStyle name="Normal 22 3 6 2" xfId="19182" xr:uid="{00000000-0005-0000-0000-0000992F0000}"/>
    <cellStyle name="Normal 22 3 60" xfId="7102" xr:uid="{00000000-0005-0000-0000-00009A2F0000}"/>
    <cellStyle name="Normal 22 3 60 2" xfId="19183" xr:uid="{00000000-0005-0000-0000-00009B2F0000}"/>
    <cellStyle name="Normal 22 3 61" xfId="7103" xr:uid="{00000000-0005-0000-0000-00009C2F0000}"/>
    <cellStyle name="Normal 22 3 61 2" xfId="19184" xr:uid="{00000000-0005-0000-0000-00009D2F0000}"/>
    <cellStyle name="Normal 22 3 62" xfId="7104" xr:uid="{00000000-0005-0000-0000-00009E2F0000}"/>
    <cellStyle name="Normal 22 3 62 2" xfId="19185" xr:uid="{00000000-0005-0000-0000-00009F2F0000}"/>
    <cellStyle name="Normal 22 3 63" xfId="7105" xr:uid="{00000000-0005-0000-0000-0000A02F0000}"/>
    <cellStyle name="Normal 22 3 63 2" xfId="19186" xr:uid="{00000000-0005-0000-0000-0000A12F0000}"/>
    <cellStyle name="Normal 22 3 64" xfId="7106" xr:uid="{00000000-0005-0000-0000-0000A22F0000}"/>
    <cellStyle name="Normal 22 3 64 2" xfId="19187" xr:uid="{00000000-0005-0000-0000-0000A32F0000}"/>
    <cellStyle name="Normal 22 3 65" xfId="7107" xr:uid="{00000000-0005-0000-0000-0000A42F0000}"/>
    <cellStyle name="Normal 22 3 65 2" xfId="19188" xr:uid="{00000000-0005-0000-0000-0000A52F0000}"/>
    <cellStyle name="Normal 22 3 66" xfId="7108" xr:uid="{00000000-0005-0000-0000-0000A62F0000}"/>
    <cellStyle name="Normal 22 3 66 2" xfId="19189" xr:uid="{00000000-0005-0000-0000-0000A72F0000}"/>
    <cellStyle name="Normal 22 3 67" xfId="7109" xr:uid="{00000000-0005-0000-0000-0000A82F0000}"/>
    <cellStyle name="Normal 22 3 67 2" xfId="19190" xr:uid="{00000000-0005-0000-0000-0000A92F0000}"/>
    <cellStyle name="Normal 22 3 68" xfId="7110" xr:uid="{00000000-0005-0000-0000-0000AA2F0000}"/>
    <cellStyle name="Normal 22 3 68 2" xfId="19191" xr:uid="{00000000-0005-0000-0000-0000AB2F0000}"/>
    <cellStyle name="Normal 22 3 69" xfId="7111" xr:uid="{00000000-0005-0000-0000-0000AC2F0000}"/>
    <cellStyle name="Normal 22 3 69 2" xfId="19192" xr:uid="{00000000-0005-0000-0000-0000AD2F0000}"/>
    <cellStyle name="Normal 22 3 7" xfId="7112" xr:uid="{00000000-0005-0000-0000-0000AE2F0000}"/>
    <cellStyle name="Normal 22 3 7 2" xfId="19193" xr:uid="{00000000-0005-0000-0000-0000AF2F0000}"/>
    <cellStyle name="Normal 22 3 70" xfId="7113" xr:uid="{00000000-0005-0000-0000-0000B02F0000}"/>
    <cellStyle name="Normal 22 3 70 2" xfId="19194" xr:uid="{00000000-0005-0000-0000-0000B12F0000}"/>
    <cellStyle name="Normal 22 3 71" xfId="7114" xr:uid="{00000000-0005-0000-0000-0000B22F0000}"/>
    <cellStyle name="Normal 22 3 71 2" xfId="19195" xr:uid="{00000000-0005-0000-0000-0000B32F0000}"/>
    <cellStyle name="Normal 22 3 72" xfId="7115" xr:uid="{00000000-0005-0000-0000-0000B42F0000}"/>
    <cellStyle name="Normal 22 3 72 2" xfId="19196" xr:uid="{00000000-0005-0000-0000-0000B52F0000}"/>
    <cellStyle name="Normal 22 3 73" xfId="7116" xr:uid="{00000000-0005-0000-0000-0000B62F0000}"/>
    <cellStyle name="Normal 22 3 73 2" xfId="19197" xr:uid="{00000000-0005-0000-0000-0000B72F0000}"/>
    <cellStyle name="Normal 22 3 74" xfId="7117" xr:uid="{00000000-0005-0000-0000-0000B82F0000}"/>
    <cellStyle name="Normal 22 3 74 2" xfId="19198" xr:uid="{00000000-0005-0000-0000-0000B92F0000}"/>
    <cellStyle name="Normal 22 3 75" xfId="7118" xr:uid="{00000000-0005-0000-0000-0000BA2F0000}"/>
    <cellStyle name="Normal 22 3 75 2" xfId="19199" xr:uid="{00000000-0005-0000-0000-0000BB2F0000}"/>
    <cellStyle name="Normal 22 3 76" xfId="7119" xr:uid="{00000000-0005-0000-0000-0000BC2F0000}"/>
    <cellStyle name="Normal 22 3 76 2" xfId="19200" xr:uid="{00000000-0005-0000-0000-0000BD2F0000}"/>
    <cellStyle name="Normal 22 3 77" xfId="7120" xr:uid="{00000000-0005-0000-0000-0000BE2F0000}"/>
    <cellStyle name="Normal 22 3 77 2" xfId="19201" xr:uid="{00000000-0005-0000-0000-0000BF2F0000}"/>
    <cellStyle name="Normal 22 3 78" xfId="7121" xr:uid="{00000000-0005-0000-0000-0000C02F0000}"/>
    <cellStyle name="Normal 22 3 78 2" xfId="19202" xr:uid="{00000000-0005-0000-0000-0000C12F0000}"/>
    <cellStyle name="Normal 22 3 79" xfId="7122" xr:uid="{00000000-0005-0000-0000-0000C22F0000}"/>
    <cellStyle name="Normal 22 3 79 2" xfId="19203" xr:uid="{00000000-0005-0000-0000-0000C32F0000}"/>
    <cellStyle name="Normal 22 3 8" xfId="7123" xr:uid="{00000000-0005-0000-0000-0000C42F0000}"/>
    <cellStyle name="Normal 22 3 8 2" xfId="19204" xr:uid="{00000000-0005-0000-0000-0000C52F0000}"/>
    <cellStyle name="Normal 22 3 80" xfId="19127" xr:uid="{00000000-0005-0000-0000-0000C62F0000}"/>
    <cellStyle name="Normal 22 3 9" xfId="7124" xr:uid="{00000000-0005-0000-0000-0000C72F0000}"/>
    <cellStyle name="Normal 22 3 9 2" xfId="19205" xr:uid="{00000000-0005-0000-0000-0000C82F0000}"/>
    <cellStyle name="Normal 22 30" xfId="7125" xr:uid="{00000000-0005-0000-0000-0000C92F0000}"/>
    <cellStyle name="Normal 22 30 2" xfId="19206" xr:uid="{00000000-0005-0000-0000-0000CA2F0000}"/>
    <cellStyle name="Normal 22 31" xfId="7126" xr:uid="{00000000-0005-0000-0000-0000CB2F0000}"/>
    <cellStyle name="Normal 22 31 2" xfId="19207" xr:uid="{00000000-0005-0000-0000-0000CC2F0000}"/>
    <cellStyle name="Normal 22 32" xfId="7127" xr:uid="{00000000-0005-0000-0000-0000CD2F0000}"/>
    <cellStyle name="Normal 22 32 2" xfId="19208" xr:uid="{00000000-0005-0000-0000-0000CE2F0000}"/>
    <cellStyle name="Normal 22 33" xfId="7128" xr:uid="{00000000-0005-0000-0000-0000CF2F0000}"/>
    <cellStyle name="Normal 22 33 2" xfId="19209" xr:uid="{00000000-0005-0000-0000-0000D02F0000}"/>
    <cellStyle name="Normal 22 34" xfId="7129" xr:uid="{00000000-0005-0000-0000-0000D12F0000}"/>
    <cellStyle name="Normal 22 34 2" xfId="19210" xr:uid="{00000000-0005-0000-0000-0000D22F0000}"/>
    <cellStyle name="Normal 22 35" xfId="7130" xr:uid="{00000000-0005-0000-0000-0000D32F0000}"/>
    <cellStyle name="Normal 22 35 2" xfId="19211" xr:uid="{00000000-0005-0000-0000-0000D42F0000}"/>
    <cellStyle name="Normal 22 36" xfId="7131" xr:uid="{00000000-0005-0000-0000-0000D52F0000}"/>
    <cellStyle name="Normal 22 36 2" xfId="19212" xr:uid="{00000000-0005-0000-0000-0000D62F0000}"/>
    <cellStyle name="Normal 22 37" xfId="7132" xr:uid="{00000000-0005-0000-0000-0000D72F0000}"/>
    <cellStyle name="Normal 22 37 2" xfId="19213" xr:uid="{00000000-0005-0000-0000-0000D82F0000}"/>
    <cellStyle name="Normal 22 38" xfId="7133" xr:uid="{00000000-0005-0000-0000-0000D92F0000}"/>
    <cellStyle name="Normal 22 38 2" xfId="19214" xr:uid="{00000000-0005-0000-0000-0000DA2F0000}"/>
    <cellStyle name="Normal 22 39" xfId="7134" xr:uid="{00000000-0005-0000-0000-0000DB2F0000}"/>
    <cellStyle name="Normal 22 39 2" xfId="19215" xr:uid="{00000000-0005-0000-0000-0000DC2F0000}"/>
    <cellStyle name="Normal 22 4" xfId="87" xr:uid="{00000000-0005-0000-0000-0000DD2F0000}"/>
    <cellStyle name="Normal 22 4 10" xfId="7136" xr:uid="{00000000-0005-0000-0000-0000DE2F0000}"/>
    <cellStyle name="Normal 22 4 10 2" xfId="19217" xr:uid="{00000000-0005-0000-0000-0000DF2F0000}"/>
    <cellStyle name="Normal 22 4 11" xfId="7137" xr:uid="{00000000-0005-0000-0000-0000E02F0000}"/>
    <cellStyle name="Normal 22 4 11 2" xfId="19218" xr:uid="{00000000-0005-0000-0000-0000E12F0000}"/>
    <cellStyle name="Normal 22 4 12" xfId="7138" xr:uid="{00000000-0005-0000-0000-0000E22F0000}"/>
    <cellStyle name="Normal 22 4 12 2" xfId="19219" xr:uid="{00000000-0005-0000-0000-0000E32F0000}"/>
    <cellStyle name="Normal 22 4 13" xfId="7139" xr:uid="{00000000-0005-0000-0000-0000E42F0000}"/>
    <cellStyle name="Normal 22 4 13 2" xfId="19220" xr:uid="{00000000-0005-0000-0000-0000E52F0000}"/>
    <cellStyle name="Normal 22 4 14" xfId="7140" xr:uid="{00000000-0005-0000-0000-0000E62F0000}"/>
    <cellStyle name="Normal 22 4 14 2" xfId="19221" xr:uid="{00000000-0005-0000-0000-0000E72F0000}"/>
    <cellStyle name="Normal 22 4 15" xfId="7141" xr:uid="{00000000-0005-0000-0000-0000E82F0000}"/>
    <cellStyle name="Normal 22 4 15 2" xfId="19222" xr:uid="{00000000-0005-0000-0000-0000E92F0000}"/>
    <cellStyle name="Normal 22 4 16" xfId="7142" xr:uid="{00000000-0005-0000-0000-0000EA2F0000}"/>
    <cellStyle name="Normal 22 4 16 2" xfId="19223" xr:uid="{00000000-0005-0000-0000-0000EB2F0000}"/>
    <cellStyle name="Normal 22 4 17" xfId="7143" xr:uid="{00000000-0005-0000-0000-0000EC2F0000}"/>
    <cellStyle name="Normal 22 4 17 2" xfId="19224" xr:uid="{00000000-0005-0000-0000-0000ED2F0000}"/>
    <cellStyle name="Normal 22 4 18" xfId="7144" xr:uid="{00000000-0005-0000-0000-0000EE2F0000}"/>
    <cellStyle name="Normal 22 4 18 2" xfId="19225" xr:uid="{00000000-0005-0000-0000-0000EF2F0000}"/>
    <cellStyle name="Normal 22 4 19" xfId="7145" xr:uid="{00000000-0005-0000-0000-0000F02F0000}"/>
    <cellStyle name="Normal 22 4 19 2" xfId="19226" xr:uid="{00000000-0005-0000-0000-0000F12F0000}"/>
    <cellStyle name="Normal 22 4 2" xfId="7146" xr:uid="{00000000-0005-0000-0000-0000F22F0000}"/>
    <cellStyle name="Normal 22 4 2 2" xfId="19227" xr:uid="{00000000-0005-0000-0000-0000F32F0000}"/>
    <cellStyle name="Normal 22 4 20" xfId="7147" xr:uid="{00000000-0005-0000-0000-0000F42F0000}"/>
    <cellStyle name="Normal 22 4 20 2" xfId="19228" xr:uid="{00000000-0005-0000-0000-0000F52F0000}"/>
    <cellStyle name="Normal 22 4 21" xfId="7148" xr:uid="{00000000-0005-0000-0000-0000F62F0000}"/>
    <cellStyle name="Normal 22 4 21 2" xfId="19229" xr:uid="{00000000-0005-0000-0000-0000F72F0000}"/>
    <cellStyle name="Normal 22 4 22" xfId="7149" xr:uid="{00000000-0005-0000-0000-0000F82F0000}"/>
    <cellStyle name="Normal 22 4 22 2" xfId="19230" xr:uid="{00000000-0005-0000-0000-0000F92F0000}"/>
    <cellStyle name="Normal 22 4 23" xfId="7150" xr:uid="{00000000-0005-0000-0000-0000FA2F0000}"/>
    <cellStyle name="Normal 22 4 23 2" xfId="19231" xr:uid="{00000000-0005-0000-0000-0000FB2F0000}"/>
    <cellStyle name="Normal 22 4 24" xfId="7151" xr:uid="{00000000-0005-0000-0000-0000FC2F0000}"/>
    <cellStyle name="Normal 22 4 24 2" xfId="19232" xr:uid="{00000000-0005-0000-0000-0000FD2F0000}"/>
    <cellStyle name="Normal 22 4 25" xfId="7152" xr:uid="{00000000-0005-0000-0000-0000FE2F0000}"/>
    <cellStyle name="Normal 22 4 25 2" xfId="19233" xr:uid="{00000000-0005-0000-0000-0000FF2F0000}"/>
    <cellStyle name="Normal 22 4 26" xfId="7153" xr:uid="{00000000-0005-0000-0000-000000300000}"/>
    <cellStyle name="Normal 22 4 26 2" xfId="19234" xr:uid="{00000000-0005-0000-0000-000001300000}"/>
    <cellStyle name="Normal 22 4 27" xfId="7154" xr:uid="{00000000-0005-0000-0000-000002300000}"/>
    <cellStyle name="Normal 22 4 27 2" xfId="19235" xr:uid="{00000000-0005-0000-0000-000003300000}"/>
    <cellStyle name="Normal 22 4 28" xfId="7155" xr:uid="{00000000-0005-0000-0000-000004300000}"/>
    <cellStyle name="Normal 22 4 28 2" xfId="19236" xr:uid="{00000000-0005-0000-0000-000005300000}"/>
    <cellStyle name="Normal 22 4 29" xfId="7156" xr:uid="{00000000-0005-0000-0000-000006300000}"/>
    <cellStyle name="Normal 22 4 29 2" xfId="19237" xr:uid="{00000000-0005-0000-0000-000007300000}"/>
    <cellStyle name="Normal 22 4 3" xfId="7157" xr:uid="{00000000-0005-0000-0000-000008300000}"/>
    <cellStyle name="Normal 22 4 3 2" xfId="19238" xr:uid="{00000000-0005-0000-0000-000009300000}"/>
    <cellStyle name="Normal 22 4 30" xfId="7158" xr:uid="{00000000-0005-0000-0000-00000A300000}"/>
    <cellStyle name="Normal 22 4 30 2" xfId="19239" xr:uid="{00000000-0005-0000-0000-00000B300000}"/>
    <cellStyle name="Normal 22 4 31" xfId="7159" xr:uid="{00000000-0005-0000-0000-00000C300000}"/>
    <cellStyle name="Normal 22 4 31 2" xfId="19240" xr:uid="{00000000-0005-0000-0000-00000D300000}"/>
    <cellStyle name="Normal 22 4 32" xfId="7160" xr:uid="{00000000-0005-0000-0000-00000E300000}"/>
    <cellStyle name="Normal 22 4 32 2" xfId="19241" xr:uid="{00000000-0005-0000-0000-00000F300000}"/>
    <cellStyle name="Normal 22 4 33" xfId="7161" xr:uid="{00000000-0005-0000-0000-000010300000}"/>
    <cellStyle name="Normal 22 4 33 2" xfId="19242" xr:uid="{00000000-0005-0000-0000-000011300000}"/>
    <cellStyle name="Normal 22 4 34" xfId="7162" xr:uid="{00000000-0005-0000-0000-000012300000}"/>
    <cellStyle name="Normal 22 4 34 2" xfId="19243" xr:uid="{00000000-0005-0000-0000-000013300000}"/>
    <cellStyle name="Normal 22 4 35" xfId="7163" xr:uid="{00000000-0005-0000-0000-000014300000}"/>
    <cellStyle name="Normal 22 4 35 2" xfId="19244" xr:uid="{00000000-0005-0000-0000-000015300000}"/>
    <cellStyle name="Normal 22 4 36" xfId="7164" xr:uid="{00000000-0005-0000-0000-000016300000}"/>
    <cellStyle name="Normal 22 4 36 2" xfId="19245" xr:uid="{00000000-0005-0000-0000-000017300000}"/>
    <cellStyle name="Normal 22 4 37" xfId="7165" xr:uid="{00000000-0005-0000-0000-000018300000}"/>
    <cellStyle name="Normal 22 4 37 2" xfId="19246" xr:uid="{00000000-0005-0000-0000-000019300000}"/>
    <cellStyle name="Normal 22 4 38" xfId="7166" xr:uid="{00000000-0005-0000-0000-00001A300000}"/>
    <cellStyle name="Normal 22 4 38 2" xfId="19247" xr:uid="{00000000-0005-0000-0000-00001B300000}"/>
    <cellStyle name="Normal 22 4 39" xfId="7167" xr:uid="{00000000-0005-0000-0000-00001C300000}"/>
    <cellStyle name="Normal 22 4 39 2" xfId="19248" xr:uid="{00000000-0005-0000-0000-00001D300000}"/>
    <cellStyle name="Normal 22 4 4" xfId="7168" xr:uid="{00000000-0005-0000-0000-00001E300000}"/>
    <cellStyle name="Normal 22 4 4 2" xfId="19249" xr:uid="{00000000-0005-0000-0000-00001F300000}"/>
    <cellStyle name="Normal 22 4 40" xfId="7169" xr:uid="{00000000-0005-0000-0000-000020300000}"/>
    <cellStyle name="Normal 22 4 40 2" xfId="19250" xr:uid="{00000000-0005-0000-0000-000021300000}"/>
    <cellStyle name="Normal 22 4 41" xfId="7170" xr:uid="{00000000-0005-0000-0000-000022300000}"/>
    <cellStyle name="Normal 22 4 41 2" xfId="19251" xr:uid="{00000000-0005-0000-0000-000023300000}"/>
    <cellStyle name="Normal 22 4 42" xfId="7171" xr:uid="{00000000-0005-0000-0000-000024300000}"/>
    <cellStyle name="Normal 22 4 42 2" xfId="19252" xr:uid="{00000000-0005-0000-0000-000025300000}"/>
    <cellStyle name="Normal 22 4 43" xfId="7172" xr:uid="{00000000-0005-0000-0000-000026300000}"/>
    <cellStyle name="Normal 22 4 43 2" xfId="19253" xr:uid="{00000000-0005-0000-0000-000027300000}"/>
    <cellStyle name="Normal 22 4 44" xfId="7173" xr:uid="{00000000-0005-0000-0000-000028300000}"/>
    <cellStyle name="Normal 22 4 44 2" xfId="19254" xr:uid="{00000000-0005-0000-0000-000029300000}"/>
    <cellStyle name="Normal 22 4 45" xfId="7174" xr:uid="{00000000-0005-0000-0000-00002A300000}"/>
    <cellStyle name="Normal 22 4 45 2" xfId="19255" xr:uid="{00000000-0005-0000-0000-00002B300000}"/>
    <cellStyle name="Normal 22 4 46" xfId="7175" xr:uid="{00000000-0005-0000-0000-00002C300000}"/>
    <cellStyle name="Normal 22 4 46 2" xfId="19256" xr:uid="{00000000-0005-0000-0000-00002D300000}"/>
    <cellStyle name="Normal 22 4 47" xfId="7176" xr:uid="{00000000-0005-0000-0000-00002E300000}"/>
    <cellStyle name="Normal 22 4 47 2" xfId="19257" xr:uid="{00000000-0005-0000-0000-00002F300000}"/>
    <cellStyle name="Normal 22 4 48" xfId="7177" xr:uid="{00000000-0005-0000-0000-000030300000}"/>
    <cellStyle name="Normal 22 4 48 2" xfId="19258" xr:uid="{00000000-0005-0000-0000-000031300000}"/>
    <cellStyle name="Normal 22 4 49" xfId="7178" xr:uid="{00000000-0005-0000-0000-000032300000}"/>
    <cellStyle name="Normal 22 4 49 2" xfId="19259" xr:uid="{00000000-0005-0000-0000-000033300000}"/>
    <cellStyle name="Normal 22 4 5" xfId="7179" xr:uid="{00000000-0005-0000-0000-000034300000}"/>
    <cellStyle name="Normal 22 4 5 2" xfId="19260" xr:uid="{00000000-0005-0000-0000-000035300000}"/>
    <cellStyle name="Normal 22 4 50" xfId="7180" xr:uid="{00000000-0005-0000-0000-000036300000}"/>
    <cellStyle name="Normal 22 4 50 2" xfId="19261" xr:uid="{00000000-0005-0000-0000-000037300000}"/>
    <cellStyle name="Normal 22 4 51" xfId="7181" xr:uid="{00000000-0005-0000-0000-000038300000}"/>
    <cellStyle name="Normal 22 4 51 2" xfId="19262" xr:uid="{00000000-0005-0000-0000-000039300000}"/>
    <cellStyle name="Normal 22 4 52" xfId="7182" xr:uid="{00000000-0005-0000-0000-00003A300000}"/>
    <cellStyle name="Normal 22 4 52 2" xfId="19263" xr:uid="{00000000-0005-0000-0000-00003B300000}"/>
    <cellStyle name="Normal 22 4 53" xfId="7183" xr:uid="{00000000-0005-0000-0000-00003C300000}"/>
    <cellStyle name="Normal 22 4 53 2" xfId="19264" xr:uid="{00000000-0005-0000-0000-00003D300000}"/>
    <cellStyle name="Normal 22 4 54" xfId="7184" xr:uid="{00000000-0005-0000-0000-00003E300000}"/>
    <cellStyle name="Normal 22 4 54 2" xfId="19265" xr:uid="{00000000-0005-0000-0000-00003F300000}"/>
    <cellStyle name="Normal 22 4 55" xfId="7185" xr:uid="{00000000-0005-0000-0000-000040300000}"/>
    <cellStyle name="Normal 22 4 55 2" xfId="19266" xr:uid="{00000000-0005-0000-0000-000041300000}"/>
    <cellStyle name="Normal 22 4 56" xfId="7186" xr:uid="{00000000-0005-0000-0000-000042300000}"/>
    <cellStyle name="Normal 22 4 56 2" xfId="19267" xr:uid="{00000000-0005-0000-0000-000043300000}"/>
    <cellStyle name="Normal 22 4 57" xfId="7187" xr:uid="{00000000-0005-0000-0000-000044300000}"/>
    <cellStyle name="Normal 22 4 57 2" xfId="19268" xr:uid="{00000000-0005-0000-0000-000045300000}"/>
    <cellStyle name="Normal 22 4 58" xfId="7188" xr:uid="{00000000-0005-0000-0000-000046300000}"/>
    <cellStyle name="Normal 22 4 58 2" xfId="19269" xr:uid="{00000000-0005-0000-0000-000047300000}"/>
    <cellStyle name="Normal 22 4 59" xfId="7189" xr:uid="{00000000-0005-0000-0000-000048300000}"/>
    <cellStyle name="Normal 22 4 59 2" xfId="19270" xr:uid="{00000000-0005-0000-0000-000049300000}"/>
    <cellStyle name="Normal 22 4 6" xfId="7190" xr:uid="{00000000-0005-0000-0000-00004A300000}"/>
    <cellStyle name="Normal 22 4 6 2" xfId="19271" xr:uid="{00000000-0005-0000-0000-00004B300000}"/>
    <cellStyle name="Normal 22 4 60" xfId="7191" xr:uid="{00000000-0005-0000-0000-00004C300000}"/>
    <cellStyle name="Normal 22 4 60 2" xfId="19272" xr:uid="{00000000-0005-0000-0000-00004D300000}"/>
    <cellStyle name="Normal 22 4 61" xfId="7192" xr:uid="{00000000-0005-0000-0000-00004E300000}"/>
    <cellStyle name="Normal 22 4 61 2" xfId="19273" xr:uid="{00000000-0005-0000-0000-00004F300000}"/>
    <cellStyle name="Normal 22 4 62" xfId="7193" xr:uid="{00000000-0005-0000-0000-000050300000}"/>
    <cellStyle name="Normal 22 4 62 2" xfId="19274" xr:uid="{00000000-0005-0000-0000-000051300000}"/>
    <cellStyle name="Normal 22 4 63" xfId="7194" xr:uid="{00000000-0005-0000-0000-000052300000}"/>
    <cellStyle name="Normal 22 4 63 2" xfId="19275" xr:uid="{00000000-0005-0000-0000-000053300000}"/>
    <cellStyle name="Normal 22 4 64" xfId="7195" xr:uid="{00000000-0005-0000-0000-000054300000}"/>
    <cellStyle name="Normal 22 4 64 2" xfId="19276" xr:uid="{00000000-0005-0000-0000-000055300000}"/>
    <cellStyle name="Normal 22 4 65" xfId="7196" xr:uid="{00000000-0005-0000-0000-000056300000}"/>
    <cellStyle name="Normal 22 4 65 2" xfId="19277" xr:uid="{00000000-0005-0000-0000-000057300000}"/>
    <cellStyle name="Normal 22 4 66" xfId="7197" xr:uid="{00000000-0005-0000-0000-000058300000}"/>
    <cellStyle name="Normal 22 4 66 2" xfId="19278" xr:uid="{00000000-0005-0000-0000-000059300000}"/>
    <cellStyle name="Normal 22 4 67" xfId="7198" xr:uid="{00000000-0005-0000-0000-00005A300000}"/>
    <cellStyle name="Normal 22 4 67 2" xfId="19279" xr:uid="{00000000-0005-0000-0000-00005B300000}"/>
    <cellStyle name="Normal 22 4 68" xfId="7199" xr:uid="{00000000-0005-0000-0000-00005C300000}"/>
    <cellStyle name="Normal 22 4 68 2" xfId="19280" xr:uid="{00000000-0005-0000-0000-00005D300000}"/>
    <cellStyle name="Normal 22 4 69" xfId="7200" xr:uid="{00000000-0005-0000-0000-00005E300000}"/>
    <cellStyle name="Normal 22 4 69 2" xfId="19281" xr:uid="{00000000-0005-0000-0000-00005F300000}"/>
    <cellStyle name="Normal 22 4 7" xfId="7201" xr:uid="{00000000-0005-0000-0000-000060300000}"/>
    <cellStyle name="Normal 22 4 7 2" xfId="19282" xr:uid="{00000000-0005-0000-0000-000061300000}"/>
    <cellStyle name="Normal 22 4 70" xfId="7202" xr:uid="{00000000-0005-0000-0000-000062300000}"/>
    <cellStyle name="Normal 22 4 70 2" xfId="19283" xr:uid="{00000000-0005-0000-0000-000063300000}"/>
    <cellStyle name="Normal 22 4 71" xfId="7203" xr:uid="{00000000-0005-0000-0000-000064300000}"/>
    <cellStyle name="Normal 22 4 71 2" xfId="19284" xr:uid="{00000000-0005-0000-0000-000065300000}"/>
    <cellStyle name="Normal 22 4 72" xfId="7204" xr:uid="{00000000-0005-0000-0000-000066300000}"/>
    <cellStyle name="Normal 22 4 72 2" xfId="19285" xr:uid="{00000000-0005-0000-0000-000067300000}"/>
    <cellStyle name="Normal 22 4 73" xfId="7205" xr:uid="{00000000-0005-0000-0000-000068300000}"/>
    <cellStyle name="Normal 22 4 73 2" xfId="19286" xr:uid="{00000000-0005-0000-0000-000069300000}"/>
    <cellStyle name="Normal 22 4 74" xfId="7206" xr:uid="{00000000-0005-0000-0000-00006A300000}"/>
    <cellStyle name="Normal 22 4 74 2" xfId="19287" xr:uid="{00000000-0005-0000-0000-00006B300000}"/>
    <cellStyle name="Normal 22 4 75" xfId="7207" xr:uid="{00000000-0005-0000-0000-00006C300000}"/>
    <cellStyle name="Normal 22 4 75 2" xfId="19288" xr:uid="{00000000-0005-0000-0000-00006D300000}"/>
    <cellStyle name="Normal 22 4 76" xfId="7208" xr:uid="{00000000-0005-0000-0000-00006E300000}"/>
    <cellStyle name="Normal 22 4 76 2" xfId="19289" xr:uid="{00000000-0005-0000-0000-00006F300000}"/>
    <cellStyle name="Normal 22 4 77" xfId="7209" xr:uid="{00000000-0005-0000-0000-000070300000}"/>
    <cellStyle name="Normal 22 4 77 2" xfId="19290" xr:uid="{00000000-0005-0000-0000-000071300000}"/>
    <cellStyle name="Normal 22 4 78" xfId="7210" xr:uid="{00000000-0005-0000-0000-000072300000}"/>
    <cellStyle name="Normal 22 4 78 2" xfId="19291" xr:uid="{00000000-0005-0000-0000-000073300000}"/>
    <cellStyle name="Normal 22 4 79" xfId="7211" xr:uid="{00000000-0005-0000-0000-000074300000}"/>
    <cellStyle name="Normal 22 4 79 2" xfId="19292" xr:uid="{00000000-0005-0000-0000-000075300000}"/>
    <cellStyle name="Normal 22 4 8" xfId="7212" xr:uid="{00000000-0005-0000-0000-000076300000}"/>
    <cellStyle name="Normal 22 4 8 2" xfId="19293" xr:uid="{00000000-0005-0000-0000-000077300000}"/>
    <cellStyle name="Normal 22 4 80" xfId="19216" xr:uid="{00000000-0005-0000-0000-000078300000}"/>
    <cellStyle name="Normal 22 4 81" xfId="7135" xr:uid="{00000000-0005-0000-0000-000079300000}"/>
    <cellStyle name="Normal 22 4 9" xfId="7213" xr:uid="{00000000-0005-0000-0000-00007A300000}"/>
    <cellStyle name="Normal 22 4 9 2" xfId="19294" xr:uid="{00000000-0005-0000-0000-00007B300000}"/>
    <cellStyle name="Normal 22 40" xfId="7214" xr:uid="{00000000-0005-0000-0000-00007C300000}"/>
    <cellStyle name="Normal 22 40 2" xfId="19295" xr:uid="{00000000-0005-0000-0000-00007D300000}"/>
    <cellStyle name="Normal 22 41" xfId="7215" xr:uid="{00000000-0005-0000-0000-00007E300000}"/>
    <cellStyle name="Normal 22 41 2" xfId="19296" xr:uid="{00000000-0005-0000-0000-00007F300000}"/>
    <cellStyle name="Normal 22 42" xfId="7216" xr:uid="{00000000-0005-0000-0000-000080300000}"/>
    <cellStyle name="Normal 22 42 2" xfId="19297" xr:uid="{00000000-0005-0000-0000-000081300000}"/>
    <cellStyle name="Normal 22 43" xfId="7217" xr:uid="{00000000-0005-0000-0000-000082300000}"/>
    <cellStyle name="Normal 22 43 2" xfId="19298" xr:uid="{00000000-0005-0000-0000-000083300000}"/>
    <cellStyle name="Normal 22 44" xfId="7218" xr:uid="{00000000-0005-0000-0000-000084300000}"/>
    <cellStyle name="Normal 22 44 2" xfId="19299" xr:uid="{00000000-0005-0000-0000-000085300000}"/>
    <cellStyle name="Normal 22 45" xfId="7219" xr:uid="{00000000-0005-0000-0000-000086300000}"/>
    <cellStyle name="Normal 22 45 2" xfId="19300" xr:uid="{00000000-0005-0000-0000-000087300000}"/>
    <cellStyle name="Normal 22 46" xfId="7220" xr:uid="{00000000-0005-0000-0000-000088300000}"/>
    <cellStyle name="Normal 22 46 2" xfId="19301" xr:uid="{00000000-0005-0000-0000-000089300000}"/>
    <cellStyle name="Normal 22 47" xfId="7221" xr:uid="{00000000-0005-0000-0000-00008A300000}"/>
    <cellStyle name="Normal 22 47 2" xfId="19302" xr:uid="{00000000-0005-0000-0000-00008B300000}"/>
    <cellStyle name="Normal 22 48" xfId="7222" xr:uid="{00000000-0005-0000-0000-00008C300000}"/>
    <cellStyle name="Normal 22 48 2" xfId="19303" xr:uid="{00000000-0005-0000-0000-00008D300000}"/>
    <cellStyle name="Normal 22 49" xfId="7223" xr:uid="{00000000-0005-0000-0000-00008E300000}"/>
    <cellStyle name="Normal 22 49 2" xfId="19304" xr:uid="{00000000-0005-0000-0000-00008F300000}"/>
    <cellStyle name="Normal 22 5" xfId="7224" xr:uid="{00000000-0005-0000-0000-000090300000}"/>
    <cellStyle name="Normal 22 5 2" xfId="19305" xr:uid="{00000000-0005-0000-0000-000091300000}"/>
    <cellStyle name="Normal 22 50" xfId="7225" xr:uid="{00000000-0005-0000-0000-000092300000}"/>
    <cellStyle name="Normal 22 50 2" xfId="19306" xr:uid="{00000000-0005-0000-0000-000093300000}"/>
    <cellStyle name="Normal 22 51" xfId="7226" xr:uid="{00000000-0005-0000-0000-000094300000}"/>
    <cellStyle name="Normal 22 51 2" xfId="19307" xr:uid="{00000000-0005-0000-0000-000095300000}"/>
    <cellStyle name="Normal 22 52" xfId="7227" xr:uid="{00000000-0005-0000-0000-000096300000}"/>
    <cellStyle name="Normal 22 52 2" xfId="19308" xr:uid="{00000000-0005-0000-0000-000097300000}"/>
    <cellStyle name="Normal 22 53" xfId="7228" xr:uid="{00000000-0005-0000-0000-000098300000}"/>
    <cellStyle name="Normal 22 53 2" xfId="19309" xr:uid="{00000000-0005-0000-0000-000099300000}"/>
    <cellStyle name="Normal 22 54" xfId="7229" xr:uid="{00000000-0005-0000-0000-00009A300000}"/>
    <cellStyle name="Normal 22 54 2" xfId="19310" xr:uid="{00000000-0005-0000-0000-00009B300000}"/>
    <cellStyle name="Normal 22 55" xfId="7230" xr:uid="{00000000-0005-0000-0000-00009C300000}"/>
    <cellStyle name="Normal 22 55 2" xfId="19311" xr:uid="{00000000-0005-0000-0000-00009D300000}"/>
    <cellStyle name="Normal 22 56" xfId="7231" xr:uid="{00000000-0005-0000-0000-00009E300000}"/>
    <cellStyle name="Normal 22 56 2" xfId="19312" xr:uid="{00000000-0005-0000-0000-00009F300000}"/>
    <cellStyle name="Normal 22 57" xfId="7232" xr:uid="{00000000-0005-0000-0000-0000A0300000}"/>
    <cellStyle name="Normal 22 57 2" xfId="19313" xr:uid="{00000000-0005-0000-0000-0000A1300000}"/>
    <cellStyle name="Normal 22 58" xfId="7233" xr:uid="{00000000-0005-0000-0000-0000A2300000}"/>
    <cellStyle name="Normal 22 58 2" xfId="19314" xr:uid="{00000000-0005-0000-0000-0000A3300000}"/>
    <cellStyle name="Normal 22 59" xfId="7234" xr:uid="{00000000-0005-0000-0000-0000A4300000}"/>
    <cellStyle name="Normal 22 59 2" xfId="19315" xr:uid="{00000000-0005-0000-0000-0000A5300000}"/>
    <cellStyle name="Normal 22 6" xfId="7235" xr:uid="{00000000-0005-0000-0000-0000A6300000}"/>
    <cellStyle name="Normal 22 6 2" xfId="19316" xr:uid="{00000000-0005-0000-0000-0000A7300000}"/>
    <cellStyle name="Normal 22 60" xfId="7236" xr:uid="{00000000-0005-0000-0000-0000A8300000}"/>
    <cellStyle name="Normal 22 60 2" xfId="19317" xr:uid="{00000000-0005-0000-0000-0000A9300000}"/>
    <cellStyle name="Normal 22 61" xfId="7237" xr:uid="{00000000-0005-0000-0000-0000AA300000}"/>
    <cellStyle name="Normal 22 61 2" xfId="19318" xr:uid="{00000000-0005-0000-0000-0000AB300000}"/>
    <cellStyle name="Normal 22 62" xfId="7238" xr:uid="{00000000-0005-0000-0000-0000AC300000}"/>
    <cellStyle name="Normal 22 62 2" xfId="19319" xr:uid="{00000000-0005-0000-0000-0000AD300000}"/>
    <cellStyle name="Normal 22 63" xfId="7239" xr:uid="{00000000-0005-0000-0000-0000AE300000}"/>
    <cellStyle name="Normal 22 63 2" xfId="19320" xr:uid="{00000000-0005-0000-0000-0000AF300000}"/>
    <cellStyle name="Normal 22 64" xfId="7240" xr:uid="{00000000-0005-0000-0000-0000B0300000}"/>
    <cellStyle name="Normal 22 64 2" xfId="19321" xr:uid="{00000000-0005-0000-0000-0000B1300000}"/>
    <cellStyle name="Normal 22 65" xfId="7241" xr:uid="{00000000-0005-0000-0000-0000B2300000}"/>
    <cellStyle name="Normal 22 65 2" xfId="19322" xr:uid="{00000000-0005-0000-0000-0000B3300000}"/>
    <cellStyle name="Normal 22 66" xfId="7242" xr:uid="{00000000-0005-0000-0000-0000B4300000}"/>
    <cellStyle name="Normal 22 66 2" xfId="19323" xr:uid="{00000000-0005-0000-0000-0000B5300000}"/>
    <cellStyle name="Normal 22 67" xfId="7243" xr:uid="{00000000-0005-0000-0000-0000B6300000}"/>
    <cellStyle name="Normal 22 67 2" xfId="19324" xr:uid="{00000000-0005-0000-0000-0000B7300000}"/>
    <cellStyle name="Normal 22 68" xfId="7244" xr:uid="{00000000-0005-0000-0000-0000B8300000}"/>
    <cellStyle name="Normal 22 68 2" xfId="19325" xr:uid="{00000000-0005-0000-0000-0000B9300000}"/>
    <cellStyle name="Normal 22 69" xfId="7245" xr:uid="{00000000-0005-0000-0000-0000BA300000}"/>
    <cellStyle name="Normal 22 69 2" xfId="19326" xr:uid="{00000000-0005-0000-0000-0000BB300000}"/>
    <cellStyle name="Normal 22 7" xfId="7246" xr:uid="{00000000-0005-0000-0000-0000BC300000}"/>
    <cellStyle name="Normal 22 7 2" xfId="19327" xr:uid="{00000000-0005-0000-0000-0000BD300000}"/>
    <cellStyle name="Normal 22 70" xfId="7247" xr:uid="{00000000-0005-0000-0000-0000BE300000}"/>
    <cellStyle name="Normal 22 70 2" xfId="19328" xr:uid="{00000000-0005-0000-0000-0000BF300000}"/>
    <cellStyle name="Normal 22 71" xfId="7248" xr:uid="{00000000-0005-0000-0000-0000C0300000}"/>
    <cellStyle name="Normal 22 71 2" xfId="19329" xr:uid="{00000000-0005-0000-0000-0000C1300000}"/>
    <cellStyle name="Normal 22 72" xfId="7249" xr:uid="{00000000-0005-0000-0000-0000C2300000}"/>
    <cellStyle name="Normal 22 72 2" xfId="19330" xr:uid="{00000000-0005-0000-0000-0000C3300000}"/>
    <cellStyle name="Normal 22 73" xfId="7250" xr:uid="{00000000-0005-0000-0000-0000C4300000}"/>
    <cellStyle name="Normal 22 73 2" xfId="19331" xr:uid="{00000000-0005-0000-0000-0000C5300000}"/>
    <cellStyle name="Normal 22 74" xfId="7251" xr:uid="{00000000-0005-0000-0000-0000C6300000}"/>
    <cellStyle name="Normal 22 74 2" xfId="19332" xr:uid="{00000000-0005-0000-0000-0000C7300000}"/>
    <cellStyle name="Normal 22 75" xfId="7252" xr:uid="{00000000-0005-0000-0000-0000C8300000}"/>
    <cellStyle name="Normal 22 75 2" xfId="19333" xr:uid="{00000000-0005-0000-0000-0000C9300000}"/>
    <cellStyle name="Normal 22 76" xfId="7253" xr:uid="{00000000-0005-0000-0000-0000CA300000}"/>
    <cellStyle name="Normal 22 76 2" xfId="19334" xr:uid="{00000000-0005-0000-0000-0000CB300000}"/>
    <cellStyle name="Normal 22 77" xfId="7254" xr:uid="{00000000-0005-0000-0000-0000CC300000}"/>
    <cellStyle name="Normal 22 77 2" xfId="19335" xr:uid="{00000000-0005-0000-0000-0000CD300000}"/>
    <cellStyle name="Normal 22 78" xfId="7255" xr:uid="{00000000-0005-0000-0000-0000CE300000}"/>
    <cellStyle name="Normal 22 78 2" xfId="19336" xr:uid="{00000000-0005-0000-0000-0000CF300000}"/>
    <cellStyle name="Normal 22 79" xfId="7256" xr:uid="{00000000-0005-0000-0000-0000D0300000}"/>
    <cellStyle name="Normal 22 79 2" xfId="19337" xr:uid="{00000000-0005-0000-0000-0000D1300000}"/>
    <cellStyle name="Normal 22 8" xfId="7257" xr:uid="{00000000-0005-0000-0000-0000D2300000}"/>
    <cellStyle name="Normal 22 8 2" xfId="19338" xr:uid="{00000000-0005-0000-0000-0000D3300000}"/>
    <cellStyle name="Normal 22 80" xfId="7258" xr:uid="{00000000-0005-0000-0000-0000D4300000}"/>
    <cellStyle name="Normal 22 80 2" xfId="19339" xr:uid="{00000000-0005-0000-0000-0000D5300000}"/>
    <cellStyle name="Normal 22 81" xfId="7259" xr:uid="{00000000-0005-0000-0000-0000D6300000}"/>
    <cellStyle name="Normal 22 81 2" xfId="19340" xr:uid="{00000000-0005-0000-0000-0000D7300000}"/>
    <cellStyle name="Normal 22 82" xfId="7260" xr:uid="{00000000-0005-0000-0000-0000D8300000}"/>
    <cellStyle name="Normal 22 82 2" xfId="19341" xr:uid="{00000000-0005-0000-0000-0000D9300000}"/>
    <cellStyle name="Normal 22 9" xfId="7261" xr:uid="{00000000-0005-0000-0000-0000DA300000}"/>
    <cellStyle name="Normal 22 9 2" xfId="19342" xr:uid="{00000000-0005-0000-0000-0000DB300000}"/>
    <cellStyle name="Normal 220" xfId="561" xr:uid="{00000000-0005-0000-0000-0000DC300000}"/>
    <cellStyle name="Normal 220 2" xfId="658" xr:uid="{00000000-0005-0000-0000-0000DD300000}"/>
    <cellStyle name="Normal 220 3" xfId="1077" xr:uid="{00000000-0005-0000-0000-0000DE300000}"/>
    <cellStyle name="Normal 220 4" xfId="913" xr:uid="{00000000-0005-0000-0000-0000DF300000}"/>
    <cellStyle name="Normal 220 5" xfId="1264" xr:uid="{00000000-0005-0000-0000-0000E0300000}"/>
    <cellStyle name="Normal 220 6" xfId="832" xr:uid="{00000000-0005-0000-0000-0000E1300000}"/>
    <cellStyle name="Normal 220 7" xfId="969" xr:uid="{00000000-0005-0000-0000-0000E2300000}"/>
    <cellStyle name="Normal 220 8" xfId="1316" xr:uid="{00000000-0005-0000-0000-0000E3300000}"/>
    <cellStyle name="Normal 220 9" xfId="1381" xr:uid="{00000000-0005-0000-0000-0000E4300000}"/>
    <cellStyle name="Normal 221" xfId="562" xr:uid="{00000000-0005-0000-0000-0000E5300000}"/>
    <cellStyle name="Normal 221 2" xfId="659" xr:uid="{00000000-0005-0000-0000-0000E6300000}"/>
    <cellStyle name="Normal 221 3" xfId="1078" xr:uid="{00000000-0005-0000-0000-0000E7300000}"/>
    <cellStyle name="Normal 221 4" xfId="912" xr:uid="{00000000-0005-0000-0000-0000E8300000}"/>
    <cellStyle name="Normal 221 5" xfId="939" xr:uid="{00000000-0005-0000-0000-0000E9300000}"/>
    <cellStyle name="Normal 221 6" xfId="1244" xr:uid="{00000000-0005-0000-0000-0000EA300000}"/>
    <cellStyle name="Normal 221 7" xfId="839" xr:uid="{00000000-0005-0000-0000-0000EB300000}"/>
    <cellStyle name="Normal 221 8" xfId="967" xr:uid="{00000000-0005-0000-0000-0000EC300000}"/>
    <cellStyle name="Normal 221 9" xfId="873" xr:uid="{00000000-0005-0000-0000-0000ED300000}"/>
    <cellStyle name="Normal 222" xfId="563" xr:uid="{00000000-0005-0000-0000-0000EE300000}"/>
    <cellStyle name="Normal 222 2" xfId="660" xr:uid="{00000000-0005-0000-0000-0000EF300000}"/>
    <cellStyle name="Normal 222 3" xfId="1079" xr:uid="{00000000-0005-0000-0000-0000F0300000}"/>
    <cellStyle name="Normal 222 4" xfId="911" xr:uid="{00000000-0005-0000-0000-0000F1300000}"/>
    <cellStyle name="Normal 222 5" xfId="1265" xr:uid="{00000000-0005-0000-0000-0000F2300000}"/>
    <cellStyle name="Normal 222 6" xfId="828" xr:uid="{00000000-0005-0000-0000-0000F3300000}"/>
    <cellStyle name="Normal 222 7" xfId="971" xr:uid="{00000000-0005-0000-0000-0000F4300000}"/>
    <cellStyle name="Normal 222 8" xfId="1232" xr:uid="{00000000-0005-0000-0000-0000F5300000}"/>
    <cellStyle name="Normal 222 9" xfId="1164" xr:uid="{00000000-0005-0000-0000-0000F6300000}"/>
    <cellStyle name="Normal 223" xfId="564" xr:uid="{00000000-0005-0000-0000-0000F7300000}"/>
    <cellStyle name="Normal 223 2" xfId="661" xr:uid="{00000000-0005-0000-0000-0000F8300000}"/>
    <cellStyle name="Normal 223 3" xfId="1080" xr:uid="{00000000-0005-0000-0000-0000F9300000}"/>
    <cellStyle name="Normal 223 4" xfId="910" xr:uid="{00000000-0005-0000-0000-0000FA300000}"/>
    <cellStyle name="Normal 223 5" xfId="940" xr:uid="{00000000-0005-0000-0000-0000FB300000}"/>
    <cellStyle name="Normal 223 6" xfId="1243" xr:uid="{00000000-0005-0000-0000-0000FC300000}"/>
    <cellStyle name="Normal 223 7" xfId="843" xr:uid="{00000000-0005-0000-0000-0000FD300000}"/>
    <cellStyle name="Normal 223 8" xfId="965" xr:uid="{00000000-0005-0000-0000-0000FE300000}"/>
    <cellStyle name="Normal 223 9" xfId="1233" xr:uid="{00000000-0005-0000-0000-0000FF300000}"/>
    <cellStyle name="Normal 224" xfId="565" xr:uid="{00000000-0005-0000-0000-000000310000}"/>
    <cellStyle name="Normal 224 2" xfId="662" xr:uid="{00000000-0005-0000-0000-000001310000}"/>
    <cellStyle name="Normal 224 3" xfId="1081" xr:uid="{00000000-0005-0000-0000-000002310000}"/>
    <cellStyle name="Normal 224 4" xfId="909" xr:uid="{00000000-0005-0000-0000-000003310000}"/>
    <cellStyle name="Normal 224 5" xfId="1266" xr:uid="{00000000-0005-0000-0000-000004310000}"/>
    <cellStyle name="Normal 224 6" xfId="1335" xr:uid="{00000000-0005-0000-0000-000005310000}"/>
    <cellStyle name="Normal 224 7" xfId="1399" xr:uid="{00000000-0005-0000-0000-000006310000}"/>
    <cellStyle name="Normal 224 8" xfId="1448" xr:uid="{00000000-0005-0000-0000-000007310000}"/>
    <cellStyle name="Normal 224 9" xfId="1474" xr:uid="{00000000-0005-0000-0000-000008310000}"/>
    <cellStyle name="Normal 225" xfId="566" xr:uid="{00000000-0005-0000-0000-000009310000}"/>
    <cellStyle name="Normal 225 2" xfId="663" xr:uid="{00000000-0005-0000-0000-00000A310000}"/>
    <cellStyle name="Normal 225 3" xfId="1082" xr:uid="{00000000-0005-0000-0000-00000B310000}"/>
    <cellStyle name="Normal 225 4" xfId="908" xr:uid="{00000000-0005-0000-0000-00000C310000}"/>
    <cellStyle name="Normal 225 5" xfId="941" xr:uid="{00000000-0005-0000-0000-00000D310000}"/>
    <cellStyle name="Normal 225 6" xfId="880" xr:uid="{00000000-0005-0000-0000-00000E310000}"/>
    <cellStyle name="Normal 225 7" xfId="951" xr:uid="{00000000-0005-0000-0000-00000F310000}"/>
    <cellStyle name="Normal 225 8" xfId="1237" xr:uid="{00000000-0005-0000-0000-000010310000}"/>
    <cellStyle name="Normal 225 9" xfId="824" xr:uid="{00000000-0005-0000-0000-000011310000}"/>
    <cellStyle name="Normal 226" xfId="567" xr:uid="{00000000-0005-0000-0000-000012310000}"/>
    <cellStyle name="Normal 226 2" xfId="664" xr:uid="{00000000-0005-0000-0000-000013310000}"/>
    <cellStyle name="Normal 226 3" xfId="1083" xr:uid="{00000000-0005-0000-0000-000014310000}"/>
    <cellStyle name="Normal 226 4" xfId="907" xr:uid="{00000000-0005-0000-0000-000015310000}"/>
    <cellStyle name="Normal 226 5" xfId="1267" xr:uid="{00000000-0005-0000-0000-000016310000}"/>
    <cellStyle name="Normal 226 6" xfId="1336" xr:uid="{00000000-0005-0000-0000-000017310000}"/>
    <cellStyle name="Normal 226 7" xfId="1400" xr:uid="{00000000-0005-0000-0000-000018310000}"/>
    <cellStyle name="Normal 226 8" xfId="1449" xr:uid="{00000000-0005-0000-0000-000019310000}"/>
    <cellStyle name="Normal 226 9" xfId="1475" xr:uid="{00000000-0005-0000-0000-00001A310000}"/>
    <cellStyle name="Normal 227" xfId="568" xr:uid="{00000000-0005-0000-0000-00001B310000}"/>
    <cellStyle name="Normal 227 2" xfId="665" xr:uid="{00000000-0005-0000-0000-00001C310000}"/>
    <cellStyle name="Normal 227 3" xfId="1084" xr:uid="{00000000-0005-0000-0000-00001D310000}"/>
    <cellStyle name="Normal 227 4" xfId="906" xr:uid="{00000000-0005-0000-0000-00001E310000}"/>
    <cellStyle name="Normal 227 5" xfId="942" xr:uid="{00000000-0005-0000-0000-00001F310000}"/>
    <cellStyle name="Normal 227 6" xfId="1241" xr:uid="{00000000-0005-0000-0000-000020310000}"/>
    <cellStyle name="Normal 227 7" xfId="823" xr:uid="{00000000-0005-0000-0000-000021310000}"/>
    <cellStyle name="Normal 227 8" xfId="1309" xr:uid="{00000000-0005-0000-0000-000022310000}"/>
    <cellStyle name="Normal 227 9" xfId="1374" xr:uid="{00000000-0005-0000-0000-000023310000}"/>
    <cellStyle name="Normal 228" xfId="569" xr:uid="{00000000-0005-0000-0000-000024310000}"/>
    <cellStyle name="Normal 228 2" xfId="666" xr:uid="{00000000-0005-0000-0000-000025310000}"/>
    <cellStyle name="Normal 228 3" xfId="1085" xr:uid="{00000000-0005-0000-0000-000026310000}"/>
    <cellStyle name="Normal 228 4" xfId="905" xr:uid="{00000000-0005-0000-0000-000027310000}"/>
    <cellStyle name="Normal 228 5" xfId="943" xr:uid="{00000000-0005-0000-0000-000028310000}"/>
    <cellStyle name="Normal 228 6" xfId="1320" xr:uid="{00000000-0005-0000-0000-000029310000}"/>
    <cellStyle name="Normal 228 7" xfId="1385" xr:uid="{00000000-0005-0000-0000-00002A310000}"/>
    <cellStyle name="Normal 228 8" xfId="1436" xr:uid="{00000000-0005-0000-0000-00002B310000}"/>
    <cellStyle name="Normal 228 9" xfId="1465" xr:uid="{00000000-0005-0000-0000-00002C310000}"/>
    <cellStyle name="Normal 229" xfId="570" xr:uid="{00000000-0005-0000-0000-00002D310000}"/>
    <cellStyle name="Normal 229 2" xfId="667" xr:uid="{00000000-0005-0000-0000-00002E310000}"/>
    <cellStyle name="Normal 229 3" xfId="1086" xr:uid="{00000000-0005-0000-0000-00002F310000}"/>
    <cellStyle name="Normal 229 4" xfId="904" xr:uid="{00000000-0005-0000-0000-000030310000}"/>
    <cellStyle name="Normal 229 5" xfId="1268" xr:uid="{00000000-0005-0000-0000-000031310000}"/>
    <cellStyle name="Normal 229 6" xfId="1337" xr:uid="{00000000-0005-0000-0000-000032310000}"/>
    <cellStyle name="Normal 229 7" xfId="1401" xr:uid="{00000000-0005-0000-0000-000033310000}"/>
    <cellStyle name="Normal 229 8" xfId="1450" xr:uid="{00000000-0005-0000-0000-000034310000}"/>
    <cellStyle name="Normal 229 9" xfId="1476" xr:uid="{00000000-0005-0000-0000-000035310000}"/>
    <cellStyle name="Normal 23" xfId="88" xr:uid="{00000000-0005-0000-0000-000036310000}"/>
    <cellStyle name="Normal 23 10" xfId="7262" xr:uid="{00000000-0005-0000-0000-000037310000}"/>
    <cellStyle name="Normal 23 10 2" xfId="19344" xr:uid="{00000000-0005-0000-0000-000038310000}"/>
    <cellStyle name="Normal 23 11" xfId="7263" xr:uid="{00000000-0005-0000-0000-000039310000}"/>
    <cellStyle name="Normal 23 11 2" xfId="19345" xr:uid="{00000000-0005-0000-0000-00003A310000}"/>
    <cellStyle name="Normal 23 12" xfId="7264" xr:uid="{00000000-0005-0000-0000-00003B310000}"/>
    <cellStyle name="Normal 23 12 2" xfId="19346" xr:uid="{00000000-0005-0000-0000-00003C310000}"/>
    <cellStyle name="Normal 23 13" xfId="7265" xr:uid="{00000000-0005-0000-0000-00003D310000}"/>
    <cellStyle name="Normal 23 13 2" xfId="19347" xr:uid="{00000000-0005-0000-0000-00003E310000}"/>
    <cellStyle name="Normal 23 14" xfId="7266" xr:uid="{00000000-0005-0000-0000-00003F310000}"/>
    <cellStyle name="Normal 23 14 2" xfId="19348" xr:uid="{00000000-0005-0000-0000-000040310000}"/>
    <cellStyle name="Normal 23 15" xfId="7267" xr:uid="{00000000-0005-0000-0000-000041310000}"/>
    <cellStyle name="Normal 23 15 2" xfId="19349" xr:uid="{00000000-0005-0000-0000-000042310000}"/>
    <cellStyle name="Normal 23 16" xfId="7268" xr:uid="{00000000-0005-0000-0000-000043310000}"/>
    <cellStyle name="Normal 23 16 2" xfId="19350" xr:uid="{00000000-0005-0000-0000-000044310000}"/>
    <cellStyle name="Normal 23 17" xfId="7269" xr:uid="{00000000-0005-0000-0000-000045310000}"/>
    <cellStyle name="Normal 23 17 2" xfId="19351" xr:uid="{00000000-0005-0000-0000-000046310000}"/>
    <cellStyle name="Normal 23 18" xfId="7270" xr:uid="{00000000-0005-0000-0000-000047310000}"/>
    <cellStyle name="Normal 23 18 2" xfId="19352" xr:uid="{00000000-0005-0000-0000-000048310000}"/>
    <cellStyle name="Normal 23 19" xfId="7271" xr:uid="{00000000-0005-0000-0000-000049310000}"/>
    <cellStyle name="Normal 23 19 2" xfId="19353" xr:uid="{00000000-0005-0000-0000-00004A310000}"/>
    <cellStyle name="Normal 23 2" xfId="7272" xr:uid="{00000000-0005-0000-0000-00004B310000}"/>
    <cellStyle name="Normal 23 2 10" xfId="7273" xr:uid="{00000000-0005-0000-0000-00004C310000}"/>
    <cellStyle name="Normal 23 2 10 2" xfId="19355" xr:uid="{00000000-0005-0000-0000-00004D310000}"/>
    <cellStyle name="Normal 23 2 11" xfId="7274" xr:uid="{00000000-0005-0000-0000-00004E310000}"/>
    <cellStyle name="Normal 23 2 11 2" xfId="19356" xr:uid="{00000000-0005-0000-0000-00004F310000}"/>
    <cellStyle name="Normal 23 2 12" xfId="7275" xr:uid="{00000000-0005-0000-0000-000050310000}"/>
    <cellStyle name="Normal 23 2 12 2" xfId="19357" xr:uid="{00000000-0005-0000-0000-000051310000}"/>
    <cellStyle name="Normal 23 2 13" xfId="7276" xr:uid="{00000000-0005-0000-0000-000052310000}"/>
    <cellStyle name="Normal 23 2 13 2" xfId="19358" xr:uid="{00000000-0005-0000-0000-000053310000}"/>
    <cellStyle name="Normal 23 2 14" xfId="7277" xr:uid="{00000000-0005-0000-0000-000054310000}"/>
    <cellStyle name="Normal 23 2 14 2" xfId="19359" xr:uid="{00000000-0005-0000-0000-000055310000}"/>
    <cellStyle name="Normal 23 2 15" xfId="7278" xr:uid="{00000000-0005-0000-0000-000056310000}"/>
    <cellStyle name="Normal 23 2 15 2" xfId="19360" xr:uid="{00000000-0005-0000-0000-000057310000}"/>
    <cellStyle name="Normal 23 2 16" xfId="7279" xr:uid="{00000000-0005-0000-0000-000058310000}"/>
    <cellStyle name="Normal 23 2 16 2" xfId="19361" xr:uid="{00000000-0005-0000-0000-000059310000}"/>
    <cellStyle name="Normal 23 2 17" xfId="7280" xr:uid="{00000000-0005-0000-0000-00005A310000}"/>
    <cellStyle name="Normal 23 2 17 2" xfId="19362" xr:uid="{00000000-0005-0000-0000-00005B310000}"/>
    <cellStyle name="Normal 23 2 18" xfId="7281" xr:uid="{00000000-0005-0000-0000-00005C310000}"/>
    <cellStyle name="Normal 23 2 18 2" xfId="19363" xr:uid="{00000000-0005-0000-0000-00005D310000}"/>
    <cellStyle name="Normal 23 2 19" xfId="7282" xr:uid="{00000000-0005-0000-0000-00005E310000}"/>
    <cellStyle name="Normal 23 2 19 2" xfId="19364" xr:uid="{00000000-0005-0000-0000-00005F310000}"/>
    <cellStyle name="Normal 23 2 2" xfId="7283" xr:uid="{00000000-0005-0000-0000-000060310000}"/>
    <cellStyle name="Normal 23 2 2 2" xfId="19365" xr:uid="{00000000-0005-0000-0000-000061310000}"/>
    <cellStyle name="Normal 23 2 20" xfId="7284" xr:uid="{00000000-0005-0000-0000-000062310000}"/>
    <cellStyle name="Normal 23 2 20 2" xfId="19366" xr:uid="{00000000-0005-0000-0000-000063310000}"/>
    <cellStyle name="Normal 23 2 21" xfId="7285" xr:uid="{00000000-0005-0000-0000-000064310000}"/>
    <cellStyle name="Normal 23 2 21 2" xfId="19367" xr:uid="{00000000-0005-0000-0000-000065310000}"/>
    <cellStyle name="Normal 23 2 22" xfId="7286" xr:uid="{00000000-0005-0000-0000-000066310000}"/>
    <cellStyle name="Normal 23 2 22 2" xfId="19368" xr:uid="{00000000-0005-0000-0000-000067310000}"/>
    <cellStyle name="Normal 23 2 23" xfId="7287" xr:uid="{00000000-0005-0000-0000-000068310000}"/>
    <cellStyle name="Normal 23 2 23 2" xfId="19369" xr:uid="{00000000-0005-0000-0000-000069310000}"/>
    <cellStyle name="Normal 23 2 24" xfId="7288" xr:uid="{00000000-0005-0000-0000-00006A310000}"/>
    <cellStyle name="Normal 23 2 24 2" xfId="19370" xr:uid="{00000000-0005-0000-0000-00006B310000}"/>
    <cellStyle name="Normal 23 2 25" xfId="7289" xr:uid="{00000000-0005-0000-0000-00006C310000}"/>
    <cellStyle name="Normal 23 2 25 2" xfId="19371" xr:uid="{00000000-0005-0000-0000-00006D310000}"/>
    <cellStyle name="Normal 23 2 26" xfId="7290" xr:uid="{00000000-0005-0000-0000-00006E310000}"/>
    <cellStyle name="Normal 23 2 26 2" xfId="19372" xr:uid="{00000000-0005-0000-0000-00006F310000}"/>
    <cellStyle name="Normal 23 2 27" xfId="7291" xr:uid="{00000000-0005-0000-0000-000070310000}"/>
    <cellStyle name="Normal 23 2 27 2" xfId="19373" xr:uid="{00000000-0005-0000-0000-000071310000}"/>
    <cellStyle name="Normal 23 2 28" xfId="7292" xr:uid="{00000000-0005-0000-0000-000072310000}"/>
    <cellStyle name="Normal 23 2 28 2" xfId="19374" xr:uid="{00000000-0005-0000-0000-000073310000}"/>
    <cellStyle name="Normal 23 2 29" xfId="7293" xr:uid="{00000000-0005-0000-0000-000074310000}"/>
    <cellStyle name="Normal 23 2 29 2" xfId="19375" xr:uid="{00000000-0005-0000-0000-000075310000}"/>
    <cellStyle name="Normal 23 2 3" xfId="7294" xr:uid="{00000000-0005-0000-0000-000076310000}"/>
    <cellStyle name="Normal 23 2 3 2" xfId="19376" xr:uid="{00000000-0005-0000-0000-000077310000}"/>
    <cellStyle name="Normal 23 2 30" xfId="7295" xr:uid="{00000000-0005-0000-0000-000078310000}"/>
    <cellStyle name="Normal 23 2 30 2" xfId="19377" xr:uid="{00000000-0005-0000-0000-000079310000}"/>
    <cellStyle name="Normal 23 2 31" xfId="7296" xr:uid="{00000000-0005-0000-0000-00007A310000}"/>
    <cellStyle name="Normal 23 2 31 2" xfId="19378" xr:uid="{00000000-0005-0000-0000-00007B310000}"/>
    <cellStyle name="Normal 23 2 32" xfId="7297" xr:uid="{00000000-0005-0000-0000-00007C310000}"/>
    <cellStyle name="Normal 23 2 32 2" xfId="19379" xr:uid="{00000000-0005-0000-0000-00007D310000}"/>
    <cellStyle name="Normal 23 2 33" xfId="7298" xr:uid="{00000000-0005-0000-0000-00007E310000}"/>
    <cellStyle name="Normal 23 2 33 2" xfId="19380" xr:uid="{00000000-0005-0000-0000-00007F310000}"/>
    <cellStyle name="Normal 23 2 34" xfId="7299" xr:uid="{00000000-0005-0000-0000-000080310000}"/>
    <cellStyle name="Normal 23 2 34 2" xfId="19381" xr:uid="{00000000-0005-0000-0000-000081310000}"/>
    <cellStyle name="Normal 23 2 35" xfId="7300" xr:uid="{00000000-0005-0000-0000-000082310000}"/>
    <cellStyle name="Normal 23 2 35 2" xfId="19382" xr:uid="{00000000-0005-0000-0000-000083310000}"/>
    <cellStyle name="Normal 23 2 36" xfId="7301" xr:uid="{00000000-0005-0000-0000-000084310000}"/>
    <cellStyle name="Normal 23 2 36 2" xfId="19383" xr:uid="{00000000-0005-0000-0000-000085310000}"/>
    <cellStyle name="Normal 23 2 37" xfId="7302" xr:uid="{00000000-0005-0000-0000-000086310000}"/>
    <cellStyle name="Normal 23 2 37 2" xfId="19384" xr:uid="{00000000-0005-0000-0000-000087310000}"/>
    <cellStyle name="Normal 23 2 38" xfId="7303" xr:uid="{00000000-0005-0000-0000-000088310000}"/>
    <cellStyle name="Normal 23 2 38 2" xfId="19385" xr:uid="{00000000-0005-0000-0000-000089310000}"/>
    <cellStyle name="Normal 23 2 39" xfId="7304" xr:uid="{00000000-0005-0000-0000-00008A310000}"/>
    <cellStyle name="Normal 23 2 39 2" xfId="19386" xr:uid="{00000000-0005-0000-0000-00008B310000}"/>
    <cellStyle name="Normal 23 2 4" xfId="7305" xr:uid="{00000000-0005-0000-0000-00008C310000}"/>
    <cellStyle name="Normal 23 2 4 2" xfId="19387" xr:uid="{00000000-0005-0000-0000-00008D310000}"/>
    <cellStyle name="Normal 23 2 40" xfId="7306" xr:uid="{00000000-0005-0000-0000-00008E310000}"/>
    <cellStyle name="Normal 23 2 40 2" xfId="19388" xr:uid="{00000000-0005-0000-0000-00008F310000}"/>
    <cellStyle name="Normal 23 2 41" xfId="7307" xr:uid="{00000000-0005-0000-0000-000090310000}"/>
    <cellStyle name="Normal 23 2 41 2" xfId="19389" xr:uid="{00000000-0005-0000-0000-000091310000}"/>
    <cellStyle name="Normal 23 2 42" xfId="7308" xr:uid="{00000000-0005-0000-0000-000092310000}"/>
    <cellStyle name="Normal 23 2 42 2" xfId="19390" xr:uid="{00000000-0005-0000-0000-000093310000}"/>
    <cellStyle name="Normal 23 2 43" xfId="7309" xr:uid="{00000000-0005-0000-0000-000094310000}"/>
    <cellStyle name="Normal 23 2 43 2" xfId="19391" xr:uid="{00000000-0005-0000-0000-000095310000}"/>
    <cellStyle name="Normal 23 2 44" xfId="7310" xr:uid="{00000000-0005-0000-0000-000096310000}"/>
    <cellStyle name="Normal 23 2 44 2" xfId="19392" xr:uid="{00000000-0005-0000-0000-000097310000}"/>
    <cellStyle name="Normal 23 2 45" xfId="7311" xr:uid="{00000000-0005-0000-0000-000098310000}"/>
    <cellStyle name="Normal 23 2 45 2" xfId="19393" xr:uid="{00000000-0005-0000-0000-000099310000}"/>
    <cellStyle name="Normal 23 2 46" xfId="7312" xr:uid="{00000000-0005-0000-0000-00009A310000}"/>
    <cellStyle name="Normal 23 2 46 2" xfId="19394" xr:uid="{00000000-0005-0000-0000-00009B310000}"/>
    <cellStyle name="Normal 23 2 47" xfId="7313" xr:uid="{00000000-0005-0000-0000-00009C310000}"/>
    <cellStyle name="Normal 23 2 47 2" xfId="19395" xr:uid="{00000000-0005-0000-0000-00009D310000}"/>
    <cellStyle name="Normal 23 2 48" xfId="7314" xr:uid="{00000000-0005-0000-0000-00009E310000}"/>
    <cellStyle name="Normal 23 2 48 2" xfId="19396" xr:uid="{00000000-0005-0000-0000-00009F310000}"/>
    <cellStyle name="Normal 23 2 49" xfId="7315" xr:uid="{00000000-0005-0000-0000-0000A0310000}"/>
    <cellStyle name="Normal 23 2 49 2" xfId="19397" xr:uid="{00000000-0005-0000-0000-0000A1310000}"/>
    <cellStyle name="Normal 23 2 5" xfId="7316" xr:uid="{00000000-0005-0000-0000-0000A2310000}"/>
    <cellStyle name="Normal 23 2 5 2" xfId="19398" xr:uid="{00000000-0005-0000-0000-0000A3310000}"/>
    <cellStyle name="Normal 23 2 50" xfId="7317" xr:uid="{00000000-0005-0000-0000-0000A4310000}"/>
    <cellStyle name="Normal 23 2 50 2" xfId="19399" xr:uid="{00000000-0005-0000-0000-0000A5310000}"/>
    <cellStyle name="Normal 23 2 51" xfId="7318" xr:uid="{00000000-0005-0000-0000-0000A6310000}"/>
    <cellStyle name="Normal 23 2 51 2" xfId="19400" xr:uid="{00000000-0005-0000-0000-0000A7310000}"/>
    <cellStyle name="Normal 23 2 52" xfId="7319" xr:uid="{00000000-0005-0000-0000-0000A8310000}"/>
    <cellStyle name="Normal 23 2 52 2" xfId="19401" xr:uid="{00000000-0005-0000-0000-0000A9310000}"/>
    <cellStyle name="Normal 23 2 53" xfId="7320" xr:uid="{00000000-0005-0000-0000-0000AA310000}"/>
    <cellStyle name="Normal 23 2 53 2" xfId="19402" xr:uid="{00000000-0005-0000-0000-0000AB310000}"/>
    <cellStyle name="Normal 23 2 54" xfId="7321" xr:uid="{00000000-0005-0000-0000-0000AC310000}"/>
    <cellStyle name="Normal 23 2 54 2" xfId="19403" xr:uid="{00000000-0005-0000-0000-0000AD310000}"/>
    <cellStyle name="Normal 23 2 55" xfId="7322" xr:uid="{00000000-0005-0000-0000-0000AE310000}"/>
    <cellStyle name="Normal 23 2 55 2" xfId="19404" xr:uid="{00000000-0005-0000-0000-0000AF310000}"/>
    <cellStyle name="Normal 23 2 56" xfId="7323" xr:uid="{00000000-0005-0000-0000-0000B0310000}"/>
    <cellStyle name="Normal 23 2 56 2" xfId="19405" xr:uid="{00000000-0005-0000-0000-0000B1310000}"/>
    <cellStyle name="Normal 23 2 57" xfId="7324" xr:uid="{00000000-0005-0000-0000-0000B2310000}"/>
    <cellStyle name="Normal 23 2 57 2" xfId="19406" xr:uid="{00000000-0005-0000-0000-0000B3310000}"/>
    <cellStyle name="Normal 23 2 58" xfId="7325" xr:uid="{00000000-0005-0000-0000-0000B4310000}"/>
    <cellStyle name="Normal 23 2 58 2" xfId="19407" xr:uid="{00000000-0005-0000-0000-0000B5310000}"/>
    <cellStyle name="Normal 23 2 59" xfId="7326" xr:uid="{00000000-0005-0000-0000-0000B6310000}"/>
    <cellStyle name="Normal 23 2 59 2" xfId="19408" xr:uid="{00000000-0005-0000-0000-0000B7310000}"/>
    <cellStyle name="Normal 23 2 6" xfId="7327" xr:uid="{00000000-0005-0000-0000-0000B8310000}"/>
    <cellStyle name="Normal 23 2 6 2" xfId="19409" xr:uid="{00000000-0005-0000-0000-0000B9310000}"/>
    <cellStyle name="Normal 23 2 60" xfId="7328" xr:uid="{00000000-0005-0000-0000-0000BA310000}"/>
    <cellStyle name="Normal 23 2 60 2" xfId="19410" xr:uid="{00000000-0005-0000-0000-0000BB310000}"/>
    <cellStyle name="Normal 23 2 61" xfId="7329" xr:uid="{00000000-0005-0000-0000-0000BC310000}"/>
    <cellStyle name="Normal 23 2 61 2" xfId="19411" xr:uid="{00000000-0005-0000-0000-0000BD310000}"/>
    <cellStyle name="Normal 23 2 62" xfId="7330" xr:uid="{00000000-0005-0000-0000-0000BE310000}"/>
    <cellStyle name="Normal 23 2 62 2" xfId="19412" xr:uid="{00000000-0005-0000-0000-0000BF310000}"/>
    <cellStyle name="Normal 23 2 63" xfId="7331" xr:uid="{00000000-0005-0000-0000-0000C0310000}"/>
    <cellStyle name="Normal 23 2 63 2" xfId="19413" xr:uid="{00000000-0005-0000-0000-0000C1310000}"/>
    <cellStyle name="Normal 23 2 64" xfId="7332" xr:uid="{00000000-0005-0000-0000-0000C2310000}"/>
    <cellStyle name="Normal 23 2 64 2" xfId="19414" xr:uid="{00000000-0005-0000-0000-0000C3310000}"/>
    <cellStyle name="Normal 23 2 65" xfId="7333" xr:uid="{00000000-0005-0000-0000-0000C4310000}"/>
    <cellStyle name="Normal 23 2 65 2" xfId="19415" xr:uid="{00000000-0005-0000-0000-0000C5310000}"/>
    <cellStyle name="Normal 23 2 66" xfId="7334" xr:uid="{00000000-0005-0000-0000-0000C6310000}"/>
    <cellStyle name="Normal 23 2 66 2" xfId="19416" xr:uid="{00000000-0005-0000-0000-0000C7310000}"/>
    <cellStyle name="Normal 23 2 67" xfId="7335" xr:uid="{00000000-0005-0000-0000-0000C8310000}"/>
    <cellStyle name="Normal 23 2 67 2" xfId="19417" xr:uid="{00000000-0005-0000-0000-0000C9310000}"/>
    <cellStyle name="Normal 23 2 68" xfId="7336" xr:uid="{00000000-0005-0000-0000-0000CA310000}"/>
    <cellStyle name="Normal 23 2 68 2" xfId="19418" xr:uid="{00000000-0005-0000-0000-0000CB310000}"/>
    <cellStyle name="Normal 23 2 69" xfId="7337" xr:uid="{00000000-0005-0000-0000-0000CC310000}"/>
    <cellStyle name="Normal 23 2 69 2" xfId="19419" xr:uid="{00000000-0005-0000-0000-0000CD310000}"/>
    <cellStyle name="Normal 23 2 7" xfId="7338" xr:uid="{00000000-0005-0000-0000-0000CE310000}"/>
    <cellStyle name="Normal 23 2 7 2" xfId="19420" xr:uid="{00000000-0005-0000-0000-0000CF310000}"/>
    <cellStyle name="Normal 23 2 70" xfId="7339" xr:uid="{00000000-0005-0000-0000-0000D0310000}"/>
    <cellStyle name="Normal 23 2 70 2" xfId="19421" xr:uid="{00000000-0005-0000-0000-0000D1310000}"/>
    <cellStyle name="Normal 23 2 71" xfId="7340" xr:uid="{00000000-0005-0000-0000-0000D2310000}"/>
    <cellStyle name="Normal 23 2 71 2" xfId="19422" xr:uid="{00000000-0005-0000-0000-0000D3310000}"/>
    <cellStyle name="Normal 23 2 72" xfId="7341" xr:uid="{00000000-0005-0000-0000-0000D4310000}"/>
    <cellStyle name="Normal 23 2 72 2" xfId="19423" xr:uid="{00000000-0005-0000-0000-0000D5310000}"/>
    <cellStyle name="Normal 23 2 73" xfId="7342" xr:uid="{00000000-0005-0000-0000-0000D6310000}"/>
    <cellStyle name="Normal 23 2 73 2" xfId="19424" xr:uid="{00000000-0005-0000-0000-0000D7310000}"/>
    <cellStyle name="Normal 23 2 74" xfId="7343" xr:uid="{00000000-0005-0000-0000-0000D8310000}"/>
    <cellStyle name="Normal 23 2 74 2" xfId="19425" xr:uid="{00000000-0005-0000-0000-0000D9310000}"/>
    <cellStyle name="Normal 23 2 75" xfId="7344" xr:uid="{00000000-0005-0000-0000-0000DA310000}"/>
    <cellStyle name="Normal 23 2 75 2" xfId="19426" xr:uid="{00000000-0005-0000-0000-0000DB310000}"/>
    <cellStyle name="Normal 23 2 76" xfId="7345" xr:uid="{00000000-0005-0000-0000-0000DC310000}"/>
    <cellStyle name="Normal 23 2 76 2" xfId="19427" xr:uid="{00000000-0005-0000-0000-0000DD310000}"/>
    <cellStyle name="Normal 23 2 77" xfId="7346" xr:uid="{00000000-0005-0000-0000-0000DE310000}"/>
    <cellStyle name="Normal 23 2 77 2" xfId="19428" xr:uid="{00000000-0005-0000-0000-0000DF310000}"/>
    <cellStyle name="Normal 23 2 78" xfId="7347" xr:uid="{00000000-0005-0000-0000-0000E0310000}"/>
    <cellStyle name="Normal 23 2 78 2" xfId="19429" xr:uid="{00000000-0005-0000-0000-0000E1310000}"/>
    <cellStyle name="Normal 23 2 79" xfId="7348" xr:uid="{00000000-0005-0000-0000-0000E2310000}"/>
    <cellStyle name="Normal 23 2 79 2" xfId="19430" xr:uid="{00000000-0005-0000-0000-0000E3310000}"/>
    <cellStyle name="Normal 23 2 8" xfId="7349" xr:uid="{00000000-0005-0000-0000-0000E4310000}"/>
    <cellStyle name="Normal 23 2 8 2" xfId="19431" xr:uid="{00000000-0005-0000-0000-0000E5310000}"/>
    <cellStyle name="Normal 23 2 80" xfId="19354" xr:uid="{00000000-0005-0000-0000-0000E6310000}"/>
    <cellStyle name="Normal 23 2 9" xfId="7350" xr:uid="{00000000-0005-0000-0000-0000E7310000}"/>
    <cellStyle name="Normal 23 2 9 2" xfId="19432" xr:uid="{00000000-0005-0000-0000-0000E8310000}"/>
    <cellStyle name="Normal 23 20" xfId="7351" xr:uid="{00000000-0005-0000-0000-0000E9310000}"/>
    <cellStyle name="Normal 23 20 2" xfId="19433" xr:uid="{00000000-0005-0000-0000-0000EA310000}"/>
    <cellStyle name="Normal 23 21" xfId="7352" xr:uid="{00000000-0005-0000-0000-0000EB310000}"/>
    <cellStyle name="Normal 23 21 2" xfId="19434" xr:uid="{00000000-0005-0000-0000-0000EC310000}"/>
    <cellStyle name="Normal 23 22" xfId="7353" xr:uid="{00000000-0005-0000-0000-0000ED310000}"/>
    <cellStyle name="Normal 23 22 2" xfId="19435" xr:uid="{00000000-0005-0000-0000-0000EE310000}"/>
    <cellStyle name="Normal 23 23" xfId="7354" xr:uid="{00000000-0005-0000-0000-0000EF310000}"/>
    <cellStyle name="Normal 23 23 2" xfId="19436" xr:uid="{00000000-0005-0000-0000-0000F0310000}"/>
    <cellStyle name="Normal 23 24" xfId="7355" xr:uid="{00000000-0005-0000-0000-0000F1310000}"/>
    <cellStyle name="Normal 23 24 2" xfId="19437" xr:uid="{00000000-0005-0000-0000-0000F2310000}"/>
    <cellStyle name="Normal 23 25" xfId="7356" xr:uid="{00000000-0005-0000-0000-0000F3310000}"/>
    <cellStyle name="Normal 23 25 2" xfId="19438" xr:uid="{00000000-0005-0000-0000-0000F4310000}"/>
    <cellStyle name="Normal 23 26" xfId="7357" xr:uid="{00000000-0005-0000-0000-0000F5310000}"/>
    <cellStyle name="Normal 23 26 2" xfId="19439" xr:uid="{00000000-0005-0000-0000-0000F6310000}"/>
    <cellStyle name="Normal 23 27" xfId="7358" xr:uid="{00000000-0005-0000-0000-0000F7310000}"/>
    <cellStyle name="Normal 23 27 2" xfId="19440" xr:uid="{00000000-0005-0000-0000-0000F8310000}"/>
    <cellStyle name="Normal 23 28" xfId="7359" xr:uid="{00000000-0005-0000-0000-0000F9310000}"/>
    <cellStyle name="Normal 23 28 2" xfId="19441" xr:uid="{00000000-0005-0000-0000-0000FA310000}"/>
    <cellStyle name="Normal 23 29" xfId="7360" xr:uid="{00000000-0005-0000-0000-0000FB310000}"/>
    <cellStyle name="Normal 23 29 2" xfId="19442" xr:uid="{00000000-0005-0000-0000-0000FC310000}"/>
    <cellStyle name="Normal 23 3" xfId="7361" xr:uid="{00000000-0005-0000-0000-0000FD310000}"/>
    <cellStyle name="Normal 23 3 10" xfId="7362" xr:uid="{00000000-0005-0000-0000-0000FE310000}"/>
    <cellStyle name="Normal 23 3 10 2" xfId="19444" xr:uid="{00000000-0005-0000-0000-0000FF310000}"/>
    <cellStyle name="Normal 23 3 11" xfId="7363" xr:uid="{00000000-0005-0000-0000-000000320000}"/>
    <cellStyle name="Normal 23 3 11 2" xfId="19445" xr:uid="{00000000-0005-0000-0000-000001320000}"/>
    <cellStyle name="Normal 23 3 12" xfId="7364" xr:uid="{00000000-0005-0000-0000-000002320000}"/>
    <cellStyle name="Normal 23 3 12 2" xfId="19446" xr:uid="{00000000-0005-0000-0000-000003320000}"/>
    <cellStyle name="Normal 23 3 13" xfId="7365" xr:uid="{00000000-0005-0000-0000-000004320000}"/>
    <cellStyle name="Normal 23 3 13 2" xfId="19447" xr:uid="{00000000-0005-0000-0000-000005320000}"/>
    <cellStyle name="Normal 23 3 14" xfId="7366" xr:uid="{00000000-0005-0000-0000-000006320000}"/>
    <cellStyle name="Normal 23 3 14 2" xfId="19448" xr:uid="{00000000-0005-0000-0000-000007320000}"/>
    <cellStyle name="Normal 23 3 15" xfId="7367" xr:uid="{00000000-0005-0000-0000-000008320000}"/>
    <cellStyle name="Normal 23 3 15 2" xfId="19449" xr:uid="{00000000-0005-0000-0000-000009320000}"/>
    <cellStyle name="Normal 23 3 16" xfId="7368" xr:uid="{00000000-0005-0000-0000-00000A320000}"/>
    <cellStyle name="Normal 23 3 16 2" xfId="19450" xr:uid="{00000000-0005-0000-0000-00000B320000}"/>
    <cellStyle name="Normal 23 3 17" xfId="7369" xr:uid="{00000000-0005-0000-0000-00000C320000}"/>
    <cellStyle name="Normal 23 3 17 2" xfId="19451" xr:uid="{00000000-0005-0000-0000-00000D320000}"/>
    <cellStyle name="Normal 23 3 18" xfId="7370" xr:uid="{00000000-0005-0000-0000-00000E320000}"/>
    <cellStyle name="Normal 23 3 18 2" xfId="19452" xr:uid="{00000000-0005-0000-0000-00000F320000}"/>
    <cellStyle name="Normal 23 3 19" xfId="7371" xr:uid="{00000000-0005-0000-0000-000010320000}"/>
    <cellStyle name="Normal 23 3 19 2" xfId="19453" xr:uid="{00000000-0005-0000-0000-000011320000}"/>
    <cellStyle name="Normal 23 3 2" xfId="7372" xr:uid="{00000000-0005-0000-0000-000012320000}"/>
    <cellStyle name="Normal 23 3 2 2" xfId="19454" xr:uid="{00000000-0005-0000-0000-000013320000}"/>
    <cellStyle name="Normal 23 3 20" xfId="7373" xr:uid="{00000000-0005-0000-0000-000014320000}"/>
    <cellStyle name="Normal 23 3 20 2" xfId="19455" xr:uid="{00000000-0005-0000-0000-000015320000}"/>
    <cellStyle name="Normal 23 3 21" xfId="7374" xr:uid="{00000000-0005-0000-0000-000016320000}"/>
    <cellStyle name="Normal 23 3 21 2" xfId="19456" xr:uid="{00000000-0005-0000-0000-000017320000}"/>
    <cellStyle name="Normal 23 3 22" xfId="7375" xr:uid="{00000000-0005-0000-0000-000018320000}"/>
    <cellStyle name="Normal 23 3 22 2" xfId="19457" xr:uid="{00000000-0005-0000-0000-000019320000}"/>
    <cellStyle name="Normal 23 3 23" xfId="7376" xr:uid="{00000000-0005-0000-0000-00001A320000}"/>
    <cellStyle name="Normal 23 3 23 2" xfId="19458" xr:uid="{00000000-0005-0000-0000-00001B320000}"/>
    <cellStyle name="Normal 23 3 24" xfId="7377" xr:uid="{00000000-0005-0000-0000-00001C320000}"/>
    <cellStyle name="Normal 23 3 24 2" xfId="19459" xr:uid="{00000000-0005-0000-0000-00001D320000}"/>
    <cellStyle name="Normal 23 3 25" xfId="7378" xr:uid="{00000000-0005-0000-0000-00001E320000}"/>
    <cellStyle name="Normal 23 3 25 2" xfId="19460" xr:uid="{00000000-0005-0000-0000-00001F320000}"/>
    <cellStyle name="Normal 23 3 26" xfId="7379" xr:uid="{00000000-0005-0000-0000-000020320000}"/>
    <cellStyle name="Normal 23 3 26 2" xfId="19461" xr:uid="{00000000-0005-0000-0000-000021320000}"/>
    <cellStyle name="Normal 23 3 27" xfId="7380" xr:uid="{00000000-0005-0000-0000-000022320000}"/>
    <cellStyle name="Normal 23 3 27 2" xfId="19462" xr:uid="{00000000-0005-0000-0000-000023320000}"/>
    <cellStyle name="Normal 23 3 28" xfId="7381" xr:uid="{00000000-0005-0000-0000-000024320000}"/>
    <cellStyle name="Normal 23 3 28 2" xfId="19463" xr:uid="{00000000-0005-0000-0000-000025320000}"/>
    <cellStyle name="Normal 23 3 29" xfId="7382" xr:uid="{00000000-0005-0000-0000-000026320000}"/>
    <cellStyle name="Normal 23 3 29 2" xfId="19464" xr:uid="{00000000-0005-0000-0000-000027320000}"/>
    <cellStyle name="Normal 23 3 3" xfId="7383" xr:uid="{00000000-0005-0000-0000-000028320000}"/>
    <cellStyle name="Normal 23 3 3 2" xfId="19465" xr:uid="{00000000-0005-0000-0000-000029320000}"/>
    <cellStyle name="Normal 23 3 30" xfId="7384" xr:uid="{00000000-0005-0000-0000-00002A320000}"/>
    <cellStyle name="Normal 23 3 30 2" xfId="19466" xr:uid="{00000000-0005-0000-0000-00002B320000}"/>
    <cellStyle name="Normal 23 3 31" xfId="7385" xr:uid="{00000000-0005-0000-0000-00002C320000}"/>
    <cellStyle name="Normal 23 3 31 2" xfId="19467" xr:uid="{00000000-0005-0000-0000-00002D320000}"/>
    <cellStyle name="Normal 23 3 32" xfId="7386" xr:uid="{00000000-0005-0000-0000-00002E320000}"/>
    <cellStyle name="Normal 23 3 32 2" xfId="19468" xr:uid="{00000000-0005-0000-0000-00002F320000}"/>
    <cellStyle name="Normal 23 3 33" xfId="7387" xr:uid="{00000000-0005-0000-0000-000030320000}"/>
    <cellStyle name="Normal 23 3 33 2" xfId="19469" xr:uid="{00000000-0005-0000-0000-000031320000}"/>
    <cellStyle name="Normal 23 3 34" xfId="7388" xr:uid="{00000000-0005-0000-0000-000032320000}"/>
    <cellStyle name="Normal 23 3 34 2" xfId="19470" xr:uid="{00000000-0005-0000-0000-000033320000}"/>
    <cellStyle name="Normal 23 3 35" xfId="7389" xr:uid="{00000000-0005-0000-0000-000034320000}"/>
    <cellStyle name="Normal 23 3 35 2" xfId="19471" xr:uid="{00000000-0005-0000-0000-000035320000}"/>
    <cellStyle name="Normal 23 3 36" xfId="7390" xr:uid="{00000000-0005-0000-0000-000036320000}"/>
    <cellStyle name="Normal 23 3 36 2" xfId="19472" xr:uid="{00000000-0005-0000-0000-000037320000}"/>
    <cellStyle name="Normal 23 3 37" xfId="7391" xr:uid="{00000000-0005-0000-0000-000038320000}"/>
    <cellStyle name="Normal 23 3 37 2" xfId="19473" xr:uid="{00000000-0005-0000-0000-000039320000}"/>
    <cellStyle name="Normal 23 3 38" xfId="7392" xr:uid="{00000000-0005-0000-0000-00003A320000}"/>
    <cellStyle name="Normal 23 3 38 2" xfId="19474" xr:uid="{00000000-0005-0000-0000-00003B320000}"/>
    <cellStyle name="Normal 23 3 39" xfId="7393" xr:uid="{00000000-0005-0000-0000-00003C320000}"/>
    <cellStyle name="Normal 23 3 39 2" xfId="19475" xr:uid="{00000000-0005-0000-0000-00003D320000}"/>
    <cellStyle name="Normal 23 3 4" xfId="7394" xr:uid="{00000000-0005-0000-0000-00003E320000}"/>
    <cellStyle name="Normal 23 3 4 2" xfId="19476" xr:uid="{00000000-0005-0000-0000-00003F320000}"/>
    <cellStyle name="Normal 23 3 40" xfId="7395" xr:uid="{00000000-0005-0000-0000-000040320000}"/>
    <cellStyle name="Normal 23 3 40 2" xfId="19477" xr:uid="{00000000-0005-0000-0000-000041320000}"/>
    <cellStyle name="Normal 23 3 41" xfId="7396" xr:uid="{00000000-0005-0000-0000-000042320000}"/>
    <cellStyle name="Normal 23 3 41 2" xfId="19478" xr:uid="{00000000-0005-0000-0000-000043320000}"/>
    <cellStyle name="Normal 23 3 42" xfId="7397" xr:uid="{00000000-0005-0000-0000-000044320000}"/>
    <cellStyle name="Normal 23 3 42 2" xfId="19479" xr:uid="{00000000-0005-0000-0000-000045320000}"/>
    <cellStyle name="Normal 23 3 43" xfId="7398" xr:uid="{00000000-0005-0000-0000-000046320000}"/>
    <cellStyle name="Normal 23 3 43 2" xfId="19480" xr:uid="{00000000-0005-0000-0000-000047320000}"/>
    <cellStyle name="Normal 23 3 44" xfId="7399" xr:uid="{00000000-0005-0000-0000-000048320000}"/>
    <cellStyle name="Normal 23 3 44 2" xfId="19481" xr:uid="{00000000-0005-0000-0000-000049320000}"/>
    <cellStyle name="Normal 23 3 45" xfId="7400" xr:uid="{00000000-0005-0000-0000-00004A320000}"/>
    <cellStyle name="Normal 23 3 45 2" xfId="19482" xr:uid="{00000000-0005-0000-0000-00004B320000}"/>
    <cellStyle name="Normal 23 3 46" xfId="7401" xr:uid="{00000000-0005-0000-0000-00004C320000}"/>
    <cellStyle name="Normal 23 3 46 2" xfId="19483" xr:uid="{00000000-0005-0000-0000-00004D320000}"/>
    <cellStyle name="Normal 23 3 47" xfId="7402" xr:uid="{00000000-0005-0000-0000-00004E320000}"/>
    <cellStyle name="Normal 23 3 47 2" xfId="19484" xr:uid="{00000000-0005-0000-0000-00004F320000}"/>
    <cellStyle name="Normal 23 3 48" xfId="7403" xr:uid="{00000000-0005-0000-0000-000050320000}"/>
    <cellStyle name="Normal 23 3 48 2" xfId="19485" xr:uid="{00000000-0005-0000-0000-000051320000}"/>
    <cellStyle name="Normal 23 3 49" xfId="7404" xr:uid="{00000000-0005-0000-0000-000052320000}"/>
    <cellStyle name="Normal 23 3 49 2" xfId="19486" xr:uid="{00000000-0005-0000-0000-000053320000}"/>
    <cellStyle name="Normal 23 3 5" xfId="7405" xr:uid="{00000000-0005-0000-0000-000054320000}"/>
    <cellStyle name="Normal 23 3 5 2" xfId="19487" xr:uid="{00000000-0005-0000-0000-000055320000}"/>
    <cellStyle name="Normal 23 3 50" xfId="7406" xr:uid="{00000000-0005-0000-0000-000056320000}"/>
    <cellStyle name="Normal 23 3 50 2" xfId="19488" xr:uid="{00000000-0005-0000-0000-000057320000}"/>
    <cellStyle name="Normal 23 3 51" xfId="7407" xr:uid="{00000000-0005-0000-0000-000058320000}"/>
    <cellStyle name="Normal 23 3 51 2" xfId="19489" xr:uid="{00000000-0005-0000-0000-000059320000}"/>
    <cellStyle name="Normal 23 3 52" xfId="7408" xr:uid="{00000000-0005-0000-0000-00005A320000}"/>
    <cellStyle name="Normal 23 3 52 2" xfId="19490" xr:uid="{00000000-0005-0000-0000-00005B320000}"/>
    <cellStyle name="Normal 23 3 53" xfId="7409" xr:uid="{00000000-0005-0000-0000-00005C320000}"/>
    <cellStyle name="Normal 23 3 53 2" xfId="19491" xr:uid="{00000000-0005-0000-0000-00005D320000}"/>
    <cellStyle name="Normal 23 3 54" xfId="7410" xr:uid="{00000000-0005-0000-0000-00005E320000}"/>
    <cellStyle name="Normal 23 3 54 2" xfId="19492" xr:uid="{00000000-0005-0000-0000-00005F320000}"/>
    <cellStyle name="Normal 23 3 55" xfId="7411" xr:uid="{00000000-0005-0000-0000-000060320000}"/>
    <cellStyle name="Normal 23 3 55 2" xfId="19493" xr:uid="{00000000-0005-0000-0000-000061320000}"/>
    <cellStyle name="Normal 23 3 56" xfId="7412" xr:uid="{00000000-0005-0000-0000-000062320000}"/>
    <cellStyle name="Normal 23 3 56 2" xfId="19494" xr:uid="{00000000-0005-0000-0000-000063320000}"/>
    <cellStyle name="Normal 23 3 57" xfId="7413" xr:uid="{00000000-0005-0000-0000-000064320000}"/>
    <cellStyle name="Normal 23 3 57 2" xfId="19495" xr:uid="{00000000-0005-0000-0000-000065320000}"/>
    <cellStyle name="Normal 23 3 58" xfId="7414" xr:uid="{00000000-0005-0000-0000-000066320000}"/>
    <cellStyle name="Normal 23 3 58 2" xfId="19496" xr:uid="{00000000-0005-0000-0000-000067320000}"/>
    <cellStyle name="Normal 23 3 59" xfId="7415" xr:uid="{00000000-0005-0000-0000-000068320000}"/>
    <cellStyle name="Normal 23 3 59 2" xfId="19497" xr:uid="{00000000-0005-0000-0000-000069320000}"/>
    <cellStyle name="Normal 23 3 6" xfId="7416" xr:uid="{00000000-0005-0000-0000-00006A320000}"/>
    <cellStyle name="Normal 23 3 6 2" xfId="19498" xr:uid="{00000000-0005-0000-0000-00006B320000}"/>
    <cellStyle name="Normal 23 3 60" xfId="7417" xr:uid="{00000000-0005-0000-0000-00006C320000}"/>
    <cellStyle name="Normal 23 3 60 2" xfId="19499" xr:uid="{00000000-0005-0000-0000-00006D320000}"/>
    <cellStyle name="Normal 23 3 61" xfId="7418" xr:uid="{00000000-0005-0000-0000-00006E320000}"/>
    <cellStyle name="Normal 23 3 61 2" xfId="19500" xr:uid="{00000000-0005-0000-0000-00006F320000}"/>
    <cellStyle name="Normal 23 3 62" xfId="7419" xr:uid="{00000000-0005-0000-0000-000070320000}"/>
    <cellStyle name="Normal 23 3 62 2" xfId="19501" xr:uid="{00000000-0005-0000-0000-000071320000}"/>
    <cellStyle name="Normal 23 3 63" xfId="7420" xr:uid="{00000000-0005-0000-0000-000072320000}"/>
    <cellStyle name="Normal 23 3 63 2" xfId="19502" xr:uid="{00000000-0005-0000-0000-000073320000}"/>
    <cellStyle name="Normal 23 3 64" xfId="7421" xr:uid="{00000000-0005-0000-0000-000074320000}"/>
    <cellStyle name="Normal 23 3 64 2" xfId="19503" xr:uid="{00000000-0005-0000-0000-000075320000}"/>
    <cellStyle name="Normal 23 3 65" xfId="7422" xr:uid="{00000000-0005-0000-0000-000076320000}"/>
    <cellStyle name="Normal 23 3 65 2" xfId="19504" xr:uid="{00000000-0005-0000-0000-000077320000}"/>
    <cellStyle name="Normal 23 3 66" xfId="7423" xr:uid="{00000000-0005-0000-0000-000078320000}"/>
    <cellStyle name="Normal 23 3 66 2" xfId="19505" xr:uid="{00000000-0005-0000-0000-000079320000}"/>
    <cellStyle name="Normal 23 3 67" xfId="7424" xr:uid="{00000000-0005-0000-0000-00007A320000}"/>
    <cellStyle name="Normal 23 3 67 2" xfId="19506" xr:uid="{00000000-0005-0000-0000-00007B320000}"/>
    <cellStyle name="Normal 23 3 68" xfId="7425" xr:uid="{00000000-0005-0000-0000-00007C320000}"/>
    <cellStyle name="Normal 23 3 68 2" xfId="19507" xr:uid="{00000000-0005-0000-0000-00007D320000}"/>
    <cellStyle name="Normal 23 3 69" xfId="7426" xr:uid="{00000000-0005-0000-0000-00007E320000}"/>
    <cellStyle name="Normal 23 3 69 2" xfId="19508" xr:uid="{00000000-0005-0000-0000-00007F320000}"/>
    <cellStyle name="Normal 23 3 7" xfId="7427" xr:uid="{00000000-0005-0000-0000-000080320000}"/>
    <cellStyle name="Normal 23 3 7 2" xfId="19509" xr:uid="{00000000-0005-0000-0000-000081320000}"/>
    <cellStyle name="Normal 23 3 70" xfId="7428" xr:uid="{00000000-0005-0000-0000-000082320000}"/>
    <cellStyle name="Normal 23 3 70 2" xfId="19510" xr:uid="{00000000-0005-0000-0000-000083320000}"/>
    <cellStyle name="Normal 23 3 71" xfId="7429" xr:uid="{00000000-0005-0000-0000-000084320000}"/>
    <cellStyle name="Normal 23 3 71 2" xfId="19511" xr:uid="{00000000-0005-0000-0000-000085320000}"/>
    <cellStyle name="Normal 23 3 72" xfId="7430" xr:uid="{00000000-0005-0000-0000-000086320000}"/>
    <cellStyle name="Normal 23 3 72 2" xfId="19512" xr:uid="{00000000-0005-0000-0000-000087320000}"/>
    <cellStyle name="Normal 23 3 73" xfId="7431" xr:uid="{00000000-0005-0000-0000-000088320000}"/>
    <cellStyle name="Normal 23 3 73 2" xfId="19513" xr:uid="{00000000-0005-0000-0000-000089320000}"/>
    <cellStyle name="Normal 23 3 74" xfId="7432" xr:uid="{00000000-0005-0000-0000-00008A320000}"/>
    <cellStyle name="Normal 23 3 74 2" xfId="19514" xr:uid="{00000000-0005-0000-0000-00008B320000}"/>
    <cellStyle name="Normal 23 3 75" xfId="7433" xr:uid="{00000000-0005-0000-0000-00008C320000}"/>
    <cellStyle name="Normal 23 3 75 2" xfId="19515" xr:uid="{00000000-0005-0000-0000-00008D320000}"/>
    <cellStyle name="Normal 23 3 76" xfId="7434" xr:uid="{00000000-0005-0000-0000-00008E320000}"/>
    <cellStyle name="Normal 23 3 76 2" xfId="19516" xr:uid="{00000000-0005-0000-0000-00008F320000}"/>
    <cellStyle name="Normal 23 3 77" xfId="7435" xr:uid="{00000000-0005-0000-0000-000090320000}"/>
    <cellStyle name="Normal 23 3 77 2" xfId="19517" xr:uid="{00000000-0005-0000-0000-000091320000}"/>
    <cellStyle name="Normal 23 3 78" xfId="7436" xr:uid="{00000000-0005-0000-0000-000092320000}"/>
    <cellStyle name="Normal 23 3 78 2" xfId="19518" xr:uid="{00000000-0005-0000-0000-000093320000}"/>
    <cellStyle name="Normal 23 3 79" xfId="7437" xr:uid="{00000000-0005-0000-0000-000094320000}"/>
    <cellStyle name="Normal 23 3 79 2" xfId="19519" xr:uid="{00000000-0005-0000-0000-000095320000}"/>
    <cellStyle name="Normal 23 3 8" xfId="7438" xr:uid="{00000000-0005-0000-0000-000096320000}"/>
    <cellStyle name="Normal 23 3 8 2" xfId="19520" xr:uid="{00000000-0005-0000-0000-000097320000}"/>
    <cellStyle name="Normal 23 3 80" xfId="19443" xr:uid="{00000000-0005-0000-0000-000098320000}"/>
    <cellStyle name="Normal 23 3 9" xfId="7439" xr:uid="{00000000-0005-0000-0000-000099320000}"/>
    <cellStyle name="Normal 23 3 9 2" xfId="19521" xr:uid="{00000000-0005-0000-0000-00009A320000}"/>
    <cellStyle name="Normal 23 30" xfId="7440" xr:uid="{00000000-0005-0000-0000-00009B320000}"/>
    <cellStyle name="Normal 23 30 2" xfId="19522" xr:uid="{00000000-0005-0000-0000-00009C320000}"/>
    <cellStyle name="Normal 23 31" xfId="7441" xr:uid="{00000000-0005-0000-0000-00009D320000}"/>
    <cellStyle name="Normal 23 31 2" xfId="19523" xr:uid="{00000000-0005-0000-0000-00009E320000}"/>
    <cellStyle name="Normal 23 32" xfId="7442" xr:uid="{00000000-0005-0000-0000-00009F320000}"/>
    <cellStyle name="Normal 23 32 2" xfId="19524" xr:uid="{00000000-0005-0000-0000-0000A0320000}"/>
    <cellStyle name="Normal 23 33" xfId="7443" xr:uid="{00000000-0005-0000-0000-0000A1320000}"/>
    <cellStyle name="Normal 23 33 2" xfId="19525" xr:uid="{00000000-0005-0000-0000-0000A2320000}"/>
    <cellStyle name="Normal 23 34" xfId="7444" xr:uid="{00000000-0005-0000-0000-0000A3320000}"/>
    <cellStyle name="Normal 23 34 2" xfId="19526" xr:uid="{00000000-0005-0000-0000-0000A4320000}"/>
    <cellStyle name="Normal 23 35" xfId="7445" xr:uid="{00000000-0005-0000-0000-0000A5320000}"/>
    <cellStyle name="Normal 23 35 2" xfId="19527" xr:uid="{00000000-0005-0000-0000-0000A6320000}"/>
    <cellStyle name="Normal 23 36" xfId="7446" xr:uid="{00000000-0005-0000-0000-0000A7320000}"/>
    <cellStyle name="Normal 23 36 2" xfId="19528" xr:uid="{00000000-0005-0000-0000-0000A8320000}"/>
    <cellStyle name="Normal 23 37" xfId="7447" xr:uid="{00000000-0005-0000-0000-0000A9320000}"/>
    <cellStyle name="Normal 23 37 2" xfId="19529" xr:uid="{00000000-0005-0000-0000-0000AA320000}"/>
    <cellStyle name="Normal 23 38" xfId="7448" xr:uid="{00000000-0005-0000-0000-0000AB320000}"/>
    <cellStyle name="Normal 23 38 2" xfId="19530" xr:uid="{00000000-0005-0000-0000-0000AC320000}"/>
    <cellStyle name="Normal 23 39" xfId="7449" xr:uid="{00000000-0005-0000-0000-0000AD320000}"/>
    <cellStyle name="Normal 23 39 2" xfId="19531" xr:uid="{00000000-0005-0000-0000-0000AE320000}"/>
    <cellStyle name="Normal 23 4" xfId="7450" xr:uid="{00000000-0005-0000-0000-0000AF320000}"/>
    <cellStyle name="Normal 23 4 10" xfId="7451" xr:uid="{00000000-0005-0000-0000-0000B0320000}"/>
    <cellStyle name="Normal 23 4 10 2" xfId="19533" xr:uid="{00000000-0005-0000-0000-0000B1320000}"/>
    <cellStyle name="Normal 23 4 11" xfId="7452" xr:uid="{00000000-0005-0000-0000-0000B2320000}"/>
    <cellStyle name="Normal 23 4 11 2" xfId="19534" xr:uid="{00000000-0005-0000-0000-0000B3320000}"/>
    <cellStyle name="Normal 23 4 12" xfId="7453" xr:uid="{00000000-0005-0000-0000-0000B4320000}"/>
    <cellStyle name="Normal 23 4 12 2" xfId="19535" xr:uid="{00000000-0005-0000-0000-0000B5320000}"/>
    <cellStyle name="Normal 23 4 13" xfId="7454" xr:uid="{00000000-0005-0000-0000-0000B6320000}"/>
    <cellStyle name="Normal 23 4 13 2" xfId="19536" xr:uid="{00000000-0005-0000-0000-0000B7320000}"/>
    <cellStyle name="Normal 23 4 14" xfId="7455" xr:uid="{00000000-0005-0000-0000-0000B8320000}"/>
    <cellStyle name="Normal 23 4 14 2" xfId="19537" xr:uid="{00000000-0005-0000-0000-0000B9320000}"/>
    <cellStyle name="Normal 23 4 15" xfId="7456" xr:uid="{00000000-0005-0000-0000-0000BA320000}"/>
    <cellStyle name="Normal 23 4 15 2" xfId="19538" xr:uid="{00000000-0005-0000-0000-0000BB320000}"/>
    <cellStyle name="Normal 23 4 16" xfId="7457" xr:uid="{00000000-0005-0000-0000-0000BC320000}"/>
    <cellStyle name="Normal 23 4 16 2" xfId="19539" xr:uid="{00000000-0005-0000-0000-0000BD320000}"/>
    <cellStyle name="Normal 23 4 17" xfId="7458" xr:uid="{00000000-0005-0000-0000-0000BE320000}"/>
    <cellStyle name="Normal 23 4 17 2" xfId="19540" xr:uid="{00000000-0005-0000-0000-0000BF320000}"/>
    <cellStyle name="Normal 23 4 18" xfId="7459" xr:uid="{00000000-0005-0000-0000-0000C0320000}"/>
    <cellStyle name="Normal 23 4 18 2" xfId="19541" xr:uid="{00000000-0005-0000-0000-0000C1320000}"/>
    <cellStyle name="Normal 23 4 19" xfId="7460" xr:uid="{00000000-0005-0000-0000-0000C2320000}"/>
    <cellStyle name="Normal 23 4 19 2" xfId="19542" xr:uid="{00000000-0005-0000-0000-0000C3320000}"/>
    <cellStyle name="Normal 23 4 2" xfId="7461" xr:uid="{00000000-0005-0000-0000-0000C4320000}"/>
    <cellStyle name="Normal 23 4 2 2" xfId="19543" xr:uid="{00000000-0005-0000-0000-0000C5320000}"/>
    <cellStyle name="Normal 23 4 20" xfId="7462" xr:uid="{00000000-0005-0000-0000-0000C6320000}"/>
    <cellStyle name="Normal 23 4 20 2" xfId="19544" xr:uid="{00000000-0005-0000-0000-0000C7320000}"/>
    <cellStyle name="Normal 23 4 21" xfId="7463" xr:uid="{00000000-0005-0000-0000-0000C8320000}"/>
    <cellStyle name="Normal 23 4 21 2" xfId="19545" xr:uid="{00000000-0005-0000-0000-0000C9320000}"/>
    <cellStyle name="Normal 23 4 22" xfId="7464" xr:uid="{00000000-0005-0000-0000-0000CA320000}"/>
    <cellStyle name="Normal 23 4 22 2" xfId="19546" xr:uid="{00000000-0005-0000-0000-0000CB320000}"/>
    <cellStyle name="Normal 23 4 23" xfId="7465" xr:uid="{00000000-0005-0000-0000-0000CC320000}"/>
    <cellStyle name="Normal 23 4 23 2" xfId="19547" xr:uid="{00000000-0005-0000-0000-0000CD320000}"/>
    <cellStyle name="Normal 23 4 24" xfId="7466" xr:uid="{00000000-0005-0000-0000-0000CE320000}"/>
    <cellStyle name="Normal 23 4 24 2" xfId="19548" xr:uid="{00000000-0005-0000-0000-0000CF320000}"/>
    <cellStyle name="Normal 23 4 25" xfId="7467" xr:uid="{00000000-0005-0000-0000-0000D0320000}"/>
    <cellStyle name="Normal 23 4 25 2" xfId="19549" xr:uid="{00000000-0005-0000-0000-0000D1320000}"/>
    <cellStyle name="Normal 23 4 26" xfId="7468" xr:uid="{00000000-0005-0000-0000-0000D2320000}"/>
    <cellStyle name="Normal 23 4 26 2" xfId="19550" xr:uid="{00000000-0005-0000-0000-0000D3320000}"/>
    <cellStyle name="Normal 23 4 27" xfId="7469" xr:uid="{00000000-0005-0000-0000-0000D4320000}"/>
    <cellStyle name="Normal 23 4 27 2" xfId="19551" xr:uid="{00000000-0005-0000-0000-0000D5320000}"/>
    <cellStyle name="Normal 23 4 28" xfId="7470" xr:uid="{00000000-0005-0000-0000-0000D6320000}"/>
    <cellStyle name="Normal 23 4 28 2" xfId="19552" xr:uid="{00000000-0005-0000-0000-0000D7320000}"/>
    <cellStyle name="Normal 23 4 29" xfId="7471" xr:uid="{00000000-0005-0000-0000-0000D8320000}"/>
    <cellStyle name="Normal 23 4 29 2" xfId="19553" xr:uid="{00000000-0005-0000-0000-0000D9320000}"/>
    <cellStyle name="Normal 23 4 3" xfId="7472" xr:uid="{00000000-0005-0000-0000-0000DA320000}"/>
    <cellStyle name="Normal 23 4 3 2" xfId="19554" xr:uid="{00000000-0005-0000-0000-0000DB320000}"/>
    <cellStyle name="Normal 23 4 30" xfId="7473" xr:uid="{00000000-0005-0000-0000-0000DC320000}"/>
    <cellStyle name="Normal 23 4 30 2" xfId="19555" xr:uid="{00000000-0005-0000-0000-0000DD320000}"/>
    <cellStyle name="Normal 23 4 31" xfId="7474" xr:uid="{00000000-0005-0000-0000-0000DE320000}"/>
    <cellStyle name="Normal 23 4 31 2" xfId="19556" xr:uid="{00000000-0005-0000-0000-0000DF320000}"/>
    <cellStyle name="Normal 23 4 32" xfId="7475" xr:uid="{00000000-0005-0000-0000-0000E0320000}"/>
    <cellStyle name="Normal 23 4 32 2" xfId="19557" xr:uid="{00000000-0005-0000-0000-0000E1320000}"/>
    <cellStyle name="Normal 23 4 33" xfId="7476" xr:uid="{00000000-0005-0000-0000-0000E2320000}"/>
    <cellStyle name="Normal 23 4 33 2" xfId="19558" xr:uid="{00000000-0005-0000-0000-0000E3320000}"/>
    <cellStyle name="Normal 23 4 34" xfId="7477" xr:uid="{00000000-0005-0000-0000-0000E4320000}"/>
    <cellStyle name="Normal 23 4 34 2" xfId="19559" xr:uid="{00000000-0005-0000-0000-0000E5320000}"/>
    <cellStyle name="Normal 23 4 35" xfId="7478" xr:uid="{00000000-0005-0000-0000-0000E6320000}"/>
    <cellStyle name="Normal 23 4 35 2" xfId="19560" xr:uid="{00000000-0005-0000-0000-0000E7320000}"/>
    <cellStyle name="Normal 23 4 36" xfId="7479" xr:uid="{00000000-0005-0000-0000-0000E8320000}"/>
    <cellStyle name="Normal 23 4 36 2" xfId="19561" xr:uid="{00000000-0005-0000-0000-0000E9320000}"/>
    <cellStyle name="Normal 23 4 37" xfId="7480" xr:uid="{00000000-0005-0000-0000-0000EA320000}"/>
    <cellStyle name="Normal 23 4 37 2" xfId="19562" xr:uid="{00000000-0005-0000-0000-0000EB320000}"/>
    <cellStyle name="Normal 23 4 38" xfId="7481" xr:uid="{00000000-0005-0000-0000-0000EC320000}"/>
    <cellStyle name="Normal 23 4 38 2" xfId="19563" xr:uid="{00000000-0005-0000-0000-0000ED320000}"/>
    <cellStyle name="Normal 23 4 39" xfId="7482" xr:uid="{00000000-0005-0000-0000-0000EE320000}"/>
    <cellStyle name="Normal 23 4 39 2" xfId="19564" xr:uid="{00000000-0005-0000-0000-0000EF320000}"/>
    <cellStyle name="Normal 23 4 4" xfId="7483" xr:uid="{00000000-0005-0000-0000-0000F0320000}"/>
    <cellStyle name="Normal 23 4 4 2" xfId="19565" xr:uid="{00000000-0005-0000-0000-0000F1320000}"/>
    <cellStyle name="Normal 23 4 40" xfId="7484" xr:uid="{00000000-0005-0000-0000-0000F2320000}"/>
    <cellStyle name="Normal 23 4 40 2" xfId="19566" xr:uid="{00000000-0005-0000-0000-0000F3320000}"/>
    <cellStyle name="Normal 23 4 41" xfId="7485" xr:uid="{00000000-0005-0000-0000-0000F4320000}"/>
    <cellStyle name="Normal 23 4 41 2" xfId="19567" xr:uid="{00000000-0005-0000-0000-0000F5320000}"/>
    <cellStyle name="Normal 23 4 42" xfId="7486" xr:uid="{00000000-0005-0000-0000-0000F6320000}"/>
    <cellStyle name="Normal 23 4 42 2" xfId="19568" xr:uid="{00000000-0005-0000-0000-0000F7320000}"/>
    <cellStyle name="Normal 23 4 43" xfId="7487" xr:uid="{00000000-0005-0000-0000-0000F8320000}"/>
    <cellStyle name="Normal 23 4 43 2" xfId="19569" xr:uid="{00000000-0005-0000-0000-0000F9320000}"/>
    <cellStyle name="Normal 23 4 44" xfId="7488" xr:uid="{00000000-0005-0000-0000-0000FA320000}"/>
    <cellStyle name="Normal 23 4 44 2" xfId="19570" xr:uid="{00000000-0005-0000-0000-0000FB320000}"/>
    <cellStyle name="Normal 23 4 45" xfId="7489" xr:uid="{00000000-0005-0000-0000-0000FC320000}"/>
    <cellStyle name="Normal 23 4 45 2" xfId="19571" xr:uid="{00000000-0005-0000-0000-0000FD320000}"/>
    <cellStyle name="Normal 23 4 46" xfId="7490" xr:uid="{00000000-0005-0000-0000-0000FE320000}"/>
    <cellStyle name="Normal 23 4 46 2" xfId="19572" xr:uid="{00000000-0005-0000-0000-0000FF320000}"/>
    <cellStyle name="Normal 23 4 47" xfId="7491" xr:uid="{00000000-0005-0000-0000-000000330000}"/>
    <cellStyle name="Normal 23 4 47 2" xfId="19573" xr:uid="{00000000-0005-0000-0000-000001330000}"/>
    <cellStyle name="Normal 23 4 48" xfId="7492" xr:uid="{00000000-0005-0000-0000-000002330000}"/>
    <cellStyle name="Normal 23 4 48 2" xfId="19574" xr:uid="{00000000-0005-0000-0000-000003330000}"/>
    <cellStyle name="Normal 23 4 49" xfId="7493" xr:uid="{00000000-0005-0000-0000-000004330000}"/>
    <cellStyle name="Normal 23 4 49 2" xfId="19575" xr:uid="{00000000-0005-0000-0000-000005330000}"/>
    <cellStyle name="Normal 23 4 5" xfId="7494" xr:uid="{00000000-0005-0000-0000-000006330000}"/>
    <cellStyle name="Normal 23 4 5 2" xfId="19576" xr:uid="{00000000-0005-0000-0000-000007330000}"/>
    <cellStyle name="Normal 23 4 50" xfId="7495" xr:uid="{00000000-0005-0000-0000-000008330000}"/>
    <cellStyle name="Normal 23 4 50 2" xfId="19577" xr:uid="{00000000-0005-0000-0000-000009330000}"/>
    <cellStyle name="Normal 23 4 51" xfId="7496" xr:uid="{00000000-0005-0000-0000-00000A330000}"/>
    <cellStyle name="Normal 23 4 51 2" xfId="19578" xr:uid="{00000000-0005-0000-0000-00000B330000}"/>
    <cellStyle name="Normal 23 4 52" xfId="7497" xr:uid="{00000000-0005-0000-0000-00000C330000}"/>
    <cellStyle name="Normal 23 4 52 2" xfId="19579" xr:uid="{00000000-0005-0000-0000-00000D330000}"/>
    <cellStyle name="Normal 23 4 53" xfId="7498" xr:uid="{00000000-0005-0000-0000-00000E330000}"/>
    <cellStyle name="Normal 23 4 53 2" xfId="19580" xr:uid="{00000000-0005-0000-0000-00000F330000}"/>
    <cellStyle name="Normal 23 4 54" xfId="7499" xr:uid="{00000000-0005-0000-0000-000010330000}"/>
    <cellStyle name="Normal 23 4 54 2" xfId="19581" xr:uid="{00000000-0005-0000-0000-000011330000}"/>
    <cellStyle name="Normal 23 4 55" xfId="7500" xr:uid="{00000000-0005-0000-0000-000012330000}"/>
    <cellStyle name="Normal 23 4 55 2" xfId="19582" xr:uid="{00000000-0005-0000-0000-000013330000}"/>
    <cellStyle name="Normal 23 4 56" xfId="7501" xr:uid="{00000000-0005-0000-0000-000014330000}"/>
    <cellStyle name="Normal 23 4 56 2" xfId="19583" xr:uid="{00000000-0005-0000-0000-000015330000}"/>
    <cellStyle name="Normal 23 4 57" xfId="7502" xr:uid="{00000000-0005-0000-0000-000016330000}"/>
    <cellStyle name="Normal 23 4 57 2" xfId="19584" xr:uid="{00000000-0005-0000-0000-000017330000}"/>
    <cellStyle name="Normal 23 4 58" xfId="7503" xr:uid="{00000000-0005-0000-0000-000018330000}"/>
    <cellStyle name="Normal 23 4 58 2" xfId="19585" xr:uid="{00000000-0005-0000-0000-000019330000}"/>
    <cellStyle name="Normal 23 4 59" xfId="7504" xr:uid="{00000000-0005-0000-0000-00001A330000}"/>
    <cellStyle name="Normal 23 4 59 2" xfId="19586" xr:uid="{00000000-0005-0000-0000-00001B330000}"/>
    <cellStyle name="Normal 23 4 6" xfId="7505" xr:uid="{00000000-0005-0000-0000-00001C330000}"/>
    <cellStyle name="Normal 23 4 6 2" xfId="19587" xr:uid="{00000000-0005-0000-0000-00001D330000}"/>
    <cellStyle name="Normal 23 4 60" xfId="7506" xr:uid="{00000000-0005-0000-0000-00001E330000}"/>
    <cellStyle name="Normal 23 4 60 2" xfId="19588" xr:uid="{00000000-0005-0000-0000-00001F330000}"/>
    <cellStyle name="Normal 23 4 61" xfId="7507" xr:uid="{00000000-0005-0000-0000-000020330000}"/>
    <cellStyle name="Normal 23 4 61 2" xfId="19589" xr:uid="{00000000-0005-0000-0000-000021330000}"/>
    <cellStyle name="Normal 23 4 62" xfId="7508" xr:uid="{00000000-0005-0000-0000-000022330000}"/>
    <cellStyle name="Normal 23 4 62 2" xfId="19590" xr:uid="{00000000-0005-0000-0000-000023330000}"/>
    <cellStyle name="Normal 23 4 63" xfId="7509" xr:uid="{00000000-0005-0000-0000-000024330000}"/>
    <cellStyle name="Normal 23 4 63 2" xfId="19591" xr:uid="{00000000-0005-0000-0000-000025330000}"/>
    <cellStyle name="Normal 23 4 64" xfId="7510" xr:uid="{00000000-0005-0000-0000-000026330000}"/>
    <cellStyle name="Normal 23 4 64 2" xfId="19592" xr:uid="{00000000-0005-0000-0000-000027330000}"/>
    <cellStyle name="Normal 23 4 65" xfId="7511" xr:uid="{00000000-0005-0000-0000-000028330000}"/>
    <cellStyle name="Normal 23 4 65 2" xfId="19593" xr:uid="{00000000-0005-0000-0000-000029330000}"/>
    <cellStyle name="Normal 23 4 66" xfId="7512" xr:uid="{00000000-0005-0000-0000-00002A330000}"/>
    <cellStyle name="Normal 23 4 66 2" xfId="19594" xr:uid="{00000000-0005-0000-0000-00002B330000}"/>
    <cellStyle name="Normal 23 4 67" xfId="7513" xr:uid="{00000000-0005-0000-0000-00002C330000}"/>
    <cellStyle name="Normal 23 4 67 2" xfId="19595" xr:uid="{00000000-0005-0000-0000-00002D330000}"/>
    <cellStyle name="Normal 23 4 68" xfId="7514" xr:uid="{00000000-0005-0000-0000-00002E330000}"/>
    <cellStyle name="Normal 23 4 68 2" xfId="19596" xr:uid="{00000000-0005-0000-0000-00002F330000}"/>
    <cellStyle name="Normal 23 4 69" xfId="7515" xr:uid="{00000000-0005-0000-0000-000030330000}"/>
    <cellStyle name="Normal 23 4 69 2" xfId="19597" xr:uid="{00000000-0005-0000-0000-000031330000}"/>
    <cellStyle name="Normal 23 4 7" xfId="7516" xr:uid="{00000000-0005-0000-0000-000032330000}"/>
    <cellStyle name="Normal 23 4 7 2" xfId="19598" xr:uid="{00000000-0005-0000-0000-000033330000}"/>
    <cellStyle name="Normal 23 4 70" xfId="7517" xr:uid="{00000000-0005-0000-0000-000034330000}"/>
    <cellStyle name="Normal 23 4 70 2" xfId="19599" xr:uid="{00000000-0005-0000-0000-000035330000}"/>
    <cellStyle name="Normal 23 4 71" xfId="7518" xr:uid="{00000000-0005-0000-0000-000036330000}"/>
    <cellStyle name="Normal 23 4 71 2" xfId="19600" xr:uid="{00000000-0005-0000-0000-000037330000}"/>
    <cellStyle name="Normal 23 4 72" xfId="7519" xr:uid="{00000000-0005-0000-0000-000038330000}"/>
    <cellStyle name="Normal 23 4 72 2" xfId="19601" xr:uid="{00000000-0005-0000-0000-000039330000}"/>
    <cellStyle name="Normal 23 4 73" xfId="7520" xr:uid="{00000000-0005-0000-0000-00003A330000}"/>
    <cellStyle name="Normal 23 4 73 2" xfId="19602" xr:uid="{00000000-0005-0000-0000-00003B330000}"/>
    <cellStyle name="Normal 23 4 74" xfId="7521" xr:uid="{00000000-0005-0000-0000-00003C330000}"/>
    <cellStyle name="Normal 23 4 74 2" xfId="19603" xr:uid="{00000000-0005-0000-0000-00003D330000}"/>
    <cellStyle name="Normal 23 4 75" xfId="7522" xr:uid="{00000000-0005-0000-0000-00003E330000}"/>
    <cellStyle name="Normal 23 4 75 2" xfId="19604" xr:uid="{00000000-0005-0000-0000-00003F330000}"/>
    <cellStyle name="Normal 23 4 76" xfId="7523" xr:uid="{00000000-0005-0000-0000-000040330000}"/>
    <cellStyle name="Normal 23 4 76 2" xfId="19605" xr:uid="{00000000-0005-0000-0000-000041330000}"/>
    <cellStyle name="Normal 23 4 77" xfId="7524" xr:uid="{00000000-0005-0000-0000-000042330000}"/>
    <cellStyle name="Normal 23 4 77 2" xfId="19606" xr:uid="{00000000-0005-0000-0000-000043330000}"/>
    <cellStyle name="Normal 23 4 78" xfId="7525" xr:uid="{00000000-0005-0000-0000-000044330000}"/>
    <cellStyle name="Normal 23 4 78 2" xfId="19607" xr:uid="{00000000-0005-0000-0000-000045330000}"/>
    <cellStyle name="Normal 23 4 79" xfId="7526" xr:uid="{00000000-0005-0000-0000-000046330000}"/>
    <cellStyle name="Normal 23 4 79 2" xfId="19608" xr:uid="{00000000-0005-0000-0000-000047330000}"/>
    <cellStyle name="Normal 23 4 8" xfId="7527" xr:uid="{00000000-0005-0000-0000-000048330000}"/>
    <cellStyle name="Normal 23 4 8 2" xfId="19609" xr:uid="{00000000-0005-0000-0000-000049330000}"/>
    <cellStyle name="Normal 23 4 80" xfId="19532" xr:uid="{00000000-0005-0000-0000-00004A330000}"/>
    <cellStyle name="Normal 23 4 9" xfId="7528" xr:uid="{00000000-0005-0000-0000-00004B330000}"/>
    <cellStyle name="Normal 23 4 9 2" xfId="19610" xr:uid="{00000000-0005-0000-0000-00004C330000}"/>
    <cellStyle name="Normal 23 40" xfId="7529" xr:uid="{00000000-0005-0000-0000-00004D330000}"/>
    <cellStyle name="Normal 23 40 2" xfId="19611" xr:uid="{00000000-0005-0000-0000-00004E330000}"/>
    <cellStyle name="Normal 23 41" xfId="7530" xr:uid="{00000000-0005-0000-0000-00004F330000}"/>
    <cellStyle name="Normal 23 41 2" xfId="19612" xr:uid="{00000000-0005-0000-0000-000050330000}"/>
    <cellStyle name="Normal 23 42" xfId="7531" xr:uid="{00000000-0005-0000-0000-000051330000}"/>
    <cellStyle name="Normal 23 42 2" xfId="19613" xr:uid="{00000000-0005-0000-0000-000052330000}"/>
    <cellStyle name="Normal 23 43" xfId="7532" xr:uid="{00000000-0005-0000-0000-000053330000}"/>
    <cellStyle name="Normal 23 43 2" xfId="19614" xr:uid="{00000000-0005-0000-0000-000054330000}"/>
    <cellStyle name="Normal 23 44" xfId="7533" xr:uid="{00000000-0005-0000-0000-000055330000}"/>
    <cellStyle name="Normal 23 44 2" xfId="19615" xr:uid="{00000000-0005-0000-0000-000056330000}"/>
    <cellStyle name="Normal 23 45" xfId="7534" xr:uid="{00000000-0005-0000-0000-000057330000}"/>
    <cellStyle name="Normal 23 45 2" xfId="19616" xr:uid="{00000000-0005-0000-0000-000058330000}"/>
    <cellStyle name="Normal 23 46" xfId="7535" xr:uid="{00000000-0005-0000-0000-000059330000}"/>
    <cellStyle name="Normal 23 46 2" xfId="19617" xr:uid="{00000000-0005-0000-0000-00005A330000}"/>
    <cellStyle name="Normal 23 47" xfId="7536" xr:uid="{00000000-0005-0000-0000-00005B330000}"/>
    <cellStyle name="Normal 23 47 2" xfId="19618" xr:uid="{00000000-0005-0000-0000-00005C330000}"/>
    <cellStyle name="Normal 23 48" xfId="7537" xr:uid="{00000000-0005-0000-0000-00005D330000}"/>
    <cellStyle name="Normal 23 48 2" xfId="19619" xr:uid="{00000000-0005-0000-0000-00005E330000}"/>
    <cellStyle name="Normal 23 49" xfId="7538" xr:uid="{00000000-0005-0000-0000-00005F330000}"/>
    <cellStyle name="Normal 23 49 2" xfId="19620" xr:uid="{00000000-0005-0000-0000-000060330000}"/>
    <cellStyle name="Normal 23 5" xfId="7539" xr:uid="{00000000-0005-0000-0000-000061330000}"/>
    <cellStyle name="Normal 23 5 2" xfId="19621" xr:uid="{00000000-0005-0000-0000-000062330000}"/>
    <cellStyle name="Normal 23 50" xfId="7540" xr:uid="{00000000-0005-0000-0000-000063330000}"/>
    <cellStyle name="Normal 23 50 2" xfId="19622" xr:uid="{00000000-0005-0000-0000-000064330000}"/>
    <cellStyle name="Normal 23 51" xfId="7541" xr:uid="{00000000-0005-0000-0000-000065330000}"/>
    <cellStyle name="Normal 23 51 2" xfId="19623" xr:uid="{00000000-0005-0000-0000-000066330000}"/>
    <cellStyle name="Normal 23 52" xfId="7542" xr:uid="{00000000-0005-0000-0000-000067330000}"/>
    <cellStyle name="Normal 23 52 2" xfId="19624" xr:uid="{00000000-0005-0000-0000-000068330000}"/>
    <cellStyle name="Normal 23 53" xfId="7543" xr:uid="{00000000-0005-0000-0000-000069330000}"/>
    <cellStyle name="Normal 23 53 2" xfId="19625" xr:uid="{00000000-0005-0000-0000-00006A330000}"/>
    <cellStyle name="Normal 23 54" xfId="7544" xr:uid="{00000000-0005-0000-0000-00006B330000}"/>
    <cellStyle name="Normal 23 54 2" xfId="19626" xr:uid="{00000000-0005-0000-0000-00006C330000}"/>
    <cellStyle name="Normal 23 55" xfId="7545" xr:uid="{00000000-0005-0000-0000-00006D330000}"/>
    <cellStyle name="Normal 23 55 2" xfId="19627" xr:uid="{00000000-0005-0000-0000-00006E330000}"/>
    <cellStyle name="Normal 23 56" xfId="7546" xr:uid="{00000000-0005-0000-0000-00006F330000}"/>
    <cellStyle name="Normal 23 56 2" xfId="19628" xr:uid="{00000000-0005-0000-0000-000070330000}"/>
    <cellStyle name="Normal 23 57" xfId="7547" xr:uid="{00000000-0005-0000-0000-000071330000}"/>
    <cellStyle name="Normal 23 57 2" xfId="19629" xr:uid="{00000000-0005-0000-0000-000072330000}"/>
    <cellStyle name="Normal 23 58" xfId="7548" xr:uid="{00000000-0005-0000-0000-000073330000}"/>
    <cellStyle name="Normal 23 58 2" xfId="19630" xr:uid="{00000000-0005-0000-0000-000074330000}"/>
    <cellStyle name="Normal 23 59" xfId="7549" xr:uid="{00000000-0005-0000-0000-000075330000}"/>
    <cellStyle name="Normal 23 59 2" xfId="19631" xr:uid="{00000000-0005-0000-0000-000076330000}"/>
    <cellStyle name="Normal 23 6" xfId="7550" xr:uid="{00000000-0005-0000-0000-000077330000}"/>
    <cellStyle name="Normal 23 6 2" xfId="19632" xr:uid="{00000000-0005-0000-0000-000078330000}"/>
    <cellStyle name="Normal 23 60" xfId="7551" xr:uid="{00000000-0005-0000-0000-000079330000}"/>
    <cellStyle name="Normal 23 60 2" xfId="19633" xr:uid="{00000000-0005-0000-0000-00007A330000}"/>
    <cellStyle name="Normal 23 61" xfId="7552" xr:uid="{00000000-0005-0000-0000-00007B330000}"/>
    <cellStyle name="Normal 23 61 2" xfId="19634" xr:uid="{00000000-0005-0000-0000-00007C330000}"/>
    <cellStyle name="Normal 23 62" xfId="7553" xr:uid="{00000000-0005-0000-0000-00007D330000}"/>
    <cellStyle name="Normal 23 62 2" xfId="19635" xr:uid="{00000000-0005-0000-0000-00007E330000}"/>
    <cellStyle name="Normal 23 63" xfId="7554" xr:uid="{00000000-0005-0000-0000-00007F330000}"/>
    <cellStyle name="Normal 23 63 2" xfId="19636" xr:uid="{00000000-0005-0000-0000-000080330000}"/>
    <cellStyle name="Normal 23 64" xfId="7555" xr:uid="{00000000-0005-0000-0000-000081330000}"/>
    <cellStyle name="Normal 23 64 2" xfId="19637" xr:uid="{00000000-0005-0000-0000-000082330000}"/>
    <cellStyle name="Normal 23 65" xfId="7556" xr:uid="{00000000-0005-0000-0000-000083330000}"/>
    <cellStyle name="Normal 23 65 2" xfId="19638" xr:uid="{00000000-0005-0000-0000-000084330000}"/>
    <cellStyle name="Normal 23 66" xfId="7557" xr:uid="{00000000-0005-0000-0000-000085330000}"/>
    <cellStyle name="Normal 23 66 2" xfId="19639" xr:uid="{00000000-0005-0000-0000-000086330000}"/>
    <cellStyle name="Normal 23 67" xfId="7558" xr:uid="{00000000-0005-0000-0000-000087330000}"/>
    <cellStyle name="Normal 23 67 2" xfId="19640" xr:uid="{00000000-0005-0000-0000-000088330000}"/>
    <cellStyle name="Normal 23 68" xfId="7559" xr:uid="{00000000-0005-0000-0000-000089330000}"/>
    <cellStyle name="Normal 23 68 2" xfId="19641" xr:uid="{00000000-0005-0000-0000-00008A330000}"/>
    <cellStyle name="Normal 23 69" xfId="7560" xr:uid="{00000000-0005-0000-0000-00008B330000}"/>
    <cellStyle name="Normal 23 69 2" xfId="19642" xr:uid="{00000000-0005-0000-0000-00008C330000}"/>
    <cellStyle name="Normal 23 7" xfId="7561" xr:uid="{00000000-0005-0000-0000-00008D330000}"/>
    <cellStyle name="Normal 23 7 2" xfId="19643" xr:uid="{00000000-0005-0000-0000-00008E330000}"/>
    <cellStyle name="Normal 23 70" xfId="7562" xr:uid="{00000000-0005-0000-0000-00008F330000}"/>
    <cellStyle name="Normal 23 70 2" xfId="19644" xr:uid="{00000000-0005-0000-0000-000090330000}"/>
    <cellStyle name="Normal 23 71" xfId="7563" xr:uid="{00000000-0005-0000-0000-000091330000}"/>
    <cellStyle name="Normal 23 71 2" xfId="19645" xr:uid="{00000000-0005-0000-0000-000092330000}"/>
    <cellStyle name="Normal 23 72" xfId="7564" xr:uid="{00000000-0005-0000-0000-000093330000}"/>
    <cellStyle name="Normal 23 72 2" xfId="19646" xr:uid="{00000000-0005-0000-0000-000094330000}"/>
    <cellStyle name="Normal 23 73" xfId="7565" xr:uid="{00000000-0005-0000-0000-000095330000}"/>
    <cellStyle name="Normal 23 73 2" xfId="19647" xr:uid="{00000000-0005-0000-0000-000096330000}"/>
    <cellStyle name="Normal 23 74" xfId="7566" xr:uid="{00000000-0005-0000-0000-000097330000}"/>
    <cellStyle name="Normal 23 74 2" xfId="19648" xr:uid="{00000000-0005-0000-0000-000098330000}"/>
    <cellStyle name="Normal 23 75" xfId="7567" xr:uid="{00000000-0005-0000-0000-000099330000}"/>
    <cellStyle name="Normal 23 75 2" xfId="19649" xr:uid="{00000000-0005-0000-0000-00009A330000}"/>
    <cellStyle name="Normal 23 76" xfId="7568" xr:uid="{00000000-0005-0000-0000-00009B330000}"/>
    <cellStyle name="Normal 23 76 2" xfId="19650" xr:uid="{00000000-0005-0000-0000-00009C330000}"/>
    <cellStyle name="Normal 23 77" xfId="7569" xr:uid="{00000000-0005-0000-0000-00009D330000}"/>
    <cellStyle name="Normal 23 77 2" xfId="19651" xr:uid="{00000000-0005-0000-0000-00009E330000}"/>
    <cellStyle name="Normal 23 78" xfId="7570" xr:uid="{00000000-0005-0000-0000-00009F330000}"/>
    <cellStyle name="Normal 23 78 2" xfId="19652" xr:uid="{00000000-0005-0000-0000-0000A0330000}"/>
    <cellStyle name="Normal 23 79" xfId="7571" xr:uid="{00000000-0005-0000-0000-0000A1330000}"/>
    <cellStyle name="Normal 23 79 2" xfId="19653" xr:uid="{00000000-0005-0000-0000-0000A2330000}"/>
    <cellStyle name="Normal 23 8" xfId="7572" xr:uid="{00000000-0005-0000-0000-0000A3330000}"/>
    <cellStyle name="Normal 23 8 2" xfId="19654" xr:uid="{00000000-0005-0000-0000-0000A4330000}"/>
    <cellStyle name="Normal 23 80" xfId="7573" xr:uid="{00000000-0005-0000-0000-0000A5330000}"/>
    <cellStyle name="Normal 23 80 2" xfId="19655" xr:uid="{00000000-0005-0000-0000-0000A6330000}"/>
    <cellStyle name="Normal 23 81" xfId="7574" xr:uid="{00000000-0005-0000-0000-0000A7330000}"/>
    <cellStyle name="Normal 23 81 2" xfId="19656" xr:uid="{00000000-0005-0000-0000-0000A8330000}"/>
    <cellStyle name="Normal 23 82" xfId="7575" xr:uid="{00000000-0005-0000-0000-0000A9330000}"/>
    <cellStyle name="Normal 23 82 2" xfId="19657" xr:uid="{00000000-0005-0000-0000-0000AA330000}"/>
    <cellStyle name="Normal 23 83" xfId="19343" xr:uid="{00000000-0005-0000-0000-0000AB330000}"/>
    <cellStyle name="Normal 23 9" xfId="7576" xr:uid="{00000000-0005-0000-0000-0000AC330000}"/>
    <cellStyle name="Normal 23 9 2" xfId="19658" xr:uid="{00000000-0005-0000-0000-0000AD330000}"/>
    <cellStyle name="Normal 230" xfId="571" xr:uid="{00000000-0005-0000-0000-0000AE330000}"/>
    <cellStyle name="Normal 230 2" xfId="668" xr:uid="{00000000-0005-0000-0000-0000AF330000}"/>
    <cellStyle name="Normal 230 3" xfId="1087" xr:uid="{00000000-0005-0000-0000-0000B0330000}"/>
    <cellStyle name="Normal 230 4" xfId="1203" xr:uid="{00000000-0005-0000-0000-0000B1330000}"/>
    <cellStyle name="Normal 230 5" xfId="1177" xr:uid="{00000000-0005-0000-0000-0000B2330000}"/>
    <cellStyle name="Normal 230 6" xfId="1189" xr:uid="{00000000-0005-0000-0000-0000B3330000}"/>
    <cellStyle name="Normal 230 7" xfId="1184" xr:uid="{00000000-0005-0000-0000-0000B4330000}"/>
    <cellStyle name="Normal 230 8" xfId="990" xr:uid="{00000000-0005-0000-0000-0000B5330000}"/>
    <cellStyle name="Normal 230 9" xfId="870" xr:uid="{00000000-0005-0000-0000-0000B6330000}"/>
    <cellStyle name="Normal 231" xfId="28302" xr:uid="{00000000-0005-0000-0000-0000B7330000}"/>
    <cellStyle name="Normal 24" xfId="78" xr:uid="{00000000-0005-0000-0000-0000B8330000}"/>
    <cellStyle name="Normal 24 10" xfId="7577" xr:uid="{00000000-0005-0000-0000-0000B9330000}"/>
    <cellStyle name="Normal 24 10 2" xfId="19660" xr:uid="{00000000-0005-0000-0000-0000BA330000}"/>
    <cellStyle name="Normal 24 11" xfId="7578" xr:uid="{00000000-0005-0000-0000-0000BB330000}"/>
    <cellStyle name="Normal 24 11 2" xfId="19661" xr:uid="{00000000-0005-0000-0000-0000BC330000}"/>
    <cellStyle name="Normal 24 12" xfId="7579" xr:uid="{00000000-0005-0000-0000-0000BD330000}"/>
    <cellStyle name="Normal 24 12 2" xfId="19662" xr:uid="{00000000-0005-0000-0000-0000BE330000}"/>
    <cellStyle name="Normal 24 13" xfId="7580" xr:uid="{00000000-0005-0000-0000-0000BF330000}"/>
    <cellStyle name="Normal 24 13 2" xfId="19663" xr:uid="{00000000-0005-0000-0000-0000C0330000}"/>
    <cellStyle name="Normal 24 14" xfId="7581" xr:uid="{00000000-0005-0000-0000-0000C1330000}"/>
    <cellStyle name="Normal 24 14 2" xfId="19664" xr:uid="{00000000-0005-0000-0000-0000C2330000}"/>
    <cellStyle name="Normal 24 15" xfId="7582" xr:uid="{00000000-0005-0000-0000-0000C3330000}"/>
    <cellStyle name="Normal 24 15 2" xfId="19665" xr:uid="{00000000-0005-0000-0000-0000C4330000}"/>
    <cellStyle name="Normal 24 16" xfId="7583" xr:uid="{00000000-0005-0000-0000-0000C5330000}"/>
    <cellStyle name="Normal 24 16 2" xfId="19666" xr:uid="{00000000-0005-0000-0000-0000C6330000}"/>
    <cellStyle name="Normal 24 17" xfId="7584" xr:uid="{00000000-0005-0000-0000-0000C7330000}"/>
    <cellStyle name="Normal 24 17 2" xfId="19667" xr:uid="{00000000-0005-0000-0000-0000C8330000}"/>
    <cellStyle name="Normal 24 18" xfId="7585" xr:uid="{00000000-0005-0000-0000-0000C9330000}"/>
    <cellStyle name="Normal 24 18 2" xfId="19668" xr:uid="{00000000-0005-0000-0000-0000CA330000}"/>
    <cellStyle name="Normal 24 19" xfId="7586" xr:uid="{00000000-0005-0000-0000-0000CB330000}"/>
    <cellStyle name="Normal 24 19 2" xfId="19669" xr:uid="{00000000-0005-0000-0000-0000CC330000}"/>
    <cellStyle name="Normal 24 2" xfId="783" xr:uid="{00000000-0005-0000-0000-0000CD330000}"/>
    <cellStyle name="Normal 24 2 10" xfId="7587" xr:uid="{00000000-0005-0000-0000-0000CE330000}"/>
    <cellStyle name="Normal 24 2 10 2" xfId="19671" xr:uid="{00000000-0005-0000-0000-0000CF330000}"/>
    <cellStyle name="Normal 24 2 11" xfId="7588" xr:uid="{00000000-0005-0000-0000-0000D0330000}"/>
    <cellStyle name="Normal 24 2 11 2" xfId="19672" xr:uid="{00000000-0005-0000-0000-0000D1330000}"/>
    <cellStyle name="Normal 24 2 12" xfId="7589" xr:uid="{00000000-0005-0000-0000-0000D2330000}"/>
    <cellStyle name="Normal 24 2 12 2" xfId="19673" xr:uid="{00000000-0005-0000-0000-0000D3330000}"/>
    <cellStyle name="Normal 24 2 13" xfId="7590" xr:uid="{00000000-0005-0000-0000-0000D4330000}"/>
    <cellStyle name="Normal 24 2 13 2" xfId="19674" xr:uid="{00000000-0005-0000-0000-0000D5330000}"/>
    <cellStyle name="Normal 24 2 14" xfId="7591" xr:uid="{00000000-0005-0000-0000-0000D6330000}"/>
    <cellStyle name="Normal 24 2 14 2" xfId="19675" xr:uid="{00000000-0005-0000-0000-0000D7330000}"/>
    <cellStyle name="Normal 24 2 15" xfId="7592" xr:uid="{00000000-0005-0000-0000-0000D8330000}"/>
    <cellStyle name="Normal 24 2 15 2" xfId="19676" xr:uid="{00000000-0005-0000-0000-0000D9330000}"/>
    <cellStyle name="Normal 24 2 16" xfId="7593" xr:uid="{00000000-0005-0000-0000-0000DA330000}"/>
    <cellStyle name="Normal 24 2 16 2" xfId="19677" xr:uid="{00000000-0005-0000-0000-0000DB330000}"/>
    <cellStyle name="Normal 24 2 17" xfId="7594" xr:uid="{00000000-0005-0000-0000-0000DC330000}"/>
    <cellStyle name="Normal 24 2 17 2" xfId="19678" xr:uid="{00000000-0005-0000-0000-0000DD330000}"/>
    <cellStyle name="Normal 24 2 18" xfId="7595" xr:uid="{00000000-0005-0000-0000-0000DE330000}"/>
    <cellStyle name="Normal 24 2 18 2" xfId="19679" xr:uid="{00000000-0005-0000-0000-0000DF330000}"/>
    <cellStyle name="Normal 24 2 19" xfId="7596" xr:uid="{00000000-0005-0000-0000-0000E0330000}"/>
    <cellStyle name="Normal 24 2 19 2" xfId="19680" xr:uid="{00000000-0005-0000-0000-0000E1330000}"/>
    <cellStyle name="Normal 24 2 2" xfId="7597" xr:uid="{00000000-0005-0000-0000-0000E2330000}"/>
    <cellStyle name="Normal 24 2 2 2" xfId="19681" xr:uid="{00000000-0005-0000-0000-0000E3330000}"/>
    <cellStyle name="Normal 24 2 20" xfId="7598" xr:uid="{00000000-0005-0000-0000-0000E4330000}"/>
    <cellStyle name="Normal 24 2 20 2" xfId="19682" xr:uid="{00000000-0005-0000-0000-0000E5330000}"/>
    <cellStyle name="Normal 24 2 21" xfId="7599" xr:uid="{00000000-0005-0000-0000-0000E6330000}"/>
    <cellStyle name="Normal 24 2 21 2" xfId="19683" xr:uid="{00000000-0005-0000-0000-0000E7330000}"/>
    <cellStyle name="Normal 24 2 22" xfId="7600" xr:uid="{00000000-0005-0000-0000-0000E8330000}"/>
    <cellStyle name="Normal 24 2 22 2" xfId="19684" xr:uid="{00000000-0005-0000-0000-0000E9330000}"/>
    <cellStyle name="Normal 24 2 23" xfId="7601" xr:uid="{00000000-0005-0000-0000-0000EA330000}"/>
    <cellStyle name="Normal 24 2 23 2" xfId="19685" xr:uid="{00000000-0005-0000-0000-0000EB330000}"/>
    <cellStyle name="Normal 24 2 24" xfId="7602" xr:uid="{00000000-0005-0000-0000-0000EC330000}"/>
    <cellStyle name="Normal 24 2 24 2" xfId="19686" xr:uid="{00000000-0005-0000-0000-0000ED330000}"/>
    <cellStyle name="Normal 24 2 25" xfId="7603" xr:uid="{00000000-0005-0000-0000-0000EE330000}"/>
    <cellStyle name="Normal 24 2 25 2" xfId="19687" xr:uid="{00000000-0005-0000-0000-0000EF330000}"/>
    <cellStyle name="Normal 24 2 26" xfId="7604" xr:uid="{00000000-0005-0000-0000-0000F0330000}"/>
    <cellStyle name="Normal 24 2 26 2" xfId="19688" xr:uid="{00000000-0005-0000-0000-0000F1330000}"/>
    <cellStyle name="Normal 24 2 27" xfId="7605" xr:uid="{00000000-0005-0000-0000-0000F2330000}"/>
    <cellStyle name="Normal 24 2 27 2" xfId="19689" xr:uid="{00000000-0005-0000-0000-0000F3330000}"/>
    <cellStyle name="Normal 24 2 28" xfId="7606" xr:uid="{00000000-0005-0000-0000-0000F4330000}"/>
    <cellStyle name="Normal 24 2 28 2" xfId="19690" xr:uid="{00000000-0005-0000-0000-0000F5330000}"/>
    <cellStyle name="Normal 24 2 29" xfId="7607" xr:uid="{00000000-0005-0000-0000-0000F6330000}"/>
    <cellStyle name="Normal 24 2 29 2" xfId="19691" xr:uid="{00000000-0005-0000-0000-0000F7330000}"/>
    <cellStyle name="Normal 24 2 3" xfId="7608" xr:uid="{00000000-0005-0000-0000-0000F8330000}"/>
    <cellStyle name="Normal 24 2 3 2" xfId="19692" xr:uid="{00000000-0005-0000-0000-0000F9330000}"/>
    <cellStyle name="Normal 24 2 30" xfId="7609" xr:uid="{00000000-0005-0000-0000-0000FA330000}"/>
    <cellStyle name="Normal 24 2 30 2" xfId="19693" xr:uid="{00000000-0005-0000-0000-0000FB330000}"/>
    <cellStyle name="Normal 24 2 31" xfId="7610" xr:uid="{00000000-0005-0000-0000-0000FC330000}"/>
    <cellStyle name="Normal 24 2 31 2" xfId="19694" xr:uid="{00000000-0005-0000-0000-0000FD330000}"/>
    <cellStyle name="Normal 24 2 32" xfId="7611" xr:uid="{00000000-0005-0000-0000-0000FE330000}"/>
    <cellStyle name="Normal 24 2 32 2" xfId="19695" xr:uid="{00000000-0005-0000-0000-0000FF330000}"/>
    <cellStyle name="Normal 24 2 33" xfId="7612" xr:uid="{00000000-0005-0000-0000-000000340000}"/>
    <cellStyle name="Normal 24 2 33 2" xfId="19696" xr:uid="{00000000-0005-0000-0000-000001340000}"/>
    <cellStyle name="Normal 24 2 34" xfId="7613" xr:uid="{00000000-0005-0000-0000-000002340000}"/>
    <cellStyle name="Normal 24 2 34 2" xfId="19697" xr:uid="{00000000-0005-0000-0000-000003340000}"/>
    <cellStyle name="Normal 24 2 35" xfId="7614" xr:uid="{00000000-0005-0000-0000-000004340000}"/>
    <cellStyle name="Normal 24 2 35 2" xfId="19698" xr:uid="{00000000-0005-0000-0000-000005340000}"/>
    <cellStyle name="Normal 24 2 36" xfId="7615" xr:uid="{00000000-0005-0000-0000-000006340000}"/>
    <cellStyle name="Normal 24 2 36 2" xfId="19699" xr:uid="{00000000-0005-0000-0000-000007340000}"/>
    <cellStyle name="Normal 24 2 37" xfId="7616" xr:uid="{00000000-0005-0000-0000-000008340000}"/>
    <cellStyle name="Normal 24 2 37 2" xfId="19700" xr:uid="{00000000-0005-0000-0000-000009340000}"/>
    <cellStyle name="Normal 24 2 38" xfId="7617" xr:uid="{00000000-0005-0000-0000-00000A340000}"/>
    <cellStyle name="Normal 24 2 38 2" xfId="19701" xr:uid="{00000000-0005-0000-0000-00000B340000}"/>
    <cellStyle name="Normal 24 2 39" xfId="7618" xr:uid="{00000000-0005-0000-0000-00000C340000}"/>
    <cellStyle name="Normal 24 2 39 2" xfId="19702" xr:uid="{00000000-0005-0000-0000-00000D340000}"/>
    <cellStyle name="Normal 24 2 4" xfId="7619" xr:uid="{00000000-0005-0000-0000-00000E340000}"/>
    <cellStyle name="Normal 24 2 4 2" xfId="19703" xr:uid="{00000000-0005-0000-0000-00000F340000}"/>
    <cellStyle name="Normal 24 2 40" xfId="7620" xr:uid="{00000000-0005-0000-0000-000010340000}"/>
    <cellStyle name="Normal 24 2 40 2" xfId="19704" xr:uid="{00000000-0005-0000-0000-000011340000}"/>
    <cellStyle name="Normal 24 2 41" xfId="7621" xr:uid="{00000000-0005-0000-0000-000012340000}"/>
    <cellStyle name="Normal 24 2 41 2" xfId="19705" xr:uid="{00000000-0005-0000-0000-000013340000}"/>
    <cellStyle name="Normal 24 2 42" xfId="7622" xr:uid="{00000000-0005-0000-0000-000014340000}"/>
    <cellStyle name="Normal 24 2 42 2" xfId="19706" xr:uid="{00000000-0005-0000-0000-000015340000}"/>
    <cellStyle name="Normal 24 2 43" xfId="7623" xr:uid="{00000000-0005-0000-0000-000016340000}"/>
    <cellStyle name="Normal 24 2 43 2" xfId="19707" xr:uid="{00000000-0005-0000-0000-000017340000}"/>
    <cellStyle name="Normal 24 2 44" xfId="7624" xr:uid="{00000000-0005-0000-0000-000018340000}"/>
    <cellStyle name="Normal 24 2 44 2" xfId="19708" xr:uid="{00000000-0005-0000-0000-000019340000}"/>
    <cellStyle name="Normal 24 2 45" xfId="7625" xr:uid="{00000000-0005-0000-0000-00001A340000}"/>
    <cellStyle name="Normal 24 2 45 2" xfId="19709" xr:uid="{00000000-0005-0000-0000-00001B340000}"/>
    <cellStyle name="Normal 24 2 46" xfId="7626" xr:uid="{00000000-0005-0000-0000-00001C340000}"/>
    <cellStyle name="Normal 24 2 46 2" xfId="19710" xr:uid="{00000000-0005-0000-0000-00001D340000}"/>
    <cellStyle name="Normal 24 2 47" xfId="7627" xr:uid="{00000000-0005-0000-0000-00001E340000}"/>
    <cellStyle name="Normal 24 2 47 2" xfId="19711" xr:uid="{00000000-0005-0000-0000-00001F340000}"/>
    <cellStyle name="Normal 24 2 48" xfId="7628" xr:uid="{00000000-0005-0000-0000-000020340000}"/>
    <cellStyle name="Normal 24 2 48 2" xfId="19712" xr:uid="{00000000-0005-0000-0000-000021340000}"/>
    <cellStyle name="Normal 24 2 49" xfId="7629" xr:uid="{00000000-0005-0000-0000-000022340000}"/>
    <cellStyle name="Normal 24 2 49 2" xfId="19713" xr:uid="{00000000-0005-0000-0000-000023340000}"/>
    <cellStyle name="Normal 24 2 5" xfId="7630" xr:uid="{00000000-0005-0000-0000-000024340000}"/>
    <cellStyle name="Normal 24 2 5 2" xfId="19714" xr:uid="{00000000-0005-0000-0000-000025340000}"/>
    <cellStyle name="Normal 24 2 50" xfId="7631" xr:uid="{00000000-0005-0000-0000-000026340000}"/>
    <cellStyle name="Normal 24 2 50 2" xfId="19715" xr:uid="{00000000-0005-0000-0000-000027340000}"/>
    <cellStyle name="Normal 24 2 51" xfId="7632" xr:uid="{00000000-0005-0000-0000-000028340000}"/>
    <cellStyle name="Normal 24 2 51 2" xfId="19716" xr:uid="{00000000-0005-0000-0000-000029340000}"/>
    <cellStyle name="Normal 24 2 52" xfId="7633" xr:uid="{00000000-0005-0000-0000-00002A340000}"/>
    <cellStyle name="Normal 24 2 52 2" xfId="19717" xr:uid="{00000000-0005-0000-0000-00002B340000}"/>
    <cellStyle name="Normal 24 2 53" xfId="7634" xr:uid="{00000000-0005-0000-0000-00002C340000}"/>
    <cellStyle name="Normal 24 2 53 2" xfId="19718" xr:uid="{00000000-0005-0000-0000-00002D340000}"/>
    <cellStyle name="Normal 24 2 54" xfId="7635" xr:uid="{00000000-0005-0000-0000-00002E340000}"/>
    <cellStyle name="Normal 24 2 54 2" xfId="19719" xr:uid="{00000000-0005-0000-0000-00002F340000}"/>
    <cellStyle name="Normal 24 2 55" xfId="7636" xr:uid="{00000000-0005-0000-0000-000030340000}"/>
    <cellStyle name="Normal 24 2 55 2" xfId="19720" xr:uid="{00000000-0005-0000-0000-000031340000}"/>
    <cellStyle name="Normal 24 2 56" xfId="7637" xr:uid="{00000000-0005-0000-0000-000032340000}"/>
    <cellStyle name="Normal 24 2 56 2" xfId="19721" xr:uid="{00000000-0005-0000-0000-000033340000}"/>
    <cellStyle name="Normal 24 2 57" xfId="7638" xr:uid="{00000000-0005-0000-0000-000034340000}"/>
    <cellStyle name="Normal 24 2 57 2" xfId="19722" xr:uid="{00000000-0005-0000-0000-000035340000}"/>
    <cellStyle name="Normal 24 2 58" xfId="7639" xr:uid="{00000000-0005-0000-0000-000036340000}"/>
    <cellStyle name="Normal 24 2 58 2" xfId="19723" xr:uid="{00000000-0005-0000-0000-000037340000}"/>
    <cellStyle name="Normal 24 2 59" xfId="7640" xr:uid="{00000000-0005-0000-0000-000038340000}"/>
    <cellStyle name="Normal 24 2 59 2" xfId="19724" xr:uid="{00000000-0005-0000-0000-000039340000}"/>
    <cellStyle name="Normal 24 2 6" xfId="7641" xr:uid="{00000000-0005-0000-0000-00003A340000}"/>
    <cellStyle name="Normal 24 2 6 2" xfId="19725" xr:uid="{00000000-0005-0000-0000-00003B340000}"/>
    <cellStyle name="Normal 24 2 60" xfId="7642" xr:uid="{00000000-0005-0000-0000-00003C340000}"/>
    <cellStyle name="Normal 24 2 60 2" xfId="19726" xr:uid="{00000000-0005-0000-0000-00003D340000}"/>
    <cellStyle name="Normal 24 2 61" xfId="7643" xr:uid="{00000000-0005-0000-0000-00003E340000}"/>
    <cellStyle name="Normal 24 2 61 2" xfId="19727" xr:uid="{00000000-0005-0000-0000-00003F340000}"/>
    <cellStyle name="Normal 24 2 62" xfId="7644" xr:uid="{00000000-0005-0000-0000-000040340000}"/>
    <cellStyle name="Normal 24 2 62 2" xfId="19728" xr:uid="{00000000-0005-0000-0000-000041340000}"/>
    <cellStyle name="Normal 24 2 63" xfId="7645" xr:uid="{00000000-0005-0000-0000-000042340000}"/>
    <cellStyle name="Normal 24 2 63 2" xfId="19729" xr:uid="{00000000-0005-0000-0000-000043340000}"/>
    <cellStyle name="Normal 24 2 64" xfId="7646" xr:uid="{00000000-0005-0000-0000-000044340000}"/>
    <cellStyle name="Normal 24 2 64 2" xfId="19730" xr:uid="{00000000-0005-0000-0000-000045340000}"/>
    <cellStyle name="Normal 24 2 65" xfId="7647" xr:uid="{00000000-0005-0000-0000-000046340000}"/>
    <cellStyle name="Normal 24 2 65 2" xfId="19731" xr:uid="{00000000-0005-0000-0000-000047340000}"/>
    <cellStyle name="Normal 24 2 66" xfId="7648" xr:uid="{00000000-0005-0000-0000-000048340000}"/>
    <cellStyle name="Normal 24 2 66 2" xfId="19732" xr:uid="{00000000-0005-0000-0000-000049340000}"/>
    <cellStyle name="Normal 24 2 67" xfId="7649" xr:uid="{00000000-0005-0000-0000-00004A340000}"/>
    <cellStyle name="Normal 24 2 67 2" xfId="19733" xr:uid="{00000000-0005-0000-0000-00004B340000}"/>
    <cellStyle name="Normal 24 2 68" xfId="7650" xr:uid="{00000000-0005-0000-0000-00004C340000}"/>
    <cellStyle name="Normal 24 2 68 2" xfId="19734" xr:uid="{00000000-0005-0000-0000-00004D340000}"/>
    <cellStyle name="Normal 24 2 69" xfId="7651" xr:uid="{00000000-0005-0000-0000-00004E340000}"/>
    <cellStyle name="Normal 24 2 69 2" xfId="19735" xr:uid="{00000000-0005-0000-0000-00004F340000}"/>
    <cellStyle name="Normal 24 2 7" xfId="7652" xr:uid="{00000000-0005-0000-0000-000050340000}"/>
    <cellStyle name="Normal 24 2 7 2" xfId="19736" xr:uid="{00000000-0005-0000-0000-000051340000}"/>
    <cellStyle name="Normal 24 2 70" xfId="7653" xr:uid="{00000000-0005-0000-0000-000052340000}"/>
    <cellStyle name="Normal 24 2 70 2" xfId="19737" xr:uid="{00000000-0005-0000-0000-000053340000}"/>
    <cellStyle name="Normal 24 2 71" xfId="7654" xr:uid="{00000000-0005-0000-0000-000054340000}"/>
    <cellStyle name="Normal 24 2 71 2" xfId="19738" xr:uid="{00000000-0005-0000-0000-000055340000}"/>
    <cellStyle name="Normal 24 2 72" xfId="7655" xr:uid="{00000000-0005-0000-0000-000056340000}"/>
    <cellStyle name="Normal 24 2 72 2" xfId="19739" xr:uid="{00000000-0005-0000-0000-000057340000}"/>
    <cellStyle name="Normal 24 2 73" xfId="7656" xr:uid="{00000000-0005-0000-0000-000058340000}"/>
    <cellStyle name="Normal 24 2 73 2" xfId="19740" xr:uid="{00000000-0005-0000-0000-000059340000}"/>
    <cellStyle name="Normal 24 2 74" xfId="7657" xr:uid="{00000000-0005-0000-0000-00005A340000}"/>
    <cellStyle name="Normal 24 2 74 2" xfId="19741" xr:uid="{00000000-0005-0000-0000-00005B340000}"/>
    <cellStyle name="Normal 24 2 75" xfId="7658" xr:uid="{00000000-0005-0000-0000-00005C340000}"/>
    <cellStyle name="Normal 24 2 75 2" xfId="19742" xr:uid="{00000000-0005-0000-0000-00005D340000}"/>
    <cellStyle name="Normal 24 2 76" xfId="7659" xr:uid="{00000000-0005-0000-0000-00005E340000}"/>
    <cellStyle name="Normal 24 2 76 2" xfId="19743" xr:uid="{00000000-0005-0000-0000-00005F340000}"/>
    <cellStyle name="Normal 24 2 77" xfId="7660" xr:uid="{00000000-0005-0000-0000-000060340000}"/>
    <cellStyle name="Normal 24 2 77 2" xfId="19744" xr:uid="{00000000-0005-0000-0000-000061340000}"/>
    <cellStyle name="Normal 24 2 78" xfId="7661" xr:uid="{00000000-0005-0000-0000-000062340000}"/>
    <cellStyle name="Normal 24 2 78 2" xfId="19745" xr:uid="{00000000-0005-0000-0000-000063340000}"/>
    <cellStyle name="Normal 24 2 79" xfId="7662" xr:uid="{00000000-0005-0000-0000-000064340000}"/>
    <cellStyle name="Normal 24 2 79 2" xfId="19746" xr:uid="{00000000-0005-0000-0000-000065340000}"/>
    <cellStyle name="Normal 24 2 8" xfId="7663" xr:uid="{00000000-0005-0000-0000-000066340000}"/>
    <cellStyle name="Normal 24 2 8 2" xfId="19747" xr:uid="{00000000-0005-0000-0000-000067340000}"/>
    <cellStyle name="Normal 24 2 80" xfId="19670" xr:uid="{00000000-0005-0000-0000-000068340000}"/>
    <cellStyle name="Normal 24 2 9" xfId="7664" xr:uid="{00000000-0005-0000-0000-000069340000}"/>
    <cellStyle name="Normal 24 2 9 2" xfId="19748" xr:uid="{00000000-0005-0000-0000-00006A340000}"/>
    <cellStyle name="Normal 24 20" xfId="7665" xr:uid="{00000000-0005-0000-0000-00006B340000}"/>
    <cellStyle name="Normal 24 20 2" xfId="19749" xr:uid="{00000000-0005-0000-0000-00006C340000}"/>
    <cellStyle name="Normal 24 21" xfId="7666" xr:uid="{00000000-0005-0000-0000-00006D340000}"/>
    <cellStyle name="Normal 24 21 2" xfId="19750" xr:uid="{00000000-0005-0000-0000-00006E340000}"/>
    <cellStyle name="Normal 24 22" xfId="7667" xr:uid="{00000000-0005-0000-0000-00006F340000}"/>
    <cellStyle name="Normal 24 22 2" xfId="19751" xr:uid="{00000000-0005-0000-0000-000070340000}"/>
    <cellStyle name="Normal 24 23" xfId="7668" xr:uid="{00000000-0005-0000-0000-000071340000}"/>
    <cellStyle name="Normal 24 23 2" xfId="19752" xr:uid="{00000000-0005-0000-0000-000072340000}"/>
    <cellStyle name="Normal 24 24" xfId="7669" xr:uid="{00000000-0005-0000-0000-000073340000}"/>
    <cellStyle name="Normal 24 24 2" xfId="19753" xr:uid="{00000000-0005-0000-0000-000074340000}"/>
    <cellStyle name="Normal 24 25" xfId="7670" xr:uid="{00000000-0005-0000-0000-000075340000}"/>
    <cellStyle name="Normal 24 25 2" xfId="19754" xr:uid="{00000000-0005-0000-0000-000076340000}"/>
    <cellStyle name="Normal 24 26" xfId="7671" xr:uid="{00000000-0005-0000-0000-000077340000}"/>
    <cellStyle name="Normal 24 26 2" xfId="19755" xr:uid="{00000000-0005-0000-0000-000078340000}"/>
    <cellStyle name="Normal 24 27" xfId="7672" xr:uid="{00000000-0005-0000-0000-000079340000}"/>
    <cellStyle name="Normal 24 27 2" xfId="19756" xr:uid="{00000000-0005-0000-0000-00007A340000}"/>
    <cellStyle name="Normal 24 28" xfId="7673" xr:uid="{00000000-0005-0000-0000-00007B340000}"/>
    <cellStyle name="Normal 24 28 2" xfId="19757" xr:uid="{00000000-0005-0000-0000-00007C340000}"/>
    <cellStyle name="Normal 24 29" xfId="7674" xr:uid="{00000000-0005-0000-0000-00007D340000}"/>
    <cellStyle name="Normal 24 29 2" xfId="19758" xr:uid="{00000000-0005-0000-0000-00007E340000}"/>
    <cellStyle name="Normal 24 3" xfId="712" xr:uid="{00000000-0005-0000-0000-00007F340000}"/>
    <cellStyle name="Normal 24 3 10" xfId="7676" xr:uid="{00000000-0005-0000-0000-000080340000}"/>
    <cellStyle name="Normal 24 3 10 2" xfId="19760" xr:uid="{00000000-0005-0000-0000-000081340000}"/>
    <cellStyle name="Normal 24 3 11" xfId="7677" xr:uid="{00000000-0005-0000-0000-000082340000}"/>
    <cellStyle name="Normal 24 3 11 2" xfId="19761" xr:uid="{00000000-0005-0000-0000-000083340000}"/>
    <cellStyle name="Normal 24 3 12" xfId="7678" xr:uid="{00000000-0005-0000-0000-000084340000}"/>
    <cellStyle name="Normal 24 3 12 2" xfId="19762" xr:uid="{00000000-0005-0000-0000-000085340000}"/>
    <cellStyle name="Normal 24 3 13" xfId="7679" xr:uid="{00000000-0005-0000-0000-000086340000}"/>
    <cellStyle name="Normal 24 3 13 2" xfId="19763" xr:uid="{00000000-0005-0000-0000-000087340000}"/>
    <cellStyle name="Normal 24 3 14" xfId="7680" xr:uid="{00000000-0005-0000-0000-000088340000}"/>
    <cellStyle name="Normal 24 3 14 2" xfId="19764" xr:uid="{00000000-0005-0000-0000-000089340000}"/>
    <cellStyle name="Normal 24 3 15" xfId="7681" xr:uid="{00000000-0005-0000-0000-00008A340000}"/>
    <cellStyle name="Normal 24 3 15 2" xfId="19765" xr:uid="{00000000-0005-0000-0000-00008B340000}"/>
    <cellStyle name="Normal 24 3 16" xfId="7682" xr:uid="{00000000-0005-0000-0000-00008C340000}"/>
    <cellStyle name="Normal 24 3 16 2" xfId="19766" xr:uid="{00000000-0005-0000-0000-00008D340000}"/>
    <cellStyle name="Normal 24 3 17" xfId="7683" xr:uid="{00000000-0005-0000-0000-00008E340000}"/>
    <cellStyle name="Normal 24 3 17 2" xfId="19767" xr:uid="{00000000-0005-0000-0000-00008F340000}"/>
    <cellStyle name="Normal 24 3 18" xfId="7684" xr:uid="{00000000-0005-0000-0000-000090340000}"/>
    <cellStyle name="Normal 24 3 18 2" xfId="19768" xr:uid="{00000000-0005-0000-0000-000091340000}"/>
    <cellStyle name="Normal 24 3 19" xfId="7685" xr:uid="{00000000-0005-0000-0000-000092340000}"/>
    <cellStyle name="Normal 24 3 19 2" xfId="19769" xr:uid="{00000000-0005-0000-0000-000093340000}"/>
    <cellStyle name="Normal 24 3 2" xfId="7686" xr:uid="{00000000-0005-0000-0000-000094340000}"/>
    <cellStyle name="Normal 24 3 2 2" xfId="19770" xr:uid="{00000000-0005-0000-0000-000095340000}"/>
    <cellStyle name="Normal 24 3 20" xfId="7687" xr:uid="{00000000-0005-0000-0000-000096340000}"/>
    <cellStyle name="Normal 24 3 20 2" xfId="19771" xr:uid="{00000000-0005-0000-0000-000097340000}"/>
    <cellStyle name="Normal 24 3 21" xfId="7688" xr:uid="{00000000-0005-0000-0000-000098340000}"/>
    <cellStyle name="Normal 24 3 21 2" xfId="19772" xr:uid="{00000000-0005-0000-0000-000099340000}"/>
    <cellStyle name="Normal 24 3 22" xfId="7689" xr:uid="{00000000-0005-0000-0000-00009A340000}"/>
    <cellStyle name="Normal 24 3 22 2" xfId="19773" xr:uid="{00000000-0005-0000-0000-00009B340000}"/>
    <cellStyle name="Normal 24 3 23" xfId="7690" xr:uid="{00000000-0005-0000-0000-00009C340000}"/>
    <cellStyle name="Normal 24 3 23 2" xfId="19774" xr:uid="{00000000-0005-0000-0000-00009D340000}"/>
    <cellStyle name="Normal 24 3 24" xfId="7691" xr:uid="{00000000-0005-0000-0000-00009E340000}"/>
    <cellStyle name="Normal 24 3 24 2" xfId="19775" xr:uid="{00000000-0005-0000-0000-00009F340000}"/>
    <cellStyle name="Normal 24 3 25" xfId="7692" xr:uid="{00000000-0005-0000-0000-0000A0340000}"/>
    <cellStyle name="Normal 24 3 25 2" xfId="19776" xr:uid="{00000000-0005-0000-0000-0000A1340000}"/>
    <cellStyle name="Normal 24 3 26" xfId="7693" xr:uid="{00000000-0005-0000-0000-0000A2340000}"/>
    <cellStyle name="Normal 24 3 26 2" xfId="19777" xr:uid="{00000000-0005-0000-0000-0000A3340000}"/>
    <cellStyle name="Normal 24 3 27" xfId="7694" xr:uid="{00000000-0005-0000-0000-0000A4340000}"/>
    <cellStyle name="Normal 24 3 27 2" xfId="19778" xr:uid="{00000000-0005-0000-0000-0000A5340000}"/>
    <cellStyle name="Normal 24 3 28" xfId="7695" xr:uid="{00000000-0005-0000-0000-0000A6340000}"/>
    <cellStyle name="Normal 24 3 28 2" xfId="19779" xr:uid="{00000000-0005-0000-0000-0000A7340000}"/>
    <cellStyle name="Normal 24 3 29" xfId="7696" xr:uid="{00000000-0005-0000-0000-0000A8340000}"/>
    <cellStyle name="Normal 24 3 29 2" xfId="19780" xr:uid="{00000000-0005-0000-0000-0000A9340000}"/>
    <cellStyle name="Normal 24 3 3" xfId="7697" xr:uid="{00000000-0005-0000-0000-0000AA340000}"/>
    <cellStyle name="Normal 24 3 3 2" xfId="19781" xr:uid="{00000000-0005-0000-0000-0000AB340000}"/>
    <cellStyle name="Normal 24 3 30" xfId="7698" xr:uid="{00000000-0005-0000-0000-0000AC340000}"/>
    <cellStyle name="Normal 24 3 30 2" xfId="19782" xr:uid="{00000000-0005-0000-0000-0000AD340000}"/>
    <cellStyle name="Normal 24 3 31" xfId="7699" xr:uid="{00000000-0005-0000-0000-0000AE340000}"/>
    <cellStyle name="Normal 24 3 31 2" xfId="19783" xr:uid="{00000000-0005-0000-0000-0000AF340000}"/>
    <cellStyle name="Normal 24 3 32" xfId="7700" xr:uid="{00000000-0005-0000-0000-0000B0340000}"/>
    <cellStyle name="Normal 24 3 32 2" xfId="19784" xr:uid="{00000000-0005-0000-0000-0000B1340000}"/>
    <cellStyle name="Normal 24 3 33" xfId="7701" xr:uid="{00000000-0005-0000-0000-0000B2340000}"/>
    <cellStyle name="Normal 24 3 33 2" xfId="19785" xr:uid="{00000000-0005-0000-0000-0000B3340000}"/>
    <cellStyle name="Normal 24 3 34" xfId="7702" xr:uid="{00000000-0005-0000-0000-0000B4340000}"/>
    <cellStyle name="Normal 24 3 34 2" xfId="19786" xr:uid="{00000000-0005-0000-0000-0000B5340000}"/>
    <cellStyle name="Normal 24 3 35" xfId="7703" xr:uid="{00000000-0005-0000-0000-0000B6340000}"/>
    <cellStyle name="Normal 24 3 35 2" xfId="19787" xr:uid="{00000000-0005-0000-0000-0000B7340000}"/>
    <cellStyle name="Normal 24 3 36" xfId="7704" xr:uid="{00000000-0005-0000-0000-0000B8340000}"/>
    <cellStyle name="Normal 24 3 36 2" xfId="19788" xr:uid="{00000000-0005-0000-0000-0000B9340000}"/>
    <cellStyle name="Normal 24 3 37" xfId="7705" xr:uid="{00000000-0005-0000-0000-0000BA340000}"/>
    <cellStyle name="Normal 24 3 37 2" xfId="19789" xr:uid="{00000000-0005-0000-0000-0000BB340000}"/>
    <cellStyle name="Normal 24 3 38" xfId="7706" xr:uid="{00000000-0005-0000-0000-0000BC340000}"/>
    <cellStyle name="Normal 24 3 38 2" xfId="19790" xr:uid="{00000000-0005-0000-0000-0000BD340000}"/>
    <cellStyle name="Normal 24 3 39" xfId="7707" xr:uid="{00000000-0005-0000-0000-0000BE340000}"/>
    <cellStyle name="Normal 24 3 39 2" xfId="19791" xr:uid="{00000000-0005-0000-0000-0000BF340000}"/>
    <cellStyle name="Normal 24 3 4" xfId="7708" xr:uid="{00000000-0005-0000-0000-0000C0340000}"/>
    <cellStyle name="Normal 24 3 4 2" xfId="19792" xr:uid="{00000000-0005-0000-0000-0000C1340000}"/>
    <cellStyle name="Normal 24 3 40" xfId="7709" xr:uid="{00000000-0005-0000-0000-0000C2340000}"/>
    <cellStyle name="Normal 24 3 40 2" xfId="19793" xr:uid="{00000000-0005-0000-0000-0000C3340000}"/>
    <cellStyle name="Normal 24 3 41" xfId="7710" xr:uid="{00000000-0005-0000-0000-0000C4340000}"/>
    <cellStyle name="Normal 24 3 41 2" xfId="19794" xr:uid="{00000000-0005-0000-0000-0000C5340000}"/>
    <cellStyle name="Normal 24 3 42" xfId="7711" xr:uid="{00000000-0005-0000-0000-0000C6340000}"/>
    <cellStyle name="Normal 24 3 42 2" xfId="19795" xr:uid="{00000000-0005-0000-0000-0000C7340000}"/>
    <cellStyle name="Normal 24 3 43" xfId="7712" xr:uid="{00000000-0005-0000-0000-0000C8340000}"/>
    <cellStyle name="Normal 24 3 43 2" xfId="19796" xr:uid="{00000000-0005-0000-0000-0000C9340000}"/>
    <cellStyle name="Normal 24 3 44" xfId="7713" xr:uid="{00000000-0005-0000-0000-0000CA340000}"/>
    <cellStyle name="Normal 24 3 44 2" xfId="19797" xr:uid="{00000000-0005-0000-0000-0000CB340000}"/>
    <cellStyle name="Normal 24 3 45" xfId="7714" xr:uid="{00000000-0005-0000-0000-0000CC340000}"/>
    <cellStyle name="Normal 24 3 45 2" xfId="19798" xr:uid="{00000000-0005-0000-0000-0000CD340000}"/>
    <cellStyle name="Normal 24 3 46" xfId="7715" xr:uid="{00000000-0005-0000-0000-0000CE340000}"/>
    <cellStyle name="Normal 24 3 46 2" xfId="19799" xr:uid="{00000000-0005-0000-0000-0000CF340000}"/>
    <cellStyle name="Normal 24 3 47" xfId="7716" xr:uid="{00000000-0005-0000-0000-0000D0340000}"/>
    <cellStyle name="Normal 24 3 47 2" xfId="19800" xr:uid="{00000000-0005-0000-0000-0000D1340000}"/>
    <cellStyle name="Normal 24 3 48" xfId="7717" xr:uid="{00000000-0005-0000-0000-0000D2340000}"/>
    <cellStyle name="Normal 24 3 48 2" xfId="19801" xr:uid="{00000000-0005-0000-0000-0000D3340000}"/>
    <cellStyle name="Normal 24 3 49" xfId="7718" xr:uid="{00000000-0005-0000-0000-0000D4340000}"/>
    <cellStyle name="Normal 24 3 49 2" xfId="19802" xr:uid="{00000000-0005-0000-0000-0000D5340000}"/>
    <cellStyle name="Normal 24 3 5" xfId="7719" xr:uid="{00000000-0005-0000-0000-0000D6340000}"/>
    <cellStyle name="Normal 24 3 5 2" xfId="19803" xr:uid="{00000000-0005-0000-0000-0000D7340000}"/>
    <cellStyle name="Normal 24 3 50" xfId="7720" xr:uid="{00000000-0005-0000-0000-0000D8340000}"/>
    <cellStyle name="Normal 24 3 50 2" xfId="19804" xr:uid="{00000000-0005-0000-0000-0000D9340000}"/>
    <cellStyle name="Normal 24 3 51" xfId="7721" xr:uid="{00000000-0005-0000-0000-0000DA340000}"/>
    <cellStyle name="Normal 24 3 51 2" xfId="19805" xr:uid="{00000000-0005-0000-0000-0000DB340000}"/>
    <cellStyle name="Normal 24 3 52" xfId="7722" xr:uid="{00000000-0005-0000-0000-0000DC340000}"/>
    <cellStyle name="Normal 24 3 52 2" xfId="19806" xr:uid="{00000000-0005-0000-0000-0000DD340000}"/>
    <cellStyle name="Normal 24 3 53" xfId="7723" xr:uid="{00000000-0005-0000-0000-0000DE340000}"/>
    <cellStyle name="Normal 24 3 53 2" xfId="19807" xr:uid="{00000000-0005-0000-0000-0000DF340000}"/>
    <cellStyle name="Normal 24 3 54" xfId="7724" xr:uid="{00000000-0005-0000-0000-0000E0340000}"/>
    <cellStyle name="Normal 24 3 54 2" xfId="19808" xr:uid="{00000000-0005-0000-0000-0000E1340000}"/>
    <cellStyle name="Normal 24 3 55" xfId="7725" xr:uid="{00000000-0005-0000-0000-0000E2340000}"/>
    <cellStyle name="Normal 24 3 55 2" xfId="19809" xr:uid="{00000000-0005-0000-0000-0000E3340000}"/>
    <cellStyle name="Normal 24 3 56" xfId="7726" xr:uid="{00000000-0005-0000-0000-0000E4340000}"/>
    <cellStyle name="Normal 24 3 56 2" xfId="19810" xr:uid="{00000000-0005-0000-0000-0000E5340000}"/>
    <cellStyle name="Normal 24 3 57" xfId="7727" xr:uid="{00000000-0005-0000-0000-0000E6340000}"/>
    <cellStyle name="Normal 24 3 57 2" xfId="19811" xr:uid="{00000000-0005-0000-0000-0000E7340000}"/>
    <cellStyle name="Normal 24 3 58" xfId="7728" xr:uid="{00000000-0005-0000-0000-0000E8340000}"/>
    <cellStyle name="Normal 24 3 58 2" xfId="19812" xr:uid="{00000000-0005-0000-0000-0000E9340000}"/>
    <cellStyle name="Normal 24 3 59" xfId="7729" xr:uid="{00000000-0005-0000-0000-0000EA340000}"/>
    <cellStyle name="Normal 24 3 59 2" xfId="19813" xr:uid="{00000000-0005-0000-0000-0000EB340000}"/>
    <cellStyle name="Normal 24 3 6" xfId="7730" xr:uid="{00000000-0005-0000-0000-0000EC340000}"/>
    <cellStyle name="Normal 24 3 6 2" xfId="19814" xr:uid="{00000000-0005-0000-0000-0000ED340000}"/>
    <cellStyle name="Normal 24 3 60" xfId="7731" xr:uid="{00000000-0005-0000-0000-0000EE340000}"/>
    <cellStyle name="Normal 24 3 60 2" xfId="19815" xr:uid="{00000000-0005-0000-0000-0000EF340000}"/>
    <cellStyle name="Normal 24 3 61" xfId="7732" xr:uid="{00000000-0005-0000-0000-0000F0340000}"/>
    <cellStyle name="Normal 24 3 61 2" xfId="19816" xr:uid="{00000000-0005-0000-0000-0000F1340000}"/>
    <cellStyle name="Normal 24 3 62" xfId="7733" xr:uid="{00000000-0005-0000-0000-0000F2340000}"/>
    <cellStyle name="Normal 24 3 62 2" xfId="19817" xr:uid="{00000000-0005-0000-0000-0000F3340000}"/>
    <cellStyle name="Normal 24 3 63" xfId="7734" xr:uid="{00000000-0005-0000-0000-0000F4340000}"/>
    <cellStyle name="Normal 24 3 63 2" xfId="19818" xr:uid="{00000000-0005-0000-0000-0000F5340000}"/>
    <cellStyle name="Normal 24 3 64" xfId="7735" xr:uid="{00000000-0005-0000-0000-0000F6340000}"/>
    <cellStyle name="Normal 24 3 64 2" xfId="19819" xr:uid="{00000000-0005-0000-0000-0000F7340000}"/>
    <cellStyle name="Normal 24 3 65" xfId="7736" xr:uid="{00000000-0005-0000-0000-0000F8340000}"/>
    <cellStyle name="Normal 24 3 65 2" xfId="19820" xr:uid="{00000000-0005-0000-0000-0000F9340000}"/>
    <cellStyle name="Normal 24 3 66" xfId="7737" xr:uid="{00000000-0005-0000-0000-0000FA340000}"/>
    <cellStyle name="Normal 24 3 66 2" xfId="19821" xr:uid="{00000000-0005-0000-0000-0000FB340000}"/>
    <cellStyle name="Normal 24 3 67" xfId="7738" xr:uid="{00000000-0005-0000-0000-0000FC340000}"/>
    <cellStyle name="Normal 24 3 67 2" xfId="19822" xr:uid="{00000000-0005-0000-0000-0000FD340000}"/>
    <cellStyle name="Normal 24 3 68" xfId="7739" xr:uid="{00000000-0005-0000-0000-0000FE340000}"/>
    <cellStyle name="Normal 24 3 68 2" xfId="19823" xr:uid="{00000000-0005-0000-0000-0000FF340000}"/>
    <cellStyle name="Normal 24 3 69" xfId="7740" xr:uid="{00000000-0005-0000-0000-000000350000}"/>
    <cellStyle name="Normal 24 3 69 2" xfId="19824" xr:uid="{00000000-0005-0000-0000-000001350000}"/>
    <cellStyle name="Normal 24 3 7" xfId="7741" xr:uid="{00000000-0005-0000-0000-000002350000}"/>
    <cellStyle name="Normal 24 3 7 2" xfId="19825" xr:uid="{00000000-0005-0000-0000-000003350000}"/>
    <cellStyle name="Normal 24 3 70" xfId="7742" xr:uid="{00000000-0005-0000-0000-000004350000}"/>
    <cellStyle name="Normal 24 3 70 2" xfId="19826" xr:uid="{00000000-0005-0000-0000-000005350000}"/>
    <cellStyle name="Normal 24 3 71" xfId="7743" xr:uid="{00000000-0005-0000-0000-000006350000}"/>
    <cellStyle name="Normal 24 3 71 2" xfId="19827" xr:uid="{00000000-0005-0000-0000-000007350000}"/>
    <cellStyle name="Normal 24 3 72" xfId="7744" xr:uid="{00000000-0005-0000-0000-000008350000}"/>
    <cellStyle name="Normal 24 3 72 2" xfId="19828" xr:uid="{00000000-0005-0000-0000-000009350000}"/>
    <cellStyle name="Normal 24 3 73" xfId="7745" xr:uid="{00000000-0005-0000-0000-00000A350000}"/>
    <cellStyle name="Normal 24 3 73 2" xfId="19829" xr:uid="{00000000-0005-0000-0000-00000B350000}"/>
    <cellStyle name="Normal 24 3 74" xfId="7746" xr:uid="{00000000-0005-0000-0000-00000C350000}"/>
    <cellStyle name="Normal 24 3 74 2" xfId="19830" xr:uid="{00000000-0005-0000-0000-00000D350000}"/>
    <cellStyle name="Normal 24 3 75" xfId="7747" xr:uid="{00000000-0005-0000-0000-00000E350000}"/>
    <cellStyle name="Normal 24 3 75 2" xfId="19831" xr:uid="{00000000-0005-0000-0000-00000F350000}"/>
    <cellStyle name="Normal 24 3 76" xfId="7748" xr:uid="{00000000-0005-0000-0000-000010350000}"/>
    <cellStyle name="Normal 24 3 76 2" xfId="19832" xr:uid="{00000000-0005-0000-0000-000011350000}"/>
    <cellStyle name="Normal 24 3 77" xfId="7749" xr:uid="{00000000-0005-0000-0000-000012350000}"/>
    <cellStyle name="Normal 24 3 77 2" xfId="19833" xr:uid="{00000000-0005-0000-0000-000013350000}"/>
    <cellStyle name="Normal 24 3 78" xfId="7750" xr:uid="{00000000-0005-0000-0000-000014350000}"/>
    <cellStyle name="Normal 24 3 78 2" xfId="19834" xr:uid="{00000000-0005-0000-0000-000015350000}"/>
    <cellStyle name="Normal 24 3 79" xfId="7751" xr:uid="{00000000-0005-0000-0000-000016350000}"/>
    <cellStyle name="Normal 24 3 79 2" xfId="19835" xr:uid="{00000000-0005-0000-0000-000017350000}"/>
    <cellStyle name="Normal 24 3 8" xfId="7752" xr:uid="{00000000-0005-0000-0000-000018350000}"/>
    <cellStyle name="Normal 24 3 8 2" xfId="19836" xr:uid="{00000000-0005-0000-0000-000019350000}"/>
    <cellStyle name="Normal 24 3 80" xfId="19759" xr:uid="{00000000-0005-0000-0000-00001A350000}"/>
    <cellStyle name="Normal 24 3 81" xfId="7675" xr:uid="{00000000-0005-0000-0000-00001B350000}"/>
    <cellStyle name="Normal 24 3 9" xfId="7753" xr:uid="{00000000-0005-0000-0000-00001C350000}"/>
    <cellStyle name="Normal 24 3 9 2" xfId="19837" xr:uid="{00000000-0005-0000-0000-00001D350000}"/>
    <cellStyle name="Normal 24 30" xfId="7754" xr:uid="{00000000-0005-0000-0000-00001E350000}"/>
    <cellStyle name="Normal 24 30 2" xfId="19838" xr:uid="{00000000-0005-0000-0000-00001F350000}"/>
    <cellStyle name="Normal 24 31" xfId="7755" xr:uid="{00000000-0005-0000-0000-000020350000}"/>
    <cellStyle name="Normal 24 31 2" xfId="19839" xr:uid="{00000000-0005-0000-0000-000021350000}"/>
    <cellStyle name="Normal 24 32" xfId="7756" xr:uid="{00000000-0005-0000-0000-000022350000}"/>
    <cellStyle name="Normal 24 32 2" xfId="19840" xr:uid="{00000000-0005-0000-0000-000023350000}"/>
    <cellStyle name="Normal 24 33" xfId="7757" xr:uid="{00000000-0005-0000-0000-000024350000}"/>
    <cellStyle name="Normal 24 33 2" xfId="19841" xr:uid="{00000000-0005-0000-0000-000025350000}"/>
    <cellStyle name="Normal 24 34" xfId="7758" xr:uid="{00000000-0005-0000-0000-000026350000}"/>
    <cellStyle name="Normal 24 34 2" xfId="19842" xr:uid="{00000000-0005-0000-0000-000027350000}"/>
    <cellStyle name="Normal 24 35" xfId="7759" xr:uid="{00000000-0005-0000-0000-000028350000}"/>
    <cellStyle name="Normal 24 35 2" xfId="19843" xr:uid="{00000000-0005-0000-0000-000029350000}"/>
    <cellStyle name="Normal 24 36" xfId="7760" xr:uid="{00000000-0005-0000-0000-00002A350000}"/>
    <cellStyle name="Normal 24 36 2" xfId="19844" xr:uid="{00000000-0005-0000-0000-00002B350000}"/>
    <cellStyle name="Normal 24 37" xfId="7761" xr:uid="{00000000-0005-0000-0000-00002C350000}"/>
    <cellStyle name="Normal 24 37 2" xfId="19845" xr:uid="{00000000-0005-0000-0000-00002D350000}"/>
    <cellStyle name="Normal 24 38" xfId="7762" xr:uid="{00000000-0005-0000-0000-00002E350000}"/>
    <cellStyle name="Normal 24 38 2" xfId="19846" xr:uid="{00000000-0005-0000-0000-00002F350000}"/>
    <cellStyle name="Normal 24 39" xfId="7763" xr:uid="{00000000-0005-0000-0000-000030350000}"/>
    <cellStyle name="Normal 24 39 2" xfId="19847" xr:uid="{00000000-0005-0000-0000-000031350000}"/>
    <cellStyle name="Normal 24 4" xfId="310" xr:uid="{00000000-0005-0000-0000-000032350000}"/>
    <cellStyle name="Normal 24 4 10" xfId="7764" xr:uid="{00000000-0005-0000-0000-000033350000}"/>
    <cellStyle name="Normal 24 4 10 2" xfId="19849" xr:uid="{00000000-0005-0000-0000-000034350000}"/>
    <cellStyle name="Normal 24 4 11" xfId="7765" xr:uid="{00000000-0005-0000-0000-000035350000}"/>
    <cellStyle name="Normal 24 4 11 2" xfId="19850" xr:uid="{00000000-0005-0000-0000-000036350000}"/>
    <cellStyle name="Normal 24 4 12" xfId="7766" xr:uid="{00000000-0005-0000-0000-000037350000}"/>
    <cellStyle name="Normal 24 4 12 2" xfId="19851" xr:uid="{00000000-0005-0000-0000-000038350000}"/>
    <cellStyle name="Normal 24 4 13" xfId="7767" xr:uid="{00000000-0005-0000-0000-000039350000}"/>
    <cellStyle name="Normal 24 4 13 2" xfId="19852" xr:uid="{00000000-0005-0000-0000-00003A350000}"/>
    <cellStyle name="Normal 24 4 14" xfId="7768" xr:uid="{00000000-0005-0000-0000-00003B350000}"/>
    <cellStyle name="Normal 24 4 14 2" xfId="19853" xr:uid="{00000000-0005-0000-0000-00003C350000}"/>
    <cellStyle name="Normal 24 4 15" xfId="7769" xr:uid="{00000000-0005-0000-0000-00003D350000}"/>
    <cellStyle name="Normal 24 4 15 2" xfId="19854" xr:uid="{00000000-0005-0000-0000-00003E350000}"/>
    <cellStyle name="Normal 24 4 16" xfId="7770" xr:uid="{00000000-0005-0000-0000-00003F350000}"/>
    <cellStyle name="Normal 24 4 16 2" xfId="19855" xr:uid="{00000000-0005-0000-0000-000040350000}"/>
    <cellStyle name="Normal 24 4 17" xfId="7771" xr:uid="{00000000-0005-0000-0000-000041350000}"/>
    <cellStyle name="Normal 24 4 17 2" xfId="19856" xr:uid="{00000000-0005-0000-0000-000042350000}"/>
    <cellStyle name="Normal 24 4 18" xfId="7772" xr:uid="{00000000-0005-0000-0000-000043350000}"/>
    <cellStyle name="Normal 24 4 18 2" xfId="19857" xr:uid="{00000000-0005-0000-0000-000044350000}"/>
    <cellStyle name="Normal 24 4 19" xfId="7773" xr:uid="{00000000-0005-0000-0000-000045350000}"/>
    <cellStyle name="Normal 24 4 19 2" xfId="19858" xr:uid="{00000000-0005-0000-0000-000046350000}"/>
    <cellStyle name="Normal 24 4 2" xfId="7774" xr:uid="{00000000-0005-0000-0000-000047350000}"/>
    <cellStyle name="Normal 24 4 2 2" xfId="19859" xr:uid="{00000000-0005-0000-0000-000048350000}"/>
    <cellStyle name="Normal 24 4 20" xfId="7775" xr:uid="{00000000-0005-0000-0000-000049350000}"/>
    <cellStyle name="Normal 24 4 20 2" xfId="19860" xr:uid="{00000000-0005-0000-0000-00004A350000}"/>
    <cellStyle name="Normal 24 4 21" xfId="7776" xr:uid="{00000000-0005-0000-0000-00004B350000}"/>
    <cellStyle name="Normal 24 4 21 2" xfId="19861" xr:uid="{00000000-0005-0000-0000-00004C350000}"/>
    <cellStyle name="Normal 24 4 22" xfId="7777" xr:uid="{00000000-0005-0000-0000-00004D350000}"/>
    <cellStyle name="Normal 24 4 22 2" xfId="19862" xr:uid="{00000000-0005-0000-0000-00004E350000}"/>
    <cellStyle name="Normal 24 4 23" xfId="7778" xr:uid="{00000000-0005-0000-0000-00004F350000}"/>
    <cellStyle name="Normal 24 4 23 2" xfId="19863" xr:uid="{00000000-0005-0000-0000-000050350000}"/>
    <cellStyle name="Normal 24 4 24" xfId="7779" xr:uid="{00000000-0005-0000-0000-000051350000}"/>
    <cellStyle name="Normal 24 4 24 2" xfId="19864" xr:uid="{00000000-0005-0000-0000-000052350000}"/>
    <cellStyle name="Normal 24 4 25" xfId="7780" xr:uid="{00000000-0005-0000-0000-000053350000}"/>
    <cellStyle name="Normal 24 4 25 2" xfId="19865" xr:uid="{00000000-0005-0000-0000-000054350000}"/>
    <cellStyle name="Normal 24 4 26" xfId="7781" xr:uid="{00000000-0005-0000-0000-000055350000}"/>
    <cellStyle name="Normal 24 4 26 2" xfId="19866" xr:uid="{00000000-0005-0000-0000-000056350000}"/>
    <cellStyle name="Normal 24 4 27" xfId="7782" xr:uid="{00000000-0005-0000-0000-000057350000}"/>
    <cellStyle name="Normal 24 4 27 2" xfId="19867" xr:uid="{00000000-0005-0000-0000-000058350000}"/>
    <cellStyle name="Normal 24 4 28" xfId="7783" xr:uid="{00000000-0005-0000-0000-000059350000}"/>
    <cellStyle name="Normal 24 4 28 2" xfId="19868" xr:uid="{00000000-0005-0000-0000-00005A350000}"/>
    <cellStyle name="Normal 24 4 29" xfId="7784" xr:uid="{00000000-0005-0000-0000-00005B350000}"/>
    <cellStyle name="Normal 24 4 29 2" xfId="19869" xr:uid="{00000000-0005-0000-0000-00005C350000}"/>
    <cellStyle name="Normal 24 4 3" xfId="7785" xr:uid="{00000000-0005-0000-0000-00005D350000}"/>
    <cellStyle name="Normal 24 4 3 2" xfId="19870" xr:uid="{00000000-0005-0000-0000-00005E350000}"/>
    <cellStyle name="Normal 24 4 30" xfId="7786" xr:uid="{00000000-0005-0000-0000-00005F350000}"/>
    <cellStyle name="Normal 24 4 30 2" xfId="19871" xr:uid="{00000000-0005-0000-0000-000060350000}"/>
    <cellStyle name="Normal 24 4 31" xfId="7787" xr:uid="{00000000-0005-0000-0000-000061350000}"/>
    <cellStyle name="Normal 24 4 31 2" xfId="19872" xr:uid="{00000000-0005-0000-0000-000062350000}"/>
    <cellStyle name="Normal 24 4 32" xfId="7788" xr:uid="{00000000-0005-0000-0000-000063350000}"/>
    <cellStyle name="Normal 24 4 32 2" xfId="19873" xr:uid="{00000000-0005-0000-0000-000064350000}"/>
    <cellStyle name="Normal 24 4 33" xfId="7789" xr:uid="{00000000-0005-0000-0000-000065350000}"/>
    <cellStyle name="Normal 24 4 33 2" xfId="19874" xr:uid="{00000000-0005-0000-0000-000066350000}"/>
    <cellStyle name="Normal 24 4 34" xfId="7790" xr:uid="{00000000-0005-0000-0000-000067350000}"/>
    <cellStyle name="Normal 24 4 34 2" xfId="19875" xr:uid="{00000000-0005-0000-0000-000068350000}"/>
    <cellStyle name="Normal 24 4 35" xfId="7791" xr:uid="{00000000-0005-0000-0000-000069350000}"/>
    <cellStyle name="Normal 24 4 35 2" xfId="19876" xr:uid="{00000000-0005-0000-0000-00006A350000}"/>
    <cellStyle name="Normal 24 4 36" xfId="7792" xr:uid="{00000000-0005-0000-0000-00006B350000}"/>
    <cellStyle name="Normal 24 4 36 2" xfId="19877" xr:uid="{00000000-0005-0000-0000-00006C350000}"/>
    <cellStyle name="Normal 24 4 37" xfId="7793" xr:uid="{00000000-0005-0000-0000-00006D350000}"/>
    <cellStyle name="Normal 24 4 37 2" xfId="19878" xr:uid="{00000000-0005-0000-0000-00006E350000}"/>
    <cellStyle name="Normal 24 4 38" xfId="7794" xr:uid="{00000000-0005-0000-0000-00006F350000}"/>
    <cellStyle name="Normal 24 4 38 2" xfId="19879" xr:uid="{00000000-0005-0000-0000-000070350000}"/>
    <cellStyle name="Normal 24 4 39" xfId="7795" xr:uid="{00000000-0005-0000-0000-000071350000}"/>
    <cellStyle name="Normal 24 4 39 2" xfId="19880" xr:uid="{00000000-0005-0000-0000-000072350000}"/>
    <cellStyle name="Normal 24 4 4" xfId="7796" xr:uid="{00000000-0005-0000-0000-000073350000}"/>
    <cellStyle name="Normal 24 4 4 2" xfId="19881" xr:uid="{00000000-0005-0000-0000-000074350000}"/>
    <cellStyle name="Normal 24 4 40" xfId="7797" xr:uid="{00000000-0005-0000-0000-000075350000}"/>
    <cellStyle name="Normal 24 4 40 2" xfId="19882" xr:uid="{00000000-0005-0000-0000-000076350000}"/>
    <cellStyle name="Normal 24 4 41" xfId="7798" xr:uid="{00000000-0005-0000-0000-000077350000}"/>
    <cellStyle name="Normal 24 4 41 2" xfId="19883" xr:uid="{00000000-0005-0000-0000-000078350000}"/>
    <cellStyle name="Normal 24 4 42" xfId="7799" xr:uid="{00000000-0005-0000-0000-000079350000}"/>
    <cellStyle name="Normal 24 4 42 2" xfId="19884" xr:uid="{00000000-0005-0000-0000-00007A350000}"/>
    <cellStyle name="Normal 24 4 43" xfId="7800" xr:uid="{00000000-0005-0000-0000-00007B350000}"/>
    <cellStyle name="Normal 24 4 43 2" xfId="19885" xr:uid="{00000000-0005-0000-0000-00007C350000}"/>
    <cellStyle name="Normal 24 4 44" xfId="7801" xr:uid="{00000000-0005-0000-0000-00007D350000}"/>
    <cellStyle name="Normal 24 4 44 2" xfId="19886" xr:uid="{00000000-0005-0000-0000-00007E350000}"/>
    <cellStyle name="Normal 24 4 45" xfId="7802" xr:uid="{00000000-0005-0000-0000-00007F350000}"/>
    <cellStyle name="Normal 24 4 45 2" xfId="19887" xr:uid="{00000000-0005-0000-0000-000080350000}"/>
    <cellStyle name="Normal 24 4 46" xfId="7803" xr:uid="{00000000-0005-0000-0000-000081350000}"/>
    <cellStyle name="Normal 24 4 46 2" xfId="19888" xr:uid="{00000000-0005-0000-0000-000082350000}"/>
    <cellStyle name="Normal 24 4 47" xfId="7804" xr:uid="{00000000-0005-0000-0000-000083350000}"/>
    <cellStyle name="Normal 24 4 47 2" xfId="19889" xr:uid="{00000000-0005-0000-0000-000084350000}"/>
    <cellStyle name="Normal 24 4 48" xfId="7805" xr:uid="{00000000-0005-0000-0000-000085350000}"/>
    <cellStyle name="Normal 24 4 48 2" xfId="19890" xr:uid="{00000000-0005-0000-0000-000086350000}"/>
    <cellStyle name="Normal 24 4 49" xfId="7806" xr:uid="{00000000-0005-0000-0000-000087350000}"/>
    <cellStyle name="Normal 24 4 49 2" xfId="19891" xr:uid="{00000000-0005-0000-0000-000088350000}"/>
    <cellStyle name="Normal 24 4 5" xfId="7807" xr:uid="{00000000-0005-0000-0000-000089350000}"/>
    <cellStyle name="Normal 24 4 5 2" xfId="19892" xr:uid="{00000000-0005-0000-0000-00008A350000}"/>
    <cellStyle name="Normal 24 4 50" xfId="7808" xr:uid="{00000000-0005-0000-0000-00008B350000}"/>
    <cellStyle name="Normal 24 4 50 2" xfId="19893" xr:uid="{00000000-0005-0000-0000-00008C350000}"/>
    <cellStyle name="Normal 24 4 51" xfId="7809" xr:uid="{00000000-0005-0000-0000-00008D350000}"/>
    <cellStyle name="Normal 24 4 51 2" xfId="19894" xr:uid="{00000000-0005-0000-0000-00008E350000}"/>
    <cellStyle name="Normal 24 4 52" xfId="7810" xr:uid="{00000000-0005-0000-0000-00008F350000}"/>
    <cellStyle name="Normal 24 4 52 2" xfId="19895" xr:uid="{00000000-0005-0000-0000-000090350000}"/>
    <cellStyle name="Normal 24 4 53" xfId="7811" xr:uid="{00000000-0005-0000-0000-000091350000}"/>
    <cellStyle name="Normal 24 4 53 2" xfId="19896" xr:uid="{00000000-0005-0000-0000-000092350000}"/>
    <cellStyle name="Normal 24 4 54" xfId="7812" xr:uid="{00000000-0005-0000-0000-000093350000}"/>
    <cellStyle name="Normal 24 4 54 2" xfId="19897" xr:uid="{00000000-0005-0000-0000-000094350000}"/>
    <cellStyle name="Normal 24 4 55" xfId="7813" xr:uid="{00000000-0005-0000-0000-000095350000}"/>
    <cellStyle name="Normal 24 4 55 2" xfId="19898" xr:uid="{00000000-0005-0000-0000-000096350000}"/>
    <cellStyle name="Normal 24 4 56" xfId="7814" xr:uid="{00000000-0005-0000-0000-000097350000}"/>
    <cellStyle name="Normal 24 4 56 2" xfId="19899" xr:uid="{00000000-0005-0000-0000-000098350000}"/>
    <cellStyle name="Normal 24 4 57" xfId="7815" xr:uid="{00000000-0005-0000-0000-000099350000}"/>
    <cellStyle name="Normal 24 4 57 2" xfId="19900" xr:uid="{00000000-0005-0000-0000-00009A350000}"/>
    <cellStyle name="Normal 24 4 58" xfId="7816" xr:uid="{00000000-0005-0000-0000-00009B350000}"/>
    <cellStyle name="Normal 24 4 58 2" xfId="19901" xr:uid="{00000000-0005-0000-0000-00009C350000}"/>
    <cellStyle name="Normal 24 4 59" xfId="7817" xr:uid="{00000000-0005-0000-0000-00009D350000}"/>
    <cellStyle name="Normal 24 4 59 2" xfId="19902" xr:uid="{00000000-0005-0000-0000-00009E350000}"/>
    <cellStyle name="Normal 24 4 6" xfId="7818" xr:uid="{00000000-0005-0000-0000-00009F350000}"/>
    <cellStyle name="Normal 24 4 6 2" xfId="19903" xr:uid="{00000000-0005-0000-0000-0000A0350000}"/>
    <cellStyle name="Normal 24 4 60" xfId="7819" xr:uid="{00000000-0005-0000-0000-0000A1350000}"/>
    <cellStyle name="Normal 24 4 60 2" xfId="19904" xr:uid="{00000000-0005-0000-0000-0000A2350000}"/>
    <cellStyle name="Normal 24 4 61" xfId="7820" xr:uid="{00000000-0005-0000-0000-0000A3350000}"/>
    <cellStyle name="Normal 24 4 61 2" xfId="19905" xr:uid="{00000000-0005-0000-0000-0000A4350000}"/>
    <cellStyle name="Normal 24 4 62" xfId="7821" xr:uid="{00000000-0005-0000-0000-0000A5350000}"/>
    <cellStyle name="Normal 24 4 62 2" xfId="19906" xr:uid="{00000000-0005-0000-0000-0000A6350000}"/>
    <cellStyle name="Normal 24 4 63" xfId="7822" xr:uid="{00000000-0005-0000-0000-0000A7350000}"/>
    <cellStyle name="Normal 24 4 63 2" xfId="19907" xr:uid="{00000000-0005-0000-0000-0000A8350000}"/>
    <cellStyle name="Normal 24 4 64" xfId="7823" xr:uid="{00000000-0005-0000-0000-0000A9350000}"/>
    <cellStyle name="Normal 24 4 64 2" xfId="19908" xr:uid="{00000000-0005-0000-0000-0000AA350000}"/>
    <cellStyle name="Normal 24 4 65" xfId="7824" xr:uid="{00000000-0005-0000-0000-0000AB350000}"/>
    <cellStyle name="Normal 24 4 65 2" xfId="19909" xr:uid="{00000000-0005-0000-0000-0000AC350000}"/>
    <cellStyle name="Normal 24 4 66" xfId="7825" xr:uid="{00000000-0005-0000-0000-0000AD350000}"/>
    <cellStyle name="Normal 24 4 66 2" xfId="19910" xr:uid="{00000000-0005-0000-0000-0000AE350000}"/>
    <cellStyle name="Normal 24 4 67" xfId="7826" xr:uid="{00000000-0005-0000-0000-0000AF350000}"/>
    <cellStyle name="Normal 24 4 67 2" xfId="19911" xr:uid="{00000000-0005-0000-0000-0000B0350000}"/>
    <cellStyle name="Normal 24 4 68" xfId="7827" xr:uid="{00000000-0005-0000-0000-0000B1350000}"/>
    <cellStyle name="Normal 24 4 68 2" xfId="19912" xr:uid="{00000000-0005-0000-0000-0000B2350000}"/>
    <cellStyle name="Normal 24 4 69" xfId="7828" xr:uid="{00000000-0005-0000-0000-0000B3350000}"/>
    <cellStyle name="Normal 24 4 69 2" xfId="19913" xr:uid="{00000000-0005-0000-0000-0000B4350000}"/>
    <cellStyle name="Normal 24 4 7" xfId="7829" xr:uid="{00000000-0005-0000-0000-0000B5350000}"/>
    <cellStyle name="Normal 24 4 7 2" xfId="19914" xr:uid="{00000000-0005-0000-0000-0000B6350000}"/>
    <cellStyle name="Normal 24 4 70" xfId="7830" xr:uid="{00000000-0005-0000-0000-0000B7350000}"/>
    <cellStyle name="Normal 24 4 70 2" xfId="19915" xr:uid="{00000000-0005-0000-0000-0000B8350000}"/>
    <cellStyle name="Normal 24 4 71" xfId="7831" xr:uid="{00000000-0005-0000-0000-0000B9350000}"/>
    <cellStyle name="Normal 24 4 71 2" xfId="19916" xr:uid="{00000000-0005-0000-0000-0000BA350000}"/>
    <cellStyle name="Normal 24 4 72" xfId="7832" xr:uid="{00000000-0005-0000-0000-0000BB350000}"/>
    <cellStyle name="Normal 24 4 72 2" xfId="19917" xr:uid="{00000000-0005-0000-0000-0000BC350000}"/>
    <cellStyle name="Normal 24 4 73" xfId="7833" xr:uid="{00000000-0005-0000-0000-0000BD350000}"/>
    <cellStyle name="Normal 24 4 73 2" xfId="19918" xr:uid="{00000000-0005-0000-0000-0000BE350000}"/>
    <cellStyle name="Normal 24 4 74" xfId="7834" xr:uid="{00000000-0005-0000-0000-0000BF350000}"/>
    <cellStyle name="Normal 24 4 74 2" xfId="19919" xr:uid="{00000000-0005-0000-0000-0000C0350000}"/>
    <cellStyle name="Normal 24 4 75" xfId="7835" xr:uid="{00000000-0005-0000-0000-0000C1350000}"/>
    <cellStyle name="Normal 24 4 75 2" xfId="19920" xr:uid="{00000000-0005-0000-0000-0000C2350000}"/>
    <cellStyle name="Normal 24 4 76" xfId="7836" xr:uid="{00000000-0005-0000-0000-0000C3350000}"/>
    <cellStyle name="Normal 24 4 76 2" xfId="19921" xr:uid="{00000000-0005-0000-0000-0000C4350000}"/>
    <cellStyle name="Normal 24 4 77" xfId="7837" xr:uid="{00000000-0005-0000-0000-0000C5350000}"/>
    <cellStyle name="Normal 24 4 77 2" xfId="19922" xr:uid="{00000000-0005-0000-0000-0000C6350000}"/>
    <cellStyle name="Normal 24 4 78" xfId="7838" xr:uid="{00000000-0005-0000-0000-0000C7350000}"/>
    <cellStyle name="Normal 24 4 78 2" xfId="19923" xr:uid="{00000000-0005-0000-0000-0000C8350000}"/>
    <cellStyle name="Normal 24 4 79" xfId="7839" xr:uid="{00000000-0005-0000-0000-0000C9350000}"/>
    <cellStyle name="Normal 24 4 79 2" xfId="19924" xr:uid="{00000000-0005-0000-0000-0000CA350000}"/>
    <cellStyle name="Normal 24 4 8" xfId="7840" xr:uid="{00000000-0005-0000-0000-0000CB350000}"/>
    <cellStyle name="Normal 24 4 8 2" xfId="19925" xr:uid="{00000000-0005-0000-0000-0000CC350000}"/>
    <cellStyle name="Normal 24 4 80" xfId="19848" xr:uid="{00000000-0005-0000-0000-0000CD350000}"/>
    <cellStyle name="Normal 24 4 9" xfId="7841" xr:uid="{00000000-0005-0000-0000-0000CE350000}"/>
    <cellStyle name="Normal 24 4 9 2" xfId="19926" xr:uid="{00000000-0005-0000-0000-0000CF350000}"/>
    <cellStyle name="Normal 24 40" xfId="7842" xr:uid="{00000000-0005-0000-0000-0000D0350000}"/>
    <cellStyle name="Normal 24 40 2" xfId="19927" xr:uid="{00000000-0005-0000-0000-0000D1350000}"/>
    <cellStyle name="Normal 24 41" xfId="7843" xr:uid="{00000000-0005-0000-0000-0000D2350000}"/>
    <cellStyle name="Normal 24 41 2" xfId="19928" xr:uid="{00000000-0005-0000-0000-0000D3350000}"/>
    <cellStyle name="Normal 24 42" xfId="7844" xr:uid="{00000000-0005-0000-0000-0000D4350000}"/>
    <cellStyle name="Normal 24 42 2" xfId="19929" xr:uid="{00000000-0005-0000-0000-0000D5350000}"/>
    <cellStyle name="Normal 24 43" xfId="7845" xr:uid="{00000000-0005-0000-0000-0000D6350000}"/>
    <cellStyle name="Normal 24 43 2" xfId="19930" xr:uid="{00000000-0005-0000-0000-0000D7350000}"/>
    <cellStyle name="Normal 24 44" xfId="7846" xr:uid="{00000000-0005-0000-0000-0000D8350000}"/>
    <cellStyle name="Normal 24 44 2" xfId="19931" xr:uid="{00000000-0005-0000-0000-0000D9350000}"/>
    <cellStyle name="Normal 24 45" xfId="7847" xr:uid="{00000000-0005-0000-0000-0000DA350000}"/>
    <cellStyle name="Normal 24 45 2" xfId="19932" xr:uid="{00000000-0005-0000-0000-0000DB350000}"/>
    <cellStyle name="Normal 24 46" xfId="7848" xr:uid="{00000000-0005-0000-0000-0000DC350000}"/>
    <cellStyle name="Normal 24 46 2" xfId="19933" xr:uid="{00000000-0005-0000-0000-0000DD350000}"/>
    <cellStyle name="Normal 24 47" xfId="7849" xr:uid="{00000000-0005-0000-0000-0000DE350000}"/>
    <cellStyle name="Normal 24 47 2" xfId="19934" xr:uid="{00000000-0005-0000-0000-0000DF350000}"/>
    <cellStyle name="Normal 24 48" xfId="7850" xr:uid="{00000000-0005-0000-0000-0000E0350000}"/>
    <cellStyle name="Normal 24 48 2" xfId="19935" xr:uid="{00000000-0005-0000-0000-0000E1350000}"/>
    <cellStyle name="Normal 24 49" xfId="7851" xr:uid="{00000000-0005-0000-0000-0000E2350000}"/>
    <cellStyle name="Normal 24 49 2" xfId="19936" xr:uid="{00000000-0005-0000-0000-0000E3350000}"/>
    <cellStyle name="Normal 24 5" xfId="7852" xr:uid="{00000000-0005-0000-0000-0000E4350000}"/>
    <cellStyle name="Normal 24 5 2" xfId="19937" xr:uid="{00000000-0005-0000-0000-0000E5350000}"/>
    <cellStyle name="Normal 24 50" xfId="7853" xr:uid="{00000000-0005-0000-0000-0000E6350000}"/>
    <cellStyle name="Normal 24 50 2" xfId="19938" xr:uid="{00000000-0005-0000-0000-0000E7350000}"/>
    <cellStyle name="Normal 24 51" xfId="7854" xr:uid="{00000000-0005-0000-0000-0000E8350000}"/>
    <cellStyle name="Normal 24 51 2" xfId="19939" xr:uid="{00000000-0005-0000-0000-0000E9350000}"/>
    <cellStyle name="Normal 24 52" xfId="7855" xr:uid="{00000000-0005-0000-0000-0000EA350000}"/>
    <cellStyle name="Normal 24 52 2" xfId="19940" xr:uid="{00000000-0005-0000-0000-0000EB350000}"/>
    <cellStyle name="Normal 24 53" xfId="7856" xr:uid="{00000000-0005-0000-0000-0000EC350000}"/>
    <cellStyle name="Normal 24 53 2" xfId="19941" xr:uid="{00000000-0005-0000-0000-0000ED350000}"/>
    <cellStyle name="Normal 24 54" xfId="7857" xr:uid="{00000000-0005-0000-0000-0000EE350000}"/>
    <cellStyle name="Normal 24 54 2" xfId="19942" xr:uid="{00000000-0005-0000-0000-0000EF350000}"/>
    <cellStyle name="Normal 24 55" xfId="7858" xr:uid="{00000000-0005-0000-0000-0000F0350000}"/>
    <cellStyle name="Normal 24 55 2" xfId="19943" xr:uid="{00000000-0005-0000-0000-0000F1350000}"/>
    <cellStyle name="Normal 24 56" xfId="7859" xr:uid="{00000000-0005-0000-0000-0000F2350000}"/>
    <cellStyle name="Normal 24 56 2" xfId="19944" xr:uid="{00000000-0005-0000-0000-0000F3350000}"/>
    <cellStyle name="Normal 24 57" xfId="7860" xr:uid="{00000000-0005-0000-0000-0000F4350000}"/>
    <cellStyle name="Normal 24 57 2" xfId="19945" xr:uid="{00000000-0005-0000-0000-0000F5350000}"/>
    <cellStyle name="Normal 24 58" xfId="7861" xr:uid="{00000000-0005-0000-0000-0000F6350000}"/>
    <cellStyle name="Normal 24 58 2" xfId="19946" xr:uid="{00000000-0005-0000-0000-0000F7350000}"/>
    <cellStyle name="Normal 24 59" xfId="7862" xr:uid="{00000000-0005-0000-0000-0000F8350000}"/>
    <cellStyle name="Normal 24 59 2" xfId="19947" xr:uid="{00000000-0005-0000-0000-0000F9350000}"/>
    <cellStyle name="Normal 24 6" xfId="7863" xr:uid="{00000000-0005-0000-0000-0000FA350000}"/>
    <cellStyle name="Normal 24 6 2" xfId="19948" xr:uid="{00000000-0005-0000-0000-0000FB350000}"/>
    <cellStyle name="Normal 24 60" xfId="7864" xr:uid="{00000000-0005-0000-0000-0000FC350000}"/>
    <cellStyle name="Normal 24 60 2" xfId="19949" xr:uid="{00000000-0005-0000-0000-0000FD350000}"/>
    <cellStyle name="Normal 24 61" xfId="7865" xr:uid="{00000000-0005-0000-0000-0000FE350000}"/>
    <cellStyle name="Normal 24 61 2" xfId="19950" xr:uid="{00000000-0005-0000-0000-0000FF350000}"/>
    <cellStyle name="Normal 24 62" xfId="7866" xr:uid="{00000000-0005-0000-0000-000000360000}"/>
    <cellStyle name="Normal 24 62 2" xfId="19951" xr:uid="{00000000-0005-0000-0000-000001360000}"/>
    <cellStyle name="Normal 24 63" xfId="7867" xr:uid="{00000000-0005-0000-0000-000002360000}"/>
    <cellStyle name="Normal 24 63 2" xfId="19952" xr:uid="{00000000-0005-0000-0000-000003360000}"/>
    <cellStyle name="Normal 24 64" xfId="7868" xr:uid="{00000000-0005-0000-0000-000004360000}"/>
    <cellStyle name="Normal 24 64 2" xfId="19953" xr:uid="{00000000-0005-0000-0000-000005360000}"/>
    <cellStyle name="Normal 24 65" xfId="7869" xr:uid="{00000000-0005-0000-0000-000006360000}"/>
    <cellStyle name="Normal 24 65 2" xfId="19954" xr:uid="{00000000-0005-0000-0000-000007360000}"/>
    <cellStyle name="Normal 24 66" xfId="7870" xr:uid="{00000000-0005-0000-0000-000008360000}"/>
    <cellStyle name="Normal 24 66 2" xfId="19955" xr:uid="{00000000-0005-0000-0000-000009360000}"/>
    <cellStyle name="Normal 24 67" xfId="7871" xr:uid="{00000000-0005-0000-0000-00000A360000}"/>
    <cellStyle name="Normal 24 67 2" xfId="19956" xr:uid="{00000000-0005-0000-0000-00000B360000}"/>
    <cellStyle name="Normal 24 68" xfId="7872" xr:uid="{00000000-0005-0000-0000-00000C360000}"/>
    <cellStyle name="Normal 24 68 2" xfId="19957" xr:uid="{00000000-0005-0000-0000-00000D360000}"/>
    <cellStyle name="Normal 24 69" xfId="7873" xr:uid="{00000000-0005-0000-0000-00000E360000}"/>
    <cellStyle name="Normal 24 69 2" xfId="19958" xr:uid="{00000000-0005-0000-0000-00000F360000}"/>
    <cellStyle name="Normal 24 7" xfId="7874" xr:uid="{00000000-0005-0000-0000-000010360000}"/>
    <cellStyle name="Normal 24 7 2" xfId="19959" xr:uid="{00000000-0005-0000-0000-000011360000}"/>
    <cellStyle name="Normal 24 70" xfId="7875" xr:uid="{00000000-0005-0000-0000-000012360000}"/>
    <cellStyle name="Normal 24 70 2" xfId="19960" xr:uid="{00000000-0005-0000-0000-000013360000}"/>
    <cellStyle name="Normal 24 71" xfId="7876" xr:uid="{00000000-0005-0000-0000-000014360000}"/>
    <cellStyle name="Normal 24 71 2" xfId="19961" xr:uid="{00000000-0005-0000-0000-000015360000}"/>
    <cellStyle name="Normal 24 72" xfId="7877" xr:uid="{00000000-0005-0000-0000-000016360000}"/>
    <cellStyle name="Normal 24 72 2" xfId="19962" xr:uid="{00000000-0005-0000-0000-000017360000}"/>
    <cellStyle name="Normal 24 73" xfId="7878" xr:uid="{00000000-0005-0000-0000-000018360000}"/>
    <cellStyle name="Normal 24 73 2" xfId="19963" xr:uid="{00000000-0005-0000-0000-000019360000}"/>
    <cellStyle name="Normal 24 74" xfId="7879" xr:uid="{00000000-0005-0000-0000-00001A360000}"/>
    <cellStyle name="Normal 24 74 2" xfId="19964" xr:uid="{00000000-0005-0000-0000-00001B360000}"/>
    <cellStyle name="Normal 24 75" xfId="7880" xr:uid="{00000000-0005-0000-0000-00001C360000}"/>
    <cellStyle name="Normal 24 75 2" xfId="19965" xr:uid="{00000000-0005-0000-0000-00001D360000}"/>
    <cellStyle name="Normal 24 76" xfId="7881" xr:uid="{00000000-0005-0000-0000-00001E360000}"/>
    <cellStyle name="Normal 24 76 2" xfId="19966" xr:uid="{00000000-0005-0000-0000-00001F360000}"/>
    <cellStyle name="Normal 24 77" xfId="7882" xr:uid="{00000000-0005-0000-0000-000020360000}"/>
    <cellStyle name="Normal 24 77 2" xfId="19967" xr:uid="{00000000-0005-0000-0000-000021360000}"/>
    <cellStyle name="Normal 24 78" xfId="7883" xr:uid="{00000000-0005-0000-0000-000022360000}"/>
    <cellStyle name="Normal 24 78 2" xfId="19968" xr:uid="{00000000-0005-0000-0000-000023360000}"/>
    <cellStyle name="Normal 24 79" xfId="7884" xr:uid="{00000000-0005-0000-0000-000024360000}"/>
    <cellStyle name="Normal 24 79 2" xfId="19969" xr:uid="{00000000-0005-0000-0000-000025360000}"/>
    <cellStyle name="Normal 24 8" xfId="7885" xr:uid="{00000000-0005-0000-0000-000026360000}"/>
    <cellStyle name="Normal 24 8 2" xfId="19970" xr:uid="{00000000-0005-0000-0000-000027360000}"/>
    <cellStyle name="Normal 24 80" xfId="7886" xr:uid="{00000000-0005-0000-0000-000028360000}"/>
    <cellStyle name="Normal 24 80 2" xfId="19971" xr:uid="{00000000-0005-0000-0000-000029360000}"/>
    <cellStyle name="Normal 24 81" xfId="7887" xr:uid="{00000000-0005-0000-0000-00002A360000}"/>
    <cellStyle name="Normal 24 81 2" xfId="19972" xr:uid="{00000000-0005-0000-0000-00002B360000}"/>
    <cellStyle name="Normal 24 82" xfId="7888" xr:uid="{00000000-0005-0000-0000-00002C360000}"/>
    <cellStyle name="Normal 24 82 2" xfId="19973" xr:uid="{00000000-0005-0000-0000-00002D360000}"/>
    <cellStyle name="Normal 24 83" xfId="19659" xr:uid="{00000000-0005-0000-0000-00002E360000}"/>
    <cellStyle name="Normal 24 84" xfId="27418" xr:uid="{00000000-0005-0000-0000-00002F360000}"/>
    <cellStyle name="Normal 24 9" xfId="7889" xr:uid="{00000000-0005-0000-0000-000030360000}"/>
    <cellStyle name="Normal 24 9 2" xfId="19974" xr:uid="{00000000-0005-0000-0000-000031360000}"/>
    <cellStyle name="Normal 25" xfId="89" xr:uid="{00000000-0005-0000-0000-000032360000}"/>
    <cellStyle name="Normal 25 10" xfId="7890" xr:uid="{00000000-0005-0000-0000-000033360000}"/>
    <cellStyle name="Normal 25 10 2" xfId="19975" xr:uid="{00000000-0005-0000-0000-000034360000}"/>
    <cellStyle name="Normal 25 11" xfId="7891" xr:uid="{00000000-0005-0000-0000-000035360000}"/>
    <cellStyle name="Normal 25 11 2" xfId="19976" xr:uid="{00000000-0005-0000-0000-000036360000}"/>
    <cellStyle name="Normal 25 12" xfId="7892" xr:uid="{00000000-0005-0000-0000-000037360000}"/>
    <cellStyle name="Normal 25 12 2" xfId="19977" xr:uid="{00000000-0005-0000-0000-000038360000}"/>
    <cellStyle name="Normal 25 13" xfId="7893" xr:uid="{00000000-0005-0000-0000-000039360000}"/>
    <cellStyle name="Normal 25 13 2" xfId="19978" xr:uid="{00000000-0005-0000-0000-00003A360000}"/>
    <cellStyle name="Normal 25 14" xfId="7894" xr:uid="{00000000-0005-0000-0000-00003B360000}"/>
    <cellStyle name="Normal 25 14 2" xfId="19979" xr:uid="{00000000-0005-0000-0000-00003C360000}"/>
    <cellStyle name="Normal 25 15" xfId="7895" xr:uid="{00000000-0005-0000-0000-00003D360000}"/>
    <cellStyle name="Normal 25 15 2" xfId="19980" xr:uid="{00000000-0005-0000-0000-00003E360000}"/>
    <cellStyle name="Normal 25 16" xfId="7896" xr:uid="{00000000-0005-0000-0000-00003F360000}"/>
    <cellStyle name="Normal 25 16 2" xfId="19981" xr:uid="{00000000-0005-0000-0000-000040360000}"/>
    <cellStyle name="Normal 25 17" xfId="7897" xr:uid="{00000000-0005-0000-0000-000041360000}"/>
    <cellStyle name="Normal 25 17 2" xfId="19982" xr:uid="{00000000-0005-0000-0000-000042360000}"/>
    <cellStyle name="Normal 25 18" xfId="7898" xr:uid="{00000000-0005-0000-0000-000043360000}"/>
    <cellStyle name="Normal 25 18 2" xfId="19983" xr:uid="{00000000-0005-0000-0000-000044360000}"/>
    <cellStyle name="Normal 25 19" xfId="7899" xr:uid="{00000000-0005-0000-0000-000045360000}"/>
    <cellStyle name="Normal 25 19 2" xfId="19984" xr:uid="{00000000-0005-0000-0000-000046360000}"/>
    <cellStyle name="Normal 25 2" xfId="784" xr:uid="{00000000-0005-0000-0000-000047360000}"/>
    <cellStyle name="Normal 25 2 10" xfId="7900" xr:uid="{00000000-0005-0000-0000-000048360000}"/>
    <cellStyle name="Normal 25 2 10 2" xfId="19986" xr:uid="{00000000-0005-0000-0000-000049360000}"/>
    <cellStyle name="Normal 25 2 11" xfId="7901" xr:uid="{00000000-0005-0000-0000-00004A360000}"/>
    <cellStyle name="Normal 25 2 11 2" xfId="19987" xr:uid="{00000000-0005-0000-0000-00004B360000}"/>
    <cellStyle name="Normal 25 2 12" xfId="7902" xr:uid="{00000000-0005-0000-0000-00004C360000}"/>
    <cellStyle name="Normal 25 2 12 2" xfId="19988" xr:uid="{00000000-0005-0000-0000-00004D360000}"/>
    <cellStyle name="Normal 25 2 13" xfId="7903" xr:uid="{00000000-0005-0000-0000-00004E360000}"/>
    <cellStyle name="Normal 25 2 13 2" xfId="19989" xr:uid="{00000000-0005-0000-0000-00004F360000}"/>
    <cellStyle name="Normal 25 2 14" xfId="7904" xr:uid="{00000000-0005-0000-0000-000050360000}"/>
    <cellStyle name="Normal 25 2 14 2" xfId="19990" xr:uid="{00000000-0005-0000-0000-000051360000}"/>
    <cellStyle name="Normal 25 2 15" xfId="7905" xr:uid="{00000000-0005-0000-0000-000052360000}"/>
    <cellStyle name="Normal 25 2 15 2" xfId="19991" xr:uid="{00000000-0005-0000-0000-000053360000}"/>
    <cellStyle name="Normal 25 2 16" xfId="7906" xr:uid="{00000000-0005-0000-0000-000054360000}"/>
    <cellStyle name="Normal 25 2 16 2" xfId="19992" xr:uid="{00000000-0005-0000-0000-000055360000}"/>
    <cellStyle name="Normal 25 2 17" xfId="7907" xr:uid="{00000000-0005-0000-0000-000056360000}"/>
    <cellStyle name="Normal 25 2 17 2" xfId="19993" xr:uid="{00000000-0005-0000-0000-000057360000}"/>
    <cellStyle name="Normal 25 2 18" xfId="7908" xr:uid="{00000000-0005-0000-0000-000058360000}"/>
    <cellStyle name="Normal 25 2 18 2" xfId="19994" xr:uid="{00000000-0005-0000-0000-000059360000}"/>
    <cellStyle name="Normal 25 2 19" xfId="7909" xr:uid="{00000000-0005-0000-0000-00005A360000}"/>
    <cellStyle name="Normal 25 2 19 2" xfId="19995" xr:uid="{00000000-0005-0000-0000-00005B360000}"/>
    <cellStyle name="Normal 25 2 2" xfId="7910" xr:uid="{00000000-0005-0000-0000-00005C360000}"/>
    <cellStyle name="Normal 25 2 2 2" xfId="19996" xr:uid="{00000000-0005-0000-0000-00005D360000}"/>
    <cellStyle name="Normal 25 2 20" xfId="7911" xr:uid="{00000000-0005-0000-0000-00005E360000}"/>
    <cellStyle name="Normal 25 2 20 2" xfId="19997" xr:uid="{00000000-0005-0000-0000-00005F360000}"/>
    <cellStyle name="Normal 25 2 21" xfId="7912" xr:uid="{00000000-0005-0000-0000-000060360000}"/>
    <cellStyle name="Normal 25 2 21 2" xfId="19998" xr:uid="{00000000-0005-0000-0000-000061360000}"/>
    <cellStyle name="Normal 25 2 22" xfId="7913" xr:uid="{00000000-0005-0000-0000-000062360000}"/>
    <cellStyle name="Normal 25 2 22 2" xfId="19999" xr:uid="{00000000-0005-0000-0000-000063360000}"/>
    <cellStyle name="Normal 25 2 23" xfId="7914" xr:uid="{00000000-0005-0000-0000-000064360000}"/>
    <cellStyle name="Normal 25 2 23 2" xfId="20000" xr:uid="{00000000-0005-0000-0000-000065360000}"/>
    <cellStyle name="Normal 25 2 24" xfId="7915" xr:uid="{00000000-0005-0000-0000-000066360000}"/>
    <cellStyle name="Normal 25 2 24 2" xfId="20001" xr:uid="{00000000-0005-0000-0000-000067360000}"/>
    <cellStyle name="Normal 25 2 25" xfId="7916" xr:uid="{00000000-0005-0000-0000-000068360000}"/>
    <cellStyle name="Normal 25 2 25 2" xfId="20002" xr:uid="{00000000-0005-0000-0000-000069360000}"/>
    <cellStyle name="Normal 25 2 26" xfId="7917" xr:uid="{00000000-0005-0000-0000-00006A360000}"/>
    <cellStyle name="Normal 25 2 26 2" xfId="20003" xr:uid="{00000000-0005-0000-0000-00006B360000}"/>
    <cellStyle name="Normal 25 2 27" xfId="7918" xr:uid="{00000000-0005-0000-0000-00006C360000}"/>
    <cellStyle name="Normal 25 2 27 2" xfId="20004" xr:uid="{00000000-0005-0000-0000-00006D360000}"/>
    <cellStyle name="Normal 25 2 28" xfId="7919" xr:uid="{00000000-0005-0000-0000-00006E360000}"/>
    <cellStyle name="Normal 25 2 28 2" xfId="20005" xr:uid="{00000000-0005-0000-0000-00006F360000}"/>
    <cellStyle name="Normal 25 2 29" xfId="7920" xr:uid="{00000000-0005-0000-0000-000070360000}"/>
    <cellStyle name="Normal 25 2 29 2" xfId="20006" xr:uid="{00000000-0005-0000-0000-000071360000}"/>
    <cellStyle name="Normal 25 2 3" xfId="7921" xr:uid="{00000000-0005-0000-0000-000072360000}"/>
    <cellStyle name="Normal 25 2 3 2" xfId="20007" xr:uid="{00000000-0005-0000-0000-000073360000}"/>
    <cellStyle name="Normal 25 2 30" xfId="7922" xr:uid="{00000000-0005-0000-0000-000074360000}"/>
    <cellStyle name="Normal 25 2 30 2" xfId="20008" xr:uid="{00000000-0005-0000-0000-000075360000}"/>
    <cellStyle name="Normal 25 2 31" xfId="7923" xr:uid="{00000000-0005-0000-0000-000076360000}"/>
    <cellStyle name="Normal 25 2 31 2" xfId="20009" xr:uid="{00000000-0005-0000-0000-000077360000}"/>
    <cellStyle name="Normal 25 2 32" xfId="7924" xr:uid="{00000000-0005-0000-0000-000078360000}"/>
    <cellStyle name="Normal 25 2 32 2" xfId="20010" xr:uid="{00000000-0005-0000-0000-000079360000}"/>
    <cellStyle name="Normal 25 2 33" xfId="7925" xr:uid="{00000000-0005-0000-0000-00007A360000}"/>
    <cellStyle name="Normal 25 2 33 2" xfId="20011" xr:uid="{00000000-0005-0000-0000-00007B360000}"/>
    <cellStyle name="Normal 25 2 34" xfId="7926" xr:uid="{00000000-0005-0000-0000-00007C360000}"/>
    <cellStyle name="Normal 25 2 34 2" xfId="20012" xr:uid="{00000000-0005-0000-0000-00007D360000}"/>
    <cellStyle name="Normal 25 2 35" xfId="7927" xr:uid="{00000000-0005-0000-0000-00007E360000}"/>
    <cellStyle name="Normal 25 2 35 2" xfId="20013" xr:uid="{00000000-0005-0000-0000-00007F360000}"/>
    <cellStyle name="Normal 25 2 36" xfId="7928" xr:uid="{00000000-0005-0000-0000-000080360000}"/>
    <cellStyle name="Normal 25 2 36 2" xfId="20014" xr:uid="{00000000-0005-0000-0000-000081360000}"/>
    <cellStyle name="Normal 25 2 37" xfId="7929" xr:uid="{00000000-0005-0000-0000-000082360000}"/>
    <cellStyle name="Normal 25 2 37 2" xfId="20015" xr:uid="{00000000-0005-0000-0000-000083360000}"/>
    <cellStyle name="Normal 25 2 38" xfId="7930" xr:uid="{00000000-0005-0000-0000-000084360000}"/>
    <cellStyle name="Normal 25 2 38 2" xfId="20016" xr:uid="{00000000-0005-0000-0000-000085360000}"/>
    <cellStyle name="Normal 25 2 39" xfId="7931" xr:uid="{00000000-0005-0000-0000-000086360000}"/>
    <cellStyle name="Normal 25 2 39 2" xfId="20017" xr:uid="{00000000-0005-0000-0000-000087360000}"/>
    <cellStyle name="Normal 25 2 4" xfId="7932" xr:uid="{00000000-0005-0000-0000-000088360000}"/>
    <cellStyle name="Normal 25 2 4 2" xfId="20018" xr:uid="{00000000-0005-0000-0000-000089360000}"/>
    <cellStyle name="Normal 25 2 40" xfId="7933" xr:uid="{00000000-0005-0000-0000-00008A360000}"/>
    <cellStyle name="Normal 25 2 40 2" xfId="20019" xr:uid="{00000000-0005-0000-0000-00008B360000}"/>
    <cellStyle name="Normal 25 2 41" xfId="7934" xr:uid="{00000000-0005-0000-0000-00008C360000}"/>
    <cellStyle name="Normal 25 2 41 2" xfId="20020" xr:uid="{00000000-0005-0000-0000-00008D360000}"/>
    <cellStyle name="Normal 25 2 42" xfId="7935" xr:uid="{00000000-0005-0000-0000-00008E360000}"/>
    <cellStyle name="Normal 25 2 42 2" xfId="20021" xr:uid="{00000000-0005-0000-0000-00008F360000}"/>
    <cellStyle name="Normal 25 2 43" xfId="7936" xr:uid="{00000000-0005-0000-0000-000090360000}"/>
    <cellStyle name="Normal 25 2 43 2" xfId="20022" xr:uid="{00000000-0005-0000-0000-000091360000}"/>
    <cellStyle name="Normal 25 2 44" xfId="7937" xr:uid="{00000000-0005-0000-0000-000092360000}"/>
    <cellStyle name="Normal 25 2 44 2" xfId="20023" xr:uid="{00000000-0005-0000-0000-000093360000}"/>
    <cellStyle name="Normal 25 2 45" xfId="7938" xr:uid="{00000000-0005-0000-0000-000094360000}"/>
    <cellStyle name="Normal 25 2 45 2" xfId="20024" xr:uid="{00000000-0005-0000-0000-000095360000}"/>
    <cellStyle name="Normal 25 2 46" xfId="7939" xr:uid="{00000000-0005-0000-0000-000096360000}"/>
    <cellStyle name="Normal 25 2 46 2" xfId="20025" xr:uid="{00000000-0005-0000-0000-000097360000}"/>
    <cellStyle name="Normal 25 2 47" xfId="7940" xr:uid="{00000000-0005-0000-0000-000098360000}"/>
    <cellStyle name="Normal 25 2 47 2" xfId="20026" xr:uid="{00000000-0005-0000-0000-000099360000}"/>
    <cellStyle name="Normal 25 2 48" xfId="7941" xr:uid="{00000000-0005-0000-0000-00009A360000}"/>
    <cellStyle name="Normal 25 2 48 2" xfId="20027" xr:uid="{00000000-0005-0000-0000-00009B360000}"/>
    <cellStyle name="Normal 25 2 49" xfId="7942" xr:uid="{00000000-0005-0000-0000-00009C360000}"/>
    <cellStyle name="Normal 25 2 49 2" xfId="20028" xr:uid="{00000000-0005-0000-0000-00009D360000}"/>
    <cellStyle name="Normal 25 2 5" xfId="7943" xr:uid="{00000000-0005-0000-0000-00009E360000}"/>
    <cellStyle name="Normal 25 2 5 2" xfId="20029" xr:uid="{00000000-0005-0000-0000-00009F360000}"/>
    <cellStyle name="Normal 25 2 50" xfId="7944" xr:uid="{00000000-0005-0000-0000-0000A0360000}"/>
    <cellStyle name="Normal 25 2 50 2" xfId="20030" xr:uid="{00000000-0005-0000-0000-0000A1360000}"/>
    <cellStyle name="Normal 25 2 51" xfId="7945" xr:uid="{00000000-0005-0000-0000-0000A2360000}"/>
    <cellStyle name="Normal 25 2 51 2" xfId="20031" xr:uid="{00000000-0005-0000-0000-0000A3360000}"/>
    <cellStyle name="Normal 25 2 52" xfId="7946" xr:uid="{00000000-0005-0000-0000-0000A4360000}"/>
    <cellStyle name="Normal 25 2 52 2" xfId="20032" xr:uid="{00000000-0005-0000-0000-0000A5360000}"/>
    <cellStyle name="Normal 25 2 53" xfId="7947" xr:uid="{00000000-0005-0000-0000-0000A6360000}"/>
    <cellStyle name="Normal 25 2 53 2" xfId="20033" xr:uid="{00000000-0005-0000-0000-0000A7360000}"/>
    <cellStyle name="Normal 25 2 54" xfId="7948" xr:uid="{00000000-0005-0000-0000-0000A8360000}"/>
    <cellStyle name="Normal 25 2 54 2" xfId="20034" xr:uid="{00000000-0005-0000-0000-0000A9360000}"/>
    <cellStyle name="Normal 25 2 55" xfId="7949" xr:uid="{00000000-0005-0000-0000-0000AA360000}"/>
    <cellStyle name="Normal 25 2 55 2" xfId="20035" xr:uid="{00000000-0005-0000-0000-0000AB360000}"/>
    <cellStyle name="Normal 25 2 56" xfId="7950" xr:uid="{00000000-0005-0000-0000-0000AC360000}"/>
    <cellStyle name="Normal 25 2 56 2" xfId="20036" xr:uid="{00000000-0005-0000-0000-0000AD360000}"/>
    <cellStyle name="Normal 25 2 57" xfId="7951" xr:uid="{00000000-0005-0000-0000-0000AE360000}"/>
    <cellStyle name="Normal 25 2 57 2" xfId="20037" xr:uid="{00000000-0005-0000-0000-0000AF360000}"/>
    <cellStyle name="Normal 25 2 58" xfId="7952" xr:uid="{00000000-0005-0000-0000-0000B0360000}"/>
    <cellStyle name="Normal 25 2 58 2" xfId="20038" xr:uid="{00000000-0005-0000-0000-0000B1360000}"/>
    <cellStyle name="Normal 25 2 59" xfId="7953" xr:uid="{00000000-0005-0000-0000-0000B2360000}"/>
    <cellStyle name="Normal 25 2 59 2" xfId="20039" xr:uid="{00000000-0005-0000-0000-0000B3360000}"/>
    <cellStyle name="Normal 25 2 6" xfId="7954" xr:uid="{00000000-0005-0000-0000-0000B4360000}"/>
    <cellStyle name="Normal 25 2 6 2" xfId="20040" xr:uid="{00000000-0005-0000-0000-0000B5360000}"/>
    <cellStyle name="Normal 25 2 60" xfId="7955" xr:uid="{00000000-0005-0000-0000-0000B6360000}"/>
    <cellStyle name="Normal 25 2 60 2" xfId="20041" xr:uid="{00000000-0005-0000-0000-0000B7360000}"/>
    <cellStyle name="Normal 25 2 61" xfId="7956" xr:uid="{00000000-0005-0000-0000-0000B8360000}"/>
    <cellStyle name="Normal 25 2 61 2" xfId="20042" xr:uid="{00000000-0005-0000-0000-0000B9360000}"/>
    <cellStyle name="Normal 25 2 62" xfId="7957" xr:uid="{00000000-0005-0000-0000-0000BA360000}"/>
    <cellStyle name="Normal 25 2 62 2" xfId="20043" xr:uid="{00000000-0005-0000-0000-0000BB360000}"/>
    <cellStyle name="Normal 25 2 63" xfId="7958" xr:uid="{00000000-0005-0000-0000-0000BC360000}"/>
    <cellStyle name="Normal 25 2 63 2" xfId="20044" xr:uid="{00000000-0005-0000-0000-0000BD360000}"/>
    <cellStyle name="Normal 25 2 64" xfId="7959" xr:uid="{00000000-0005-0000-0000-0000BE360000}"/>
    <cellStyle name="Normal 25 2 64 2" xfId="20045" xr:uid="{00000000-0005-0000-0000-0000BF360000}"/>
    <cellStyle name="Normal 25 2 65" xfId="7960" xr:uid="{00000000-0005-0000-0000-0000C0360000}"/>
    <cellStyle name="Normal 25 2 65 2" xfId="20046" xr:uid="{00000000-0005-0000-0000-0000C1360000}"/>
    <cellStyle name="Normal 25 2 66" xfId="7961" xr:uid="{00000000-0005-0000-0000-0000C2360000}"/>
    <cellStyle name="Normal 25 2 66 2" xfId="20047" xr:uid="{00000000-0005-0000-0000-0000C3360000}"/>
    <cellStyle name="Normal 25 2 67" xfId="7962" xr:uid="{00000000-0005-0000-0000-0000C4360000}"/>
    <cellStyle name="Normal 25 2 67 2" xfId="20048" xr:uid="{00000000-0005-0000-0000-0000C5360000}"/>
    <cellStyle name="Normal 25 2 68" xfId="7963" xr:uid="{00000000-0005-0000-0000-0000C6360000}"/>
    <cellStyle name="Normal 25 2 68 2" xfId="20049" xr:uid="{00000000-0005-0000-0000-0000C7360000}"/>
    <cellStyle name="Normal 25 2 69" xfId="7964" xr:uid="{00000000-0005-0000-0000-0000C8360000}"/>
    <cellStyle name="Normal 25 2 69 2" xfId="20050" xr:uid="{00000000-0005-0000-0000-0000C9360000}"/>
    <cellStyle name="Normal 25 2 7" xfId="7965" xr:uid="{00000000-0005-0000-0000-0000CA360000}"/>
    <cellStyle name="Normal 25 2 7 2" xfId="20051" xr:uid="{00000000-0005-0000-0000-0000CB360000}"/>
    <cellStyle name="Normal 25 2 70" xfId="7966" xr:uid="{00000000-0005-0000-0000-0000CC360000}"/>
    <cellStyle name="Normal 25 2 70 2" xfId="20052" xr:uid="{00000000-0005-0000-0000-0000CD360000}"/>
    <cellStyle name="Normal 25 2 71" xfId="7967" xr:uid="{00000000-0005-0000-0000-0000CE360000}"/>
    <cellStyle name="Normal 25 2 71 2" xfId="20053" xr:uid="{00000000-0005-0000-0000-0000CF360000}"/>
    <cellStyle name="Normal 25 2 72" xfId="7968" xr:uid="{00000000-0005-0000-0000-0000D0360000}"/>
    <cellStyle name="Normal 25 2 72 2" xfId="20054" xr:uid="{00000000-0005-0000-0000-0000D1360000}"/>
    <cellStyle name="Normal 25 2 73" xfId="7969" xr:uid="{00000000-0005-0000-0000-0000D2360000}"/>
    <cellStyle name="Normal 25 2 73 2" xfId="20055" xr:uid="{00000000-0005-0000-0000-0000D3360000}"/>
    <cellStyle name="Normal 25 2 74" xfId="7970" xr:uid="{00000000-0005-0000-0000-0000D4360000}"/>
    <cellStyle name="Normal 25 2 74 2" xfId="20056" xr:uid="{00000000-0005-0000-0000-0000D5360000}"/>
    <cellStyle name="Normal 25 2 75" xfId="7971" xr:uid="{00000000-0005-0000-0000-0000D6360000}"/>
    <cellStyle name="Normal 25 2 75 2" xfId="20057" xr:uid="{00000000-0005-0000-0000-0000D7360000}"/>
    <cellStyle name="Normal 25 2 76" xfId="7972" xr:uid="{00000000-0005-0000-0000-0000D8360000}"/>
    <cellStyle name="Normal 25 2 76 2" xfId="20058" xr:uid="{00000000-0005-0000-0000-0000D9360000}"/>
    <cellStyle name="Normal 25 2 77" xfId="7973" xr:uid="{00000000-0005-0000-0000-0000DA360000}"/>
    <cellStyle name="Normal 25 2 77 2" xfId="20059" xr:uid="{00000000-0005-0000-0000-0000DB360000}"/>
    <cellStyle name="Normal 25 2 78" xfId="7974" xr:uid="{00000000-0005-0000-0000-0000DC360000}"/>
    <cellStyle name="Normal 25 2 78 2" xfId="20060" xr:uid="{00000000-0005-0000-0000-0000DD360000}"/>
    <cellStyle name="Normal 25 2 79" xfId="7975" xr:uid="{00000000-0005-0000-0000-0000DE360000}"/>
    <cellStyle name="Normal 25 2 79 2" xfId="20061" xr:uid="{00000000-0005-0000-0000-0000DF360000}"/>
    <cellStyle name="Normal 25 2 8" xfId="7976" xr:uid="{00000000-0005-0000-0000-0000E0360000}"/>
    <cellStyle name="Normal 25 2 8 2" xfId="20062" xr:uid="{00000000-0005-0000-0000-0000E1360000}"/>
    <cellStyle name="Normal 25 2 80" xfId="19985" xr:uid="{00000000-0005-0000-0000-0000E2360000}"/>
    <cellStyle name="Normal 25 2 9" xfId="7977" xr:uid="{00000000-0005-0000-0000-0000E3360000}"/>
    <cellStyle name="Normal 25 2 9 2" xfId="20063" xr:uid="{00000000-0005-0000-0000-0000E4360000}"/>
    <cellStyle name="Normal 25 20" xfId="7978" xr:uid="{00000000-0005-0000-0000-0000E5360000}"/>
    <cellStyle name="Normal 25 20 2" xfId="20064" xr:uid="{00000000-0005-0000-0000-0000E6360000}"/>
    <cellStyle name="Normal 25 21" xfId="7979" xr:uid="{00000000-0005-0000-0000-0000E7360000}"/>
    <cellStyle name="Normal 25 21 2" xfId="20065" xr:uid="{00000000-0005-0000-0000-0000E8360000}"/>
    <cellStyle name="Normal 25 22" xfId="7980" xr:uid="{00000000-0005-0000-0000-0000E9360000}"/>
    <cellStyle name="Normal 25 22 2" xfId="20066" xr:uid="{00000000-0005-0000-0000-0000EA360000}"/>
    <cellStyle name="Normal 25 23" xfId="7981" xr:uid="{00000000-0005-0000-0000-0000EB360000}"/>
    <cellStyle name="Normal 25 23 2" xfId="20067" xr:uid="{00000000-0005-0000-0000-0000EC360000}"/>
    <cellStyle name="Normal 25 24" xfId="7982" xr:uid="{00000000-0005-0000-0000-0000ED360000}"/>
    <cellStyle name="Normal 25 24 2" xfId="20068" xr:uid="{00000000-0005-0000-0000-0000EE360000}"/>
    <cellStyle name="Normal 25 25" xfId="7983" xr:uid="{00000000-0005-0000-0000-0000EF360000}"/>
    <cellStyle name="Normal 25 25 2" xfId="20069" xr:uid="{00000000-0005-0000-0000-0000F0360000}"/>
    <cellStyle name="Normal 25 26" xfId="7984" xr:uid="{00000000-0005-0000-0000-0000F1360000}"/>
    <cellStyle name="Normal 25 26 2" xfId="20070" xr:uid="{00000000-0005-0000-0000-0000F2360000}"/>
    <cellStyle name="Normal 25 27" xfId="7985" xr:uid="{00000000-0005-0000-0000-0000F3360000}"/>
    <cellStyle name="Normal 25 27 2" xfId="20071" xr:uid="{00000000-0005-0000-0000-0000F4360000}"/>
    <cellStyle name="Normal 25 28" xfId="7986" xr:uid="{00000000-0005-0000-0000-0000F5360000}"/>
    <cellStyle name="Normal 25 28 2" xfId="20072" xr:uid="{00000000-0005-0000-0000-0000F6360000}"/>
    <cellStyle name="Normal 25 29" xfId="7987" xr:uid="{00000000-0005-0000-0000-0000F7360000}"/>
    <cellStyle name="Normal 25 29 2" xfId="20073" xr:uid="{00000000-0005-0000-0000-0000F8360000}"/>
    <cellStyle name="Normal 25 3" xfId="713" xr:uid="{00000000-0005-0000-0000-0000F9360000}"/>
    <cellStyle name="Normal 25 3 10" xfId="7989" xr:uid="{00000000-0005-0000-0000-0000FA360000}"/>
    <cellStyle name="Normal 25 3 10 2" xfId="20075" xr:uid="{00000000-0005-0000-0000-0000FB360000}"/>
    <cellStyle name="Normal 25 3 11" xfId="7990" xr:uid="{00000000-0005-0000-0000-0000FC360000}"/>
    <cellStyle name="Normal 25 3 11 2" xfId="20076" xr:uid="{00000000-0005-0000-0000-0000FD360000}"/>
    <cellStyle name="Normal 25 3 12" xfId="7991" xr:uid="{00000000-0005-0000-0000-0000FE360000}"/>
    <cellStyle name="Normal 25 3 12 2" xfId="20077" xr:uid="{00000000-0005-0000-0000-0000FF360000}"/>
    <cellStyle name="Normal 25 3 13" xfId="7992" xr:uid="{00000000-0005-0000-0000-000000370000}"/>
    <cellStyle name="Normal 25 3 13 2" xfId="20078" xr:uid="{00000000-0005-0000-0000-000001370000}"/>
    <cellStyle name="Normal 25 3 14" xfId="7993" xr:uid="{00000000-0005-0000-0000-000002370000}"/>
    <cellStyle name="Normal 25 3 14 2" xfId="20079" xr:uid="{00000000-0005-0000-0000-000003370000}"/>
    <cellStyle name="Normal 25 3 15" xfId="7994" xr:uid="{00000000-0005-0000-0000-000004370000}"/>
    <cellStyle name="Normal 25 3 15 2" xfId="20080" xr:uid="{00000000-0005-0000-0000-000005370000}"/>
    <cellStyle name="Normal 25 3 16" xfId="7995" xr:uid="{00000000-0005-0000-0000-000006370000}"/>
    <cellStyle name="Normal 25 3 16 2" xfId="20081" xr:uid="{00000000-0005-0000-0000-000007370000}"/>
    <cellStyle name="Normal 25 3 17" xfId="7996" xr:uid="{00000000-0005-0000-0000-000008370000}"/>
    <cellStyle name="Normal 25 3 17 2" xfId="20082" xr:uid="{00000000-0005-0000-0000-000009370000}"/>
    <cellStyle name="Normal 25 3 18" xfId="7997" xr:uid="{00000000-0005-0000-0000-00000A370000}"/>
    <cellStyle name="Normal 25 3 18 2" xfId="20083" xr:uid="{00000000-0005-0000-0000-00000B370000}"/>
    <cellStyle name="Normal 25 3 19" xfId="7998" xr:uid="{00000000-0005-0000-0000-00000C370000}"/>
    <cellStyle name="Normal 25 3 19 2" xfId="20084" xr:uid="{00000000-0005-0000-0000-00000D370000}"/>
    <cellStyle name="Normal 25 3 2" xfId="7999" xr:uid="{00000000-0005-0000-0000-00000E370000}"/>
    <cellStyle name="Normal 25 3 2 2" xfId="20085" xr:uid="{00000000-0005-0000-0000-00000F370000}"/>
    <cellStyle name="Normal 25 3 20" xfId="8000" xr:uid="{00000000-0005-0000-0000-000010370000}"/>
    <cellStyle name="Normal 25 3 20 2" xfId="20086" xr:uid="{00000000-0005-0000-0000-000011370000}"/>
    <cellStyle name="Normal 25 3 21" xfId="8001" xr:uid="{00000000-0005-0000-0000-000012370000}"/>
    <cellStyle name="Normal 25 3 21 2" xfId="20087" xr:uid="{00000000-0005-0000-0000-000013370000}"/>
    <cellStyle name="Normal 25 3 22" xfId="8002" xr:uid="{00000000-0005-0000-0000-000014370000}"/>
    <cellStyle name="Normal 25 3 22 2" xfId="20088" xr:uid="{00000000-0005-0000-0000-000015370000}"/>
    <cellStyle name="Normal 25 3 23" xfId="8003" xr:uid="{00000000-0005-0000-0000-000016370000}"/>
    <cellStyle name="Normal 25 3 23 2" xfId="20089" xr:uid="{00000000-0005-0000-0000-000017370000}"/>
    <cellStyle name="Normal 25 3 24" xfId="8004" xr:uid="{00000000-0005-0000-0000-000018370000}"/>
    <cellStyle name="Normal 25 3 24 2" xfId="20090" xr:uid="{00000000-0005-0000-0000-000019370000}"/>
    <cellStyle name="Normal 25 3 25" xfId="8005" xr:uid="{00000000-0005-0000-0000-00001A370000}"/>
    <cellStyle name="Normal 25 3 25 2" xfId="20091" xr:uid="{00000000-0005-0000-0000-00001B370000}"/>
    <cellStyle name="Normal 25 3 26" xfId="8006" xr:uid="{00000000-0005-0000-0000-00001C370000}"/>
    <cellStyle name="Normal 25 3 26 2" xfId="20092" xr:uid="{00000000-0005-0000-0000-00001D370000}"/>
    <cellStyle name="Normal 25 3 27" xfId="8007" xr:uid="{00000000-0005-0000-0000-00001E370000}"/>
    <cellStyle name="Normal 25 3 27 2" xfId="20093" xr:uid="{00000000-0005-0000-0000-00001F370000}"/>
    <cellStyle name="Normal 25 3 28" xfId="8008" xr:uid="{00000000-0005-0000-0000-000020370000}"/>
    <cellStyle name="Normal 25 3 28 2" xfId="20094" xr:uid="{00000000-0005-0000-0000-000021370000}"/>
    <cellStyle name="Normal 25 3 29" xfId="8009" xr:uid="{00000000-0005-0000-0000-000022370000}"/>
    <cellStyle name="Normal 25 3 29 2" xfId="20095" xr:uid="{00000000-0005-0000-0000-000023370000}"/>
    <cellStyle name="Normal 25 3 3" xfId="8010" xr:uid="{00000000-0005-0000-0000-000024370000}"/>
    <cellStyle name="Normal 25 3 3 2" xfId="20096" xr:uid="{00000000-0005-0000-0000-000025370000}"/>
    <cellStyle name="Normal 25 3 30" xfId="8011" xr:uid="{00000000-0005-0000-0000-000026370000}"/>
    <cellStyle name="Normal 25 3 30 2" xfId="20097" xr:uid="{00000000-0005-0000-0000-000027370000}"/>
    <cellStyle name="Normal 25 3 31" xfId="8012" xr:uid="{00000000-0005-0000-0000-000028370000}"/>
    <cellStyle name="Normal 25 3 31 2" xfId="20098" xr:uid="{00000000-0005-0000-0000-000029370000}"/>
    <cellStyle name="Normal 25 3 32" xfId="8013" xr:uid="{00000000-0005-0000-0000-00002A370000}"/>
    <cellStyle name="Normal 25 3 32 2" xfId="20099" xr:uid="{00000000-0005-0000-0000-00002B370000}"/>
    <cellStyle name="Normal 25 3 33" xfId="8014" xr:uid="{00000000-0005-0000-0000-00002C370000}"/>
    <cellStyle name="Normal 25 3 33 2" xfId="20100" xr:uid="{00000000-0005-0000-0000-00002D370000}"/>
    <cellStyle name="Normal 25 3 34" xfId="8015" xr:uid="{00000000-0005-0000-0000-00002E370000}"/>
    <cellStyle name="Normal 25 3 34 2" xfId="20101" xr:uid="{00000000-0005-0000-0000-00002F370000}"/>
    <cellStyle name="Normal 25 3 35" xfId="8016" xr:uid="{00000000-0005-0000-0000-000030370000}"/>
    <cellStyle name="Normal 25 3 35 2" xfId="20102" xr:uid="{00000000-0005-0000-0000-000031370000}"/>
    <cellStyle name="Normal 25 3 36" xfId="8017" xr:uid="{00000000-0005-0000-0000-000032370000}"/>
    <cellStyle name="Normal 25 3 36 2" xfId="20103" xr:uid="{00000000-0005-0000-0000-000033370000}"/>
    <cellStyle name="Normal 25 3 37" xfId="8018" xr:uid="{00000000-0005-0000-0000-000034370000}"/>
    <cellStyle name="Normal 25 3 37 2" xfId="20104" xr:uid="{00000000-0005-0000-0000-000035370000}"/>
    <cellStyle name="Normal 25 3 38" xfId="8019" xr:uid="{00000000-0005-0000-0000-000036370000}"/>
    <cellStyle name="Normal 25 3 38 2" xfId="20105" xr:uid="{00000000-0005-0000-0000-000037370000}"/>
    <cellStyle name="Normal 25 3 39" xfId="8020" xr:uid="{00000000-0005-0000-0000-000038370000}"/>
    <cellStyle name="Normal 25 3 39 2" xfId="20106" xr:uid="{00000000-0005-0000-0000-000039370000}"/>
    <cellStyle name="Normal 25 3 4" xfId="8021" xr:uid="{00000000-0005-0000-0000-00003A370000}"/>
    <cellStyle name="Normal 25 3 4 2" xfId="20107" xr:uid="{00000000-0005-0000-0000-00003B370000}"/>
    <cellStyle name="Normal 25 3 40" xfId="8022" xr:uid="{00000000-0005-0000-0000-00003C370000}"/>
    <cellStyle name="Normal 25 3 40 2" xfId="20108" xr:uid="{00000000-0005-0000-0000-00003D370000}"/>
    <cellStyle name="Normal 25 3 41" xfId="8023" xr:uid="{00000000-0005-0000-0000-00003E370000}"/>
    <cellStyle name="Normal 25 3 41 2" xfId="20109" xr:uid="{00000000-0005-0000-0000-00003F370000}"/>
    <cellStyle name="Normal 25 3 42" xfId="8024" xr:uid="{00000000-0005-0000-0000-000040370000}"/>
    <cellStyle name="Normal 25 3 42 2" xfId="20110" xr:uid="{00000000-0005-0000-0000-000041370000}"/>
    <cellStyle name="Normal 25 3 43" xfId="8025" xr:uid="{00000000-0005-0000-0000-000042370000}"/>
    <cellStyle name="Normal 25 3 43 2" xfId="20111" xr:uid="{00000000-0005-0000-0000-000043370000}"/>
    <cellStyle name="Normal 25 3 44" xfId="8026" xr:uid="{00000000-0005-0000-0000-000044370000}"/>
    <cellStyle name="Normal 25 3 44 2" xfId="20112" xr:uid="{00000000-0005-0000-0000-000045370000}"/>
    <cellStyle name="Normal 25 3 45" xfId="8027" xr:uid="{00000000-0005-0000-0000-000046370000}"/>
    <cellStyle name="Normal 25 3 45 2" xfId="20113" xr:uid="{00000000-0005-0000-0000-000047370000}"/>
    <cellStyle name="Normal 25 3 46" xfId="8028" xr:uid="{00000000-0005-0000-0000-000048370000}"/>
    <cellStyle name="Normal 25 3 46 2" xfId="20114" xr:uid="{00000000-0005-0000-0000-000049370000}"/>
    <cellStyle name="Normal 25 3 47" xfId="8029" xr:uid="{00000000-0005-0000-0000-00004A370000}"/>
    <cellStyle name="Normal 25 3 47 2" xfId="20115" xr:uid="{00000000-0005-0000-0000-00004B370000}"/>
    <cellStyle name="Normal 25 3 48" xfId="8030" xr:uid="{00000000-0005-0000-0000-00004C370000}"/>
    <cellStyle name="Normal 25 3 48 2" xfId="20116" xr:uid="{00000000-0005-0000-0000-00004D370000}"/>
    <cellStyle name="Normal 25 3 49" xfId="8031" xr:uid="{00000000-0005-0000-0000-00004E370000}"/>
    <cellStyle name="Normal 25 3 49 2" xfId="20117" xr:uid="{00000000-0005-0000-0000-00004F370000}"/>
    <cellStyle name="Normal 25 3 5" xfId="8032" xr:uid="{00000000-0005-0000-0000-000050370000}"/>
    <cellStyle name="Normal 25 3 5 2" xfId="20118" xr:uid="{00000000-0005-0000-0000-000051370000}"/>
    <cellStyle name="Normal 25 3 50" xfId="8033" xr:uid="{00000000-0005-0000-0000-000052370000}"/>
    <cellStyle name="Normal 25 3 50 2" xfId="20119" xr:uid="{00000000-0005-0000-0000-000053370000}"/>
    <cellStyle name="Normal 25 3 51" xfId="8034" xr:uid="{00000000-0005-0000-0000-000054370000}"/>
    <cellStyle name="Normal 25 3 51 2" xfId="20120" xr:uid="{00000000-0005-0000-0000-000055370000}"/>
    <cellStyle name="Normal 25 3 52" xfId="8035" xr:uid="{00000000-0005-0000-0000-000056370000}"/>
    <cellStyle name="Normal 25 3 52 2" xfId="20121" xr:uid="{00000000-0005-0000-0000-000057370000}"/>
    <cellStyle name="Normal 25 3 53" xfId="8036" xr:uid="{00000000-0005-0000-0000-000058370000}"/>
    <cellStyle name="Normal 25 3 53 2" xfId="20122" xr:uid="{00000000-0005-0000-0000-000059370000}"/>
    <cellStyle name="Normal 25 3 54" xfId="8037" xr:uid="{00000000-0005-0000-0000-00005A370000}"/>
    <cellStyle name="Normal 25 3 54 2" xfId="20123" xr:uid="{00000000-0005-0000-0000-00005B370000}"/>
    <cellStyle name="Normal 25 3 55" xfId="8038" xr:uid="{00000000-0005-0000-0000-00005C370000}"/>
    <cellStyle name="Normal 25 3 55 2" xfId="20124" xr:uid="{00000000-0005-0000-0000-00005D370000}"/>
    <cellStyle name="Normal 25 3 56" xfId="8039" xr:uid="{00000000-0005-0000-0000-00005E370000}"/>
    <cellStyle name="Normal 25 3 56 2" xfId="20125" xr:uid="{00000000-0005-0000-0000-00005F370000}"/>
    <cellStyle name="Normal 25 3 57" xfId="8040" xr:uid="{00000000-0005-0000-0000-000060370000}"/>
    <cellStyle name="Normal 25 3 57 2" xfId="20126" xr:uid="{00000000-0005-0000-0000-000061370000}"/>
    <cellStyle name="Normal 25 3 58" xfId="8041" xr:uid="{00000000-0005-0000-0000-000062370000}"/>
    <cellStyle name="Normal 25 3 58 2" xfId="20127" xr:uid="{00000000-0005-0000-0000-000063370000}"/>
    <cellStyle name="Normal 25 3 59" xfId="8042" xr:uid="{00000000-0005-0000-0000-000064370000}"/>
    <cellStyle name="Normal 25 3 59 2" xfId="20128" xr:uid="{00000000-0005-0000-0000-000065370000}"/>
    <cellStyle name="Normal 25 3 6" xfId="8043" xr:uid="{00000000-0005-0000-0000-000066370000}"/>
    <cellStyle name="Normal 25 3 6 2" xfId="20129" xr:uid="{00000000-0005-0000-0000-000067370000}"/>
    <cellStyle name="Normal 25 3 60" xfId="8044" xr:uid="{00000000-0005-0000-0000-000068370000}"/>
    <cellStyle name="Normal 25 3 60 2" xfId="20130" xr:uid="{00000000-0005-0000-0000-000069370000}"/>
    <cellStyle name="Normal 25 3 61" xfId="8045" xr:uid="{00000000-0005-0000-0000-00006A370000}"/>
    <cellStyle name="Normal 25 3 61 2" xfId="20131" xr:uid="{00000000-0005-0000-0000-00006B370000}"/>
    <cellStyle name="Normal 25 3 62" xfId="8046" xr:uid="{00000000-0005-0000-0000-00006C370000}"/>
    <cellStyle name="Normal 25 3 62 2" xfId="20132" xr:uid="{00000000-0005-0000-0000-00006D370000}"/>
    <cellStyle name="Normal 25 3 63" xfId="8047" xr:uid="{00000000-0005-0000-0000-00006E370000}"/>
    <cellStyle name="Normal 25 3 63 2" xfId="20133" xr:uid="{00000000-0005-0000-0000-00006F370000}"/>
    <cellStyle name="Normal 25 3 64" xfId="8048" xr:uid="{00000000-0005-0000-0000-000070370000}"/>
    <cellStyle name="Normal 25 3 64 2" xfId="20134" xr:uid="{00000000-0005-0000-0000-000071370000}"/>
    <cellStyle name="Normal 25 3 65" xfId="8049" xr:uid="{00000000-0005-0000-0000-000072370000}"/>
    <cellStyle name="Normal 25 3 65 2" xfId="20135" xr:uid="{00000000-0005-0000-0000-000073370000}"/>
    <cellStyle name="Normal 25 3 66" xfId="8050" xr:uid="{00000000-0005-0000-0000-000074370000}"/>
    <cellStyle name="Normal 25 3 66 2" xfId="20136" xr:uid="{00000000-0005-0000-0000-000075370000}"/>
    <cellStyle name="Normal 25 3 67" xfId="8051" xr:uid="{00000000-0005-0000-0000-000076370000}"/>
    <cellStyle name="Normal 25 3 67 2" xfId="20137" xr:uid="{00000000-0005-0000-0000-000077370000}"/>
    <cellStyle name="Normal 25 3 68" xfId="8052" xr:uid="{00000000-0005-0000-0000-000078370000}"/>
    <cellStyle name="Normal 25 3 68 2" xfId="20138" xr:uid="{00000000-0005-0000-0000-000079370000}"/>
    <cellStyle name="Normal 25 3 69" xfId="8053" xr:uid="{00000000-0005-0000-0000-00007A370000}"/>
    <cellStyle name="Normal 25 3 69 2" xfId="20139" xr:uid="{00000000-0005-0000-0000-00007B370000}"/>
    <cellStyle name="Normal 25 3 7" xfId="8054" xr:uid="{00000000-0005-0000-0000-00007C370000}"/>
    <cellStyle name="Normal 25 3 7 2" xfId="20140" xr:uid="{00000000-0005-0000-0000-00007D370000}"/>
    <cellStyle name="Normal 25 3 70" xfId="8055" xr:uid="{00000000-0005-0000-0000-00007E370000}"/>
    <cellStyle name="Normal 25 3 70 2" xfId="20141" xr:uid="{00000000-0005-0000-0000-00007F370000}"/>
    <cellStyle name="Normal 25 3 71" xfId="8056" xr:uid="{00000000-0005-0000-0000-000080370000}"/>
    <cellStyle name="Normal 25 3 71 2" xfId="20142" xr:uid="{00000000-0005-0000-0000-000081370000}"/>
    <cellStyle name="Normal 25 3 72" xfId="8057" xr:uid="{00000000-0005-0000-0000-000082370000}"/>
    <cellStyle name="Normal 25 3 72 2" xfId="20143" xr:uid="{00000000-0005-0000-0000-000083370000}"/>
    <cellStyle name="Normal 25 3 73" xfId="8058" xr:uid="{00000000-0005-0000-0000-000084370000}"/>
    <cellStyle name="Normal 25 3 73 2" xfId="20144" xr:uid="{00000000-0005-0000-0000-000085370000}"/>
    <cellStyle name="Normal 25 3 74" xfId="8059" xr:uid="{00000000-0005-0000-0000-000086370000}"/>
    <cellStyle name="Normal 25 3 74 2" xfId="20145" xr:uid="{00000000-0005-0000-0000-000087370000}"/>
    <cellStyle name="Normal 25 3 75" xfId="8060" xr:uid="{00000000-0005-0000-0000-000088370000}"/>
    <cellStyle name="Normal 25 3 75 2" xfId="20146" xr:uid="{00000000-0005-0000-0000-000089370000}"/>
    <cellStyle name="Normal 25 3 76" xfId="8061" xr:uid="{00000000-0005-0000-0000-00008A370000}"/>
    <cellStyle name="Normal 25 3 76 2" xfId="20147" xr:uid="{00000000-0005-0000-0000-00008B370000}"/>
    <cellStyle name="Normal 25 3 77" xfId="8062" xr:uid="{00000000-0005-0000-0000-00008C370000}"/>
    <cellStyle name="Normal 25 3 77 2" xfId="20148" xr:uid="{00000000-0005-0000-0000-00008D370000}"/>
    <cellStyle name="Normal 25 3 78" xfId="8063" xr:uid="{00000000-0005-0000-0000-00008E370000}"/>
    <cellStyle name="Normal 25 3 78 2" xfId="20149" xr:uid="{00000000-0005-0000-0000-00008F370000}"/>
    <cellStyle name="Normal 25 3 79" xfId="8064" xr:uid="{00000000-0005-0000-0000-000090370000}"/>
    <cellStyle name="Normal 25 3 79 2" xfId="20150" xr:uid="{00000000-0005-0000-0000-000091370000}"/>
    <cellStyle name="Normal 25 3 8" xfId="8065" xr:uid="{00000000-0005-0000-0000-000092370000}"/>
    <cellStyle name="Normal 25 3 8 2" xfId="20151" xr:uid="{00000000-0005-0000-0000-000093370000}"/>
    <cellStyle name="Normal 25 3 80" xfId="20074" xr:uid="{00000000-0005-0000-0000-000094370000}"/>
    <cellStyle name="Normal 25 3 81" xfId="7988" xr:uid="{00000000-0005-0000-0000-000095370000}"/>
    <cellStyle name="Normal 25 3 9" xfId="8066" xr:uid="{00000000-0005-0000-0000-000096370000}"/>
    <cellStyle name="Normal 25 3 9 2" xfId="20152" xr:uid="{00000000-0005-0000-0000-000097370000}"/>
    <cellStyle name="Normal 25 30" xfId="8067" xr:uid="{00000000-0005-0000-0000-000098370000}"/>
    <cellStyle name="Normal 25 30 2" xfId="20153" xr:uid="{00000000-0005-0000-0000-000099370000}"/>
    <cellStyle name="Normal 25 31" xfId="8068" xr:uid="{00000000-0005-0000-0000-00009A370000}"/>
    <cellStyle name="Normal 25 31 2" xfId="20154" xr:uid="{00000000-0005-0000-0000-00009B370000}"/>
    <cellStyle name="Normal 25 32" xfId="8069" xr:uid="{00000000-0005-0000-0000-00009C370000}"/>
    <cellStyle name="Normal 25 32 2" xfId="20155" xr:uid="{00000000-0005-0000-0000-00009D370000}"/>
    <cellStyle name="Normal 25 33" xfId="8070" xr:uid="{00000000-0005-0000-0000-00009E370000}"/>
    <cellStyle name="Normal 25 33 2" xfId="20156" xr:uid="{00000000-0005-0000-0000-00009F370000}"/>
    <cellStyle name="Normal 25 34" xfId="8071" xr:uid="{00000000-0005-0000-0000-0000A0370000}"/>
    <cellStyle name="Normal 25 34 2" xfId="20157" xr:uid="{00000000-0005-0000-0000-0000A1370000}"/>
    <cellStyle name="Normal 25 35" xfId="8072" xr:uid="{00000000-0005-0000-0000-0000A2370000}"/>
    <cellStyle name="Normal 25 35 2" xfId="20158" xr:uid="{00000000-0005-0000-0000-0000A3370000}"/>
    <cellStyle name="Normal 25 36" xfId="8073" xr:uid="{00000000-0005-0000-0000-0000A4370000}"/>
    <cellStyle name="Normal 25 36 2" xfId="20159" xr:uid="{00000000-0005-0000-0000-0000A5370000}"/>
    <cellStyle name="Normal 25 37" xfId="8074" xr:uid="{00000000-0005-0000-0000-0000A6370000}"/>
    <cellStyle name="Normal 25 37 2" xfId="20160" xr:uid="{00000000-0005-0000-0000-0000A7370000}"/>
    <cellStyle name="Normal 25 38" xfId="8075" xr:uid="{00000000-0005-0000-0000-0000A8370000}"/>
    <cellStyle name="Normal 25 38 2" xfId="20161" xr:uid="{00000000-0005-0000-0000-0000A9370000}"/>
    <cellStyle name="Normal 25 39" xfId="8076" xr:uid="{00000000-0005-0000-0000-0000AA370000}"/>
    <cellStyle name="Normal 25 39 2" xfId="20162" xr:uid="{00000000-0005-0000-0000-0000AB370000}"/>
    <cellStyle name="Normal 25 4" xfId="311" xr:uid="{00000000-0005-0000-0000-0000AC370000}"/>
    <cellStyle name="Normal 25 4 10" xfId="8077" xr:uid="{00000000-0005-0000-0000-0000AD370000}"/>
    <cellStyle name="Normal 25 4 10 2" xfId="20164" xr:uid="{00000000-0005-0000-0000-0000AE370000}"/>
    <cellStyle name="Normal 25 4 11" xfId="8078" xr:uid="{00000000-0005-0000-0000-0000AF370000}"/>
    <cellStyle name="Normal 25 4 11 2" xfId="20165" xr:uid="{00000000-0005-0000-0000-0000B0370000}"/>
    <cellStyle name="Normal 25 4 12" xfId="8079" xr:uid="{00000000-0005-0000-0000-0000B1370000}"/>
    <cellStyle name="Normal 25 4 12 2" xfId="20166" xr:uid="{00000000-0005-0000-0000-0000B2370000}"/>
    <cellStyle name="Normal 25 4 13" xfId="8080" xr:uid="{00000000-0005-0000-0000-0000B3370000}"/>
    <cellStyle name="Normal 25 4 13 2" xfId="20167" xr:uid="{00000000-0005-0000-0000-0000B4370000}"/>
    <cellStyle name="Normal 25 4 14" xfId="8081" xr:uid="{00000000-0005-0000-0000-0000B5370000}"/>
    <cellStyle name="Normal 25 4 14 2" xfId="20168" xr:uid="{00000000-0005-0000-0000-0000B6370000}"/>
    <cellStyle name="Normal 25 4 15" xfId="8082" xr:uid="{00000000-0005-0000-0000-0000B7370000}"/>
    <cellStyle name="Normal 25 4 15 2" xfId="20169" xr:uid="{00000000-0005-0000-0000-0000B8370000}"/>
    <cellStyle name="Normal 25 4 16" xfId="8083" xr:uid="{00000000-0005-0000-0000-0000B9370000}"/>
    <cellStyle name="Normal 25 4 16 2" xfId="20170" xr:uid="{00000000-0005-0000-0000-0000BA370000}"/>
    <cellStyle name="Normal 25 4 17" xfId="8084" xr:uid="{00000000-0005-0000-0000-0000BB370000}"/>
    <cellStyle name="Normal 25 4 17 2" xfId="20171" xr:uid="{00000000-0005-0000-0000-0000BC370000}"/>
    <cellStyle name="Normal 25 4 18" xfId="8085" xr:uid="{00000000-0005-0000-0000-0000BD370000}"/>
    <cellStyle name="Normal 25 4 18 2" xfId="20172" xr:uid="{00000000-0005-0000-0000-0000BE370000}"/>
    <cellStyle name="Normal 25 4 19" xfId="8086" xr:uid="{00000000-0005-0000-0000-0000BF370000}"/>
    <cellStyle name="Normal 25 4 19 2" xfId="20173" xr:uid="{00000000-0005-0000-0000-0000C0370000}"/>
    <cellStyle name="Normal 25 4 2" xfId="8087" xr:uid="{00000000-0005-0000-0000-0000C1370000}"/>
    <cellStyle name="Normal 25 4 2 2" xfId="20174" xr:uid="{00000000-0005-0000-0000-0000C2370000}"/>
    <cellStyle name="Normal 25 4 20" xfId="8088" xr:uid="{00000000-0005-0000-0000-0000C3370000}"/>
    <cellStyle name="Normal 25 4 20 2" xfId="20175" xr:uid="{00000000-0005-0000-0000-0000C4370000}"/>
    <cellStyle name="Normal 25 4 21" xfId="8089" xr:uid="{00000000-0005-0000-0000-0000C5370000}"/>
    <cellStyle name="Normal 25 4 21 2" xfId="20176" xr:uid="{00000000-0005-0000-0000-0000C6370000}"/>
    <cellStyle name="Normal 25 4 22" xfId="8090" xr:uid="{00000000-0005-0000-0000-0000C7370000}"/>
    <cellStyle name="Normal 25 4 22 2" xfId="20177" xr:uid="{00000000-0005-0000-0000-0000C8370000}"/>
    <cellStyle name="Normal 25 4 23" xfId="8091" xr:uid="{00000000-0005-0000-0000-0000C9370000}"/>
    <cellStyle name="Normal 25 4 23 2" xfId="20178" xr:uid="{00000000-0005-0000-0000-0000CA370000}"/>
    <cellStyle name="Normal 25 4 24" xfId="8092" xr:uid="{00000000-0005-0000-0000-0000CB370000}"/>
    <cellStyle name="Normal 25 4 24 2" xfId="20179" xr:uid="{00000000-0005-0000-0000-0000CC370000}"/>
    <cellStyle name="Normal 25 4 25" xfId="8093" xr:uid="{00000000-0005-0000-0000-0000CD370000}"/>
    <cellStyle name="Normal 25 4 25 2" xfId="20180" xr:uid="{00000000-0005-0000-0000-0000CE370000}"/>
    <cellStyle name="Normal 25 4 26" xfId="8094" xr:uid="{00000000-0005-0000-0000-0000CF370000}"/>
    <cellStyle name="Normal 25 4 26 2" xfId="20181" xr:uid="{00000000-0005-0000-0000-0000D0370000}"/>
    <cellStyle name="Normal 25 4 27" xfId="8095" xr:uid="{00000000-0005-0000-0000-0000D1370000}"/>
    <cellStyle name="Normal 25 4 27 2" xfId="20182" xr:uid="{00000000-0005-0000-0000-0000D2370000}"/>
    <cellStyle name="Normal 25 4 28" xfId="8096" xr:uid="{00000000-0005-0000-0000-0000D3370000}"/>
    <cellStyle name="Normal 25 4 28 2" xfId="20183" xr:uid="{00000000-0005-0000-0000-0000D4370000}"/>
    <cellStyle name="Normal 25 4 29" xfId="8097" xr:uid="{00000000-0005-0000-0000-0000D5370000}"/>
    <cellStyle name="Normal 25 4 29 2" xfId="20184" xr:uid="{00000000-0005-0000-0000-0000D6370000}"/>
    <cellStyle name="Normal 25 4 3" xfId="8098" xr:uid="{00000000-0005-0000-0000-0000D7370000}"/>
    <cellStyle name="Normal 25 4 3 2" xfId="20185" xr:uid="{00000000-0005-0000-0000-0000D8370000}"/>
    <cellStyle name="Normal 25 4 30" xfId="8099" xr:uid="{00000000-0005-0000-0000-0000D9370000}"/>
    <cellStyle name="Normal 25 4 30 2" xfId="20186" xr:uid="{00000000-0005-0000-0000-0000DA370000}"/>
    <cellStyle name="Normal 25 4 31" xfId="8100" xr:uid="{00000000-0005-0000-0000-0000DB370000}"/>
    <cellStyle name="Normal 25 4 31 2" xfId="20187" xr:uid="{00000000-0005-0000-0000-0000DC370000}"/>
    <cellStyle name="Normal 25 4 32" xfId="8101" xr:uid="{00000000-0005-0000-0000-0000DD370000}"/>
    <cellStyle name="Normal 25 4 32 2" xfId="20188" xr:uid="{00000000-0005-0000-0000-0000DE370000}"/>
    <cellStyle name="Normal 25 4 33" xfId="8102" xr:uid="{00000000-0005-0000-0000-0000DF370000}"/>
    <cellStyle name="Normal 25 4 33 2" xfId="20189" xr:uid="{00000000-0005-0000-0000-0000E0370000}"/>
    <cellStyle name="Normal 25 4 34" xfId="8103" xr:uid="{00000000-0005-0000-0000-0000E1370000}"/>
    <cellStyle name="Normal 25 4 34 2" xfId="20190" xr:uid="{00000000-0005-0000-0000-0000E2370000}"/>
    <cellStyle name="Normal 25 4 35" xfId="8104" xr:uid="{00000000-0005-0000-0000-0000E3370000}"/>
    <cellStyle name="Normal 25 4 35 2" xfId="20191" xr:uid="{00000000-0005-0000-0000-0000E4370000}"/>
    <cellStyle name="Normal 25 4 36" xfId="8105" xr:uid="{00000000-0005-0000-0000-0000E5370000}"/>
    <cellStyle name="Normal 25 4 36 2" xfId="20192" xr:uid="{00000000-0005-0000-0000-0000E6370000}"/>
    <cellStyle name="Normal 25 4 37" xfId="8106" xr:uid="{00000000-0005-0000-0000-0000E7370000}"/>
    <cellStyle name="Normal 25 4 37 2" xfId="20193" xr:uid="{00000000-0005-0000-0000-0000E8370000}"/>
    <cellStyle name="Normal 25 4 38" xfId="8107" xr:uid="{00000000-0005-0000-0000-0000E9370000}"/>
    <cellStyle name="Normal 25 4 38 2" xfId="20194" xr:uid="{00000000-0005-0000-0000-0000EA370000}"/>
    <cellStyle name="Normal 25 4 39" xfId="8108" xr:uid="{00000000-0005-0000-0000-0000EB370000}"/>
    <cellStyle name="Normal 25 4 39 2" xfId="20195" xr:uid="{00000000-0005-0000-0000-0000EC370000}"/>
    <cellStyle name="Normal 25 4 4" xfId="8109" xr:uid="{00000000-0005-0000-0000-0000ED370000}"/>
    <cellStyle name="Normal 25 4 4 2" xfId="20196" xr:uid="{00000000-0005-0000-0000-0000EE370000}"/>
    <cellStyle name="Normal 25 4 40" xfId="8110" xr:uid="{00000000-0005-0000-0000-0000EF370000}"/>
    <cellStyle name="Normal 25 4 40 2" xfId="20197" xr:uid="{00000000-0005-0000-0000-0000F0370000}"/>
    <cellStyle name="Normal 25 4 41" xfId="8111" xr:uid="{00000000-0005-0000-0000-0000F1370000}"/>
    <cellStyle name="Normal 25 4 41 2" xfId="20198" xr:uid="{00000000-0005-0000-0000-0000F2370000}"/>
    <cellStyle name="Normal 25 4 42" xfId="8112" xr:uid="{00000000-0005-0000-0000-0000F3370000}"/>
    <cellStyle name="Normal 25 4 42 2" xfId="20199" xr:uid="{00000000-0005-0000-0000-0000F4370000}"/>
    <cellStyle name="Normal 25 4 43" xfId="8113" xr:uid="{00000000-0005-0000-0000-0000F5370000}"/>
    <cellStyle name="Normal 25 4 43 2" xfId="20200" xr:uid="{00000000-0005-0000-0000-0000F6370000}"/>
    <cellStyle name="Normal 25 4 44" xfId="8114" xr:uid="{00000000-0005-0000-0000-0000F7370000}"/>
    <cellStyle name="Normal 25 4 44 2" xfId="20201" xr:uid="{00000000-0005-0000-0000-0000F8370000}"/>
    <cellStyle name="Normal 25 4 45" xfId="8115" xr:uid="{00000000-0005-0000-0000-0000F9370000}"/>
    <cellStyle name="Normal 25 4 45 2" xfId="20202" xr:uid="{00000000-0005-0000-0000-0000FA370000}"/>
    <cellStyle name="Normal 25 4 46" xfId="8116" xr:uid="{00000000-0005-0000-0000-0000FB370000}"/>
    <cellStyle name="Normal 25 4 46 2" xfId="20203" xr:uid="{00000000-0005-0000-0000-0000FC370000}"/>
    <cellStyle name="Normal 25 4 47" xfId="8117" xr:uid="{00000000-0005-0000-0000-0000FD370000}"/>
    <cellStyle name="Normal 25 4 47 2" xfId="20204" xr:uid="{00000000-0005-0000-0000-0000FE370000}"/>
    <cellStyle name="Normal 25 4 48" xfId="8118" xr:uid="{00000000-0005-0000-0000-0000FF370000}"/>
    <cellStyle name="Normal 25 4 48 2" xfId="20205" xr:uid="{00000000-0005-0000-0000-000000380000}"/>
    <cellStyle name="Normal 25 4 49" xfId="8119" xr:uid="{00000000-0005-0000-0000-000001380000}"/>
    <cellStyle name="Normal 25 4 49 2" xfId="20206" xr:uid="{00000000-0005-0000-0000-000002380000}"/>
    <cellStyle name="Normal 25 4 5" xfId="8120" xr:uid="{00000000-0005-0000-0000-000003380000}"/>
    <cellStyle name="Normal 25 4 5 2" xfId="20207" xr:uid="{00000000-0005-0000-0000-000004380000}"/>
    <cellStyle name="Normal 25 4 50" xfId="8121" xr:uid="{00000000-0005-0000-0000-000005380000}"/>
    <cellStyle name="Normal 25 4 50 2" xfId="20208" xr:uid="{00000000-0005-0000-0000-000006380000}"/>
    <cellStyle name="Normal 25 4 51" xfId="8122" xr:uid="{00000000-0005-0000-0000-000007380000}"/>
    <cellStyle name="Normal 25 4 51 2" xfId="20209" xr:uid="{00000000-0005-0000-0000-000008380000}"/>
    <cellStyle name="Normal 25 4 52" xfId="8123" xr:uid="{00000000-0005-0000-0000-000009380000}"/>
    <cellStyle name="Normal 25 4 52 2" xfId="20210" xr:uid="{00000000-0005-0000-0000-00000A380000}"/>
    <cellStyle name="Normal 25 4 53" xfId="8124" xr:uid="{00000000-0005-0000-0000-00000B380000}"/>
    <cellStyle name="Normal 25 4 53 2" xfId="20211" xr:uid="{00000000-0005-0000-0000-00000C380000}"/>
    <cellStyle name="Normal 25 4 54" xfId="8125" xr:uid="{00000000-0005-0000-0000-00000D380000}"/>
    <cellStyle name="Normal 25 4 54 2" xfId="20212" xr:uid="{00000000-0005-0000-0000-00000E380000}"/>
    <cellStyle name="Normal 25 4 55" xfId="8126" xr:uid="{00000000-0005-0000-0000-00000F380000}"/>
    <cellStyle name="Normal 25 4 55 2" xfId="20213" xr:uid="{00000000-0005-0000-0000-000010380000}"/>
    <cellStyle name="Normal 25 4 56" xfId="8127" xr:uid="{00000000-0005-0000-0000-000011380000}"/>
    <cellStyle name="Normal 25 4 56 2" xfId="20214" xr:uid="{00000000-0005-0000-0000-000012380000}"/>
    <cellStyle name="Normal 25 4 57" xfId="8128" xr:uid="{00000000-0005-0000-0000-000013380000}"/>
    <cellStyle name="Normal 25 4 57 2" xfId="20215" xr:uid="{00000000-0005-0000-0000-000014380000}"/>
    <cellStyle name="Normal 25 4 58" xfId="8129" xr:uid="{00000000-0005-0000-0000-000015380000}"/>
    <cellStyle name="Normal 25 4 58 2" xfId="20216" xr:uid="{00000000-0005-0000-0000-000016380000}"/>
    <cellStyle name="Normal 25 4 59" xfId="8130" xr:uid="{00000000-0005-0000-0000-000017380000}"/>
    <cellStyle name="Normal 25 4 59 2" xfId="20217" xr:uid="{00000000-0005-0000-0000-000018380000}"/>
    <cellStyle name="Normal 25 4 6" xfId="8131" xr:uid="{00000000-0005-0000-0000-000019380000}"/>
    <cellStyle name="Normal 25 4 6 2" xfId="20218" xr:uid="{00000000-0005-0000-0000-00001A380000}"/>
    <cellStyle name="Normal 25 4 60" xfId="8132" xr:uid="{00000000-0005-0000-0000-00001B380000}"/>
    <cellStyle name="Normal 25 4 60 2" xfId="20219" xr:uid="{00000000-0005-0000-0000-00001C380000}"/>
    <cellStyle name="Normal 25 4 61" xfId="8133" xr:uid="{00000000-0005-0000-0000-00001D380000}"/>
    <cellStyle name="Normal 25 4 61 2" xfId="20220" xr:uid="{00000000-0005-0000-0000-00001E380000}"/>
    <cellStyle name="Normal 25 4 62" xfId="8134" xr:uid="{00000000-0005-0000-0000-00001F380000}"/>
    <cellStyle name="Normal 25 4 62 2" xfId="20221" xr:uid="{00000000-0005-0000-0000-000020380000}"/>
    <cellStyle name="Normal 25 4 63" xfId="8135" xr:uid="{00000000-0005-0000-0000-000021380000}"/>
    <cellStyle name="Normal 25 4 63 2" xfId="20222" xr:uid="{00000000-0005-0000-0000-000022380000}"/>
    <cellStyle name="Normal 25 4 64" xfId="8136" xr:uid="{00000000-0005-0000-0000-000023380000}"/>
    <cellStyle name="Normal 25 4 64 2" xfId="20223" xr:uid="{00000000-0005-0000-0000-000024380000}"/>
    <cellStyle name="Normal 25 4 65" xfId="8137" xr:uid="{00000000-0005-0000-0000-000025380000}"/>
    <cellStyle name="Normal 25 4 65 2" xfId="20224" xr:uid="{00000000-0005-0000-0000-000026380000}"/>
    <cellStyle name="Normal 25 4 66" xfId="8138" xr:uid="{00000000-0005-0000-0000-000027380000}"/>
    <cellStyle name="Normal 25 4 66 2" xfId="20225" xr:uid="{00000000-0005-0000-0000-000028380000}"/>
    <cellStyle name="Normal 25 4 67" xfId="8139" xr:uid="{00000000-0005-0000-0000-000029380000}"/>
    <cellStyle name="Normal 25 4 67 2" xfId="20226" xr:uid="{00000000-0005-0000-0000-00002A380000}"/>
    <cellStyle name="Normal 25 4 68" xfId="8140" xr:uid="{00000000-0005-0000-0000-00002B380000}"/>
    <cellStyle name="Normal 25 4 68 2" xfId="20227" xr:uid="{00000000-0005-0000-0000-00002C380000}"/>
    <cellStyle name="Normal 25 4 69" xfId="8141" xr:uid="{00000000-0005-0000-0000-00002D380000}"/>
    <cellStyle name="Normal 25 4 69 2" xfId="20228" xr:uid="{00000000-0005-0000-0000-00002E380000}"/>
    <cellStyle name="Normal 25 4 7" xfId="8142" xr:uid="{00000000-0005-0000-0000-00002F380000}"/>
    <cellStyle name="Normal 25 4 7 2" xfId="20229" xr:uid="{00000000-0005-0000-0000-000030380000}"/>
    <cellStyle name="Normal 25 4 70" xfId="8143" xr:uid="{00000000-0005-0000-0000-000031380000}"/>
    <cellStyle name="Normal 25 4 70 2" xfId="20230" xr:uid="{00000000-0005-0000-0000-000032380000}"/>
    <cellStyle name="Normal 25 4 71" xfId="8144" xr:uid="{00000000-0005-0000-0000-000033380000}"/>
    <cellStyle name="Normal 25 4 71 2" xfId="20231" xr:uid="{00000000-0005-0000-0000-000034380000}"/>
    <cellStyle name="Normal 25 4 72" xfId="8145" xr:uid="{00000000-0005-0000-0000-000035380000}"/>
    <cellStyle name="Normal 25 4 72 2" xfId="20232" xr:uid="{00000000-0005-0000-0000-000036380000}"/>
    <cellStyle name="Normal 25 4 73" xfId="8146" xr:uid="{00000000-0005-0000-0000-000037380000}"/>
    <cellStyle name="Normal 25 4 73 2" xfId="20233" xr:uid="{00000000-0005-0000-0000-000038380000}"/>
    <cellStyle name="Normal 25 4 74" xfId="8147" xr:uid="{00000000-0005-0000-0000-000039380000}"/>
    <cellStyle name="Normal 25 4 74 2" xfId="20234" xr:uid="{00000000-0005-0000-0000-00003A380000}"/>
    <cellStyle name="Normal 25 4 75" xfId="8148" xr:uid="{00000000-0005-0000-0000-00003B380000}"/>
    <cellStyle name="Normal 25 4 75 2" xfId="20235" xr:uid="{00000000-0005-0000-0000-00003C380000}"/>
    <cellStyle name="Normal 25 4 76" xfId="8149" xr:uid="{00000000-0005-0000-0000-00003D380000}"/>
    <cellStyle name="Normal 25 4 76 2" xfId="20236" xr:uid="{00000000-0005-0000-0000-00003E380000}"/>
    <cellStyle name="Normal 25 4 77" xfId="8150" xr:uid="{00000000-0005-0000-0000-00003F380000}"/>
    <cellStyle name="Normal 25 4 77 2" xfId="20237" xr:uid="{00000000-0005-0000-0000-000040380000}"/>
    <cellStyle name="Normal 25 4 78" xfId="8151" xr:uid="{00000000-0005-0000-0000-000041380000}"/>
    <cellStyle name="Normal 25 4 78 2" xfId="20238" xr:uid="{00000000-0005-0000-0000-000042380000}"/>
    <cellStyle name="Normal 25 4 79" xfId="8152" xr:uid="{00000000-0005-0000-0000-000043380000}"/>
    <cellStyle name="Normal 25 4 79 2" xfId="20239" xr:uid="{00000000-0005-0000-0000-000044380000}"/>
    <cellStyle name="Normal 25 4 8" xfId="8153" xr:uid="{00000000-0005-0000-0000-000045380000}"/>
    <cellStyle name="Normal 25 4 8 2" xfId="20240" xr:uid="{00000000-0005-0000-0000-000046380000}"/>
    <cellStyle name="Normal 25 4 80" xfId="20163" xr:uid="{00000000-0005-0000-0000-000047380000}"/>
    <cellStyle name="Normal 25 4 9" xfId="8154" xr:uid="{00000000-0005-0000-0000-000048380000}"/>
    <cellStyle name="Normal 25 4 9 2" xfId="20241" xr:uid="{00000000-0005-0000-0000-000049380000}"/>
    <cellStyle name="Normal 25 40" xfId="8155" xr:uid="{00000000-0005-0000-0000-00004A380000}"/>
    <cellStyle name="Normal 25 40 2" xfId="20242" xr:uid="{00000000-0005-0000-0000-00004B380000}"/>
    <cellStyle name="Normal 25 41" xfId="8156" xr:uid="{00000000-0005-0000-0000-00004C380000}"/>
    <cellStyle name="Normal 25 41 2" xfId="20243" xr:uid="{00000000-0005-0000-0000-00004D380000}"/>
    <cellStyle name="Normal 25 42" xfId="8157" xr:uid="{00000000-0005-0000-0000-00004E380000}"/>
    <cellStyle name="Normal 25 42 2" xfId="20244" xr:uid="{00000000-0005-0000-0000-00004F380000}"/>
    <cellStyle name="Normal 25 43" xfId="8158" xr:uid="{00000000-0005-0000-0000-000050380000}"/>
    <cellStyle name="Normal 25 43 2" xfId="20245" xr:uid="{00000000-0005-0000-0000-000051380000}"/>
    <cellStyle name="Normal 25 44" xfId="8159" xr:uid="{00000000-0005-0000-0000-000052380000}"/>
    <cellStyle name="Normal 25 44 2" xfId="20246" xr:uid="{00000000-0005-0000-0000-000053380000}"/>
    <cellStyle name="Normal 25 45" xfId="8160" xr:uid="{00000000-0005-0000-0000-000054380000}"/>
    <cellStyle name="Normal 25 45 2" xfId="20247" xr:uid="{00000000-0005-0000-0000-000055380000}"/>
    <cellStyle name="Normal 25 46" xfId="8161" xr:uid="{00000000-0005-0000-0000-000056380000}"/>
    <cellStyle name="Normal 25 46 2" xfId="20248" xr:uid="{00000000-0005-0000-0000-000057380000}"/>
    <cellStyle name="Normal 25 47" xfId="8162" xr:uid="{00000000-0005-0000-0000-000058380000}"/>
    <cellStyle name="Normal 25 47 2" xfId="20249" xr:uid="{00000000-0005-0000-0000-000059380000}"/>
    <cellStyle name="Normal 25 48" xfId="8163" xr:uid="{00000000-0005-0000-0000-00005A380000}"/>
    <cellStyle name="Normal 25 48 2" xfId="20250" xr:uid="{00000000-0005-0000-0000-00005B380000}"/>
    <cellStyle name="Normal 25 49" xfId="8164" xr:uid="{00000000-0005-0000-0000-00005C380000}"/>
    <cellStyle name="Normal 25 49 2" xfId="20251" xr:uid="{00000000-0005-0000-0000-00005D380000}"/>
    <cellStyle name="Normal 25 5" xfId="8165" xr:uid="{00000000-0005-0000-0000-00005E380000}"/>
    <cellStyle name="Normal 25 5 2" xfId="20252" xr:uid="{00000000-0005-0000-0000-00005F380000}"/>
    <cellStyle name="Normal 25 50" xfId="8166" xr:uid="{00000000-0005-0000-0000-000060380000}"/>
    <cellStyle name="Normal 25 50 2" xfId="20253" xr:uid="{00000000-0005-0000-0000-000061380000}"/>
    <cellStyle name="Normal 25 51" xfId="8167" xr:uid="{00000000-0005-0000-0000-000062380000}"/>
    <cellStyle name="Normal 25 51 2" xfId="20254" xr:uid="{00000000-0005-0000-0000-000063380000}"/>
    <cellStyle name="Normal 25 52" xfId="8168" xr:uid="{00000000-0005-0000-0000-000064380000}"/>
    <cellStyle name="Normal 25 52 2" xfId="20255" xr:uid="{00000000-0005-0000-0000-000065380000}"/>
    <cellStyle name="Normal 25 53" xfId="8169" xr:uid="{00000000-0005-0000-0000-000066380000}"/>
    <cellStyle name="Normal 25 53 2" xfId="20256" xr:uid="{00000000-0005-0000-0000-000067380000}"/>
    <cellStyle name="Normal 25 54" xfId="8170" xr:uid="{00000000-0005-0000-0000-000068380000}"/>
    <cellStyle name="Normal 25 54 2" xfId="20257" xr:uid="{00000000-0005-0000-0000-000069380000}"/>
    <cellStyle name="Normal 25 55" xfId="8171" xr:uid="{00000000-0005-0000-0000-00006A380000}"/>
    <cellStyle name="Normal 25 55 2" xfId="20258" xr:uid="{00000000-0005-0000-0000-00006B380000}"/>
    <cellStyle name="Normal 25 56" xfId="8172" xr:uid="{00000000-0005-0000-0000-00006C380000}"/>
    <cellStyle name="Normal 25 56 2" xfId="20259" xr:uid="{00000000-0005-0000-0000-00006D380000}"/>
    <cellStyle name="Normal 25 57" xfId="8173" xr:uid="{00000000-0005-0000-0000-00006E380000}"/>
    <cellStyle name="Normal 25 57 2" xfId="20260" xr:uid="{00000000-0005-0000-0000-00006F380000}"/>
    <cellStyle name="Normal 25 58" xfId="8174" xr:uid="{00000000-0005-0000-0000-000070380000}"/>
    <cellStyle name="Normal 25 58 2" xfId="20261" xr:uid="{00000000-0005-0000-0000-000071380000}"/>
    <cellStyle name="Normal 25 59" xfId="8175" xr:uid="{00000000-0005-0000-0000-000072380000}"/>
    <cellStyle name="Normal 25 59 2" xfId="20262" xr:uid="{00000000-0005-0000-0000-000073380000}"/>
    <cellStyle name="Normal 25 6" xfId="8176" xr:uid="{00000000-0005-0000-0000-000074380000}"/>
    <cellStyle name="Normal 25 6 2" xfId="20263" xr:uid="{00000000-0005-0000-0000-000075380000}"/>
    <cellStyle name="Normal 25 60" xfId="8177" xr:uid="{00000000-0005-0000-0000-000076380000}"/>
    <cellStyle name="Normal 25 60 2" xfId="20264" xr:uid="{00000000-0005-0000-0000-000077380000}"/>
    <cellStyle name="Normal 25 61" xfId="8178" xr:uid="{00000000-0005-0000-0000-000078380000}"/>
    <cellStyle name="Normal 25 61 2" xfId="20265" xr:uid="{00000000-0005-0000-0000-000079380000}"/>
    <cellStyle name="Normal 25 62" xfId="8179" xr:uid="{00000000-0005-0000-0000-00007A380000}"/>
    <cellStyle name="Normal 25 62 2" xfId="20266" xr:uid="{00000000-0005-0000-0000-00007B380000}"/>
    <cellStyle name="Normal 25 63" xfId="8180" xr:uid="{00000000-0005-0000-0000-00007C380000}"/>
    <cellStyle name="Normal 25 63 2" xfId="20267" xr:uid="{00000000-0005-0000-0000-00007D380000}"/>
    <cellStyle name="Normal 25 64" xfId="8181" xr:uid="{00000000-0005-0000-0000-00007E380000}"/>
    <cellStyle name="Normal 25 64 2" xfId="20268" xr:uid="{00000000-0005-0000-0000-00007F380000}"/>
    <cellStyle name="Normal 25 65" xfId="8182" xr:uid="{00000000-0005-0000-0000-000080380000}"/>
    <cellStyle name="Normal 25 65 2" xfId="20269" xr:uid="{00000000-0005-0000-0000-000081380000}"/>
    <cellStyle name="Normal 25 66" xfId="8183" xr:uid="{00000000-0005-0000-0000-000082380000}"/>
    <cellStyle name="Normal 25 66 2" xfId="20270" xr:uid="{00000000-0005-0000-0000-000083380000}"/>
    <cellStyle name="Normal 25 67" xfId="8184" xr:uid="{00000000-0005-0000-0000-000084380000}"/>
    <cellStyle name="Normal 25 67 2" xfId="20271" xr:uid="{00000000-0005-0000-0000-000085380000}"/>
    <cellStyle name="Normal 25 68" xfId="8185" xr:uid="{00000000-0005-0000-0000-000086380000}"/>
    <cellStyle name="Normal 25 68 2" xfId="20272" xr:uid="{00000000-0005-0000-0000-000087380000}"/>
    <cellStyle name="Normal 25 69" xfId="8186" xr:uid="{00000000-0005-0000-0000-000088380000}"/>
    <cellStyle name="Normal 25 69 2" xfId="20273" xr:uid="{00000000-0005-0000-0000-000089380000}"/>
    <cellStyle name="Normal 25 7" xfId="8187" xr:uid="{00000000-0005-0000-0000-00008A380000}"/>
    <cellStyle name="Normal 25 7 2" xfId="20274" xr:uid="{00000000-0005-0000-0000-00008B380000}"/>
    <cellStyle name="Normal 25 70" xfId="8188" xr:uid="{00000000-0005-0000-0000-00008C380000}"/>
    <cellStyle name="Normal 25 70 2" xfId="20275" xr:uid="{00000000-0005-0000-0000-00008D380000}"/>
    <cellStyle name="Normal 25 71" xfId="8189" xr:uid="{00000000-0005-0000-0000-00008E380000}"/>
    <cellStyle name="Normal 25 71 2" xfId="20276" xr:uid="{00000000-0005-0000-0000-00008F380000}"/>
    <cellStyle name="Normal 25 72" xfId="8190" xr:uid="{00000000-0005-0000-0000-000090380000}"/>
    <cellStyle name="Normal 25 72 2" xfId="20277" xr:uid="{00000000-0005-0000-0000-000091380000}"/>
    <cellStyle name="Normal 25 73" xfId="8191" xr:uid="{00000000-0005-0000-0000-000092380000}"/>
    <cellStyle name="Normal 25 73 2" xfId="20278" xr:uid="{00000000-0005-0000-0000-000093380000}"/>
    <cellStyle name="Normal 25 74" xfId="8192" xr:uid="{00000000-0005-0000-0000-000094380000}"/>
    <cellStyle name="Normal 25 74 2" xfId="20279" xr:uid="{00000000-0005-0000-0000-000095380000}"/>
    <cellStyle name="Normal 25 75" xfId="8193" xr:uid="{00000000-0005-0000-0000-000096380000}"/>
    <cellStyle name="Normal 25 75 2" xfId="20280" xr:uid="{00000000-0005-0000-0000-000097380000}"/>
    <cellStyle name="Normal 25 76" xfId="8194" xr:uid="{00000000-0005-0000-0000-000098380000}"/>
    <cellStyle name="Normal 25 76 2" xfId="20281" xr:uid="{00000000-0005-0000-0000-000099380000}"/>
    <cellStyle name="Normal 25 77" xfId="8195" xr:uid="{00000000-0005-0000-0000-00009A380000}"/>
    <cellStyle name="Normal 25 77 2" xfId="20282" xr:uid="{00000000-0005-0000-0000-00009B380000}"/>
    <cellStyle name="Normal 25 78" xfId="8196" xr:uid="{00000000-0005-0000-0000-00009C380000}"/>
    <cellStyle name="Normal 25 78 2" xfId="20283" xr:uid="{00000000-0005-0000-0000-00009D380000}"/>
    <cellStyle name="Normal 25 79" xfId="8197" xr:uid="{00000000-0005-0000-0000-00009E380000}"/>
    <cellStyle name="Normal 25 79 2" xfId="20284" xr:uid="{00000000-0005-0000-0000-00009F380000}"/>
    <cellStyle name="Normal 25 8" xfId="8198" xr:uid="{00000000-0005-0000-0000-0000A0380000}"/>
    <cellStyle name="Normal 25 8 2" xfId="20285" xr:uid="{00000000-0005-0000-0000-0000A1380000}"/>
    <cellStyle name="Normal 25 80" xfId="8199" xr:uid="{00000000-0005-0000-0000-0000A2380000}"/>
    <cellStyle name="Normal 25 80 2" xfId="20286" xr:uid="{00000000-0005-0000-0000-0000A3380000}"/>
    <cellStyle name="Normal 25 81" xfId="8200" xr:uid="{00000000-0005-0000-0000-0000A4380000}"/>
    <cellStyle name="Normal 25 81 2" xfId="20287" xr:uid="{00000000-0005-0000-0000-0000A5380000}"/>
    <cellStyle name="Normal 25 82" xfId="8201" xr:uid="{00000000-0005-0000-0000-0000A6380000}"/>
    <cellStyle name="Normal 25 82 2" xfId="20288" xr:uid="{00000000-0005-0000-0000-0000A7380000}"/>
    <cellStyle name="Normal 25 9" xfId="8202" xr:uid="{00000000-0005-0000-0000-0000A8380000}"/>
    <cellStyle name="Normal 25 9 2" xfId="20289" xr:uid="{00000000-0005-0000-0000-0000A9380000}"/>
    <cellStyle name="Normal 26" xfId="143" xr:uid="{00000000-0005-0000-0000-0000AA380000}"/>
    <cellStyle name="Normal 26 10" xfId="8203" xr:uid="{00000000-0005-0000-0000-0000AB380000}"/>
    <cellStyle name="Normal 26 10 2" xfId="20291" xr:uid="{00000000-0005-0000-0000-0000AC380000}"/>
    <cellStyle name="Normal 26 11" xfId="8204" xr:uid="{00000000-0005-0000-0000-0000AD380000}"/>
    <cellStyle name="Normal 26 11 2" xfId="20292" xr:uid="{00000000-0005-0000-0000-0000AE380000}"/>
    <cellStyle name="Normal 26 12" xfId="8205" xr:uid="{00000000-0005-0000-0000-0000AF380000}"/>
    <cellStyle name="Normal 26 12 2" xfId="20293" xr:uid="{00000000-0005-0000-0000-0000B0380000}"/>
    <cellStyle name="Normal 26 13" xfId="8206" xr:uid="{00000000-0005-0000-0000-0000B1380000}"/>
    <cellStyle name="Normal 26 13 2" xfId="20294" xr:uid="{00000000-0005-0000-0000-0000B2380000}"/>
    <cellStyle name="Normal 26 14" xfId="8207" xr:uid="{00000000-0005-0000-0000-0000B3380000}"/>
    <cellStyle name="Normal 26 14 2" xfId="20295" xr:uid="{00000000-0005-0000-0000-0000B4380000}"/>
    <cellStyle name="Normal 26 15" xfId="8208" xr:uid="{00000000-0005-0000-0000-0000B5380000}"/>
    <cellStyle name="Normal 26 15 2" xfId="20296" xr:uid="{00000000-0005-0000-0000-0000B6380000}"/>
    <cellStyle name="Normal 26 16" xfId="8209" xr:uid="{00000000-0005-0000-0000-0000B7380000}"/>
    <cellStyle name="Normal 26 16 2" xfId="20297" xr:uid="{00000000-0005-0000-0000-0000B8380000}"/>
    <cellStyle name="Normal 26 17" xfId="8210" xr:uid="{00000000-0005-0000-0000-0000B9380000}"/>
    <cellStyle name="Normal 26 17 2" xfId="20298" xr:uid="{00000000-0005-0000-0000-0000BA380000}"/>
    <cellStyle name="Normal 26 18" xfId="8211" xr:uid="{00000000-0005-0000-0000-0000BB380000}"/>
    <cellStyle name="Normal 26 18 2" xfId="20299" xr:uid="{00000000-0005-0000-0000-0000BC380000}"/>
    <cellStyle name="Normal 26 19" xfId="8212" xr:uid="{00000000-0005-0000-0000-0000BD380000}"/>
    <cellStyle name="Normal 26 19 2" xfId="20300" xr:uid="{00000000-0005-0000-0000-0000BE380000}"/>
    <cellStyle name="Normal 26 2" xfId="166" xr:uid="{00000000-0005-0000-0000-0000BF380000}"/>
    <cellStyle name="Normal 26 2 10" xfId="8214" xr:uid="{00000000-0005-0000-0000-0000C0380000}"/>
    <cellStyle name="Normal 26 2 10 2" xfId="20302" xr:uid="{00000000-0005-0000-0000-0000C1380000}"/>
    <cellStyle name="Normal 26 2 11" xfId="8215" xr:uid="{00000000-0005-0000-0000-0000C2380000}"/>
    <cellStyle name="Normal 26 2 11 2" xfId="20303" xr:uid="{00000000-0005-0000-0000-0000C3380000}"/>
    <cellStyle name="Normal 26 2 12" xfId="8216" xr:uid="{00000000-0005-0000-0000-0000C4380000}"/>
    <cellStyle name="Normal 26 2 12 2" xfId="20304" xr:uid="{00000000-0005-0000-0000-0000C5380000}"/>
    <cellStyle name="Normal 26 2 13" xfId="8217" xr:uid="{00000000-0005-0000-0000-0000C6380000}"/>
    <cellStyle name="Normal 26 2 13 2" xfId="20305" xr:uid="{00000000-0005-0000-0000-0000C7380000}"/>
    <cellStyle name="Normal 26 2 14" xfId="8218" xr:uid="{00000000-0005-0000-0000-0000C8380000}"/>
    <cellStyle name="Normal 26 2 14 2" xfId="20306" xr:uid="{00000000-0005-0000-0000-0000C9380000}"/>
    <cellStyle name="Normal 26 2 15" xfId="8219" xr:uid="{00000000-0005-0000-0000-0000CA380000}"/>
    <cellStyle name="Normal 26 2 15 2" xfId="20307" xr:uid="{00000000-0005-0000-0000-0000CB380000}"/>
    <cellStyle name="Normal 26 2 16" xfId="8220" xr:uid="{00000000-0005-0000-0000-0000CC380000}"/>
    <cellStyle name="Normal 26 2 16 2" xfId="20308" xr:uid="{00000000-0005-0000-0000-0000CD380000}"/>
    <cellStyle name="Normal 26 2 17" xfId="8221" xr:uid="{00000000-0005-0000-0000-0000CE380000}"/>
    <cellStyle name="Normal 26 2 17 2" xfId="20309" xr:uid="{00000000-0005-0000-0000-0000CF380000}"/>
    <cellStyle name="Normal 26 2 18" xfId="8222" xr:uid="{00000000-0005-0000-0000-0000D0380000}"/>
    <cellStyle name="Normal 26 2 18 2" xfId="20310" xr:uid="{00000000-0005-0000-0000-0000D1380000}"/>
    <cellStyle name="Normal 26 2 19" xfId="8223" xr:uid="{00000000-0005-0000-0000-0000D2380000}"/>
    <cellStyle name="Normal 26 2 19 2" xfId="20311" xr:uid="{00000000-0005-0000-0000-0000D3380000}"/>
    <cellStyle name="Normal 26 2 2" xfId="8224" xr:uid="{00000000-0005-0000-0000-0000D4380000}"/>
    <cellStyle name="Normal 26 2 2 2" xfId="20312" xr:uid="{00000000-0005-0000-0000-0000D5380000}"/>
    <cellStyle name="Normal 26 2 20" xfId="8225" xr:uid="{00000000-0005-0000-0000-0000D6380000}"/>
    <cellStyle name="Normal 26 2 20 2" xfId="20313" xr:uid="{00000000-0005-0000-0000-0000D7380000}"/>
    <cellStyle name="Normal 26 2 21" xfId="8226" xr:uid="{00000000-0005-0000-0000-0000D8380000}"/>
    <cellStyle name="Normal 26 2 21 2" xfId="20314" xr:uid="{00000000-0005-0000-0000-0000D9380000}"/>
    <cellStyle name="Normal 26 2 22" xfId="8227" xr:uid="{00000000-0005-0000-0000-0000DA380000}"/>
    <cellStyle name="Normal 26 2 22 2" xfId="20315" xr:uid="{00000000-0005-0000-0000-0000DB380000}"/>
    <cellStyle name="Normal 26 2 23" xfId="8228" xr:uid="{00000000-0005-0000-0000-0000DC380000}"/>
    <cellStyle name="Normal 26 2 23 2" xfId="20316" xr:uid="{00000000-0005-0000-0000-0000DD380000}"/>
    <cellStyle name="Normal 26 2 24" xfId="8229" xr:uid="{00000000-0005-0000-0000-0000DE380000}"/>
    <cellStyle name="Normal 26 2 24 2" xfId="20317" xr:uid="{00000000-0005-0000-0000-0000DF380000}"/>
    <cellStyle name="Normal 26 2 25" xfId="8230" xr:uid="{00000000-0005-0000-0000-0000E0380000}"/>
    <cellStyle name="Normal 26 2 25 2" xfId="20318" xr:uid="{00000000-0005-0000-0000-0000E1380000}"/>
    <cellStyle name="Normal 26 2 26" xfId="8231" xr:uid="{00000000-0005-0000-0000-0000E2380000}"/>
    <cellStyle name="Normal 26 2 26 2" xfId="20319" xr:uid="{00000000-0005-0000-0000-0000E3380000}"/>
    <cellStyle name="Normal 26 2 27" xfId="8232" xr:uid="{00000000-0005-0000-0000-0000E4380000}"/>
    <cellStyle name="Normal 26 2 27 2" xfId="20320" xr:uid="{00000000-0005-0000-0000-0000E5380000}"/>
    <cellStyle name="Normal 26 2 28" xfId="8233" xr:uid="{00000000-0005-0000-0000-0000E6380000}"/>
    <cellStyle name="Normal 26 2 28 2" xfId="20321" xr:uid="{00000000-0005-0000-0000-0000E7380000}"/>
    <cellStyle name="Normal 26 2 29" xfId="8234" xr:uid="{00000000-0005-0000-0000-0000E8380000}"/>
    <cellStyle name="Normal 26 2 29 2" xfId="20322" xr:uid="{00000000-0005-0000-0000-0000E9380000}"/>
    <cellStyle name="Normal 26 2 3" xfId="8235" xr:uid="{00000000-0005-0000-0000-0000EA380000}"/>
    <cellStyle name="Normal 26 2 3 2" xfId="20323" xr:uid="{00000000-0005-0000-0000-0000EB380000}"/>
    <cellStyle name="Normal 26 2 30" xfId="8236" xr:uid="{00000000-0005-0000-0000-0000EC380000}"/>
    <cellStyle name="Normal 26 2 30 2" xfId="20324" xr:uid="{00000000-0005-0000-0000-0000ED380000}"/>
    <cellStyle name="Normal 26 2 31" xfId="8237" xr:uid="{00000000-0005-0000-0000-0000EE380000}"/>
    <cellStyle name="Normal 26 2 31 2" xfId="20325" xr:uid="{00000000-0005-0000-0000-0000EF380000}"/>
    <cellStyle name="Normal 26 2 32" xfId="8238" xr:uid="{00000000-0005-0000-0000-0000F0380000}"/>
    <cellStyle name="Normal 26 2 32 2" xfId="20326" xr:uid="{00000000-0005-0000-0000-0000F1380000}"/>
    <cellStyle name="Normal 26 2 33" xfId="8239" xr:uid="{00000000-0005-0000-0000-0000F2380000}"/>
    <cellStyle name="Normal 26 2 33 2" xfId="20327" xr:uid="{00000000-0005-0000-0000-0000F3380000}"/>
    <cellStyle name="Normal 26 2 34" xfId="8240" xr:uid="{00000000-0005-0000-0000-0000F4380000}"/>
    <cellStyle name="Normal 26 2 34 2" xfId="20328" xr:uid="{00000000-0005-0000-0000-0000F5380000}"/>
    <cellStyle name="Normal 26 2 35" xfId="8241" xr:uid="{00000000-0005-0000-0000-0000F6380000}"/>
    <cellStyle name="Normal 26 2 35 2" xfId="20329" xr:uid="{00000000-0005-0000-0000-0000F7380000}"/>
    <cellStyle name="Normal 26 2 36" xfId="8242" xr:uid="{00000000-0005-0000-0000-0000F8380000}"/>
    <cellStyle name="Normal 26 2 36 2" xfId="20330" xr:uid="{00000000-0005-0000-0000-0000F9380000}"/>
    <cellStyle name="Normal 26 2 37" xfId="8243" xr:uid="{00000000-0005-0000-0000-0000FA380000}"/>
    <cellStyle name="Normal 26 2 37 2" xfId="20331" xr:uid="{00000000-0005-0000-0000-0000FB380000}"/>
    <cellStyle name="Normal 26 2 38" xfId="8244" xr:uid="{00000000-0005-0000-0000-0000FC380000}"/>
    <cellStyle name="Normal 26 2 38 2" xfId="20332" xr:uid="{00000000-0005-0000-0000-0000FD380000}"/>
    <cellStyle name="Normal 26 2 39" xfId="8245" xr:uid="{00000000-0005-0000-0000-0000FE380000}"/>
    <cellStyle name="Normal 26 2 39 2" xfId="20333" xr:uid="{00000000-0005-0000-0000-0000FF380000}"/>
    <cellStyle name="Normal 26 2 4" xfId="8246" xr:uid="{00000000-0005-0000-0000-000000390000}"/>
    <cellStyle name="Normal 26 2 4 2" xfId="20334" xr:uid="{00000000-0005-0000-0000-000001390000}"/>
    <cellStyle name="Normal 26 2 40" xfId="8247" xr:uid="{00000000-0005-0000-0000-000002390000}"/>
    <cellStyle name="Normal 26 2 40 2" xfId="20335" xr:uid="{00000000-0005-0000-0000-000003390000}"/>
    <cellStyle name="Normal 26 2 41" xfId="8248" xr:uid="{00000000-0005-0000-0000-000004390000}"/>
    <cellStyle name="Normal 26 2 41 2" xfId="20336" xr:uid="{00000000-0005-0000-0000-000005390000}"/>
    <cellStyle name="Normal 26 2 42" xfId="8249" xr:uid="{00000000-0005-0000-0000-000006390000}"/>
    <cellStyle name="Normal 26 2 42 2" xfId="20337" xr:uid="{00000000-0005-0000-0000-000007390000}"/>
    <cellStyle name="Normal 26 2 43" xfId="8250" xr:uid="{00000000-0005-0000-0000-000008390000}"/>
    <cellStyle name="Normal 26 2 43 2" xfId="20338" xr:uid="{00000000-0005-0000-0000-000009390000}"/>
    <cellStyle name="Normal 26 2 44" xfId="8251" xr:uid="{00000000-0005-0000-0000-00000A390000}"/>
    <cellStyle name="Normal 26 2 44 2" xfId="20339" xr:uid="{00000000-0005-0000-0000-00000B390000}"/>
    <cellStyle name="Normal 26 2 45" xfId="8252" xr:uid="{00000000-0005-0000-0000-00000C390000}"/>
    <cellStyle name="Normal 26 2 45 2" xfId="20340" xr:uid="{00000000-0005-0000-0000-00000D390000}"/>
    <cellStyle name="Normal 26 2 46" xfId="8253" xr:uid="{00000000-0005-0000-0000-00000E390000}"/>
    <cellStyle name="Normal 26 2 46 2" xfId="20341" xr:uid="{00000000-0005-0000-0000-00000F390000}"/>
    <cellStyle name="Normal 26 2 47" xfId="8254" xr:uid="{00000000-0005-0000-0000-000010390000}"/>
    <cellStyle name="Normal 26 2 47 2" xfId="20342" xr:uid="{00000000-0005-0000-0000-000011390000}"/>
    <cellStyle name="Normal 26 2 48" xfId="8255" xr:uid="{00000000-0005-0000-0000-000012390000}"/>
    <cellStyle name="Normal 26 2 48 2" xfId="20343" xr:uid="{00000000-0005-0000-0000-000013390000}"/>
    <cellStyle name="Normal 26 2 49" xfId="8256" xr:uid="{00000000-0005-0000-0000-000014390000}"/>
    <cellStyle name="Normal 26 2 49 2" xfId="20344" xr:uid="{00000000-0005-0000-0000-000015390000}"/>
    <cellStyle name="Normal 26 2 5" xfId="8257" xr:uid="{00000000-0005-0000-0000-000016390000}"/>
    <cellStyle name="Normal 26 2 5 2" xfId="20345" xr:uid="{00000000-0005-0000-0000-000017390000}"/>
    <cellStyle name="Normal 26 2 50" xfId="8258" xr:uid="{00000000-0005-0000-0000-000018390000}"/>
    <cellStyle name="Normal 26 2 50 2" xfId="20346" xr:uid="{00000000-0005-0000-0000-000019390000}"/>
    <cellStyle name="Normal 26 2 51" xfId="8259" xr:uid="{00000000-0005-0000-0000-00001A390000}"/>
    <cellStyle name="Normal 26 2 51 2" xfId="20347" xr:uid="{00000000-0005-0000-0000-00001B390000}"/>
    <cellStyle name="Normal 26 2 52" xfId="8260" xr:uid="{00000000-0005-0000-0000-00001C390000}"/>
    <cellStyle name="Normal 26 2 52 2" xfId="20348" xr:uid="{00000000-0005-0000-0000-00001D390000}"/>
    <cellStyle name="Normal 26 2 53" xfId="8261" xr:uid="{00000000-0005-0000-0000-00001E390000}"/>
    <cellStyle name="Normal 26 2 53 2" xfId="20349" xr:uid="{00000000-0005-0000-0000-00001F390000}"/>
    <cellStyle name="Normal 26 2 54" xfId="8262" xr:uid="{00000000-0005-0000-0000-000020390000}"/>
    <cellStyle name="Normal 26 2 54 2" xfId="20350" xr:uid="{00000000-0005-0000-0000-000021390000}"/>
    <cellStyle name="Normal 26 2 55" xfId="8263" xr:uid="{00000000-0005-0000-0000-000022390000}"/>
    <cellStyle name="Normal 26 2 55 2" xfId="20351" xr:uid="{00000000-0005-0000-0000-000023390000}"/>
    <cellStyle name="Normal 26 2 56" xfId="8264" xr:uid="{00000000-0005-0000-0000-000024390000}"/>
    <cellStyle name="Normal 26 2 56 2" xfId="20352" xr:uid="{00000000-0005-0000-0000-000025390000}"/>
    <cellStyle name="Normal 26 2 57" xfId="8265" xr:uid="{00000000-0005-0000-0000-000026390000}"/>
    <cellStyle name="Normal 26 2 57 2" xfId="20353" xr:uid="{00000000-0005-0000-0000-000027390000}"/>
    <cellStyle name="Normal 26 2 58" xfId="8266" xr:uid="{00000000-0005-0000-0000-000028390000}"/>
    <cellStyle name="Normal 26 2 58 2" xfId="20354" xr:uid="{00000000-0005-0000-0000-000029390000}"/>
    <cellStyle name="Normal 26 2 59" xfId="8267" xr:uid="{00000000-0005-0000-0000-00002A390000}"/>
    <cellStyle name="Normal 26 2 59 2" xfId="20355" xr:uid="{00000000-0005-0000-0000-00002B390000}"/>
    <cellStyle name="Normal 26 2 6" xfId="8268" xr:uid="{00000000-0005-0000-0000-00002C390000}"/>
    <cellStyle name="Normal 26 2 6 2" xfId="20356" xr:uid="{00000000-0005-0000-0000-00002D390000}"/>
    <cellStyle name="Normal 26 2 60" xfId="8269" xr:uid="{00000000-0005-0000-0000-00002E390000}"/>
    <cellStyle name="Normal 26 2 60 2" xfId="20357" xr:uid="{00000000-0005-0000-0000-00002F390000}"/>
    <cellStyle name="Normal 26 2 61" xfId="8270" xr:uid="{00000000-0005-0000-0000-000030390000}"/>
    <cellStyle name="Normal 26 2 61 2" xfId="20358" xr:uid="{00000000-0005-0000-0000-000031390000}"/>
    <cellStyle name="Normal 26 2 62" xfId="8271" xr:uid="{00000000-0005-0000-0000-000032390000}"/>
    <cellStyle name="Normal 26 2 62 2" xfId="20359" xr:uid="{00000000-0005-0000-0000-000033390000}"/>
    <cellStyle name="Normal 26 2 63" xfId="8272" xr:uid="{00000000-0005-0000-0000-000034390000}"/>
    <cellStyle name="Normal 26 2 63 2" xfId="20360" xr:uid="{00000000-0005-0000-0000-000035390000}"/>
    <cellStyle name="Normal 26 2 64" xfId="8273" xr:uid="{00000000-0005-0000-0000-000036390000}"/>
    <cellStyle name="Normal 26 2 64 2" xfId="20361" xr:uid="{00000000-0005-0000-0000-000037390000}"/>
    <cellStyle name="Normal 26 2 65" xfId="8274" xr:uid="{00000000-0005-0000-0000-000038390000}"/>
    <cellStyle name="Normal 26 2 65 2" xfId="20362" xr:uid="{00000000-0005-0000-0000-000039390000}"/>
    <cellStyle name="Normal 26 2 66" xfId="8275" xr:uid="{00000000-0005-0000-0000-00003A390000}"/>
    <cellStyle name="Normal 26 2 66 2" xfId="20363" xr:uid="{00000000-0005-0000-0000-00003B390000}"/>
    <cellStyle name="Normal 26 2 67" xfId="8276" xr:uid="{00000000-0005-0000-0000-00003C390000}"/>
    <cellStyle name="Normal 26 2 67 2" xfId="20364" xr:uid="{00000000-0005-0000-0000-00003D390000}"/>
    <cellStyle name="Normal 26 2 68" xfId="8277" xr:uid="{00000000-0005-0000-0000-00003E390000}"/>
    <cellStyle name="Normal 26 2 68 2" xfId="20365" xr:uid="{00000000-0005-0000-0000-00003F390000}"/>
    <cellStyle name="Normal 26 2 69" xfId="8278" xr:uid="{00000000-0005-0000-0000-000040390000}"/>
    <cellStyle name="Normal 26 2 69 2" xfId="20366" xr:uid="{00000000-0005-0000-0000-000041390000}"/>
    <cellStyle name="Normal 26 2 7" xfId="8279" xr:uid="{00000000-0005-0000-0000-000042390000}"/>
    <cellStyle name="Normal 26 2 7 2" xfId="20367" xr:uid="{00000000-0005-0000-0000-000043390000}"/>
    <cellStyle name="Normal 26 2 70" xfId="8280" xr:uid="{00000000-0005-0000-0000-000044390000}"/>
    <cellStyle name="Normal 26 2 70 2" xfId="20368" xr:uid="{00000000-0005-0000-0000-000045390000}"/>
    <cellStyle name="Normal 26 2 71" xfId="8281" xr:uid="{00000000-0005-0000-0000-000046390000}"/>
    <cellStyle name="Normal 26 2 71 2" xfId="20369" xr:uid="{00000000-0005-0000-0000-000047390000}"/>
    <cellStyle name="Normal 26 2 72" xfId="8282" xr:uid="{00000000-0005-0000-0000-000048390000}"/>
    <cellStyle name="Normal 26 2 72 2" xfId="20370" xr:uid="{00000000-0005-0000-0000-000049390000}"/>
    <cellStyle name="Normal 26 2 73" xfId="8283" xr:uid="{00000000-0005-0000-0000-00004A390000}"/>
    <cellStyle name="Normal 26 2 73 2" xfId="20371" xr:uid="{00000000-0005-0000-0000-00004B390000}"/>
    <cellStyle name="Normal 26 2 74" xfId="8284" xr:uid="{00000000-0005-0000-0000-00004C390000}"/>
    <cellStyle name="Normal 26 2 74 2" xfId="20372" xr:uid="{00000000-0005-0000-0000-00004D390000}"/>
    <cellStyle name="Normal 26 2 75" xfId="8285" xr:uid="{00000000-0005-0000-0000-00004E390000}"/>
    <cellStyle name="Normal 26 2 75 2" xfId="20373" xr:uid="{00000000-0005-0000-0000-00004F390000}"/>
    <cellStyle name="Normal 26 2 76" xfId="8286" xr:uid="{00000000-0005-0000-0000-000050390000}"/>
    <cellStyle name="Normal 26 2 76 2" xfId="20374" xr:uid="{00000000-0005-0000-0000-000051390000}"/>
    <cellStyle name="Normal 26 2 77" xfId="8287" xr:uid="{00000000-0005-0000-0000-000052390000}"/>
    <cellStyle name="Normal 26 2 77 2" xfId="20375" xr:uid="{00000000-0005-0000-0000-000053390000}"/>
    <cellStyle name="Normal 26 2 78" xfId="8288" xr:uid="{00000000-0005-0000-0000-000054390000}"/>
    <cellStyle name="Normal 26 2 78 2" xfId="20376" xr:uid="{00000000-0005-0000-0000-000055390000}"/>
    <cellStyle name="Normal 26 2 79" xfId="8289" xr:uid="{00000000-0005-0000-0000-000056390000}"/>
    <cellStyle name="Normal 26 2 79 2" xfId="20377" xr:uid="{00000000-0005-0000-0000-000057390000}"/>
    <cellStyle name="Normal 26 2 8" xfId="8290" xr:uid="{00000000-0005-0000-0000-000058390000}"/>
    <cellStyle name="Normal 26 2 8 2" xfId="20378" xr:uid="{00000000-0005-0000-0000-000059390000}"/>
    <cellStyle name="Normal 26 2 80" xfId="20301" xr:uid="{00000000-0005-0000-0000-00005A390000}"/>
    <cellStyle name="Normal 26 2 81" xfId="8213" xr:uid="{00000000-0005-0000-0000-00005B390000}"/>
    <cellStyle name="Normal 26 2 9" xfId="8291" xr:uid="{00000000-0005-0000-0000-00005C390000}"/>
    <cellStyle name="Normal 26 2 9 2" xfId="20379" xr:uid="{00000000-0005-0000-0000-00005D390000}"/>
    <cellStyle name="Normal 26 20" xfId="8292" xr:uid="{00000000-0005-0000-0000-00005E390000}"/>
    <cellStyle name="Normal 26 20 2" xfId="20380" xr:uid="{00000000-0005-0000-0000-00005F390000}"/>
    <cellStyle name="Normal 26 21" xfId="8293" xr:uid="{00000000-0005-0000-0000-000060390000}"/>
    <cellStyle name="Normal 26 21 2" xfId="20381" xr:uid="{00000000-0005-0000-0000-000061390000}"/>
    <cellStyle name="Normal 26 22" xfId="8294" xr:uid="{00000000-0005-0000-0000-000062390000}"/>
    <cellStyle name="Normal 26 22 2" xfId="20382" xr:uid="{00000000-0005-0000-0000-000063390000}"/>
    <cellStyle name="Normal 26 23" xfId="8295" xr:uid="{00000000-0005-0000-0000-000064390000}"/>
    <cellStyle name="Normal 26 23 2" xfId="20383" xr:uid="{00000000-0005-0000-0000-000065390000}"/>
    <cellStyle name="Normal 26 24" xfId="8296" xr:uid="{00000000-0005-0000-0000-000066390000}"/>
    <cellStyle name="Normal 26 24 2" xfId="20384" xr:uid="{00000000-0005-0000-0000-000067390000}"/>
    <cellStyle name="Normal 26 25" xfId="8297" xr:uid="{00000000-0005-0000-0000-000068390000}"/>
    <cellStyle name="Normal 26 25 2" xfId="20385" xr:uid="{00000000-0005-0000-0000-000069390000}"/>
    <cellStyle name="Normal 26 26" xfId="8298" xr:uid="{00000000-0005-0000-0000-00006A390000}"/>
    <cellStyle name="Normal 26 26 2" xfId="20386" xr:uid="{00000000-0005-0000-0000-00006B390000}"/>
    <cellStyle name="Normal 26 27" xfId="8299" xr:uid="{00000000-0005-0000-0000-00006C390000}"/>
    <cellStyle name="Normal 26 27 2" xfId="20387" xr:uid="{00000000-0005-0000-0000-00006D390000}"/>
    <cellStyle name="Normal 26 28" xfId="8300" xr:uid="{00000000-0005-0000-0000-00006E390000}"/>
    <cellStyle name="Normal 26 28 2" xfId="20388" xr:uid="{00000000-0005-0000-0000-00006F390000}"/>
    <cellStyle name="Normal 26 29" xfId="8301" xr:uid="{00000000-0005-0000-0000-000070390000}"/>
    <cellStyle name="Normal 26 29 2" xfId="20389" xr:uid="{00000000-0005-0000-0000-000071390000}"/>
    <cellStyle name="Normal 26 3" xfId="785" xr:uid="{00000000-0005-0000-0000-000072390000}"/>
    <cellStyle name="Normal 26 3 10" xfId="8302" xr:uid="{00000000-0005-0000-0000-000073390000}"/>
    <cellStyle name="Normal 26 3 10 2" xfId="20391" xr:uid="{00000000-0005-0000-0000-000074390000}"/>
    <cellStyle name="Normal 26 3 11" xfId="8303" xr:uid="{00000000-0005-0000-0000-000075390000}"/>
    <cellStyle name="Normal 26 3 11 2" xfId="20392" xr:uid="{00000000-0005-0000-0000-000076390000}"/>
    <cellStyle name="Normal 26 3 12" xfId="8304" xr:uid="{00000000-0005-0000-0000-000077390000}"/>
    <cellStyle name="Normal 26 3 12 2" xfId="20393" xr:uid="{00000000-0005-0000-0000-000078390000}"/>
    <cellStyle name="Normal 26 3 13" xfId="8305" xr:uid="{00000000-0005-0000-0000-000079390000}"/>
    <cellStyle name="Normal 26 3 13 2" xfId="20394" xr:uid="{00000000-0005-0000-0000-00007A390000}"/>
    <cellStyle name="Normal 26 3 14" xfId="8306" xr:uid="{00000000-0005-0000-0000-00007B390000}"/>
    <cellStyle name="Normal 26 3 14 2" xfId="20395" xr:uid="{00000000-0005-0000-0000-00007C390000}"/>
    <cellStyle name="Normal 26 3 15" xfId="8307" xr:uid="{00000000-0005-0000-0000-00007D390000}"/>
    <cellStyle name="Normal 26 3 15 2" xfId="20396" xr:uid="{00000000-0005-0000-0000-00007E390000}"/>
    <cellStyle name="Normal 26 3 16" xfId="8308" xr:uid="{00000000-0005-0000-0000-00007F390000}"/>
    <cellStyle name="Normal 26 3 16 2" xfId="20397" xr:uid="{00000000-0005-0000-0000-000080390000}"/>
    <cellStyle name="Normal 26 3 17" xfId="8309" xr:uid="{00000000-0005-0000-0000-000081390000}"/>
    <cellStyle name="Normal 26 3 17 2" xfId="20398" xr:uid="{00000000-0005-0000-0000-000082390000}"/>
    <cellStyle name="Normal 26 3 18" xfId="8310" xr:uid="{00000000-0005-0000-0000-000083390000}"/>
    <cellStyle name="Normal 26 3 18 2" xfId="20399" xr:uid="{00000000-0005-0000-0000-000084390000}"/>
    <cellStyle name="Normal 26 3 19" xfId="8311" xr:uid="{00000000-0005-0000-0000-000085390000}"/>
    <cellStyle name="Normal 26 3 19 2" xfId="20400" xr:uid="{00000000-0005-0000-0000-000086390000}"/>
    <cellStyle name="Normal 26 3 2" xfId="8312" xr:uid="{00000000-0005-0000-0000-000087390000}"/>
    <cellStyle name="Normal 26 3 2 2" xfId="20401" xr:uid="{00000000-0005-0000-0000-000088390000}"/>
    <cellStyle name="Normal 26 3 20" xfId="8313" xr:uid="{00000000-0005-0000-0000-000089390000}"/>
    <cellStyle name="Normal 26 3 20 2" xfId="20402" xr:uid="{00000000-0005-0000-0000-00008A390000}"/>
    <cellStyle name="Normal 26 3 21" xfId="8314" xr:uid="{00000000-0005-0000-0000-00008B390000}"/>
    <cellStyle name="Normal 26 3 21 2" xfId="20403" xr:uid="{00000000-0005-0000-0000-00008C390000}"/>
    <cellStyle name="Normal 26 3 22" xfId="8315" xr:uid="{00000000-0005-0000-0000-00008D390000}"/>
    <cellStyle name="Normal 26 3 22 2" xfId="20404" xr:uid="{00000000-0005-0000-0000-00008E390000}"/>
    <cellStyle name="Normal 26 3 23" xfId="8316" xr:uid="{00000000-0005-0000-0000-00008F390000}"/>
    <cellStyle name="Normal 26 3 23 2" xfId="20405" xr:uid="{00000000-0005-0000-0000-000090390000}"/>
    <cellStyle name="Normal 26 3 24" xfId="8317" xr:uid="{00000000-0005-0000-0000-000091390000}"/>
    <cellStyle name="Normal 26 3 24 2" xfId="20406" xr:uid="{00000000-0005-0000-0000-000092390000}"/>
    <cellStyle name="Normal 26 3 25" xfId="8318" xr:uid="{00000000-0005-0000-0000-000093390000}"/>
    <cellStyle name="Normal 26 3 25 2" xfId="20407" xr:uid="{00000000-0005-0000-0000-000094390000}"/>
    <cellStyle name="Normal 26 3 26" xfId="8319" xr:uid="{00000000-0005-0000-0000-000095390000}"/>
    <cellStyle name="Normal 26 3 26 2" xfId="20408" xr:uid="{00000000-0005-0000-0000-000096390000}"/>
    <cellStyle name="Normal 26 3 27" xfId="8320" xr:uid="{00000000-0005-0000-0000-000097390000}"/>
    <cellStyle name="Normal 26 3 27 2" xfId="20409" xr:uid="{00000000-0005-0000-0000-000098390000}"/>
    <cellStyle name="Normal 26 3 28" xfId="8321" xr:uid="{00000000-0005-0000-0000-000099390000}"/>
    <cellStyle name="Normal 26 3 28 2" xfId="20410" xr:uid="{00000000-0005-0000-0000-00009A390000}"/>
    <cellStyle name="Normal 26 3 29" xfId="8322" xr:uid="{00000000-0005-0000-0000-00009B390000}"/>
    <cellStyle name="Normal 26 3 29 2" xfId="20411" xr:uid="{00000000-0005-0000-0000-00009C390000}"/>
    <cellStyle name="Normal 26 3 3" xfId="8323" xr:uid="{00000000-0005-0000-0000-00009D390000}"/>
    <cellStyle name="Normal 26 3 3 2" xfId="20412" xr:uid="{00000000-0005-0000-0000-00009E390000}"/>
    <cellStyle name="Normal 26 3 30" xfId="8324" xr:uid="{00000000-0005-0000-0000-00009F390000}"/>
    <cellStyle name="Normal 26 3 30 2" xfId="20413" xr:uid="{00000000-0005-0000-0000-0000A0390000}"/>
    <cellStyle name="Normal 26 3 31" xfId="8325" xr:uid="{00000000-0005-0000-0000-0000A1390000}"/>
    <cellStyle name="Normal 26 3 31 2" xfId="20414" xr:uid="{00000000-0005-0000-0000-0000A2390000}"/>
    <cellStyle name="Normal 26 3 32" xfId="8326" xr:uid="{00000000-0005-0000-0000-0000A3390000}"/>
    <cellStyle name="Normal 26 3 32 2" xfId="20415" xr:uid="{00000000-0005-0000-0000-0000A4390000}"/>
    <cellStyle name="Normal 26 3 33" xfId="8327" xr:uid="{00000000-0005-0000-0000-0000A5390000}"/>
    <cellStyle name="Normal 26 3 33 2" xfId="20416" xr:uid="{00000000-0005-0000-0000-0000A6390000}"/>
    <cellStyle name="Normal 26 3 34" xfId="8328" xr:uid="{00000000-0005-0000-0000-0000A7390000}"/>
    <cellStyle name="Normal 26 3 34 2" xfId="20417" xr:uid="{00000000-0005-0000-0000-0000A8390000}"/>
    <cellStyle name="Normal 26 3 35" xfId="8329" xr:uid="{00000000-0005-0000-0000-0000A9390000}"/>
    <cellStyle name="Normal 26 3 35 2" xfId="20418" xr:uid="{00000000-0005-0000-0000-0000AA390000}"/>
    <cellStyle name="Normal 26 3 36" xfId="8330" xr:uid="{00000000-0005-0000-0000-0000AB390000}"/>
    <cellStyle name="Normal 26 3 36 2" xfId="20419" xr:uid="{00000000-0005-0000-0000-0000AC390000}"/>
    <cellStyle name="Normal 26 3 37" xfId="8331" xr:uid="{00000000-0005-0000-0000-0000AD390000}"/>
    <cellStyle name="Normal 26 3 37 2" xfId="20420" xr:uid="{00000000-0005-0000-0000-0000AE390000}"/>
    <cellStyle name="Normal 26 3 38" xfId="8332" xr:uid="{00000000-0005-0000-0000-0000AF390000}"/>
    <cellStyle name="Normal 26 3 38 2" xfId="20421" xr:uid="{00000000-0005-0000-0000-0000B0390000}"/>
    <cellStyle name="Normal 26 3 39" xfId="8333" xr:uid="{00000000-0005-0000-0000-0000B1390000}"/>
    <cellStyle name="Normal 26 3 39 2" xfId="20422" xr:uid="{00000000-0005-0000-0000-0000B2390000}"/>
    <cellStyle name="Normal 26 3 4" xfId="8334" xr:uid="{00000000-0005-0000-0000-0000B3390000}"/>
    <cellStyle name="Normal 26 3 4 2" xfId="20423" xr:uid="{00000000-0005-0000-0000-0000B4390000}"/>
    <cellStyle name="Normal 26 3 40" xfId="8335" xr:uid="{00000000-0005-0000-0000-0000B5390000}"/>
    <cellStyle name="Normal 26 3 40 2" xfId="20424" xr:uid="{00000000-0005-0000-0000-0000B6390000}"/>
    <cellStyle name="Normal 26 3 41" xfId="8336" xr:uid="{00000000-0005-0000-0000-0000B7390000}"/>
    <cellStyle name="Normal 26 3 41 2" xfId="20425" xr:uid="{00000000-0005-0000-0000-0000B8390000}"/>
    <cellStyle name="Normal 26 3 42" xfId="8337" xr:uid="{00000000-0005-0000-0000-0000B9390000}"/>
    <cellStyle name="Normal 26 3 42 2" xfId="20426" xr:uid="{00000000-0005-0000-0000-0000BA390000}"/>
    <cellStyle name="Normal 26 3 43" xfId="8338" xr:uid="{00000000-0005-0000-0000-0000BB390000}"/>
    <cellStyle name="Normal 26 3 43 2" xfId="20427" xr:uid="{00000000-0005-0000-0000-0000BC390000}"/>
    <cellStyle name="Normal 26 3 44" xfId="8339" xr:uid="{00000000-0005-0000-0000-0000BD390000}"/>
    <cellStyle name="Normal 26 3 44 2" xfId="20428" xr:uid="{00000000-0005-0000-0000-0000BE390000}"/>
    <cellStyle name="Normal 26 3 45" xfId="8340" xr:uid="{00000000-0005-0000-0000-0000BF390000}"/>
    <cellStyle name="Normal 26 3 45 2" xfId="20429" xr:uid="{00000000-0005-0000-0000-0000C0390000}"/>
    <cellStyle name="Normal 26 3 46" xfId="8341" xr:uid="{00000000-0005-0000-0000-0000C1390000}"/>
    <cellStyle name="Normal 26 3 46 2" xfId="20430" xr:uid="{00000000-0005-0000-0000-0000C2390000}"/>
    <cellStyle name="Normal 26 3 47" xfId="8342" xr:uid="{00000000-0005-0000-0000-0000C3390000}"/>
    <cellStyle name="Normal 26 3 47 2" xfId="20431" xr:uid="{00000000-0005-0000-0000-0000C4390000}"/>
    <cellStyle name="Normal 26 3 48" xfId="8343" xr:uid="{00000000-0005-0000-0000-0000C5390000}"/>
    <cellStyle name="Normal 26 3 48 2" xfId="20432" xr:uid="{00000000-0005-0000-0000-0000C6390000}"/>
    <cellStyle name="Normal 26 3 49" xfId="8344" xr:uid="{00000000-0005-0000-0000-0000C7390000}"/>
    <cellStyle name="Normal 26 3 49 2" xfId="20433" xr:uid="{00000000-0005-0000-0000-0000C8390000}"/>
    <cellStyle name="Normal 26 3 5" xfId="8345" xr:uid="{00000000-0005-0000-0000-0000C9390000}"/>
    <cellStyle name="Normal 26 3 5 2" xfId="20434" xr:uid="{00000000-0005-0000-0000-0000CA390000}"/>
    <cellStyle name="Normal 26 3 50" xfId="8346" xr:uid="{00000000-0005-0000-0000-0000CB390000}"/>
    <cellStyle name="Normal 26 3 50 2" xfId="20435" xr:uid="{00000000-0005-0000-0000-0000CC390000}"/>
    <cellStyle name="Normal 26 3 51" xfId="8347" xr:uid="{00000000-0005-0000-0000-0000CD390000}"/>
    <cellStyle name="Normal 26 3 51 2" xfId="20436" xr:uid="{00000000-0005-0000-0000-0000CE390000}"/>
    <cellStyle name="Normal 26 3 52" xfId="8348" xr:uid="{00000000-0005-0000-0000-0000CF390000}"/>
    <cellStyle name="Normal 26 3 52 2" xfId="20437" xr:uid="{00000000-0005-0000-0000-0000D0390000}"/>
    <cellStyle name="Normal 26 3 53" xfId="8349" xr:uid="{00000000-0005-0000-0000-0000D1390000}"/>
    <cellStyle name="Normal 26 3 53 2" xfId="20438" xr:uid="{00000000-0005-0000-0000-0000D2390000}"/>
    <cellStyle name="Normal 26 3 54" xfId="8350" xr:uid="{00000000-0005-0000-0000-0000D3390000}"/>
    <cellStyle name="Normal 26 3 54 2" xfId="20439" xr:uid="{00000000-0005-0000-0000-0000D4390000}"/>
    <cellStyle name="Normal 26 3 55" xfId="8351" xr:uid="{00000000-0005-0000-0000-0000D5390000}"/>
    <cellStyle name="Normal 26 3 55 2" xfId="20440" xr:uid="{00000000-0005-0000-0000-0000D6390000}"/>
    <cellStyle name="Normal 26 3 56" xfId="8352" xr:uid="{00000000-0005-0000-0000-0000D7390000}"/>
    <cellStyle name="Normal 26 3 56 2" xfId="20441" xr:uid="{00000000-0005-0000-0000-0000D8390000}"/>
    <cellStyle name="Normal 26 3 57" xfId="8353" xr:uid="{00000000-0005-0000-0000-0000D9390000}"/>
    <cellStyle name="Normal 26 3 57 2" xfId="20442" xr:uid="{00000000-0005-0000-0000-0000DA390000}"/>
    <cellStyle name="Normal 26 3 58" xfId="8354" xr:uid="{00000000-0005-0000-0000-0000DB390000}"/>
    <cellStyle name="Normal 26 3 58 2" xfId="20443" xr:uid="{00000000-0005-0000-0000-0000DC390000}"/>
    <cellStyle name="Normal 26 3 59" xfId="8355" xr:uid="{00000000-0005-0000-0000-0000DD390000}"/>
    <cellStyle name="Normal 26 3 59 2" xfId="20444" xr:uid="{00000000-0005-0000-0000-0000DE390000}"/>
    <cellStyle name="Normal 26 3 6" xfId="8356" xr:uid="{00000000-0005-0000-0000-0000DF390000}"/>
    <cellStyle name="Normal 26 3 6 2" xfId="20445" xr:uid="{00000000-0005-0000-0000-0000E0390000}"/>
    <cellStyle name="Normal 26 3 60" xfId="8357" xr:uid="{00000000-0005-0000-0000-0000E1390000}"/>
    <cellStyle name="Normal 26 3 60 2" xfId="20446" xr:uid="{00000000-0005-0000-0000-0000E2390000}"/>
    <cellStyle name="Normal 26 3 61" xfId="8358" xr:uid="{00000000-0005-0000-0000-0000E3390000}"/>
    <cellStyle name="Normal 26 3 61 2" xfId="20447" xr:uid="{00000000-0005-0000-0000-0000E4390000}"/>
    <cellStyle name="Normal 26 3 62" xfId="8359" xr:uid="{00000000-0005-0000-0000-0000E5390000}"/>
    <cellStyle name="Normal 26 3 62 2" xfId="20448" xr:uid="{00000000-0005-0000-0000-0000E6390000}"/>
    <cellStyle name="Normal 26 3 63" xfId="8360" xr:uid="{00000000-0005-0000-0000-0000E7390000}"/>
    <cellStyle name="Normal 26 3 63 2" xfId="20449" xr:uid="{00000000-0005-0000-0000-0000E8390000}"/>
    <cellStyle name="Normal 26 3 64" xfId="8361" xr:uid="{00000000-0005-0000-0000-0000E9390000}"/>
    <cellStyle name="Normal 26 3 64 2" xfId="20450" xr:uid="{00000000-0005-0000-0000-0000EA390000}"/>
    <cellStyle name="Normal 26 3 65" xfId="8362" xr:uid="{00000000-0005-0000-0000-0000EB390000}"/>
    <cellStyle name="Normal 26 3 65 2" xfId="20451" xr:uid="{00000000-0005-0000-0000-0000EC390000}"/>
    <cellStyle name="Normal 26 3 66" xfId="8363" xr:uid="{00000000-0005-0000-0000-0000ED390000}"/>
    <cellStyle name="Normal 26 3 66 2" xfId="20452" xr:uid="{00000000-0005-0000-0000-0000EE390000}"/>
    <cellStyle name="Normal 26 3 67" xfId="8364" xr:uid="{00000000-0005-0000-0000-0000EF390000}"/>
    <cellStyle name="Normal 26 3 67 2" xfId="20453" xr:uid="{00000000-0005-0000-0000-0000F0390000}"/>
    <cellStyle name="Normal 26 3 68" xfId="8365" xr:uid="{00000000-0005-0000-0000-0000F1390000}"/>
    <cellStyle name="Normal 26 3 68 2" xfId="20454" xr:uid="{00000000-0005-0000-0000-0000F2390000}"/>
    <cellStyle name="Normal 26 3 69" xfId="8366" xr:uid="{00000000-0005-0000-0000-0000F3390000}"/>
    <cellStyle name="Normal 26 3 69 2" xfId="20455" xr:uid="{00000000-0005-0000-0000-0000F4390000}"/>
    <cellStyle name="Normal 26 3 7" xfId="8367" xr:uid="{00000000-0005-0000-0000-0000F5390000}"/>
    <cellStyle name="Normal 26 3 7 2" xfId="20456" xr:uid="{00000000-0005-0000-0000-0000F6390000}"/>
    <cellStyle name="Normal 26 3 70" xfId="8368" xr:uid="{00000000-0005-0000-0000-0000F7390000}"/>
    <cellStyle name="Normal 26 3 70 2" xfId="20457" xr:uid="{00000000-0005-0000-0000-0000F8390000}"/>
    <cellStyle name="Normal 26 3 71" xfId="8369" xr:uid="{00000000-0005-0000-0000-0000F9390000}"/>
    <cellStyle name="Normal 26 3 71 2" xfId="20458" xr:uid="{00000000-0005-0000-0000-0000FA390000}"/>
    <cellStyle name="Normal 26 3 72" xfId="8370" xr:uid="{00000000-0005-0000-0000-0000FB390000}"/>
    <cellStyle name="Normal 26 3 72 2" xfId="20459" xr:uid="{00000000-0005-0000-0000-0000FC390000}"/>
    <cellStyle name="Normal 26 3 73" xfId="8371" xr:uid="{00000000-0005-0000-0000-0000FD390000}"/>
    <cellStyle name="Normal 26 3 73 2" xfId="20460" xr:uid="{00000000-0005-0000-0000-0000FE390000}"/>
    <cellStyle name="Normal 26 3 74" xfId="8372" xr:uid="{00000000-0005-0000-0000-0000FF390000}"/>
    <cellStyle name="Normal 26 3 74 2" xfId="20461" xr:uid="{00000000-0005-0000-0000-0000003A0000}"/>
    <cellStyle name="Normal 26 3 75" xfId="8373" xr:uid="{00000000-0005-0000-0000-0000013A0000}"/>
    <cellStyle name="Normal 26 3 75 2" xfId="20462" xr:uid="{00000000-0005-0000-0000-0000023A0000}"/>
    <cellStyle name="Normal 26 3 76" xfId="8374" xr:uid="{00000000-0005-0000-0000-0000033A0000}"/>
    <cellStyle name="Normal 26 3 76 2" xfId="20463" xr:uid="{00000000-0005-0000-0000-0000043A0000}"/>
    <cellStyle name="Normal 26 3 77" xfId="8375" xr:uid="{00000000-0005-0000-0000-0000053A0000}"/>
    <cellStyle name="Normal 26 3 77 2" xfId="20464" xr:uid="{00000000-0005-0000-0000-0000063A0000}"/>
    <cellStyle name="Normal 26 3 78" xfId="8376" xr:uid="{00000000-0005-0000-0000-0000073A0000}"/>
    <cellStyle name="Normal 26 3 78 2" xfId="20465" xr:uid="{00000000-0005-0000-0000-0000083A0000}"/>
    <cellStyle name="Normal 26 3 79" xfId="8377" xr:uid="{00000000-0005-0000-0000-0000093A0000}"/>
    <cellStyle name="Normal 26 3 79 2" xfId="20466" xr:uid="{00000000-0005-0000-0000-00000A3A0000}"/>
    <cellStyle name="Normal 26 3 8" xfId="8378" xr:uid="{00000000-0005-0000-0000-00000B3A0000}"/>
    <cellStyle name="Normal 26 3 8 2" xfId="20467" xr:uid="{00000000-0005-0000-0000-00000C3A0000}"/>
    <cellStyle name="Normal 26 3 80" xfId="20390" xr:uid="{00000000-0005-0000-0000-00000D3A0000}"/>
    <cellStyle name="Normal 26 3 9" xfId="8379" xr:uid="{00000000-0005-0000-0000-00000E3A0000}"/>
    <cellStyle name="Normal 26 3 9 2" xfId="20468" xr:uid="{00000000-0005-0000-0000-00000F3A0000}"/>
    <cellStyle name="Normal 26 30" xfId="8380" xr:uid="{00000000-0005-0000-0000-0000103A0000}"/>
    <cellStyle name="Normal 26 30 2" xfId="20469" xr:uid="{00000000-0005-0000-0000-0000113A0000}"/>
    <cellStyle name="Normal 26 31" xfId="8381" xr:uid="{00000000-0005-0000-0000-0000123A0000}"/>
    <cellStyle name="Normal 26 31 2" xfId="20470" xr:uid="{00000000-0005-0000-0000-0000133A0000}"/>
    <cellStyle name="Normal 26 32" xfId="8382" xr:uid="{00000000-0005-0000-0000-0000143A0000}"/>
    <cellStyle name="Normal 26 32 2" xfId="20471" xr:uid="{00000000-0005-0000-0000-0000153A0000}"/>
    <cellStyle name="Normal 26 33" xfId="8383" xr:uid="{00000000-0005-0000-0000-0000163A0000}"/>
    <cellStyle name="Normal 26 33 2" xfId="20472" xr:uid="{00000000-0005-0000-0000-0000173A0000}"/>
    <cellStyle name="Normal 26 34" xfId="8384" xr:uid="{00000000-0005-0000-0000-0000183A0000}"/>
    <cellStyle name="Normal 26 34 2" xfId="20473" xr:uid="{00000000-0005-0000-0000-0000193A0000}"/>
    <cellStyle name="Normal 26 35" xfId="8385" xr:uid="{00000000-0005-0000-0000-00001A3A0000}"/>
    <cellStyle name="Normal 26 35 2" xfId="20474" xr:uid="{00000000-0005-0000-0000-00001B3A0000}"/>
    <cellStyle name="Normal 26 36" xfId="8386" xr:uid="{00000000-0005-0000-0000-00001C3A0000}"/>
    <cellStyle name="Normal 26 36 2" xfId="20475" xr:uid="{00000000-0005-0000-0000-00001D3A0000}"/>
    <cellStyle name="Normal 26 37" xfId="8387" xr:uid="{00000000-0005-0000-0000-00001E3A0000}"/>
    <cellStyle name="Normal 26 37 2" xfId="20476" xr:uid="{00000000-0005-0000-0000-00001F3A0000}"/>
    <cellStyle name="Normal 26 38" xfId="8388" xr:uid="{00000000-0005-0000-0000-0000203A0000}"/>
    <cellStyle name="Normal 26 38 2" xfId="20477" xr:uid="{00000000-0005-0000-0000-0000213A0000}"/>
    <cellStyle name="Normal 26 39" xfId="8389" xr:uid="{00000000-0005-0000-0000-0000223A0000}"/>
    <cellStyle name="Normal 26 39 2" xfId="20478" xr:uid="{00000000-0005-0000-0000-0000233A0000}"/>
    <cellStyle name="Normal 26 4" xfId="714" xr:uid="{00000000-0005-0000-0000-0000243A0000}"/>
    <cellStyle name="Normal 26 4 10" xfId="8391" xr:uid="{00000000-0005-0000-0000-0000253A0000}"/>
    <cellStyle name="Normal 26 4 10 2" xfId="20480" xr:uid="{00000000-0005-0000-0000-0000263A0000}"/>
    <cellStyle name="Normal 26 4 11" xfId="8392" xr:uid="{00000000-0005-0000-0000-0000273A0000}"/>
    <cellStyle name="Normal 26 4 11 2" xfId="20481" xr:uid="{00000000-0005-0000-0000-0000283A0000}"/>
    <cellStyle name="Normal 26 4 12" xfId="8393" xr:uid="{00000000-0005-0000-0000-0000293A0000}"/>
    <cellStyle name="Normal 26 4 12 2" xfId="20482" xr:uid="{00000000-0005-0000-0000-00002A3A0000}"/>
    <cellStyle name="Normal 26 4 13" xfId="8394" xr:uid="{00000000-0005-0000-0000-00002B3A0000}"/>
    <cellStyle name="Normal 26 4 13 2" xfId="20483" xr:uid="{00000000-0005-0000-0000-00002C3A0000}"/>
    <cellStyle name="Normal 26 4 14" xfId="8395" xr:uid="{00000000-0005-0000-0000-00002D3A0000}"/>
    <cellStyle name="Normal 26 4 14 2" xfId="20484" xr:uid="{00000000-0005-0000-0000-00002E3A0000}"/>
    <cellStyle name="Normal 26 4 15" xfId="8396" xr:uid="{00000000-0005-0000-0000-00002F3A0000}"/>
    <cellStyle name="Normal 26 4 15 2" xfId="20485" xr:uid="{00000000-0005-0000-0000-0000303A0000}"/>
    <cellStyle name="Normal 26 4 16" xfId="8397" xr:uid="{00000000-0005-0000-0000-0000313A0000}"/>
    <cellStyle name="Normal 26 4 16 2" xfId="20486" xr:uid="{00000000-0005-0000-0000-0000323A0000}"/>
    <cellStyle name="Normal 26 4 17" xfId="8398" xr:uid="{00000000-0005-0000-0000-0000333A0000}"/>
    <cellStyle name="Normal 26 4 17 2" xfId="20487" xr:uid="{00000000-0005-0000-0000-0000343A0000}"/>
    <cellStyle name="Normal 26 4 18" xfId="8399" xr:uid="{00000000-0005-0000-0000-0000353A0000}"/>
    <cellStyle name="Normal 26 4 18 2" xfId="20488" xr:uid="{00000000-0005-0000-0000-0000363A0000}"/>
    <cellStyle name="Normal 26 4 19" xfId="8400" xr:uid="{00000000-0005-0000-0000-0000373A0000}"/>
    <cellStyle name="Normal 26 4 19 2" xfId="20489" xr:uid="{00000000-0005-0000-0000-0000383A0000}"/>
    <cellStyle name="Normal 26 4 2" xfId="8401" xr:uid="{00000000-0005-0000-0000-0000393A0000}"/>
    <cellStyle name="Normal 26 4 2 2" xfId="20490" xr:uid="{00000000-0005-0000-0000-00003A3A0000}"/>
    <cellStyle name="Normal 26 4 20" xfId="8402" xr:uid="{00000000-0005-0000-0000-00003B3A0000}"/>
    <cellStyle name="Normal 26 4 20 2" xfId="20491" xr:uid="{00000000-0005-0000-0000-00003C3A0000}"/>
    <cellStyle name="Normal 26 4 21" xfId="8403" xr:uid="{00000000-0005-0000-0000-00003D3A0000}"/>
    <cellStyle name="Normal 26 4 21 2" xfId="20492" xr:uid="{00000000-0005-0000-0000-00003E3A0000}"/>
    <cellStyle name="Normal 26 4 22" xfId="8404" xr:uid="{00000000-0005-0000-0000-00003F3A0000}"/>
    <cellStyle name="Normal 26 4 22 2" xfId="20493" xr:uid="{00000000-0005-0000-0000-0000403A0000}"/>
    <cellStyle name="Normal 26 4 23" xfId="8405" xr:uid="{00000000-0005-0000-0000-0000413A0000}"/>
    <cellStyle name="Normal 26 4 23 2" xfId="20494" xr:uid="{00000000-0005-0000-0000-0000423A0000}"/>
    <cellStyle name="Normal 26 4 24" xfId="8406" xr:uid="{00000000-0005-0000-0000-0000433A0000}"/>
    <cellStyle name="Normal 26 4 24 2" xfId="20495" xr:uid="{00000000-0005-0000-0000-0000443A0000}"/>
    <cellStyle name="Normal 26 4 25" xfId="8407" xr:uid="{00000000-0005-0000-0000-0000453A0000}"/>
    <cellStyle name="Normal 26 4 25 2" xfId="20496" xr:uid="{00000000-0005-0000-0000-0000463A0000}"/>
    <cellStyle name="Normal 26 4 26" xfId="8408" xr:uid="{00000000-0005-0000-0000-0000473A0000}"/>
    <cellStyle name="Normal 26 4 26 2" xfId="20497" xr:uid="{00000000-0005-0000-0000-0000483A0000}"/>
    <cellStyle name="Normal 26 4 27" xfId="8409" xr:uid="{00000000-0005-0000-0000-0000493A0000}"/>
    <cellStyle name="Normal 26 4 27 2" xfId="20498" xr:uid="{00000000-0005-0000-0000-00004A3A0000}"/>
    <cellStyle name="Normal 26 4 28" xfId="8410" xr:uid="{00000000-0005-0000-0000-00004B3A0000}"/>
    <cellStyle name="Normal 26 4 28 2" xfId="20499" xr:uid="{00000000-0005-0000-0000-00004C3A0000}"/>
    <cellStyle name="Normal 26 4 29" xfId="8411" xr:uid="{00000000-0005-0000-0000-00004D3A0000}"/>
    <cellStyle name="Normal 26 4 29 2" xfId="20500" xr:uid="{00000000-0005-0000-0000-00004E3A0000}"/>
    <cellStyle name="Normal 26 4 3" xfId="8412" xr:uid="{00000000-0005-0000-0000-00004F3A0000}"/>
    <cellStyle name="Normal 26 4 3 2" xfId="20501" xr:uid="{00000000-0005-0000-0000-0000503A0000}"/>
    <cellStyle name="Normal 26 4 30" xfId="8413" xr:uid="{00000000-0005-0000-0000-0000513A0000}"/>
    <cellStyle name="Normal 26 4 30 2" xfId="20502" xr:uid="{00000000-0005-0000-0000-0000523A0000}"/>
    <cellStyle name="Normal 26 4 31" xfId="8414" xr:uid="{00000000-0005-0000-0000-0000533A0000}"/>
    <cellStyle name="Normal 26 4 31 2" xfId="20503" xr:uid="{00000000-0005-0000-0000-0000543A0000}"/>
    <cellStyle name="Normal 26 4 32" xfId="8415" xr:uid="{00000000-0005-0000-0000-0000553A0000}"/>
    <cellStyle name="Normal 26 4 32 2" xfId="20504" xr:uid="{00000000-0005-0000-0000-0000563A0000}"/>
    <cellStyle name="Normal 26 4 33" xfId="8416" xr:uid="{00000000-0005-0000-0000-0000573A0000}"/>
    <cellStyle name="Normal 26 4 33 2" xfId="20505" xr:uid="{00000000-0005-0000-0000-0000583A0000}"/>
    <cellStyle name="Normal 26 4 34" xfId="8417" xr:uid="{00000000-0005-0000-0000-0000593A0000}"/>
    <cellStyle name="Normal 26 4 34 2" xfId="20506" xr:uid="{00000000-0005-0000-0000-00005A3A0000}"/>
    <cellStyle name="Normal 26 4 35" xfId="8418" xr:uid="{00000000-0005-0000-0000-00005B3A0000}"/>
    <cellStyle name="Normal 26 4 35 2" xfId="20507" xr:uid="{00000000-0005-0000-0000-00005C3A0000}"/>
    <cellStyle name="Normal 26 4 36" xfId="8419" xr:uid="{00000000-0005-0000-0000-00005D3A0000}"/>
    <cellStyle name="Normal 26 4 36 2" xfId="20508" xr:uid="{00000000-0005-0000-0000-00005E3A0000}"/>
    <cellStyle name="Normal 26 4 37" xfId="8420" xr:uid="{00000000-0005-0000-0000-00005F3A0000}"/>
    <cellStyle name="Normal 26 4 37 2" xfId="20509" xr:uid="{00000000-0005-0000-0000-0000603A0000}"/>
    <cellStyle name="Normal 26 4 38" xfId="8421" xr:uid="{00000000-0005-0000-0000-0000613A0000}"/>
    <cellStyle name="Normal 26 4 38 2" xfId="20510" xr:uid="{00000000-0005-0000-0000-0000623A0000}"/>
    <cellStyle name="Normal 26 4 39" xfId="8422" xr:uid="{00000000-0005-0000-0000-0000633A0000}"/>
    <cellStyle name="Normal 26 4 39 2" xfId="20511" xr:uid="{00000000-0005-0000-0000-0000643A0000}"/>
    <cellStyle name="Normal 26 4 4" xfId="8423" xr:uid="{00000000-0005-0000-0000-0000653A0000}"/>
    <cellStyle name="Normal 26 4 4 2" xfId="20512" xr:uid="{00000000-0005-0000-0000-0000663A0000}"/>
    <cellStyle name="Normal 26 4 40" xfId="8424" xr:uid="{00000000-0005-0000-0000-0000673A0000}"/>
    <cellStyle name="Normal 26 4 40 2" xfId="20513" xr:uid="{00000000-0005-0000-0000-0000683A0000}"/>
    <cellStyle name="Normal 26 4 41" xfId="8425" xr:uid="{00000000-0005-0000-0000-0000693A0000}"/>
    <cellStyle name="Normal 26 4 41 2" xfId="20514" xr:uid="{00000000-0005-0000-0000-00006A3A0000}"/>
    <cellStyle name="Normal 26 4 42" xfId="8426" xr:uid="{00000000-0005-0000-0000-00006B3A0000}"/>
    <cellStyle name="Normal 26 4 42 2" xfId="20515" xr:uid="{00000000-0005-0000-0000-00006C3A0000}"/>
    <cellStyle name="Normal 26 4 43" xfId="8427" xr:uid="{00000000-0005-0000-0000-00006D3A0000}"/>
    <cellStyle name="Normal 26 4 43 2" xfId="20516" xr:uid="{00000000-0005-0000-0000-00006E3A0000}"/>
    <cellStyle name="Normal 26 4 44" xfId="8428" xr:uid="{00000000-0005-0000-0000-00006F3A0000}"/>
    <cellStyle name="Normal 26 4 44 2" xfId="20517" xr:uid="{00000000-0005-0000-0000-0000703A0000}"/>
    <cellStyle name="Normal 26 4 45" xfId="8429" xr:uid="{00000000-0005-0000-0000-0000713A0000}"/>
    <cellStyle name="Normal 26 4 45 2" xfId="20518" xr:uid="{00000000-0005-0000-0000-0000723A0000}"/>
    <cellStyle name="Normal 26 4 46" xfId="8430" xr:uid="{00000000-0005-0000-0000-0000733A0000}"/>
    <cellStyle name="Normal 26 4 46 2" xfId="20519" xr:uid="{00000000-0005-0000-0000-0000743A0000}"/>
    <cellStyle name="Normal 26 4 47" xfId="8431" xr:uid="{00000000-0005-0000-0000-0000753A0000}"/>
    <cellStyle name="Normal 26 4 47 2" xfId="20520" xr:uid="{00000000-0005-0000-0000-0000763A0000}"/>
    <cellStyle name="Normal 26 4 48" xfId="8432" xr:uid="{00000000-0005-0000-0000-0000773A0000}"/>
    <cellStyle name="Normal 26 4 48 2" xfId="20521" xr:uid="{00000000-0005-0000-0000-0000783A0000}"/>
    <cellStyle name="Normal 26 4 49" xfId="8433" xr:uid="{00000000-0005-0000-0000-0000793A0000}"/>
    <cellStyle name="Normal 26 4 49 2" xfId="20522" xr:uid="{00000000-0005-0000-0000-00007A3A0000}"/>
    <cellStyle name="Normal 26 4 5" xfId="8434" xr:uid="{00000000-0005-0000-0000-00007B3A0000}"/>
    <cellStyle name="Normal 26 4 5 2" xfId="20523" xr:uid="{00000000-0005-0000-0000-00007C3A0000}"/>
    <cellStyle name="Normal 26 4 50" xfId="8435" xr:uid="{00000000-0005-0000-0000-00007D3A0000}"/>
    <cellStyle name="Normal 26 4 50 2" xfId="20524" xr:uid="{00000000-0005-0000-0000-00007E3A0000}"/>
    <cellStyle name="Normal 26 4 51" xfId="8436" xr:uid="{00000000-0005-0000-0000-00007F3A0000}"/>
    <cellStyle name="Normal 26 4 51 2" xfId="20525" xr:uid="{00000000-0005-0000-0000-0000803A0000}"/>
    <cellStyle name="Normal 26 4 52" xfId="8437" xr:uid="{00000000-0005-0000-0000-0000813A0000}"/>
    <cellStyle name="Normal 26 4 52 2" xfId="20526" xr:uid="{00000000-0005-0000-0000-0000823A0000}"/>
    <cellStyle name="Normal 26 4 53" xfId="8438" xr:uid="{00000000-0005-0000-0000-0000833A0000}"/>
    <cellStyle name="Normal 26 4 53 2" xfId="20527" xr:uid="{00000000-0005-0000-0000-0000843A0000}"/>
    <cellStyle name="Normal 26 4 54" xfId="8439" xr:uid="{00000000-0005-0000-0000-0000853A0000}"/>
    <cellStyle name="Normal 26 4 54 2" xfId="20528" xr:uid="{00000000-0005-0000-0000-0000863A0000}"/>
    <cellStyle name="Normal 26 4 55" xfId="8440" xr:uid="{00000000-0005-0000-0000-0000873A0000}"/>
    <cellStyle name="Normal 26 4 55 2" xfId="20529" xr:uid="{00000000-0005-0000-0000-0000883A0000}"/>
    <cellStyle name="Normal 26 4 56" xfId="8441" xr:uid="{00000000-0005-0000-0000-0000893A0000}"/>
    <cellStyle name="Normal 26 4 56 2" xfId="20530" xr:uid="{00000000-0005-0000-0000-00008A3A0000}"/>
    <cellStyle name="Normal 26 4 57" xfId="8442" xr:uid="{00000000-0005-0000-0000-00008B3A0000}"/>
    <cellStyle name="Normal 26 4 57 2" xfId="20531" xr:uid="{00000000-0005-0000-0000-00008C3A0000}"/>
    <cellStyle name="Normal 26 4 58" xfId="8443" xr:uid="{00000000-0005-0000-0000-00008D3A0000}"/>
    <cellStyle name="Normal 26 4 58 2" xfId="20532" xr:uid="{00000000-0005-0000-0000-00008E3A0000}"/>
    <cellStyle name="Normal 26 4 59" xfId="8444" xr:uid="{00000000-0005-0000-0000-00008F3A0000}"/>
    <cellStyle name="Normal 26 4 59 2" xfId="20533" xr:uid="{00000000-0005-0000-0000-0000903A0000}"/>
    <cellStyle name="Normal 26 4 6" xfId="8445" xr:uid="{00000000-0005-0000-0000-0000913A0000}"/>
    <cellStyle name="Normal 26 4 6 2" xfId="20534" xr:uid="{00000000-0005-0000-0000-0000923A0000}"/>
    <cellStyle name="Normal 26 4 60" xfId="8446" xr:uid="{00000000-0005-0000-0000-0000933A0000}"/>
    <cellStyle name="Normal 26 4 60 2" xfId="20535" xr:uid="{00000000-0005-0000-0000-0000943A0000}"/>
    <cellStyle name="Normal 26 4 61" xfId="8447" xr:uid="{00000000-0005-0000-0000-0000953A0000}"/>
    <cellStyle name="Normal 26 4 61 2" xfId="20536" xr:uid="{00000000-0005-0000-0000-0000963A0000}"/>
    <cellStyle name="Normal 26 4 62" xfId="8448" xr:uid="{00000000-0005-0000-0000-0000973A0000}"/>
    <cellStyle name="Normal 26 4 62 2" xfId="20537" xr:uid="{00000000-0005-0000-0000-0000983A0000}"/>
    <cellStyle name="Normal 26 4 63" xfId="8449" xr:uid="{00000000-0005-0000-0000-0000993A0000}"/>
    <cellStyle name="Normal 26 4 63 2" xfId="20538" xr:uid="{00000000-0005-0000-0000-00009A3A0000}"/>
    <cellStyle name="Normal 26 4 64" xfId="8450" xr:uid="{00000000-0005-0000-0000-00009B3A0000}"/>
    <cellStyle name="Normal 26 4 64 2" xfId="20539" xr:uid="{00000000-0005-0000-0000-00009C3A0000}"/>
    <cellStyle name="Normal 26 4 65" xfId="8451" xr:uid="{00000000-0005-0000-0000-00009D3A0000}"/>
    <cellStyle name="Normal 26 4 65 2" xfId="20540" xr:uid="{00000000-0005-0000-0000-00009E3A0000}"/>
    <cellStyle name="Normal 26 4 66" xfId="8452" xr:uid="{00000000-0005-0000-0000-00009F3A0000}"/>
    <cellStyle name="Normal 26 4 66 2" xfId="20541" xr:uid="{00000000-0005-0000-0000-0000A03A0000}"/>
    <cellStyle name="Normal 26 4 67" xfId="8453" xr:uid="{00000000-0005-0000-0000-0000A13A0000}"/>
    <cellStyle name="Normal 26 4 67 2" xfId="20542" xr:uid="{00000000-0005-0000-0000-0000A23A0000}"/>
    <cellStyle name="Normal 26 4 68" xfId="8454" xr:uid="{00000000-0005-0000-0000-0000A33A0000}"/>
    <cellStyle name="Normal 26 4 68 2" xfId="20543" xr:uid="{00000000-0005-0000-0000-0000A43A0000}"/>
    <cellStyle name="Normal 26 4 69" xfId="8455" xr:uid="{00000000-0005-0000-0000-0000A53A0000}"/>
    <cellStyle name="Normal 26 4 69 2" xfId="20544" xr:uid="{00000000-0005-0000-0000-0000A63A0000}"/>
    <cellStyle name="Normal 26 4 7" xfId="8456" xr:uid="{00000000-0005-0000-0000-0000A73A0000}"/>
    <cellStyle name="Normal 26 4 7 2" xfId="20545" xr:uid="{00000000-0005-0000-0000-0000A83A0000}"/>
    <cellStyle name="Normal 26 4 70" xfId="8457" xr:uid="{00000000-0005-0000-0000-0000A93A0000}"/>
    <cellStyle name="Normal 26 4 70 2" xfId="20546" xr:uid="{00000000-0005-0000-0000-0000AA3A0000}"/>
    <cellStyle name="Normal 26 4 71" xfId="8458" xr:uid="{00000000-0005-0000-0000-0000AB3A0000}"/>
    <cellStyle name="Normal 26 4 71 2" xfId="20547" xr:uid="{00000000-0005-0000-0000-0000AC3A0000}"/>
    <cellStyle name="Normal 26 4 72" xfId="8459" xr:uid="{00000000-0005-0000-0000-0000AD3A0000}"/>
    <cellStyle name="Normal 26 4 72 2" xfId="20548" xr:uid="{00000000-0005-0000-0000-0000AE3A0000}"/>
    <cellStyle name="Normal 26 4 73" xfId="8460" xr:uid="{00000000-0005-0000-0000-0000AF3A0000}"/>
    <cellStyle name="Normal 26 4 73 2" xfId="20549" xr:uid="{00000000-0005-0000-0000-0000B03A0000}"/>
    <cellStyle name="Normal 26 4 74" xfId="8461" xr:uid="{00000000-0005-0000-0000-0000B13A0000}"/>
    <cellStyle name="Normal 26 4 74 2" xfId="20550" xr:uid="{00000000-0005-0000-0000-0000B23A0000}"/>
    <cellStyle name="Normal 26 4 75" xfId="8462" xr:uid="{00000000-0005-0000-0000-0000B33A0000}"/>
    <cellStyle name="Normal 26 4 75 2" xfId="20551" xr:uid="{00000000-0005-0000-0000-0000B43A0000}"/>
    <cellStyle name="Normal 26 4 76" xfId="8463" xr:uid="{00000000-0005-0000-0000-0000B53A0000}"/>
    <cellStyle name="Normal 26 4 76 2" xfId="20552" xr:uid="{00000000-0005-0000-0000-0000B63A0000}"/>
    <cellStyle name="Normal 26 4 77" xfId="8464" xr:uid="{00000000-0005-0000-0000-0000B73A0000}"/>
    <cellStyle name="Normal 26 4 77 2" xfId="20553" xr:uid="{00000000-0005-0000-0000-0000B83A0000}"/>
    <cellStyle name="Normal 26 4 78" xfId="8465" xr:uid="{00000000-0005-0000-0000-0000B93A0000}"/>
    <cellStyle name="Normal 26 4 78 2" xfId="20554" xr:uid="{00000000-0005-0000-0000-0000BA3A0000}"/>
    <cellStyle name="Normal 26 4 79" xfId="8466" xr:uid="{00000000-0005-0000-0000-0000BB3A0000}"/>
    <cellStyle name="Normal 26 4 79 2" xfId="20555" xr:uid="{00000000-0005-0000-0000-0000BC3A0000}"/>
    <cellStyle name="Normal 26 4 8" xfId="8467" xr:uid="{00000000-0005-0000-0000-0000BD3A0000}"/>
    <cellStyle name="Normal 26 4 8 2" xfId="20556" xr:uid="{00000000-0005-0000-0000-0000BE3A0000}"/>
    <cellStyle name="Normal 26 4 80" xfId="20479" xr:uid="{00000000-0005-0000-0000-0000BF3A0000}"/>
    <cellStyle name="Normal 26 4 81" xfId="8390" xr:uid="{00000000-0005-0000-0000-0000C03A0000}"/>
    <cellStyle name="Normal 26 4 9" xfId="8468" xr:uid="{00000000-0005-0000-0000-0000C13A0000}"/>
    <cellStyle name="Normal 26 4 9 2" xfId="20557" xr:uid="{00000000-0005-0000-0000-0000C23A0000}"/>
    <cellStyle name="Normal 26 40" xfId="8469" xr:uid="{00000000-0005-0000-0000-0000C33A0000}"/>
    <cellStyle name="Normal 26 40 2" xfId="20558" xr:uid="{00000000-0005-0000-0000-0000C43A0000}"/>
    <cellStyle name="Normal 26 41" xfId="8470" xr:uid="{00000000-0005-0000-0000-0000C53A0000}"/>
    <cellStyle name="Normal 26 41 2" xfId="20559" xr:uid="{00000000-0005-0000-0000-0000C63A0000}"/>
    <cellStyle name="Normal 26 42" xfId="8471" xr:uid="{00000000-0005-0000-0000-0000C73A0000}"/>
    <cellStyle name="Normal 26 42 2" xfId="20560" xr:uid="{00000000-0005-0000-0000-0000C83A0000}"/>
    <cellStyle name="Normal 26 43" xfId="8472" xr:uid="{00000000-0005-0000-0000-0000C93A0000}"/>
    <cellStyle name="Normal 26 43 2" xfId="20561" xr:uid="{00000000-0005-0000-0000-0000CA3A0000}"/>
    <cellStyle name="Normal 26 44" xfId="8473" xr:uid="{00000000-0005-0000-0000-0000CB3A0000}"/>
    <cellStyle name="Normal 26 44 2" xfId="20562" xr:uid="{00000000-0005-0000-0000-0000CC3A0000}"/>
    <cellStyle name="Normal 26 45" xfId="8474" xr:uid="{00000000-0005-0000-0000-0000CD3A0000}"/>
    <cellStyle name="Normal 26 45 2" xfId="20563" xr:uid="{00000000-0005-0000-0000-0000CE3A0000}"/>
    <cellStyle name="Normal 26 46" xfId="8475" xr:uid="{00000000-0005-0000-0000-0000CF3A0000}"/>
    <cellStyle name="Normal 26 46 2" xfId="20564" xr:uid="{00000000-0005-0000-0000-0000D03A0000}"/>
    <cellStyle name="Normal 26 47" xfId="8476" xr:uid="{00000000-0005-0000-0000-0000D13A0000}"/>
    <cellStyle name="Normal 26 47 2" xfId="20565" xr:uid="{00000000-0005-0000-0000-0000D23A0000}"/>
    <cellStyle name="Normal 26 48" xfId="8477" xr:uid="{00000000-0005-0000-0000-0000D33A0000}"/>
    <cellStyle name="Normal 26 48 2" xfId="20566" xr:uid="{00000000-0005-0000-0000-0000D43A0000}"/>
    <cellStyle name="Normal 26 49" xfId="8478" xr:uid="{00000000-0005-0000-0000-0000D53A0000}"/>
    <cellStyle name="Normal 26 49 2" xfId="20567" xr:uid="{00000000-0005-0000-0000-0000D63A0000}"/>
    <cellStyle name="Normal 26 5" xfId="312" xr:uid="{00000000-0005-0000-0000-0000D73A0000}"/>
    <cellStyle name="Normal 26 5 2" xfId="20568" xr:uid="{00000000-0005-0000-0000-0000D83A0000}"/>
    <cellStyle name="Normal 26 50" xfId="8479" xr:uid="{00000000-0005-0000-0000-0000D93A0000}"/>
    <cellStyle name="Normal 26 50 2" xfId="20569" xr:uid="{00000000-0005-0000-0000-0000DA3A0000}"/>
    <cellStyle name="Normal 26 51" xfId="8480" xr:uid="{00000000-0005-0000-0000-0000DB3A0000}"/>
    <cellStyle name="Normal 26 51 2" xfId="20570" xr:uid="{00000000-0005-0000-0000-0000DC3A0000}"/>
    <cellStyle name="Normal 26 52" xfId="8481" xr:uid="{00000000-0005-0000-0000-0000DD3A0000}"/>
    <cellStyle name="Normal 26 52 2" xfId="20571" xr:uid="{00000000-0005-0000-0000-0000DE3A0000}"/>
    <cellStyle name="Normal 26 53" xfId="8482" xr:uid="{00000000-0005-0000-0000-0000DF3A0000}"/>
    <cellStyle name="Normal 26 53 2" xfId="20572" xr:uid="{00000000-0005-0000-0000-0000E03A0000}"/>
    <cellStyle name="Normal 26 54" xfId="8483" xr:uid="{00000000-0005-0000-0000-0000E13A0000}"/>
    <cellStyle name="Normal 26 54 2" xfId="20573" xr:uid="{00000000-0005-0000-0000-0000E23A0000}"/>
    <cellStyle name="Normal 26 55" xfId="8484" xr:uid="{00000000-0005-0000-0000-0000E33A0000}"/>
    <cellStyle name="Normal 26 55 2" xfId="20574" xr:uid="{00000000-0005-0000-0000-0000E43A0000}"/>
    <cellStyle name="Normal 26 56" xfId="8485" xr:uid="{00000000-0005-0000-0000-0000E53A0000}"/>
    <cellStyle name="Normal 26 56 2" xfId="20575" xr:uid="{00000000-0005-0000-0000-0000E63A0000}"/>
    <cellStyle name="Normal 26 57" xfId="8486" xr:uid="{00000000-0005-0000-0000-0000E73A0000}"/>
    <cellStyle name="Normal 26 57 2" xfId="20576" xr:uid="{00000000-0005-0000-0000-0000E83A0000}"/>
    <cellStyle name="Normal 26 58" xfId="8487" xr:uid="{00000000-0005-0000-0000-0000E93A0000}"/>
    <cellStyle name="Normal 26 58 2" xfId="20577" xr:uid="{00000000-0005-0000-0000-0000EA3A0000}"/>
    <cellStyle name="Normal 26 59" xfId="8488" xr:uid="{00000000-0005-0000-0000-0000EB3A0000}"/>
    <cellStyle name="Normal 26 59 2" xfId="20578" xr:uid="{00000000-0005-0000-0000-0000EC3A0000}"/>
    <cellStyle name="Normal 26 6" xfId="8489" xr:uid="{00000000-0005-0000-0000-0000ED3A0000}"/>
    <cellStyle name="Normal 26 6 2" xfId="20579" xr:uid="{00000000-0005-0000-0000-0000EE3A0000}"/>
    <cellStyle name="Normal 26 60" xfId="8490" xr:uid="{00000000-0005-0000-0000-0000EF3A0000}"/>
    <cellStyle name="Normal 26 60 2" xfId="20580" xr:uid="{00000000-0005-0000-0000-0000F03A0000}"/>
    <cellStyle name="Normal 26 61" xfId="8491" xr:uid="{00000000-0005-0000-0000-0000F13A0000}"/>
    <cellStyle name="Normal 26 61 2" xfId="20581" xr:uid="{00000000-0005-0000-0000-0000F23A0000}"/>
    <cellStyle name="Normal 26 62" xfId="8492" xr:uid="{00000000-0005-0000-0000-0000F33A0000}"/>
    <cellStyle name="Normal 26 62 2" xfId="20582" xr:uid="{00000000-0005-0000-0000-0000F43A0000}"/>
    <cellStyle name="Normal 26 63" xfId="8493" xr:uid="{00000000-0005-0000-0000-0000F53A0000}"/>
    <cellStyle name="Normal 26 63 2" xfId="20583" xr:uid="{00000000-0005-0000-0000-0000F63A0000}"/>
    <cellStyle name="Normal 26 64" xfId="8494" xr:uid="{00000000-0005-0000-0000-0000F73A0000}"/>
    <cellStyle name="Normal 26 64 2" xfId="20584" xr:uid="{00000000-0005-0000-0000-0000F83A0000}"/>
    <cellStyle name="Normal 26 65" xfId="8495" xr:uid="{00000000-0005-0000-0000-0000F93A0000}"/>
    <cellStyle name="Normal 26 65 2" xfId="20585" xr:uid="{00000000-0005-0000-0000-0000FA3A0000}"/>
    <cellStyle name="Normal 26 66" xfId="8496" xr:uid="{00000000-0005-0000-0000-0000FB3A0000}"/>
    <cellStyle name="Normal 26 66 2" xfId="20586" xr:uid="{00000000-0005-0000-0000-0000FC3A0000}"/>
    <cellStyle name="Normal 26 67" xfId="8497" xr:uid="{00000000-0005-0000-0000-0000FD3A0000}"/>
    <cellStyle name="Normal 26 67 2" xfId="20587" xr:uid="{00000000-0005-0000-0000-0000FE3A0000}"/>
    <cellStyle name="Normal 26 68" xfId="8498" xr:uid="{00000000-0005-0000-0000-0000FF3A0000}"/>
    <cellStyle name="Normal 26 68 2" xfId="20588" xr:uid="{00000000-0005-0000-0000-0000003B0000}"/>
    <cellStyle name="Normal 26 69" xfId="8499" xr:uid="{00000000-0005-0000-0000-0000013B0000}"/>
    <cellStyle name="Normal 26 69 2" xfId="20589" xr:uid="{00000000-0005-0000-0000-0000023B0000}"/>
    <cellStyle name="Normal 26 7" xfId="8500" xr:uid="{00000000-0005-0000-0000-0000033B0000}"/>
    <cellStyle name="Normal 26 7 2" xfId="20590" xr:uid="{00000000-0005-0000-0000-0000043B0000}"/>
    <cellStyle name="Normal 26 70" xfId="8501" xr:uid="{00000000-0005-0000-0000-0000053B0000}"/>
    <cellStyle name="Normal 26 70 2" xfId="20591" xr:uid="{00000000-0005-0000-0000-0000063B0000}"/>
    <cellStyle name="Normal 26 71" xfId="8502" xr:uid="{00000000-0005-0000-0000-0000073B0000}"/>
    <cellStyle name="Normal 26 71 2" xfId="20592" xr:uid="{00000000-0005-0000-0000-0000083B0000}"/>
    <cellStyle name="Normal 26 72" xfId="8503" xr:uid="{00000000-0005-0000-0000-0000093B0000}"/>
    <cellStyle name="Normal 26 72 2" xfId="20593" xr:uid="{00000000-0005-0000-0000-00000A3B0000}"/>
    <cellStyle name="Normal 26 73" xfId="8504" xr:uid="{00000000-0005-0000-0000-00000B3B0000}"/>
    <cellStyle name="Normal 26 73 2" xfId="20594" xr:uid="{00000000-0005-0000-0000-00000C3B0000}"/>
    <cellStyle name="Normal 26 74" xfId="8505" xr:uid="{00000000-0005-0000-0000-00000D3B0000}"/>
    <cellStyle name="Normal 26 74 2" xfId="20595" xr:uid="{00000000-0005-0000-0000-00000E3B0000}"/>
    <cellStyle name="Normal 26 75" xfId="8506" xr:uid="{00000000-0005-0000-0000-00000F3B0000}"/>
    <cellStyle name="Normal 26 75 2" xfId="20596" xr:uid="{00000000-0005-0000-0000-0000103B0000}"/>
    <cellStyle name="Normal 26 76" xfId="8507" xr:uid="{00000000-0005-0000-0000-0000113B0000}"/>
    <cellStyle name="Normal 26 76 2" xfId="20597" xr:uid="{00000000-0005-0000-0000-0000123B0000}"/>
    <cellStyle name="Normal 26 77" xfId="8508" xr:uid="{00000000-0005-0000-0000-0000133B0000}"/>
    <cellStyle name="Normal 26 77 2" xfId="20598" xr:uid="{00000000-0005-0000-0000-0000143B0000}"/>
    <cellStyle name="Normal 26 78" xfId="8509" xr:uid="{00000000-0005-0000-0000-0000153B0000}"/>
    <cellStyle name="Normal 26 78 2" xfId="20599" xr:uid="{00000000-0005-0000-0000-0000163B0000}"/>
    <cellStyle name="Normal 26 79" xfId="8510" xr:uid="{00000000-0005-0000-0000-0000173B0000}"/>
    <cellStyle name="Normal 26 79 2" xfId="20600" xr:uid="{00000000-0005-0000-0000-0000183B0000}"/>
    <cellStyle name="Normal 26 8" xfId="8511" xr:uid="{00000000-0005-0000-0000-0000193B0000}"/>
    <cellStyle name="Normal 26 8 2" xfId="20601" xr:uid="{00000000-0005-0000-0000-00001A3B0000}"/>
    <cellStyle name="Normal 26 80" xfId="8512" xr:uid="{00000000-0005-0000-0000-00001B3B0000}"/>
    <cellStyle name="Normal 26 80 2" xfId="20602" xr:uid="{00000000-0005-0000-0000-00001C3B0000}"/>
    <cellStyle name="Normal 26 81" xfId="8513" xr:uid="{00000000-0005-0000-0000-00001D3B0000}"/>
    <cellStyle name="Normal 26 81 2" xfId="20603" xr:uid="{00000000-0005-0000-0000-00001E3B0000}"/>
    <cellStyle name="Normal 26 82" xfId="8514" xr:uid="{00000000-0005-0000-0000-00001F3B0000}"/>
    <cellStyle name="Normal 26 82 2" xfId="20604" xr:uid="{00000000-0005-0000-0000-0000203B0000}"/>
    <cellStyle name="Normal 26 83" xfId="20290" xr:uid="{00000000-0005-0000-0000-0000213B0000}"/>
    <cellStyle name="Normal 26 9" xfId="8515" xr:uid="{00000000-0005-0000-0000-0000223B0000}"/>
    <cellStyle name="Normal 26 9 2" xfId="20605" xr:uid="{00000000-0005-0000-0000-0000233B0000}"/>
    <cellStyle name="Normal 27" xfId="90" xr:uid="{00000000-0005-0000-0000-0000243B0000}"/>
    <cellStyle name="Normal 27 2" xfId="786" xr:uid="{00000000-0005-0000-0000-0000253B0000}"/>
    <cellStyle name="Normal 27 3" xfId="715" xr:uid="{00000000-0005-0000-0000-0000263B0000}"/>
    <cellStyle name="Normal 27 4" xfId="313" xr:uid="{00000000-0005-0000-0000-0000273B0000}"/>
    <cellStyle name="Normal 28" xfId="63" xr:uid="{00000000-0005-0000-0000-0000283B0000}"/>
    <cellStyle name="Normal 28 2" xfId="716" xr:uid="{00000000-0005-0000-0000-0000293B0000}"/>
    <cellStyle name="Normal 28 3" xfId="314" xr:uid="{00000000-0005-0000-0000-00002A3B0000}"/>
    <cellStyle name="Normal 28 4" xfId="91" xr:uid="{00000000-0005-0000-0000-00002B3B0000}"/>
    <cellStyle name="Normal 29" xfId="60" xr:uid="{00000000-0005-0000-0000-00002C3B0000}"/>
    <cellStyle name="Normal 29 2" xfId="787" xr:uid="{00000000-0005-0000-0000-00002D3B0000}"/>
    <cellStyle name="Normal 29 3" xfId="717" xr:uid="{00000000-0005-0000-0000-00002E3B0000}"/>
    <cellStyle name="Normal 29 4" xfId="315" xr:uid="{00000000-0005-0000-0000-00002F3B0000}"/>
    <cellStyle name="Normal 29 5" xfId="92" xr:uid="{00000000-0005-0000-0000-0000303B0000}"/>
    <cellStyle name="Normal 3" xfId="2" xr:uid="{00000000-0005-0000-0000-0000313B0000}"/>
    <cellStyle name="Normal 3 10" xfId="718" xr:uid="{00000000-0005-0000-0000-0000323B0000}"/>
    <cellStyle name="Normal 3 10 2" xfId="3119" xr:uid="{00000000-0005-0000-0000-0000333B0000}"/>
    <cellStyle name="Normal 3 10 2 2" xfId="14970" xr:uid="{00000000-0005-0000-0000-0000343B0000}"/>
    <cellStyle name="Normal 3 10 3" xfId="3120" xr:uid="{00000000-0005-0000-0000-0000353B0000}"/>
    <cellStyle name="Normal 3 10 3 2" xfId="14971" xr:uid="{00000000-0005-0000-0000-0000363B0000}"/>
    <cellStyle name="Normal 3 10 4" xfId="15300" xr:uid="{00000000-0005-0000-0000-0000373B0000}"/>
    <cellStyle name="Normal 3 10 5" xfId="3118" xr:uid="{00000000-0005-0000-0000-0000383B0000}"/>
    <cellStyle name="Normal 3 11" xfId="3121" xr:uid="{00000000-0005-0000-0000-0000393B0000}"/>
    <cellStyle name="Normal 3 11 2" xfId="3122" xr:uid="{00000000-0005-0000-0000-00003A3B0000}"/>
    <cellStyle name="Normal 3 11 2 2" xfId="14972" xr:uid="{00000000-0005-0000-0000-00003B3B0000}"/>
    <cellStyle name="Normal 3 11 3" xfId="3123" xr:uid="{00000000-0005-0000-0000-00003C3B0000}"/>
    <cellStyle name="Normal 3 11 3 2" xfId="14973" xr:uid="{00000000-0005-0000-0000-00003D3B0000}"/>
    <cellStyle name="Normal 3 11 4" xfId="15301" xr:uid="{00000000-0005-0000-0000-00003E3B0000}"/>
    <cellStyle name="Normal 3 11 5" xfId="31348" xr:uid="{00000000-0005-0000-0000-00003F3B0000}"/>
    <cellStyle name="Normal 3 12" xfId="3124" xr:uid="{00000000-0005-0000-0000-0000403B0000}"/>
    <cellStyle name="Normal 3 12 2" xfId="14974" xr:uid="{00000000-0005-0000-0000-0000413B0000}"/>
    <cellStyle name="Normal 3 13" xfId="3125" xr:uid="{00000000-0005-0000-0000-0000423B0000}"/>
    <cellStyle name="Normal 3 13 2" xfId="14975" xr:uid="{00000000-0005-0000-0000-0000433B0000}"/>
    <cellStyle name="Normal 3 14" xfId="3126" xr:uid="{00000000-0005-0000-0000-0000443B0000}"/>
    <cellStyle name="Normal 3 14 2" xfId="15302" xr:uid="{00000000-0005-0000-0000-0000453B0000}"/>
    <cellStyle name="Normal 3 15" xfId="3127" xr:uid="{00000000-0005-0000-0000-0000463B0000}"/>
    <cellStyle name="Normal 3 15 2" xfId="14976" xr:uid="{00000000-0005-0000-0000-0000473B0000}"/>
    <cellStyle name="Normal 3 16" xfId="3128" xr:uid="{00000000-0005-0000-0000-0000483B0000}"/>
    <cellStyle name="Normal 3 16 2" xfId="14977" xr:uid="{00000000-0005-0000-0000-0000493B0000}"/>
    <cellStyle name="Normal 3 17" xfId="8516" xr:uid="{00000000-0005-0000-0000-00004A3B0000}"/>
    <cellStyle name="Normal 3 17 2" xfId="20606" xr:uid="{00000000-0005-0000-0000-00004B3B0000}"/>
    <cellStyle name="Normal 3 18" xfId="8517" xr:uid="{00000000-0005-0000-0000-00004C3B0000}"/>
    <cellStyle name="Normal 3 18 2" xfId="20607" xr:uid="{00000000-0005-0000-0000-00004D3B0000}"/>
    <cellStyle name="Normal 3 19" xfId="8518" xr:uid="{00000000-0005-0000-0000-00004E3B0000}"/>
    <cellStyle name="Normal 3 19 2" xfId="20608" xr:uid="{00000000-0005-0000-0000-00004F3B0000}"/>
    <cellStyle name="Normal 3 2" xfId="54" xr:uid="{00000000-0005-0000-0000-0000503B0000}"/>
    <cellStyle name="Normal 3 2 10" xfId="3129" xr:uid="{00000000-0005-0000-0000-0000513B0000}"/>
    <cellStyle name="Normal 3 2 10 2" xfId="15303" xr:uid="{00000000-0005-0000-0000-0000523B0000}"/>
    <cellStyle name="Normal 3 2 11" xfId="3130" xr:uid="{00000000-0005-0000-0000-0000533B0000}"/>
    <cellStyle name="Normal 3 2 11 2" xfId="14978" xr:uid="{00000000-0005-0000-0000-0000543B0000}"/>
    <cellStyle name="Normal 3 2 12" xfId="8519" xr:uid="{00000000-0005-0000-0000-0000553B0000}"/>
    <cellStyle name="Normal 3 2 12 2" xfId="20609" xr:uid="{00000000-0005-0000-0000-0000563B0000}"/>
    <cellStyle name="Normal 3 2 13" xfId="8520" xr:uid="{00000000-0005-0000-0000-0000573B0000}"/>
    <cellStyle name="Normal 3 2 13 2" xfId="20610" xr:uid="{00000000-0005-0000-0000-0000583B0000}"/>
    <cellStyle name="Normal 3 2 14" xfId="8521" xr:uid="{00000000-0005-0000-0000-0000593B0000}"/>
    <cellStyle name="Normal 3 2 14 2" xfId="20611" xr:uid="{00000000-0005-0000-0000-00005A3B0000}"/>
    <cellStyle name="Normal 3 2 15" xfId="8522" xr:uid="{00000000-0005-0000-0000-00005B3B0000}"/>
    <cellStyle name="Normal 3 2 15 2" xfId="20612" xr:uid="{00000000-0005-0000-0000-00005C3B0000}"/>
    <cellStyle name="Normal 3 2 16" xfId="8523" xr:uid="{00000000-0005-0000-0000-00005D3B0000}"/>
    <cellStyle name="Normal 3 2 16 2" xfId="20613" xr:uid="{00000000-0005-0000-0000-00005E3B0000}"/>
    <cellStyle name="Normal 3 2 17" xfId="8524" xr:uid="{00000000-0005-0000-0000-00005F3B0000}"/>
    <cellStyle name="Normal 3 2 17 2" xfId="20614" xr:uid="{00000000-0005-0000-0000-0000603B0000}"/>
    <cellStyle name="Normal 3 2 18" xfId="8525" xr:uid="{00000000-0005-0000-0000-0000613B0000}"/>
    <cellStyle name="Normal 3 2 18 2" xfId="20615" xr:uid="{00000000-0005-0000-0000-0000623B0000}"/>
    <cellStyle name="Normal 3 2 19" xfId="8526" xr:uid="{00000000-0005-0000-0000-0000633B0000}"/>
    <cellStyle name="Normal 3 2 19 2" xfId="20616" xr:uid="{00000000-0005-0000-0000-0000643B0000}"/>
    <cellStyle name="Normal 3 2 2" xfId="3131" xr:uid="{00000000-0005-0000-0000-0000653B0000}"/>
    <cellStyle name="Normal 3 2 2 2" xfId="3132" xr:uid="{00000000-0005-0000-0000-0000663B0000}"/>
    <cellStyle name="Normal 3 2 2 2 2" xfId="15304" xr:uid="{00000000-0005-0000-0000-0000673B0000}"/>
    <cellStyle name="Normal 3 2 2 3" xfId="3133" xr:uid="{00000000-0005-0000-0000-0000683B0000}"/>
    <cellStyle name="Normal 3 2 2 3 2" xfId="15305" xr:uid="{00000000-0005-0000-0000-0000693B0000}"/>
    <cellStyle name="Normal 3 2 2 4" xfId="14979" xr:uid="{00000000-0005-0000-0000-00006A3B0000}"/>
    <cellStyle name="Normal 3 2 2 5" xfId="31350" xr:uid="{00000000-0005-0000-0000-00006B3B0000}"/>
    <cellStyle name="Normal 3 2 20" xfId="8527" xr:uid="{00000000-0005-0000-0000-00006C3B0000}"/>
    <cellStyle name="Normal 3 2 20 2" xfId="20617" xr:uid="{00000000-0005-0000-0000-00006D3B0000}"/>
    <cellStyle name="Normal 3 2 21" xfId="8528" xr:uid="{00000000-0005-0000-0000-00006E3B0000}"/>
    <cellStyle name="Normal 3 2 21 2" xfId="20618" xr:uid="{00000000-0005-0000-0000-00006F3B0000}"/>
    <cellStyle name="Normal 3 2 22" xfId="8529" xr:uid="{00000000-0005-0000-0000-0000703B0000}"/>
    <cellStyle name="Normal 3 2 22 2" xfId="20619" xr:uid="{00000000-0005-0000-0000-0000713B0000}"/>
    <cellStyle name="Normal 3 2 23" xfId="8530" xr:uid="{00000000-0005-0000-0000-0000723B0000}"/>
    <cellStyle name="Normal 3 2 23 2" xfId="20620" xr:uid="{00000000-0005-0000-0000-0000733B0000}"/>
    <cellStyle name="Normal 3 2 24" xfId="8531" xr:uid="{00000000-0005-0000-0000-0000743B0000}"/>
    <cellStyle name="Normal 3 2 24 2" xfId="20621" xr:uid="{00000000-0005-0000-0000-0000753B0000}"/>
    <cellStyle name="Normal 3 2 25" xfId="8532" xr:uid="{00000000-0005-0000-0000-0000763B0000}"/>
    <cellStyle name="Normal 3 2 25 2" xfId="20622" xr:uid="{00000000-0005-0000-0000-0000773B0000}"/>
    <cellStyle name="Normal 3 2 26" xfId="8533" xr:uid="{00000000-0005-0000-0000-0000783B0000}"/>
    <cellStyle name="Normal 3 2 26 2" xfId="20623" xr:uid="{00000000-0005-0000-0000-0000793B0000}"/>
    <cellStyle name="Normal 3 2 27" xfId="8534" xr:uid="{00000000-0005-0000-0000-00007A3B0000}"/>
    <cellStyle name="Normal 3 2 27 2" xfId="20624" xr:uid="{00000000-0005-0000-0000-00007B3B0000}"/>
    <cellStyle name="Normal 3 2 28" xfId="8535" xr:uid="{00000000-0005-0000-0000-00007C3B0000}"/>
    <cellStyle name="Normal 3 2 28 2" xfId="20625" xr:uid="{00000000-0005-0000-0000-00007D3B0000}"/>
    <cellStyle name="Normal 3 2 29" xfId="8536" xr:uid="{00000000-0005-0000-0000-00007E3B0000}"/>
    <cellStyle name="Normal 3 2 29 2" xfId="20626" xr:uid="{00000000-0005-0000-0000-00007F3B0000}"/>
    <cellStyle name="Normal 3 2 3" xfId="3134" xr:uid="{00000000-0005-0000-0000-0000803B0000}"/>
    <cellStyle name="Normal 3 2 3 2" xfId="15306" xr:uid="{00000000-0005-0000-0000-0000813B0000}"/>
    <cellStyle name="Normal 3 2 30" xfId="8537" xr:uid="{00000000-0005-0000-0000-0000823B0000}"/>
    <cellStyle name="Normal 3 2 30 2" xfId="20627" xr:uid="{00000000-0005-0000-0000-0000833B0000}"/>
    <cellStyle name="Normal 3 2 31" xfId="8538" xr:uid="{00000000-0005-0000-0000-0000843B0000}"/>
    <cellStyle name="Normal 3 2 31 2" xfId="20628" xr:uid="{00000000-0005-0000-0000-0000853B0000}"/>
    <cellStyle name="Normal 3 2 32" xfId="8539" xr:uid="{00000000-0005-0000-0000-0000863B0000}"/>
    <cellStyle name="Normal 3 2 32 2" xfId="20629" xr:uid="{00000000-0005-0000-0000-0000873B0000}"/>
    <cellStyle name="Normal 3 2 33" xfId="8540" xr:uid="{00000000-0005-0000-0000-0000883B0000}"/>
    <cellStyle name="Normal 3 2 33 2" xfId="20630" xr:uid="{00000000-0005-0000-0000-0000893B0000}"/>
    <cellStyle name="Normal 3 2 34" xfId="8541" xr:uid="{00000000-0005-0000-0000-00008A3B0000}"/>
    <cellStyle name="Normal 3 2 34 2" xfId="20631" xr:uid="{00000000-0005-0000-0000-00008B3B0000}"/>
    <cellStyle name="Normal 3 2 35" xfId="8542" xr:uid="{00000000-0005-0000-0000-00008C3B0000}"/>
    <cellStyle name="Normal 3 2 35 2" xfId="20632" xr:uid="{00000000-0005-0000-0000-00008D3B0000}"/>
    <cellStyle name="Normal 3 2 36" xfId="8543" xr:uid="{00000000-0005-0000-0000-00008E3B0000}"/>
    <cellStyle name="Normal 3 2 36 2" xfId="20633" xr:uid="{00000000-0005-0000-0000-00008F3B0000}"/>
    <cellStyle name="Normal 3 2 37" xfId="8544" xr:uid="{00000000-0005-0000-0000-0000903B0000}"/>
    <cellStyle name="Normal 3 2 37 2" xfId="20634" xr:uid="{00000000-0005-0000-0000-0000913B0000}"/>
    <cellStyle name="Normal 3 2 38" xfId="8545" xr:uid="{00000000-0005-0000-0000-0000923B0000}"/>
    <cellStyle name="Normal 3 2 38 2" xfId="20635" xr:uid="{00000000-0005-0000-0000-0000933B0000}"/>
    <cellStyle name="Normal 3 2 39" xfId="8546" xr:uid="{00000000-0005-0000-0000-0000943B0000}"/>
    <cellStyle name="Normal 3 2 39 2" xfId="20636" xr:uid="{00000000-0005-0000-0000-0000953B0000}"/>
    <cellStyle name="Normal 3 2 4" xfId="3135" xr:uid="{00000000-0005-0000-0000-0000963B0000}"/>
    <cellStyle name="Normal 3 2 4 2" xfId="15307" xr:uid="{00000000-0005-0000-0000-0000973B0000}"/>
    <cellStyle name="Normal 3 2 40" xfId="8547" xr:uid="{00000000-0005-0000-0000-0000983B0000}"/>
    <cellStyle name="Normal 3 2 40 2" xfId="20637" xr:uid="{00000000-0005-0000-0000-0000993B0000}"/>
    <cellStyle name="Normal 3 2 41" xfId="8548" xr:uid="{00000000-0005-0000-0000-00009A3B0000}"/>
    <cellStyle name="Normal 3 2 41 2" xfId="20638" xr:uid="{00000000-0005-0000-0000-00009B3B0000}"/>
    <cellStyle name="Normal 3 2 42" xfId="8549" xr:uid="{00000000-0005-0000-0000-00009C3B0000}"/>
    <cellStyle name="Normal 3 2 42 2" xfId="20639" xr:uid="{00000000-0005-0000-0000-00009D3B0000}"/>
    <cellStyle name="Normal 3 2 43" xfId="8550" xr:uid="{00000000-0005-0000-0000-00009E3B0000}"/>
    <cellStyle name="Normal 3 2 43 2" xfId="20640" xr:uid="{00000000-0005-0000-0000-00009F3B0000}"/>
    <cellStyle name="Normal 3 2 44" xfId="8551" xr:uid="{00000000-0005-0000-0000-0000A03B0000}"/>
    <cellStyle name="Normal 3 2 44 2" xfId="20641" xr:uid="{00000000-0005-0000-0000-0000A13B0000}"/>
    <cellStyle name="Normal 3 2 45" xfId="8552" xr:uid="{00000000-0005-0000-0000-0000A23B0000}"/>
    <cellStyle name="Normal 3 2 45 2" xfId="20642" xr:uid="{00000000-0005-0000-0000-0000A33B0000}"/>
    <cellStyle name="Normal 3 2 46" xfId="8553" xr:uid="{00000000-0005-0000-0000-0000A43B0000}"/>
    <cellStyle name="Normal 3 2 46 2" xfId="20643" xr:uid="{00000000-0005-0000-0000-0000A53B0000}"/>
    <cellStyle name="Normal 3 2 47" xfId="8554" xr:uid="{00000000-0005-0000-0000-0000A63B0000}"/>
    <cellStyle name="Normal 3 2 47 2" xfId="20644" xr:uid="{00000000-0005-0000-0000-0000A73B0000}"/>
    <cellStyle name="Normal 3 2 48" xfId="8555" xr:uid="{00000000-0005-0000-0000-0000A83B0000}"/>
    <cellStyle name="Normal 3 2 48 2" xfId="20645" xr:uid="{00000000-0005-0000-0000-0000A93B0000}"/>
    <cellStyle name="Normal 3 2 49" xfId="8556" xr:uid="{00000000-0005-0000-0000-0000AA3B0000}"/>
    <cellStyle name="Normal 3 2 49 2" xfId="20646" xr:uid="{00000000-0005-0000-0000-0000AB3B0000}"/>
    <cellStyle name="Normal 3 2 5" xfId="3136" xr:uid="{00000000-0005-0000-0000-0000AC3B0000}"/>
    <cellStyle name="Normal 3 2 5 2" xfId="15308" xr:uid="{00000000-0005-0000-0000-0000AD3B0000}"/>
    <cellStyle name="Normal 3 2 50" xfId="8557" xr:uid="{00000000-0005-0000-0000-0000AE3B0000}"/>
    <cellStyle name="Normal 3 2 50 2" xfId="20647" xr:uid="{00000000-0005-0000-0000-0000AF3B0000}"/>
    <cellStyle name="Normal 3 2 51" xfId="8558" xr:uid="{00000000-0005-0000-0000-0000B03B0000}"/>
    <cellStyle name="Normal 3 2 51 2" xfId="20648" xr:uid="{00000000-0005-0000-0000-0000B13B0000}"/>
    <cellStyle name="Normal 3 2 52" xfId="8559" xr:uid="{00000000-0005-0000-0000-0000B23B0000}"/>
    <cellStyle name="Normal 3 2 52 2" xfId="20649" xr:uid="{00000000-0005-0000-0000-0000B33B0000}"/>
    <cellStyle name="Normal 3 2 53" xfId="8560" xr:uid="{00000000-0005-0000-0000-0000B43B0000}"/>
    <cellStyle name="Normal 3 2 53 2" xfId="20650" xr:uid="{00000000-0005-0000-0000-0000B53B0000}"/>
    <cellStyle name="Normal 3 2 54" xfId="8561" xr:uid="{00000000-0005-0000-0000-0000B63B0000}"/>
    <cellStyle name="Normal 3 2 54 2" xfId="20651" xr:uid="{00000000-0005-0000-0000-0000B73B0000}"/>
    <cellStyle name="Normal 3 2 55" xfId="8562" xr:uid="{00000000-0005-0000-0000-0000B83B0000}"/>
    <cellStyle name="Normal 3 2 55 2" xfId="20652" xr:uid="{00000000-0005-0000-0000-0000B93B0000}"/>
    <cellStyle name="Normal 3 2 56" xfId="8563" xr:uid="{00000000-0005-0000-0000-0000BA3B0000}"/>
    <cellStyle name="Normal 3 2 56 2" xfId="20653" xr:uid="{00000000-0005-0000-0000-0000BB3B0000}"/>
    <cellStyle name="Normal 3 2 57" xfId="8564" xr:uid="{00000000-0005-0000-0000-0000BC3B0000}"/>
    <cellStyle name="Normal 3 2 57 2" xfId="20654" xr:uid="{00000000-0005-0000-0000-0000BD3B0000}"/>
    <cellStyle name="Normal 3 2 58" xfId="8565" xr:uid="{00000000-0005-0000-0000-0000BE3B0000}"/>
    <cellStyle name="Normal 3 2 58 2" xfId="20655" xr:uid="{00000000-0005-0000-0000-0000BF3B0000}"/>
    <cellStyle name="Normal 3 2 59" xfId="8566" xr:uid="{00000000-0005-0000-0000-0000C03B0000}"/>
    <cellStyle name="Normal 3 2 59 2" xfId="20656" xr:uid="{00000000-0005-0000-0000-0000C13B0000}"/>
    <cellStyle name="Normal 3 2 6" xfId="3137" xr:uid="{00000000-0005-0000-0000-0000C23B0000}"/>
    <cellStyle name="Normal 3 2 6 2" xfId="15309" xr:uid="{00000000-0005-0000-0000-0000C33B0000}"/>
    <cellStyle name="Normal 3 2 60" xfId="8567" xr:uid="{00000000-0005-0000-0000-0000C43B0000}"/>
    <cellStyle name="Normal 3 2 60 2" xfId="20657" xr:uid="{00000000-0005-0000-0000-0000C53B0000}"/>
    <cellStyle name="Normal 3 2 61" xfId="8568" xr:uid="{00000000-0005-0000-0000-0000C63B0000}"/>
    <cellStyle name="Normal 3 2 61 2" xfId="20658" xr:uid="{00000000-0005-0000-0000-0000C73B0000}"/>
    <cellStyle name="Normal 3 2 62" xfId="8569" xr:uid="{00000000-0005-0000-0000-0000C83B0000}"/>
    <cellStyle name="Normal 3 2 62 2" xfId="20659" xr:uid="{00000000-0005-0000-0000-0000C93B0000}"/>
    <cellStyle name="Normal 3 2 63" xfId="8570" xr:uid="{00000000-0005-0000-0000-0000CA3B0000}"/>
    <cellStyle name="Normal 3 2 63 2" xfId="20660" xr:uid="{00000000-0005-0000-0000-0000CB3B0000}"/>
    <cellStyle name="Normal 3 2 64" xfId="8571" xr:uid="{00000000-0005-0000-0000-0000CC3B0000}"/>
    <cellStyle name="Normal 3 2 64 2" xfId="20661" xr:uid="{00000000-0005-0000-0000-0000CD3B0000}"/>
    <cellStyle name="Normal 3 2 65" xfId="8572" xr:uid="{00000000-0005-0000-0000-0000CE3B0000}"/>
    <cellStyle name="Normal 3 2 65 2" xfId="20662" xr:uid="{00000000-0005-0000-0000-0000CF3B0000}"/>
    <cellStyle name="Normal 3 2 66" xfId="8573" xr:uid="{00000000-0005-0000-0000-0000D03B0000}"/>
    <cellStyle name="Normal 3 2 66 2" xfId="20663" xr:uid="{00000000-0005-0000-0000-0000D13B0000}"/>
    <cellStyle name="Normal 3 2 67" xfId="8574" xr:uid="{00000000-0005-0000-0000-0000D23B0000}"/>
    <cellStyle name="Normal 3 2 67 2" xfId="20664" xr:uid="{00000000-0005-0000-0000-0000D33B0000}"/>
    <cellStyle name="Normal 3 2 68" xfId="8575" xr:uid="{00000000-0005-0000-0000-0000D43B0000}"/>
    <cellStyle name="Normal 3 2 68 2" xfId="20665" xr:uid="{00000000-0005-0000-0000-0000D53B0000}"/>
    <cellStyle name="Normal 3 2 69" xfId="8576" xr:uid="{00000000-0005-0000-0000-0000D63B0000}"/>
    <cellStyle name="Normal 3 2 69 2" xfId="20666" xr:uid="{00000000-0005-0000-0000-0000D73B0000}"/>
    <cellStyle name="Normal 3 2 7" xfId="3138" xr:uid="{00000000-0005-0000-0000-0000D83B0000}"/>
    <cellStyle name="Normal 3 2 7 2" xfId="15310" xr:uid="{00000000-0005-0000-0000-0000D93B0000}"/>
    <cellStyle name="Normal 3 2 70" xfId="8577" xr:uid="{00000000-0005-0000-0000-0000DA3B0000}"/>
    <cellStyle name="Normal 3 2 70 2" xfId="20667" xr:uid="{00000000-0005-0000-0000-0000DB3B0000}"/>
    <cellStyle name="Normal 3 2 71" xfId="8578" xr:uid="{00000000-0005-0000-0000-0000DC3B0000}"/>
    <cellStyle name="Normal 3 2 71 2" xfId="20668" xr:uid="{00000000-0005-0000-0000-0000DD3B0000}"/>
    <cellStyle name="Normal 3 2 72" xfId="8579" xr:uid="{00000000-0005-0000-0000-0000DE3B0000}"/>
    <cellStyle name="Normal 3 2 72 2" xfId="20669" xr:uid="{00000000-0005-0000-0000-0000DF3B0000}"/>
    <cellStyle name="Normal 3 2 73" xfId="8580" xr:uid="{00000000-0005-0000-0000-0000E03B0000}"/>
    <cellStyle name="Normal 3 2 73 2" xfId="20670" xr:uid="{00000000-0005-0000-0000-0000E13B0000}"/>
    <cellStyle name="Normal 3 2 74" xfId="8581" xr:uid="{00000000-0005-0000-0000-0000E23B0000}"/>
    <cellStyle name="Normal 3 2 74 2" xfId="20671" xr:uid="{00000000-0005-0000-0000-0000E33B0000}"/>
    <cellStyle name="Normal 3 2 75" xfId="8582" xr:uid="{00000000-0005-0000-0000-0000E43B0000}"/>
    <cellStyle name="Normal 3 2 75 2" xfId="20672" xr:uid="{00000000-0005-0000-0000-0000E53B0000}"/>
    <cellStyle name="Normal 3 2 76" xfId="8583" xr:uid="{00000000-0005-0000-0000-0000E63B0000}"/>
    <cellStyle name="Normal 3 2 76 2" xfId="20673" xr:uid="{00000000-0005-0000-0000-0000E73B0000}"/>
    <cellStyle name="Normal 3 2 77" xfId="8584" xr:uid="{00000000-0005-0000-0000-0000E83B0000}"/>
    <cellStyle name="Normal 3 2 77 2" xfId="20674" xr:uid="{00000000-0005-0000-0000-0000E93B0000}"/>
    <cellStyle name="Normal 3 2 78" xfId="8585" xr:uid="{00000000-0005-0000-0000-0000EA3B0000}"/>
    <cellStyle name="Normal 3 2 78 2" xfId="20675" xr:uid="{00000000-0005-0000-0000-0000EB3B0000}"/>
    <cellStyle name="Normal 3 2 79" xfId="8586" xr:uid="{00000000-0005-0000-0000-0000EC3B0000}"/>
    <cellStyle name="Normal 3 2 79 2" xfId="20676" xr:uid="{00000000-0005-0000-0000-0000ED3B0000}"/>
    <cellStyle name="Normal 3 2 8" xfId="3139" xr:uid="{00000000-0005-0000-0000-0000EE3B0000}"/>
    <cellStyle name="Normal 3 2 8 2" xfId="15311" xr:uid="{00000000-0005-0000-0000-0000EF3B0000}"/>
    <cellStyle name="Normal 3 2 80" xfId="15049" xr:uid="{00000000-0005-0000-0000-0000F03B0000}"/>
    <cellStyle name="Normal 3 2 81" xfId="27416" xr:uid="{00000000-0005-0000-0000-0000F13B0000}"/>
    <cellStyle name="Normal 3 2 82" xfId="27409" xr:uid="{00000000-0005-0000-0000-0000F23B0000}"/>
    <cellStyle name="Normal 3 2 9" xfId="3140" xr:uid="{00000000-0005-0000-0000-0000F33B0000}"/>
    <cellStyle name="Normal 3 2 9 2" xfId="15312" xr:uid="{00000000-0005-0000-0000-0000F43B0000}"/>
    <cellStyle name="Normal 3 20" xfId="8587" xr:uid="{00000000-0005-0000-0000-0000F53B0000}"/>
    <cellStyle name="Normal 3 20 2" xfId="20677" xr:uid="{00000000-0005-0000-0000-0000F63B0000}"/>
    <cellStyle name="Normal 3 21" xfId="8588" xr:uid="{00000000-0005-0000-0000-0000F73B0000}"/>
    <cellStyle name="Normal 3 21 2" xfId="20678" xr:uid="{00000000-0005-0000-0000-0000F83B0000}"/>
    <cellStyle name="Normal 3 22" xfId="8589" xr:uid="{00000000-0005-0000-0000-0000F93B0000}"/>
    <cellStyle name="Normal 3 22 2" xfId="20679" xr:uid="{00000000-0005-0000-0000-0000FA3B0000}"/>
    <cellStyle name="Normal 3 23" xfId="8590" xr:uid="{00000000-0005-0000-0000-0000FB3B0000}"/>
    <cellStyle name="Normal 3 23 2" xfId="20680" xr:uid="{00000000-0005-0000-0000-0000FC3B0000}"/>
    <cellStyle name="Normal 3 24" xfId="8591" xr:uid="{00000000-0005-0000-0000-0000FD3B0000}"/>
    <cellStyle name="Normal 3 24 2" xfId="20681" xr:uid="{00000000-0005-0000-0000-0000FE3B0000}"/>
    <cellStyle name="Normal 3 25" xfId="8592" xr:uid="{00000000-0005-0000-0000-0000FF3B0000}"/>
    <cellStyle name="Normal 3 25 2" xfId="20682" xr:uid="{00000000-0005-0000-0000-0000003C0000}"/>
    <cellStyle name="Normal 3 26" xfId="8593" xr:uid="{00000000-0005-0000-0000-0000013C0000}"/>
    <cellStyle name="Normal 3 26 2" xfId="20683" xr:uid="{00000000-0005-0000-0000-0000023C0000}"/>
    <cellStyle name="Normal 3 27" xfId="8594" xr:uid="{00000000-0005-0000-0000-0000033C0000}"/>
    <cellStyle name="Normal 3 27 2" xfId="20684" xr:uid="{00000000-0005-0000-0000-0000043C0000}"/>
    <cellStyle name="Normal 3 28" xfId="8595" xr:uid="{00000000-0005-0000-0000-0000053C0000}"/>
    <cellStyle name="Normal 3 28 2" xfId="20685" xr:uid="{00000000-0005-0000-0000-0000063C0000}"/>
    <cellStyle name="Normal 3 29" xfId="8596" xr:uid="{00000000-0005-0000-0000-0000073C0000}"/>
    <cellStyle name="Normal 3 29 2" xfId="20686" xr:uid="{00000000-0005-0000-0000-0000083C0000}"/>
    <cellStyle name="Normal 3 3" xfId="55" xr:uid="{00000000-0005-0000-0000-0000093C0000}"/>
    <cellStyle name="Normal 3 3 10" xfId="3141" xr:uid="{00000000-0005-0000-0000-00000A3C0000}"/>
    <cellStyle name="Normal 3 3 10 2" xfId="15314" xr:uid="{00000000-0005-0000-0000-00000B3C0000}"/>
    <cellStyle name="Normal 3 3 11" xfId="3142" xr:uid="{00000000-0005-0000-0000-00000C3C0000}"/>
    <cellStyle name="Normal 3 3 11 2" xfId="14981" xr:uid="{00000000-0005-0000-0000-00000D3C0000}"/>
    <cellStyle name="Normal 3 3 12" xfId="8597" xr:uid="{00000000-0005-0000-0000-00000E3C0000}"/>
    <cellStyle name="Normal 3 3 12 2" xfId="20687" xr:uid="{00000000-0005-0000-0000-00000F3C0000}"/>
    <cellStyle name="Normal 3 3 13" xfId="8598" xr:uid="{00000000-0005-0000-0000-0000103C0000}"/>
    <cellStyle name="Normal 3 3 13 2" xfId="20688" xr:uid="{00000000-0005-0000-0000-0000113C0000}"/>
    <cellStyle name="Normal 3 3 14" xfId="8599" xr:uid="{00000000-0005-0000-0000-0000123C0000}"/>
    <cellStyle name="Normal 3 3 14 2" xfId="20689" xr:uid="{00000000-0005-0000-0000-0000133C0000}"/>
    <cellStyle name="Normal 3 3 15" xfId="8600" xr:uid="{00000000-0005-0000-0000-0000143C0000}"/>
    <cellStyle name="Normal 3 3 15 2" xfId="20690" xr:uid="{00000000-0005-0000-0000-0000153C0000}"/>
    <cellStyle name="Normal 3 3 16" xfId="8601" xr:uid="{00000000-0005-0000-0000-0000163C0000}"/>
    <cellStyle name="Normal 3 3 16 2" xfId="20691" xr:uid="{00000000-0005-0000-0000-0000173C0000}"/>
    <cellStyle name="Normal 3 3 17" xfId="8602" xr:uid="{00000000-0005-0000-0000-0000183C0000}"/>
    <cellStyle name="Normal 3 3 17 2" xfId="20692" xr:uid="{00000000-0005-0000-0000-0000193C0000}"/>
    <cellStyle name="Normal 3 3 18" xfId="8603" xr:uid="{00000000-0005-0000-0000-00001A3C0000}"/>
    <cellStyle name="Normal 3 3 18 2" xfId="20693" xr:uid="{00000000-0005-0000-0000-00001B3C0000}"/>
    <cellStyle name="Normal 3 3 19" xfId="8604" xr:uid="{00000000-0005-0000-0000-00001C3C0000}"/>
    <cellStyle name="Normal 3 3 19 2" xfId="20694" xr:uid="{00000000-0005-0000-0000-00001D3C0000}"/>
    <cellStyle name="Normal 3 3 2" xfId="1510" xr:uid="{00000000-0005-0000-0000-00001E3C0000}"/>
    <cellStyle name="Normal 3 3 2 2" xfId="1515" xr:uid="{00000000-0005-0000-0000-00001F3C0000}"/>
    <cellStyle name="Normal 3 3 2 2 2" xfId="1518" xr:uid="{00000000-0005-0000-0000-0000203C0000}"/>
    <cellStyle name="Normal 3 3 2 3" xfId="1516" xr:uid="{00000000-0005-0000-0000-0000213C0000}"/>
    <cellStyle name="Normal 3 3 2 3 2" xfId="15315" xr:uid="{00000000-0005-0000-0000-0000223C0000}"/>
    <cellStyle name="Normal 3 3 2 4" xfId="14982" xr:uid="{00000000-0005-0000-0000-0000233C0000}"/>
    <cellStyle name="Normal 3 3 2 5" xfId="3143" xr:uid="{00000000-0005-0000-0000-0000243C0000}"/>
    <cellStyle name="Normal 3 3 20" xfId="8605" xr:uid="{00000000-0005-0000-0000-0000253C0000}"/>
    <cellStyle name="Normal 3 3 20 2" xfId="20695" xr:uid="{00000000-0005-0000-0000-0000263C0000}"/>
    <cellStyle name="Normal 3 3 21" xfId="8606" xr:uid="{00000000-0005-0000-0000-0000273C0000}"/>
    <cellStyle name="Normal 3 3 21 2" xfId="20696" xr:uid="{00000000-0005-0000-0000-0000283C0000}"/>
    <cellStyle name="Normal 3 3 22" xfId="8607" xr:uid="{00000000-0005-0000-0000-0000293C0000}"/>
    <cellStyle name="Normal 3 3 22 2" xfId="20697" xr:uid="{00000000-0005-0000-0000-00002A3C0000}"/>
    <cellStyle name="Normal 3 3 23" xfId="8608" xr:uid="{00000000-0005-0000-0000-00002B3C0000}"/>
    <cellStyle name="Normal 3 3 23 2" xfId="20698" xr:uid="{00000000-0005-0000-0000-00002C3C0000}"/>
    <cellStyle name="Normal 3 3 24" xfId="8609" xr:uid="{00000000-0005-0000-0000-00002D3C0000}"/>
    <cellStyle name="Normal 3 3 24 2" xfId="20699" xr:uid="{00000000-0005-0000-0000-00002E3C0000}"/>
    <cellStyle name="Normal 3 3 25" xfId="8610" xr:uid="{00000000-0005-0000-0000-00002F3C0000}"/>
    <cellStyle name="Normal 3 3 25 2" xfId="20700" xr:uid="{00000000-0005-0000-0000-0000303C0000}"/>
    <cellStyle name="Normal 3 3 26" xfId="8611" xr:uid="{00000000-0005-0000-0000-0000313C0000}"/>
    <cellStyle name="Normal 3 3 26 2" xfId="20701" xr:uid="{00000000-0005-0000-0000-0000323C0000}"/>
    <cellStyle name="Normal 3 3 27" xfId="8612" xr:uid="{00000000-0005-0000-0000-0000333C0000}"/>
    <cellStyle name="Normal 3 3 27 2" xfId="20702" xr:uid="{00000000-0005-0000-0000-0000343C0000}"/>
    <cellStyle name="Normal 3 3 28" xfId="8613" xr:uid="{00000000-0005-0000-0000-0000353C0000}"/>
    <cellStyle name="Normal 3 3 28 2" xfId="20703" xr:uid="{00000000-0005-0000-0000-0000363C0000}"/>
    <cellStyle name="Normal 3 3 29" xfId="8614" xr:uid="{00000000-0005-0000-0000-0000373C0000}"/>
    <cellStyle name="Normal 3 3 29 2" xfId="20704" xr:uid="{00000000-0005-0000-0000-0000383C0000}"/>
    <cellStyle name="Normal 3 3 3" xfId="3144" xr:uid="{00000000-0005-0000-0000-0000393C0000}"/>
    <cellStyle name="Normal 3 3 3 2" xfId="15316" xr:uid="{00000000-0005-0000-0000-00003A3C0000}"/>
    <cellStyle name="Normal 3 3 30" xfId="8615" xr:uid="{00000000-0005-0000-0000-00003B3C0000}"/>
    <cellStyle name="Normal 3 3 30 2" xfId="20705" xr:uid="{00000000-0005-0000-0000-00003C3C0000}"/>
    <cellStyle name="Normal 3 3 31" xfId="8616" xr:uid="{00000000-0005-0000-0000-00003D3C0000}"/>
    <cellStyle name="Normal 3 3 31 2" xfId="20706" xr:uid="{00000000-0005-0000-0000-00003E3C0000}"/>
    <cellStyle name="Normal 3 3 32" xfId="8617" xr:uid="{00000000-0005-0000-0000-00003F3C0000}"/>
    <cellStyle name="Normal 3 3 32 2" xfId="20707" xr:uid="{00000000-0005-0000-0000-0000403C0000}"/>
    <cellStyle name="Normal 3 3 33" xfId="8618" xr:uid="{00000000-0005-0000-0000-0000413C0000}"/>
    <cellStyle name="Normal 3 3 33 2" xfId="20708" xr:uid="{00000000-0005-0000-0000-0000423C0000}"/>
    <cellStyle name="Normal 3 3 34" xfId="8619" xr:uid="{00000000-0005-0000-0000-0000433C0000}"/>
    <cellStyle name="Normal 3 3 34 2" xfId="20709" xr:uid="{00000000-0005-0000-0000-0000443C0000}"/>
    <cellStyle name="Normal 3 3 35" xfId="8620" xr:uid="{00000000-0005-0000-0000-0000453C0000}"/>
    <cellStyle name="Normal 3 3 35 2" xfId="20710" xr:uid="{00000000-0005-0000-0000-0000463C0000}"/>
    <cellStyle name="Normal 3 3 36" xfId="8621" xr:uid="{00000000-0005-0000-0000-0000473C0000}"/>
    <cellStyle name="Normal 3 3 36 2" xfId="20711" xr:uid="{00000000-0005-0000-0000-0000483C0000}"/>
    <cellStyle name="Normal 3 3 37" xfId="8622" xr:uid="{00000000-0005-0000-0000-0000493C0000}"/>
    <cellStyle name="Normal 3 3 37 2" xfId="20712" xr:uid="{00000000-0005-0000-0000-00004A3C0000}"/>
    <cellStyle name="Normal 3 3 38" xfId="8623" xr:uid="{00000000-0005-0000-0000-00004B3C0000}"/>
    <cellStyle name="Normal 3 3 38 2" xfId="20713" xr:uid="{00000000-0005-0000-0000-00004C3C0000}"/>
    <cellStyle name="Normal 3 3 39" xfId="8624" xr:uid="{00000000-0005-0000-0000-00004D3C0000}"/>
    <cellStyle name="Normal 3 3 39 2" xfId="20714" xr:uid="{00000000-0005-0000-0000-00004E3C0000}"/>
    <cellStyle name="Normal 3 3 4" xfId="3145" xr:uid="{00000000-0005-0000-0000-00004F3C0000}"/>
    <cellStyle name="Normal 3 3 4 2" xfId="15317" xr:uid="{00000000-0005-0000-0000-0000503C0000}"/>
    <cellStyle name="Normal 3 3 40" xfId="8625" xr:uid="{00000000-0005-0000-0000-0000513C0000}"/>
    <cellStyle name="Normal 3 3 40 2" xfId="20715" xr:uid="{00000000-0005-0000-0000-0000523C0000}"/>
    <cellStyle name="Normal 3 3 41" xfId="8626" xr:uid="{00000000-0005-0000-0000-0000533C0000}"/>
    <cellStyle name="Normal 3 3 41 2" xfId="20716" xr:uid="{00000000-0005-0000-0000-0000543C0000}"/>
    <cellStyle name="Normal 3 3 42" xfId="8627" xr:uid="{00000000-0005-0000-0000-0000553C0000}"/>
    <cellStyle name="Normal 3 3 42 2" xfId="20717" xr:uid="{00000000-0005-0000-0000-0000563C0000}"/>
    <cellStyle name="Normal 3 3 43" xfId="8628" xr:uid="{00000000-0005-0000-0000-0000573C0000}"/>
    <cellStyle name="Normal 3 3 43 2" xfId="20718" xr:uid="{00000000-0005-0000-0000-0000583C0000}"/>
    <cellStyle name="Normal 3 3 44" xfId="8629" xr:uid="{00000000-0005-0000-0000-0000593C0000}"/>
    <cellStyle name="Normal 3 3 44 2" xfId="20719" xr:uid="{00000000-0005-0000-0000-00005A3C0000}"/>
    <cellStyle name="Normal 3 3 45" xfId="8630" xr:uid="{00000000-0005-0000-0000-00005B3C0000}"/>
    <cellStyle name="Normal 3 3 45 2" xfId="20720" xr:uid="{00000000-0005-0000-0000-00005C3C0000}"/>
    <cellStyle name="Normal 3 3 46" xfId="8631" xr:uid="{00000000-0005-0000-0000-00005D3C0000}"/>
    <cellStyle name="Normal 3 3 46 2" xfId="20721" xr:uid="{00000000-0005-0000-0000-00005E3C0000}"/>
    <cellStyle name="Normal 3 3 47" xfId="8632" xr:uid="{00000000-0005-0000-0000-00005F3C0000}"/>
    <cellStyle name="Normal 3 3 47 2" xfId="20722" xr:uid="{00000000-0005-0000-0000-0000603C0000}"/>
    <cellStyle name="Normal 3 3 48" xfId="8633" xr:uid="{00000000-0005-0000-0000-0000613C0000}"/>
    <cellStyle name="Normal 3 3 48 2" xfId="20723" xr:uid="{00000000-0005-0000-0000-0000623C0000}"/>
    <cellStyle name="Normal 3 3 49" xfId="8634" xr:uid="{00000000-0005-0000-0000-0000633C0000}"/>
    <cellStyle name="Normal 3 3 49 2" xfId="20724" xr:uid="{00000000-0005-0000-0000-0000643C0000}"/>
    <cellStyle name="Normal 3 3 5" xfId="3146" xr:uid="{00000000-0005-0000-0000-0000653C0000}"/>
    <cellStyle name="Normal 3 3 5 2" xfId="15318" xr:uid="{00000000-0005-0000-0000-0000663C0000}"/>
    <cellStyle name="Normal 3 3 50" xfId="8635" xr:uid="{00000000-0005-0000-0000-0000673C0000}"/>
    <cellStyle name="Normal 3 3 50 2" xfId="20725" xr:uid="{00000000-0005-0000-0000-0000683C0000}"/>
    <cellStyle name="Normal 3 3 51" xfId="8636" xr:uid="{00000000-0005-0000-0000-0000693C0000}"/>
    <cellStyle name="Normal 3 3 51 2" xfId="20726" xr:uid="{00000000-0005-0000-0000-00006A3C0000}"/>
    <cellStyle name="Normal 3 3 52" xfId="8637" xr:uid="{00000000-0005-0000-0000-00006B3C0000}"/>
    <cellStyle name="Normal 3 3 52 2" xfId="20727" xr:uid="{00000000-0005-0000-0000-00006C3C0000}"/>
    <cellStyle name="Normal 3 3 53" xfId="8638" xr:uid="{00000000-0005-0000-0000-00006D3C0000}"/>
    <cellStyle name="Normal 3 3 53 2" xfId="20728" xr:uid="{00000000-0005-0000-0000-00006E3C0000}"/>
    <cellStyle name="Normal 3 3 54" xfId="8639" xr:uid="{00000000-0005-0000-0000-00006F3C0000}"/>
    <cellStyle name="Normal 3 3 54 2" xfId="20729" xr:uid="{00000000-0005-0000-0000-0000703C0000}"/>
    <cellStyle name="Normal 3 3 55" xfId="8640" xr:uid="{00000000-0005-0000-0000-0000713C0000}"/>
    <cellStyle name="Normal 3 3 55 2" xfId="20730" xr:uid="{00000000-0005-0000-0000-0000723C0000}"/>
    <cellStyle name="Normal 3 3 56" xfId="8641" xr:uid="{00000000-0005-0000-0000-0000733C0000}"/>
    <cellStyle name="Normal 3 3 56 2" xfId="20731" xr:uid="{00000000-0005-0000-0000-0000743C0000}"/>
    <cellStyle name="Normal 3 3 57" xfId="8642" xr:uid="{00000000-0005-0000-0000-0000753C0000}"/>
    <cellStyle name="Normal 3 3 57 2" xfId="20732" xr:uid="{00000000-0005-0000-0000-0000763C0000}"/>
    <cellStyle name="Normal 3 3 58" xfId="8643" xr:uid="{00000000-0005-0000-0000-0000773C0000}"/>
    <cellStyle name="Normal 3 3 58 2" xfId="20733" xr:uid="{00000000-0005-0000-0000-0000783C0000}"/>
    <cellStyle name="Normal 3 3 59" xfId="8644" xr:uid="{00000000-0005-0000-0000-0000793C0000}"/>
    <cellStyle name="Normal 3 3 59 2" xfId="20734" xr:uid="{00000000-0005-0000-0000-00007A3C0000}"/>
    <cellStyle name="Normal 3 3 6" xfId="3147" xr:uid="{00000000-0005-0000-0000-00007B3C0000}"/>
    <cellStyle name="Normal 3 3 6 2" xfId="15319" xr:uid="{00000000-0005-0000-0000-00007C3C0000}"/>
    <cellStyle name="Normal 3 3 60" xfId="8645" xr:uid="{00000000-0005-0000-0000-00007D3C0000}"/>
    <cellStyle name="Normal 3 3 60 2" xfId="20735" xr:uid="{00000000-0005-0000-0000-00007E3C0000}"/>
    <cellStyle name="Normal 3 3 61" xfId="8646" xr:uid="{00000000-0005-0000-0000-00007F3C0000}"/>
    <cellStyle name="Normal 3 3 61 2" xfId="20736" xr:uid="{00000000-0005-0000-0000-0000803C0000}"/>
    <cellStyle name="Normal 3 3 62" xfId="8647" xr:uid="{00000000-0005-0000-0000-0000813C0000}"/>
    <cellStyle name="Normal 3 3 62 2" xfId="20737" xr:uid="{00000000-0005-0000-0000-0000823C0000}"/>
    <cellStyle name="Normal 3 3 63" xfId="8648" xr:uid="{00000000-0005-0000-0000-0000833C0000}"/>
    <cellStyle name="Normal 3 3 63 2" xfId="20738" xr:uid="{00000000-0005-0000-0000-0000843C0000}"/>
    <cellStyle name="Normal 3 3 64" xfId="8649" xr:uid="{00000000-0005-0000-0000-0000853C0000}"/>
    <cellStyle name="Normal 3 3 64 2" xfId="20739" xr:uid="{00000000-0005-0000-0000-0000863C0000}"/>
    <cellStyle name="Normal 3 3 65" xfId="8650" xr:uid="{00000000-0005-0000-0000-0000873C0000}"/>
    <cellStyle name="Normal 3 3 65 2" xfId="20740" xr:uid="{00000000-0005-0000-0000-0000883C0000}"/>
    <cellStyle name="Normal 3 3 66" xfId="8651" xr:uid="{00000000-0005-0000-0000-0000893C0000}"/>
    <cellStyle name="Normal 3 3 66 2" xfId="20741" xr:uid="{00000000-0005-0000-0000-00008A3C0000}"/>
    <cellStyle name="Normal 3 3 67" xfId="8652" xr:uid="{00000000-0005-0000-0000-00008B3C0000}"/>
    <cellStyle name="Normal 3 3 67 2" xfId="20742" xr:uid="{00000000-0005-0000-0000-00008C3C0000}"/>
    <cellStyle name="Normal 3 3 68" xfId="8653" xr:uid="{00000000-0005-0000-0000-00008D3C0000}"/>
    <cellStyle name="Normal 3 3 68 2" xfId="20743" xr:uid="{00000000-0005-0000-0000-00008E3C0000}"/>
    <cellStyle name="Normal 3 3 69" xfId="8654" xr:uid="{00000000-0005-0000-0000-00008F3C0000}"/>
    <cellStyle name="Normal 3 3 69 2" xfId="20744" xr:uid="{00000000-0005-0000-0000-0000903C0000}"/>
    <cellStyle name="Normal 3 3 7" xfId="3148" xr:uid="{00000000-0005-0000-0000-0000913C0000}"/>
    <cellStyle name="Normal 3 3 7 2" xfId="15320" xr:uid="{00000000-0005-0000-0000-0000923C0000}"/>
    <cellStyle name="Normal 3 3 70" xfId="8655" xr:uid="{00000000-0005-0000-0000-0000933C0000}"/>
    <cellStyle name="Normal 3 3 70 2" xfId="20745" xr:uid="{00000000-0005-0000-0000-0000943C0000}"/>
    <cellStyle name="Normal 3 3 71" xfId="8656" xr:uid="{00000000-0005-0000-0000-0000953C0000}"/>
    <cellStyle name="Normal 3 3 71 2" xfId="20746" xr:uid="{00000000-0005-0000-0000-0000963C0000}"/>
    <cellStyle name="Normal 3 3 72" xfId="8657" xr:uid="{00000000-0005-0000-0000-0000973C0000}"/>
    <cellStyle name="Normal 3 3 72 2" xfId="20747" xr:uid="{00000000-0005-0000-0000-0000983C0000}"/>
    <cellStyle name="Normal 3 3 73" xfId="8658" xr:uid="{00000000-0005-0000-0000-0000993C0000}"/>
    <cellStyle name="Normal 3 3 73 2" xfId="20748" xr:uid="{00000000-0005-0000-0000-00009A3C0000}"/>
    <cellStyle name="Normal 3 3 74" xfId="8659" xr:uid="{00000000-0005-0000-0000-00009B3C0000}"/>
    <cellStyle name="Normal 3 3 74 2" xfId="20749" xr:uid="{00000000-0005-0000-0000-00009C3C0000}"/>
    <cellStyle name="Normal 3 3 75" xfId="8660" xr:uid="{00000000-0005-0000-0000-00009D3C0000}"/>
    <cellStyle name="Normal 3 3 75 2" xfId="20750" xr:uid="{00000000-0005-0000-0000-00009E3C0000}"/>
    <cellStyle name="Normal 3 3 76" xfId="8661" xr:uid="{00000000-0005-0000-0000-00009F3C0000}"/>
    <cellStyle name="Normal 3 3 76 2" xfId="20751" xr:uid="{00000000-0005-0000-0000-0000A03C0000}"/>
    <cellStyle name="Normal 3 3 77" xfId="8662" xr:uid="{00000000-0005-0000-0000-0000A13C0000}"/>
    <cellStyle name="Normal 3 3 77 2" xfId="20752" xr:uid="{00000000-0005-0000-0000-0000A23C0000}"/>
    <cellStyle name="Normal 3 3 78" xfId="8663" xr:uid="{00000000-0005-0000-0000-0000A33C0000}"/>
    <cellStyle name="Normal 3 3 78 2" xfId="20753" xr:uid="{00000000-0005-0000-0000-0000A43C0000}"/>
    <cellStyle name="Normal 3 3 79" xfId="8664" xr:uid="{00000000-0005-0000-0000-0000A53C0000}"/>
    <cellStyle name="Normal 3 3 79 2" xfId="20754" xr:uid="{00000000-0005-0000-0000-0000A63C0000}"/>
    <cellStyle name="Normal 3 3 8" xfId="3149" xr:uid="{00000000-0005-0000-0000-0000A73C0000}"/>
    <cellStyle name="Normal 3 3 8 2" xfId="15321" xr:uid="{00000000-0005-0000-0000-0000A83C0000}"/>
    <cellStyle name="Normal 3 3 80" xfId="14980" xr:uid="{00000000-0005-0000-0000-0000A93C0000}"/>
    <cellStyle name="Normal 3 3 81" xfId="15313" xr:uid="{00000000-0005-0000-0000-0000AA3C0000}"/>
    <cellStyle name="Normal 3 3 82" xfId="14954" xr:uid="{00000000-0005-0000-0000-0000AB3C0000}"/>
    <cellStyle name="Normal 3 3 9" xfId="3150" xr:uid="{00000000-0005-0000-0000-0000AC3C0000}"/>
    <cellStyle name="Normal 3 3 9 2" xfId="15322" xr:uid="{00000000-0005-0000-0000-0000AD3C0000}"/>
    <cellStyle name="Normal 3 30" xfId="8665" xr:uid="{00000000-0005-0000-0000-0000AE3C0000}"/>
    <cellStyle name="Normal 3 30 2" xfId="20755" xr:uid="{00000000-0005-0000-0000-0000AF3C0000}"/>
    <cellStyle name="Normal 3 31" xfId="8666" xr:uid="{00000000-0005-0000-0000-0000B03C0000}"/>
    <cellStyle name="Normal 3 31 2" xfId="20756" xr:uid="{00000000-0005-0000-0000-0000B13C0000}"/>
    <cellStyle name="Normal 3 32" xfId="8667" xr:uid="{00000000-0005-0000-0000-0000B23C0000}"/>
    <cellStyle name="Normal 3 32 2" xfId="20757" xr:uid="{00000000-0005-0000-0000-0000B33C0000}"/>
    <cellStyle name="Normal 3 33" xfId="8668" xr:uid="{00000000-0005-0000-0000-0000B43C0000}"/>
    <cellStyle name="Normal 3 33 2" xfId="20758" xr:uid="{00000000-0005-0000-0000-0000B53C0000}"/>
    <cellStyle name="Normal 3 34" xfId="8669" xr:uid="{00000000-0005-0000-0000-0000B63C0000}"/>
    <cellStyle name="Normal 3 34 2" xfId="20759" xr:uid="{00000000-0005-0000-0000-0000B73C0000}"/>
    <cellStyle name="Normal 3 35" xfId="8670" xr:uid="{00000000-0005-0000-0000-0000B83C0000}"/>
    <cellStyle name="Normal 3 35 2" xfId="20760" xr:uid="{00000000-0005-0000-0000-0000B93C0000}"/>
    <cellStyle name="Normal 3 36" xfId="8671" xr:uid="{00000000-0005-0000-0000-0000BA3C0000}"/>
    <cellStyle name="Normal 3 36 2" xfId="20761" xr:uid="{00000000-0005-0000-0000-0000BB3C0000}"/>
    <cellStyle name="Normal 3 37" xfId="8672" xr:uid="{00000000-0005-0000-0000-0000BC3C0000}"/>
    <cellStyle name="Normal 3 37 2" xfId="20762" xr:uid="{00000000-0005-0000-0000-0000BD3C0000}"/>
    <cellStyle name="Normal 3 38" xfId="8673" xr:uid="{00000000-0005-0000-0000-0000BE3C0000}"/>
    <cellStyle name="Normal 3 38 2" xfId="20763" xr:uid="{00000000-0005-0000-0000-0000BF3C0000}"/>
    <cellStyle name="Normal 3 39" xfId="8674" xr:uid="{00000000-0005-0000-0000-0000C03C0000}"/>
    <cellStyle name="Normal 3 39 2" xfId="20764" xr:uid="{00000000-0005-0000-0000-0000C13C0000}"/>
    <cellStyle name="Normal 3 4" xfId="53" xr:uid="{00000000-0005-0000-0000-0000C23C0000}"/>
    <cellStyle name="Normal 3 4 10" xfId="8675" xr:uid="{00000000-0005-0000-0000-0000C33C0000}"/>
    <cellStyle name="Normal 3 4 10 2" xfId="20765" xr:uid="{00000000-0005-0000-0000-0000C43C0000}"/>
    <cellStyle name="Normal 3 4 11" xfId="8676" xr:uid="{00000000-0005-0000-0000-0000C53C0000}"/>
    <cellStyle name="Normal 3 4 11 2" xfId="20766" xr:uid="{00000000-0005-0000-0000-0000C63C0000}"/>
    <cellStyle name="Normal 3 4 12" xfId="8677" xr:uid="{00000000-0005-0000-0000-0000C73C0000}"/>
    <cellStyle name="Normal 3 4 12 2" xfId="20767" xr:uid="{00000000-0005-0000-0000-0000C83C0000}"/>
    <cellStyle name="Normal 3 4 13" xfId="8678" xr:uid="{00000000-0005-0000-0000-0000C93C0000}"/>
    <cellStyle name="Normal 3 4 13 2" xfId="20768" xr:uid="{00000000-0005-0000-0000-0000CA3C0000}"/>
    <cellStyle name="Normal 3 4 14" xfId="8679" xr:uid="{00000000-0005-0000-0000-0000CB3C0000}"/>
    <cellStyle name="Normal 3 4 14 2" xfId="20769" xr:uid="{00000000-0005-0000-0000-0000CC3C0000}"/>
    <cellStyle name="Normal 3 4 15" xfId="8680" xr:uid="{00000000-0005-0000-0000-0000CD3C0000}"/>
    <cellStyle name="Normal 3 4 15 2" xfId="20770" xr:uid="{00000000-0005-0000-0000-0000CE3C0000}"/>
    <cellStyle name="Normal 3 4 16" xfId="8681" xr:uid="{00000000-0005-0000-0000-0000CF3C0000}"/>
    <cellStyle name="Normal 3 4 16 2" xfId="20771" xr:uid="{00000000-0005-0000-0000-0000D03C0000}"/>
    <cellStyle name="Normal 3 4 17" xfId="8682" xr:uid="{00000000-0005-0000-0000-0000D13C0000}"/>
    <cellStyle name="Normal 3 4 17 2" xfId="20772" xr:uid="{00000000-0005-0000-0000-0000D23C0000}"/>
    <cellStyle name="Normal 3 4 18" xfId="8683" xr:uid="{00000000-0005-0000-0000-0000D33C0000}"/>
    <cellStyle name="Normal 3 4 18 2" xfId="20773" xr:uid="{00000000-0005-0000-0000-0000D43C0000}"/>
    <cellStyle name="Normal 3 4 19" xfId="8684" xr:uid="{00000000-0005-0000-0000-0000D53C0000}"/>
    <cellStyle name="Normal 3 4 19 2" xfId="20774" xr:uid="{00000000-0005-0000-0000-0000D63C0000}"/>
    <cellStyle name="Normal 3 4 2" xfId="3151" xr:uid="{00000000-0005-0000-0000-0000D73C0000}"/>
    <cellStyle name="Normal 3 4 2 2" xfId="14984" xr:uid="{00000000-0005-0000-0000-0000D83C0000}"/>
    <cellStyle name="Normal 3 4 20" xfId="8685" xr:uid="{00000000-0005-0000-0000-0000D93C0000}"/>
    <cellStyle name="Normal 3 4 20 2" xfId="20775" xr:uid="{00000000-0005-0000-0000-0000DA3C0000}"/>
    <cellStyle name="Normal 3 4 21" xfId="8686" xr:uid="{00000000-0005-0000-0000-0000DB3C0000}"/>
    <cellStyle name="Normal 3 4 21 2" xfId="20776" xr:uid="{00000000-0005-0000-0000-0000DC3C0000}"/>
    <cellStyle name="Normal 3 4 22" xfId="8687" xr:uid="{00000000-0005-0000-0000-0000DD3C0000}"/>
    <cellStyle name="Normal 3 4 22 2" xfId="20777" xr:uid="{00000000-0005-0000-0000-0000DE3C0000}"/>
    <cellStyle name="Normal 3 4 23" xfId="8688" xr:uid="{00000000-0005-0000-0000-0000DF3C0000}"/>
    <cellStyle name="Normal 3 4 23 2" xfId="20778" xr:uid="{00000000-0005-0000-0000-0000E03C0000}"/>
    <cellStyle name="Normal 3 4 24" xfId="8689" xr:uid="{00000000-0005-0000-0000-0000E13C0000}"/>
    <cellStyle name="Normal 3 4 24 2" xfId="20779" xr:uid="{00000000-0005-0000-0000-0000E23C0000}"/>
    <cellStyle name="Normal 3 4 25" xfId="8690" xr:uid="{00000000-0005-0000-0000-0000E33C0000}"/>
    <cellStyle name="Normal 3 4 25 2" xfId="20780" xr:uid="{00000000-0005-0000-0000-0000E43C0000}"/>
    <cellStyle name="Normal 3 4 26" xfId="8691" xr:uid="{00000000-0005-0000-0000-0000E53C0000}"/>
    <cellStyle name="Normal 3 4 26 2" xfId="20781" xr:uid="{00000000-0005-0000-0000-0000E63C0000}"/>
    <cellStyle name="Normal 3 4 27" xfId="8692" xr:uid="{00000000-0005-0000-0000-0000E73C0000}"/>
    <cellStyle name="Normal 3 4 27 2" xfId="20782" xr:uid="{00000000-0005-0000-0000-0000E83C0000}"/>
    <cellStyle name="Normal 3 4 28" xfId="8693" xr:uid="{00000000-0005-0000-0000-0000E93C0000}"/>
    <cellStyle name="Normal 3 4 28 2" xfId="20783" xr:uid="{00000000-0005-0000-0000-0000EA3C0000}"/>
    <cellStyle name="Normal 3 4 29" xfId="8694" xr:uid="{00000000-0005-0000-0000-0000EB3C0000}"/>
    <cellStyle name="Normal 3 4 29 2" xfId="20784" xr:uid="{00000000-0005-0000-0000-0000EC3C0000}"/>
    <cellStyle name="Normal 3 4 3" xfId="3152" xr:uid="{00000000-0005-0000-0000-0000ED3C0000}"/>
    <cellStyle name="Normal 3 4 3 2" xfId="14985" xr:uid="{00000000-0005-0000-0000-0000EE3C0000}"/>
    <cellStyle name="Normal 3 4 30" xfId="8695" xr:uid="{00000000-0005-0000-0000-0000EF3C0000}"/>
    <cellStyle name="Normal 3 4 30 2" xfId="20785" xr:uid="{00000000-0005-0000-0000-0000F03C0000}"/>
    <cellStyle name="Normal 3 4 31" xfId="8696" xr:uid="{00000000-0005-0000-0000-0000F13C0000}"/>
    <cellStyle name="Normal 3 4 31 2" xfId="20786" xr:uid="{00000000-0005-0000-0000-0000F23C0000}"/>
    <cellStyle name="Normal 3 4 32" xfId="8697" xr:uid="{00000000-0005-0000-0000-0000F33C0000}"/>
    <cellStyle name="Normal 3 4 32 2" xfId="20787" xr:uid="{00000000-0005-0000-0000-0000F43C0000}"/>
    <cellStyle name="Normal 3 4 33" xfId="8698" xr:uid="{00000000-0005-0000-0000-0000F53C0000}"/>
    <cellStyle name="Normal 3 4 33 2" xfId="20788" xr:uid="{00000000-0005-0000-0000-0000F63C0000}"/>
    <cellStyle name="Normal 3 4 34" xfId="8699" xr:uid="{00000000-0005-0000-0000-0000F73C0000}"/>
    <cellStyle name="Normal 3 4 34 2" xfId="20789" xr:uid="{00000000-0005-0000-0000-0000F83C0000}"/>
    <cellStyle name="Normal 3 4 35" xfId="8700" xr:uid="{00000000-0005-0000-0000-0000F93C0000}"/>
    <cellStyle name="Normal 3 4 35 2" xfId="20790" xr:uid="{00000000-0005-0000-0000-0000FA3C0000}"/>
    <cellStyle name="Normal 3 4 36" xfId="8701" xr:uid="{00000000-0005-0000-0000-0000FB3C0000}"/>
    <cellStyle name="Normal 3 4 36 2" xfId="20791" xr:uid="{00000000-0005-0000-0000-0000FC3C0000}"/>
    <cellStyle name="Normal 3 4 37" xfId="8702" xr:uid="{00000000-0005-0000-0000-0000FD3C0000}"/>
    <cellStyle name="Normal 3 4 37 2" xfId="20792" xr:uid="{00000000-0005-0000-0000-0000FE3C0000}"/>
    <cellStyle name="Normal 3 4 38" xfId="8703" xr:uid="{00000000-0005-0000-0000-0000FF3C0000}"/>
    <cellStyle name="Normal 3 4 38 2" xfId="20793" xr:uid="{00000000-0005-0000-0000-0000003D0000}"/>
    <cellStyle name="Normal 3 4 39" xfId="8704" xr:uid="{00000000-0005-0000-0000-0000013D0000}"/>
    <cellStyle name="Normal 3 4 39 2" xfId="20794" xr:uid="{00000000-0005-0000-0000-0000023D0000}"/>
    <cellStyle name="Normal 3 4 4" xfId="8705" xr:uid="{00000000-0005-0000-0000-0000033D0000}"/>
    <cellStyle name="Normal 3 4 4 2" xfId="20795" xr:uid="{00000000-0005-0000-0000-0000043D0000}"/>
    <cellStyle name="Normal 3 4 40" xfId="8706" xr:uid="{00000000-0005-0000-0000-0000053D0000}"/>
    <cellStyle name="Normal 3 4 40 2" xfId="20796" xr:uid="{00000000-0005-0000-0000-0000063D0000}"/>
    <cellStyle name="Normal 3 4 41" xfId="8707" xr:uid="{00000000-0005-0000-0000-0000073D0000}"/>
    <cellStyle name="Normal 3 4 41 2" xfId="20797" xr:uid="{00000000-0005-0000-0000-0000083D0000}"/>
    <cellStyle name="Normal 3 4 42" xfId="8708" xr:uid="{00000000-0005-0000-0000-0000093D0000}"/>
    <cellStyle name="Normal 3 4 42 2" xfId="20798" xr:uid="{00000000-0005-0000-0000-00000A3D0000}"/>
    <cellStyle name="Normal 3 4 43" xfId="8709" xr:uid="{00000000-0005-0000-0000-00000B3D0000}"/>
    <cellStyle name="Normal 3 4 43 2" xfId="20799" xr:uid="{00000000-0005-0000-0000-00000C3D0000}"/>
    <cellStyle name="Normal 3 4 44" xfId="8710" xr:uid="{00000000-0005-0000-0000-00000D3D0000}"/>
    <cellStyle name="Normal 3 4 44 2" xfId="20800" xr:uid="{00000000-0005-0000-0000-00000E3D0000}"/>
    <cellStyle name="Normal 3 4 45" xfId="8711" xr:uid="{00000000-0005-0000-0000-00000F3D0000}"/>
    <cellStyle name="Normal 3 4 45 2" xfId="20801" xr:uid="{00000000-0005-0000-0000-0000103D0000}"/>
    <cellStyle name="Normal 3 4 46" xfId="8712" xr:uid="{00000000-0005-0000-0000-0000113D0000}"/>
    <cellStyle name="Normal 3 4 46 2" xfId="20802" xr:uid="{00000000-0005-0000-0000-0000123D0000}"/>
    <cellStyle name="Normal 3 4 47" xfId="8713" xr:uid="{00000000-0005-0000-0000-0000133D0000}"/>
    <cellStyle name="Normal 3 4 47 2" xfId="20803" xr:uid="{00000000-0005-0000-0000-0000143D0000}"/>
    <cellStyle name="Normal 3 4 48" xfId="8714" xr:uid="{00000000-0005-0000-0000-0000153D0000}"/>
    <cellStyle name="Normal 3 4 48 2" xfId="20804" xr:uid="{00000000-0005-0000-0000-0000163D0000}"/>
    <cellStyle name="Normal 3 4 49" xfId="8715" xr:uid="{00000000-0005-0000-0000-0000173D0000}"/>
    <cellStyle name="Normal 3 4 49 2" xfId="20805" xr:uid="{00000000-0005-0000-0000-0000183D0000}"/>
    <cellStyle name="Normal 3 4 5" xfId="8716" xr:uid="{00000000-0005-0000-0000-0000193D0000}"/>
    <cellStyle name="Normal 3 4 5 2" xfId="20806" xr:uid="{00000000-0005-0000-0000-00001A3D0000}"/>
    <cellStyle name="Normal 3 4 50" xfId="8717" xr:uid="{00000000-0005-0000-0000-00001B3D0000}"/>
    <cellStyle name="Normal 3 4 50 2" xfId="20807" xr:uid="{00000000-0005-0000-0000-00001C3D0000}"/>
    <cellStyle name="Normal 3 4 51" xfId="8718" xr:uid="{00000000-0005-0000-0000-00001D3D0000}"/>
    <cellStyle name="Normal 3 4 51 2" xfId="20808" xr:uid="{00000000-0005-0000-0000-00001E3D0000}"/>
    <cellStyle name="Normal 3 4 52" xfId="8719" xr:uid="{00000000-0005-0000-0000-00001F3D0000}"/>
    <cellStyle name="Normal 3 4 52 2" xfId="20809" xr:uid="{00000000-0005-0000-0000-0000203D0000}"/>
    <cellStyle name="Normal 3 4 53" xfId="8720" xr:uid="{00000000-0005-0000-0000-0000213D0000}"/>
    <cellStyle name="Normal 3 4 53 2" xfId="20810" xr:uid="{00000000-0005-0000-0000-0000223D0000}"/>
    <cellStyle name="Normal 3 4 54" xfId="8721" xr:uid="{00000000-0005-0000-0000-0000233D0000}"/>
    <cellStyle name="Normal 3 4 54 2" xfId="20811" xr:uid="{00000000-0005-0000-0000-0000243D0000}"/>
    <cellStyle name="Normal 3 4 55" xfId="8722" xr:uid="{00000000-0005-0000-0000-0000253D0000}"/>
    <cellStyle name="Normal 3 4 55 2" xfId="20812" xr:uid="{00000000-0005-0000-0000-0000263D0000}"/>
    <cellStyle name="Normal 3 4 56" xfId="8723" xr:uid="{00000000-0005-0000-0000-0000273D0000}"/>
    <cellStyle name="Normal 3 4 56 2" xfId="20813" xr:uid="{00000000-0005-0000-0000-0000283D0000}"/>
    <cellStyle name="Normal 3 4 57" xfId="8724" xr:uid="{00000000-0005-0000-0000-0000293D0000}"/>
    <cellStyle name="Normal 3 4 57 2" xfId="20814" xr:uid="{00000000-0005-0000-0000-00002A3D0000}"/>
    <cellStyle name="Normal 3 4 58" xfId="8725" xr:uid="{00000000-0005-0000-0000-00002B3D0000}"/>
    <cellStyle name="Normal 3 4 58 2" xfId="20815" xr:uid="{00000000-0005-0000-0000-00002C3D0000}"/>
    <cellStyle name="Normal 3 4 59" xfId="8726" xr:uid="{00000000-0005-0000-0000-00002D3D0000}"/>
    <cellStyle name="Normal 3 4 59 2" xfId="20816" xr:uid="{00000000-0005-0000-0000-00002E3D0000}"/>
    <cellStyle name="Normal 3 4 6" xfId="8727" xr:uid="{00000000-0005-0000-0000-00002F3D0000}"/>
    <cellStyle name="Normal 3 4 6 2" xfId="20817" xr:uid="{00000000-0005-0000-0000-0000303D0000}"/>
    <cellStyle name="Normal 3 4 60" xfId="8728" xr:uid="{00000000-0005-0000-0000-0000313D0000}"/>
    <cellStyle name="Normal 3 4 60 2" xfId="20818" xr:uid="{00000000-0005-0000-0000-0000323D0000}"/>
    <cellStyle name="Normal 3 4 61" xfId="8729" xr:uid="{00000000-0005-0000-0000-0000333D0000}"/>
    <cellStyle name="Normal 3 4 61 2" xfId="20819" xr:uid="{00000000-0005-0000-0000-0000343D0000}"/>
    <cellStyle name="Normal 3 4 62" xfId="8730" xr:uid="{00000000-0005-0000-0000-0000353D0000}"/>
    <cellStyle name="Normal 3 4 62 2" xfId="20820" xr:uid="{00000000-0005-0000-0000-0000363D0000}"/>
    <cellStyle name="Normal 3 4 63" xfId="8731" xr:uid="{00000000-0005-0000-0000-0000373D0000}"/>
    <cellStyle name="Normal 3 4 63 2" xfId="20821" xr:uid="{00000000-0005-0000-0000-0000383D0000}"/>
    <cellStyle name="Normal 3 4 64" xfId="8732" xr:uid="{00000000-0005-0000-0000-0000393D0000}"/>
    <cellStyle name="Normal 3 4 64 2" xfId="20822" xr:uid="{00000000-0005-0000-0000-00003A3D0000}"/>
    <cellStyle name="Normal 3 4 65" xfId="8733" xr:uid="{00000000-0005-0000-0000-00003B3D0000}"/>
    <cellStyle name="Normal 3 4 65 2" xfId="20823" xr:uid="{00000000-0005-0000-0000-00003C3D0000}"/>
    <cellStyle name="Normal 3 4 66" xfId="8734" xr:uid="{00000000-0005-0000-0000-00003D3D0000}"/>
    <cellStyle name="Normal 3 4 66 2" xfId="20824" xr:uid="{00000000-0005-0000-0000-00003E3D0000}"/>
    <cellStyle name="Normal 3 4 67" xfId="8735" xr:uid="{00000000-0005-0000-0000-00003F3D0000}"/>
    <cellStyle name="Normal 3 4 67 2" xfId="20825" xr:uid="{00000000-0005-0000-0000-0000403D0000}"/>
    <cellStyle name="Normal 3 4 68" xfId="8736" xr:uid="{00000000-0005-0000-0000-0000413D0000}"/>
    <cellStyle name="Normal 3 4 68 2" xfId="20826" xr:uid="{00000000-0005-0000-0000-0000423D0000}"/>
    <cellStyle name="Normal 3 4 69" xfId="8737" xr:uid="{00000000-0005-0000-0000-0000433D0000}"/>
    <cellStyle name="Normal 3 4 69 2" xfId="20827" xr:uid="{00000000-0005-0000-0000-0000443D0000}"/>
    <cellStyle name="Normal 3 4 7" xfId="8738" xr:uid="{00000000-0005-0000-0000-0000453D0000}"/>
    <cellStyle name="Normal 3 4 7 2" xfId="20828" xr:uid="{00000000-0005-0000-0000-0000463D0000}"/>
    <cellStyle name="Normal 3 4 70" xfId="8739" xr:uid="{00000000-0005-0000-0000-0000473D0000}"/>
    <cellStyle name="Normal 3 4 70 2" xfId="20829" xr:uid="{00000000-0005-0000-0000-0000483D0000}"/>
    <cellStyle name="Normal 3 4 71" xfId="8740" xr:uid="{00000000-0005-0000-0000-0000493D0000}"/>
    <cellStyle name="Normal 3 4 71 2" xfId="20830" xr:uid="{00000000-0005-0000-0000-00004A3D0000}"/>
    <cellStyle name="Normal 3 4 72" xfId="8741" xr:uid="{00000000-0005-0000-0000-00004B3D0000}"/>
    <cellStyle name="Normal 3 4 72 2" xfId="20831" xr:uid="{00000000-0005-0000-0000-00004C3D0000}"/>
    <cellStyle name="Normal 3 4 73" xfId="8742" xr:uid="{00000000-0005-0000-0000-00004D3D0000}"/>
    <cellStyle name="Normal 3 4 73 2" xfId="20832" xr:uid="{00000000-0005-0000-0000-00004E3D0000}"/>
    <cellStyle name="Normal 3 4 74" xfId="8743" xr:uid="{00000000-0005-0000-0000-00004F3D0000}"/>
    <cellStyle name="Normal 3 4 74 2" xfId="20833" xr:uid="{00000000-0005-0000-0000-0000503D0000}"/>
    <cellStyle name="Normal 3 4 75" xfId="8744" xr:uid="{00000000-0005-0000-0000-0000513D0000}"/>
    <cellStyle name="Normal 3 4 75 2" xfId="20834" xr:uid="{00000000-0005-0000-0000-0000523D0000}"/>
    <cellStyle name="Normal 3 4 76" xfId="8745" xr:uid="{00000000-0005-0000-0000-0000533D0000}"/>
    <cellStyle name="Normal 3 4 76 2" xfId="20835" xr:uid="{00000000-0005-0000-0000-0000543D0000}"/>
    <cellStyle name="Normal 3 4 77" xfId="8746" xr:uid="{00000000-0005-0000-0000-0000553D0000}"/>
    <cellStyle name="Normal 3 4 77 2" xfId="20836" xr:uid="{00000000-0005-0000-0000-0000563D0000}"/>
    <cellStyle name="Normal 3 4 78" xfId="8747" xr:uid="{00000000-0005-0000-0000-0000573D0000}"/>
    <cellStyle name="Normal 3 4 78 2" xfId="20837" xr:uid="{00000000-0005-0000-0000-0000583D0000}"/>
    <cellStyle name="Normal 3 4 79" xfId="8748" xr:uid="{00000000-0005-0000-0000-0000593D0000}"/>
    <cellStyle name="Normal 3 4 79 2" xfId="20838" xr:uid="{00000000-0005-0000-0000-00005A3D0000}"/>
    <cellStyle name="Normal 3 4 8" xfId="8749" xr:uid="{00000000-0005-0000-0000-00005B3D0000}"/>
    <cellStyle name="Normal 3 4 8 2" xfId="20839" xr:uid="{00000000-0005-0000-0000-00005C3D0000}"/>
    <cellStyle name="Normal 3 4 80" xfId="14983" xr:uid="{00000000-0005-0000-0000-00005D3D0000}"/>
    <cellStyle name="Normal 3 4 81" xfId="15323" xr:uid="{00000000-0005-0000-0000-00005E3D0000}"/>
    <cellStyle name="Normal 3 4 82" xfId="14956" xr:uid="{00000000-0005-0000-0000-00005F3D0000}"/>
    <cellStyle name="Normal 3 4 9" xfId="8750" xr:uid="{00000000-0005-0000-0000-0000603D0000}"/>
    <cellStyle name="Normal 3 4 9 2" xfId="20840" xr:uid="{00000000-0005-0000-0000-0000613D0000}"/>
    <cellStyle name="Normal 3 40" xfId="8751" xr:uid="{00000000-0005-0000-0000-0000623D0000}"/>
    <cellStyle name="Normal 3 40 2" xfId="20841" xr:uid="{00000000-0005-0000-0000-0000633D0000}"/>
    <cellStyle name="Normal 3 41" xfId="8752" xr:uid="{00000000-0005-0000-0000-0000643D0000}"/>
    <cellStyle name="Normal 3 41 2" xfId="20842" xr:uid="{00000000-0005-0000-0000-0000653D0000}"/>
    <cellStyle name="Normal 3 42" xfId="8753" xr:uid="{00000000-0005-0000-0000-0000663D0000}"/>
    <cellStyle name="Normal 3 42 2" xfId="20843" xr:uid="{00000000-0005-0000-0000-0000673D0000}"/>
    <cellStyle name="Normal 3 43" xfId="8754" xr:uid="{00000000-0005-0000-0000-0000683D0000}"/>
    <cellStyle name="Normal 3 43 2" xfId="20844" xr:uid="{00000000-0005-0000-0000-0000693D0000}"/>
    <cellStyle name="Normal 3 44" xfId="8755" xr:uid="{00000000-0005-0000-0000-00006A3D0000}"/>
    <cellStyle name="Normal 3 44 2" xfId="20845" xr:uid="{00000000-0005-0000-0000-00006B3D0000}"/>
    <cellStyle name="Normal 3 45" xfId="8756" xr:uid="{00000000-0005-0000-0000-00006C3D0000}"/>
    <cellStyle name="Normal 3 45 2" xfId="20846" xr:uid="{00000000-0005-0000-0000-00006D3D0000}"/>
    <cellStyle name="Normal 3 46" xfId="8757" xr:uid="{00000000-0005-0000-0000-00006E3D0000}"/>
    <cellStyle name="Normal 3 46 2" xfId="20847" xr:uid="{00000000-0005-0000-0000-00006F3D0000}"/>
    <cellStyle name="Normal 3 47" xfId="8758" xr:uid="{00000000-0005-0000-0000-0000703D0000}"/>
    <cellStyle name="Normal 3 47 2" xfId="20848" xr:uid="{00000000-0005-0000-0000-0000713D0000}"/>
    <cellStyle name="Normal 3 48" xfId="8759" xr:uid="{00000000-0005-0000-0000-0000723D0000}"/>
    <cellStyle name="Normal 3 48 2" xfId="20849" xr:uid="{00000000-0005-0000-0000-0000733D0000}"/>
    <cellStyle name="Normal 3 49" xfId="8760" xr:uid="{00000000-0005-0000-0000-0000743D0000}"/>
    <cellStyle name="Normal 3 49 2" xfId="20850" xr:uid="{00000000-0005-0000-0000-0000753D0000}"/>
    <cellStyle name="Normal 3 5" xfId="107" xr:uid="{00000000-0005-0000-0000-0000763D0000}"/>
    <cellStyle name="Normal 3 5 2" xfId="3153" xr:uid="{00000000-0005-0000-0000-0000773D0000}"/>
    <cellStyle name="Normal 3 5 2 2" xfId="14986" xr:uid="{00000000-0005-0000-0000-0000783D0000}"/>
    <cellStyle name="Normal 3 5 3" xfId="3154" xr:uid="{00000000-0005-0000-0000-0000793D0000}"/>
    <cellStyle name="Normal 3 5 3 2" xfId="14987" xr:uid="{00000000-0005-0000-0000-00007A3D0000}"/>
    <cellStyle name="Normal 3 5 4" xfId="15324" xr:uid="{00000000-0005-0000-0000-00007B3D0000}"/>
    <cellStyle name="Normal 3 50" xfId="8761" xr:uid="{00000000-0005-0000-0000-00007C3D0000}"/>
    <cellStyle name="Normal 3 50 2" xfId="20851" xr:uid="{00000000-0005-0000-0000-00007D3D0000}"/>
    <cellStyle name="Normal 3 51" xfId="8762" xr:uid="{00000000-0005-0000-0000-00007E3D0000}"/>
    <cellStyle name="Normal 3 51 2" xfId="20852" xr:uid="{00000000-0005-0000-0000-00007F3D0000}"/>
    <cellStyle name="Normal 3 52" xfId="8763" xr:uid="{00000000-0005-0000-0000-0000803D0000}"/>
    <cellStyle name="Normal 3 52 2" xfId="20853" xr:uid="{00000000-0005-0000-0000-0000813D0000}"/>
    <cellStyle name="Normal 3 53" xfId="8764" xr:uid="{00000000-0005-0000-0000-0000823D0000}"/>
    <cellStyle name="Normal 3 53 2" xfId="20854" xr:uid="{00000000-0005-0000-0000-0000833D0000}"/>
    <cellStyle name="Normal 3 54" xfId="8765" xr:uid="{00000000-0005-0000-0000-0000843D0000}"/>
    <cellStyle name="Normal 3 54 2" xfId="20855" xr:uid="{00000000-0005-0000-0000-0000853D0000}"/>
    <cellStyle name="Normal 3 55" xfId="8766" xr:uid="{00000000-0005-0000-0000-0000863D0000}"/>
    <cellStyle name="Normal 3 55 2" xfId="20856" xr:uid="{00000000-0005-0000-0000-0000873D0000}"/>
    <cellStyle name="Normal 3 56" xfId="8767" xr:uid="{00000000-0005-0000-0000-0000883D0000}"/>
    <cellStyle name="Normal 3 56 2" xfId="20857" xr:uid="{00000000-0005-0000-0000-0000893D0000}"/>
    <cellStyle name="Normal 3 57" xfId="8768" xr:uid="{00000000-0005-0000-0000-00008A3D0000}"/>
    <cellStyle name="Normal 3 57 2" xfId="20858" xr:uid="{00000000-0005-0000-0000-00008B3D0000}"/>
    <cellStyle name="Normal 3 58" xfId="8769" xr:uid="{00000000-0005-0000-0000-00008C3D0000}"/>
    <cellStyle name="Normal 3 58 2" xfId="20859" xr:uid="{00000000-0005-0000-0000-00008D3D0000}"/>
    <cellStyle name="Normal 3 59" xfId="8770" xr:uid="{00000000-0005-0000-0000-00008E3D0000}"/>
    <cellStyle name="Normal 3 59 2" xfId="20860" xr:uid="{00000000-0005-0000-0000-00008F3D0000}"/>
    <cellStyle name="Normal 3 6" xfId="113" xr:uid="{00000000-0005-0000-0000-0000903D0000}"/>
    <cellStyle name="Normal 3 6 2" xfId="3155" xr:uid="{00000000-0005-0000-0000-0000913D0000}"/>
    <cellStyle name="Normal 3 6 2 2" xfId="14988" xr:uid="{00000000-0005-0000-0000-0000923D0000}"/>
    <cellStyle name="Normal 3 6 3" xfId="3156" xr:uid="{00000000-0005-0000-0000-0000933D0000}"/>
    <cellStyle name="Normal 3 6 3 2" xfId="14989" xr:uid="{00000000-0005-0000-0000-0000943D0000}"/>
    <cellStyle name="Normal 3 6 4" xfId="15325" xr:uid="{00000000-0005-0000-0000-0000953D0000}"/>
    <cellStyle name="Normal 3 60" xfId="8771" xr:uid="{00000000-0005-0000-0000-0000963D0000}"/>
    <cellStyle name="Normal 3 60 2" xfId="20861" xr:uid="{00000000-0005-0000-0000-0000973D0000}"/>
    <cellStyle name="Normal 3 61" xfId="8772" xr:uid="{00000000-0005-0000-0000-0000983D0000}"/>
    <cellStyle name="Normal 3 61 2" xfId="20862" xr:uid="{00000000-0005-0000-0000-0000993D0000}"/>
    <cellStyle name="Normal 3 62" xfId="8773" xr:uid="{00000000-0005-0000-0000-00009A3D0000}"/>
    <cellStyle name="Normal 3 62 2" xfId="20863" xr:uid="{00000000-0005-0000-0000-00009B3D0000}"/>
    <cellStyle name="Normal 3 63" xfId="8774" xr:uid="{00000000-0005-0000-0000-00009C3D0000}"/>
    <cellStyle name="Normal 3 63 2" xfId="20864" xr:uid="{00000000-0005-0000-0000-00009D3D0000}"/>
    <cellStyle name="Normal 3 64" xfId="8775" xr:uid="{00000000-0005-0000-0000-00009E3D0000}"/>
    <cellStyle name="Normal 3 64 2" xfId="20865" xr:uid="{00000000-0005-0000-0000-00009F3D0000}"/>
    <cellStyle name="Normal 3 65" xfId="8776" xr:uid="{00000000-0005-0000-0000-0000A03D0000}"/>
    <cellStyle name="Normal 3 65 2" xfId="20866" xr:uid="{00000000-0005-0000-0000-0000A13D0000}"/>
    <cellStyle name="Normal 3 66" xfId="8777" xr:uid="{00000000-0005-0000-0000-0000A23D0000}"/>
    <cellStyle name="Normal 3 66 2" xfId="20867" xr:uid="{00000000-0005-0000-0000-0000A33D0000}"/>
    <cellStyle name="Normal 3 67" xfId="8778" xr:uid="{00000000-0005-0000-0000-0000A43D0000}"/>
    <cellStyle name="Normal 3 67 2" xfId="20868" xr:uid="{00000000-0005-0000-0000-0000A53D0000}"/>
    <cellStyle name="Normal 3 68" xfId="8779" xr:uid="{00000000-0005-0000-0000-0000A63D0000}"/>
    <cellStyle name="Normal 3 68 2" xfId="20869" xr:uid="{00000000-0005-0000-0000-0000A73D0000}"/>
    <cellStyle name="Normal 3 69" xfId="8780" xr:uid="{00000000-0005-0000-0000-0000A83D0000}"/>
    <cellStyle name="Normal 3 69 2" xfId="20870" xr:uid="{00000000-0005-0000-0000-0000A93D0000}"/>
    <cellStyle name="Normal 3 7" xfId="112" xr:uid="{00000000-0005-0000-0000-0000AA3D0000}"/>
    <cellStyle name="Normal 3 7 2" xfId="3157" xr:uid="{00000000-0005-0000-0000-0000AB3D0000}"/>
    <cellStyle name="Normal 3 7 2 2" xfId="14990" xr:uid="{00000000-0005-0000-0000-0000AC3D0000}"/>
    <cellStyle name="Normal 3 7 3" xfId="3158" xr:uid="{00000000-0005-0000-0000-0000AD3D0000}"/>
    <cellStyle name="Normal 3 7 3 2" xfId="14991" xr:uid="{00000000-0005-0000-0000-0000AE3D0000}"/>
    <cellStyle name="Normal 3 7 4" xfId="15326" xr:uid="{00000000-0005-0000-0000-0000AF3D0000}"/>
    <cellStyle name="Normal 3 70" xfId="8781" xr:uid="{00000000-0005-0000-0000-0000B03D0000}"/>
    <cellStyle name="Normal 3 70 2" xfId="20871" xr:uid="{00000000-0005-0000-0000-0000B13D0000}"/>
    <cellStyle name="Normal 3 71" xfId="8782" xr:uid="{00000000-0005-0000-0000-0000B23D0000}"/>
    <cellStyle name="Normal 3 71 2" xfId="20872" xr:uid="{00000000-0005-0000-0000-0000B33D0000}"/>
    <cellStyle name="Normal 3 72" xfId="8783" xr:uid="{00000000-0005-0000-0000-0000B43D0000}"/>
    <cellStyle name="Normal 3 72 2" xfId="20873" xr:uid="{00000000-0005-0000-0000-0000B53D0000}"/>
    <cellStyle name="Normal 3 73" xfId="8784" xr:uid="{00000000-0005-0000-0000-0000B63D0000}"/>
    <cellStyle name="Normal 3 73 2" xfId="20874" xr:uid="{00000000-0005-0000-0000-0000B73D0000}"/>
    <cellStyle name="Normal 3 74" xfId="8785" xr:uid="{00000000-0005-0000-0000-0000B83D0000}"/>
    <cellStyle name="Normal 3 74 2" xfId="20875" xr:uid="{00000000-0005-0000-0000-0000B93D0000}"/>
    <cellStyle name="Normal 3 75" xfId="8786" xr:uid="{00000000-0005-0000-0000-0000BA3D0000}"/>
    <cellStyle name="Normal 3 75 2" xfId="20876" xr:uid="{00000000-0005-0000-0000-0000BB3D0000}"/>
    <cellStyle name="Normal 3 76" xfId="8787" xr:uid="{00000000-0005-0000-0000-0000BC3D0000}"/>
    <cellStyle name="Normal 3 76 2" xfId="20877" xr:uid="{00000000-0005-0000-0000-0000BD3D0000}"/>
    <cellStyle name="Normal 3 77" xfId="8788" xr:uid="{00000000-0005-0000-0000-0000BE3D0000}"/>
    <cellStyle name="Normal 3 77 2" xfId="20878" xr:uid="{00000000-0005-0000-0000-0000BF3D0000}"/>
    <cellStyle name="Normal 3 78" xfId="8789" xr:uid="{00000000-0005-0000-0000-0000C03D0000}"/>
    <cellStyle name="Normal 3 78 2" xfId="20879" xr:uid="{00000000-0005-0000-0000-0000C13D0000}"/>
    <cellStyle name="Normal 3 79" xfId="8790" xr:uid="{00000000-0005-0000-0000-0000C23D0000}"/>
    <cellStyle name="Normal 3 79 2" xfId="20880" xr:uid="{00000000-0005-0000-0000-0000C33D0000}"/>
    <cellStyle name="Normal 3 8" xfId="127" xr:uid="{00000000-0005-0000-0000-0000C43D0000}"/>
    <cellStyle name="Normal 3 8 2" xfId="3159" xr:uid="{00000000-0005-0000-0000-0000C53D0000}"/>
    <cellStyle name="Normal 3 8 2 2" xfId="14992" xr:uid="{00000000-0005-0000-0000-0000C63D0000}"/>
    <cellStyle name="Normal 3 8 3" xfId="3160" xr:uid="{00000000-0005-0000-0000-0000C73D0000}"/>
    <cellStyle name="Normal 3 8 3 2" xfId="14993" xr:uid="{00000000-0005-0000-0000-0000C83D0000}"/>
    <cellStyle name="Normal 3 8 4" xfId="15327" xr:uid="{00000000-0005-0000-0000-0000C93D0000}"/>
    <cellStyle name="Normal 3 80" xfId="8791" xr:uid="{00000000-0005-0000-0000-0000CA3D0000}"/>
    <cellStyle name="Normal 3 80 2" xfId="20881" xr:uid="{00000000-0005-0000-0000-0000CB3D0000}"/>
    <cellStyle name="Normal 3 81" xfId="8792" xr:uid="{00000000-0005-0000-0000-0000CC3D0000}"/>
    <cellStyle name="Normal 3 81 2" xfId="20882" xr:uid="{00000000-0005-0000-0000-0000CD3D0000}"/>
    <cellStyle name="Normal 3 82" xfId="8793" xr:uid="{00000000-0005-0000-0000-0000CE3D0000}"/>
    <cellStyle name="Normal 3 82 2" xfId="20883" xr:uid="{00000000-0005-0000-0000-0000CF3D0000}"/>
    <cellStyle name="Normal 3 83" xfId="1617" xr:uid="{00000000-0005-0000-0000-0000D03D0000}"/>
    <cellStyle name="Normal 3 83 2" xfId="15048" xr:uid="{00000000-0005-0000-0000-0000D13D0000}"/>
    <cellStyle name="Normal 3 84" xfId="1522" xr:uid="{00000000-0005-0000-0000-0000D23D0000}"/>
    <cellStyle name="Normal 3 85" xfId="28304" xr:uid="{00000000-0005-0000-0000-0000D33D0000}"/>
    <cellStyle name="Normal 3 9" xfId="133" xr:uid="{00000000-0005-0000-0000-0000D43D0000}"/>
    <cellStyle name="Normal 3 9 2" xfId="3161" xr:uid="{00000000-0005-0000-0000-0000D53D0000}"/>
    <cellStyle name="Normal 3 9 2 2" xfId="14994" xr:uid="{00000000-0005-0000-0000-0000D63D0000}"/>
    <cellStyle name="Normal 3 9 3" xfId="3162" xr:uid="{00000000-0005-0000-0000-0000D73D0000}"/>
    <cellStyle name="Normal 3 9 3 2" xfId="14995" xr:uid="{00000000-0005-0000-0000-0000D83D0000}"/>
    <cellStyle name="Normal 3 9 4" xfId="15328" xr:uid="{00000000-0005-0000-0000-0000D93D0000}"/>
    <cellStyle name="Normal 3_DSS" xfId="1512" xr:uid="{00000000-0005-0000-0000-0000DA3D0000}"/>
    <cellStyle name="Normal 30" xfId="59" xr:uid="{00000000-0005-0000-0000-0000DB3D0000}"/>
    <cellStyle name="Normal 30 10" xfId="316" xr:uid="{00000000-0005-0000-0000-0000DC3D0000}"/>
    <cellStyle name="Normal 30 11" xfId="70" xr:uid="{00000000-0005-0000-0000-0000DD3D0000}"/>
    <cellStyle name="Normal 30 2" xfId="93" xr:uid="{00000000-0005-0000-0000-0000DE3D0000}"/>
    <cellStyle name="Normal 30 2 2" xfId="15065" xr:uid="{00000000-0005-0000-0000-0000DF3D0000}"/>
    <cellStyle name="Normal 30 3" xfId="108" xr:uid="{00000000-0005-0000-0000-0000E03D0000}"/>
    <cellStyle name="Normal 30 4" xfId="114" xr:uid="{00000000-0005-0000-0000-0000E13D0000}"/>
    <cellStyle name="Normal 30 5" xfId="121" xr:uid="{00000000-0005-0000-0000-0000E23D0000}"/>
    <cellStyle name="Normal 30 6" xfId="126" xr:uid="{00000000-0005-0000-0000-0000E33D0000}"/>
    <cellStyle name="Normal 30 7" xfId="132" xr:uid="{00000000-0005-0000-0000-0000E43D0000}"/>
    <cellStyle name="Normal 30 8" xfId="788" xr:uid="{00000000-0005-0000-0000-0000E53D0000}"/>
    <cellStyle name="Normal 30 9" xfId="719" xr:uid="{00000000-0005-0000-0000-0000E63D0000}"/>
    <cellStyle name="Normal 30_Master List" xfId="100" xr:uid="{00000000-0005-0000-0000-0000E73D0000}"/>
    <cellStyle name="Normal 31" xfId="77" xr:uid="{00000000-0005-0000-0000-0000E83D0000}"/>
    <cellStyle name="Normal 31 2" xfId="789" xr:uid="{00000000-0005-0000-0000-0000E93D0000}"/>
    <cellStyle name="Normal 31 3" xfId="720" xr:uid="{00000000-0005-0000-0000-0000EA3D0000}"/>
    <cellStyle name="Normal 31 4" xfId="317" xr:uid="{00000000-0005-0000-0000-0000EB3D0000}"/>
    <cellStyle name="Normal 32" xfId="144" xr:uid="{00000000-0005-0000-0000-0000EC3D0000}"/>
    <cellStyle name="Normal 32 2" xfId="167" xr:uid="{00000000-0005-0000-0000-0000ED3D0000}"/>
    <cellStyle name="Normal 32 2 2" xfId="20884" xr:uid="{00000000-0005-0000-0000-0000EE3D0000}"/>
    <cellStyle name="Normal 32 3" xfId="790" xr:uid="{00000000-0005-0000-0000-0000EF3D0000}"/>
    <cellStyle name="Normal 32 4" xfId="721" xr:uid="{00000000-0005-0000-0000-0000F03D0000}"/>
    <cellStyle name="Normal 32 5" xfId="318" xr:uid="{00000000-0005-0000-0000-0000F13D0000}"/>
    <cellStyle name="Normal 33" xfId="145" xr:uid="{00000000-0005-0000-0000-0000F23D0000}"/>
    <cellStyle name="Normal 33 2" xfId="168" xr:uid="{00000000-0005-0000-0000-0000F33D0000}"/>
    <cellStyle name="Normal 33 2 2" xfId="20885" xr:uid="{00000000-0005-0000-0000-0000F43D0000}"/>
    <cellStyle name="Normal 33 3" xfId="791" xr:uid="{00000000-0005-0000-0000-0000F53D0000}"/>
    <cellStyle name="Normal 33 4" xfId="722" xr:uid="{00000000-0005-0000-0000-0000F63D0000}"/>
    <cellStyle name="Normal 33 5" xfId="319" xr:uid="{00000000-0005-0000-0000-0000F73D0000}"/>
    <cellStyle name="Normal 34" xfId="71" xr:uid="{00000000-0005-0000-0000-0000F83D0000}"/>
    <cellStyle name="Normal 34 2" xfId="792" xr:uid="{00000000-0005-0000-0000-0000F93D0000}"/>
    <cellStyle name="Normal 34 3" xfId="723" xr:uid="{00000000-0005-0000-0000-0000FA3D0000}"/>
    <cellStyle name="Normal 34 4" xfId="320" xr:uid="{00000000-0005-0000-0000-0000FB3D0000}"/>
    <cellStyle name="Normal 34 5" xfId="8794" xr:uid="{00000000-0005-0000-0000-0000FC3D0000}"/>
    <cellStyle name="Normal 35" xfId="72" xr:uid="{00000000-0005-0000-0000-0000FD3D0000}"/>
    <cellStyle name="Normal 35 10" xfId="8795" xr:uid="{00000000-0005-0000-0000-0000FE3D0000}"/>
    <cellStyle name="Normal 35 10 2" xfId="20887" xr:uid="{00000000-0005-0000-0000-0000FF3D0000}"/>
    <cellStyle name="Normal 35 11" xfId="8796" xr:uid="{00000000-0005-0000-0000-0000003E0000}"/>
    <cellStyle name="Normal 35 11 2" xfId="20888" xr:uid="{00000000-0005-0000-0000-0000013E0000}"/>
    <cellStyle name="Normal 35 12" xfId="8797" xr:uid="{00000000-0005-0000-0000-0000023E0000}"/>
    <cellStyle name="Normal 35 12 2" xfId="20889" xr:uid="{00000000-0005-0000-0000-0000033E0000}"/>
    <cellStyle name="Normal 35 13" xfId="8798" xr:uid="{00000000-0005-0000-0000-0000043E0000}"/>
    <cellStyle name="Normal 35 13 2" xfId="20890" xr:uid="{00000000-0005-0000-0000-0000053E0000}"/>
    <cellStyle name="Normal 35 14" xfId="8799" xr:uid="{00000000-0005-0000-0000-0000063E0000}"/>
    <cellStyle name="Normal 35 14 2" xfId="20891" xr:uid="{00000000-0005-0000-0000-0000073E0000}"/>
    <cellStyle name="Normal 35 15" xfId="8800" xr:uid="{00000000-0005-0000-0000-0000083E0000}"/>
    <cellStyle name="Normal 35 15 2" xfId="20892" xr:uid="{00000000-0005-0000-0000-0000093E0000}"/>
    <cellStyle name="Normal 35 16" xfId="8801" xr:uid="{00000000-0005-0000-0000-00000A3E0000}"/>
    <cellStyle name="Normal 35 16 2" xfId="20893" xr:uid="{00000000-0005-0000-0000-00000B3E0000}"/>
    <cellStyle name="Normal 35 17" xfId="8802" xr:uid="{00000000-0005-0000-0000-00000C3E0000}"/>
    <cellStyle name="Normal 35 17 2" xfId="20894" xr:uid="{00000000-0005-0000-0000-00000D3E0000}"/>
    <cellStyle name="Normal 35 18" xfId="8803" xr:uid="{00000000-0005-0000-0000-00000E3E0000}"/>
    <cellStyle name="Normal 35 18 2" xfId="20895" xr:uid="{00000000-0005-0000-0000-00000F3E0000}"/>
    <cellStyle name="Normal 35 19" xfId="8804" xr:uid="{00000000-0005-0000-0000-0000103E0000}"/>
    <cellStyle name="Normal 35 19 2" xfId="20896" xr:uid="{00000000-0005-0000-0000-0000113E0000}"/>
    <cellStyle name="Normal 35 2" xfId="793" xr:uid="{00000000-0005-0000-0000-0000123E0000}"/>
    <cellStyle name="Normal 35 2 2" xfId="20897" xr:uid="{00000000-0005-0000-0000-0000133E0000}"/>
    <cellStyle name="Normal 35 20" xfId="8805" xr:uid="{00000000-0005-0000-0000-0000143E0000}"/>
    <cellStyle name="Normal 35 20 2" xfId="20898" xr:uid="{00000000-0005-0000-0000-0000153E0000}"/>
    <cellStyle name="Normal 35 21" xfId="8806" xr:uid="{00000000-0005-0000-0000-0000163E0000}"/>
    <cellStyle name="Normal 35 21 2" xfId="20899" xr:uid="{00000000-0005-0000-0000-0000173E0000}"/>
    <cellStyle name="Normal 35 22" xfId="8807" xr:uid="{00000000-0005-0000-0000-0000183E0000}"/>
    <cellStyle name="Normal 35 22 2" xfId="20900" xr:uid="{00000000-0005-0000-0000-0000193E0000}"/>
    <cellStyle name="Normal 35 23" xfId="8808" xr:uid="{00000000-0005-0000-0000-00001A3E0000}"/>
    <cellStyle name="Normal 35 23 2" xfId="20901" xr:uid="{00000000-0005-0000-0000-00001B3E0000}"/>
    <cellStyle name="Normal 35 24" xfId="8809" xr:uid="{00000000-0005-0000-0000-00001C3E0000}"/>
    <cellStyle name="Normal 35 24 2" xfId="20902" xr:uid="{00000000-0005-0000-0000-00001D3E0000}"/>
    <cellStyle name="Normal 35 25" xfId="8810" xr:uid="{00000000-0005-0000-0000-00001E3E0000}"/>
    <cellStyle name="Normal 35 25 2" xfId="20903" xr:uid="{00000000-0005-0000-0000-00001F3E0000}"/>
    <cellStyle name="Normal 35 26" xfId="8811" xr:uid="{00000000-0005-0000-0000-0000203E0000}"/>
    <cellStyle name="Normal 35 26 2" xfId="20904" xr:uid="{00000000-0005-0000-0000-0000213E0000}"/>
    <cellStyle name="Normal 35 27" xfId="8812" xr:uid="{00000000-0005-0000-0000-0000223E0000}"/>
    <cellStyle name="Normal 35 27 2" xfId="20905" xr:uid="{00000000-0005-0000-0000-0000233E0000}"/>
    <cellStyle name="Normal 35 28" xfId="8813" xr:uid="{00000000-0005-0000-0000-0000243E0000}"/>
    <cellStyle name="Normal 35 28 2" xfId="20906" xr:uid="{00000000-0005-0000-0000-0000253E0000}"/>
    <cellStyle name="Normal 35 29" xfId="8814" xr:uid="{00000000-0005-0000-0000-0000263E0000}"/>
    <cellStyle name="Normal 35 29 2" xfId="20907" xr:uid="{00000000-0005-0000-0000-0000273E0000}"/>
    <cellStyle name="Normal 35 3" xfId="724" xr:uid="{00000000-0005-0000-0000-0000283E0000}"/>
    <cellStyle name="Normal 35 3 2" xfId="20908" xr:uid="{00000000-0005-0000-0000-0000293E0000}"/>
    <cellStyle name="Normal 35 3 3" xfId="8815" xr:uid="{00000000-0005-0000-0000-00002A3E0000}"/>
    <cellStyle name="Normal 35 30" xfId="8816" xr:uid="{00000000-0005-0000-0000-00002B3E0000}"/>
    <cellStyle name="Normal 35 30 2" xfId="20909" xr:uid="{00000000-0005-0000-0000-00002C3E0000}"/>
    <cellStyle name="Normal 35 31" xfId="8817" xr:uid="{00000000-0005-0000-0000-00002D3E0000}"/>
    <cellStyle name="Normal 35 31 2" xfId="20910" xr:uid="{00000000-0005-0000-0000-00002E3E0000}"/>
    <cellStyle name="Normal 35 32" xfId="8818" xr:uid="{00000000-0005-0000-0000-00002F3E0000}"/>
    <cellStyle name="Normal 35 32 2" xfId="20911" xr:uid="{00000000-0005-0000-0000-0000303E0000}"/>
    <cellStyle name="Normal 35 33" xfId="8819" xr:uid="{00000000-0005-0000-0000-0000313E0000}"/>
    <cellStyle name="Normal 35 33 2" xfId="20912" xr:uid="{00000000-0005-0000-0000-0000323E0000}"/>
    <cellStyle name="Normal 35 34" xfId="8820" xr:uid="{00000000-0005-0000-0000-0000333E0000}"/>
    <cellStyle name="Normal 35 34 2" xfId="20913" xr:uid="{00000000-0005-0000-0000-0000343E0000}"/>
    <cellStyle name="Normal 35 35" xfId="8821" xr:uid="{00000000-0005-0000-0000-0000353E0000}"/>
    <cellStyle name="Normal 35 35 2" xfId="20914" xr:uid="{00000000-0005-0000-0000-0000363E0000}"/>
    <cellStyle name="Normal 35 36" xfId="8822" xr:uid="{00000000-0005-0000-0000-0000373E0000}"/>
    <cellStyle name="Normal 35 36 2" xfId="20915" xr:uid="{00000000-0005-0000-0000-0000383E0000}"/>
    <cellStyle name="Normal 35 37" xfId="8823" xr:uid="{00000000-0005-0000-0000-0000393E0000}"/>
    <cellStyle name="Normal 35 37 2" xfId="20916" xr:uid="{00000000-0005-0000-0000-00003A3E0000}"/>
    <cellStyle name="Normal 35 38" xfId="8824" xr:uid="{00000000-0005-0000-0000-00003B3E0000}"/>
    <cellStyle name="Normal 35 38 2" xfId="20917" xr:uid="{00000000-0005-0000-0000-00003C3E0000}"/>
    <cellStyle name="Normal 35 39" xfId="8825" xr:uid="{00000000-0005-0000-0000-00003D3E0000}"/>
    <cellStyle name="Normal 35 39 2" xfId="20918" xr:uid="{00000000-0005-0000-0000-00003E3E0000}"/>
    <cellStyle name="Normal 35 4" xfId="321" xr:uid="{00000000-0005-0000-0000-00003F3E0000}"/>
    <cellStyle name="Normal 35 4 2" xfId="20919" xr:uid="{00000000-0005-0000-0000-0000403E0000}"/>
    <cellStyle name="Normal 35 40" xfId="8826" xr:uid="{00000000-0005-0000-0000-0000413E0000}"/>
    <cellStyle name="Normal 35 40 2" xfId="20920" xr:uid="{00000000-0005-0000-0000-0000423E0000}"/>
    <cellStyle name="Normal 35 41" xfId="8827" xr:uid="{00000000-0005-0000-0000-0000433E0000}"/>
    <cellStyle name="Normal 35 41 2" xfId="20921" xr:uid="{00000000-0005-0000-0000-0000443E0000}"/>
    <cellStyle name="Normal 35 42" xfId="8828" xr:uid="{00000000-0005-0000-0000-0000453E0000}"/>
    <cellStyle name="Normal 35 42 2" xfId="20922" xr:uid="{00000000-0005-0000-0000-0000463E0000}"/>
    <cellStyle name="Normal 35 43" xfId="8829" xr:uid="{00000000-0005-0000-0000-0000473E0000}"/>
    <cellStyle name="Normal 35 43 2" xfId="20923" xr:uid="{00000000-0005-0000-0000-0000483E0000}"/>
    <cellStyle name="Normal 35 44" xfId="8830" xr:uid="{00000000-0005-0000-0000-0000493E0000}"/>
    <cellStyle name="Normal 35 44 2" xfId="20924" xr:uid="{00000000-0005-0000-0000-00004A3E0000}"/>
    <cellStyle name="Normal 35 45" xfId="8831" xr:uid="{00000000-0005-0000-0000-00004B3E0000}"/>
    <cellStyle name="Normal 35 45 2" xfId="20925" xr:uid="{00000000-0005-0000-0000-00004C3E0000}"/>
    <cellStyle name="Normal 35 46" xfId="8832" xr:uid="{00000000-0005-0000-0000-00004D3E0000}"/>
    <cellStyle name="Normal 35 46 2" xfId="20926" xr:uid="{00000000-0005-0000-0000-00004E3E0000}"/>
    <cellStyle name="Normal 35 47" xfId="8833" xr:uid="{00000000-0005-0000-0000-00004F3E0000}"/>
    <cellStyle name="Normal 35 47 2" xfId="20927" xr:uid="{00000000-0005-0000-0000-0000503E0000}"/>
    <cellStyle name="Normal 35 48" xfId="8834" xr:uid="{00000000-0005-0000-0000-0000513E0000}"/>
    <cellStyle name="Normal 35 48 2" xfId="20928" xr:uid="{00000000-0005-0000-0000-0000523E0000}"/>
    <cellStyle name="Normal 35 49" xfId="8835" xr:uid="{00000000-0005-0000-0000-0000533E0000}"/>
    <cellStyle name="Normal 35 49 2" xfId="20929" xr:uid="{00000000-0005-0000-0000-0000543E0000}"/>
    <cellStyle name="Normal 35 5" xfId="8836" xr:uid="{00000000-0005-0000-0000-0000553E0000}"/>
    <cellStyle name="Normal 35 5 2" xfId="20930" xr:uid="{00000000-0005-0000-0000-0000563E0000}"/>
    <cellStyle name="Normal 35 50" xfId="8837" xr:uid="{00000000-0005-0000-0000-0000573E0000}"/>
    <cellStyle name="Normal 35 50 2" xfId="20931" xr:uid="{00000000-0005-0000-0000-0000583E0000}"/>
    <cellStyle name="Normal 35 51" xfId="8838" xr:uid="{00000000-0005-0000-0000-0000593E0000}"/>
    <cellStyle name="Normal 35 51 2" xfId="20932" xr:uid="{00000000-0005-0000-0000-00005A3E0000}"/>
    <cellStyle name="Normal 35 52" xfId="8839" xr:uid="{00000000-0005-0000-0000-00005B3E0000}"/>
    <cellStyle name="Normal 35 52 2" xfId="20933" xr:uid="{00000000-0005-0000-0000-00005C3E0000}"/>
    <cellStyle name="Normal 35 53" xfId="8840" xr:uid="{00000000-0005-0000-0000-00005D3E0000}"/>
    <cellStyle name="Normal 35 53 2" xfId="20934" xr:uid="{00000000-0005-0000-0000-00005E3E0000}"/>
    <cellStyle name="Normal 35 54" xfId="8841" xr:uid="{00000000-0005-0000-0000-00005F3E0000}"/>
    <cellStyle name="Normal 35 54 2" xfId="20935" xr:uid="{00000000-0005-0000-0000-0000603E0000}"/>
    <cellStyle name="Normal 35 55" xfId="8842" xr:uid="{00000000-0005-0000-0000-0000613E0000}"/>
    <cellStyle name="Normal 35 55 2" xfId="20936" xr:uid="{00000000-0005-0000-0000-0000623E0000}"/>
    <cellStyle name="Normal 35 56" xfId="8843" xr:uid="{00000000-0005-0000-0000-0000633E0000}"/>
    <cellStyle name="Normal 35 56 2" xfId="20937" xr:uid="{00000000-0005-0000-0000-0000643E0000}"/>
    <cellStyle name="Normal 35 57" xfId="8844" xr:uid="{00000000-0005-0000-0000-0000653E0000}"/>
    <cellStyle name="Normal 35 57 2" xfId="20938" xr:uid="{00000000-0005-0000-0000-0000663E0000}"/>
    <cellStyle name="Normal 35 58" xfId="8845" xr:uid="{00000000-0005-0000-0000-0000673E0000}"/>
    <cellStyle name="Normal 35 58 2" xfId="20939" xr:uid="{00000000-0005-0000-0000-0000683E0000}"/>
    <cellStyle name="Normal 35 59" xfId="8846" xr:uid="{00000000-0005-0000-0000-0000693E0000}"/>
    <cellStyle name="Normal 35 59 2" xfId="20940" xr:uid="{00000000-0005-0000-0000-00006A3E0000}"/>
    <cellStyle name="Normal 35 6" xfId="8847" xr:uid="{00000000-0005-0000-0000-00006B3E0000}"/>
    <cellStyle name="Normal 35 6 2" xfId="20941" xr:uid="{00000000-0005-0000-0000-00006C3E0000}"/>
    <cellStyle name="Normal 35 60" xfId="8848" xr:uid="{00000000-0005-0000-0000-00006D3E0000}"/>
    <cellStyle name="Normal 35 60 2" xfId="20942" xr:uid="{00000000-0005-0000-0000-00006E3E0000}"/>
    <cellStyle name="Normal 35 61" xfId="8849" xr:uid="{00000000-0005-0000-0000-00006F3E0000}"/>
    <cellStyle name="Normal 35 61 2" xfId="20943" xr:uid="{00000000-0005-0000-0000-0000703E0000}"/>
    <cellStyle name="Normal 35 62" xfId="8850" xr:uid="{00000000-0005-0000-0000-0000713E0000}"/>
    <cellStyle name="Normal 35 62 2" xfId="20944" xr:uid="{00000000-0005-0000-0000-0000723E0000}"/>
    <cellStyle name="Normal 35 63" xfId="8851" xr:uid="{00000000-0005-0000-0000-0000733E0000}"/>
    <cellStyle name="Normal 35 63 2" xfId="20945" xr:uid="{00000000-0005-0000-0000-0000743E0000}"/>
    <cellStyle name="Normal 35 64" xfId="8852" xr:uid="{00000000-0005-0000-0000-0000753E0000}"/>
    <cellStyle name="Normal 35 64 2" xfId="20946" xr:uid="{00000000-0005-0000-0000-0000763E0000}"/>
    <cellStyle name="Normal 35 65" xfId="8853" xr:uid="{00000000-0005-0000-0000-0000773E0000}"/>
    <cellStyle name="Normal 35 65 2" xfId="20947" xr:uid="{00000000-0005-0000-0000-0000783E0000}"/>
    <cellStyle name="Normal 35 66" xfId="8854" xr:uid="{00000000-0005-0000-0000-0000793E0000}"/>
    <cellStyle name="Normal 35 66 2" xfId="20948" xr:uid="{00000000-0005-0000-0000-00007A3E0000}"/>
    <cellStyle name="Normal 35 67" xfId="8855" xr:uid="{00000000-0005-0000-0000-00007B3E0000}"/>
    <cellStyle name="Normal 35 67 2" xfId="20949" xr:uid="{00000000-0005-0000-0000-00007C3E0000}"/>
    <cellStyle name="Normal 35 68" xfId="8856" xr:uid="{00000000-0005-0000-0000-00007D3E0000}"/>
    <cellStyle name="Normal 35 68 2" xfId="20950" xr:uid="{00000000-0005-0000-0000-00007E3E0000}"/>
    <cellStyle name="Normal 35 69" xfId="8857" xr:uid="{00000000-0005-0000-0000-00007F3E0000}"/>
    <cellStyle name="Normal 35 69 2" xfId="20951" xr:uid="{00000000-0005-0000-0000-0000803E0000}"/>
    <cellStyle name="Normal 35 7" xfId="8858" xr:uid="{00000000-0005-0000-0000-0000813E0000}"/>
    <cellStyle name="Normal 35 7 2" xfId="20952" xr:uid="{00000000-0005-0000-0000-0000823E0000}"/>
    <cellStyle name="Normal 35 70" xfId="8859" xr:uid="{00000000-0005-0000-0000-0000833E0000}"/>
    <cellStyle name="Normal 35 70 2" xfId="20953" xr:uid="{00000000-0005-0000-0000-0000843E0000}"/>
    <cellStyle name="Normal 35 71" xfId="8860" xr:uid="{00000000-0005-0000-0000-0000853E0000}"/>
    <cellStyle name="Normal 35 71 2" xfId="20954" xr:uid="{00000000-0005-0000-0000-0000863E0000}"/>
    <cellStyle name="Normal 35 72" xfId="8861" xr:uid="{00000000-0005-0000-0000-0000873E0000}"/>
    <cellStyle name="Normal 35 72 2" xfId="20955" xr:uid="{00000000-0005-0000-0000-0000883E0000}"/>
    <cellStyle name="Normal 35 73" xfId="8862" xr:uid="{00000000-0005-0000-0000-0000893E0000}"/>
    <cellStyle name="Normal 35 73 2" xfId="20956" xr:uid="{00000000-0005-0000-0000-00008A3E0000}"/>
    <cellStyle name="Normal 35 74" xfId="8863" xr:uid="{00000000-0005-0000-0000-00008B3E0000}"/>
    <cellStyle name="Normal 35 74 2" xfId="20957" xr:uid="{00000000-0005-0000-0000-00008C3E0000}"/>
    <cellStyle name="Normal 35 75" xfId="8864" xr:uid="{00000000-0005-0000-0000-00008D3E0000}"/>
    <cellStyle name="Normal 35 75 2" xfId="20958" xr:uid="{00000000-0005-0000-0000-00008E3E0000}"/>
    <cellStyle name="Normal 35 76" xfId="8865" xr:uid="{00000000-0005-0000-0000-00008F3E0000}"/>
    <cellStyle name="Normal 35 76 2" xfId="20959" xr:uid="{00000000-0005-0000-0000-0000903E0000}"/>
    <cellStyle name="Normal 35 77" xfId="8866" xr:uid="{00000000-0005-0000-0000-0000913E0000}"/>
    <cellStyle name="Normal 35 77 2" xfId="20960" xr:uid="{00000000-0005-0000-0000-0000923E0000}"/>
    <cellStyle name="Normal 35 78" xfId="8867" xr:uid="{00000000-0005-0000-0000-0000933E0000}"/>
    <cellStyle name="Normal 35 78 2" xfId="20961" xr:uid="{00000000-0005-0000-0000-0000943E0000}"/>
    <cellStyle name="Normal 35 79" xfId="8868" xr:uid="{00000000-0005-0000-0000-0000953E0000}"/>
    <cellStyle name="Normal 35 79 2" xfId="20962" xr:uid="{00000000-0005-0000-0000-0000963E0000}"/>
    <cellStyle name="Normal 35 8" xfId="8869" xr:uid="{00000000-0005-0000-0000-0000973E0000}"/>
    <cellStyle name="Normal 35 8 2" xfId="20963" xr:uid="{00000000-0005-0000-0000-0000983E0000}"/>
    <cellStyle name="Normal 35 80" xfId="20886" xr:uid="{00000000-0005-0000-0000-0000993E0000}"/>
    <cellStyle name="Normal 35 9" xfId="8870" xr:uid="{00000000-0005-0000-0000-00009A3E0000}"/>
    <cellStyle name="Normal 35 9 2" xfId="20964" xr:uid="{00000000-0005-0000-0000-00009B3E0000}"/>
    <cellStyle name="Normal 36" xfId="73" xr:uid="{00000000-0005-0000-0000-00009C3E0000}"/>
    <cellStyle name="Normal 36 10" xfId="8871" xr:uid="{00000000-0005-0000-0000-00009D3E0000}"/>
    <cellStyle name="Normal 36 10 2" xfId="20966" xr:uid="{00000000-0005-0000-0000-00009E3E0000}"/>
    <cellStyle name="Normal 36 11" xfId="8872" xr:uid="{00000000-0005-0000-0000-00009F3E0000}"/>
    <cellStyle name="Normal 36 11 2" xfId="20967" xr:uid="{00000000-0005-0000-0000-0000A03E0000}"/>
    <cellStyle name="Normal 36 12" xfId="8873" xr:uid="{00000000-0005-0000-0000-0000A13E0000}"/>
    <cellStyle name="Normal 36 12 2" xfId="20968" xr:uid="{00000000-0005-0000-0000-0000A23E0000}"/>
    <cellStyle name="Normal 36 13" xfId="8874" xr:uid="{00000000-0005-0000-0000-0000A33E0000}"/>
    <cellStyle name="Normal 36 13 2" xfId="20969" xr:uid="{00000000-0005-0000-0000-0000A43E0000}"/>
    <cellStyle name="Normal 36 14" xfId="8875" xr:uid="{00000000-0005-0000-0000-0000A53E0000}"/>
    <cellStyle name="Normal 36 14 2" xfId="20970" xr:uid="{00000000-0005-0000-0000-0000A63E0000}"/>
    <cellStyle name="Normal 36 15" xfId="8876" xr:uid="{00000000-0005-0000-0000-0000A73E0000}"/>
    <cellStyle name="Normal 36 15 2" xfId="20971" xr:uid="{00000000-0005-0000-0000-0000A83E0000}"/>
    <cellStyle name="Normal 36 16" xfId="8877" xr:uid="{00000000-0005-0000-0000-0000A93E0000}"/>
    <cellStyle name="Normal 36 16 2" xfId="20972" xr:uid="{00000000-0005-0000-0000-0000AA3E0000}"/>
    <cellStyle name="Normal 36 17" xfId="8878" xr:uid="{00000000-0005-0000-0000-0000AB3E0000}"/>
    <cellStyle name="Normal 36 17 2" xfId="20973" xr:uid="{00000000-0005-0000-0000-0000AC3E0000}"/>
    <cellStyle name="Normal 36 18" xfId="8879" xr:uid="{00000000-0005-0000-0000-0000AD3E0000}"/>
    <cellStyle name="Normal 36 18 2" xfId="20974" xr:uid="{00000000-0005-0000-0000-0000AE3E0000}"/>
    <cellStyle name="Normal 36 19" xfId="8880" xr:uid="{00000000-0005-0000-0000-0000AF3E0000}"/>
    <cellStyle name="Normal 36 19 2" xfId="20975" xr:uid="{00000000-0005-0000-0000-0000B03E0000}"/>
    <cellStyle name="Normal 36 2" xfId="794" xr:uid="{00000000-0005-0000-0000-0000B13E0000}"/>
    <cellStyle name="Normal 36 2 2" xfId="20976" xr:uid="{00000000-0005-0000-0000-0000B23E0000}"/>
    <cellStyle name="Normal 36 20" xfId="8881" xr:uid="{00000000-0005-0000-0000-0000B33E0000}"/>
    <cellStyle name="Normal 36 20 2" xfId="20977" xr:uid="{00000000-0005-0000-0000-0000B43E0000}"/>
    <cellStyle name="Normal 36 21" xfId="8882" xr:uid="{00000000-0005-0000-0000-0000B53E0000}"/>
    <cellStyle name="Normal 36 21 2" xfId="20978" xr:uid="{00000000-0005-0000-0000-0000B63E0000}"/>
    <cellStyle name="Normal 36 22" xfId="8883" xr:uid="{00000000-0005-0000-0000-0000B73E0000}"/>
    <cellStyle name="Normal 36 22 2" xfId="20979" xr:uid="{00000000-0005-0000-0000-0000B83E0000}"/>
    <cellStyle name="Normal 36 23" xfId="8884" xr:uid="{00000000-0005-0000-0000-0000B93E0000}"/>
    <cellStyle name="Normal 36 23 2" xfId="20980" xr:uid="{00000000-0005-0000-0000-0000BA3E0000}"/>
    <cellStyle name="Normal 36 24" xfId="8885" xr:uid="{00000000-0005-0000-0000-0000BB3E0000}"/>
    <cellStyle name="Normal 36 24 2" xfId="20981" xr:uid="{00000000-0005-0000-0000-0000BC3E0000}"/>
    <cellStyle name="Normal 36 25" xfId="8886" xr:uid="{00000000-0005-0000-0000-0000BD3E0000}"/>
    <cellStyle name="Normal 36 25 2" xfId="20982" xr:uid="{00000000-0005-0000-0000-0000BE3E0000}"/>
    <cellStyle name="Normal 36 26" xfId="8887" xr:uid="{00000000-0005-0000-0000-0000BF3E0000}"/>
    <cellStyle name="Normal 36 26 2" xfId="20983" xr:uid="{00000000-0005-0000-0000-0000C03E0000}"/>
    <cellStyle name="Normal 36 27" xfId="8888" xr:uid="{00000000-0005-0000-0000-0000C13E0000}"/>
    <cellStyle name="Normal 36 27 2" xfId="20984" xr:uid="{00000000-0005-0000-0000-0000C23E0000}"/>
    <cellStyle name="Normal 36 28" xfId="8889" xr:uid="{00000000-0005-0000-0000-0000C33E0000}"/>
    <cellStyle name="Normal 36 28 2" xfId="20985" xr:uid="{00000000-0005-0000-0000-0000C43E0000}"/>
    <cellStyle name="Normal 36 29" xfId="8890" xr:uid="{00000000-0005-0000-0000-0000C53E0000}"/>
    <cellStyle name="Normal 36 29 2" xfId="20986" xr:uid="{00000000-0005-0000-0000-0000C63E0000}"/>
    <cellStyle name="Normal 36 3" xfId="725" xr:uid="{00000000-0005-0000-0000-0000C73E0000}"/>
    <cellStyle name="Normal 36 3 2" xfId="20987" xr:uid="{00000000-0005-0000-0000-0000C83E0000}"/>
    <cellStyle name="Normal 36 3 3" xfId="8891" xr:uid="{00000000-0005-0000-0000-0000C93E0000}"/>
    <cellStyle name="Normal 36 30" xfId="8892" xr:uid="{00000000-0005-0000-0000-0000CA3E0000}"/>
    <cellStyle name="Normal 36 30 2" xfId="20988" xr:uid="{00000000-0005-0000-0000-0000CB3E0000}"/>
    <cellStyle name="Normal 36 31" xfId="8893" xr:uid="{00000000-0005-0000-0000-0000CC3E0000}"/>
    <cellStyle name="Normal 36 31 2" xfId="20989" xr:uid="{00000000-0005-0000-0000-0000CD3E0000}"/>
    <cellStyle name="Normal 36 32" xfId="8894" xr:uid="{00000000-0005-0000-0000-0000CE3E0000}"/>
    <cellStyle name="Normal 36 32 2" xfId="20990" xr:uid="{00000000-0005-0000-0000-0000CF3E0000}"/>
    <cellStyle name="Normal 36 33" xfId="8895" xr:uid="{00000000-0005-0000-0000-0000D03E0000}"/>
    <cellStyle name="Normal 36 33 2" xfId="20991" xr:uid="{00000000-0005-0000-0000-0000D13E0000}"/>
    <cellStyle name="Normal 36 34" xfId="8896" xr:uid="{00000000-0005-0000-0000-0000D23E0000}"/>
    <cellStyle name="Normal 36 34 2" xfId="20992" xr:uid="{00000000-0005-0000-0000-0000D33E0000}"/>
    <cellStyle name="Normal 36 35" xfId="8897" xr:uid="{00000000-0005-0000-0000-0000D43E0000}"/>
    <cellStyle name="Normal 36 35 2" xfId="20993" xr:uid="{00000000-0005-0000-0000-0000D53E0000}"/>
    <cellStyle name="Normal 36 36" xfId="8898" xr:uid="{00000000-0005-0000-0000-0000D63E0000}"/>
    <cellStyle name="Normal 36 36 2" xfId="20994" xr:uid="{00000000-0005-0000-0000-0000D73E0000}"/>
    <cellStyle name="Normal 36 37" xfId="8899" xr:uid="{00000000-0005-0000-0000-0000D83E0000}"/>
    <cellStyle name="Normal 36 37 2" xfId="20995" xr:uid="{00000000-0005-0000-0000-0000D93E0000}"/>
    <cellStyle name="Normal 36 38" xfId="8900" xr:uid="{00000000-0005-0000-0000-0000DA3E0000}"/>
    <cellStyle name="Normal 36 38 2" xfId="20996" xr:uid="{00000000-0005-0000-0000-0000DB3E0000}"/>
    <cellStyle name="Normal 36 39" xfId="8901" xr:uid="{00000000-0005-0000-0000-0000DC3E0000}"/>
    <cellStyle name="Normal 36 39 2" xfId="20997" xr:uid="{00000000-0005-0000-0000-0000DD3E0000}"/>
    <cellStyle name="Normal 36 4" xfId="322" xr:uid="{00000000-0005-0000-0000-0000DE3E0000}"/>
    <cellStyle name="Normal 36 4 2" xfId="20998" xr:uid="{00000000-0005-0000-0000-0000DF3E0000}"/>
    <cellStyle name="Normal 36 40" xfId="8902" xr:uid="{00000000-0005-0000-0000-0000E03E0000}"/>
    <cellStyle name="Normal 36 40 2" xfId="20999" xr:uid="{00000000-0005-0000-0000-0000E13E0000}"/>
    <cellStyle name="Normal 36 41" xfId="8903" xr:uid="{00000000-0005-0000-0000-0000E23E0000}"/>
    <cellStyle name="Normal 36 41 2" xfId="21000" xr:uid="{00000000-0005-0000-0000-0000E33E0000}"/>
    <cellStyle name="Normal 36 42" xfId="8904" xr:uid="{00000000-0005-0000-0000-0000E43E0000}"/>
    <cellStyle name="Normal 36 42 2" xfId="21001" xr:uid="{00000000-0005-0000-0000-0000E53E0000}"/>
    <cellStyle name="Normal 36 43" xfId="8905" xr:uid="{00000000-0005-0000-0000-0000E63E0000}"/>
    <cellStyle name="Normal 36 43 2" xfId="21002" xr:uid="{00000000-0005-0000-0000-0000E73E0000}"/>
    <cellStyle name="Normal 36 44" xfId="8906" xr:uid="{00000000-0005-0000-0000-0000E83E0000}"/>
    <cellStyle name="Normal 36 44 2" xfId="21003" xr:uid="{00000000-0005-0000-0000-0000E93E0000}"/>
    <cellStyle name="Normal 36 45" xfId="8907" xr:uid="{00000000-0005-0000-0000-0000EA3E0000}"/>
    <cellStyle name="Normal 36 45 2" xfId="21004" xr:uid="{00000000-0005-0000-0000-0000EB3E0000}"/>
    <cellStyle name="Normal 36 46" xfId="8908" xr:uid="{00000000-0005-0000-0000-0000EC3E0000}"/>
    <cellStyle name="Normal 36 46 2" xfId="21005" xr:uid="{00000000-0005-0000-0000-0000ED3E0000}"/>
    <cellStyle name="Normal 36 47" xfId="8909" xr:uid="{00000000-0005-0000-0000-0000EE3E0000}"/>
    <cellStyle name="Normal 36 47 2" xfId="21006" xr:uid="{00000000-0005-0000-0000-0000EF3E0000}"/>
    <cellStyle name="Normal 36 48" xfId="8910" xr:uid="{00000000-0005-0000-0000-0000F03E0000}"/>
    <cellStyle name="Normal 36 48 2" xfId="21007" xr:uid="{00000000-0005-0000-0000-0000F13E0000}"/>
    <cellStyle name="Normal 36 49" xfId="8911" xr:uid="{00000000-0005-0000-0000-0000F23E0000}"/>
    <cellStyle name="Normal 36 49 2" xfId="21008" xr:uid="{00000000-0005-0000-0000-0000F33E0000}"/>
    <cellStyle name="Normal 36 5" xfId="8912" xr:uid="{00000000-0005-0000-0000-0000F43E0000}"/>
    <cellStyle name="Normal 36 5 2" xfId="21009" xr:uid="{00000000-0005-0000-0000-0000F53E0000}"/>
    <cellStyle name="Normal 36 50" xfId="8913" xr:uid="{00000000-0005-0000-0000-0000F63E0000}"/>
    <cellStyle name="Normal 36 50 2" xfId="21010" xr:uid="{00000000-0005-0000-0000-0000F73E0000}"/>
    <cellStyle name="Normal 36 51" xfId="8914" xr:uid="{00000000-0005-0000-0000-0000F83E0000}"/>
    <cellStyle name="Normal 36 51 2" xfId="21011" xr:uid="{00000000-0005-0000-0000-0000F93E0000}"/>
    <cellStyle name="Normal 36 52" xfId="8915" xr:uid="{00000000-0005-0000-0000-0000FA3E0000}"/>
    <cellStyle name="Normal 36 52 2" xfId="21012" xr:uid="{00000000-0005-0000-0000-0000FB3E0000}"/>
    <cellStyle name="Normal 36 53" xfId="8916" xr:uid="{00000000-0005-0000-0000-0000FC3E0000}"/>
    <cellStyle name="Normal 36 53 2" xfId="21013" xr:uid="{00000000-0005-0000-0000-0000FD3E0000}"/>
    <cellStyle name="Normal 36 54" xfId="8917" xr:uid="{00000000-0005-0000-0000-0000FE3E0000}"/>
    <cellStyle name="Normal 36 54 2" xfId="21014" xr:uid="{00000000-0005-0000-0000-0000FF3E0000}"/>
    <cellStyle name="Normal 36 55" xfId="8918" xr:uid="{00000000-0005-0000-0000-0000003F0000}"/>
    <cellStyle name="Normal 36 55 2" xfId="21015" xr:uid="{00000000-0005-0000-0000-0000013F0000}"/>
    <cellStyle name="Normal 36 56" xfId="8919" xr:uid="{00000000-0005-0000-0000-0000023F0000}"/>
    <cellStyle name="Normal 36 56 2" xfId="21016" xr:uid="{00000000-0005-0000-0000-0000033F0000}"/>
    <cellStyle name="Normal 36 57" xfId="8920" xr:uid="{00000000-0005-0000-0000-0000043F0000}"/>
    <cellStyle name="Normal 36 57 2" xfId="21017" xr:uid="{00000000-0005-0000-0000-0000053F0000}"/>
    <cellStyle name="Normal 36 58" xfId="8921" xr:uid="{00000000-0005-0000-0000-0000063F0000}"/>
    <cellStyle name="Normal 36 58 2" xfId="21018" xr:uid="{00000000-0005-0000-0000-0000073F0000}"/>
    <cellStyle name="Normal 36 59" xfId="8922" xr:uid="{00000000-0005-0000-0000-0000083F0000}"/>
    <cellStyle name="Normal 36 59 2" xfId="21019" xr:uid="{00000000-0005-0000-0000-0000093F0000}"/>
    <cellStyle name="Normal 36 6" xfId="8923" xr:uid="{00000000-0005-0000-0000-00000A3F0000}"/>
    <cellStyle name="Normal 36 6 2" xfId="21020" xr:uid="{00000000-0005-0000-0000-00000B3F0000}"/>
    <cellStyle name="Normal 36 60" xfId="8924" xr:uid="{00000000-0005-0000-0000-00000C3F0000}"/>
    <cellStyle name="Normal 36 60 2" xfId="21021" xr:uid="{00000000-0005-0000-0000-00000D3F0000}"/>
    <cellStyle name="Normal 36 61" xfId="8925" xr:uid="{00000000-0005-0000-0000-00000E3F0000}"/>
    <cellStyle name="Normal 36 61 2" xfId="21022" xr:uid="{00000000-0005-0000-0000-00000F3F0000}"/>
    <cellStyle name="Normal 36 62" xfId="8926" xr:uid="{00000000-0005-0000-0000-0000103F0000}"/>
    <cellStyle name="Normal 36 62 2" xfId="21023" xr:uid="{00000000-0005-0000-0000-0000113F0000}"/>
    <cellStyle name="Normal 36 63" xfId="8927" xr:uid="{00000000-0005-0000-0000-0000123F0000}"/>
    <cellStyle name="Normal 36 63 2" xfId="21024" xr:uid="{00000000-0005-0000-0000-0000133F0000}"/>
    <cellStyle name="Normal 36 64" xfId="8928" xr:uid="{00000000-0005-0000-0000-0000143F0000}"/>
    <cellStyle name="Normal 36 64 2" xfId="21025" xr:uid="{00000000-0005-0000-0000-0000153F0000}"/>
    <cellStyle name="Normal 36 65" xfId="8929" xr:uid="{00000000-0005-0000-0000-0000163F0000}"/>
    <cellStyle name="Normal 36 65 2" xfId="21026" xr:uid="{00000000-0005-0000-0000-0000173F0000}"/>
    <cellStyle name="Normal 36 66" xfId="8930" xr:uid="{00000000-0005-0000-0000-0000183F0000}"/>
    <cellStyle name="Normal 36 66 2" xfId="21027" xr:uid="{00000000-0005-0000-0000-0000193F0000}"/>
    <cellStyle name="Normal 36 67" xfId="8931" xr:uid="{00000000-0005-0000-0000-00001A3F0000}"/>
    <cellStyle name="Normal 36 67 2" xfId="21028" xr:uid="{00000000-0005-0000-0000-00001B3F0000}"/>
    <cellStyle name="Normal 36 68" xfId="8932" xr:uid="{00000000-0005-0000-0000-00001C3F0000}"/>
    <cellStyle name="Normal 36 68 2" xfId="21029" xr:uid="{00000000-0005-0000-0000-00001D3F0000}"/>
    <cellStyle name="Normal 36 69" xfId="8933" xr:uid="{00000000-0005-0000-0000-00001E3F0000}"/>
    <cellStyle name="Normal 36 69 2" xfId="21030" xr:uid="{00000000-0005-0000-0000-00001F3F0000}"/>
    <cellStyle name="Normal 36 7" xfId="8934" xr:uid="{00000000-0005-0000-0000-0000203F0000}"/>
    <cellStyle name="Normal 36 7 2" xfId="21031" xr:uid="{00000000-0005-0000-0000-0000213F0000}"/>
    <cellStyle name="Normal 36 70" xfId="8935" xr:uid="{00000000-0005-0000-0000-0000223F0000}"/>
    <cellStyle name="Normal 36 70 2" xfId="21032" xr:uid="{00000000-0005-0000-0000-0000233F0000}"/>
    <cellStyle name="Normal 36 71" xfId="8936" xr:uid="{00000000-0005-0000-0000-0000243F0000}"/>
    <cellStyle name="Normal 36 71 2" xfId="21033" xr:uid="{00000000-0005-0000-0000-0000253F0000}"/>
    <cellStyle name="Normal 36 72" xfId="8937" xr:uid="{00000000-0005-0000-0000-0000263F0000}"/>
    <cellStyle name="Normal 36 72 2" xfId="21034" xr:uid="{00000000-0005-0000-0000-0000273F0000}"/>
    <cellStyle name="Normal 36 73" xfId="8938" xr:uid="{00000000-0005-0000-0000-0000283F0000}"/>
    <cellStyle name="Normal 36 73 2" xfId="21035" xr:uid="{00000000-0005-0000-0000-0000293F0000}"/>
    <cellStyle name="Normal 36 74" xfId="8939" xr:uid="{00000000-0005-0000-0000-00002A3F0000}"/>
    <cellStyle name="Normal 36 74 2" xfId="21036" xr:uid="{00000000-0005-0000-0000-00002B3F0000}"/>
    <cellStyle name="Normal 36 75" xfId="8940" xr:uid="{00000000-0005-0000-0000-00002C3F0000}"/>
    <cellStyle name="Normal 36 75 2" xfId="21037" xr:uid="{00000000-0005-0000-0000-00002D3F0000}"/>
    <cellStyle name="Normal 36 76" xfId="8941" xr:uid="{00000000-0005-0000-0000-00002E3F0000}"/>
    <cellStyle name="Normal 36 76 2" xfId="21038" xr:uid="{00000000-0005-0000-0000-00002F3F0000}"/>
    <cellStyle name="Normal 36 77" xfId="8942" xr:uid="{00000000-0005-0000-0000-0000303F0000}"/>
    <cellStyle name="Normal 36 77 2" xfId="21039" xr:uid="{00000000-0005-0000-0000-0000313F0000}"/>
    <cellStyle name="Normal 36 78" xfId="8943" xr:uid="{00000000-0005-0000-0000-0000323F0000}"/>
    <cellStyle name="Normal 36 78 2" xfId="21040" xr:uid="{00000000-0005-0000-0000-0000333F0000}"/>
    <cellStyle name="Normal 36 79" xfId="8944" xr:uid="{00000000-0005-0000-0000-0000343F0000}"/>
    <cellStyle name="Normal 36 79 2" xfId="21041" xr:uid="{00000000-0005-0000-0000-0000353F0000}"/>
    <cellStyle name="Normal 36 8" xfId="8945" xr:uid="{00000000-0005-0000-0000-0000363F0000}"/>
    <cellStyle name="Normal 36 8 2" xfId="21042" xr:uid="{00000000-0005-0000-0000-0000373F0000}"/>
    <cellStyle name="Normal 36 80" xfId="20965" xr:uid="{00000000-0005-0000-0000-0000383F0000}"/>
    <cellStyle name="Normal 36 9" xfId="8946" xr:uid="{00000000-0005-0000-0000-0000393F0000}"/>
    <cellStyle name="Normal 36 9 2" xfId="21043" xr:uid="{00000000-0005-0000-0000-00003A3F0000}"/>
    <cellStyle name="Normal 37" xfId="146" xr:uid="{00000000-0005-0000-0000-00003B3F0000}"/>
    <cellStyle name="Normal 37 10" xfId="8947" xr:uid="{00000000-0005-0000-0000-00003C3F0000}"/>
    <cellStyle name="Normal 37 10 2" xfId="21045" xr:uid="{00000000-0005-0000-0000-00003D3F0000}"/>
    <cellStyle name="Normal 37 11" xfId="8948" xr:uid="{00000000-0005-0000-0000-00003E3F0000}"/>
    <cellStyle name="Normal 37 11 2" xfId="21046" xr:uid="{00000000-0005-0000-0000-00003F3F0000}"/>
    <cellStyle name="Normal 37 12" xfId="8949" xr:uid="{00000000-0005-0000-0000-0000403F0000}"/>
    <cellStyle name="Normal 37 12 2" xfId="21047" xr:uid="{00000000-0005-0000-0000-0000413F0000}"/>
    <cellStyle name="Normal 37 13" xfId="8950" xr:uid="{00000000-0005-0000-0000-0000423F0000}"/>
    <cellStyle name="Normal 37 13 2" xfId="21048" xr:uid="{00000000-0005-0000-0000-0000433F0000}"/>
    <cellStyle name="Normal 37 14" xfId="8951" xr:uid="{00000000-0005-0000-0000-0000443F0000}"/>
    <cellStyle name="Normal 37 14 2" xfId="21049" xr:uid="{00000000-0005-0000-0000-0000453F0000}"/>
    <cellStyle name="Normal 37 15" xfId="8952" xr:uid="{00000000-0005-0000-0000-0000463F0000}"/>
    <cellStyle name="Normal 37 15 2" xfId="21050" xr:uid="{00000000-0005-0000-0000-0000473F0000}"/>
    <cellStyle name="Normal 37 16" xfId="8953" xr:uid="{00000000-0005-0000-0000-0000483F0000}"/>
    <cellStyle name="Normal 37 16 2" xfId="21051" xr:uid="{00000000-0005-0000-0000-0000493F0000}"/>
    <cellStyle name="Normal 37 17" xfId="8954" xr:uid="{00000000-0005-0000-0000-00004A3F0000}"/>
    <cellStyle name="Normal 37 17 2" xfId="21052" xr:uid="{00000000-0005-0000-0000-00004B3F0000}"/>
    <cellStyle name="Normal 37 18" xfId="8955" xr:uid="{00000000-0005-0000-0000-00004C3F0000}"/>
    <cellStyle name="Normal 37 18 2" xfId="21053" xr:uid="{00000000-0005-0000-0000-00004D3F0000}"/>
    <cellStyle name="Normal 37 19" xfId="8956" xr:uid="{00000000-0005-0000-0000-00004E3F0000}"/>
    <cellStyle name="Normal 37 19 2" xfId="21054" xr:uid="{00000000-0005-0000-0000-00004F3F0000}"/>
    <cellStyle name="Normal 37 2" xfId="169" xr:uid="{00000000-0005-0000-0000-0000503F0000}"/>
    <cellStyle name="Normal 37 2 2" xfId="21055" xr:uid="{00000000-0005-0000-0000-0000513F0000}"/>
    <cellStyle name="Normal 37 2 3" xfId="8957" xr:uid="{00000000-0005-0000-0000-0000523F0000}"/>
    <cellStyle name="Normal 37 20" xfId="8958" xr:uid="{00000000-0005-0000-0000-0000533F0000}"/>
    <cellStyle name="Normal 37 20 2" xfId="21056" xr:uid="{00000000-0005-0000-0000-0000543F0000}"/>
    <cellStyle name="Normal 37 21" xfId="8959" xr:uid="{00000000-0005-0000-0000-0000553F0000}"/>
    <cellStyle name="Normal 37 21 2" xfId="21057" xr:uid="{00000000-0005-0000-0000-0000563F0000}"/>
    <cellStyle name="Normal 37 22" xfId="8960" xr:uid="{00000000-0005-0000-0000-0000573F0000}"/>
    <cellStyle name="Normal 37 22 2" xfId="21058" xr:uid="{00000000-0005-0000-0000-0000583F0000}"/>
    <cellStyle name="Normal 37 23" xfId="8961" xr:uid="{00000000-0005-0000-0000-0000593F0000}"/>
    <cellStyle name="Normal 37 23 2" xfId="21059" xr:uid="{00000000-0005-0000-0000-00005A3F0000}"/>
    <cellStyle name="Normal 37 24" xfId="8962" xr:uid="{00000000-0005-0000-0000-00005B3F0000}"/>
    <cellStyle name="Normal 37 24 2" xfId="21060" xr:uid="{00000000-0005-0000-0000-00005C3F0000}"/>
    <cellStyle name="Normal 37 25" xfId="8963" xr:uid="{00000000-0005-0000-0000-00005D3F0000}"/>
    <cellStyle name="Normal 37 25 2" xfId="21061" xr:uid="{00000000-0005-0000-0000-00005E3F0000}"/>
    <cellStyle name="Normal 37 26" xfId="8964" xr:uid="{00000000-0005-0000-0000-00005F3F0000}"/>
    <cellStyle name="Normal 37 26 2" xfId="21062" xr:uid="{00000000-0005-0000-0000-0000603F0000}"/>
    <cellStyle name="Normal 37 27" xfId="8965" xr:uid="{00000000-0005-0000-0000-0000613F0000}"/>
    <cellStyle name="Normal 37 27 2" xfId="21063" xr:uid="{00000000-0005-0000-0000-0000623F0000}"/>
    <cellStyle name="Normal 37 28" xfId="8966" xr:uid="{00000000-0005-0000-0000-0000633F0000}"/>
    <cellStyle name="Normal 37 28 2" xfId="21064" xr:uid="{00000000-0005-0000-0000-0000643F0000}"/>
    <cellStyle name="Normal 37 29" xfId="8967" xr:uid="{00000000-0005-0000-0000-0000653F0000}"/>
    <cellStyle name="Normal 37 29 2" xfId="21065" xr:uid="{00000000-0005-0000-0000-0000663F0000}"/>
    <cellStyle name="Normal 37 3" xfId="795" xr:uid="{00000000-0005-0000-0000-0000673F0000}"/>
    <cellStyle name="Normal 37 3 2" xfId="21066" xr:uid="{00000000-0005-0000-0000-0000683F0000}"/>
    <cellStyle name="Normal 37 30" xfId="8968" xr:uid="{00000000-0005-0000-0000-0000693F0000}"/>
    <cellStyle name="Normal 37 30 2" xfId="21067" xr:uid="{00000000-0005-0000-0000-00006A3F0000}"/>
    <cellStyle name="Normal 37 31" xfId="8969" xr:uid="{00000000-0005-0000-0000-00006B3F0000}"/>
    <cellStyle name="Normal 37 31 2" xfId="21068" xr:uid="{00000000-0005-0000-0000-00006C3F0000}"/>
    <cellStyle name="Normal 37 32" xfId="8970" xr:uid="{00000000-0005-0000-0000-00006D3F0000}"/>
    <cellStyle name="Normal 37 32 2" xfId="21069" xr:uid="{00000000-0005-0000-0000-00006E3F0000}"/>
    <cellStyle name="Normal 37 33" xfId="8971" xr:uid="{00000000-0005-0000-0000-00006F3F0000}"/>
    <cellStyle name="Normal 37 33 2" xfId="21070" xr:uid="{00000000-0005-0000-0000-0000703F0000}"/>
    <cellStyle name="Normal 37 34" xfId="8972" xr:uid="{00000000-0005-0000-0000-0000713F0000}"/>
    <cellStyle name="Normal 37 34 2" xfId="21071" xr:uid="{00000000-0005-0000-0000-0000723F0000}"/>
    <cellStyle name="Normal 37 35" xfId="8973" xr:uid="{00000000-0005-0000-0000-0000733F0000}"/>
    <cellStyle name="Normal 37 35 2" xfId="21072" xr:uid="{00000000-0005-0000-0000-0000743F0000}"/>
    <cellStyle name="Normal 37 36" xfId="8974" xr:uid="{00000000-0005-0000-0000-0000753F0000}"/>
    <cellStyle name="Normal 37 36 2" xfId="21073" xr:uid="{00000000-0005-0000-0000-0000763F0000}"/>
    <cellStyle name="Normal 37 37" xfId="8975" xr:uid="{00000000-0005-0000-0000-0000773F0000}"/>
    <cellStyle name="Normal 37 37 2" xfId="21074" xr:uid="{00000000-0005-0000-0000-0000783F0000}"/>
    <cellStyle name="Normal 37 38" xfId="8976" xr:uid="{00000000-0005-0000-0000-0000793F0000}"/>
    <cellStyle name="Normal 37 38 2" xfId="21075" xr:uid="{00000000-0005-0000-0000-00007A3F0000}"/>
    <cellStyle name="Normal 37 39" xfId="8977" xr:uid="{00000000-0005-0000-0000-00007B3F0000}"/>
    <cellStyle name="Normal 37 39 2" xfId="21076" xr:uid="{00000000-0005-0000-0000-00007C3F0000}"/>
    <cellStyle name="Normal 37 4" xfId="726" xr:uid="{00000000-0005-0000-0000-00007D3F0000}"/>
    <cellStyle name="Normal 37 4 2" xfId="21077" xr:uid="{00000000-0005-0000-0000-00007E3F0000}"/>
    <cellStyle name="Normal 37 4 3" xfId="8978" xr:uid="{00000000-0005-0000-0000-00007F3F0000}"/>
    <cellStyle name="Normal 37 40" xfId="8979" xr:uid="{00000000-0005-0000-0000-0000803F0000}"/>
    <cellStyle name="Normal 37 40 2" xfId="21078" xr:uid="{00000000-0005-0000-0000-0000813F0000}"/>
    <cellStyle name="Normal 37 41" xfId="8980" xr:uid="{00000000-0005-0000-0000-0000823F0000}"/>
    <cellStyle name="Normal 37 41 2" xfId="21079" xr:uid="{00000000-0005-0000-0000-0000833F0000}"/>
    <cellStyle name="Normal 37 42" xfId="8981" xr:uid="{00000000-0005-0000-0000-0000843F0000}"/>
    <cellStyle name="Normal 37 42 2" xfId="21080" xr:uid="{00000000-0005-0000-0000-0000853F0000}"/>
    <cellStyle name="Normal 37 43" xfId="8982" xr:uid="{00000000-0005-0000-0000-0000863F0000}"/>
    <cellStyle name="Normal 37 43 2" xfId="21081" xr:uid="{00000000-0005-0000-0000-0000873F0000}"/>
    <cellStyle name="Normal 37 44" xfId="8983" xr:uid="{00000000-0005-0000-0000-0000883F0000}"/>
    <cellStyle name="Normal 37 44 2" xfId="21082" xr:uid="{00000000-0005-0000-0000-0000893F0000}"/>
    <cellStyle name="Normal 37 45" xfId="8984" xr:uid="{00000000-0005-0000-0000-00008A3F0000}"/>
    <cellStyle name="Normal 37 45 2" xfId="21083" xr:uid="{00000000-0005-0000-0000-00008B3F0000}"/>
    <cellStyle name="Normal 37 46" xfId="8985" xr:uid="{00000000-0005-0000-0000-00008C3F0000}"/>
    <cellStyle name="Normal 37 46 2" xfId="21084" xr:uid="{00000000-0005-0000-0000-00008D3F0000}"/>
    <cellStyle name="Normal 37 47" xfId="8986" xr:uid="{00000000-0005-0000-0000-00008E3F0000}"/>
    <cellStyle name="Normal 37 47 2" xfId="21085" xr:uid="{00000000-0005-0000-0000-00008F3F0000}"/>
    <cellStyle name="Normal 37 48" xfId="8987" xr:uid="{00000000-0005-0000-0000-0000903F0000}"/>
    <cellStyle name="Normal 37 48 2" xfId="21086" xr:uid="{00000000-0005-0000-0000-0000913F0000}"/>
    <cellStyle name="Normal 37 49" xfId="8988" xr:uid="{00000000-0005-0000-0000-0000923F0000}"/>
    <cellStyle name="Normal 37 49 2" xfId="21087" xr:uid="{00000000-0005-0000-0000-0000933F0000}"/>
    <cellStyle name="Normal 37 5" xfId="323" xr:uid="{00000000-0005-0000-0000-0000943F0000}"/>
    <cellStyle name="Normal 37 5 2" xfId="21088" xr:uid="{00000000-0005-0000-0000-0000953F0000}"/>
    <cellStyle name="Normal 37 50" xfId="8989" xr:uid="{00000000-0005-0000-0000-0000963F0000}"/>
    <cellStyle name="Normal 37 50 2" xfId="21089" xr:uid="{00000000-0005-0000-0000-0000973F0000}"/>
    <cellStyle name="Normal 37 51" xfId="8990" xr:uid="{00000000-0005-0000-0000-0000983F0000}"/>
    <cellStyle name="Normal 37 51 2" xfId="21090" xr:uid="{00000000-0005-0000-0000-0000993F0000}"/>
    <cellStyle name="Normal 37 52" xfId="8991" xr:uid="{00000000-0005-0000-0000-00009A3F0000}"/>
    <cellStyle name="Normal 37 52 2" xfId="21091" xr:uid="{00000000-0005-0000-0000-00009B3F0000}"/>
    <cellStyle name="Normal 37 53" xfId="8992" xr:uid="{00000000-0005-0000-0000-00009C3F0000}"/>
    <cellStyle name="Normal 37 53 2" xfId="21092" xr:uid="{00000000-0005-0000-0000-00009D3F0000}"/>
    <cellStyle name="Normal 37 54" xfId="8993" xr:uid="{00000000-0005-0000-0000-00009E3F0000}"/>
    <cellStyle name="Normal 37 54 2" xfId="21093" xr:uid="{00000000-0005-0000-0000-00009F3F0000}"/>
    <cellStyle name="Normal 37 55" xfId="8994" xr:uid="{00000000-0005-0000-0000-0000A03F0000}"/>
    <cellStyle name="Normal 37 55 2" xfId="21094" xr:uid="{00000000-0005-0000-0000-0000A13F0000}"/>
    <cellStyle name="Normal 37 56" xfId="8995" xr:uid="{00000000-0005-0000-0000-0000A23F0000}"/>
    <cellStyle name="Normal 37 56 2" xfId="21095" xr:uid="{00000000-0005-0000-0000-0000A33F0000}"/>
    <cellStyle name="Normal 37 57" xfId="8996" xr:uid="{00000000-0005-0000-0000-0000A43F0000}"/>
    <cellStyle name="Normal 37 57 2" xfId="21096" xr:uid="{00000000-0005-0000-0000-0000A53F0000}"/>
    <cellStyle name="Normal 37 58" xfId="8997" xr:uid="{00000000-0005-0000-0000-0000A63F0000}"/>
    <cellStyle name="Normal 37 58 2" xfId="21097" xr:uid="{00000000-0005-0000-0000-0000A73F0000}"/>
    <cellStyle name="Normal 37 59" xfId="8998" xr:uid="{00000000-0005-0000-0000-0000A83F0000}"/>
    <cellStyle name="Normal 37 59 2" xfId="21098" xr:uid="{00000000-0005-0000-0000-0000A93F0000}"/>
    <cellStyle name="Normal 37 6" xfId="8999" xr:uid="{00000000-0005-0000-0000-0000AA3F0000}"/>
    <cellStyle name="Normal 37 6 2" xfId="21099" xr:uid="{00000000-0005-0000-0000-0000AB3F0000}"/>
    <cellStyle name="Normal 37 60" xfId="9000" xr:uid="{00000000-0005-0000-0000-0000AC3F0000}"/>
    <cellStyle name="Normal 37 60 2" xfId="21100" xr:uid="{00000000-0005-0000-0000-0000AD3F0000}"/>
    <cellStyle name="Normal 37 61" xfId="9001" xr:uid="{00000000-0005-0000-0000-0000AE3F0000}"/>
    <cellStyle name="Normal 37 61 2" xfId="21101" xr:uid="{00000000-0005-0000-0000-0000AF3F0000}"/>
    <cellStyle name="Normal 37 62" xfId="9002" xr:uid="{00000000-0005-0000-0000-0000B03F0000}"/>
    <cellStyle name="Normal 37 62 2" xfId="21102" xr:uid="{00000000-0005-0000-0000-0000B13F0000}"/>
    <cellStyle name="Normal 37 63" xfId="9003" xr:uid="{00000000-0005-0000-0000-0000B23F0000}"/>
    <cellStyle name="Normal 37 63 2" xfId="21103" xr:uid="{00000000-0005-0000-0000-0000B33F0000}"/>
    <cellStyle name="Normal 37 64" xfId="9004" xr:uid="{00000000-0005-0000-0000-0000B43F0000}"/>
    <cellStyle name="Normal 37 64 2" xfId="21104" xr:uid="{00000000-0005-0000-0000-0000B53F0000}"/>
    <cellStyle name="Normal 37 65" xfId="9005" xr:uid="{00000000-0005-0000-0000-0000B63F0000}"/>
    <cellStyle name="Normal 37 65 2" xfId="21105" xr:uid="{00000000-0005-0000-0000-0000B73F0000}"/>
    <cellStyle name="Normal 37 66" xfId="9006" xr:uid="{00000000-0005-0000-0000-0000B83F0000}"/>
    <cellStyle name="Normal 37 66 2" xfId="21106" xr:uid="{00000000-0005-0000-0000-0000B93F0000}"/>
    <cellStyle name="Normal 37 67" xfId="9007" xr:uid="{00000000-0005-0000-0000-0000BA3F0000}"/>
    <cellStyle name="Normal 37 67 2" xfId="21107" xr:uid="{00000000-0005-0000-0000-0000BB3F0000}"/>
    <cellStyle name="Normal 37 68" xfId="9008" xr:uid="{00000000-0005-0000-0000-0000BC3F0000}"/>
    <cellStyle name="Normal 37 68 2" xfId="21108" xr:uid="{00000000-0005-0000-0000-0000BD3F0000}"/>
    <cellStyle name="Normal 37 69" xfId="9009" xr:uid="{00000000-0005-0000-0000-0000BE3F0000}"/>
    <cellStyle name="Normal 37 69 2" xfId="21109" xr:uid="{00000000-0005-0000-0000-0000BF3F0000}"/>
    <cellStyle name="Normal 37 7" xfId="9010" xr:uid="{00000000-0005-0000-0000-0000C03F0000}"/>
    <cellStyle name="Normal 37 7 2" xfId="21110" xr:uid="{00000000-0005-0000-0000-0000C13F0000}"/>
    <cellStyle name="Normal 37 70" xfId="9011" xr:uid="{00000000-0005-0000-0000-0000C23F0000}"/>
    <cellStyle name="Normal 37 70 2" xfId="21111" xr:uid="{00000000-0005-0000-0000-0000C33F0000}"/>
    <cellStyle name="Normal 37 71" xfId="9012" xr:uid="{00000000-0005-0000-0000-0000C43F0000}"/>
    <cellStyle name="Normal 37 71 2" xfId="21112" xr:uid="{00000000-0005-0000-0000-0000C53F0000}"/>
    <cellStyle name="Normal 37 72" xfId="9013" xr:uid="{00000000-0005-0000-0000-0000C63F0000}"/>
    <cellStyle name="Normal 37 72 2" xfId="21113" xr:uid="{00000000-0005-0000-0000-0000C73F0000}"/>
    <cellStyle name="Normal 37 73" xfId="9014" xr:uid="{00000000-0005-0000-0000-0000C83F0000}"/>
    <cellStyle name="Normal 37 73 2" xfId="21114" xr:uid="{00000000-0005-0000-0000-0000C93F0000}"/>
    <cellStyle name="Normal 37 74" xfId="9015" xr:uid="{00000000-0005-0000-0000-0000CA3F0000}"/>
    <cellStyle name="Normal 37 74 2" xfId="21115" xr:uid="{00000000-0005-0000-0000-0000CB3F0000}"/>
    <cellStyle name="Normal 37 75" xfId="9016" xr:uid="{00000000-0005-0000-0000-0000CC3F0000}"/>
    <cellStyle name="Normal 37 75 2" xfId="21116" xr:uid="{00000000-0005-0000-0000-0000CD3F0000}"/>
    <cellStyle name="Normal 37 76" xfId="9017" xr:uid="{00000000-0005-0000-0000-0000CE3F0000}"/>
    <cellStyle name="Normal 37 76 2" xfId="21117" xr:uid="{00000000-0005-0000-0000-0000CF3F0000}"/>
    <cellStyle name="Normal 37 77" xfId="9018" xr:uid="{00000000-0005-0000-0000-0000D03F0000}"/>
    <cellStyle name="Normal 37 77 2" xfId="21118" xr:uid="{00000000-0005-0000-0000-0000D13F0000}"/>
    <cellStyle name="Normal 37 78" xfId="9019" xr:uid="{00000000-0005-0000-0000-0000D23F0000}"/>
    <cellStyle name="Normal 37 78 2" xfId="21119" xr:uid="{00000000-0005-0000-0000-0000D33F0000}"/>
    <cellStyle name="Normal 37 79" xfId="9020" xr:uid="{00000000-0005-0000-0000-0000D43F0000}"/>
    <cellStyle name="Normal 37 79 2" xfId="21120" xr:uid="{00000000-0005-0000-0000-0000D53F0000}"/>
    <cellStyle name="Normal 37 8" xfId="9021" xr:uid="{00000000-0005-0000-0000-0000D63F0000}"/>
    <cellStyle name="Normal 37 8 2" xfId="21121" xr:uid="{00000000-0005-0000-0000-0000D73F0000}"/>
    <cellStyle name="Normal 37 80" xfId="21044" xr:uid="{00000000-0005-0000-0000-0000D83F0000}"/>
    <cellStyle name="Normal 37 9" xfId="9022" xr:uid="{00000000-0005-0000-0000-0000D93F0000}"/>
    <cellStyle name="Normal 37 9 2" xfId="21122" xr:uid="{00000000-0005-0000-0000-0000DA3F0000}"/>
    <cellStyle name="Normal 38" xfId="147" xr:uid="{00000000-0005-0000-0000-0000DB3F0000}"/>
    <cellStyle name="Normal 38 10" xfId="9023" xr:uid="{00000000-0005-0000-0000-0000DC3F0000}"/>
    <cellStyle name="Normal 38 10 2" xfId="21124" xr:uid="{00000000-0005-0000-0000-0000DD3F0000}"/>
    <cellStyle name="Normal 38 11" xfId="9024" xr:uid="{00000000-0005-0000-0000-0000DE3F0000}"/>
    <cellStyle name="Normal 38 11 2" xfId="21125" xr:uid="{00000000-0005-0000-0000-0000DF3F0000}"/>
    <cellStyle name="Normal 38 12" xfId="9025" xr:uid="{00000000-0005-0000-0000-0000E03F0000}"/>
    <cellStyle name="Normal 38 12 2" xfId="21126" xr:uid="{00000000-0005-0000-0000-0000E13F0000}"/>
    <cellStyle name="Normal 38 13" xfId="9026" xr:uid="{00000000-0005-0000-0000-0000E23F0000}"/>
    <cellStyle name="Normal 38 13 2" xfId="21127" xr:uid="{00000000-0005-0000-0000-0000E33F0000}"/>
    <cellStyle name="Normal 38 14" xfId="9027" xr:uid="{00000000-0005-0000-0000-0000E43F0000}"/>
    <cellStyle name="Normal 38 14 2" xfId="21128" xr:uid="{00000000-0005-0000-0000-0000E53F0000}"/>
    <cellStyle name="Normal 38 15" xfId="9028" xr:uid="{00000000-0005-0000-0000-0000E63F0000}"/>
    <cellStyle name="Normal 38 15 2" xfId="21129" xr:uid="{00000000-0005-0000-0000-0000E73F0000}"/>
    <cellStyle name="Normal 38 16" xfId="9029" xr:uid="{00000000-0005-0000-0000-0000E83F0000}"/>
    <cellStyle name="Normal 38 16 2" xfId="21130" xr:uid="{00000000-0005-0000-0000-0000E93F0000}"/>
    <cellStyle name="Normal 38 17" xfId="9030" xr:uid="{00000000-0005-0000-0000-0000EA3F0000}"/>
    <cellStyle name="Normal 38 17 2" xfId="21131" xr:uid="{00000000-0005-0000-0000-0000EB3F0000}"/>
    <cellStyle name="Normal 38 18" xfId="9031" xr:uid="{00000000-0005-0000-0000-0000EC3F0000}"/>
    <cellStyle name="Normal 38 18 2" xfId="21132" xr:uid="{00000000-0005-0000-0000-0000ED3F0000}"/>
    <cellStyle name="Normal 38 19" xfId="9032" xr:uid="{00000000-0005-0000-0000-0000EE3F0000}"/>
    <cellStyle name="Normal 38 19 2" xfId="21133" xr:uid="{00000000-0005-0000-0000-0000EF3F0000}"/>
    <cellStyle name="Normal 38 2" xfId="170" xr:uid="{00000000-0005-0000-0000-0000F03F0000}"/>
    <cellStyle name="Normal 38 2 2" xfId="21134" xr:uid="{00000000-0005-0000-0000-0000F13F0000}"/>
    <cellStyle name="Normal 38 2 3" xfId="9033" xr:uid="{00000000-0005-0000-0000-0000F23F0000}"/>
    <cellStyle name="Normal 38 20" xfId="9034" xr:uid="{00000000-0005-0000-0000-0000F33F0000}"/>
    <cellStyle name="Normal 38 20 2" xfId="21135" xr:uid="{00000000-0005-0000-0000-0000F43F0000}"/>
    <cellStyle name="Normal 38 21" xfId="9035" xr:uid="{00000000-0005-0000-0000-0000F53F0000}"/>
    <cellStyle name="Normal 38 21 2" xfId="21136" xr:uid="{00000000-0005-0000-0000-0000F63F0000}"/>
    <cellStyle name="Normal 38 22" xfId="9036" xr:uid="{00000000-0005-0000-0000-0000F73F0000}"/>
    <cellStyle name="Normal 38 22 2" xfId="21137" xr:uid="{00000000-0005-0000-0000-0000F83F0000}"/>
    <cellStyle name="Normal 38 23" xfId="9037" xr:uid="{00000000-0005-0000-0000-0000F93F0000}"/>
    <cellStyle name="Normal 38 23 2" xfId="21138" xr:uid="{00000000-0005-0000-0000-0000FA3F0000}"/>
    <cellStyle name="Normal 38 24" xfId="9038" xr:uid="{00000000-0005-0000-0000-0000FB3F0000}"/>
    <cellStyle name="Normal 38 24 2" xfId="21139" xr:uid="{00000000-0005-0000-0000-0000FC3F0000}"/>
    <cellStyle name="Normal 38 25" xfId="9039" xr:uid="{00000000-0005-0000-0000-0000FD3F0000}"/>
    <cellStyle name="Normal 38 25 2" xfId="21140" xr:uid="{00000000-0005-0000-0000-0000FE3F0000}"/>
    <cellStyle name="Normal 38 26" xfId="9040" xr:uid="{00000000-0005-0000-0000-0000FF3F0000}"/>
    <cellStyle name="Normal 38 26 2" xfId="21141" xr:uid="{00000000-0005-0000-0000-000000400000}"/>
    <cellStyle name="Normal 38 27" xfId="9041" xr:uid="{00000000-0005-0000-0000-000001400000}"/>
    <cellStyle name="Normal 38 27 2" xfId="21142" xr:uid="{00000000-0005-0000-0000-000002400000}"/>
    <cellStyle name="Normal 38 28" xfId="9042" xr:uid="{00000000-0005-0000-0000-000003400000}"/>
    <cellStyle name="Normal 38 28 2" xfId="21143" xr:uid="{00000000-0005-0000-0000-000004400000}"/>
    <cellStyle name="Normal 38 29" xfId="9043" xr:uid="{00000000-0005-0000-0000-000005400000}"/>
    <cellStyle name="Normal 38 29 2" xfId="21144" xr:uid="{00000000-0005-0000-0000-000006400000}"/>
    <cellStyle name="Normal 38 3" xfId="796" xr:uid="{00000000-0005-0000-0000-000007400000}"/>
    <cellStyle name="Normal 38 3 2" xfId="21145" xr:uid="{00000000-0005-0000-0000-000008400000}"/>
    <cellStyle name="Normal 38 30" xfId="9044" xr:uid="{00000000-0005-0000-0000-000009400000}"/>
    <cellStyle name="Normal 38 30 2" xfId="21146" xr:uid="{00000000-0005-0000-0000-00000A400000}"/>
    <cellStyle name="Normal 38 31" xfId="9045" xr:uid="{00000000-0005-0000-0000-00000B400000}"/>
    <cellStyle name="Normal 38 31 2" xfId="21147" xr:uid="{00000000-0005-0000-0000-00000C400000}"/>
    <cellStyle name="Normal 38 32" xfId="9046" xr:uid="{00000000-0005-0000-0000-00000D400000}"/>
    <cellStyle name="Normal 38 32 2" xfId="21148" xr:uid="{00000000-0005-0000-0000-00000E400000}"/>
    <cellStyle name="Normal 38 33" xfId="9047" xr:uid="{00000000-0005-0000-0000-00000F400000}"/>
    <cellStyle name="Normal 38 33 2" xfId="21149" xr:uid="{00000000-0005-0000-0000-000010400000}"/>
    <cellStyle name="Normal 38 34" xfId="9048" xr:uid="{00000000-0005-0000-0000-000011400000}"/>
    <cellStyle name="Normal 38 34 2" xfId="21150" xr:uid="{00000000-0005-0000-0000-000012400000}"/>
    <cellStyle name="Normal 38 35" xfId="9049" xr:uid="{00000000-0005-0000-0000-000013400000}"/>
    <cellStyle name="Normal 38 35 2" xfId="21151" xr:uid="{00000000-0005-0000-0000-000014400000}"/>
    <cellStyle name="Normal 38 36" xfId="9050" xr:uid="{00000000-0005-0000-0000-000015400000}"/>
    <cellStyle name="Normal 38 36 2" xfId="21152" xr:uid="{00000000-0005-0000-0000-000016400000}"/>
    <cellStyle name="Normal 38 37" xfId="9051" xr:uid="{00000000-0005-0000-0000-000017400000}"/>
    <cellStyle name="Normal 38 37 2" xfId="21153" xr:uid="{00000000-0005-0000-0000-000018400000}"/>
    <cellStyle name="Normal 38 38" xfId="9052" xr:uid="{00000000-0005-0000-0000-000019400000}"/>
    <cellStyle name="Normal 38 38 2" xfId="21154" xr:uid="{00000000-0005-0000-0000-00001A400000}"/>
    <cellStyle name="Normal 38 39" xfId="9053" xr:uid="{00000000-0005-0000-0000-00001B400000}"/>
    <cellStyle name="Normal 38 39 2" xfId="21155" xr:uid="{00000000-0005-0000-0000-00001C400000}"/>
    <cellStyle name="Normal 38 4" xfId="727" xr:uid="{00000000-0005-0000-0000-00001D400000}"/>
    <cellStyle name="Normal 38 4 2" xfId="21156" xr:uid="{00000000-0005-0000-0000-00001E400000}"/>
    <cellStyle name="Normal 38 4 3" xfId="9054" xr:uid="{00000000-0005-0000-0000-00001F400000}"/>
    <cellStyle name="Normal 38 40" xfId="9055" xr:uid="{00000000-0005-0000-0000-000020400000}"/>
    <cellStyle name="Normal 38 40 2" xfId="21157" xr:uid="{00000000-0005-0000-0000-000021400000}"/>
    <cellStyle name="Normal 38 41" xfId="9056" xr:uid="{00000000-0005-0000-0000-000022400000}"/>
    <cellStyle name="Normal 38 41 2" xfId="21158" xr:uid="{00000000-0005-0000-0000-000023400000}"/>
    <cellStyle name="Normal 38 42" xfId="9057" xr:uid="{00000000-0005-0000-0000-000024400000}"/>
    <cellStyle name="Normal 38 42 2" xfId="21159" xr:uid="{00000000-0005-0000-0000-000025400000}"/>
    <cellStyle name="Normal 38 43" xfId="9058" xr:uid="{00000000-0005-0000-0000-000026400000}"/>
    <cellStyle name="Normal 38 43 2" xfId="21160" xr:uid="{00000000-0005-0000-0000-000027400000}"/>
    <cellStyle name="Normal 38 44" xfId="9059" xr:uid="{00000000-0005-0000-0000-000028400000}"/>
    <cellStyle name="Normal 38 44 2" xfId="21161" xr:uid="{00000000-0005-0000-0000-000029400000}"/>
    <cellStyle name="Normal 38 45" xfId="9060" xr:uid="{00000000-0005-0000-0000-00002A400000}"/>
    <cellStyle name="Normal 38 45 2" xfId="21162" xr:uid="{00000000-0005-0000-0000-00002B400000}"/>
    <cellStyle name="Normal 38 46" xfId="9061" xr:uid="{00000000-0005-0000-0000-00002C400000}"/>
    <cellStyle name="Normal 38 46 2" xfId="21163" xr:uid="{00000000-0005-0000-0000-00002D400000}"/>
    <cellStyle name="Normal 38 47" xfId="9062" xr:uid="{00000000-0005-0000-0000-00002E400000}"/>
    <cellStyle name="Normal 38 47 2" xfId="21164" xr:uid="{00000000-0005-0000-0000-00002F400000}"/>
    <cellStyle name="Normal 38 48" xfId="9063" xr:uid="{00000000-0005-0000-0000-000030400000}"/>
    <cellStyle name="Normal 38 48 2" xfId="21165" xr:uid="{00000000-0005-0000-0000-000031400000}"/>
    <cellStyle name="Normal 38 49" xfId="9064" xr:uid="{00000000-0005-0000-0000-000032400000}"/>
    <cellStyle name="Normal 38 49 2" xfId="21166" xr:uid="{00000000-0005-0000-0000-000033400000}"/>
    <cellStyle name="Normal 38 5" xfId="324" xr:uid="{00000000-0005-0000-0000-000034400000}"/>
    <cellStyle name="Normal 38 5 2" xfId="21167" xr:uid="{00000000-0005-0000-0000-000035400000}"/>
    <cellStyle name="Normal 38 50" xfId="9065" xr:uid="{00000000-0005-0000-0000-000036400000}"/>
    <cellStyle name="Normal 38 50 2" xfId="21168" xr:uid="{00000000-0005-0000-0000-000037400000}"/>
    <cellStyle name="Normal 38 51" xfId="9066" xr:uid="{00000000-0005-0000-0000-000038400000}"/>
    <cellStyle name="Normal 38 51 2" xfId="21169" xr:uid="{00000000-0005-0000-0000-000039400000}"/>
    <cellStyle name="Normal 38 52" xfId="9067" xr:uid="{00000000-0005-0000-0000-00003A400000}"/>
    <cellStyle name="Normal 38 52 2" xfId="21170" xr:uid="{00000000-0005-0000-0000-00003B400000}"/>
    <cellStyle name="Normal 38 53" xfId="9068" xr:uid="{00000000-0005-0000-0000-00003C400000}"/>
    <cellStyle name="Normal 38 53 2" xfId="21171" xr:uid="{00000000-0005-0000-0000-00003D400000}"/>
    <cellStyle name="Normal 38 54" xfId="9069" xr:uid="{00000000-0005-0000-0000-00003E400000}"/>
    <cellStyle name="Normal 38 54 2" xfId="21172" xr:uid="{00000000-0005-0000-0000-00003F400000}"/>
    <cellStyle name="Normal 38 55" xfId="9070" xr:uid="{00000000-0005-0000-0000-000040400000}"/>
    <cellStyle name="Normal 38 55 2" xfId="21173" xr:uid="{00000000-0005-0000-0000-000041400000}"/>
    <cellStyle name="Normal 38 56" xfId="9071" xr:uid="{00000000-0005-0000-0000-000042400000}"/>
    <cellStyle name="Normal 38 56 2" xfId="21174" xr:uid="{00000000-0005-0000-0000-000043400000}"/>
    <cellStyle name="Normal 38 57" xfId="9072" xr:uid="{00000000-0005-0000-0000-000044400000}"/>
    <cellStyle name="Normal 38 57 2" xfId="21175" xr:uid="{00000000-0005-0000-0000-000045400000}"/>
    <cellStyle name="Normal 38 58" xfId="9073" xr:uid="{00000000-0005-0000-0000-000046400000}"/>
    <cellStyle name="Normal 38 58 2" xfId="21176" xr:uid="{00000000-0005-0000-0000-000047400000}"/>
    <cellStyle name="Normal 38 59" xfId="9074" xr:uid="{00000000-0005-0000-0000-000048400000}"/>
    <cellStyle name="Normal 38 59 2" xfId="21177" xr:uid="{00000000-0005-0000-0000-000049400000}"/>
    <cellStyle name="Normal 38 6" xfId="9075" xr:uid="{00000000-0005-0000-0000-00004A400000}"/>
    <cellStyle name="Normal 38 6 2" xfId="21178" xr:uid="{00000000-0005-0000-0000-00004B400000}"/>
    <cellStyle name="Normal 38 60" xfId="9076" xr:uid="{00000000-0005-0000-0000-00004C400000}"/>
    <cellStyle name="Normal 38 60 2" xfId="21179" xr:uid="{00000000-0005-0000-0000-00004D400000}"/>
    <cellStyle name="Normal 38 61" xfId="9077" xr:uid="{00000000-0005-0000-0000-00004E400000}"/>
    <cellStyle name="Normal 38 61 2" xfId="21180" xr:uid="{00000000-0005-0000-0000-00004F400000}"/>
    <cellStyle name="Normal 38 62" xfId="9078" xr:uid="{00000000-0005-0000-0000-000050400000}"/>
    <cellStyle name="Normal 38 62 2" xfId="21181" xr:uid="{00000000-0005-0000-0000-000051400000}"/>
    <cellStyle name="Normal 38 63" xfId="9079" xr:uid="{00000000-0005-0000-0000-000052400000}"/>
    <cellStyle name="Normal 38 63 2" xfId="21182" xr:uid="{00000000-0005-0000-0000-000053400000}"/>
    <cellStyle name="Normal 38 64" xfId="9080" xr:uid="{00000000-0005-0000-0000-000054400000}"/>
    <cellStyle name="Normal 38 64 2" xfId="21183" xr:uid="{00000000-0005-0000-0000-000055400000}"/>
    <cellStyle name="Normal 38 65" xfId="9081" xr:uid="{00000000-0005-0000-0000-000056400000}"/>
    <cellStyle name="Normal 38 65 2" xfId="21184" xr:uid="{00000000-0005-0000-0000-000057400000}"/>
    <cellStyle name="Normal 38 66" xfId="9082" xr:uid="{00000000-0005-0000-0000-000058400000}"/>
    <cellStyle name="Normal 38 66 2" xfId="21185" xr:uid="{00000000-0005-0000-0000-000059400000}"/>
    <cellStyle name="Normal 38 67" xfId="9083" xr:uid="{00000000-0005-0000-0000-00005A400000}"/>
    <cellStyle name="Normal 38 67 2" xfId="21186" xr:uid="{00000000-0005-0000-0000-00005B400000}"/>
    <cellStyle name="Normal 38 68" xfId="9084" xr:uid="{00000000-0005-0000-0000-00005C400000}"/>
    <cellStyle name="Normal 38 68 2" xfId="21187" xr:uid="{00000000-0005-0000-0000-00005D400000}"/>
    <cellStyle name="Normal 38 69" xfId="9085" xr:uid="{00000000-0005-0000-0000-00005E400000}"/>
    <cellStyle name="Normal 38 69 2" xfId="21188" xr:uid="{00000000-0005-0000-0000-00005F400000}"/>
    <cellStyle name="Normal 38 7" xfId="9086" xr:uid="{00000000-0005-0000-0000-000060400000}"/>
    <cellStyle name="Normal 38 7 2" xfId="21189" xr:uid="{00000000-0005-0000-0000-000061400000}"/>
    <cellStyle name="Normal 38 70" xfId="9087" xr:uid="{00000000-0005-0000-0000-000062400000}"/>
    <cellStyle name="Normal 38 70 2" xfId="21190" xr:uid="{00000000-0005-0000-0000-000063400000}"/>
    <cellStyle name="Normal 38 71" xfId="9088" xr:uid="{00000000-0005-0000-0000-000064400000}"/>
    <cellStyle name="Normal 38 71 2" xfId="21191" xr:uid="{00000000-0005-0000-0000-000065400000}"/>
    <cellStyle name="Normal 38 72" xfId="9089" xr:uid="{00000000-0005-0000-0000-000066400000}"/>
    <cellStyle name="Normal 38 72 2" xfId="21192" xr:uid="{00000000-0005-0000-0000-000067400000}"/>
    <cellStyle name="Normal 38 73" xfId="9090" xr:uid="{00000000-0005-0000-0000-000068400000}"/>
    <cellStyle name="Normal 38 73 2" xfId="21193" xr:uid="{00000000-0005-0000-0000-000069400000}"/>
    <cellStyle name="Normal 38 74" xfId="9091" xr:uid="{00000000-0005-0000-0000-00006A400000}"/>
    <cellStyle name="Normal 38 74 2" xfId="21194" xr:uid="{00000000-0005-0000-0000-00006B400000}"/>
    <cellStyle name="Normal 38 75" xfId="9092" xr:uid="{00000000-0005-0000-0000-00006C400000}"/>
    <cellStyle name="Normal 38 75 2" xfId="21195" xr:uid="{00000000-0005-0000-0000-00006D400000}"/>
    <cellStyle name="Normal 38 76" xfId="9093" xr:uid="{00000000-0005-0000-0000-00006E400000}"/>
    <cellStyle name="Normal 38 76 2" xfId="21196" xr:uid="{00000000-0005-0000-0000-00006F400000}"/>
    <cellStyle name="Normal 38 77" xfId="9094" xr:uid="{00000000-0005-0000-0000-000070400000}"/>
    <cellStyle name="Normal 38 77 2" xfId="21197" xr:uid="{00000000-0005-0000-0000-000071400000}"/>
    <cellStyle name="Normal 38 78" xfId="9095" xr:uid="{00000000-0005-0000-0000-000072400000}"/>
    <cellStyle name="Normal 38 78 2" xfId="21198" xr:uid="{00000000-0005-0000-0000-000073400000}"/>
    <cellStyle name="Normal 38 79" xfId="9096" xr:uid="{00000000-0005-0000-0000-000074400000}"/>
    <cellStyle name="Normal 38 79 2" xfId="21199" xr:uid="{00000000-0005-0000-0000-000075400000}"/>
    <cellStyle name="Normal 38 8" xfId="9097" xr:uid="{00000000-0005-0000-0000-000076400000}"/>
    <cellStyle name="Normal 38 8 2" xfId="21200" xr:uid="{00000000-0005-0000-0000-000077400000}"/>
    <cellStyle name="Normal 38 80" xfId="21123" xr:uid="{00000000-0005-0000-0000-000078400000}"/>
    <cellStyle name="Normal 38 9" xfId="9098" xr:uid="{00000000-0005-0000-0000-000079400000}"/>
    <cellStyle name="Normal 38 9 2" xfId="21201" xr:uid="{00000000-0005-0000-0000-00007A400000}"/>
    <cellStyle name="Normal 39" xfId="148" xr:uid="{00000000-0005-0000-0000-00007B400000}"/>
    <cellStyle name="Normal 39 10" xfId="9099" xr:uid="{00000000-0005-0000-0000-00007C400000}"/>
    <cellStyle name="Normal 39 10 2" xfId="21203" xr:uid="{00000000-0005-0000-0000-00007D400000}"/>
    <cellStyle name="Normal 39 11" xfId="9100" xr:uid="{00000000-0005-0000-0000-00007E400000}"/>
    <cellStyle name="Normal 39 11 2" xfId="21204" xr:uid="{00000000-0005-0000-0000-00007F400000}"/>
    <cellStyle name="Normal 39 12" xfId="9101" xr:uid="{00000000-0005-0000-0000-000080400000}"/>
    <cellStyle name="Normal 39 12 2" xfId="21205" xr:uid="{00000000-0005-0000-0000-000081400000}"/>
    <cellStyle name="Normal 39 13" xfId="9102" xr:uid="{00000000-0005-0000-0000-000082400000}"/>
    <cellStyle name="Normal 39 13 2" xfId="21206" xr:uid="{00000000-0005-0000-0000-000083400000}"/>
    <cellStyle name="Normal 39 14" xfId="9103" xr:uid="{00000000-0005-0000-0000-000084400000}"/>
    <cellStyle name="Normal 39 14 2" xfId="21207" xr:uid="{00000000-0005-0000-0000-000085400000}"/>
    <cellStyle name="Normal 39 15" xfId="9104" xr:uid="{00000000-0005-0000-0000-000086400000}"/>
    <cellStyle name="Normal 39 15 2" xfId="21208" xr:uid="{00000000-0005-0000-0000-000087400000}"/>
    <cellStyle name="Normal 39 16" xfId="9105" xr:uid="{00000000-0005-0000-0000-000088400000}"/>
    <cellStyle name="Normal 39 16 2" xfId="21209" xr:uid="{00000000-0005-0000-0000-000089400000}"/>
    <cellStyle name="Normal 39 17" xfId="9106" xr:uid="{00000000-0005-0000-0000-00008A400000}"/>
    <cellStyle name="Normal 39 17 2" xfId="21210" xr:uid="{00000000-0005-0000-0000-00008B400000}"/>
    <cellStyle name="Normal 39 18" xfId="9107" xr:uid="{00000000-0005-0000-0000-00008C400000}"/>
    <cellStyle name="Normal 39 18 2" xfId="21211" xr:uid="{00000000-0005-0000-0000-00008D400000}"/>
    <cellStyle name="Normal 39 19" xfId="9108" xr:uid="{00000000-0005-0000-0000-00008E400000}"/>
    <cellStyle name="Normal 39 19 2" xfId="21212" xr:uid="{00000000-0005-0000-0000-00008F400000}"/>
    <cellStyle name="Normal 39 2" xfId="171" xr:uid="{00000000-0005-0000-0000-000090400000}"/>
    <cellStyle name="Normal 39 2 2" xfId="21213" xr:uid="{00000000-0005-0000-0000-000091400000}"/>
    <cellStyle name="Normal 39 2 3" xfId="9109" xr:uid="{00000000-0005-0000-0000-000092400000}"/>
    <cellStyle name="Normal 39 20" xfId="9110" xr:uid="{00000000-0005-0000-0000-000093400000}"/>
    <cellStyle name="Normal 39 20 2" xfId="21214" xr:uid="{00000000-0005-0000-0000-000094400000}"/>
    <cellStyle name="Normal 39 21" xfId="9111" xr:uid="{00000000-0005-0000-0000-000095400000}"/>
    <cellStyle name="Normal 39 21 2" xfId="21215" xr:uid="{00000000-0005-0000-0000-000096400000}"/>
    <cellStyle name="Normal 39 22" xfId="9112" xr:uid="{00000000-0005-0000-0000-000097400000}"/>
    <cellStyle name="Normal 39 22 2" xfId="21216" xr:uid="{00000000-0005-0000-0000-000098400000}"/>
    <cellStyle name="Normal 39 23" xfId="9113" xr:uid="{00000000-0005-0000-0000-000099400000}"/>
    <cellStyle name="Normal 39 23 2" xfId="21217" xr:uid="{00000000-0005-0000-0000-00009A400000}"/>
    <cellStyle name="Normal 39 24" xfId="9114" xr:uid="{00000000-0005-0000-0000-00009B400000}"/>
    <cellStyle name="Normal 39 24 2" xfId="21218" xr:uid="{00000000-0005-0000-0000-00009C400000}"/>
    <cellStyle name="Normal 39 25" xfId="9115" xr:uid="{00000000-0005-0000-0000-00009D400000}"/>
    <cellStyle name="Normal 39 25 2" xfId="21219" xr:uid="{00000000-0005-0000-0000-00009E400000}"/>
    <cellStyle name="Normal 39 26" xfId="9116" xr:uid="{00000000-0005-0000-0000-00009F400000}"/>
    <cellStyle name="Normal 39 26 2" xfId="21220" xr:uid="{00000000-0005-0000-0000-0000A0400000}"/>
    <cellStyle name="Normal 39 27" xfId="9117" xr:uid="{00000000-0005-0000-0000-0000A1400000}"/>
    <cellStyle name="Normal 39 27 2" xfId="21221" xr:uid="{00000000-0005-0000-0000-0000A2400000}"/>
    <cellStyle name="Normal 39 28" xfId="9118" xr:uid="{00000000-0005-0000-0000-0000A3400000}"/>
    <cellStyle name="Normal 39 28 2" xfId="21222" xr:uid="{00000000-0005-0000-0000-0000A4400000}"/>
    <cellStyle name="Normal 39 29" xfId="9119" xr:uid="{00000000-0005-0000-0000-0000A5400000}"/>
    <cellStyle name="Normal 39 29 2" xfId="21223" xr:uid="{00000000-0005-0000-0000-0000A6400000}"/>
    <cellStyle name="Normal 39 3" xfId="797" xr:uid="{00000000-0005-0000-0000-0000A7400000}"/>
    <cellStyle name="Normal 39 3 2" xfId="21224" xr:uid="{00000000-0005-0000-0000-0000A8400000}"/>
    <cellStyle name="Normal 39 30" xfId="9120" xr:uid="{00000000-0005-0000-0000-0000A9400000}"/>
    <cellStyle name="Normal 39 30 2" xfId="21225" xr:uid="{00000000-0005-0000-0000-0000AA400000}"/>
    <cellStyle name="Normal 39 31" xfId="9121" xr:uid="{00000000-0005-0000-0000-0000AB400000}"/>
    <cellStyle name="Normal 39 31 2" xfId="21226" xr:uid="{00000000-0005-0000-0000-0000AC400000}"/>
    <cellStyle name="Normal 39 32" xfId="9122" xr:uid="{00000000-0005-0000-0000-0000AD400000}"/>
    <cellStyle name="Normal 39 32 2" xfId="21227" xr:uid="{00000000-0005-0000-0000-0000AE400000}"/>
    <cellStyle name="Normal 39 33" xfId="9123" xr:uid="{00000000-0005-0000-0000-0000AF400000}"/>
    <cellStyle name="Normal 39 33 2" xfId="21228" xr:uid="{00000000-0005-0000-0000-0000B0400000}"/>
    <cellStyle name="Normal 39 34" xfId="9124" xr:uid="{00000000-0005-0000-0000-0000B1400000}"/>
    <cellStyle name="Normal 39 34 2" xfId="21229" xr:uid="{00000000-0005-0000-0000-0000B2400000}"/>
    <cellStyle name="Normal 39 35" xfId="9125" xr:uid="{00000000-0005-0000-0000-0000B3400000}"/>
    <cellStyle name="Normal 39 35 2" xfId="21230" xr:uid="{00000000-0005-0000-0000-0000B4400000}"/>
    <cellStyle name="Normal 39 36" xfId="9126" xr:uid="{00000000-0005-0000-0000-0000B5400000}"/>
    <cellStyle name="Normal 39 36 2" xfId="21231" xr:uid="{00000000-0005-0000-0000-0000B6400000}"/>
    <cellStyle name="Normal 39 37" xfId="9127" xr:uid="{00000000-0005-0000-0000-0000B7400000}"/>
    <cellStyle name="Normal 39 37 2" xfId="21232" xr:uid="{00000000-0005-0000-0000-0000B8400000}"/>
    <cellStyle name="Normal 39 38" xfId="9128" xr:uid="{00000000-0005-0000-0000-0000B9400000}"/>
    <cellStyle name="Normal 39 38 2" xfId="21233" xr:uid="{00000000-0005-0000-0000-0000BA400000}"/>
    <cellStyle name="Normal 39 39" xfId="9129" xr:uid="{00000000-0005-0000-0000-0000BB400000}"/>
    <cellStyle name="Normal 39 39 2" xfId="21234" xr:uid="{00000000-0005-0000-0000-0000BC400000}"/>
    <cellStyle name="Normal 39 4" xfId="728" xr:uid="{00000000-0005-0000-0000-0000BD400000}"/>
    <cellStyle name="Normal 39 4 2" xfId="21235" xr:uid="{00000000-0005-0000-0000-0000BE400000}"/>
    <cellStyle name="Normal 39 4 3" xfId="9130" xr:uid="{00000000-0005-0000-0000-0000BF400000}"/>
    <cellStyle name="Normal 39 40" xfId="9131" xr:uid="{00000000-0005-0000-0000-0000C0400000}"/>
    <cellStyle name="Normal 39 40 2" xfId="21236" xr:uid="{00000000-0005-0000-0000-0000C1400000}"/>
    <cellStyle name="Normal 39 41" xfId="9132" xr:uid="{00000000-0005-0000-0000-0000C2400000}"/>
    <cellStyle name="Normal 39 41 2" xfId="21237" xr:uid="{00000000-0005-0000-0000-0000C3400000}"/>
    <cellStyle name="Normal 39 42" xfId="9133" xr:uid="{00000000-0005-0000-0000-0000C4400000}"/>
    <cellStyle name="Normal 39 42 2" xfId="21238" xr:uid="{00000000-0005-0000-0000-0000C5400000}"/>
    <cellStyle name="Normal 39 43" xfId="9134" xr:uid="{00000000-0005-0000-0000-0000C6400000}"/>
    <cellStyle name="Normal 39 43 2" xfId="21239" xr:uid="{00000000-0005-0000-0000-0000C7400000}"/>
    <cellStyle name="Normal 39 44" xfId="9135" xr:uid="{00000000-0005-0000-0000-0000C8400000}"/>
    <cellStyle name="Normal 39 44 2" xfId="21240" xr:uid="{00000000-0005-0000-0000-0000C9400000}"/>
    <cellStyle name="Normal 39 45" xfId="9136" xr:uid="{00000000-0005-0000-0000-0000CA400000}"/>
    <cellStyle name="Normal 39 45 2" xfId="21241" xr:uid="{00000000-0005-0000-0000-0000CB400000}"/>
    <cellStyle name="Normal 39 46" xfId="9137" xr:uid="{00000000-0005-0000-0000-0000CC400000}"/>
    <cellStyle name="Normal 39 46 2" xfId="21242" xr:uid="{00000000-0005-0000-0000-0000CD400000}"/>
    <cellStyle name="Normal 39 47" xfId="9138" xr:uid="{00000000-0005-0000-0000-0000CE400000}"/>
    <cellStyle name="Normal 39 47 2" xfId="21243" xr:uid="{00000000-0005-0000-0000-0000CF400000}"/>
    <cellStyle name="Normal 39 48" xfId="9139" xr:uid="{00000000-0005-0000-0000-0000D0400000}"/>
    <cellStyle name="Normal 39 48 2" xfId="21244" xr:uid="{00000000-0005-0000-0000-0000D1400000}"/>
    <cellStyle name="Normal 39 49" xfId="9140" xr:uid="{00000000-0005-0000-0000-0000D2400000}"/>
    <cellStyle name="Normal 39 49 2" xfId="21245" xr:uid="{00000000-0005-0000-0000-0000D3400000}"/>
    <cellStyle name="Normal 39 5" xfId="325" xr:uid="{00000000-0005-0000-0000-0000D4400000}"/>
    <cellStyle name="Normal 39 5 2" xfId="21246" xr:uid="{00000000-0005-0000-0000-0000D5400000}"/>
    <cellStyle name="Normal 39 50" xfId="9141" xr:uid="{00000000-0005-0000-0000-0000D6400000}"/>
    <cellStyle name="Normal 39 50 2" xfId="21247" xr:uid="{00000000-0005-0000-0000-0000D7400000}"/>
    <cellStyle name="Normal 39 51" xfId="9142" xr:uid="{00000000-0005-0000-0000-0000D8400000}"/>
    <cellStyle name="Normal 39 51 2" xfId="21248" xr:uid="{00000000-0005-0000-0000-0000D9400000}"/>
    <cellStyle name="Normal 39 52" xfId="9143" xr:uid="{00000000-0005-0000-0000-0000DA400000}"/>
    <cellStyle name="Normal 39 52 2" xfId="21249" xr:uid="{00000000-0005-0000-0000-0000DB400000}"/>
    <cellStyle name="Normal 39 53" xfId="9144" xr:uid="{00000000-0005-0000-0000-0000DC400000}"/>
    <cellStyle name="Normal 39 53 2" xfId="21250" xr:uid="{00000000-0005-0000-0000-0000DD400000}"/>
    <cellStyle name="Normal 39 54" xfId="9145" xr:uid="{00000000-0005-0000-0000-0000DE400000}"/>
    <cellStyle name="Normal 39 54 2" xfId="21251" xr:uid="{00000000-0005-0000-0000-0000DF400000}"/>
    <cellStyle name="Normal 39 55" xfId="9146" xr:uid="{00000000-0005-0000-0000-0000E0400000}"/>
    <cellStyle name="Normal 39 55 2" xfId="21252" xr:uid="{00000000-0005-0000-0000-0000E1400000}"/>
    <cellStyle name="Normal 39 56" xfId="9147" xr:uid="{00000000-0005-0000-0000-0000E2400000}"/>
    <cellStyle name="Normal 39 56 2" xfId="21253" xr:uid="{00000000-0005-0000-0000-0000E3400000}"/>
    <cellStyle name="Normal 39 57" xfId="9148" xr:uid="{00000000-0005-0000-0000-0000E4400000}"/>
    <cellStyle name="Normal 39 57 2" xfId="21254" xr:uid="{00000000-0005-0000-0000-0000E5400000}"/>
    <cellStyle name="Normal 39 58" xfId="9149" xr:uid="{00000000-0005-0000-0000-0000E6400000}"/>
    <cellStyle name="Normal 39 58 2" xfId="21255" xr:uid="{00000000-0005-0000-0000-0000E7400000}"/>
    <cellStyle name="Normal 39 59" xfId="9150" xr:uid="{00000000-0005-0000-0000-0000E8400000}"/>
    <cellStyle name="Normal 39 59 2" xfId="21256" xr:uid="{00000000-0005-0000-0000-0000E9400000}"/>
    <cellStyle name="Normal 39 6" xfId="9151" xr:uid="{00000000-0005-0000-0000-0000EA400000}"/>
    <cellStyle name="Normal 39 6 2" xfId="21257" xr:uid="{00000000-0005-0000-0000-0000EB400000}"/>
    <cellStyle name="Normal 39 60" xfId="9152" xr:uid="{00000000-0005-0000-0000-0000EC400000}"/>
    <cellStyle name="Normal 39 60 2" xfId="21258" xr:uid="{00000000-0005-0000-0000-0000ED400000}"/>
    <cellStyle name="Normal 39 61" xfId="9153" xr:uid="{00000000-0005-0000-0000-0000EE400000}"/>
    <cellStyle name="Normal 39 61 2" xfId="21259" xr:uid="{00000000-0005-0000-0000-0000EF400000}"/>
    <cellStyle name="Normal 39 62" xfId="9154" xr:uid="{00000000-0005-0000-0000-0000F0400000}"/>
    <cellStyle name="Normal 39 62 2" xfId="21260" xr:uid="{00000000-0005-0000-0000-0000F1400000}"/>
    <cellStyle name="Normal 39 63" xfId="9155" xr:uid="{00000000-0005-0000-0000-0000F2400000}"/>
    <cellStyle name="Normal 39 63 2" xfId="21261" xr:uid="{00000000-0005-0000-0000-0000F3400000}"/>
    <cellStyle name="Normal 39 64" xfId="9156" xr:uid="{00000000-0005-0000-0000-0000F4400000}"/>
    <cellStyle name="Normal 39 64 2" xfId="21262" xr:uid="{00000000-0005-0000-0000-0000F5400000}"/>
    <cellStyle name="Normal 39 65" xfId="9157" xr:uid="{00000000-0005-0000-0000-0000F6400000}"/>
    <cellStyle name="Normal 39 65 2" xfId="21263" xr:uid="{00000000-0005-0000-0000-0000F7400000}"/>
    <cellStyle name="Normal 39 66" xfId="9158" xr:uid="{00000000-0005-0000-0000-0000F8400000}"/>
    <cellStyle name="Normal 39 66 2" xfId="21264" xr:uid="{00000000-0005-0000-0000-0000F9400000}"/>
    <cellStyle name="Normal 39 67" xfId="9159" xr:uid="{00000000-0005-0000-0000-0000FA400000}"/>
    <cellStyle name="Normal 39 67 2" xfId="21265" xr:uid="{00000000-0005-0000-0000-0000FB400000}"/>
    <cellStyle name="Normal 39 68" xfId="9160" xr:uid="{00000000-0005-0000-0000-0000FC400000}"/>
    <cellStyle name="Normal 39 68 2" xfId="21266" xr:uid="{00000000-0005-0000-0000-0000FD400000}"/>
    <cellStyle name="Normal 39 69" xfId="9161" xr:uid="{00000000-0005-0000-0000-0000FE400000}"/>
    <cellStyle name="Normal 39 69 2" xfId="21267" xr:uid="{00000000-0005-0000-0000-0000FF400000}"/>
    <cellStyle name="Normal 39 7" xfId="9162" xr:uid="{00000000-0005-0000-0000-000000410000}"/>
    <cellStyle name="Normal 39 7 2" xfId="21268" xr:uid="{00000000-0005-0000-0000-000001410000}"/>
    <cellStyle name="Normal 39 70" xfId="9163" xr:uid="{00000000-0005-0000-0000-000002410000}"/>
    <cellStyle name="Normal 39 70 2" xfId="21269" xr:uid="{00000000-0005-0000-0000-000003410000}"/>
    <cellStyle name="Normal 39 71" xfId="9164" xr:uid="{00000000-0005-0000-0000-000004410000}"/>
    <cellStyle name="Normal 39 71 2" xfId="21270" xr:uid="{00000000-0005-0000-0000-000005410000}"/>
    <cellStyle name="Normal 39 72" xfId="9165" xr:uid="{00000000-0005-0000-0000-000006410000}"/>
    <cellStyle name="Normal 39 72 2" xfId="21271" xr:uid="{00000000-0005-0000-0000-000007410000}"/>
    <cellStyle name="Normal 39 73" xfId="9166" xr:uid="{00000000-0005-0000-0000-000008410000}"/>
    <cellStyle name="Normal 39 73 2" xfId="21272" xr:uid="{00000000-0005-0000-0000-000009410000}"/>
    <cellStyle name="Normal 39 74" xfId="9167" xr:uid="{00000000-0005-0000-0000-00000A410000}"/>
    <cellStyle name="Normal 39 74 2" xfId="21273" xr:uid="{00000000-0005-0000-0000-00000B410000}"/>
    <cellStyle name="Normal 39 75" xfId="9168" xr:uid="{00000000-0005-0000-0000-00000C410000}"/>
    <cellStyle name="Normal 39 75 2" xfId="21274" xr:uid="{00000000-0005-0000-0000-00000D410000}"/>
    <cellStyle name="Normal 39 76" xfId="9169" xr:uid="{00000000-0005-0000-0000-00000E410000}"/>
    <cellStyle name="Normal 39 76 2" xfId="21275" xr:uid="{00000000-0005-0000-0000-00000F410000}"/>
    <cellStyle name="Normal 39 77" xfId="9170" xr:uid="{00000000-0005-0000-0000-000010410000}"/>
    <cellStyle name="Normal 39 77 2" xfId="21276" xr:uid="{00000000-0005-0000-0000-000011410000}"/>
    <cellStyle name="Normal 39 78" xfId="9171" xr:uid="{00000000-0005-0000-0000-000012410000}"/>
    <cellStyle name="Normal 39 78 2" xfId="21277" xr:uid="{00000000-0005-0000-0000-000013410000}"/>
    <cellStyle name="Normal 39 79" xfId="9172" xr:uid="{00000000-0005-0000-0000-000014410000}"/>
    <cellStyle name="Normal 39 79 2" xfId="21278" xr:uid="{00000000-0005-0000-0000-000015410000}"/>
    <cellStyle name="Normal 39 8" xfId="9173" xr:uid="{00000000-0005-0000-0000-000016410000}"/>
    <cellStyle name="Normal 39 8 2" xfId="21279" xr:uid="{00000000-0005-0000-0000-000017410000}"/>
    <cellStyle name="Normal 39 80" xfId="21202" xr:uid="{00000000-0005-0000-0000-000018410000}"/>
    <cellStyle name="Normal 39 9" xfId="9174" xr:uid="{00000000-0005-0000-0000-000019410000}"/>
    <cellStyle name="Normal 39 9 2" xfId="21280" xr:uid="{00000000-0005-0000-0000-00001A410000}"/>
    <cellStyle name="Normal 4" xfId="4" xr:uid="{00000000-0005-0000-0000-00001B410000}"/>
    <cellStyle name="Normal 4 10" xfId="3163" xr:uid="{00000000-0005-0000-0000-00001C410000}"/>
    <cellStyle name="Normal 4 10 2" xfId="15329" xr:uid="{00000000-0005-0000-0000-00001D410000}"/>
    <cellStyle name="Normal 4 10 3" xfId="31349" xr:uid="{00000000-0005-0000-0000-00001E410000}"/>
    <cellStyle name="Normal 4 11" xfId="3164" xr:uid="{00000000-0005-0000-0000-00001F410000}"/>
    <cellStyle name="Normal 4 11 2" xfId="15330" xr:uid="{00000000-0005-0000-0000-000020410000}"/>
    <cellStyle name="Normal 4 12" xfId="3165" xr:uid="{00000000-0005-0000-0000-000021410000}"/>
    <cellStyle name="Normal 4 12 2" xfId="15331" xr:uid="{00000000-0005-0000-0000-000022410000}"/>
    <cellStyle name="Normal 4 13" xfId="9175" xr:uid="{00000000-0005-0000-0000-000023410000}"/>
    <cellStyle name="Normal 4 13 2" xfId="21281" xr:uid="{00000000-0005-0000-0000-000024410000}"/>
    <cellStyle name="Normal 4 14" xfId="9176" xr:uid="{00000000-0005-0000-0000-000025410000}"/>
    <cellStyle name="Normal 4 14 2" xfId="21282" xr:uid="{00000000-0005-0000-0000-000026410000}"/>
    <cellStyle name="Normal 4 15" xfId="94" xr:uid="{00000000-0005-0000-0000-000027410000}"/>
    <cellStyle name="Normal 4 15 2" xfId="21283" xr:uid="{00000000-0005-0000-0000-000028410000}"/>
    <cellStyle name="Normal 4 16" xfId="9177" xr:uid="{00000000-0005-0000-0000-000029410000}"/>
    <cellStyle name="Normal 4 16 2" xfId="21284" xr:uid="{00000000-0005-0000-0000-00002A410000}"/>
    <cellStyle name="Normal 4 17" xfId="9178" xr:uid="{00000000-0005-0000-0000-00002B410000}"/>
    <cellStyle name="Normal 4 17 2" xfId="21285" xr:uid="{00000000-0005-0000-0000-00002C410000}"/>
    <cellStyle name="Normal 4 18" xfId="9179" xr:uid="{00000000-0005-0000-0000-00002D410000}"/>
    <cellStyle name="Normal 4 18 2" xfId="21286" xr:uid="{00000000-0005-0000-0000-00002E410000}"/>
    <cellStyle name="Normal 4 19" xfId="9180" xr:uid="{00000000-0005-0000-0000-00002F410000}"/>
    <cellStyle name="Normal 4 19 2" xfId="21287" xr:uid="{00000000-0005-0000-0000-000030410000}"/>
    <cellStyle name="Normal 4 2" xfId="56" xr:uid="{00000000-0005-0000-0000-000031410000}"/>
    <cellStyle name="Normal 4 2 10" xfId="9181" xr:uid="{00000000-0005-0000-0000-000032410000}"/>
    <cellStyle name="Normal 4 2 10 2" xfId="21288" xr:uid="{00000000-0005-0000-0000-000033410000}"/>
    <cellStyle name="Normal 4 2 11" xfId="9182" xr:uid="{00000000-0005-0000-0000-000034410000}"/>
    <cellStyle name="Normal 4 2 11 2" xfId="21289" xr:uid="{00000000-0005-0000-0000-000035410000}"/>
    <cellStyle name="Normal 4 2 12" xfId="9183" xr:uid="{00000000-0005-0000-0000-000036410000}"/>
    <cellStyle name="Normal 4 2 12 2" xfId="21290" xr:uid="{00000000-0005-0000-0000-000037410000}"/>
    <cellStyle name="Normal 4 2 13" xfId="9184" xr:uid="{00000000-0005-0000-0000-000038410000}"/>
    <cellStyle name="Normal 4 2 13 2" xfId="21291" xr:uid="{00000000-0005-0000-0000-000039410000}"/>
    <cellStyle name="Normal 4 2 14" xfId="9185" xr:uid="{00000000-0005-0000-0000-00003A410000}"/>
    <cellStyle name="Normal 4 2 14 2" xfId="21292" xr:uid="{00000000-0005-0000-0000-00003B410000}"/>
    <cellStyle name="Normal 4 2 15" xfId="9186" xr:uid="{00000000-0005-0000-0000-00003C410000}"/>
    <cellStyle name="Normal 4 2 15 2" xfId="21293" xr:uid="{00000000-0005-0000-0000-00003D410000}"/>
    <cellStyle name="Normal 4 2 16" xfId="9187" xr:uid="{00000000-0005-0000-0000-00003E410000}"/>
    <cellStyle name="Normal 4 2 16 2" xfId="21294" xr:uid="{00000000-0005-0000-0000-00003F410000}"/>
    <cellStyle name="Normal 4 2 17" xfId="9188" xr:uid="{00000000-0005-0000-0000-000040410000}"/>
    <cellStyle name="Normal 4 2 17 2" xfId="21295" xr:uid="{00000000-0005-0000-0000-000041410000}"/>
    <cellStyle name="Normal 4 2 18" xfId="9189" xr:uid="{00000000-0005-0000-0000-000042410000}"/>
    <cellStyle name="Normal 4 2 18 2" xfId="21296" xr:uid="{00000000-0005-0000-0000-000043410000}"/>
    <cellStyle name="Normal 4 2 19" xfId="9190" xr:uid="{00000000-0005-0000-0000-000044410000}"/>
    <cellStyle name="Normal 4 2 19 2" xfId="21297" xr:uid="{00000000-0005-0000-0000-000045410000}"/>
    <cellStyle name="Normal 4 2 2" xfId="1507" xr:uid="{00000000-0005-0000-0000-000046410000}"/>
    <cellStyle name="Normal 4 2 2 2" xfId="15353" xr:uid="{00000000-0005-0000-0000-000047410000}"/>
    <cellStyle name="Normal 4 2 20" xfId="9191" xr:uid="{00000000-0005-0000-0000-000048410000}"/>
    <cellStyle name="Normal 4 2 20 2" xfId="21298" xr:uid="{00000000-0005-0000-0000-000049410000}"/>
    <cellStyle name="Normal 4 2 21" xfId="9192" xr:uid="{00000000-0005-0000-0000-00004A410000}"/>
    <cellStyle name="Normal 4 2 21 2" xfId="21299" xr:uid="{00000000-0005-0000-0000-00004B410000}"/>
    <cellStyle name="Normal 4 2 22" xfId="9193" xr:uid="{00000000-0005-0000-0000-00004C410000}"/>
    <cellStyle name="Normal 4 2 22 2" xfId="21300" xr:uid="{00000000-0005-0000-0000-00004D410000}"/>
    <cellStyle name="Normal 4 2 23" xfId="9194" xr:uid="{00000000-0005-0000-0000-00004E410000}"/>
    <cellStyle name="Normal 4 2 23 2" xfId="21301" xr:uid="{00000000-0005-0000-0000-00004F410000}"/>
    <cellStyle name="Normal 4 2 24" xfId="9195" xr:uid="{00000000-0005-0000-0000-000050410000}"/>
    <cellStyle name="Normal 4 2 24 2" xfId="21302" xr:uid="{00000000-0005-0000-0000-000051410000}"/>
    <cellStyle name="Normal 4 2 25" xfId="9196" xr:uid="{00000000-0005-0000-0000-000052410000}"/>
    <cellStyle name="Normal 4 2 25 2" xfId="21303" xr:uid="{00000000-0005-0000-0000-000053410000}"/>
    <cellStyle name="Normal 4 2 26" xfId="9197" xr:uid="{00000000-0005-0000-0000-000054410000}"/>
    <cellStyle name="Normal 4 2 26 2" xfId="21304" xr:uid="{00000000-0005-0000-0000-000055410000}"/>
    <cellStyle name="Normal 4 2 27" xfId="9198" xr:uid="{00000000-0005-0000-0000-000056410000}"/>
    <cellStyle name="Normal 4 2 27 2" xfId="21305" xr:uid="{00000000-0005-0000-0000-000057410000}"/>
    <cellStyle name="Normal 4 2 28" xfId="9199" xr:uid="{00000000-0005-0000-0000-000058410000}"/>
    <cellStyle name="Normal 4 2 28 2" xfId="21306" xr:uid="{00000000-0005-0000-0000-000059410000}"/>
    <cellStyle name="Normal 4 2 29" xfId="9200" xr:uid="{00000000-0005-0000-0000-00005A410000}"/>
    <cellStyle name="Normal 4 2 29 2" xfId="21307" xr:uid="{00000000-0005-0000-0000-00005B410000}"/>
    <cellStyle name="Normal 4 2 3" xfId="97" xr:uid="{00000000-0005-0000-0000-00005C410000}"/>
    <cellStyle name="Normal 4 2 3 2" xfId="21308" xr:uid="{00000000-0005-0000-0000-00005D410000}"/>
    <cellStyle name="Normal 4 2 3 3" xfId="9201" xr:uid="{00000000-0005-0000-0000-00005E410000}"/>
    <cellStyle name="Normal 4 2 30" xfId="9202" xr:uid="{00000000-0005-0000-0000-00005F410000}"/>
    <cellStyle name="Normal 4 2 30 2" xfId="21309" xr:uid="{00000000-0005-0000-0000-000060410000}"/>
    <cellStyle name="Normal 4 2 31" xfId="9203" xr:uid="{00000000-0005-0000-0000-000061410000}"/>
    <cellStyle name="Normal 4 2 31 2" xfId="21310" xr:uid="{00000000-0005-0000-0000-000062410000}"/>
    <cellStyle name="Normal 4 2 32" xfId="9204" xr:uid="{00000000-0005-0000-0000-000063410000}"/>
    <cellStyle name="Normal 4 2 32 2" xfId="21311" xr:uid="{00000000-0005-0000-0000-000064410000}"/>
    <cellStyle name="Normal 4 2 33" xfId="9205" xr:uid="{00000000-0005-0000-0000-000065410000}"/>
    <cellStyle name="Normal 4 2 33 2" xfId="21312" xr:uid="{00000000-0005-0000-0000-000066410000}"/>
    <cellStyle name="Normal 4 2 34" xfId="9206" xr:uid="{00000000-0005-0000-0000-000067410000}"/>
    <cellStyle name="Normal 4 2 34 2" xfId="21313" xr:uid="{00000000-0005-0000-0000-000068410000}"/>
    <cellStyle name="Normal 4 2 35" xfId="9207" xr:uid="{00000000-0005-0000-0000-000069410000}"/>
    <cellStyle name="Normal 4 2 35 2" xfId="21314" xr:uid="{00000000-0005-0000-0000-00006A410000}"/>
    <cellStyle name="Normal 4 2 36" xfId="9208" xr:uid="{00000000-0005-0000-0000-00006B410000}"/>
    <cellStyle name="Normal 4 2 36 2" xfId="21315" xr:uid="{00000000-0005-0000-0000-00006C410000}"/>
    <cellStyle name="Normal 4 2 37" xfId="9209" xr:uid="{00000000-0005-0000-0000-00006D410000}"/>
    <cellStyle name="Normal 4 2 37 2" xfId="21316" xr:uid="{00000000-0005-0000-0000-00006E410000}"/>
    <cellStyle name="Normal 4 2 38" xfId="9210" xr:uid="{00000000-0005-0000-0000-00006F410000}"/>
    <cellStyle name="Normal 4 2 38 2" xfId="21317" xr:uid="{00000000-0005-0000-0000-000070410000}"/>
    <cellStyle name="Normal 4 2 39" xfId="9211" xr:uid="{00000000-0005-0000-0000-000071410000}"/>
    <cellStyle name="Normal 4 2 39 2" xfId="21318" xr:uid="{00000000-0005-0000-0000-000072410000}"/>
    <cellStyle name="Normal 4 2 4" xfId="9212" xr:uid="{00000000-0005-0000-0000-000073410000}"/>
    <cellStyle name="Normal 4 2 4 2" xfId="21319" xr:uid="{00000000-0005-0000-0000-000074410000}"/>
    <cellStyle name="Normal 4 2 40" xfId="9213" xr:uid="{00000000-0005-0000-0000-000075410000}"/>
    <cellStyle name="Normal 4 2 40 2" xfId="21320" xr:uid="{00000000-0005-0000-0000-000076410000}"/>
    <cellStyle name="Normal 4 2 41" xfId="9214" xr:uid="{00000000-0005-0000-0000-000077410000}"/>
    <cellStyle name="Normal 4 2 41 2" xfId="21321" xr:uid="{00000000-0005-0000-0000-000078410000}"/>
    <cellStyle name="Normal 4 2 42" xfId="9215" xr:uid="{00000000-0005-0000-0000-000079410000}"/>
    <cellStyle name="Normal 4 2 42 2" xfId="21322" xr:uid="{00000000-0005-0000-0000-00007A410000}"/>
    <cellStyle name="Normal 4 2 43" xfId="9216" xr:uid="{00000000-0005-0000-0000-00007B410000}"/>
    <cellStyle name="Normal 4 2 43 2" xfId="21323" xr:uid="{00000000-0005-0000-0000-00007C410000}"/>
    <cellStyle name="Normal 4 2 44" xfId="9217" xr:uid="{00000000-0005-0000-0000-00007D410000}"/>
    <cellStyle name="Normal 4 2 44 2" xfId="21324" xr:uid="{00000000-0005-0000-0000-00007E410000}"/>
    <cellStyle name="Normal 4 2 45" xfId="9218" xr:uid="{00000000-0005-0000-0000-00007F410000}"/>
    <cellStyle name="Normal 4 2 45 2" xfId="21325" xr:uid="{00000000-0005-0000-0000-000080410000}"/>
    <cellStyle name="Normal 4 2 46" xfId="9219" xr:uid="{00000000-0005-0000-0000-000081410000}"/>
    <cellStyle name="Normal 4 2 46 2" xfId="21326" xr:uid="{00000000-0005-0000-0000-000082410000}"/>
    <cellStyle name="Normal 4 2 47" xfId="9220" xr:uid="{00000000-0005-0000-0000-000083410000}"/>
    <cellStyle name="Normal 4 2 47 2" xfId="21327" xr:uid="{00000000-0005-0000-0000-000084410000}"/>
    <cellStyle name="Normal 4 2 48" xfId="9221" xr:uid="{00000000-0005-0000-0000-000085410000}"/>
    <cellStyle name="Normal 4 2 48 2" xfId="21328" xr:uid="{00000000-0005-0000-0000-000086410000}"/>
    <cellStyle name="Normal 4 2 49" xfId="9222" xr:uid="{00000000-0005-0000-0000-000087410000}"/>
    <cellStyle name="Normal 4 2 49 2" xfId="21329" xr:uid="{00000000-0005-0000-0000-000088410000}"/>
    <cellStyle name="Normal 4 2 5" xfId="9223" xr:uid="{00000000-0005-0000-0000-000089410000}"/>
    <cellStyle name="Normal 4 2 5 2" xfId="21330" xr:uid="{00000000-0005-0000-0000-00008A410000}"/>
    <cellStyle name="Normal 4 2 50" xfId="9224" xr:uid="{00000000-0005-0000-0000-00008B410000}"/>
    <cellStyle name="Normal 4 2 50 2" xfId="21331" xr:uid="{00000000-0005-0000-0000-00008C410000}"/>
    <cellStyle name="Normal 4 2 51" xfId="9225" xr:uid="{00000000-0005-0000-0000-00008D410000}"/>
    <cellStyle name="Normal 4 2 51 2" xfId="21332" xr:uid="{00000000-0005-0000-0000-00008E410000}"/>
    <cellStyle name="Normal 4 2 52" xfId="9226" xr:uid="{00000000-0005-0000-0000-00008F410000}"/>
    <cellStyle name="Normal 4 2 52 2" xfId="21333" xr:uid="{00000000-0005-0000-0000-000090410000}"/>
    <cellStyle name="Normal 4 2 53" xfId="9227" xr:uid="{00000000-0005-0000-0000-000091410000}"/>
    <cellStyle name="Normal 4 2 53 2" xfId="21334" xr:uid="{00000000-0005-0000-0000-000092410000}"/>
    <cellStyle name="Normal 4 2 54" xfId="9228" xr:uid="{00000000-0005-0000-0000-000093410000}"/>
    <cellStyle name="Normal 4 2 54 2" xfId="21335" xr:uid="{00000000-0005-0000-0000-000094410000}"/>
    <cellStyle name="Normal 4 2 55" xfId="9229" xr:uid="{00000000-0005-0000-0000-000095410000}"/>
    <cellStyle name="Normal 4 2 55 2" xfId="21336" xr:uid="{00000000-0005-0000-0000-000096410000}"/>
    <cellStyle name="Normal 4 2 56" xfId="9230" xr:uid="{00000000-0005-0000-0000-000097410000}"/>
    <cellStyle name="Normal 4 2 56 2" xfId="21337" xr:uid="{00000000-0005-0000-0000-000098410000}"/>
    <cellStyle name="Normal 4 2 57" xfId="9231" xr:uid="{00000000-0005-0000-0000-000099410000}"/>
    <cellStyle name="Normal 4 2 57 2" xfId="21338" xr:uid="{00000000-0005-0000-0000-00009A410000}"/>
    <cellStyle name="Normal 4 2 58" xfId="9232" xr:uid="{00000000-0005-0000-0000-00009B410000}"/>
    <cellStyle name="Normal 4 2 58 2" xfId="21339" xr:uid="{00000000-0005-0000-0000-00009C410000}"/>
    <cellStyle name="Normal 4 2 59" xfId="9233" xr:uid="{00000000-0005-0000-0000-00009D410000}"/>
    <cellStyle name="Normal 4 2 59 2" xfId="21340" xr:uid="{00000000-0005-0000-0000-00009E410000}"/>
    <cellStyle name="Normal 4 2 6" xfId="9234" xr:uid="{00000000-0005-0000-0000-00009F410000}"/>
    <cellStyle name="Normal 4 2 6 2" xfId="21341" xr:uid="{00000000-0005-0000-0000-0000A0410000}"/>
    <cellStyle name="Normal 4 2 60" xfId="9235" xr:uid="{00000000-0005-0000-0000-0000A1410000}"/>
    <cellStyle name="Normal 4 2 60 2" xfId="21342" xr:uid="{00000000-0005-0000-0000-0000A2410000}"/>
    <cellStyle name="Normal 4 2 61" xfId="9236" xr:uid="{00000000-0005-0000-0000-0000A3410000}"/>
    <cellStyle name="Normal 4 2 61 2" xfId="21343" xr:uid="{00000000-0005-0000-0000-0000A4410000}"/>
    <cellStyle name="Normal 4 2 62" xfId="9237" xr:uid="{00000000-0005-0000-0000-0000A5410000}"/>
    <cellStyle name="Normal 4 2 62 2" xfId="21344" xr:uid="{00000000-0005-0000-0000-0000A6410000}"/>
    <cellStyle name="Normal 4 2 63" xfId="9238" xr:uid="{00000000-0005-0000-0000-0000A7410000}"/>
    <cellStyle name="Normal 4 2 63 2" xfId="21345" xr:uid="{00000000-0005-0000-0000-0000A8410000}"/>
    <cellStyle name="Normal 4 2 64" xfId="9239" xr:uid="{00000000-0005-0000-0000-0000A9410000}"/>
    <cellStyle name="Normal 4 2 64 2" xfId="21346" xr:uid="{00000000-0005-0000-0000-0000AA410000}"/>
    <cellStyle name="Normal 4 2 65" xfId="9240" xr:uid="{00000000-0005-0000-0000-0000AB410000}"/>
    <cellStyle name="Normal 4 2 65 2" xfId="21347" xr:uid="{00000000-0005-0000-0000-0000AC410000}"/>
    <cellStyle name="Normal 4 2 66" xfId="9241" xr:uid="{00000000-0005-0000-0000-0000AD410000}"/>
    <cellStyle name="Normal 4 2 66 2" xfId="21348" xr:uid="{00000000-0005-0000-0000-0000AE410000}"/>
    <cellStyle name="Normal 4 2 67" xfId="9242" xr:uid="{00000000-0005-0000-0000-0000AF410000}"/>
    <cellStyle name="Normal 4 2 67 2" xfId="21349" xr:uid="{00000000-0005-0000-0000-0000B0410000}"/>
    <cellStyle name="Normal 4 2 68" xfId="9243" xr:uid="{00000000-0005-0000-0000-0000B1410000}"/>
    <cellStyle name="Normal 4 2 68 2" xfId="21350" xr:uid="{00000000-0005-0000-0000-0000B2410000}"/>
    <cellStyle name="Normal 4 2 69" xfId="9244" xr:uid="{00000000-0005-0000-0000-0000B3410000}"/>
    <cellStyle name="Normal 4 2 69 2" xfId="21351" xr:uid="{00000000-0005-0000-0000-0000B4410000}"/>
    <cellStyle name="Normal 4 2 7" xfId="9245" xr:uid="{00000000-0005-0000-0000-0000B5410000}"/>
    <cellStyle name="Normal 4 2 7 2" xfId="21352" xr:uid="{00000000-0005-0000-0000-0000B6410000}"/>
    <cellStyle name="Normal 4 2 70" xfId="9246" xr:uid="{00000000-0005-0000-0000-0000B7410000}"/>
    <cellStyle name="Normal 4 2 70 2" xfId="21353" xr:uid="{00000000-0005-0000-0000-0000B8410000}"/>
    <cellStyle name="Normal 4 2 71" xfId="9247" xr:uid="{00000000-0005-0000-0000-0000B9410000}"/>
    <cellStyle name="Normal 4 2 71 2" xfId="21354" xr:uid="{00000000-0005-0000-0000-0000BA410000}"/>
    <cellStyle name="Normal 4 2 72" xfId="9248" xr:uid="{00000000-0005-0000-0000-0000BB410000}"/>
    <cellStyle name="Normal 4 2 72 2" xfId="21355" xr:uid="{00000000-0005-0000-0000-0000BC410000}"/>
    <cellStyle name="Normal 4 2 73" xfId="9249" xr:uid="{00000000-0005-0000-0000-0000BD410000}"/>
    <cellStyle name="Normal 4 2 73 2" xfId="21356" xr:uid="{00000000-0005-0000-0000-0000BE410000}"/>
    <cellStyle name="Normal 4 2 74" xfId="9250" xr:uid="{00000000-0005-0000-0000-0000BF410000}"/>
    <cellStyle name="Normal 4 2 74 2" xfId="21357" xr:uid="{00000000-0005-0000-0000-0000C0410000}"/>
    <cellStyle name="Normal 4 2 75" xfId="9251" xr:uid="{00000000-0005-0000-0000-0000C1410000}"/>
    <cellStyle name="Normal 4 2 75 2" xfId="21358" xr:uid="{00000000-0005-0000-0000-0000C2410000}"/>
    <cellStyle name="Normal 4 2 76" xfId="9252" xr:uid="{00000000-0005-0000-0000-0000C3410000}"/>
    <cellStyle name="Normal 4 2 76 2" xfId="21359" xr:uid="{00000000-0005-0000-0000-0000C4410000}"/>
    <cellStyle name="Normal 4 2 77" xfId="9253" xr:uid="{00000000-0005-0000-0000-0000C5410000}"/>
    <cellStyle name="Normal 4 2 77 2" xfId="21360" xr:uid="{00000000-0005-0000-0000-0000C6410000}"/>
    <cellStyle name="Normal 4 2 78" xfId="9254" xr:uid="{00000000-0005-0000-0000-0000C7410000}"/>
    <cellStyle name="Normal 4 2 78 2" xfId="21361" xr:uid="{00000000-0005-0000-0000-0000C8410000}"/>
    <cellStyle name="Normal 4 2 79" xfId="9255" xr:uid="{00000000-0005-0000-0000-0000C9410000}"/>
    <cellStyle name="Normal 4 2 79 2" xfId="21362" xr:uid="{00000000-0005-0000-0000-0000CA410000}"/>
    <cellStyle name="Normal 4 2 8" xfId="9256" xr:uid="{00000000-0005-0000-0000-0000CB410000}"/>
    <cellStyle name="Normal 4 2 8 2" xfId="21363" xr:uid="{00000000-0005-0000-0000-0000CC410000}"/>
    <cellStyle name="Normal 4 2 80" xfId="14996" xr:uid="{00000000-0005-0000-0000-0000CD410000}"/>
    <cellStyle name="Normal 4 2 81" xfId="15332" xr:uid="{00000000-0005-0000-0000-0000CE410000}"/>
    <cellStyle name="Normal 4 2 82" xfId="14952" xr:uid="{00000000-0005-0000-0000-0000CF410000}"/>
    <cellStyle name="Normal 4 2 83" xfId="3166" xr:uid="{00000000-0005-0000-0000-0000D0410000}"/>
    <cellStyle name="Normal 4 2 9" xfId="9257" xr:uid="{00000000-0005-0000-0000-0000D1410000}"/>
    <cellStyle name="Normal 4 2 9 2" xfId="21364" xr:uid="{00000000-0005-0000-0000-0000D2410000}"/>
    <cellStyle name="Normal 4 20" xfId="9258" xr:uid="{00000000-0005-0000-0000-0000D3410000}"/>
    <cellStyle name="Normal 4 20 2" xfId="21365" xr:uid="{00000000-0005-0000-0000-0000D4410000}"/>
    <cellStyle name="Normal 4 21" xfId="9259" xr:uid="{00000000-0005-0000-0000-0000D5410000}"/>
    <cellStyle name="Normal 4 21 2" xfId="21366" xr:uid="{00000000-0005-0000-0000-0000D6410000}"/>
    <cellStyle name="Normal 4 22" xfId="9260" xr:uid="{00000000-0005-0000-0000-0000D7410000}"/>
    <cellStyle name="Normal 4 22 2" xfId="21367" xr:uid="{00000000-0005-0000-0000-0000D8410000}"/>
    <cellStyle name="Normal 4 23" xfId="9261" xr:uid="{00000000-0005-0000-0000-0000D9410000}"/>
    <cellStyle name="Normal 4 23 2" xfId="21368" xr:uid="{00000000-0005-0000-0000-0000DA410000}"/>
    <cellStyle name="Normal 4 24" xfId="9262" xr:uid="{00000000-0005-0000-0000-0000DB410000}"/>
    <cellStyle name="Normal 4 24 2" xfId="21369" xr:uid="{00000000-0005-0000-0000-0000DC410000}"/>
    <cellStyle name="Normal 4 25" xfId="9263" xr:uid="{00000000-0005-0000-0000-0000DD410000}"/>
    <cellStyle name="Normal 4 25 2" xfId="21370" xr:uid="{00000000-0005-0000-0000-0000DE410000}"/>
    <cellStyle name="Normal 4 26" xfId="9264" xr:uid="{00000000-0005-0000-0000-0000DF410000}"/>
    <cellStyle name="Normal 4 26 2" xfId="21371" xr:uid="{00000000-0005-0000-0000-0000E0410000}"/>
    <cellStyle name="Normal 4 27" xfId="9265" xr:uid="{00000000-0005-0000-0000-0000E1410000}"/>
    <cellStyle name="Normal 4 27 2" xfId="21372" xr:uid="{00000000-0005-0000-0000-0000E2410000}"/>
    <cellStyle name="Normal 4 28" xfId="9266" xr:uid="{00000000-0005-0000-0000-0000E3410000}"/>
    <cellStyle name="Normal 4 28 2" xfId="21373" xr:uid="{00000000-0005-0000-0000-0000E4410000}"/>
    <cellStyle name="Normal 4 29" xfId="9267" xr:uid="{00000000-0005-0000-0000-0000E5410000}"/>
    <cellStyle name="Normal 4 29 2" xfId="21374" xr:uid="{00000000-0005-0000-0000-0000E6410000}"/>
    <cellStyle name="Normal 4 3" xfId="68" xr:uid="{00000000-0005-0000-0000-0000E7410000}"/>
    <cellStyle name="Normal 4 3 10" xfId="9268" xr:uid="{00000000-0005-0000-0000-0000E8410000}"/>
    <cellStyle name="Normal 4 3 10 2" xfId="21375" xr:uid="{00000000-0005-0000-0000-0000E9410000}"/>
    <cellStyle name="Normal 4 3 11" xfId="9269" xr:uid="{00000000-0005-0000-0000-0000EA410000}"/>
    <cellStyle name="Normal 4 3 11 2" xfId="21376" xr:uid="{00000000-0005-0000-0000-0000EB410000}"/>
    <cellStyle name="Normal 4 3 12" xfId="9270" xr:uid="{00000000-0005-0000-0000-0000EC410000}"/>
    <cellStyle name="Normal 4 3 12 2" xfId="21377" xr:uid="{00000000-0005-0000-0000-0000ED410000}"/>
    <cellStyle name="Normal 4 3 13" xfId="9271" xr:uid="{00000000-0005-0000-0000-0000EE410000}"/>
    <cellStyle name="Normal 4 3 13 2" xfId="21378" xr:uid="{00000000-0005-0000-0000-0000EF410000}"/>
    <cellStyle name="Normal 4 3 14" xfId="9272" xr:uid="{00000000-0005-0000-0000-0000F0410000}"/>
    <cellStyle name="Normal 4 3 14 2" xfId="21379" xr:uid="{00000000-0005-0000-0000-0000F1410000}"/>
    <cellStyle name="Normal 4 3 15" xfId="9273" xr:uid="{00000000-0005-0000-0000-0000F2410000}"/>
    <cellStyle name="Normal 4 3 15 2" xfId="21380" xr:uid="{00000000-0005-0000-0000-0000F3410000}"/>
    <cellStyle name="Normal 4 3 16" xfId="9274" xr:uid="{00000000-0005-0000-0000-0000F4410000}"/>
    <cellStyle name="Normal 4 3 16 2" xfId="21381" xr:uid="{00000000-0005-0000-0000-0000F5410000}"/>
    <cellStyle name="Normal 4 3 17" xfId="9275" xr:uid="{00000000-0005-0000-0000-0000F6410000}"/>
    <cellStyle name="Normal 4 3 17 2" xfId="21382" xr:uid="{00000000-0005-0000-0000-0000F7410000}"/>
    <cellStyle name="Normal 4 3 18" xfId="9276" xr:uid="{00000000-0005-0000-0000-0000F8410000}"/>
    <cellStyle name="Normal 4 3 18 2" xfId="21383" xr:uid="{00000000-0005-0000-0000-0000F9410000}"/>
    <cellStyle name="Normal 4 3 19" xfId="9277" xr:uid="{00000000-0005-0000-0000-0000FA410000}"/>
    <cellStyle name="Normal 4 3 19 2" xfId="21384" xr:uid="{00000000-0005-0000-0000-0000FB410000}"/>
    <cellStyle name="Normal 4 3 2" xfId="1509" xr:uid="{00000000-0005-0000-0000-0000FC410000}"/>
    <cellStyle name="Normal 4 3 2 2" xfId="21385" xr:uid="{00000000-0005-0000-0000-0000FD410000}"/>
    <cellStyle name="Normal 4 3 20" xfId="9278" xr:uid="{00000000-0005-0000-0000-0000FE410000}"/>
    <cellStyle name="Normal 4 3 20 2" xfId="21386" xr:uid="{00000000-0005-0000-0000-0000FF410000}"/>
    <cellStyle name="Normal 4 3 21" xfId="9279" xr:uid="{00000000-0005-0000-0000-000000420000}"/>
    <cellStyle name="Normal 4 3 21 2" xfId="21387" xr:uid="{00000000-0005-0000-0000-000001420000}"/>
    <cellStyle name="Normal 4 3 22" xfId="9280" xr:uid="{00000000-0005-0000-0000-000002420000}"/>
    <cellStyle name="Normal 4 3 22 2" xfId="21388" xr:uid="{00000000-0005-0000-0000-000003420000}"/>
    <cellStyle name="Normal 4 3 23" xfId="9281" xr:uid="{00000000-0005-0000-0000-000004420000}"/>
    <cellStyle name="Normal 4 3 23 2" xfId="21389" xr:uid="{00000000-0005-0000-0000-000005420000}"/>
    <cellStyle name="Normal 4 3 24" xfId="9282" xr:uid="{00000000-0005-0000-0000-000006420000}"/>
    <cellStyle name="Normal 4 3 24 2" xfId="21390" xr:uid="{00000000-0005-0000-0000-000007420000}"/>
    <cellStyle name="Normal 4 3 25" xfId="9283" xr:uid="{00000000-0005-0000-0000-000008420000}"/>
    <cellStyle name="Normal 4 3 25 2" xfId="21391" xr:uid="{00000000-0005-0000-0000-000009420000}"/>
    <cellStyle name="Normal 4 3 26" xfId="9284" xr:uid="{00000000-0005-0000-0000-00000A420000}"/>
    <cellStyle name="Normal 4 3 26 2" xfId="21392" xr:uid="{00000000-0005-0000-0000-00000B420000}"/>
    <cellStyle name="Normal 4 3 27" xfId="9285" xr:uid="{00000000-0005-0000-0000-00000C420000}"/>
    <cellStyle name="Normal 4 3 27 2" xfId="21393" xr:uid="{00000000-0005-0000-0000-00000D420000}"/>
    <cellStyle name="Normal 4 3 28" xfId="9286" xr:uid="{00000000-0005-0000-0000-00000E420000}"/>
    <cellStyle name="Normal 4 3 28 2" xfId="21394" xr:uid="{00000000-0005-0000-0000-00000F420000}"/>
    <cellStyle name="Normal 4 3 29" xfId="9287" xr:uid="{00000000-0005-0000-0000-000010420000}"/>
    <cellStyle name="Normal 4 3 29 2" xfId="21395" xr:uid="{00000000-0005-0000-0000-000011420000}"/>
    <cellStyle name="Normal 4 3 3" xfId="110" xr:uid="{00000000-0005-0000-0000-000012420000}"/>
    <cellStyle name="Normal 4 3 3 2" xfId="21396" xr:uid="{00000000-0005-0000-0000-000013420000}"/>
    <cellStyle name="Normal 4 3 3 3" xfId="9288" xr:uid="{00000000-0005-0000-0000-000014420000}"/>
    <cellStyle name="Normal 4 3 30" xfId="9289" xr:uid="{00000000-0005-0000-0000-000015420000}"/>
    <cellStyle name="Normal 4 3 30 2" xfId="21397" xr:uid="{00000000-0005-0000-0000-000016420000}"/>
    <cellStyle name="Normal 4 3 31" xfId="9290" xr:uid="{00000000-0005-0000-0000-000017420000}"/>
    <cellStyle name="Normal 4 3 31 2" xfId="21398" xr:uid="{00000000-0005-0000-0000-000018420000}"/>
    <cellStyle name="Normal 4 3 32" xfId="9291" xr:uid="{00000000-0005-0000-0000-000019420000}"/>
    <cellStyle name="Normal 4 3 32 2" xfId="21399" xr:uid="{00000000-0005-0000-0000-00001A420000}"/>
    <cellStyle name="Normal 4 3 33" xfId="9292" xr:uid="{00000000-0005-0000-0000-00001B420000}"/>
    <cellStyle name="Normal 4 3 33 2" xfId="21400" xr:uid="{00000000-0005-0000-0000-00001C420000}"/>
    <cellStyle name="Normal 4 3 34" xfId="9293" xr:uid="{00000000-0005-0000-0000-00001D420000}"/>
    <cellStyle name="Normal 4 3 34 2" xfId="21401" xr:uid="{00000000-0005-0000-0000-00001E420000}"/>
    <cellStyle name="Normal 4 3 35" xfId="9294" xr:uid="{00000000-0005-0000-0000-00001F420000}"/>
    <cellStyle name="Normal 4 3 35 2" xfId="21402" xr:uid="{00000000-0005-0000-0000-000020420000}"/>
    <cellStyle name="Normal 4 3 36" xfId="9295" xr:uid="{00000000-0005-0000-0000-000021420000}"/>
    <cellStyle name="Normal 4 3 36 2" xfId="21403" xr:uid="{00000000-0005-0000-0000-000022420000}"/>
    <cellStyle name="Normal 4 3 37" xfId="9296" xr:uid="{00000000-0005-0000-0000-000023420000}"/>
    <cellStyle name="Normal 4 3 37 2" xfId="21404" xr:uid="{00000000-0005-0000-0000-000024420000}"/>
    <cellStyle name="Normal 4 3 38" xfId="9297" xr:uid="{00000000-0005-0000-0000-000025420000}"/>
    <cellStyle name="Normal 4 3 38 2" xfId="21405" xr:uid="{00000000-0005-0000-0000-000026420000}"/>
    <cellStyle name="Normal 4 3 39" xfId="9298" xr:uid="{00000000-0005-0000-0000-000027420000}"/>
    <cellStyle name="Normal 4 3 39 2" xfId="21406" xr:uid="{00000000-0005-0000-0000-000028420000}"/>
    <cellStyle name="Normal 4 3 4" xfId="9299" xr:uid="{00000000-0005-0000-0000-000029420000}"/>
    <cellStyle name="Normal 4 3 4 2" xfId="21407" xr:uid="{00000000-0005-0000-0000-00002A420000}"/>
    <cellStyle name="Normal 4 3 40" xfId="9300" xr:uid="{00000000-0005-0000-0000-00002B420000}"/>
    <cellStyle name="Normal 4 3 40 2" xfId="21408" xr:uid="{00000000-0005-0000-0000-00002C420000}"/>
    <cellStyle name="Normal 4 3 41" xfId="9301" xr:uid="{00000000-0005-0000-0000-00002D420000}"/>
    <cellStyle name="Normal 4 3 41 2" xfId="21409" xr:uid="{00000000-0005-0000-0000-00002E420000}"/>
    <cellStyle name="Normal 4 3 42" xfId="9302" xr:uid="{00000000-0005-0000-0000-00002F420000}"/>
    <cellStyle name="Normal 4 3 42 2" xfId="21410" xr:uid="{00000000-0005-0000-0000-000030420000}"/>
    <cellStyle name="Normal 4 3 43" xfId="9303" xr:uid="{00000000-0005-0000-0000-000031420000}"/>
    <cellStyle name="Normal 4 3 43 2" xfId="21411" xr:uid="{00000000-0005-0000-0000-000032420000}"/>
    <cellStyle name="Normal 4 3 44" xfId="9304" xr:uid="{00000000-0005-0000-0000-000033420000}"/>
    <cellStyle name="Normal 4 3 44 2" xfId="21412" xr:uid="{00000000-0005-0000-0000-000034420000}"/>
    <cellStyle name="Normal 4 3 45" xfId="9305" xr:uid="{00000000-0005-0000-0000-000035420000}"/>
    <cellStyle name="Normal 4 3 45 2" xfId="21413" xr:uid="{00000000-0005-0000-0000-000036420000}"/>
    <cellStyle name="Normal 4 3 46" xfId="9306" xr:uid="{00000000-0005-0000-0000-000037420000}"/>
    <cellStyle name="Normal 4 3 46 2" xfId="21414" xr:uid="{00000000-0005-0000-0000-000038420000}"/>
    <cellStyle name="Normal 4 3 47" xfId="9307" xr:uid="{00000000-0005-0000-0000-000039420000}"/>
    <cellStyle name="Normal 4 3 47 2" xfId="21415" xr:uid="{00000000-0005-0000-0000-00003A420000}"/>
    <cellStyle name="Normal 4 3 48" xfId="9308" xr:uid="{00000000-0005-0000-0000-00003B420000}"/>
    <cellStyle name="Normal 4 3 48 2" xfId="21416" xr:uid="{00000000-0005-0000-0000-00003C420000}"/>
    <cellStyle name="Normal 4 3 49" xfId="9309" xr:uid="{00000000-0005-0000-0000-00003D420000}"/>
    <cellStyle name="Normal 4 3 49 2" xfId="21417" xr:uid="{00000000-0005-0000-0000-00003E420000}"/>
    <cellStyle name="Normal 4 3 5" xfId="9310" xr:uid="{00000000-0005-0000-0000-00003F420000}"/>
    <cellStyle name="Normal 4 3 5 2" xfId="21418" xr:uid="{00000000-0005-0000-0000-000040420000}"/>
    <cellStyle name="Normal 4 3 50" xfId="9311" xr:uid="{00000000-0005-0000-0000-000041420000}"/>
    <cellStyle name="Normal 4 3 50 2" xfId="21419" xr:uid="{00000000-0005-0000-0000-000042420000}"/>
    <cellStyle name="Normal 4 3 51" xfId="9312" xr:uid="{00000000-0005-0000-0000-000043420000}"/>
    <cellStyle name="Normal 4 3 51 2" xfId="21420" xr:uid="{00000000-0005-0000-0000-000044420000}"/>
    <cellStyle name="Normal 4 3 52" xfId="9313" xr:uid="{00000000-0005-0000-0000-000045420000}"/>
    <cellStyle name="Normal 4 3 52 2" xfId="21421" xr:uid="{00000000-0005-0000-0000-000046420000}"/>
    <cellStyle name="Normal 4 3 53" xfId="9314" xr:uid="{00000000-0005-0000-0000-000047420000}"/>
    <cellStyle name="Normal 4 3 53 2" xfId="21422" xr:uid="{00000000-0005-0000-0000-000048420000}"/>
    <cellStyle name="Normal 4 3 54" xfId="9315" xr:uid="{00000000-0005-0000-0000-000049420000}"/>
    <cellStyle name="Normal 4 3 54 2" xfId="21423" xr:uid="{00000000-0005-0000-0000-00004A420000}"/>
    <cellStyle name="Normal 4 3 55" xfId="9316" xr:uid="{00000000-0005-0000-0000-00004B420000}"/>
    <cellStyle name="Normal 4 3 55 2" xfId="21424" xr:uid="{00000000-0005-0000-0000-00004C420000}"/>
    <cellStyle name="Normal 4 3 56" xfId="9317" xr:uid="{00000000-0005-0000-0000-00004D420000}"/>
    <cellStyle name="Normal 4 3 56 2" xfId="21425" xr:uid="{00000000-0005-0000-0000-00004E420000}"/>
    <cellStyle name="Normal 4 3 57" xfId="9318" xr:uid="{00000000-0005-0000-0000-00004F420000}"/>
    <cellStyle name="Normal 4 3 57 2" xfId="21426" xr:uid="{00000000-0005-0000-0000-000050420000}"/>
    <cellStyle name="Normal 4 3 58" xfId="9319" xr:uid="{00000000-0005-0000-0000-000051420000}"/>
    <cellStyle name="Normal 4 3 58 2" xfId="21427" xr:uid="{00000000-0005-0000-0000-000052420000}"/>
    <cellStyle name="Normal 4 3 59" xfId="9320" xr:uid="{00000000-0005-0000-0000-000053420000}"/>
    <cellStyle name="Normal 4 3 59 2" xfId="21428" xr:uid="{00000000-0005-0000-0000-000054420000}"/>
    <cellStyle name="Normal 4 3 6" xfId="9321" xr:uid="{00000000-0005-0000-0000-000055420000}"/>
    <cellStyle name="Normal 4 3 6 2" xfId="21429" xr:uid="{00000000-0005-0000-0000-000056420000}"/>
    <cellStyle name="Normal 4 3 60" xfId="9322" xr:uid="{00000000-0005-0000-0000-000057420000}"/>
    <cellStyle name="Normal 4 3 60 2" xfId="21430" xr:uid="{00000000-0005-0000-0000-000058420000}"/>
    <cellStyle name="Normal 4 3 61" xfId="9323" xr:uid="{00000000-0005-0000-0000-000059420000}"/>
    <cellStyle name="Normal 4 3 61 2" xfId="21431" xr:uid="{00000000-0005-0000-0000-00005A420000}"/>
    <cellStyle name="Normal 4 3 62" xfId="9324" xr:uid="{00000000-0005-0000-0000-00005B420000}"/>
    <cellStyle name="Normal 4 3 62 2" xfId="21432" xr:uid="{00000000-0005-0000-0000-00005C420000}"/>
    <cellStyle name="Normal 4 3 63" xfId="9325" xr:uid="{00000000-0005-0000-0000-00005D420000}"/>
    <cellStyle name="Normal 4 3 63 2" xfId="21433" xr:uid="{00000000-0005-0000-0000-00005E420000}"/>
    <cellStyle name="Normal 4 3 64" xfId="9326" xr:uid="{00000000-0005-0000-0000-00005F420000}"/>
    <cellStyle name="Normal 4 3 64 2" xfId="21434" xr:uid="{00000000-0005-0000-0000-000060420000}"/>
    <cellStyle name="Normal 4 3 65" xfId="9327" xr:uid="{00000000-0005-0000-0000-000061420000}"/>
    <cellStyle name="Normal 4 3 65 2" xfId="21435" xr:uid="{00000000-0005-0000-0000-000062420000}"/>
    <cellStyle name="Normal 4 3 66" xfId="9328" xr:uid="{00000000-0005-0000-0000-000063420000}"/>
    <cellStyle name="Normal 4 3 66 2" xfId="21436" xr:uid="{00000000-0005-0000-0000-000064420000}"/>
    <cellStyle name="Normal 4 3 67" xfId="9329" xr:uid="{00000000-0005-0000-0000-000065420000}"/>
    <cellStyle name="Normal 4 3 67 2" xfId="21437" xr:uid="{00000000-0005-0000-0000-000066420000}"/>
    <cellStyle name="Normal 4 3 68" xfId="9330" xr:uid="{00000000-0005-0000-0000-000067420000}"/>
    <cellStyle name="Normal 4 3 68 2" xfId="21438" xr:uid="{00000000-0005-0000-0000-000068420000}"/>
    <cellStyle name="Normal 4 3 69" xfId="9331" xr:uid="{00000000-0005-0000-0000-000069420000}"/>
    <cellStyle name="Normal 4 3 69 2" xfId="21439" xr:uid="{00000000-0005-0000-0000-00006A420000}"/>
    <cellStyle name="Normal 4 3 7" xfId="9332" xr:uid="{00000000-0005-0000-0000-00006B420000}"/>
    <cellStyle name="Normal 4 3 7 2" xfId="21440" xr:uid="{00000000-0005-0000-0000-00006C420000}"/>
    <cellStyle name="Normal 4 3 70" xfId="9333" xr:uid="{00000000-0005-0000-0000-00006D420000}"/>
    <cellStyle name="Normal 4 3 70 2" xfId="21441" xr:uid="{00000000-0005-0000-0000-00006E420000}"/>
    <cellStyle name="Normal 4 3 71" xfId="9334" xr:uid="{00000000-0005-0000-0000-00006F420000}"/>
    <cellStyle name="Normal 4 3 71 2" xfId="21442" xr:uid="{00000000-0005-0000-0000-000070420000}"/>
    <cellStyle name="Normal 4 3 72" xfId="9335" xr:uid="{00000000-0005-0000-0000-000071420000}"/>
    <cellStyle name="Normal 4 3 72 2" xfId="21443" xr:uid="{00000000-0005-0000-0000-000072420000}"/>
    <cellStyle name="Normal 4 3 73" xfId="9336" xr:uid="{00000000-0005-0000-0000-000073420000}"/>
    <cellStyle name="Normal 4 3 73 2" xfId="21444" xr:uid="{00000000-0005-0000-0000-000074420000}"/>
    <cellStyle name="Normal 4 3 74" xfId="9337" xr:uid="{00000000-0005-0000-0000-000075420000}"/>
    <cellStyle name="Normal 4 3 74 2" xfId="21445" xr:uid="{00000000-0005-0000-0000-000076420000}"/>
    <cellStyle name="Normal 4 3 75" xfId="9338" xr:uid="{00000000-0005-0000-0000-000077420000}"/>
    <cellStyle name="Normal 4 3 75 2" xfId="21446" xr:uid="{00000000-0005-0000-0000-000078420000}"/>
    <cellStyle name="Normal 4 3 76" xfId="9339" xr:uid="{00000000-0005-0000-0000-000079420000}"/>
    <cellStyle name="Normal 4 3 76 2" xfId="21447" xr:uid="{00000000-0005-0000-0000-00007A420000}"/>
    <cellStyle name="Normal 4 3 77" xfId="9340" xr:uid="{00000000-0005-0000-0000-00007B420000}"/>
    <cellStyle name="Normal 4 3 77 2" xfId="21448" xr:uid="{00000000-0005-0000-0000-00007C420000}"/>
    <cellStyle name="Normal 4 3 78" xfId="9341" xr:uid="{00000000-0005-0000-0000-00007D420000}"/>
    <cellStyle name="Normal 4 3 78 2" xfId="21449" xr:uid="{00000000-0005-0000-0000-00007E420000}"/>
    <cellStyle name="Normal 4 3 79" xfId="9342" xr:uid="{00000000-0005-0000-0000-00007F420000}"/>
    <cellStyle name="Normal 4 3 79 2" xfId="21450" xr:uid="{00000000-0005-0000-0000-000080420000}"/>
    <cellStyle name="Normal 4 3 8" xfId="9343" xr:uid="{00000000-0005-0000-0000-000081420000}"/>
    <cellStyle name="Normal 4 3 8 2" xfId="21451" xr:uid="{00000000-0005-0000-0000-000082420000}"/>
    <cellStyle name="Normal 4 3 80" xfId="15333" xr:uid="{00000000-0005-0000-0000-000083420000}"/>
    <cellStyle name="Normal 4 3 81" xfId="3167" xr:uid="{00000000-0005-0000-0000-000084420000}"/>
    <cellStyle name="Normal 4 3 9" xfId="9344" xr:uid="{00000000-0005-0000-0000-000085420000}"/>
    <cellStyle name="Normal 4 3 9 2" xfId="21452" xr:uid="{00000000-0005-0000-0000-000086420000}"/>
    <cellStyle name="Normal 4 30" xfId="9345" xr:uid="{00000000-0005-0000-0000-000087420000}"/>
    <cellStyle name="Normal 4 30 2" xfId="21453" xr:uid="{00000000-0005-0000-0000-000088420000}"/>
    <cellStyle name="Normal 4 31" xfId="9346" xr:uid="{00000000-0005-0000-0000-000089420000}"/>
    <cellStyle name="Normal 4 31 2" xfId="21454" xr:uid="{00000000-0005-0000-0000-00008A420000}"/>
    <cellStyle name="Normal 4 32" xfId="9347" xr:uid="{00000000-0005-0000-0000-00008B420000}"/>
    <cellStyle name="Normal 4 32 2" xfId="21455" xr:uid="{00000000-0005-0000-0000-00008C420000}"/>
    <cellStyle name="Normal 4 33" xfId="9348" xr:uid="{00000000-0005-0000-0000-00008D420000}"/>
    <cellStyle name="Normal 4 33 2" xfId="21456" xr:uid="{00000000-0005-0000-0000-00008E420000}"/>
    <cellStyle name="Normal 4 34" xfId="9349" xr:uid="{00000000-0005-0000-0000-00008F420000}"/>
    <cellStyle name="Normal 4 34 2" xfId="21457" xr:uid="{00000000-0005-0000-0000-000090420000}"/>
    <cellStyle name="Normal 4 35" xfId="9350" xr:uid="{00000000-0005-0000-0000-000091420000}"/>
    <cellStyle name="Normal 4 35 2" xfId="21458" xr:uid="{00000000-0005-0000-0000-000092420000}"/>
    <cellStyle name="Normal 4 36" xfId="9351" xr:uid="{00000000-0005-0000-0000-000093420000}"/>
    <cellStyle name="Normal 4 36 2" xfId="21459" xr:uid="{00000000-0005-0000-0000-000094420000}"/>
    <cellStyle name="Normal 4 37" xfId="9352" xr:uid="{00000000-0005-0000-0000-000095420000}"/>
    <cellStyle name="Normal 4 37 2" xfId="21460" xr:uid="{00000000-0005-0000-0000-000096420000}"/>
    <cellStyle name="Normal 4 38" xfId="9353" xr:uid="{00000000-0005-0000-0000-000097420000}"/>
    <cellStyle name="Normal 4 38 2" xfId="21461" xr:uid="{00000000-0005-0000-0000-000098420000}"/>
    <cellStyle name="Normal 4 39" xfId="9354" xr:uid="{00000000-0005-0000-0000-000099420000}"/>
    <cellStyle name="Normal 4 39 2" xfId="21462" xr:uid="{00000000-0005-0000-0000-00009A420000}"/>
    <cellStyle name="Normal 4 4" xfId="117" xr:uid="{00000000-0005-0000-0000-00009B420000}"/>
    <cellStyle name="Normal 4 4 10" xfId="9355" xr:uid="{00000000-0005-0000-0000-00009C420000}"/>
    <cellStyle name="Normal 4 4 10 2" xfId="21463" xr:uid="{00000000-0005-0000-0000-00009D420000}"/>
    <cellStyle name="Normal 4 4 11" xfId="9356" xr:uid="{00000000-0005-0000-0000-00009E420000}"/>
    <cellStyle name="Normal 4 4 11 2" xfId="21464" xr:uid="{00000000-0005-0000-0000-00009F420000}"/>
    <cellStyle name="Normal 4 4 12" xfId="9357" xr:uid="{00000000-0005-0000-0000-0000A0420000}"/>
    <cellStyle name="Normal 4 4 12 2" xfId="21465" xr:uid="{00000000-0005-0000-0000-0000A1420000}"/>
    <cellStyle name="Normal 4 4 13" xfId="9358" xr:uid="{00000000-0005-0000-0000-0000A2420000}"/>
    <cellStyle name="Normal 4 4 13 2" xfId="21466" xr:uid="{00000000-0005-0000-0000-0000A3420000}"/>
    <cellStyle name="Normal 4 4 14" xfId="9359" xr:uid="{00000000-0005-0000-0000-0000A4420000}"/>
    <cellStyle name="Normal 4 4 14 2" xfId="21467" xr:uid="{00000000-0005-0000-0000-0000A5420000}"/>
    <cellStyle name="Normal 4 4 15" xfId="9360" xr:uid="{00000000-0005-0000-0000-0000A6420000}"/>
    <cellStyle name="Normal 4 4 15 2" xfId="21468" xr:uid="{00000000-0005-0000-0000-0000A7420000}"/>
    <cellStyle name="Normal 4 4 16" xfId="9361" xr:uid="{00000000-0005-0000-0000-0000A8420000}"/>
    <cellStyle name="Normal 4 4 16 2" xfId="21469" xr:uid="{00000000-0005-0000-0000-0000A9420000}"/>
    <cellStyle name="Normal 4 4 17" xfId="9362" xr:uid="{00000000-0005-0000-0000-0000AA420000}"/>
    <cellStyle name="Normal 4 4 17 2" xfId="21470" xr:uid="{00000000-0005-0000-0000-0000AB420000}"/>
    <cellStyle name="Normal 4 4 18" xfId="9363" xr:uid="{00000000-0005-0000-0000-0000AC420000}"/>
    <cellStyle name="Normal 4 4 18 2" xfId="21471" xr:uid="{00000000-0005-0000-0000-0000AD420000}"/>
    <cellStyle name="Normal 4 4 19" xfId="9364" xr:uid="{00000000-0005-0000-0000-0000AE420000}"/>
    <cellStyle name="Normal 4 4 19 2" xfId="21472" xr:uid="{00000000-0005-0000-0000-0000AF420000}"/>
    <cellStyle name="Normal 4 4 2" xfId="9365" xr:uid="{00000000-0005-0000-0000-0000B0420000}"/>
    <cellStyle name="Normal 4 4 2 2" xfId="21473" xr:uid="{00000000-0005-0000-0000-0000B1420000}"/>
    <cellStyle name="Normal 4 4 20" xfId="9366" xr:uid="{00000000-0005-0000-0000-0000B2420000}"/>
    <cellStyle name="Normal 4 4 20 2" xfId="21474" xr:uid="{00000000-0005-0000-0000-0000B3420000}"/>
    <cellStyle name="Normal 4 4 21" xfId="9367" xr:uid="{00000000-0005-0000-0000-0000B4420000}"/>
    <cellStyle name="Normal 4 4 21 2" xfId="21475" xr:uid="{00000000-0005-0000-0000-0000B5420000}"/>
    <cellStyle name="Normal 4 4 22" xfId="9368" xr:uid="{00000000-0005-0000-0000-0000B6420000}"/>
    <cellStyle name="Normal 4 4 22 2" xfId="21476" xr:uid="{00000000-0005-0000-0000-0000B7420000}"/>
    <cellStyle name="Normal 4 4 23" xfId="9369" xr:uid="{00000000-0005-0000-0000-0000B8420000}"/>
    <cellStyle name="Normal 4 4 23 2" xfId="21477" xr:uid="{00000000-0005-0000-0000-0000B9420000}"/>
    <cellStyle name="Normal 4 4 24" xfId="9370" xr:uid="{00000000-0005-0000-0000-0000BA420000}"/>
    <cellStyle name="Normal 4 4 24 2" xfId="21478" xr:uid="{00000000-0005-0000-0000-0000BB420000}"/>
    <cellStyle name="Normal 4 4 25" xfId="9371" xr:uid="{00000000-0005-0000-0000-0000BC420000}"/>
    <cellStyle name="Normal 4 4 25 2" xfId="21479" xr:uid="{00000000-0005-0000-0000-0000BD420000}"/>
    <cellStyle name="Normal 4 4 26" xfId="9372" xr:uid="{00000000-0005-0000-0000-0000BE420000}"/>
    <cellStyle name="Normal 4 4 26 2" xfId="21480" xr:uid="{00000000-0005-0000-0000-0000BF420000}"/>
    <cellStyle name="Normal 4 4 27" xfId="9373" xr:uid="{00000000-0005-0000-0000-0000C0420000}"/>
    <cellStyle name="Normal 4 4 27 2" xfId="21481" xr:uid="{00000000-0005-0000-0000-0000C1420000}"/>
    <cellStyle name="Normal 4 4 28" xfId="9374" xr:uid="{00000000-0005-0000-0000-0000C2420000}"/>
    <cellStyle name="Normal 4 4 28 2" xfId="21482" xr:uid="{00000000-0005-0000-0000-0000C3420000}"/>
    <cellStyle name="Normal 4 4 29" xfId="9375" xr:uid="{00000000-0005-0000-0000-0000C4420000}"/>
    <cellStyle name="Normal 4 4 29 2" xfId="21483" xr:uid="{00000000-0005-0000-0000-0000C5420000}"/>
    <cellStyle name="Normal 4 4 3" xfId="9376" xr:uid="{00000000-0005-0000-0000-0000C6420000}"/>
    <cellStyle name="Normal 4 4 3 2" xfId="21484" xr:uid="{00000000-0005-0000-0000-0000C7420000}"/>
    <cellStyle name="Normal 4 4 30" xfId="9377" xr:uid="{00000000-0005-0000-0000-0000C8420000}"/>
    <cellStyle name="Normal 4 4 30 2" xfId="21485" xr:uid="{00000000-0005-0000-0000-0000C9420000}"/>
    <cellStyle name="Normal 4 4 31" xfId="9378" xr:uid="{00000000-0005-0000-0000-0000CA420000}"/>
    <cellStyle name="Normal 4 4 31 2" xfId="21486" xr:uid="{00000000-0005-0000-0000-0000CB420000}"/>
    <cellStyle name="Normal 4 4 32" xfId="9379" xr:uid="{00000000-0005-0000-0000-0000CC420000}"/>
    <cellStyle name="Normal 4 4 32 2" xfId="21487" xr:uid="{00000000-0005-0000-0000-0000CD420000}"/>
    <cellStyle name="Normal 4 4 33" xfId="9380" xr:uid="{00000000-0005-0000-0000-0000CE420000}"/>
    <cellStyle name="Normal 4 4 33 2" xfId="21488" xr:uid="{00000000-0005-0000-0000-0000CF420000}"/>
    <cellStyle name="Normal 4 4 34" xfId="9381" xr:uid="{00000000-0005-0000-0000-0000D0420000}"/>
    <cellStyle name="Normal 4 4 34 2" xfId="21489" xr:uid="{00000000-0005-0000-0000-0000D1420000}"/>
    <cellStyle name="Normal 4 4 35" xfId="9382" xr:uid="{00000000-0005-0000-0000-0000D2420000}"/>
    <cellStyle name="Normal 4 4 35 2" xfId="21490" xr:uid="{00000000-0005-0000-0000-0000D3420000}"/>
    <cellStyle name="Normal 4 4 36" xfId="9383" xr:uid="{00000000-0005-0000-0000-0000D4420000}"/>
    <cellStyle name="Normal 4 4 36 2" xfId="21491" xr:uid="{00000000-0005-0000-0000-0000D5420000}"/>
    <cellStyle name="Normal 4 4 37" xfId="9384" xr:uid="{00000000-0005-0000-0000-0000D6420000}"/>
    <cellStyle name="Normal 4 4 37 2" xfId="21492" xr:uid="{00000000-0005-0000-0000-0000D7420000}"/>
    <cellStyle name="Normal 4 4 38" xfId="9385" xr:uid="{00000000-0005-0000-0000-0000D8420000}"/>
    <cellStyle name="Normal 4 4 38 2" xfId="21493" xr:uid="{00000000-0005-0000-0000-0000D9420000}"/>
    <cellStyle name="Normal 4 4 39" xfId="9386" xr:uid="{00000000-0005-0000-0000-0000DA420000}"/>
    <cellStyle name="Normal 4 4 39 2" xfId="21494" xr:uid="{00000000-0005-0000-0000-0000DB420000}"/>
    <cellStyle name="Normal 4 4 4" xfId="9387" xr:uid="{00000000-0005-0000-0000-0000DC420000}"/>
    <cellStyle name="Normal 4 4 4 2" xfId="21495" xr:uid="{00000000-0005-0000-0000-0000DD420000}"/>
    <cellStyle name="Normal 4 4 40" xfId="9388" xr:uid="{00000000-0005-0000-0000-0000DE420000}"/>
    <cellStyle name="Normal 4 4 40 2" xfId="21496" xr:uid="{00000000-0005-0000-0000-0000DF420000}"/>
    <cellStyle name="Normal 4 4 41" xfId="9389" xr:uid="{00000000-0005-0000-0000-0000E0420000}"/>
    <cellStyle name="Normal 4 4 41 2" xfId="21497" xr:uid="{00000000-0005-0000-0000-0000E1420000}"/>
    <cellStyle name="Normal 4 4 42" xfId="9390" xr:uid="{00000000-0005-0000-0000-0000E2420000}"/>
    <cellStyle name="Normal 4 4 42 2" xfId="21498" xr:uid="{00000000-0005-0000-0000-0000E3420000}"/>
    <cellStyle name="Normal 4 4 43" xfId="9391" xr:uid="{00000000-0005-0000-0000-0000E4420000}"/>
    <cellStyle name="Normal 4 4 43 2" xfId="21499" xr:uid="{00000000-0005-0000-0000-0000E5420000}"/>
    <cellStyle name="Normal 4 4 44" xfId="9392" xr:uid="{00000000-0005-0000-0000-0000E6420000}"/>
    <cellStyle name="Normal 4 4 44 2" xfId="21500" xr:uid="{00000000-0005-0000-0000-0000E7420000}"/>
    <cellStyle name="Normal 4 4 45" xfId="9393" xr:uid="{00000000-0005-0000-0000-0000E8420000}"/>
    <cellStyle name="Normal 4 4 45 2" xfId="21501" xr:uid="{00000000-0005-0000-0000-0000E9420000}"/>
    <cellStyle name="Normal 4 4 46" xfId="9394" xr:uid="{00000000-0005-0000-0000-0000EA420000}"/>
    <cellStyle name="Normal 4 4 46 2" xfId="21502" xr:uid="{00000000-0005-0000-0000-0000EB420000}"/>
    <cellStyle name="Normal 4 4 47" xfId="9395" xr:uid="{00000000-0005-0000-0000-0000EC420000}"/>
    <cellStyle name="Normal 4 4 47 2" xfId="21503" xr:uid="{00000000-0005-0000-0000-0000ED420000}"/>
    <cellStyle name="Normal 4 4 48" xfId="9396" xr:uid="{00000000-0005-0000-0000-0000EE420000}"/>
    <cellStyle name="Normal 4 4 48 2" xfId="21504" xr:uid="{00000000-0005-0000-0000-0000EF420000}"/>
    <cellStyle name="Normal 4 4 49" xfId="9397" xr:uid="{00000000-0005-0000-0000-0000F0420000}"/>
    <cellStyle name="Normal 4 4 49 2" xfId="21505" xr:uid="{00000000-0005-0000-0000-0000F1420000}"/>
    <cellStyle name="Normal 4 4 5" xfId="9398" xr:uid="{00000000-0005-0000-0000-0000F2420000}"/>
    <cellStyle name="Normal 4 4 5 2" xfId="21506" xr:uid="{00000000-0005-0000-0000-0000F3420000}"/>
    <cellStyle name="Normal 4 4 50" xfId="9399" xr:uid="{00000000-0005-0000-0000-0000F4420000}"/>
    <cellStyle name="Normal 4 4 50 2" xfId="21507" xr:uid="{00000000-0005-0000-0000-0000F5420000}"/>
    <cellStyle name="Normal 4 4 51" xfId="9400" xr:uid="{00000000-0005-0000-0000-0000F6420000}"/>
    <cellStyle name="Normal 4 4 51 2" xfId="21508" xr:uid="{00000000-0005-0000-0000-0000F7420000}"/>
    <cellStyle name="Normal 4 4 52" xfId="9401" xr:uid="{00000000-0005-0000-0000-0000F8420000}"/>
    <cellStyle name="Normal 4 4 52 2" xfId="21509" xr:uid="{00000000-0005-0000-0000-0000F9420000}"/>
    <cellStyle name="Normal 4 4 53" xfId="9402" xr:uid="{00000000-0005-0000-0000-0000FA420000}"/>
    <cellStyle name="Normal 4 4 53 2" xfId="21510" xr:uid="{00000000-0005-0000-0000-0000FB420000}"/>
    <cellStyle name="Normal 4 4 54" xfId="9403" xr:uid="{00000000-0005-0000-0000-0000FC420000}"/>
    <cellStyle name="Normal 4 4 54 2" xfId="21511" xr:uid="{00000000-0005-0000-0000-0000FD420000}"/>
    <cellStyle name="Normal 4 4 55" xfId="9404" xr:uid="{00000000-0005-0000-0000-0000FE420000}"/>
    <cellStyle name="Normal 4 4 55 2" xfId="21512" xr:uid="{00000000-0005-0000-0000-0000FF420000}"/>
    <cellStyle name="Normal 4 4 56" xfId="9405" xr:uid="{00000000-0005-0000-0000-000000430000}"/>
    <cellStyle name="Normal 4 4 56 2" xfId="21513" xr:uid="{00000000-0005-0000-0000-000001430000}"/>
    <cellStyle name="Normal 4 4 57" xfId="9406" xr:uid="{00000000-0005-0000-0000-000002430000}"/>
    <cellStyle name="Normal 4 4 57 2" xfId="21514" xr:uid="{00000000-0005-0000-0000-000003430000}"/>
    <cellStyle name="Normal 4 4 58" xfId="9407" xr:uid="{00000000-0005-0000-0000-000004430000}"/>
    <cellStyle name="Normal 4 4 58 2" xfId="21515" xr:uid="{00000000-0005-0000-0000-000005430000}"/>
    <cellStyle name="Normal 4 4 59" xfId="9408" xr:uid="{00000000-0005-0000-0000-000006430000}"/>
    <cellStyle name="Normal 4 4 59 2" xfId="21516" xr:uid="{00000000-0005-0000-0000-000007430000}"/>
    <cellStyle name="Normal 4 4 6" xfId="9409" xr:uid="{00000000-0005-0000-0000-000008430000}"/>
    <cellStyle name="Normal 4 4 6 2" xfId="21517" xr:uid="{00000000-0005-0000-0000-000009430000}"/>
    <cellStyle name="Normal 4 4 60" xfId="9410" xr:uid="{00000000-0005-0000-0000-00000A430000}"/>
    <cellStyle name="Normal 4 4 60 2" xfId="21518" xr:uid="{00000000-0005-0000-0000-00000B430000}"/>
    <cellStyle name="Normal 4 4 61" xfId="9411" xr:uid="{00000000-0005-0000-0000-00000C430000}"/>
    <cellStyle name="Normal 4 4 61 2" xfId="21519" xr:uid="{00000000-0005-0000-0000-00000D430000}"/>
    <cellStyle name="Normal 4 4 62" xfId="9412" xr:uid="{00000000-0005-0000-0000-00000E430000}"/>
    <cellStyle name="Normal 4 4 62 2" xfId="21520" xr:uid="{00000000-0005-0000-0000-00000F430000}"/>
    <cellStyle name="Normal 4 4 63" xfId="9413" xr:uid="{00000000-0005-0000-0000-000010430000}"/>
    <cellStyle name="Normal 4 4 63 2" xfId="21521" xr:uid="{00000000-0005-0000-0000-000011430000}"/>
    <cellStyle name="Normal 4 4 64" xfId="9414" xr:uid="{00000000-0005-0000-0000-000012430000}"/>
    <cellStyle name="Normal 4 4 64 2" xfId="21522" xr:uid="{00000000-0005-0000-0000-000013430000}"/>
    <cellStyle name="Normal 4 4 65" xfId="9415" xr:uid="{00000000-0005-0000-0000-000014430000}"/>
    <cellStyle name="Normal 4 4 65 2" xfId="21523" xr:uid="{00000000-0005-0000-0000-000015430000}"/>
    <cellStyle name="Normal 4 4 66" xfId="9416" xr:uid="{00000000-0005-0000-0000-000016430000}"/>
    <cellStyle name="Normal 4 4 66 2" xfId="21524" xr:uid="{00000000-0005-0000-0000-000017430000}"/>
    <cellStyle name="Normal 4 4 67" xfId="9417" xr:uid="{00000000-0005-0000-0000-000018430000}"/>
    <cellStyle name="Normal 4 4 67 2" xfId="21525" xr:uid="{00000000-0005-0000-0000-000019430000}"/>
    <cellStyle name="Normal 4 4 68" xfId="9418" xr:uid="{00000000-0005-0000-0000-00001A430000}"/>
    <cellStyle name="Normal 4 4 68 2" xfId="21526" xr:uid="{00000000-0005-0000-0000-00001B430000}"/>
    <cellStyle name="Normal 4 4 69" xfId="9419" xr:uid="{00000000-0005-0000-0000-00001C430000}"/>
    <cellStyle name="Normal 4 4 69 2" xfId="21527" xr:uid="{00000000-0005-0000-0000-00001D430000}"/>
    <cellStyle name="Normal 4 4 7" xfId="9420" xr:uid="{00000000-0005-0000-0000-00001E430000}"/>
    <cellStyle name="Normal 4 4 7 2" xfId="21528" xr:uid="{00000000-0005-0000-0000-00001F430000}"/>
    <cellStyle name="Normal 4 4 70" xfId="9421" xr:uid="{00000000-0005-0000-0000-000020430000}"/>
    <cellStyle name="Normal 4 4 70 2" xfId="21529" xr:uid="{00000000-0005-0000-0000-000021430000}"/>
    <cellStyle name="Normal 4 4 71" xfId="9422" xr:uid="{00000000-0005-0000-0000-000022430000}"/>
    <cellStyle name="Normal 4 4 71 2" xfId="21530" xr:uid="{00000000-0005-0000-0000-000023430000}"/>
    <cellStyle name="Normal 4 4 72" xfId="9423" xr:uid="{00000000-0005-0000-0000-000024430000}"/>
    <cellStyle name="Normal 4 4 72 2" xfId="21531" xr:uid="{00000000-0005-0000-0000-000025430000}"/>
    <cellStyle name="Normal 4 4 73" xfId="9424" xr:uid="{00000000-0005-0000-0000-000026430000}"/>
    <cellStyle name="Normal 4 4 73 2" xfId="21532" xr:uid="{00000000-0005-0000-0000-000027430000}"/>
    <cellStyle name="Normal 4 4 74" xfId="9425" xr:uid="{00000000-0005-0000-0000-000028430000}"/>
    <cellStyle name="Normal 4 4 74 2" xfId="21533" xr:uid="{00000000-0005-0000-0000-000029430000}"/>
    <cellStyle name="Normal 4 4 75" xfId="9426" xr:uid="{00000000-0005-0000-0000-00002A430000}"/>
    <cellStyle name="Normal 4 4 75 2" xfId="21534" xr:uid="{00000000-0005-0000-0000-00002B430000}"/>
    <cellStyle name="Normal 4 4 76" xfId="9427" xr:uid="{00000000-0005-0000-0000-00002C430000}"/>
    <cellStyle name="Normal 4 4 76 2" xfId="21535" xr:uid="{00000000-0005-0000-0000-00002D430000}"/>
    <cellStyle name="Normal 4 4 77" xfId="9428" xr:uid="{00000000-0005-0000-0000-00002E430000}"/>
    <cellStyle name="Normal 4 4 77 2" xfId="21536" xr:uid="{00000000-0005-0000-0000-00002F430000}"/>
    <cellStyle name="Normal 4 4 78" xfId="9429" xr:uid="{00000000-0005-0000-0000-000030430000}"/>
    <cellStyle name="Normal 4 4 78 2" xfId="21537" xr:uid="{00000000-0005-0000-0000-000031430000}"/>
    <cellStyle name="Normal 4 4 79" xfId="9430" xr:uid="{00000000-0005-0000-0000-000032430000}"/>
    <cellStyle name="Normal 4 4 79 2" xfId="21538" xr:uid="{00000000-0005-0000-0000-000033430000}"/>
    <cellStyle name="Normal 4 4 8" xfId="9431" xr:uid="{00000000-0005-0000-0000-000034430000}"/>
    <cellStyle name="Normal 4 4 8 2" xfId="21539" xr:uid="{00000000-0005-0000-0000-000035430000}"/>
    <cellStyle name="Normal 4 4 80" xfId="15334" xr:uid="{00000000-0005-0000-0000-000036430000}"/>
    <cellStyle name="Normal 4 4 81" xfId="3168" xr:uid="{00000000-0005-0000-0000-000037430000}"/>
    <cellStyle name="Normal 4 4 9" xfId="9432" xr:uid="{00000000-0005-0000-0000-000038430000}"/>
    <cellStyle name="Normal 4 4 9 2" xfId="21540" xr:uid="{00000000-0005-0000-0000-000039430000}"/>
    <cellStyle name="Normal 4 40" xfId="9433" xr:uid="{00000000-0005-0000-0000-00003A430000}"/>
    <cellStyle name="Normal 4 40 2" xfId="21541" xr:uid="{00000000-0005-0000-0000-00003B430000}"/>
    <cellStyle name="Normal 4 41" xfId="9434" xr:uid="{00000000-0005-0000-0000-00003C430000}"/>
    <cellStyle name="Normal 4 41 2" xfId="21542" xr:uid="{00000000-0005-0000-0000-00003D430000}"/>
    <cellStyle name="Normal 4 42" xfId="9435" xr:uid="{00000000-0005-0000-0000-00003E430000}"/>
    <cellStyle name="Normal 4 42 2" xfId="21543" xr:uid="{00000000-0005-0000-0000-00003F430000}"/>
    <cellStyle name="Normal 4 43" xfId="9436" xr:uid="{00000000-0005-0000-0000-000040430000}"/>
    <cellStyle name="Normal 4 43 2" xfId="21544" xr:uid="{00000000-0005-0000-0000-000041430000}"/>
    <cellStyle name="Normal 4 44" xfId="9437" xr:uid="{00000000-0005-0000-0000-000042430000}"/>
    <cellStyle name="Normal 4 44 2" xfId="21545" xr:uid="{00000000-0005-0000-0000-000043430000}"/>
    <cellStyle name="Normal 4 45" xfId="9438" xr:uid="{00000000-0005-0000-0000-000044430000}"/>
    <cellStyle name="Normal 4 45 2" xfId="21546" xr:uid="{00000000-0005-0000-0000-000045430000}"/>
    <cellStyle name="Normal 4 46" xfId="9439" xr:uid="{00000000-0005-0000-0000-000046430000}"/>
    <cellStyle name="Normal 4 46 2" xfId="21547" xr:uid="{00000000-0005-0000-0000-000047430000}"/>
    <cellStyle name="Normal 4 47" xfId="9440" xr:uid="{00000000-0005-0000-0000-000048430000}"/>
    <cellStyle name="Normal 4 47 2" xfId="21548" xr:uid="{00000000-0005-0000-0000-000049430000}"/>
    <cellStyle name="Normal 4 48" xfId="9441" xr:uid="{00000000-0005-0000-0000-00004A430000}"/>
    <cellStyle name="Normal 4 48 2" xfId="21549" xr:uid="{00000000-0005-0000-0000-00004B430000}"/>
    <cellStyle name="Normal 4 49" xfId="9442" xr:uid="{00000000-0005-0000-0000-00004C430000}"/>
    <cellStyle name="Normal 4 49 2" xfId="21550" xr:uid="{00000000-0005-0000-0000-00004D430000}"/>
    <cellStyle name="Normal 4 5" xfId="124" xr:uid="{00000000-0005-0000-0000-00004E430000}"/>
    <cellStyle name="Normal 4 5 2" xfId="15335" xr:uid="{00000000-0005-0000-0000-00004F430000}"/>
    <cellStyle name="Normal 4 5 3" xfId="3169" xr:uid="{00000000-0005-0000-0000-000050430000}"/>
    <cellStyle name="Normal 4 50" xfId="9443" xr:uid="{00000000-0005-0000-0000-000051430000}"/>
    <cellStyle name="Normal 4 50 2" xfId="21551" xr:uid="{00000000-0005-0000-0000-000052430000}"/>
    <cellStyle name="Normal 4 51" xfId="9444" xr:uid="{00000000-0005-0000-0000-000053430000}"/>
    <cellStyle name="Normal 4 51 2" xfId="21552" xr:uid="{00000000-0005-0000-0000-000054430000}"/>
    <cellStyle name="Normal 4 52" xfId="9445" xr:uid="{00000000-0005-0000-0000-000055430000}"/>
    <cellStyle name="Normal 4 52 2" xfId="21553" xr:uid="{00000000-0005-0000-0000-000056430000}"/>
    <cellStyle name="Normal 4 53" xfId="9446" xr:uid="{00000000-0005-0000-0000-000057430000}"/>
    <cellStyle name="Normal 4 53 2" xfId="21554" xr:uid="{00000000-0005-0000-0000-000058430000}"/>
    <cellStyle name="Normal 4 54" xfId="9447" xr:uid="{00000000-0005-0000-0000-000059430000}"/>
    <cellStyle name="Normal 4 54 2" xfId="21555" xr:uid="{00000000-0005-0000-0000-00005A430000}"/>
    <cellStyle name="Normal 4 55" xfId="9448" xr:uid="{00000000-0005-0000-0000-00005B430000}"/>
    <cellStyle name="Normal 4 55 2" xfId="21556" xr:uid="{00000000-0005-0000-0000-00005C430000}"/>
    <cellStyle name="Normal 4 56" xfId="9449" xr:uid="{00000000-0005-0000-0000-00005D430000}"/>
    <cellStyle name="Normal 4 56 2" xfId="21557" xr:uid="{00000000-0005-0000-0000-00005E430000}"/>
    <cellStyle name="Normal 4 57" xfId="9450" xr:uid="{00000000-0005-0000-0000-00005F430000}"/>
    <cellStyle name="Normal 4 57 2" xfId="21558" xr:uid="{00000000-0005-0000-0000-000060430000}"/>
    <cellStyle name="Normal 4 58" xfId="9451" xr:uid="{00000000-0005-0000-0000-000061430000}"/>
    <cellStyle name="Normal 4 58 2" xfId="21559" xr:uid="{00000000-0005-0000-0000-000062430000}"/>
    <cellStyle name="Normal 4 59" xfId="9452" xr:uid="{00000000-0005-0000-0000-000063430000}"/>
    <cellStyle name="Normal 4 59 2" xfId="21560" xr:uid="{00000000-0005-0000-0000-000064430000}"/>
    <cellStyle name="Normal 4 6" xfId="130" xr:uid="{00000000-0005-0000-0000-000065430000}"/>
    <cellStyle name="Normal 4 6 2" xfId="15336" xr:uid="{00000000-0005-0000-0000-000066430000}"/>
    <cellStyle name="Normal 4 6 3" xfId="3170" xr:uid="{00000000-0005-0000-0000-000067430000}"/>
    <cellStyle name="Normal 4 60" xfId="9453" xr:uid="{00000000-0005-0000-0000-000068430000}"/>
    <cellStyle name="Normal 4 60 2" xfId="21561" xr:uid="{00000000-0005-0000-0000-000069430000}"/>
    <cellStyle name="Normal 4 61" xfId="9454" xr:uid="{00000000-0005-0000-0000-00006A430000}"/>
    <cellStyle name="Normal 4 61 2" xfId="21562" xr:uid="{00000000-0005-0000-0000-00006B430000}"/>
    <cellStyle name="Normal 4 62" xfId="9455" xr:uid="{00000000-0005-0000-0000-00006C430000}"/>
    <cellStyle name="Normal 4 62 2" xfId="21563" xr:uid="{00000000-0005-0000-0000-00006D430000}"/>
    <cellStyle name="Normal 4 63" xfId="9456" xr:uid="{00000000-0005-0000-0000-00006E430000}"/>
    <cellStyle name="Normal 4 63 2" xfId="21564" xr:uid="{00000000-0005-0000-0000-00006F430000}"/>
    <cellStyle name="Normal 4 64" xfId="9457" xr:uid="{00000000-0005-0000-0000-000070430000}"/>
    <cellStyle name="Normal 4 64 2" xfId="21565" xr:uid="{00000000-0005-0000-0000-000071430000}"/>
    <cellStyle name="Normal 4 65" xfId="9458" xr:uid="{00000000-0005-0000-0000-000072430000}"/>
    <cellStyle name="Normal 4 65 2" xfId="21566" xr:uid="{00000000-0005-0000-0000-000073430000}"/>
    <cellStyle name="Normal 4 66" xfId="9459" xr:uid="{00000000-0005-0000-0000-000074430000}"/>
    <cellStyle name="Normal 4 66 2" xfId="21567" xr:uid="{00000000-0005-0000-0000-000075430000}"/>
    <cellStyle name="Normal 4 67" xfId="9460" xr:uid="{00000000-0005-0000-0000-000076430000}"/>
    <cellStyle name="Normal 4 67 2" xfId="21568" xr:uid="{00000000-0005-0000-0000-000077430000}"/>
    <cellStyle name="Normal 4 68" xfId="9461" xr:uid="{00000000-0005-0000-0000-000078430000}"/>
    <cellStyle name="Normal 4 68 2" xfId="21569" xr:uid="{00000000-0005-0000-0000-000079430000}"/>
    <cellStyle name="Normal 4 69" xfId="9462" xr:uid="{00000000-0005-0000-0000-00007A430000}"/>
    <cellStyle name="Normal 4 69 2" xfId="21570" xr:uid="{00000000-0005-0000-0000-00007B430000}"/>
    <cellStyle name="Normal 4 7" xfId="135" xr:uid="{00000000-0005-0000-0000-00007C430000}"/>
    <cellStyle name="Normal 4 7 2" xfId="15337" xr:uid="{00000000-0005-0000-0000-00007D430000}"/>
    <cellStyle name="Normal 4 7 3" xfId="3171" xr:uid="{00000000-0005-0000-0000-00007E430000}"/>
    <cellStyle name="Normal 4 70" xfId="9463" xr:uid="{00000000-0005-0000-0000-00007F430000}"/>
    <cellStyle name="Normal 4 70 2" xfId="21571" xr:uid="{00000000-0005-0000-0000-000080430000}"/>
    <cellStyle name="Normal 4 71" xfId="9464" xr:uid="{00000000-0005-0000-0000-000081430000}"/>
    <cellStyle name="Normal 4 71 2" xfId="21572" xr:uid="{00000000-0005-0000-0000-000082430000}"/>
    <cellStyle name="Normal 4 72" xfId="9465" xr:uid="{00000000-0005-0000-0000-000083430000}"/>
    <cellStyle name="Normal 4 72 2" xfId="21573" xr:uid="{00000000-0005-0000-0000-000084430000}"/>
    <cellStyle name="Normal 4 73" xfId="9466" xr:uid="{00000000-0005-0000-0000-000085430000}"/>
    <cellStyle name="Normal 4 73 2" xfId="21574" xr:uid="{00000000-0005-0000-0000-000086430000}"/>
    <cellStyle name="Normal 4 74" xfId="9467" xr:uid="{00000000-0005-0000-0000-000087430000}"/>
    <cellStyle name="Normal 4 74 2" xfId="21575" xr:uid="{00000000-0005-0000-0000-000088430000}"/>
    <cellStyle name="Normal 4 75" xfId="9468" xr:uid="{00000000-0005-0000-0000-000089430000}"/>
    <cellStyle name="Normal 4 75 2" xfId="21576" xr:uid="{00000000-0005-0000-0000-00008A430000}"/>
    <cellStyle name="Normal 4 76" xfId="9469" xr:uid="{00000000-0005-0000-0000-00008B430000}"/>
    <cellStyle name="Normal 4 76 2" xfId="21577" xr:uid="{00000000-0005-0000-0000-00008C430000}"/>
    <cellStyle name="Normal 4 77" xfId="9470" xr:uid="{00000000-0005-0000-0000-00008D430000}"/>
    <cellStyle name="Normal 4 77 2" xfId="21578" xr:uid="{00000000-0005-0000-0000-00008E430000}"/>
    <cellStyle name="Normal 4 78" xfId="9471" xr:uid="{00000000-0005-0000-0000-00008F430000}"/>
    <cellStyle name="Normal 4 78 2" xfId="21579" xr:uid="{00000000-0005-0000-0000-000090430000}"/>
    <cellStyle name="Normal 4 79" xfId="9472" xr:uid="{00000000-0005-0000-0000-000091430000}"/>
    <cellStyle name="Normal 4 79 2" xfId="21580" xr:uid="{00000000-0005-0000-0000-000092430000}"/>
    <cellStyle name="Normal 4 8" xfId="729" xr:uid="{00000000-0005-0000-0000-000093430000}"/>
    <cellStyle name="Normal 4 8 2" xfId="15338" xr:uid="{00000000-0005-0000-0000-000094430000}"/>
    <cellStyle name="Normal 4 8 3" xfId="3172" xr:uid="{00000000-0005-0000-0000-000095430000}"/>
    <cellStyle name="Normal 4 80" xfId="9473" xr:uid="{00000000-0005-0000-0000-000096430000}"/>
    <cellStyle name="Normal 4 80 2" xfId="21581" xr:uid="{00000000-0005-0000-0000-000097430000}"/>
    <cellStyle name="Normal 4 81" xfId="9474" xr:uid="{00000000-0005-0000-0000-000098430000}"/>
    <cellStyle name="Normal 4 81 2" xfId="21582" xr:uid="{00000000-0005-0000-0000-000099430000}"/>
    <cellStyle name="Normal 4 82" xfId="9475" xr:uid="{00000000-0005-0000-0000-00009A430000}"/>
    <cellStyle name="Normal 4 82 2" xfId="21583" xr:uid="{00000000-0005-0000-0000-00009B430000}"/>
    <cellStyle name="Normal 4 83" xfId="1618" xr:uid="{00000000-0005-0000-0000-00009C430000}"/>
    <cellStyle name="Normal 4 83 2" xfId="15050" xr:uid="{00000000-0005-0000-0000-00009D430000}"/>
    <cellStyle name="Normal 4 84" xfId="14958" xr:uid="{00000000-0005-0000-0000-00009E430000}"/>
    <cellStyle name="Normal 4 85" xfId="1524" xr:uid="{00000000-0005-0000-0000-00009F430000}"/>
    <cellStyle name="Normal 4 9" xfId="1514" xr:uid="{00000000-0005-0000-0000-0000A0430000}"/>
    <cellStyle name="Normal 4 9 2" xfId="1517" xr:uid="{00000000-0005-0000-0000-0000A1430000}"/>
    <cellStyle name="Normal 4_DSS" xfId="1513" xr:uid="{00000000-0005-0000-0000-0000A2430000}"/>
    <cellStyle name="Normal 40" xfId="75" xr:uid="{00000000-0005-0000-0000-0000A3430000}"/>
    <cellStyle name="Normal 40 10" xfId="9476" xr:uid="{00000000-0005-0000-0000-0000A4430000}"/>
    <cellStyle name="Normal 40 10 2" xfId="21585" xr:uid="{00000000-0005-0000-0000-0000A5430000}"/>
    <cellStyle name="Normal 40 11" xfId="9477" xr:uid="{00000000-0005-0000-0000-0000A6430000}"/>
    <cellStyle name="Normal 40 11 2" xfId="21586" xr:uid="{00000000-0005-0000-0000-0000A7430000}"/>
    <cellStyle name="Normal 40 12" xfId="9478" xr:uid="{00000000-0005-0000-0000-0000A8430000}"/>
    <cellStyle name="Normal 40 12 2" xfId="21587" xr:uid="{00000000-0005-0000-0000-0000A9430000}"/>
    <cellStyle name="Normal 40 13" xfId="9479" xr:uid="{00000000-0005-0000-0000-0000AA430000}"/>
    <cellStyle name="Normal 40 13 2" xfId="21588" xr:uid="{00000000-0005-0000-0000-0000AB430000}"/>
    <cellStyle name="Normal 40 14" xfId="9480" xr:uid="{00000000-0005-0000-0000-0000AC430000}"/>
    <cellStyle name="Normal 40 14 2" xfId="21589" xr:uid="{00000000-0005-0000-0000-0000AD430000}"/>
    <cellStyle name="Normal 40 15" xfId="9481" xr:uid="{00000000-0005-0000-0000-0000AE430000}"/>
    <cellStyle name="Normal 40 15 2" xfId="21590" xr:uid="{00000000-0005-0000-0000-0000AF430000}"/>
    <cellStyle name="Normal 40 16" xfId="9482" xr:uid="{00000000-0005-0000-0000-0000B0430000}"/>
    <cellStyle name="Normal 40 16 2" xfId="21591" xr:uid="{00000000-0005-0000-0000-0000B1430000}"/>
    <cellStyle name="Normal 40 17" xfId="9483" xr:uid="{00000000-0005-0000-0000-0000B2430000}"/>
    <cellStyle name="Normal 40 17 2" xfId="21592" xr:uid="{00000000-0005-0000-0000-0000B3430000}"/>
    <cellStyle name="Normal 40 18" xfId="9484" xr:uid="{00000000-0005-0000-0000-0000B4430000}"/>
    <cellStyle name="Normal 40 18 2" xfId="21593" xr:uid="{00000000-0005-0000-0000-0000B5430000}"/>
    <cellStyle name="Normal 40 19" xfId="9485" xr:uid="{00000000-0005-0000-0000-0000B6430000}"/>
    <cellStyle name="Normal 40 19 2" xfId="21594" xr:uid="{00000000-0005-0000-0000-0000B7430000}"/>
    <cellStyle name="Normal 40 2" xfId="9486" xr:uid="{00000000-0005-0000-0000-0000B8430000}"/>
    <cellStyle name="Normal 40 2 2" xfId="21595" xr:uid="{00000000-0005-0000-0000-0000B9430000}"/>
    <cellStyle name="Normal 40 20" xfId="9487" xr:uid="{00000000-0005-0000-0000-0000BA430000}"/>
    <cellStyle name="Normal 40 20 2" xfId="21596" xr:uid="{00000000-0005-0000-0000-0000BB430000}"/>
    <cellStyle name="Normal 40 21" xfId="9488" xr:uid="{00000000-0005-0000-0000-0000BC430000}"/>
    <cellStyle name="Normal 40 21 2" xfId="21597" xr:uid="{00000000-0005-0000-0000-0000BD430000}"/>
    <cellStyle name="Normal 40 22" xfId="9489" xr:uid="{00000000-0005-0000-0000-0000BE430000}"/>
    <cellStyle name="Normal 40 22 2" xfId="21598" xr:uid="{00000000-0005-0000-0000-0000BF430000}"/>
    <cellStyle name="Normal 40 23" xfId="9490" xr:uid="{00000000-0005-0000-0000-0000C0430000}"/>
    <cellStyle name="Normal 40 23 2" xfId="21599" xr:uid="{00000000-0005-0000-0000-0000C1430000}"/>
    <cellStyle name="Normal 40 24" xfId="9491" xr:uid="{00000000-0005-0000-0000-0000C2430000}"/>
    <cellStyle name="Normal 40 24 2" xfId="21600" xr:uid="{00000000-0005-0000-0000-0000C3430000}"/>
    <cellStyle name="Normal 40 25" xfId="9492" xr:uid="{00000000-0005-0000-0000-0000C4430000}"/>
    <cellStyle name="Normal 40 25 2" xfId="21601" xr:uid="{00000000-0005-0000-0000-0000C5430000}"/>
    <cellStyle name="Normal 40 26" xfId="9493" xr:uid="{00000000-0005-0000-0000-0000C6430000}"/>
    <cellStyle name="Normal 40 26 2" xfId="21602" xr:uid="{00000000-0005-0000-0000-0000C7430000}"/>
    <cellStyle name="Normal 40 27" xfId="9494" xr:uid="{00000000-0005-0000-0000-0000C8430000}"/>
    <cellStyle name="Normal 40 27 2" xfId="21603" xr:uid="{00000000-0005-0000-0000-0000C9430000}"/>
    <cellStyle name="Normal 40 28" xfId="9495" xr:uid="{00000000-0005-0000-0000-0000CA430000}"/>
    <cellStyle name="Normal 40 28 2" xfId="21604" xr:uid="{00000000-0005-0000-0000-0000CB430000}"/>
    <cellStyle name="Normal 40 29" xfId="9496" xr:uid="{00000000-0005-0000-0000-0000CC430000}"/>
    <cellStyle name="Normal 40 29 2" xfId="21605" xr:uid="{00000000-0005-0000-0000-0000CD430000}"/>
    <cellStyle name="Normal 40 3" xfId="9497" xr:uid="{00000000-0005-0000-0000-0000CE430000}"/>
    <cellStyle name="Normal 40 3 2" xfId="21606" xr:uid="{00000000-0005-0000-0000-0000CF430000}"/>
    <cellStyle name="Normal 40 30" xfId="9498" xr:uid="{00000000-0005-0000-0000-0000D0430000}"/>
    <cellStyle name="Normal 40 30 2" xfId="21607" xr:uid="{00000000-0005-0000-0000-0000D1430000}"/>
    <cellStyle name="Normal 40 31" xfId="9499" xr:uid="{00000000-0005-0000-0000-0000D2430000}"/>
    <cellStyle name="Normal 40 31 2" xfId="21608" xr:uid="{00000000-0005-0000-0000-0000D3430000}"/>
    <cellStyle name="Normal 40 32" xfId="9500" xr:uid="{00000000-0005-0000-0000-0000D4430000}"/>
    <cellStyle name="Normal 40 32 2" xfId="21609" xr:uid="{00000000-0005-0000-0000-0000D5430000}"/>
    <cellStyle name="Normal 40 33" xfId="9501" xr:uid="{00000000-0005-0000-0000-0000D6430000}"/>
    <cellStyle name="Normal 40 33 2" xfId="21610" xr:uid="{00000000-0005-0000-0000-0000D7430000}"/>
    <cellStyle name="Normal 40 34" xfId="9502" xr:uid="{00000000-0005-0000-0000-0000D8430000}"/>
    <cellStyle name="Normal 40 34 2" xfId="21611" xr:uid="{00000000-0005-0000-0000-0000D9430000}"/>
    <cellStyle name="Normal 40 35" xfId="9503" xr:uid="{00000000-0005-0000-0000-0000DA430000}"/>
    <cellStyle name="Normal 40 35 2" xfId="21612" xr:uid="{00000000-0005-0000-0000-0000DB430000}"/>
    <cellStyle name="Normal 40 36" xfId="9504" xr:uid="{00000000-0005-0000-0000-0000DC430000}"/>
    <cellStyle name="Normal 40 36 2" xfId="21613" xr:uid="{00000000-0005-0000-0000-0000DD430000}"/>
    <cellStyle name="Normal 40 37" xfId="9505" xr:uid="{00000000-0005-0000-0000-0000DE430000}"/>
    <cellStyle name="Normal 40 37 2" xfId="21614" xr:uid="{00000000-0005-0000-0000-0000DF430000}"/>
    <cellStyle name="Normal 40 38" xfId="9506" xr:uid="{00000000-0005-0000-0000-0000E0430000}"/>
    <cellStyle name="Normal 40 38 2" xfId="21615" xr:uid="{00000000-0005-0000-0000-0000E1430000}"/>
    <cellStyle name="Normal 40 39" xfId="9507" xr:uid="{00000000-0005-0000-0000-0000E2430000}"/>
    <cellStyle name="Normal 40 39 2" xfId="21616" xr:uid="{00000000-0005-0000-0000-0000E3430000}"/>
    <cellStyle name="Normal 40 4" xfId="9508" xr:uid="{00000000-0005-0000-0000-0000E4430000}"/>
    <cellStyle name="Normal 40 4 2" xfId="21617" xr:uid="{00000000-0005-0000-0000-0000E5430000}"/>
    <cellStyle name="Normal 40 40" xfId="9509" xr:uid="{00000000-0005-0000-0000-0000E6430000}"/>
    <cellStyle name="Normal 40 40 2" xfId="21618" xr:uid="{00000000-0005-0000-0000-0000E7430000}"/>
    <cellStyle name="Normal 40 41" xfId="9510" xr:uid="{00000000-0005-0000-0000-0000E8430000}"/>
    <cellStyle name="Normal 40 41 2" xfId="21619" xr:uid="{00000000-0005-0000-0000-0000E9430000}"/>
    <cellStyle name="Normal 40 42" xfId="9511" xr:uid="{00000000-0005-0000-0000-0000EA430000}"/>
    <cellStyle name="Normal 40 42 2" xfId="21620" xr:uid="{00000000-0005-0000-0000-0000EB430000}"/>
    <cellStyle name="Normal 40 43" xfId="9512" xr:uid="{00000000-0005-0000-0000-0000EC430000}"/>
    <cellStyle name="Normal 40 43 2" xfId="21621" xr:uid="{00000000-0005-0000-0000-0000ED430000}"/>
    <cellStyle name="Normal 40 44" xfId="9513" xr:uid="{00000000-0005-0000-0000-0000EE430000}"/>
    <cellStyle name="Normal 40 44 2" xfId="21622" xr:uid="{00000000-0005-0000-0000-0000EF430000}"/>
    <cellStyle name="Normal 40 45" xfId="9514" xr:uid="{00000000-0005-0000-0000-0000F0430000}"/>
    <cellStyle name="Normal 40 45 2" xfId="21623" xr:uid="{00000000-0005-0000-0000-0000F1430000}"/>
    <cellStyle name="Normal 40 46" xfId="9515" xr:uid="{00000000-0005-0000-0000-0000F2430000}"/>
    <cellStyle name="Normal 40 46 2" xfId="21624" xr:uid="{00000000-0005-0000-0000-0000F3430000}"/>
    <cellStyle name="Normal 40 47" xfId="9516" xr:uid="{00000000-0005-0000-0000-0000F4430000}"/>
    <cellStyle name="Normal 40 47 2" xfId="21625" xr:uid="{00000000-0005-0000-0000-0000F5430000}"/>
    <cellStyle name="Normal 40 48" xfId="9517" xr:uid="{00000000-0005-0000-0000-0000F6430000}"/>
    <cellStyle name="Normal 40 48 2" xfId="21626" xr:uid="{00000000-0005-0000-0000-0000F7430000}"/>
    <cellStyle name="Normal 40 49" xfId="9518" xr:uid="{00000000-0005-0000-0000-0000F8430000}"/>
    <cellStyle name="Normal 40 49 2" xfId="21627" xr:uid="{00000000-0005-0000-0000-0000F9430000}"/>
    <cellStyle name="Normal 40 5" xfId="9519" xr:uid="{00000000-0005-0000-0000-0000FA430000}"/>
    <cellStyle name="Normal 40 5 2" xfId="21628" xr:uid="{00000000-0005-0000-0000-0000FB430000}"/>
    <cellStyle name="Normal 40 50" xfId="9520" xr:uid="{00000000-0005-0000-0000-0000FC430000}"/>
    <cellStyle name="Normal 40 50 2" xfId="21629" xr:uid="{00000000-0005-0000-0000-0000FD430000}"/>
    <cellStyle name="Normal 40 51" xfId="9521" xr:uid="{00000000-0005-0000-0000-0000FE430000}"/>
    <cellStyle name="Normal 40 51 2" xfId="21630" xr:uid="{00000000-0005-0000-0000-0000FF430000}"/>
    <cellStyle name="Normal 40 52" xfId="9522" xr:uid="{00000000-0005-0000-0000-000000440000}"/>
    <cellStyle name="Normal 40 52 2" xfId="21631" xr:uid="{00000000-0005-0000-0000-000001440000}"/>
    <cellStyle name="Normal 40 53" xfId="9523" xr:uid="{00000000-0005-0000-0000-000002440000}"/>
    <cellStyle name="Normal 40 53 2" xfId="21632" xr:uid="{00000000-0005-0000-0000-000003440000}"/>
    <cellStyle name="Normal 40 54" xfId="9524" xr:uid="{00000000-0005-0000-0000-000004440000}"/>
    <cellStyle name="Normal 40 54 2" xfId="21633" xr:uid="{00000000-0005-0000-0000-000005440000}"/>
    <cellStyle name="Normal 40 55" xfId="9525" xr:uid="{00000000-0005-0000-0000-000006440000}"/>
    <cellStyle name="Normal 40 55 2" xfId="21634" xr:uid="{00000000-0005-0000-0000-000007440000}"/>
    <cellStyle name="Normal 40 56" xfId="9526" xr:uid="{00000000-0005-0000-0000-000008440000}"/>
    <cellStyle name="Normal 40 56 2" xfId="21635" xr:uid="{00000000-0005-0000-0000-000009440000}"/>
    <cellStyle name="Normal 40 57" xfId="9527" xr:uid="{00000000-0005-0000-0000-00000A440000}"/>
    <cellStyle name="Normal 40 57 2" xfId="21636" xr:uid="{00000000-0005-0000-0000-00000B440000}"/>
    <cellStyle name="Normal 40 58" xfId="9528" xr:uid="{00000000-0005-0000-0000-00000C440000}"/>
    <cellStyle name="Normal 40 58 2" xfId="21637" xr:uid="{00000000-0005-0000-0000-00000D440000}"/>
    <cellStyle name="Normal 40 59" xfId="9529" xr:uid="{00000000-0005-0000-0000-00000E440000}"/>
    <cellStyle name="Normal 40 59 2" xfId="21638" xr:uid="{00000000-0005-0000-0000-00000F440000}"/>
    <cellStyle name="Normal 40 6" xfId="9530" xr:uid="{00000000-0005-0000-0000-000010440000}"/>
    <cellStyle name="Normal 40 6 2" xfId="21639" xr:uid="{00000000-0005-0000-0000-000011440000}"/>
    <cellStyle name="Normal 40 60" xfId="9531" xr:uid="{00000000-0005-0000-0000-000012440000}"/>
    <cellStyle name="Normal 40 60 2" xfId="21640" xr:uid="{00000000-0005-0000-0000-000013440000}"/>
    <cellStyle name="Normal 40 61" xfId="9532" xr:uid="{00000000-0005-0000-0000-000014440000}"/>
    <cellStyle name="Normal 40 61 2" xfId="21641" xr:uid="{00000000-0005-0000-0000-000015440000}"/>
    <cellStyle name="Normal 40 62" xfId="9533" xr:uid="{00000000-0005-0000-0000-000016440000}"/>
    <cellStyle name="Normal 40 62 2" xfId="21642" xr:uid="{00000000-0005-0000-0000-000017440000}"/>
    <cellStyle name="Normal 40 63" xfId="9534" xr:uid="{00000000-0005-0000-0000-000018440000}"/>
    <cellStyle name="Normal 40 63 2" xfId="21643" xr:uid="{00000000-0005-0000-0000-000019440000}"/>
    <cellStyle name="Normal 40 64" xfId="9535" xr:uid="{00000000-0005-0000-0000-00001A440000}"/>
    <cellStyle name="Normal 40 64 2" xfId="21644" xr:uid="{00000000-0005-0000-0000-00001B440000}"/>
    <cellStyle name="Normal 40 65" xfId="9536" xr:uid="{00000000-0005-0000-0000-00001C440000}"/>
    <cellStyle name="Normal 40 65 2" xfId="21645" xr:uid="{00000000-0005-0000-0000-00001D440000}"/>
    <cellStyle name="Normal 40 66" xfId="9537" xr:uid="{00000000-0005-0000-0000-00001E440000}"/>
    <cellStyle name="Normal 40 66 2" xfId="21646" xr:uid="{00000000-0005-0000-0000-00001F440000}"/>
    <cellStyle name="Normal 40 67" xfId="9538" xr:uid="{00000000-0005-0000-0000-000020440000}"/>
    <cellStyle name="Normal 40 67 2" xfId="21647" xr:uid="{00000000-0005-0000-0000-000021440000}"/>
    <cellStyle name="Normal 40 68" xfId="9539" xr:uid="{00000000-0005-0000-0000-000022440000}"/>
    <cellStyle name="Normal 40 68 2" xfId="21648" xr:uid="{00000000-0005-0000-0000-000023440000}"/>
    <cellStyle name="Normal 40 69" xfId="9540" xr:uid="{00000000-0005-0000-0000-000024440000}"/>
    <cellStyle name="Normal 40 69 2" xfId="21649" xr:uid="{00000000-0005-0000-0000-000025440000}"/>
    <cellStyle name="Normal 40 7" xfId="9541" xr:uid="{00000000-0005-0000-0000-000026440000}"/>
    <cellStyle name="Normal 40 7 2" xfId="21650" xr:uid="{00000000-0005-0000-0000-000027440000}"/>
    <cellStyle name="Normal 40 70" xfId="9542" xr:uid="{00000000-0005-0000-0000-000028440000}"/>
    <cellStyle name="Normal 40 70 2" xfId="21651" xr:uid="{00000000-0005-0000-0000-000029440000}"/>
    <cellStyle name="Normal 40 71" xfId="9543" xr:uid="{00000000-0005-0000-0000-00002A440000}"/>
    <cellStyle name="Normal 40 71 2" xfId="21652" xr:uid="{00000000-0005-0000-0000-00002B440000}"/>
    <cellStyle name="Normal 40 72" xfId="9544" xr:uid="{00000000-0005-0000-0000-00002C440000}"/>
    <cellStyle name="Normal 40 72 2" xfId="21653" xr:uid="{00000000-0005-0000-0000-00002D440000}"/>
    <cellStyle name="Normal 40 73" xfId="9545" xr:uid="{00000000-0005-0000-0000-00002E440000}"/>
    <cellStyle name="Normal 40 73 2" xfId="21654" xr:uid="{00000000-0005-0000-0000-00002F440000}"/>
    <cellStyle name="Normal 40 74" xfId="9546" xr:uid="{00000000-0005-0000-0000-000030440000}"/>
    <cellStyle name="Normal 40 74 2" xfId="21655" xr:uid="{00000000-0005-0000-0000-000031440000}"/>
    <cellStyle name="Normal 40 75" xfId="9547" xr:uid="{00000000-0005-0000-0000-000032440000}"/>
    <cellStyle name="Normal 40 75 2" xfId="21656" xr:uid="{00000000-0005-0000-0000-000033440000}"/>
    <cellStyle name="Normal 40 76" xfId="9548" xr:uid="{00000000-0005-0000-0000-000034440000}"/>
    <cellStyle name="Normal 40 76 2" xfId="21657" xr:uid="{00000000-0005-0000-0000-000035440000}"/>
    <cellStyle name="Normal 40 77" xfId="9549" xr:uid="{00000000-0005-0000-0000-000036440000}"/>
    <cellStyle name="Normal 40 77 2" xfId="21658" xr:uid="{00000000-0005-0000-0000-000037440000}"/>
    <cellStyle name="Normal 40 78" xfId="9550" xr:uid="{00000000-0005-0000-0000-000038440000}"/>
    <cellStyle name="Normal 40 78 2" xfId="21659" xr:uid="{00000000-0005-0000-0000-000039440000}"/>
    <cellStyle name="Normal 40 79" xfId="9551" xr:uid="{00000000-0005-0000-0000-00003A440000}"/>
    <cellStyle name="Normal 40 79 2" xfId="21660" xr:uid="{00000000-0005-0000-0000-00003B440000}"/>
    <cellStyle name="Normal 40 8" xfId="9552" xr:uid="{00000000-0005-0000-0000-00003C440000}"/>
    <cellStyle name="Normal 40 8 2" xfId="21661" xr:uid="{00000000-0005-0000-0000-00003D440000}"/>
    <cellStyle name="Normal 40 80" xfId="21584" xr:uid="{00000000-0005-0000-0000-00003E440000}"/>
    <cellStyle name="Normal 40 9" xfId="9553" xr:uid="{00000000-0005-0000-0000-00003F440000}"/>
    <cellStyle name="Normal 40 9 2" xfId="21662" xr:uid="{00000000-0005-0000-0000-000040440000}"/>
    <cellStyle name="Normal 41" xfId="76" xr:uid="{00000000-0005-0000-0000-000041440000}"/>
    <cellStyle name="Normal 41 10" xfId="9554" xr:uid="{00000000-0005-0000-0000-000042440000}"/>
    <cellStyle name="Normal 41 10 2" xfId="21664" xr:uid="{00000000-0005-0000-0000-000043440000}"/>
    <cellStyle name="Normal 41 11" xfId="9555" xr:uid="{00000000-0005-0000-0000-000044440000}"/>
    <cellStyle name="Normal 41 11 2" xfId="21665" xr:uid="{00000000-0005-0000-0000-000045440000}"/>
    <cellStyle name="Normal 41 12" xfId="9556" xr:uid="{00000000-0005-0000-0000-000046440000}"/>
    <cellStyle name="Normal 41 12 2" xfId="21666" xr:uid="{00000000-0005-0000-0000-000047440000}"/>
    <cellStyle name="Normal 41 13" xfId="9557" xr:uid="{00000000-0005-0000-0000-000048440000}"/>
    <cellStyle name="Normal 41 13 2" xfId="21667" xr:uid="{00000000-0005-0000-0000-000049440000}"/>
    <cellStyle name="Normal 41 14" xfId="9558" xr:uid="{00000000-0005-0000-0000-00004A440000}"/>
    <cellStyle name="Normal 41 14 2" xfId="21668" xr:uid="{00000000-0005-0000-0000-00004B440000}"/>
    <cellStyle name="Normal 41 15" xfId="9559" xr:uid="{00000000-0005-0000-0000-00004C440000}"/>
    <cellStyle name="Normal 41 15 2" xfId="21669" xr:uid="{00000000-0005-0000-0000-00004D440000}"/>
    <cellStyle name="Normal 41 16" xfId="9560" xr:uid="{00000000-0005-0000-0000-00004E440000}"/>
    <cellStyle name="Normal 41 16 2" xfId="21670" xr:uid="{00000000-0005-0000-0000-00004F440000}"/>
    <cellStyle name="Normal 41 17" xfId="9561" xr:uid="{00000000-0005-0000-0000-000050440000}"/>
    <cellStyle name="Normal 41 17 2" xfId="21671" xr:uid="{00000000-0005-0000-0000-000051440000}"/>
    <cellStyle name="Normal 41 18" xfId="9562" xr:uid="{00000000-0005-0000-0000-000052440000}"/>
    <cellStyle name="Normal 41 18 2" xfId="21672" xr:uid="{00000000-0005-0000-0000-000053440000}"/>
    <cellStyle name="Normal 41 19" xfId="9563" xr:uid="{00000000-0005-0000-0000-000054440000}"/>
    <cellStyle name="Normal 41 19 2" xfId="21673" xr:uid="{00000000-0005-0000-0000-000055440000}"/>
    <cellStyle name="Normal 41 2" xfId="9564" xr:uid="{00000000-0005-0000-0000-000056440000}"/>
    <cellStyle name="Normal 41 2 2" xfId="21674" xr:uid="{00000000-0005-0000-0000-000057440000}"/>
    <cellStyle name="Normal 41 20" xfId="9565" xr:uid="{00000000-0005-0000-0000-000058440000}"/>
    <cellStyle name="Normal 41 20 2" xfId="21675" xr:uid="{00000000-0005-0000-0000-000059440000}"/>
    <cellStyle name="Normal 41 21" xfId="9566" xr:uid="{00000000-0005-0000-0000-00005A440000}"/>
    <cellStyle name="Normal 41 21 2" xfId="21676" xr:uid="{00000000-0005-0000-0000-00005B440000}"/>
    <cellStyle name="Normal 41 22" xfId="9567" xr:uid="{00000000-0005-0000-0000-00005C440000}"/>
    <cellStyle name="Normal 41 22 2" xfId="21677" xr:uid="{00000000-0005-0000-0000-00005D440000}"/>
    <cellStyle name="Normal 41 23" xfId="9568" xr:uid="{00000000-0005-0000-0000-00005E440000}"/>
    <cellStyle name="Normal 41 23 2" xfId="21678" xr:uid="{00000000-0005-0000-0000-00005F440000}"/>
    <cellStyle name="Normal 41 24" xfId="9569" xr:uid="{00000000-0005-0000-0000-000060440000}"/>
    <cellStyle name="Normal 41 24 2" xfId="21679" xr:uid="{00000000-0005-0000-0000-000061440000}"/>
    <cellStyle name="Normal 41 25" xfId="9570" xr:uid="{00000000-0005-0000-0000-000062440000}"/>
    <cellStyle name="Normal 41 25 2" xfId="21680" xr:uid="{00000000-0005-0000-0000-000063440000}"/>
    <cellStyle name="Normal 41 26" xfId="9571" xr:uid="{00000000-0005-0000-0000-000064440000}"/>
    <cellStyle name="Normal 41 26 2" xfId="21681" xr:uid="{00000000-0005-0000-0000-000065440000}"/>
    <cellStyle name="Normal 41 27" xfId="9572" xr:uid="{00000000-0005-0000-0000-000066440000}"/>
    <cellStyle name="Normal 41 27 2" xfId="21682" xr:uid="{00000000-0005-0000-0000-000067440000}"/>
    <cellStyle name="Normal 41 28" xfId="9573" xr:uid="{00000000-0005-0000-0000-000068440000}"/>
    <cellStyle name="Normal 41 28 2" xfId="21683" xr:uid="{00000000-0005-0000-0000-000069440000}"/>
    <cellStyle name="Normal 41 29" xfId="9574" xr:uid="{00000000-0005-0000-0000-00006A440000}"/>
    <cellStyle name="Normal 41 29 2" xfId="21684" xr:uid="{00000000-0005-0000-0000-00006B440000}"/>
    <cellStyle name="Normal 41 3" xfId="9575" xr:uid="{00000000-0005-0000-0000-00006C440000}"/>
    <cellStyle name="Normal 41 3 2" xfId="21685" xr:uid="{00000000-0005-0000-0000-00006D440000}"/>
    <cellStyle name="Normal 41 30" xfId="9576" xr:uid="{00000000-0005-0000-0000-00006E440000}"/>
    <cellStyle name="Normal 41 30 2" xfId="21686" xr:uid="{00000000-0005-0000-0000-00006F440000}"/>
    <cellStyle name="Normal 41 31" xfId="9577" xr:uid="{00000000-0005-0000-0000-000070440000}"/>
    <cellStyle name="Normal 41 31 2" xfId="21687" xr:uid="{00000000-0005-0000-0000-000071440000}"/>
    <cellStyle name="Normal 41 32" xfId="9578" xr:uid="{00000000-0005-0000-0000-000072440000}"/>
    <cellStyle name="Normal 41 32 2" xfId="21688" xr:uid="{00000000-0005-0000-0000-000073440000}"/>
    <cellStyle name="Normal 41 33" xfId="9579" xr:uid="{00000000-0005-0000-0000-000074440000}"/>
    <cellStyle name="Normal 41 33 2" xfId="21689" xr:uid="{00000000-0005-0000-0000-000075440000}"/>
    <cellStyle name="Normal 41 34" xfId="9580" xr:uid="{00000000-0005-0000-0000-000076440000}"/>
    <cellStyle name="Normal 41 34 2" xfId="21690" xr:uid="{00000000-0005-0000-0000-000077440000}"/>
    <cellStyle name="Normal 41 35" xfId="9581" xr:uid="{00000000-0005-0000-0000-000078440000}"/>
    <cellStyle name="Normal 41 35 2" xfId="21691" xr:uid="{00000000-0005-0000-0000-000079440000}"/>
    <cellStyle name="Normal 41 36" xfId="9582" xr:uid="{00000000-0005-0000-0000-00007A440000}"/>
    <cellStyle name="Normal 41 36 2" xfId="21692" xr:uid="{00000000-0005-0000-0000-00007B440000}"/>
    <cellStyle name="Normal 41 37" xfId="9583" xr:uid="{00000000-0005-0000-0000-00007C440000}"/>
    <cellStyle name="Normal 41 37 2" xfId="21693" xr:uid="{00000000-0005-0000-0000-00007D440000}"/>
    <cellStyle name="Normal 41 38" xfId="9584" xr:uid="{00000000-0005-0000-0000-00007E440000}"/>
    <cellStyle name="Normal 41 38 2" xfId="21694" xr:uid="{00000000-0005-0000-0000-00007F440000}"/>
    <cellStyle name="Normal 41 39" xfId="9585" xr:uid="{00000000-0005-0000-0000-000080440000}"/>
    <cellStyle name="Normal 41 39 2" xfId="21695" xr:uid="{00000000-0005-0000-0000-000081440000}"/>
    <cellStyle name="Normal 41 4" xfId="9586" xr:uid="{00000000-0005-0000-0000-000082440000}"/>
    <cellStyle name="Normal 41 4 2" xfId="21696" xr:uid="{00000000-0005-0000-0000-000083440000}"/>
    <cellStyle name="Normal 41 40" xfId="9587" xr:uid="{00000000-0005-0000-0000-000084440000}"/>
    <cellStyle name="Normal 41 40 2" xfId="21697" xr:uid="{00000000-0005-0000-0000-000085440000}"/>
    <cellStyle name="Normal 41 41" xfId="9588" xr:uid="{00000000-0005-0000-0000-000086440000}"/>
    <cellStyle name="Normal 41 41 2" xfId="21698" xr:uid="{00000000-0005-0000-0000-000087440000}"/>
    <cellStyle name="Normal 41 42" xfId="9589" xr:uid="{00000000-0005-0000-0000-000088440000}"/>
    <cellStyle name="Normal 41 42 2" xfId="21699" xr:uid="{00000000-0005-0000-0000-000089440000}"/>
    <cellStyle name="Normal 41 43" xfId="9590" xr:uid="{00000000-0005-0000-0000-00008A440000}"/>
    <cellStyle name="Normal 41 43 2" xfId="21700" xr:uid="{00000000-0005-0000-0000-00008B440000}"/>
    <cellStyle name="Normal 41 44" xfId="9591" xr:uid="{00000000-0005-0000-0000-00008C440000}"/>
    <cellStyle name="Normal 41 44 2" xfId="21701" xr:uid="{00000000-0005-0000-0000-00008D440000}"/>
    <cellStyle name="Normal 41 45" xfId="9592" xr:uid="{00000000-0005-0000-0000-00008E440000}"/>
    <cellStyle name="Normal 41 45 2" xfId="21702" xr:uid="{00000000-0005-0000-0000-00008F440000}"/>
    <cellStyle name="Normal 41 46" xfId="9593" xr:uid="{00000000-0005-0000-0000-000090440000}"/>
    <cellStyle name="Normal 41 46 2" xfId="21703" xr:uid="{00000000-0005-0000-0000-000091440000}"/>
    <cellStyle name="Normal 41 47" xfId="9594" xr:uid="{00000000-0005-0000-0000-000092440000}"/>
    <cellStyle name="Normal 41 47 2" xfId="21704" xr:uid="{00000000-0005-0000-0000-000093440000}"/>
    <cellStyle name="Normal 41 48" xfId="9595" xr:uid="{00000000-0005-0000-0000-000094440000}"/>
    <cellStyle name="Normal 41 48 2" xfId="21705" xr:uid="{00000000-0005-0000-0000-000095440000}"/>
    <cellStyle name="Normal 41 49" xfId="9596" xr:uid="{00000000-0005-0000-0000-000096440000}"/>
    <cellStyle name="Normal 41 49 2" xfId="21706" xr:uid="{00000000-0005-0000-0000-000097440000}"/>
    <cellStyle name="Normal 41 5" xfId="9597" xr:uid="{00000000-0005-0000-0000-000098440000}"/>
    <cellStyle name="Normal 41 5 2" xfId="21707" xr:uid="{00000000-0005-0000-0000-000099440000}"/>
    <cellStyle name="Normal 41 50" xfId="9598" xr:uid="{00000000-0005-0000-0000-00009A440000}"/>
    <cellStyle name="Normal 41 50 2" xfId="21708" xr:uid="{00000000-0005-0000-0000-00009B440000}"/>
    <cellStyle name="Normal 41 51" xfId="9599" xr:uid="{00000000-0005-0000-0000-00009C440000}"/>
    <cellStyle name="Normal 41 51 2" xfId="21709" xr:uid="{00000000-0005-0000-0000-00009D440000}"/>
    <cellStyle name="Normal 41 52" xfId="9600" xr:uid="{00000000-0005-0000-0000-00009E440000}"/>
    <cellStyle name="Normal 41 52 2" xfId="21710" xr:uid="{00000000-0005-0000-0000-00009F440000}"/>
    <cellStyle name="Normal 41 53" xfId="9601" xr:uid="{00000000-0005-0000-0000-0000A0440000}"/>
    <cellStyle name="Normal 41 53 2" xfId="21711" xr:uid="{00000000-0005-0000-0000-0000A1440000}"/>
    <cellStyle name="Normal 41 54" xfId="9602" xr:uid="{00000000-0005-0000-0000-0000A2440000}"/>
    <cellStyle name="Normal 41 54 2" xfId="21712" xr:uid="{00000000-0005-0000-0000-0000A3440000}"/>
    <cellStyle name="Normal 41 55" xfId="9603" xr:uid="{00000000-0005-0000-0000-0000A4440000}"/>
    <cellStyle name="Normal 41 55 2" xfId="21713" xr:uid="{00000000-0005-0000-0000-0000A5440000}"/>
    <cellStyle name="Normal 41 56" xfId="9604" xr:uid="{00000000-0005-0000-0000-0000A6440000}"/>
    <cellStyle name="Normal 41 56 2" xfId="21714" xr:uid="{00000000-0005-0000-0000-0000A7440000}"/>
    <cellStyle name="Normal 41 57" xfId="9605" xr:uid="{00000000-0005-0000-0000-0000A8440000}"/>
    <cellStyle name="Normal 41 57 2" xfId="21715" xr:uid="{00000000-0005-0000-0000-0000A9440000}"/>
    <cellStyle name="Normal 41 58" xfId="9606" xr:uid="{00000000-0005-0000-0000-0000AA440000}"/>
    <cellStyle name="Normal 41 58 2" xfId="21716" xr:uid="{00000000-0005-0000-0000-0000AB440000}"/>
    <cellStyle name="Normal 41 59" xfId="9607" xr:uid="{00000000-0005-0000-0000-0000AC440000}"/>
    <cellStyle name="Normal 41 59 2" xfId="21717" xr:uid="{00000000-0005-0000-0000-0000AD440000}"/>
    <cellStyle name="Normal 41 6" xfId="9608" xr:uid="{00000000-0005-0000-0000-0000AE440000}"/>
    <cellStyle name="Normal 41 6 2" xfId="21718" xr:uid="{00000000-0005-0000-0000-0000AF440000}"/>
    <cellStyle name="Normal 41 60" xfId="9609" xr:uid="{00000000-0005-0000-0000-0000B0440000}"/>
    <cellStyle name="Normal 41 60 2" xfId="21719" xr:uid="{00000000-0005-0000-0000-0000B1440000}"/>
    <cellStyle name="Normal 41 61" xfId="9610" xr:uid="{00000000-0005-0000-0000-0000B2440000}"/>
    <cellStyle name="Normal 41 61 2" xfId="21720" xr:uid="{00000000-0005-0000-0000-0000B3440000}"/>
    <cellStyle name="Normal 41 62" xfId="9611" xr:uid="{00000000-0005-0000-0000-0000B4440000}"/>
    <cellStyle name="Normal 41 62 2" xfId="21721" xr:uid="{00000000-0005-0000-0000-0000B5440000}"/>
    <cellStyle name="Normal 41 63" xfId="9612" xr:uid="{00000000-0005-0000-0000-0000B6440000}"/>
    <cellStyle name="Normal 41 63 2" xfId="21722" xr:uid="{00000000-0005-0000-0000-0000B7440000}"/>
    <cellStyle name="Normal 41 64" xfId="9613" xr:uid="{00000000-0005-0000-0000-0000B8440000}"/>
    <cellStyle name="Normal 41 64 2" xfId="21723" xr:uid="{00000000-0005-0000-0000-0000B9440000}"/>
    <cellStyle name="Normal 41 65" xfId="9614" xr:uid="{00000000-0005-0000-0000-0000BA440000}"/>
    <cellStyle name="Normal 41 65 2" xfId="21724" xr:uid="{00000000-0005-0000-0000-0000BB440000}"/>
    <cellStyle name="Normal 41 66" xfId="9615" xr:uid="{00000000-0005-0000-0000-0000BC440000}"/>
    <cellStyle name="Normal 41 66 2" xfId="21725" xr:uid="{00000000-0005-0000-0000-0000BD440000}"/>
    <cellStyle name="Normal 41 67" xfId="9616" xr:uid="{00000000-0005-0000-0000-0000BE440000}"/>
    <cellStyle name="Normal 41 67 2" xfId="21726" xr:uid="{00000000-0005-0000-0000-0000BF440000}"/>
    <cellStyle name="Normal 41 68" xfId="9617" xr:uid="{00000000-0005-0000-0000-0000C0440000}"/>
    <cellStyle name="Normal 41 68 2" xfId="21727" xr:uid="{00000000-0005-0000-0000-0000C1440000}"/>
    <cellStyle name="Normal 41 69" xfId="9618" xr:uid="{00000000-0005-0000-0000-0000C2440000}"/>
    <cellStyle name="Normal 41 69 2" xfId="21728" xr:uid="{00000000-0005-0000-0000-0000C3440000}"/>
    <cellStyle name="Normal 41 7" xfId="9619" xr:uid="{00000000-0005-0000-0000-0000C4440000}"/>
    <cellStyle name="Normal 41 7 2" xfId="21729" xr:uid="{00000000-0005-0000-0000-0000C5440000}"/>
    <cellStyle name="Normal 41 70" xfId="9620" xr:uid="{00000000-0005-0000-0000-0000C6440000}"/>
    <cellStyle name="Normal 41 70 2" xfId="21730" xr:uid="{00000000-0005-0000-0000-0000C7440000}"/>
    <cellStyle name="Normal 41 71" xfId="9621" xr:uid="{00000000-0005-0000-0000-0000C8440000}"/>
    <cellStyle name="Normal 41 71 2" xfId="21731" xr:uid="{00000000-0005-0000-0000-0000C9440000}"/>
    <cellStyle name="Normal 41 72" xfId="9622" xr:uid="{00000000-0005-0000-0000-0000CA440000}"/>
    <cellStyle name="Normal 41 72 2" xfId="21732" xr:uid="{00000000-0005-0000-0000-0000CB440000}"/>
    <cellStyle name="Normal 41 73" xfId="9623" xr:uid="{00000000-0005-0000-0000-0000CC440000}"/>
    <cellStyle name="Normal 41 73 2" xfId="21733" xr:uid="{00000000-0005-0000-0000-0000CD440000}"/>
    <cellStyle name="Normal 41 74" xfId="9624" xr:uid="{00000000-0005-0000-0000-0000CE440000}"/>
    <cellStyle name="Normal 41 74 2" xfId="21734" xr:uid="{00000000-0005-0000-0000-0000CF440000}"/>
    <cellStyle name="Normal 41 75" xfId="9625" xr:uid="{00000000-0005-0000-0000-0000D0440000}"/>
    <cellStyle name="Normal 41 75 2" xfId="21735" xr:uid="{00000000-0005-0000-0000-0000D1440000}"/>
    <cellStyle name="Normal 41 76" xfId="9626" xr:uid="{00000000-0005-0000-0000-0000D2440000}"/>
    <cellStyle name="Normal 41 76 2" xfId="21736" xr:uid="{00000000-0005-0000-0000-0000D3440000}"/>
    <cellStyle name="Normal 41 77" xfId="9627" xr:uid="{00000000-0005-0000-0000-0000D4440000}"/>
    <cellStyle name="Normal 41 77 2" xfId="21737" xr:uid="{00000000-0005-0000-0000-0000D5440000}"/>
    <cellStyle name="Normal 41 78" xfId="9628" xr:uid="{00000000-0005-0000-0000-0000D6440000}"/>
    <cellStyle name="Normal 41 78 2" xfId="21738" xr:uid="{00000000-0005-0000-0000-0000D7440000}"/>
    <cellStyle name="Normal 41 79" xfId="9629" xr:uid="{00000000-0005-0000-0000-0000D8440000}"/>
    <cellStyle name="Normal 41 79 2" xfId="21739" xr:uid="{00000000-0005-0000-0000-0000D9440000}"/>
    <cellStyle name="Normal 41 8" xfId="9630" xr:uid="{00000000-0005-0000-0000-0000DA440000}"/>
    <cellStyle name="Normal 41 8 2" xfId="21740" xr:uid="{00000000-0005-0000-0000-0000DB440000}"/>
    <cellStyle name="Normal 41 80" xfId="21663" xr:uid="{00000000-0005-0000-0000-0000DC440000}"/>
    <cellStyle name="Normal 41 9" xfId="9631" xr:uid="{00000000-0005-0000-0000-0000DD440000}"/>
    <cellStyle name="Normal 41 9 2" xfId="21741" xr:uid="{00000000-0005-0000-0000-0000DE440000}"/>
    <cellStyle name="Normal 42" xfId="149" xr:uid="{00000000-0005-0000-0000-0000DF440000}"/>
    <cellStyle name="Normal 42 10" xfId="9632" xr:uid="{00000000-0005-0000-0000-0000E0440000}"/>
    <cellStyle name="Normal 42 10 2" xfId="21743" xr:uid="{00000000-0005-0000-0000-0000E1440000}"/>
    <cellStyle name="Normal 42 11" xfId="9633" xr:uid="{00000000-0005-0000-0000-0000E2440000}"/>
    <cellStyle name="Normal 42 11 2" xfId="21744" xr:uid="{00000000-0005-0000-0000-0000E3440000}"/>
    <cellStyle name="Normal 42 12" xfId="9634" xr:uid="{00000000-0005-0000-0000-0000E4440000}"/>
    <cellStyle name="Normal 42 12 2" xfId="21745" xr:uid="{00000000-0005-0000-0000-0000E5440000}"/>
    <cellStyle name="Normal 42 13" xfId="9635" xr:uid="{00000000-0005-0000-0000-0000E6440000}"/>
    <cellStyle name="Normal 42 13 2" xfId="21746" xr:uid="{00000000-0005-0000-0000-0000E7440000}"/>
    <cellStyle name="Normal 42 14" xfId="9636" xr:uid="{00000000-0005-0000-0000-0000E8440000}"/>
    <cellStyle name="Normal 42 14 2" xfId="21747" xr:uid="{00000000-0005-0000-0000-0000E9440000}"/>
    <cellStyle name="Normal 42 15" xfId="9637" xr:uid="{00000000-0005-0000-0000-0000EA440000}"/>
    <cellStyle name="Normal 42 15 2" xfId="21748" xr:uid="{00000000-0005-0000-0000-0000EB440000}"/>
    <cellStyle name="Normal 42 16" xfId="9638" xr:uid="{00000000-0005-0000-0000-0000EC440000}"/>
    <cellStyle name="Normal 42 16 2" xfId="21749" xr:uid="{00000000-0005-0000-0000-0000ED440000}"/>
    <cellStyle name="Normal 42 17" xfId="9639" xr:uid="{00000000-0005-0000-0000-0000EE440000}"/>
    <cellStyle name="Normal 42 17 2" xfId="21750" xr:uid="{00000000-0005-0000-0000-0000EF440000}"/>
    <cellStyle name="Normal 42 18" xfId="9640" xr:uid="{00000000-0005-0000-0000-0000F0440000}"/>
    <cellStyle name="Normal 42 18 2" xfId="21751" xr:uid="{00000000-0005-0000-0000-0000F1440000}"/>
    <cellStyle name="Normal 42 19" xfId="9641" xr:uid="{00000000-0005-0000-0000-0000F2440000}"/>
    <cellStyle name="Normal 42 19 2" xfId="21752" xr:uid="{00000000-0005-0000-0000-0000F3440000}"/>
    <cellStyle name="Normal 42 2" xfId="172" xr:uid="{00000000-0005-0000-0000-0000F4440000}"/>
    <cellStyle name="Normal 42 2 2" xfId="21753" xr:uid="{00000000-0005-0000-0000-0000F5440000}"/>
    <cellStyle name="Normal 42 2 3" xfId="9642" xr:uid="{00000000-0005-0000-0000-0000F6440000}"/>
    <cellStyle name="Normal 42 20" xfId="9643" xr:uid="{00000000-0005-0000-0000-0000F7440000}"/>
    <cellStyle name="Normal 42 20 2" xfId="21754" xr:uid="{00000000-0005-0000-0000-0000F8440000}"/>
    <cellStyle name="Normal 42 21" xfId="9644" xr:uid="{00000000-0005-0000-0000-0000F9440000}"/>
    <cellStyle name="Normal 42 21 2" xfId="21755" xr:uid="{00000000-0005-0000-0000-0000FA440000}"/>
    <cellStyle name="Normal 42 22" xfId="9645" xr:uid="{00000000-0005-0000-0000-0000FB440000}"/>
    <cellStyle name="Normal 42 22 2" xfId="21756" xr:uid="{00000000-0005-0000-0000-0000FC440000}"/>
    <cellStyle name="Normal 42 23" xfId="9646" xr:uid="{00000000-0005-0000-0000-0000FD440000}"/>
    <cellStyle name="Normal 42 23 2" xfId="21757" xr:uid="{00000000-0005-0000-0000-0000FE440000}"/>
    <cellStyle name="Normal 42 24" xfId="9647" xr:uid="{00000000-0005-0000-0000-0000FF440000}"/>
    <cellStyle name="Normal 42 24 2" xfId="21758" xr:uid="{00000000-0005-0000-0000-000000450000}"/>
    <cellStyle name="Normal 42 25" xfId="9648" xr:uid="{00000000-0005-0000-0000-000001450000}"/>
    <cellStyle name="Normal 42 25 2" xfId="21759" xr:uid="{00000000-0005-0000-0000-000002450000}"/>
    <cellStyle name="Normal 42 26" xfId="9649" xr:uid="{00000000-0005-0000-0000-000003450000}"/>
    <cellStyle name="Normal 42 26 2" xfId="21760" xr:uid="{00000000-0005-0000-0000-000004450000}"/>
    <cellStyle name="Normal 42 27" xfId="9650" xr:uid="{00000000-0005-0000-0000-000005450000}"/>
    <cellStyle name="Normal 42 27 2" xfId="21761" xr:uid="{00000000-0005-0000-0000-000006450000}"/>
    <cellStyle name="Normal 42 28" xfId="9651" xr:uid="{00000000-0005-0000-0000-000007450000}"/>
    <cellStyle name="Normal 42 28 2" xfId="21762" xr:uid="{00000000-0005-0000-0000-000008450000}"/>
    <cellStyle name="Normal 42 29" xfId="9652" xr:uid="{00000000-0005-0000-0000-000009450000}"/>
    <cellStyle name="Normal 42 29 2" xfId="21763" xr:uid="{00000000-0005-0000-0000-00000A450000}"/>
    <cellStyle name="Normal 42 3" xfId="798" xr:uid="{00000000-0005-0000-0000-00000B450000}"/>
    <cellStyle name="Normal 42 3 2" xfId="21764" xr:uid="{00000000-0005-0000-0000-00000C450000}"/>
    <cellStyle name="Normal 42 30" xfId="9653" xr:uid="{00000000-0005-0000-0000-00000D450000}"/>
    <cellStyle name="Normal 42 30 2" xfId="21765" xr:uid="{00000000-0005-0000-0000-00000E450000}"/>
    <cellStyle name="Normal 42 31" xfId="9654" xr:uid="{00000000-0005-0000-0000-00000F450000}"/>
    <cellStyle name="Normal 42 31 2" xfId="21766" xr:uid="{00000000-0005-0000-0000-000010450000}"/>
    <cellStyle name="Normal 42 32" xfId="9655" xr:uid="{00000000-0005-0000-0000-000011450000}"/>
    <cellStyle name="Normal 42 32 2" xfId="21767" xr:uid="{00000000-0005-0000-0000-000012450000}"/>
    <cellStyle name="Normal 42 33" xfId="9656" xr:uid="{00000000-0005-0000-0000-000013450000}"/>
    <cellStyle name="Normal 42 33 2" xfId="21768" xr:uid="{00000000-0005-0000-0000-000014450000}"/>
    <cellStyle name="Normal 42 34" xfId="9657" xr:uid="{00000000-0005-0000-0000-000015450000}"/>
    <cellStyle name="Normal 42 34 2" xfId="21769" xr:uid="{00000000-0005-0000-0000-000016450000}"/>
    <cellStyle name="Normal 42 35" xfId="9658" xr:uid="{00000000-0005-0000-0000-000017450000}"/>
    <cellStyle name="Normal 42 35 2" xfId="21770" xr:uid="{00000000-0005-0000-0000-000018450000}"/>
    <cellStyle name="Normal 42 36" xfId="9659" xr:uid="{00000000-0005-0000-0000-000019450000}"/>
    <cellStyle name="Normal 42 36 2" xfId="21771" xr:uid="{00000000-0005-0000-0000-00001A450000}"/>
    <cellStyle name="Normal 42 37" xfId="9660" xr:uid="{00000000-0005-0000-0000-00001B450000}"/>
    <cellStyle name="Normal 42 37 2" xfId="21772" xr:uid="{00000000-0005-0000-0000-00001C450000}"/>
    <cellStyle name="Normal 42 38" xfId="9661" xr:uid="{00000000-0005-0000-0000-00001D450000}"/>
    <cellStyle name="Normal 42 38 2" xfId="21773" xr:uid="{00000000-0005-0000-0000-00001E450000}"/>
    <cellStyle name="Normal 42 39" xfId="9662" xr:uid="{00000000-0005-0000-0000-00001F450000}"/>
    <cellStyle name="Normal 42 39 2" xfId="21774" xr:uid="{00000000-0005-0000-0000-000020450000}"/>
    <cellStyle name="Normal 42 4" xfId="730" xr:uid="{00000000-0005-0000-0000-000021450000}"/>
    <cellStyle name="Normal 42 4 2" xfId="21775" xr:uid="{00000000-0005-0000-0000-000022450000}"/>
    <cellStyle name="Normal 42 4 3" xfId="9663" xr:uid="{00000000-0005-0000-0000-000023450000}"/>
    <cellStyle name="Normal 42 40" xfId="9664" xr:uid="{00000000-0005-0000-0000-000024450000}"/>
    <cellStyle name="Normal 42 40 2" xfId="21776" xr:uid="{00000000-0005-0000-0000-000025450000}"/>
    <cellStyle name="Normal 42 41" xfId="9665" xr:uid="{00000000-0005-0000-0000-000026450000}"/>
    <cellStyle name="Normal 42 41 2" xfId="21777" xr:uid="{00000000-0005-0000-0000-000027450000}"/>
    <cellStyle name="Normal 42 42" xfId="9666" xr:uid="{00000000-0005-0000-0000-000028450000}"/>
    <cellStyle name="Normal 42 42 2" xfId="21778" xr:uid="{00000000-0005-0000-0000-000029450000}"/>
    <cellStyle name="Normal 42 43" xfId="9667" xr:uid="{00000000-0005-0000-0000-00002A450000}"/>
    <cellStyle name="Normal 42 43 2" xfId="21779" xr:uid="{00000000-0005-0000-0000-00002B450000}"/>
    <cellStyle name="Normal 42 44" xfId="9668" xr:uid="{00000000-0005-0000-0000-00002C450000}"/>
    <cellStyle name="Normal 42 44 2" xfId="21780" xr:uid="{00000000-0005-0000-0000-00002D450000}"/>
    <cellStyle name="Normal 42 45" xfId="9669" xr:uid="{00000000-0005-0000-0000-00002E450000}"/>
    <cellStyle name="Normal 42 45 2" xfId="21781" xr:uid="{00000000-0005-0000-0000-00002F450000}"/>
    <cellStyle name="Normal 42 46" xfId="9670" xr:uid="{00000000-0005-0000-0000-000030450000}"/>
    <cellStyle name="Normal 42 46 2" xfId="21782" xr:uid="{00000000-0005-0000-0000-000031450000}"/>
    <cellStyle name="Normal 42 47" xfId="9671" xr:uid="{00000000-0005-0000-0000-000032450000}"/>
    <cellStyle name="Normal 42 47 2" xfId="21783" xr:uid="{00000000-0005-0000-0000-000033450000}"/>
    <cellStyle name="Normal 42 48" xfId="9672" xr:uid="{00000000-0005-0000-0000-000034450000}"/>
    <cellStyle name="Normal 42 48 2" xfId="21784" xr:uid="{00000000-0005-0000-0000-000035450000}"/>
    <cellStyle name="Normal 42 49" xfId="9673" xr:uid="{00000000-0005-0000-0000-000036450000}"/>
    <cellStyle name="Normal 42 49 2" xfId="21785" xr:uid="{00000000-0005-0000-0000-000037450000}"/>
    <cellStyle name="Normal 42 5" xfId="326" xr:uid="{00000000-0005-0000-0000-000038450000}"/>
    <cellStyle name="Normal 42 5 2" xfId="21786" xr:uid="{00000000-0005-0000-0000-000039450000}"/>
    <cellStyle name="Normal 42 50" xfId="9674" xr:uid="{00000000-0005-0000-0000-00003A450000}"/>
    <cellStyle name="Normal 42 50 2" xfId="21787" xr:uid="{00000000-0005-0000-0000-00003B450000}"/>
    <cellStyle name="Normal 42 51" xfId="9675" xr:uid="{00000000-0005-0000-0000-00003C450000}"/>
    <cellStyle name="Normal 42 51 2" xfId="21788" xr:uid="{00000000-0005-0000-0000-00003D450000}"/>
    <cellStyle name="Normal 42 52" xfId="9676" xr:uid="{00000000-0005-0000-0000-00003E450000}"/>
    <cellStyle name="Normal 42 52 2" xfId="21789" xr:uid="{00000000-0005-0000-0000-00003F450000}"/>
    <cellStyle name="Normal 42 53" xfId="9677" xr:uid="{00000000-0005-0000-0000-000040450000}"/>
    <cellStyle name="Normal 42 53 2" xfId="21790" xr:uid="{00000000-0005-0000-0000-000041450000}"/>
    <cellStyle name="Normal 42 54" xfId="9678" xr:uid="{00000000-0005-0000-0000-000042450000}"/>
    <cellStyle name="Normal 42 54 2" xfId="21791" xr:uid="{00000000-0005-0000-0000-000043450000}"/>
    <cellStyle name="Normal 42 55" xfId="9679" xr:uid="{00000000-0005-0000-0000-000044450000}"/>
    <cellStyle name="Normal 42 55 2" xfId="21792" xr:uid="{00000000-0005-0000-0000-000045450000}"/>
    <cellStyle name="Normal 42 56" xfId="9680" xr:uid="{00000000-0005-0000-0000-000046450000}"/>
    <cellStyle name="Normal 42 56 2" xfId="21793" xr:uid="{00000000-0005-0000-0000-000047450000}"/>
    <cellStyle name="Normal 42 57" xfId="9681" xr:uid="{00000000-0005-0000-0000-000048450000}"/>
    <cellStyle name="Normal 42 57 2" xfId="21794" xr:uid="{00000000-0005-0000-0000-000049450000}"/>
    <cellStyle name="Normal 42 58" xfId="9682" xr:uid="{00000000-0005-0000-0000-00004A450000}"/>
    <cellStyle name="Normal 42 58 2" xfId="21795" xr:uid="{00000000-0005-0000-0000-00004B450000}"/>
    <cellStyle name="Normal 42 59" xfId="9683" xr:uid="{00000000-0005-0000-0000-00004C450000}"/>
    <cellStyle name="Normal 42 59 2" xfId="21796" xr:uid="{00000000-0005-0000-0000-00004D450000}"/>
    <cellStyle name="Normal 42 6" xfId="9684" xr:uid="{00000000-0005-0000-0000-00004E450000}"/>
    <cellStyle name="Normal 42 6 2" xfId="21797" xr:uid="{00000000-0005-0000-0000-00004F450000}"/>
    <cellStyle name="Normal 42 60" xfId="9685" xr:uid="{00000000-0005-0000-0000-000050450000}"/>
    <cellStyle name="Normal 42 60 2" xfId="21798" xr:uid="{00000000-0005-0000-0000-000051450000}"/>
    <cellStyle name="Normal 42 61" xfId="9686" xr:uid="{00000000-0005-0000-0000-000052450000}"/>
    <cellStyle name="Normal 42 61 2" xfId="21799" xr:uid="{00000000-0005-0000-0000-000053450000}"/>
    <cellStyle name="Normal 42 62" xfId="9687" xr:uid="{00000000-0005-0000-0000-000054450000}"/>
    <cellStyle name="Normal 42 62 2" xfId="21800" xr:uid="{00000000-0005-0000-0000-000055450000}"/>
    <cellStyle name="Normal 42 63" xfId="9688" xr:uid="{00000000-0005-0000-0000-000056450000}"/>
    <cellStyle name="Normal 42 63 2" xfId="21801" xr:uid="{00000000-0005-0000-0000-000057450000}"/>
    <cellStyle name="Normal 42 64" xfId="9689" xr:uid="{00000000-0005-0000-0000-000058450000}"/>
    <cellStyle name="Normal 42 64 2" xfId="21802" xr:uid="{00000000-0005-0000-0000-000059450000}"/>
    <cellStyle name="Normal 42 65" xfId="9690" xr:uid="{00000000-0005-0000-0000-00005A450000}"/>
    <cellStyle name="Normal 42 65 2" xfId="21803" xr:uid="{00000000-0005-0000-0000-00005B450000}"/>
    <cellStyle name="Normal 42 66" xfId="9691" xr:uid="{00000000-0005-0000-0000-00005C450000}"/>
    <cellStyle name="Normal 42 66 2" xfId="21804" xr:uid="{00000000-0005-0000-0000-00005D450000}"/>
    <cellStyle name="Normal 42 67" xfId="9692" xr:uid="{00000000-0005-0000-0000-00005E450000}"/>
    <cellStyle name="Normal 42 67 2" xfId="21805" xr:uid="{00000000-0005-0000-0000-00005F450000}"/>
    <cellStyle name="Normal 42 68" xfId="9693" xr:uid="{00000000-0005-0000-0000-000060450000}"/>
    <cellStyle name="Normal 42 68 2" xfId="21806" xr:uid="{00000000-0005-0000-0000-000061450000}"/>
    <cellStyle name="Normal 42 69" xfId="9694" xr:uid="{00000000-0005-0000-0000-000062450000}"/>
    <cellStyle name="Normal 42 69 2" xfId="21807" xr:uid="{00000000-0005-0000-0000-000063450000}"/>
    <cellStyle name="Normal 42 7" xfId="9695" xr:uid="{00000000-0005-0000-0000-000064450000}"/>
    <cellStyle name="Normal 42 7 2" xfId="21808" xr:uid="{00000000-0005-0000-0000-000065450000}"/>
    <cellStyle name="Normal 42 70" xfId="9696" xr:uid="{00000000-0005-0000-0000-000066450000}"/>
    <cellStyle name="Normal 42 70 2" xfId="21809" xr:uid="{00000000-0005-0000-0000-000067450000}"/>
    <cellStyle name="Normal 42 71" xfId="9697" xr:uid="{00000000-0005-0000-0000-000068450000}"/>
    <cellStyle name="Normal 42 71 2" xfId="21810" xr:uid="{00000000-0005-0000-0000-000069450000}"/>
    <cellStyle name="Normal 42 72" xfId="9698" xr:uid="{00000000-0005-0000-0000-00006A450000}"/>
    <cellStyle name="Normal 42 72 2" xfId="21811" xr:uid="{00000000-0005-0000-0000-00006B450000}"/>
    <cellStyle name="Normal 42 73" xfId="9699" xr:uid="{00000000-0005-0000-0000-00006C450000}"/>
    <cellStyle name="Normal 42 73 2" xfId="21812" xr:uid="{00000000-0005-0000-0000-00006D450000}"/>
    <cellStyle name="Normal 42 74" xfId="9700" xr:uid="{00000000-0005-0000-0000-00006E450000}"/>
    <cellStyle name="Normal 42 74 2" xfId="21813" xr:uid="{00000000-0005-0000-0000-00006F450000}"/>
    <cellStyle name="Normal 42 75" xfId="9701" xr:uid="{00000000-0005-0000-0000-000070450000}"/>
    <cellStyle name="Normal 42 75 2" xfId="21814" xr:uid="{00000000-0005-0000-0000-000071450000}"/>
    <cellStyle name="Normal 42 76" xfId="9702" xr:uid="{00000000-0005-0000-0000-000072450000}"/>
    <cellStyle name="Normal 42 76 2" xfId="21815" xr:uid="{00000000-0005-0000-0000-000073450000}"/>
    <cellStyle name="Normal 42 77" xfId="9703" xr:uid="{00000000-0005-0000-0000-000074450000}"/>
    <cellStyle name="Normal 42 77 2" xfId="21816" xr:uid="{00000000-0005-0000-0000-000075450000}"/>
    <cellStyle name="Normal 42 78" xfId="9704" xr:uid="{00000000-0005-0000-0000-000076450000}"/>
    <cellStyle name="Normal 42 78 2" xfId="21817" xr:uid="{00000000-0005-0000-0000-000077450000}"/>
    <cellStyle name="Normal 42 79" xfId="9705" xr:uid="{00000000-0005-0000-0000-000078450000}"/>
    <cellStyle name="Normal 42 79 2" xfId="21818" xr:uid="{00000000-0005-0000-0000-000079450000}"/>
    <cellStyle name="Normal 42 8" xfId="9706" xr:uid="{00000000-0005-0000-0000-00007A450000}"/>
    <cellStyle name="Normal 42 8 2" xfId="21819" xr:uid="{00000000-0005-0000-0000-00007B450000}"/>
    <cellStyle name="Normal 42 80" xfId="21742" xr:uid="{00000000-0005-0000-0000-00007C450000}"/>
    <cellStyle name="Normal 42 9" xfId="9707" xr:uid="{00000000-0005-0000-0000-00007D450000}"/>
    <cellStyle name="Normal 42 9 2" xfId="21820" xr:uid="{00000000-0005-0000-0000-00007E450000}"/>
    <cellStyle name="Normal 43" xfId="150" xr:uid="{00000000-0005-0000-0000-00007F450000}"/>
    <cellStyle name="Normal 43 10" xfId="9708" xr:uid="{00000000-0005-0000-0000-000080450000}"/>
    <cellStyle name="Normal 43 10 2" xfId="21822" xr:uid="{00000000-0005-0000-0000-000081450000}"/>
    <cellStyle name="Normal 43 11" xfId="9709" xr:uid="{00000000-0005-0000-0000-000082450000}"/>
    <cellStyle name="Normal 43 11 2" xfId="21823" xr:uid="{00000000-0005-0000-0000-000083450000}"/>
    <cellStyle name="Normal 43 12" xfId="9710" xr:uid="{00000000-0005-0000-0000-000084450000}"/>
    <cellStyle name="Normal 43 12 2" xfId="21824" xr:uid="{00000000-0005-0000-0000-000085450000}"/>
    <cellStyle name="Normal 43 13" xfId="9711" xr:uid="{00000000-0005-0000-0000-000086450000}"/>
    <cellStyle name="Normal 43 13 2" xfId="21825" xr:uid="{00000000-0005-0000-0000-000087450000}"/>
    <cellStyle name="Normal 43 14" xfId="9712" xr:uid="{00000000-0005-0000-0000-000088450000}"/>
    <cellStyle name="Normal 43 14 2" xfId="21826" xr:uid="{00000000-0005-0000-0000-000089450000}"/>
    <cellStyle name="Normal 43 15" xfId="9713" xr:uid="{00000000-0005-0000-0000-00008A450000}"/>
    <cellStyle name="Normal 43 15 2" xfId="21827" xr:uid="{00000000-0005-0000-0000-00008B450000}"/>
    <cellStyle name="Normal 43 16" xfId="9714" xr:uid="{00000000-0005-0000-0000-00008C450000}"/>
    <cellStyle name="Normal 43 16 2" xfId="21828" xr:uid="{00000000-0005-0000-0000-00008D450000}"/>
    <cellStyle name="Normal 43 17" xfId="9715" xr:uid="{00000000-0005-0000-0000-00008E450000}"/>
    <cellStyle name="Normal 43 17 2" xfId="21829" xr:uid="{00000000-0005-0000-0000-00008F450000}"/>
    <cellStyle name="Normal 43 18" xfId="9716" xr:uid="{00000000-0005-0000-0000-000090450000}"/>
    <cellStyle name="Normal 43 18 2" xfId="21830" xr:uid="{00000000-0005-0000-0000-000091450000}"/>
    <cellStyle name="Normal 43 19" xfId="9717" xr:uid="{00000000-0005-0000-0000-000092450000}"/>
    <cellStyle name="Normal 43 19 2" xfId="21831" xr:uid="{00000000-0005-0000-0000-000093450000}"/>
    <cellStyle name="Normal 43 2" xfId="173" xr:uid="{00000000-0005-0000-0000-000094450000}"/>
    <cellStyle name="Normal 43 2 2" xfId="21832" xr:uid="{00000000-0005-0000-0000-000095450000}"/>
    <cellStyle name="Normal 43 2 3" xfId="9718" xr:uid="{00000000-0005-0000-0000-000096450000}"/>
    <cellStyle name="Normal 43 20" xfId="9719" xr:uid="{00000000-0005-0000-0000-000097450000}"/>
    <cellStyle name="Normal 43 20 2" xfId="21833" xr:uid="{00000000-0005-0000-0000-000098450000}"/>
    <cellStyle name="Normal 43 21" xfId="9720" xr:uid="{00000000-0005-0000-0000-000099450000}"/>
    <cellStyle name="Normal 43 21 2" xfId="21834" xr:uid="{00000000-0005-0000-0000-00009A450000}"/>
    <cellStyle name="Normal 43 22" xfId="9721" xr:uid="{00000000-0005-0000-0000-00009B450000}"/>
    <cellStyle name="Normal 43 22 2" xfId="21835" xr:uid="{00000000-0005-0000-0000-00009C450000}"/>
    <cellStyle name="Normal 43 23" xfId="9722" xr:uid="{00000000-0005-0000-0000-00009D450000}"/>
    <cellStyle name="Normal 43 23 2" xfId="21836" xr:uid="{00000000-0005-0000-0000-00009E450000}"/>
    <cellStyle name="Normal 43 24" xfId="9723" xr:uid="{00000000-0005-0000-0000-00009F450000}"/>
    <cellStyle name="Normal 43 24 2" xfId="21837" xr:uid="{00000000-0005-0000-0000-0000A0450000}"/>
    <cellStyle name="Normal 43 25" xfId="9724" xr:uid="{00000000-0005-0000-0000-0000A1450000}"/>
    <cellStyle name="Normal 43 25 2" xfId="21838" xr:uid="{00000000-0005-0000-0000-0000A2450000}"/>
    <cellStyle name="Normal 43 26" xfId="9725" xr:uid="{00000000-0005-0000-0000-0000A3450000}"/>
    <cellStyle name="Normal 43 26 2" xfId="21839" xr:uid="{00000000-0005-0000-0000-0000A4450000}"/>
    <cellStyle name="Normal 43 27" xfId="9726" xr:uid="{00000000-0005-0000-0000-0000A5450000}"/>
    <cellStyle name="Normal 43 27 2" xfId="21840" xr:uid="{00000000-0005-0000-0000-0000A6450000}"/>
    <cellStyle name="Normal 43 28" xfId="9727" xr:uid="{00000000-0005-0000-0000-0000A7450000}"/>
    <cellStyle name="Normal 43 28 2" xfId="21841" xr:uid="{00000000-0005-0000-0000-0000A8450000}"/>
    <cellStyle name="Normal 43 29" xfId="9728" xr:uid="{00000000-0005-0000-0000-0000A9450000}"/>
    <cellStyle name="Normal 43 29 2" xfId="21842" xr:uid="{00000000-0005-0000-0000-0000AA450000}"/>
    <cellStyle name="Normal 43 3" xfId="799" xr:uid="{00000000-0005-0000-0000-0000AB450000}"/>
    <cellStyle name="Normal 43 3 2" xfId="21843" xr:uid="{00000000-0005-0000-0000-0000AC450000}"/>
    <cellStyle name="Normal 43 30" xfId="9729" xr:uid="{00000000-0005-0000-0000-0000AD450000}"/>
    <cellStyle name="Normal 43 30 2" xfId="21844" xr:uid="{00000000-0005-0000-0000-0000AE450000}"/>
    <cellStyle name="Normal 43 31" xfId="9730" xr:uid="{00000000-0005-0000-0000-0000AF450000}"/>
    <cellStyle name="Normal 43 31 2" xfId="21845" xr:uid="{00000000-0005-0000-0000-0000B0450000}"/>
    <cellStyle name="Normal 43 32" xfId="9731" xr:uid="{00000000-0005-0000-0000-0000B1450000}"/>
    <cellStyle name="Normal 43 32 2" xfId="21846" xr:uid="{00000000-0005-0000-0000-0000B2450000}"/>
    <cellStyle name="Normal 43 33" xfId="9732" xr:uid="{00000000-0005-0000-0000-0000B3450000}"/>
    <cellStyle name="Normal 43 33 2" xfId="21847" xr:uid="{00000000-0005-0000-0000-0000B4450000}"/>
    <cellStyle name="Normal 43 34" xfId="9733" xr:uid="{00000000-0005-0000-0000-0000B5450000}"/>
    <cellStyle name="Normal 43 34 2" xfId="21848" xr:uid="{00000000-0005-0000-0000-0000B6450000}"/>
    <cellStyle name="Normal 43 35" xfId="9734" xr:uid="{00000000-0005-0000-0000-0000B7450000}"/>
    <cellStyle name="Normal 43 35 2" xfId="21849" xr:uid="{00000000-0005-0000-0000-0000B8450000}"/>
    <cellStyle name="Normal 43 36" xfId="9735" xr:uid="{00000000-0005-0000-0000-0000B9450000}"/>
    <cellStyle name="Normal 43 36 2" xfId="21850" xr:uid="{00000000-0005-0000-0000-0000BA450000}"/>
    <cellStyle name="Normal 43 37" xfId="9736" xr:uid="{00000000-0005-0000-0000-0000BB450000}"/>
    <cellStyle name="Normal 43 37 2" xfId="21851" xr:uid="{00000000-0005-0000-0000-0000BC450000}"/>
    <cellStyle name="Normal 43 38" xfId="9737" xr:uid="{00000000-0005-0000-0000-0000BD450000}"/>
    <cellStyle name="Normal 43 38 2" xfId="21852" xr:uid="{00000000-0005-0000-0000-0000BE450000}"/>
    <cellStyle name="Normal 43 39" xfId="9738" xr:uid="{00000000-0005-0000-0000-0000BF450000}"/>
    <cellStyle name="Normal 43 39 2" xfId="21853" xr:uid="{00000000-0005-0000-0000-0000C0450000}"/>
    <cellStyle name="Normal 43 4" xfId="731" xr:uid="{00000000-0005-0000-0000-0000C1450000}"/>
    <cellStyle name="Normal 43 4 2" xfId="21854" xr:uid="{00000000-0005-0000-0000-0000C2450000}"/>
    <cellStyle name="Normal 43 4 3" xfId="9739" xr:uid="{00000000-0005-0000-0000-0000C3450000}"/>
    <cellStyle name="Normal 43 40" xfId="9740" xr:uid="{00000000-0005-0000-0000-0000C4450000}"/>
    <cellStyle name="Normal 43 40 2" xfId="21855" xr:uid="{00000000-0005-0000-0000-0000C5450000}"/>
    <cellStyle name="Normal 43 41" xfId="9741" xr:uid="{00000000-0005-0000-0000-0000C6450000}"/>
    <cellStyle name="Normal 43 41 2" xfId="21856" xr:uid="{00000000-0005-0000-0000-0000C7450000}"/>
    <cellStyle name="Normal 43 42" xfId="9742" xr:uid="{00000000-0005-0000-0000-0000C8450000}"/>
    <cellStyle name="Normal 43 42 2" xfId="21857" xr:uid="{00000000-0005-0000-0000-0000C9450000}"/>
    <cellStyle name="Normal 43 43" xfId="9743" xr:uid="{00000000-0005-0000-0000-0000CA450000}"/>
    <cellStyle name="Normal 43 43 2" xfId="21858" xr:uid="{00000000-0005-0000-0000-0000CB450000}"/>
    <cellStyle name="Normal 43 44" xfId="9744" xr:uid="{00000000-0005-0000-0000-0000CC450000}"/>
    <cellStyle name="Normal 43 44 2" xfId="21859" xr:uid="{00000000-0005-0000-0000-0000CD450000}"/>
    <cellStyle name="Normal 43 45" xfId="9745" xr:uid="{00000000-0005-0000-0000-0000CE450000}"/>
    <cellStyle name="Normal 43 45 2" xfId="21860" xr:uid="{00000000-0005-0000-0000-0000CF450000}"/>
    <cellStyle name="Normal 43 46" xfId="9746" xr:uid="{00000000-0005-0000-0000-0000D0450000}"/>
    <cellStyle name="Normal 43 46 2" xfId="21861" xr:uid="{00000000-0005-0000-0000-0000D1450000}"/>
    <cellStyle name="Normal 43 47" xfId="9747" xr:uid="{00000000-0005-0000-0000-0000D2450000}"/>
    <cellStyle name="Normal 43 47 2" xfId="21862" xr:uid="{00000000-0005-0000-0000-0000D3450000}"/>
    <cellStyle name="Normal 43 48" xfId="9748" xr:uid="{00000000-0005-0000-0000-0000D4450000}"/>
    <cellStyle name="Normal 43 48 2" xfId="21863" xr:uid="{00000000-0005-0000-0000-0000D5450000}"/>
    <cellStyle name="Normal 43 49" xfId="9749" xr:uid="{00000000-0005-0000-0000-0000D6450000}"/>
    <cellStyle name="Normal 43 49 2" xfId="21864" xr:uid="{00000000-0005-0000-0000-0000D7450000}"/>
    <cellStyle name="Normal 43 5" xfId="327" xr:uid="{00000000-0005-0000-0000-0000D8450000}"/>
    <cellStyle name="Normal 43 5 2" xfId="21865" xr:uid="{00000000-0005-0000-0000-0000D9450000}"/>
    <cellStyle name="Normal 43 50" xfId="9750" xr:uid="{00000000-0005-0000-0000-0000DA450000}"/>
    <cellStyle name="Normal 43 50 2" xfId="21866" xr:uid="{00000000-0005-0000-0000-0000DB450000}"/>
    <cellStyle name="Normal 43 51" xfId="9751" xr:uid="{00000000-0005-0000-0000-0000DC450000}"/>
    <cellStyle name="Normal 43 51 2" xfId="21867" xr:uid="{00000000-0005-0000-0000-0000DD450000}"/>
    <cellStyle name="Normal 43 52" xfId="9752" xr:uid="{00000000-0005-0000-0000-0000DE450000}"/>
    <cellStyle name="Normal 43 52 2" xfId="21868" xr:uid="{00000000-0005-0000-0000-0000DF450000}"/>
    <cellStyle name="Normal 43 53" xfId="9753" xr:uid="{00000000-0005-0000-0000-0000E0450000}"/>
    <cellStyle name="Normal 43 53 2" xfId="21869" xr:uid="{00000000-0005-0000-0000-0000E1450000}"/>
    <cellStyle name="Normal 43 54" xfId="9754" xr:uid="{00000000-0005-0000-0000-0000E2450000}"/>
    <cellStyle name="Normal 43 54 2" xfId="21870" xr:uid="{00000000-0005-0000-0000-0000E3450000}"/>
    <cellStyle name="Normal 43 55" xfId="9755" xr:uid="{00000000-0005-0000-0000-0000E4450000}"/>
    <cellStyle name="Normal 43 55 2" xfId="21871" xr:uid="{00000000-0005-0000-0000-0000E5450000}"/>
    <cellStyle name="Normal 43 56" xfId="9756" xr:uid="{00000000-0005-0000-0000-0000E6450000}"/>
    <cellStyle name="Normal 43 56 2" xfId="21872" xr:uid="{00000000-0005-0000-0000-0000E7450000}"/>
    <cellStyle name="Normal 43 57" xfId="9757" xr:uid="{00000000-0005-0000-0000-0000E8450000}"/>
    <cellStyle name="Normal 43 57 2" xfId="21873" xr:uid="{00000000-0005-0000-0000-0000E9450000}"/>
    <cellStyle name="Normal 43 58" xfId="9758" xr:uid="{00000000-0005-0000-0000-0000EA450000}"/>
    <cellStyle name="Normal 43 58 2" xfId="21874" xr:uid="{00000000-0005-0000-0000-0000EB450000}"/>
    <cellStyle name="Normal 43 59" xfId="9759" xr:uid="{00000000-0005-0000-0000-0000EC450000}"/>
    <cellStyle name="Normal 43 59 2" xfId="21875" xr:uid="{00000000-0005-0000-0000-0000ED450000}"/>
    <cellStyle name="Normal 43 6" xfId="9760" xr:uid="{00000000-0005-0000-0000-0000EE450000}"/>
    <cellStyle name="Normal 43 6 2" xfId="21876" xr:uid="{00000000-0005-0000-0000-0000EF450000}"/>
    <cellStyle name="Normal 43 60" xfId="9761" xr:uid="{00000000-0005-0000-0000-0000F0450000}"/>
    <cellStyle name="Normal 43 60 2" xfId="21877" xr:uid="{00000000-0005-0000-0000-0000F1450000}"/>
    <cellStyle name="Normal 43 61" xfId="9762" xr:uid="{00000000-0005-0000-0000-0000F2450000}"/>
    <cellStyle name="Normal 43 61 2" xfId="21878" xr:uid="{00000000-0005-0000-0000-0000F3450000}"/>
    <cellStyle name="Normal 43 62" xfId="9763" xr:uid="{00000000-0005-0000-0000-0000F4450000}"/>
    <cellStyle name="Normal 43 62 2" xfId="21879" xr:uid="{00000000-0005-0000-0000-0000F5450000}"/>
    <cellStyle name="Normal 43 63" xfId="9764" xr:uid="{00000000-0005-0000-0000-0000F6450000}"/>
    <cellStyle name="Normal 43 63 2" xfId="21880" xr:uid="{00000000-0005-0000-0000-0000F7450000}"/>
    <cellStyle name="Normal 43 64" xfId="9765" xr:uid="{00000000-0005-0000-0000-0000F8450000}"/>
    <cellStyle name="Normal 43 64 2" xfId="21881" xr:uid="{00000000-0005-0000-0000-0000F9450000}"/>
    <cellStyle name="Normal 43 65" xfId="9766" xr:uid="{00000000-0005-0000-0000-0000FA450000}"/>
    <cellStyle name="Normal 43 65 2" xfId="21882" xr:uid="{00000000-0005-0000-0000-0000FB450000}"/>
    <cellStyle name="Normal 43 66" xfId="9767" xr:uid="{00000000-0005-0000-0000-0000FC450000}"/>
    <cellStyle name="Normal 43 66 2" xfId="21883" xr:uid="{00000000-0005-0000-0000-0000FD450000}"/>
    <cellStyle name="Normal 43 67" xfId="9768" xr:uid="{00000000-0005-0000-0000-0000FE450000}"/>
    <cellStyle name="Normal 43 67 2" xfId="21884" xr:uid="{00000000-0005-0000-0000-0000FF450000}"/>
    <cellStyle name="Normal 43 68" xfId="9769" xr:uid="{00000000-0005-0000-0000-000000460000}"/>
    <cellStyle name="Normal 43 68 2" xfId="21885" xr:uid="{00000000-0005-0000-0000-000001460000}"/>
    <cellStyle name="Normal 43 69" xfId="9770" xr:uid="{00000000-0005-0000-0000-000002460000}"/>
    <cellStyle name="Normal 43 69 2" xfId="21886" xr:uid="{00000000-0005-0000-0000-000003460000}"/>
    <cellStyle name="Normal 43 7" xfId="9771" xr:uid="{00000000-0005-0000-0000-000004460000}"/>
    <cellStyle name="Normal 43 7 2" xfId="21887" xr:uid="{00000000-0005-0000-0000-000005460000}"/>
    <cellStyle name="Normal 43 70" xfId="9772" xr:uid="{00000000-0005-0000-0000-000006460000}"/>
    <cellStyle name="Normal 43 70 2" xfId="21888" xr:uid="{00000000-0005-0000-0000-000007460000}"/>
    <cellStyle name="Normal 43 71" xfId="9773" xr:uid="{00000000-0005-0000-0000-000008460000}"/>
    <cellStyle name="Normal 43 71 2" xfId="21889" xr:uid="{00000000-0005-0000-0000-000009460000}"/>
    <cellStyle name="Normal 43 72" xfId="9774" xr:uid="{00000000-0005-0000-0000-00000A460000}"/>
    <cellStyle name="Normal 43 72 2" xfId="21890" xr:uid="{00000000-0005-0000-0000-00000B460000}"/>
    <cellStyle name="Normal 43 73" xfId="9775" xr:uid="{00000000-0005-0000-0000-00000C460000}"/>
    <cellStyle name="Normal 43 73 2" xfId="21891" xr:uid="{00000000-0005-0000-0000-00000D460000}"/>
    <cellStyle name="Normal 43 74" xfId="9776" xr:uid="{00000000-0005-0000-0000-00000E460000}"/>
    <cellStyle name="Normal 43 74 2" xfId="21892" xr:uid="{00000000-0005-0000-0000-00000F460000}"/>
    <cellStyle name="Normal 43 75" xfId="9777" xr:uid="{00000000-0005-0000-0000-000010460000}"/>
    <cellStyle name="Normal 43 75 2" xfId="21893" xr:uid="{00000000-0005-0000-0000-000011460000}"/>
    <cellStyle name="Normal 43 76" xfId="9778" xr:uid="{00000000-0005-0000-0000-000012460000}"/>
    <cellStyle name="Normal 43 76 2" xfId="21894" xr:uid="{00000000-0005-0000-0000-000013460000}"/>
    <cellStyle name="Normal 43 77" xfId="9779" xr:uid="{00000000-0005-0000-0000-000014460000}"/>
    <cellStyle name="Normal 43 77 2" xfId="21895" xr:uid="{00000000-0005-0000-0000-000015460000}"/>
    <cellStyle name="Normal 43 78" xfId="9780" xr:uid="{00000000-0005-0000-0000-000016460000}"/>
    <cellStyle name="Normal 43 78 2" xfId="21896" xr:uid="{00000000-0005-0000-0000-000017460000}"/>
    <cellStyle name="Normal 43 79" xfId="9781" xr:uid="{00000000-0005-0000-0000-000018460000}"/>
    <cellStyle name="Normal 43 79 2" xfId="21897" xr:uid="{00000000-0005-0000-0000-000019460000}"/>
    <cellStyle name="Normal 43 8" xfId="9782" xr:uid="{00000000-0005-0000-0000-00001A460000}"/>
    <cellStyle name="Normal 43 8 2" xfId="21898" xr:uid="{00000000-0005-0000-0000-00001B460000}"/>
    <cellStyle name="Normal 43 80" xfId="21821" xr:uid="{00000000-0005-0000-0000-00001C460000}"/>
    <cellStyle name="Normal 43 9" xfId="9783" xr:uid="{00000000-0005-0000-0000-00001D460000}"/>
    <cellStyle name="Normal 43 9 2" xfId="21899" xr:uid="{00000000-0005-0000-0000-00001E460000}"/>
    <cellStyle name="Normal 44" xfId="151" xr:uid="{00000000-0005-0000-0000-00001F460000}"/>
    <cellStyle name="Normal 44 10" xfId="9784" xr:uid="{00000000-0005-0000-0000-000020460000}"/>
    <cellStyle name="Normal 44 10 2" xfId="21901" xr:uid="{00000000-0005-0000-0000-000021460000}"/>
    <cellStyle name="Normal 44 11" xfId="9785" xr:uid="{00000000-0005-0000-0000-000022460000}"/>
    <cellStyle name="Normal 44 11 2" xfId="21902" xr:uid="{00000000-0005-0000-0000-000023460000}"/>
    <cellStyle name="Normal 44 12" xfId="9786" xr:uid="{00000000-0005-0000-0000-000024460000}"/>
    <cellStyle name="Normal 44 12 2" xfId="21903" xr:uid="{00000000-0005-0000-0000-000025460000}"/>
    <cellStyle name="Normal 44 13" xfId="9787" xr:uid="{00000000-0005-0000-0000-000026460000}"/>
    <cellStyle name="Normal 44 13 2" xfId="21904" xr:uid="{00000000-0005-0000-0000-000027460000}"/>
    <cellStyle name="Normal 44 14" xfId="9788" xr:uid="{00000000-0005-0000-0000-000028460000}"/>
    <cellStyle name="Normal 44 14 2" xfId="21905" xr:uid="{00000000-0005-0000-0000-000029460000}"/>
    <cellStyle name="Normal 44 15" xfId="9789" xr:uid="{00000000-0005-0000-0000-00002A460000}"/>
    <cellStyle name="Normal 44 15 2" xfId="21906" xr:uid="{00000000-0005-0000-0000-00002B460000}"/>
    <cellStyle name="Normal 44 16" xfId="9790" xr:uid="{00000000-0005-0000-0000-00002C460000}"/>
    <cellStyle name="Normal 44 16 2" xfId="21907" xr:uid="{00000000-0005-0000-0000-00002D460000}"/>
    <cellStyle name="Normal 44 17" xfId="9791" xr:uid="{00000000-0005-0000-0000-00002E460000}"/>
    <cellStyle name="Normal 44 17 2" xfId="21908" xr:uid="{00000000-0005-0000-0000-00002F460000}"/>
    <cellStyle name="Normal 44 18" xfId="9792" xr:uid="{00000000-0005-0000-0000-000030460000}"/>
    <cellStyle name="Normal 44 18 2" xfId="21909" xr:uid="{00000000-0005-0000-0000-000031460000}"/>
    <cellStyle name="Normal 44 19" xfId="9793" xr:uid="{00000000-0005-0000-0000-000032460000}"/>
    <cellStyle name="Normal 44 19 2" xfId="21910" xr:uid="{00000000-0005-0000-0000-000033460000}"/>
    <cellStyle name="Normal 44 2" xfId="174" xr:uid="{00000000-0005-0000-0000-000034460000}"/>
    <cellStyle name="Normal 44 2 2" xfId="21911" xr:uid="{00000000-0005-0000-0000-000035460000}"/>
    <cellStyle name="Normal 44 2 3" xfId="9794" xr:uid="{00000000-0005-0000-0000-000036460000}"/>
    <cellStyle name="Normal 44 20" xfId="9795" xr:uid="{00000000-0005-0000-0000-000037460000}"/>
    <cellStyle name="Normal 44 20 2" xfId="21912" xr:uid="{00000000-0005-0000-0000-000038460000}"/>
    <cellStyle name="Normal 44 21" xfId="9796" xr:uid="{00000000-0005-0000-0000-000039460000}"/>
    <cellStyle name="Normal 44 21 2" xfId="21913" xr:uid="{00000000-0005-0000-0000-00003A460000}"/>
    <cellStyle name="Normal 44 22" xfId="9797" xr:uid="{00000000-0005-0000-0000-00003B460000}"/>
    <cellStyle name="Normal 44 22 2" xfId="21914" xr:uid="{00000000-0005-0000-0000-00003C460000}"/>
    <cellStyle name="Normal 44 23" xfId="9798" xr:uid="{00000000-0005-0000-0000-00003D460000}"/>
    <cellStyle name="Normal 44 23 2" xfId="21915" xr:uid="{00000000-0005-0000-0000-00003E460000}"/>
    <cellStyle name="Normal 44 24" xfId="9799" xr:uid="{00000000-0005-0000-0000-00003F460000}"/>
    <cellStyle name="Normal 44 24 2" xfId="21916" xr:uid="{00000000-0005-0000-0000-000040460000}"/>
    <cellStyle name="Normal 44 25" xfId="9800" xr:uid="{00000000-0005-0000-0000-000041460000}"/>
    <cellStyle name="Normal 44 25 2" xfId="21917" xr:uid="{00000000-0005-0000-0000-000042460000}"/>
    <cellStyle name="Normal 44 26" xfId="9801" xr:uid="{00000000-0005-0000-0000-000043460000}"/>
    <cellStyle name="Normal 44 26 2" xfId="21918" xr:uid="{00000000-0005-0000-0000-000044460000}"/>
    <cellStyle name="Normal 44 27" xfId="9802" xr:uid="{00000000-0005-0000-0000-000045460000}"/>
    <cellStyle name="Normal 44 27 2" xfId="21919" xr:uid="{00000000-0005-0000-0000-000046460000}"/>
    <cellStyle name="Normal 44 28" xfId="9803" xr:uid="{00000000-0005-0000-0000-000047460000}"/>
    <cellStyle name="Normal 44 28 2" xfId="21920" xr:uid="{00000000-0005-0000-0000-000048460000}"/>
    <cellStyle name="Normal 44 29" xfId="9804" xr:uid="{00000000-0005-0000-0000-000049460000}"/>
    <cellStyle name="Normal 44 29 2" xfId="21921" xr:uid="{00000000-0005-0000-0000-00004A460000}"/>
    <cellStyle name="Normal 44 3" xfId="732" xr:uid="{00000000-0005-0000-0000-00004B460000}"/>
    <cellStyle name="Normal 44 3 2" xfId="21922" xr:uid="{00000000-0005-0000-0000-00004C460000}"/>
    <cellStyle name="Normal 44 3 3" xfId="9805" xr:uid="{00000000-0005-0000-0000-00004D460000}"/>
    <cellStyle name="Normal 44 30" xfId="9806" xr:uid="{00000000-0005-0000-0000-00004E460000}"/>
    <cellStyle name="Normal 44 30 2" xfId="21923" xr:uid="{00000000-0005-0000-0000-00004F460000}"/>
    <cellStyle name="Normal 44 31" xfId="9807" xr:uid="{00000000-0005-0000-0000-000050460000}"/>
    <cellStyle name="Normal 44 31 2" xfId="21924" xr:uid="{00000000-0005-0000-0000-000051460000}"/>
    <cellStyle name="Normal 44 32" xfId="9808" xr:uid="{00000000-0005-0000-0000-000052460000}"/>
    <cellStyle name="Normal 44 32 2" xfId="21925" xr:uid="{00000000-0005-0000-0000-000053460000}"/>
    <cellStyle name="Normal 44 33" xfId="9809" xr:uid="{00000000-0005-0000-0000-000054460000}"/>
    <cellStyle name="Normal 44 33 2" xfId="21926" xr:uid="{00000000-0005-0000-0000-000055460000}"/>
    <cellStyle name="Normal 44 34" xfId="9810" xr:uid="{00000000-0005-0000-0000-000056460000}"/>
    <cellStyle name="Normal 44 34 2" xfId="21927" xr:uid="{00000000-0005-0000-0000-000057460000}"/>
    <cellStyle name="Normal 44 35" xfId="9811" xr:uid="{00000000-0005-0000-0000-000058460000}"/>
    <cellStyle name="Normal 44 35 2" xfId="21928" xr:uid="{00000000-0005-0000-0000-000059460000}"/>
    <cellStyle name="Normal 44 36" xfId="9812" xr:uid="{00000000-0005-0000-0000-00005A460000}"/>
    <cellStyle name="Normal 44 36 2" xfId="21929" xr:uid="{00000000-0005-0000-0000-00005B460000}"/>
    <cellStyle name="Normal 44 37" xfId="9813" xr:uid="{00000000-0005-0000-0000-00005C460000}"/>
    <cellStyle name="Normal 44 37 2" xfId="21930" xr:uid="{00000000-0005-0000-0000-00005D460000}"/>
    <cellStyle name="Normal 44 38" xfId="9814" xr:uid="{00000000-0005-0000-0000-00005E460000}"/>
    <cellStyle name="Normal 44 38 2" xfId="21931" xr:uid="{00000000-0005-0000-0000-00005F460000}"/>
    <cellStyle name="Normal 44 39" xfId="9815" xr:uid="{00000000-0005-0000-0000-000060460000}"/>
    <cellStyle name="Normal 44 39 2" xfId="21932" xr:uid="{00000000-0005-0000-0000-000061460000}"/>
    <cellStyle name="Normal 44 4" xfId="328" xr:uid="{00000000-0005-0000-0000-000062460000}"/>
    <cellStyle name="Normal 44 4 2" xfId="21933" xr:uid="{00000000-0005-0000-0000-000063460000}"/>
    <cellStyle name="Normal 44 40" xfId="9816" xr:uid="{00000000-0005-0000-0000-000064460000}"/>
    <cellStyle name="Normal 44 40 2" xfId="21934" xr:uid="{00000000-0005-0000-0000-000065460000}"/>
    <cellStyle name="Normal 44 41" xfId="9817" xr:uid="{00000000-0005-0000-0000-000066460000}"/>
    <cellStyle name="Normal 44 41 2" xfId="21935" xr:uid="{00000000-0005-0000-0000-000067460000}"/>
    <cellStyle name="Normal 44 42" xfId="9818" xr:uid="{00000000-0005-0000-0000-000068460000}"/>
    <cellStyle name="Normal 44 42 2" xfId="21936" xr:uid="{00000000-0005-0000-0000-000069460000}"/>
    <cellStyle name="Normal 44 43" xfId="9819" xr:uid="{00000000-0005-0000-0000-00006A460000}"/>
    <cellStyle name="Normal 44 43 2" xfId="21937" xr:uid="{00000000-0005-0000-0000-00006B460000}"/>
    <cellStyle name="Normal 44 44" xfId="9820" xr:uid="{00000000-0005-0000-0000-00006C460000}"/>
    <cellStyle name="Normal 44 44 2" xfId="21938" xr:uid="{00000000-0005-0000-0000-00006D460000}"/>
    <cellStyle name="Normal 44 45" xfId="9821" xr:uid="{00000000-0005-0000-0000-00006E460000}"/>
    <cellStyle name="Normal 44 45 2" xfId="21939" xr:uid="{00000000-0005-0000-0000-00006F460000}"/>
    <cellStyle name="Normal 44 46" xfId="9822" xr:uid="{00000000-0005-0000-0000-000070460000}"/>
    <cellStyle name="Normal 44 46 2" xfId="21940" xr:uid="{00000000-0005-0000-0000-000071460000}"/>
    <cellStyle name="Normal 44 47" xfId="9823" xr:uid="{00000000-0005-0000-0000-000072460000}"/>
    <cellStyle name="Normal 44 47 2" xfId="21941" xr:uid="{00000000-0005-0000-0000-000073460000}"/>
    <cellStyle name="Normal 44 48" xfId="9824" xr:uid="{00000000-0005-0000-0000-000074460000}"/>
    <cellStyle name="Normal 44 48 2" xfId="21942" xr:uid="{00000000-0005-0000-0000-000075460000}"/>
    <cellStyle name="Normal 44 49" xfId="9825" xr:uid="{00000000-0005-0000-0000-000076460000}"/>
    <cellStyle name="Normal 44 49 2" xfId="21943" xr:uid="{00000000-0005-0000-0000-000077460000}"/>
    <cellStyle name="Normal 44 5" xfId="9826" xr:uid="{00000000-0005-0000-0000-000078460000}"/>
    <cellStyle name="Normal 44 5 2" xfId="21944" xr:uid="{00000000-0005-0000-0000-000079460000}"/>
    <cellStyle name="Normal 44 50" xfId="9827" xr:uid="{00000000-0005-0000-0000-00007A460000}"/>
    <cellStyle name="Normal 44 50 2" xfId="21945" xr:uid="{00000000-0005-0000-0000-00007B460000}"/>
    <cellStyle name="Normal 44 51" xfId="9828" xr:uid="{00000000-0005-0000-0000-00007C460000}"/>
    <cellStyle name="Normal 44 51 2" xfId="21946" xr:uid="{00000000-0005-0000-0000-00007D460000}"/>
    <cellStyle name="Normal 44 52" xfId="9829" xr:uid="{00000000-0005-0000-0000-00007E460000}"/>
    <cellStyle name="Normal 44 52 2" xfId="21947" xr:uid="{00000000-0005-0000-0000-00007F460000}"/>
    <cellStyle name="Normal 44 53" xfId="9830" xr:uid="{00000000-0005-0000-0000-000080460000}"/>
    <cellStyle name="Normal 44 53 2" xfId="21948" xr:uid="{00000000-0005-0000-0000-000081460000}"/>
    <cellStyle name="Normal 44 54" xfId="9831" xr:uid="{00000000-0005-0000-0000-000082460000}"/>
    <cellStyle name="Normal 44 54 2" xfId="21949" xr:uid="{00000000-0005-0000-0000-000083460000}"/>
    <cellStyle name="Normal 44 55" xfId="9832" xr:uid="{00000000-0005-0000-0000-000084460000}"/>
    <cellStyle name="Normal 44 55 2" xfId="21950" xr:uid="{00000000-0005-0000-0000-000085460000}"/>
    <cellStyle name="Normal 44 56" xfId="9833" xr:uid="{00000000-0005-0000-0000-000086460000}"/>
    <cellStyle name="Normal 44 56 2" xfId="21951" xr:uid="{00000000-0005-0000-0000-000087460000}"/>
    <cellStyle name="Normal 44 57" xfId="9834" xr:uid="{00000000-0005-0000-0000-000088460000}"/>
    <cellStyle name="Normal 44 57 2" xfId="21952" xr:uid="{00000000-0005-0000-0000-000089460000}"/>
    <cellStyle name="Normal 44 58" xfId="9835" xr:uid="{00000000-0005-0000-0000-00008A460000}"/>
    <cellStyle name="Normal 44 58 2" xfId="21953" xr:uid="{00000000-0005-0000-0000-00008B460000}"/>
    <cellStyle name="Normal 44 59" xfId="9836" xr:uid="{00000000-0005-0000-0000-00008C460000}"/>
    <cellStyle name="Normal 44 59 2" xfId="21954" xr:uid="{00000000-0005-0000-0000-00008D460000}"/>
    <cellStyle name="Normal 44 6" xfId="9837" xr:uid="{00000000-0005-0000-0000-00008E460000}"/>
    <cellStyle name="Normal 44 6 2" xfId="21955" xr:uid="{00000000-0005-0000-0000-00008F460000}"/>
    <cellStyle name="Normal 44 60" xfId="9838" xr:uid="{00000000-0005-0000-0000-000090460000}"/>
    <cellStyle name="Normal 44 60 2" xfId="21956" xr:uid="{00000000-0005-0000-0000-000091460000}"/>
    <cellStyle name="Normal 44 61" xfId="9839" xr:uid="{00000000-0005-0000-0000-000092460000}"/>
    <cellStyle name="Normal 44 61 2" xfId="21957" xr:uid="{00000000-0005-0000-0000-000093460000}"/>
    <cellStyle name="Normal 44 62" xfId="9840" xr:uid="{00000000-0005-0000-0000-000094460000}"/>
    <cellStyle name="Normal 44 62 2" xfId="21958" xr:uid="{00000000-0005-0000-0000-000095460000}"/>
    <cellStyle name="Normal 44 63" xfId="9841" xr:uid="{00000000-0005-0000-0000-000096460000}"/>
    <cellStyle name="Normal 44 63 2" xfId="21959" xr:uid="{00000000-0005-0000-0000-000097460000}"/>
    <cellStyle name="Normal 44 64" xfId="9842" xr:uid="{00000000-0005-0000-0000-000098460000}"/>
    <cellStyle name="Normal 44 64 2" xfId="21960" xr:uid="{00000000-0005-0000-0000-000099460000}"/>
    <cellStyle name="Normal 44 65" xfId="9843" xr:uid="{00000000-0005-0000-0000-00009A460000}"/>
    <cellStyle name="Normal 44 65 2" xfId="21961" xr:uid="{00000000-0005-0000-0000-00009B460000}"/>
    <cellStyle name="Normal 44 66" xfId="9844" xr:uid="{00000000-0005-0000-0000-00009C460000}"/>
    <cellStyle name="Normal 44 66 2" xfId="21962" xr:uid="{00000000-0005-0000-0000-00009D460000}"/>
    <cellStyle name="Normal 44 67" xfId="9845" xr:uid="{00000000-0005-0000-0000-00009E460000}"/>
    <cellStyle name="Normal 44 67 2" xfId="21963" xr:uid="{00000000-0005-0000-0000-00009F460000}"/>
    <cellStyle name="Normal 44 68" xfId="9846" xr:uid="{00000000-0005-0000-0000-0000A0460000}"/>
    <cellStyle name="Normal 44 68 2" xfId="21964" xr:uid="{00000000-0005-0000-0000-0000A1460000}"/>
    <cellStyle name="Normal 44 69" xfId="9847" xr:uid="{00000000-0005-0000-0000-0000A2460000}"/>
    <cellStyle name="Normal 44 69 2" xfId="21965" xr:uid="{00000000-0005-0000-0000-0000A3460000}"/>
    <cellStyle name="Normal 44 7" xfId="9848" xr:uid="{00000000-0005-0000-0000-0000A4460000}"/>
    <cellStyle name="Normal 44 7 2" xfId="21966" xr:uid="{00000000-0005-0000-0000-0000A5460000}"/>
    <cellStyle name="Normal 44 70" xfId="9849" xr:uid="{00000000-0005-0000-0000-0000A6460000}"/>
    <cellStyle name="Normal 44 70 2" xfId="21967" xr:uid="{00000000-0005-0000-0000-0000A7460000}"/>
    <cellStyle name="Normal 44 71" xfId="9850" xr:uid="{00000000-0005-0000-0000-0000A8460000}"/>
    <cellStyle name="Normal 44 71 2" xfId="21968" xr:uid="{00000000-0005-0000-0000-0000A9460000}"/>
    <cellStyle name="Normal 44 72" xfId="9851" xr:uid="{00000000-0005-0000-0000-0000AA460000}"/>
    <cellStyle name="Normal 44 72 2" xfId="21969" xr:uid="{00000000-0005-0000-0000-0000AB460000}"/>
    <cellStyle name="Normal 44 73" xfId="9852" xr:uid="{00000000-0005-0000-0000-0000AC460000}"/>
    <cellStyle name="Normal 44 73 2" xfId="21970" xr:uid="{00000000-0005-0000-0000-0000AD460000}"/>
    <cellStyle name="Normal 44 74" xfId="9853" xr:uid="{00000000-0005-0000-0000-0000AE460000}"/>
    <cellStyle name="Normal 44 74 2" xfId="21971" xr:uid="{00000000-0005-0000-0000-0000AF460000}"/>
    <cellStyle name="Normal 44 75" xfId="9854" xr:uid="{00000000-0005-0000-0000-0000B0460000}"/>
    <cellStyle name="Normal 44 75 2" xfId="21972" xr:uid="{00000000-0005-0000-0000-0000B1460000}"/>
    <cellStyle name="Normal 44 76" xfId="9855" xr:uid="{00000000-0005-0000-0000-0000B2460000}"/>
    <cellStyle name="Normal 44 76 2" xfId="21973" xr:uid="{00000000-0005-0000-0000-0000B3460000}"/>
    <cellStyle name="Normal 44 77" xfId="9856" xr:uid="{00000000-0005-0000-0000-0000B4460000}"/>
    <cellStyle name="Normal 44 77 2" xfId="21974" xr:uid="{00000000-0005-0000-0000-0000B5460000}"/>
    <cellStyle name="Normal 44 78" xfId="9857" xr:uid="{00000000-0005-0000-0000-0000B6460000}"/>
    <cellStyle name="Normal 44 78 2" xfId="21975" xr:uid="{00000000-0005-0000-0000-0000B7460000}"/>
    <cellStyle name="Normal 44 79" xfId="9858" xr:uid="{00000000-0005-0000-0000-0000B8460000}"/>
    <cellStyle name="Normal 44 79 2" xfId="21976" xr:uid="{00000000-0005-0000-0000-0000B9460000}"/>
    <cellStyle name="Normal 44 8" xfId="9859" xr:uid="{00000000-0005-0000-0000-0000BA460000}"/>
    <cellStyle name="Normal 44 8 2" xfId="21977" xr:uid="{00000000-0005-0000-0000-0000BB460000}"/>
    <cellStyle name="Normal 44 80" xfId="21900" xr:uid="{00000000-0005-0000-0000-0000BC460000}"/>
    <cellStyle name="Normal 44 9" xfId="9860" xr:uid="{00000000-0005-0000-0000-0000BD460000}"/>
    <cellStyle name="Normal 44 9 2" xfId="21978" xr:uid="{00000000-0005-0000-0000-0000BE460000}"/>
    <cellStyle name="Normal 45" xfId="152" xr:uid="{00000000-0005-0000-0000-0000BF460000}"/>
    <cellStyle name="Normal 45 10" xfId="9862" xr:uid="{00000000-0005-0000-0000-0000C0460000}"/>
    <cellStyle name="Normal 45 10 2" xfId="21979" xr:uid="{00000000-0005-0000-0000-0000C1460000}"/>
    <cellStyle name="Normal 45 11" xfId="9863" xr:uid="{00000000-0005-0000-0000-0000C2460000}"/>
    <cellStyle name="Normal 45 11 2" xfId="21980" xr:uid="{00000000-0005-0000-0000-0000C3460000}"/>
    <cellStyle name="Normal 45 12" xfId="9864" xr:uid="{00000000-0005-0000-0000-0000C4460000}"/>
    <cellStyle name="Normal 45 12 2" xfId="21981" xr:uid="{00000000-0005-0000-0000-0000C5460000}"/>
    <cellStyle name="Normal 45 13" xfId="9865" xr:uid="{00000000-0005-0000-0000-0000C6460000}"/>
    <cellStyle name="Normal 45 13 2" xfId="21982" xr:uid="{00000000-0005-0000-0000-0000C7460000}"/>
    <cellStyle name="Normal 45 14" xfId="9866" xr:uid="{00000000-0005-0000-0000-0000C8460000}"/>
    <cellStyle name="Normal 45 14 2" xfId="21983" xr:uid="{00000000-0005-0000-0000-0000C9460000}"/>
    <cellStyle name="Normal 45 15" xfId="9867" xr:uid="{00000000-0005-0000-0000-0000CA460000}"/>
    <cellStyle name="Normal 45 15 2" xfId="21984" xr:uid="{00000000-0005-0000-0000-0000CB460000}"/>
    <cellStyle name="Normal 45 16" xfId="9868" xr:uid="{00000000-0005-0000-0000-0000CC460000}"/>
    <cellStyle name="Normal 45 16 2" xfId="21985" xr:uid="{00000000-0005-0000-0000-0000CD460000}"/>
    <cellStyle name="Normal 45 17" xfId="9869" xr:uid="{00000000-0005-0000-0000-0000CE460000}"/>
    <cellStyle name="Normal 45 17 2" xfId="21986" xr:uid="{00000000-0005-0000-0000-0000CF460000}"/>
    <cellStyle name="Normal 45 18" xfId="9870" xr:uid="{00000000-0005-0000-0000-0000D0460000}"/>
    <cellStyle name="Normal 45 18 2" xfId="21987" xr:uid="{00000000-0005-0000-0000-0000D1460000}"/>
    <cellStyle name="Normal 45 19" xfId="9871" xr:uid="{00000000-0005-0000-0000-0000D2460000}"/>
    <cellStyle name="Normal 45 19 2" xfId="21988" xr:uid="{00000000-0005-0000-0000-0000D3460000}"/>
    <cellStyle name="Normal 45 2" xfId="175" xr:uid="{00000000-0005-0000-0000-0000D4460000}"/>
    <cellStyle name="Normal 45 2 2" xfId="21989" xr:uid="{00000000-0005-0000-0000-0000D5460000}"/>
    <cellStyle name="Normal 45 2 3" xfId="9872" xr:uid="{00000000-0005-0000-0000-0000D6460000}"/>
    <cellStyle name="Normal 45 20" xfId="9873" xr:uid="{00000000-0005-0000-0000-0000D7460000}"/>
    <cellStyle name="Normal 45 20 2" xfId="21990" xr:uid="{00000000-0005-0000-0000-0000D8460000}"/>
    <cellStyle name="Normal 45 21" xfId="9874" xr:uid="{00000000-0005-0000-0000-0000D9460000}"/>
    <cellStyle name="Normal 45 21 2" xfId="21991" xr:uid="{00000000-0005-0000-0000-0000DA460000}"/>
    <cellStyle name="Normal 45 22" xfId="9875" xr:uid="{00000000-0005-0000-0000-0000DB460000}"/>
    <cellStyle name="Normal 45 22 2" xfId="21992" xr:uid="{00000000-0005-0000-0000-0000DC460000}"/>
    <cellStyle name="Normal 45 23" xfId="9876" xr:uid="{00000000-0005-0000-0000-0000DD460000}"/>
    <cellStyle name="Normal 45 23 2" xfId="21993" xr:uid="{00000000-0005-0000-0000-0000DE460000}"/>
    <cellStyle name="Normal 45 24" xfId="9877" xr:uid="{00000000-0005-0000-0000-0000DF460000}"/>
    <cellStyle name="Normal 45 24 2" xfId="21994" xr:uid="{00000000-0005-0000-0000-0000E0460000}"/>
    <cellStyle name="Normal 45 25" xfId="9878" xr:uid="{00000000-0005-0000-0000-0000E1460000}"/>
    <cellStyle name="Normal 45 25 2" xfId="21995" xr:uid="{00000000-0005-0000-0000-0000E2460000}"/>
    <cellStyle name="Normal 45 26" xfId="9879" xr:uid="{00000000-0005-0000-0000-0000E3460000}"/>
    <cellStyle name="Normal 45 26 2" xfId="21996" xr:uid="{00000000-0005-0000-0000-0000E4460000}"/>
    <cellStyle name="Normal 45 27" xfId="9880" xr:uid="{00000000-0005-0000-0000-0000E5460000}"/>
    <cellStyle name="Normal 45 27 2" xfId="21997" xr:uid="{00000000-0005-0000-0000-0000E6460000}"/>
    <cellStyle name="Normal 45 28" xfId="9881" xr:uid="{00000000-0005-0000-0000-0000E7460000}"/>
    <cellStyle name="Normal 45 28 2" xfId="21998" xr:uid="{00000000-0005-0000-0000-0000E8460000}"/>
    <cellStyle name="Normal 45 29" xfId="9882" xr:uid="{00000000-0005-0000-0000-0000E9460000}"/>
    <cellStyle name="Normal 45 29 2" xfId="21999" xr:uid="{00000000-0005-0000-0000-0000EA460000}"/>
    <cellStyle name="Normal 45 3" xfId="733" xr:uid="{00000000-0005-0000-0000-0000EB460000}"/>
    <cellStyle name="Normal 45 3 2" xfId="22000" xr:uid="{00000000-0005-0000-0000-0000EC460000}"/>
    <cellStyle name="Normal 45 3 3" xfId="9883" xr:uid="{00000000-0005-0000-0000-0000ED460000}"/>
    <cellStyle name="Normal 45 30" xfId="9884" xr:uid="{00000000-0005-0000-0000-0000EE460000}"/>
    <cellStyle name="Normal 45 30 2" xfId="22001" xr:uid="{00000000-0005-0000-0000-0000EF460000}"/>
    <cellStyle name="Normal 45 31" xfId="9885" xr:uid="{00000000-0005-0000-0000-0000F0460000}"/>
    <cellStyle name="Normal 45 31 2" xfId="22002" xr:uid="{00000000-0005-0000-0000-0000F1460000}"/>
    <cellStyle name="Normal 45 32" xfId="9886" xr:uid="{00000000-0005-0000-0000-0000F2460000}"/>
    <cellStyle name="Normal 45 32 2" xfId="22003" xr:uid="{00000000-0005-0000-0000-0000F3460000}"/>
    <cellStyle name="Normal 45 33" xfId="9887" xr:uid="{00000000-0005-0000-0000-0000F4460000}"/>
    <cellStyle name="Normal 45 33 2" xfId="22004" xr:uid="{00000000-0005-0000-0000-0000F5460000}"/>
    <cellStyle name="Normal 45 34" xfId="9888" xr:uid="{00000000-0005-0000-0000-0000F6460000}"/>
    <cellStyle name="Normal 45 34 2" xfId="22005" xr:uid="{00000000-0005-0000-0000-0000F7460000}"/>
    <cellStyle name="Normal 45 35" xfId="9889" xr:uid="{00000000-0005-0000-0000-0000F8460000}"/>
    <cellStyle name="Normal 45 35 2" xfId="22006" xr:uid="{00000000-0005-0000-0000-0000F9460000}"/>
    <cellStyle name="Normal 45 36" xfId="9890" xr:uid="{00000000-0005-0000-0000-0000FA460000}"/>
    <cellStyle name="Normal 45 36 2" xfId="22007" xr:uid="{00000000-0005-0000-0000-0000FB460000}"/>
    <cellStyle name="Normal 45 37" xfId="9891" xr:uid="{00000000-0005-0000-0000-0000FC460000}"/>
    <cellStyle name="Normal 45 37 2" xfId="22008" xr:uid="{00000000-0005-0000-0000-0000FD460000}"/>
    <cellStyle name="Normal 45 38" xfId="9892" xr:uid="{00000000-0005-0000-0000-0000FE460000}"/>
    <cellStyle name="Normal 45 38 2" xfId="22009" xr:uid="{00000000-0005-0000-0000-0000FF460000}"/>
    <cellStyle name="Normal 45 39" xfId="9893" xr:uid="{00000000-0005-0000-0000-000000470000}"/>
    <cellStyle name="Normal 45 39 2" xfId="22010" xr:uid="{00000000-0005-0000-0000-000001470000}"/>
    <cellStyle name="Normal 45 4" xfId="367" xr:uid="{00000000-0005-0000-0000-000002470000}"/>
    <cellStyle name="Normal 45 4 2" xfId="22011" xr:uid="{00000000-0005-0000-0000-000003470000}"/>
    <cellStyle name="Normal 45 40" xfId="9894" xr:uid="{00000000-0005-0000-0000-000004470000}"/>
    <cellStyle name="Normal 45 40 2" xfId="22012" xr:uid="{00000000-0005-0000-0000-000005470000}"/>
    <cellStyle name="Normal 45 41" xfId="9895" xr:uid="{00000000-0005-0000-0000-000006470000}"/>
    <cellStyle name="Normal 45 41 2" xfId="22013" xr:uid="{00000000-0005-0000-0000-000007470000}"/>
    <cellStyle name="Normal 45 42" xfId="9896" xr:uid="{00000000-0005-0000-0000-000008470000}"/>
    <cellStyle name="Normal 45 42 2" xfId="22014" xr:uid="{00000000-0005-0000-0000-000009470000}"/>
    <cellStyle name="Normal 45 43" xfId="9897" xr:uid="{00000000-0005-0000-0000-00000A470000}"/>
    <cellStyle name="Normal 45 43 2" xfId="22015" xr:uid="{00000000-0005-0000-0000-00000B470000}"/>
    <cellStyle name="Normal 45 44" xfId="9898" xr:uid="{00000000-0005-0000-0000-00000C470000}"/>
    <cellStyle name="Normal 45 44 2" xfId="22016" xr:uid="{00000000-0005-0000-0000-00000D470000}"/>
    <cellStyle name="Normal 45 45" xfId="9899" xr:uid="{00000000-0005-0000-0000-00000E470000}"/>
    <cellStyle name="Normal 45 45 2" xfId="22017" xr:uid="{00000000-0005-0000-0000-00000F470000}"/>
    <cellStyle name="Normal 45 46" xfId="9900" xr:uid="{00000000-0005-0000-0000-000010470000}"/>
    <cellStyle name="Normal 45 46 2" xfId="22018" xr:uid="{00000000-0005-0000-0000-000011470000}"/>
    <cellStyle name="Normal 45 47" xfId="9901" xr:uid="{00000000-0005-0000-0000-000012470000}"/>
    <cellStyle name="Normal 45 47 2" xfId="22019" xr:uid="{00000000-0005-0000-0000-000013470000}"/>
    <cellStyle name="Normal 45 48" xfId="9902" xr:uid="{00000000-0005-0000-0000-000014470000}"/>
    <cellStyle name="Normal 45 48 2" xfId="22020" xr:uid="{00000000-0005-0000-0000-000015470000}"/>
    <cellStyle name="Normal 45 49" xfId="9903" xr:uid="{00000000-0005-0000-0000-000016470000}"/>
    <cellStyle name="Normal 45 49 2" xfId="22021" xr:uid="{00000000-0005-0000-0000-000017470000}"/>
    <cellStyle name="Normal 45 5" xfId="9904" xr:uid="{00000000-0005-0000-0000-000018470000}"/>
    <cellStyle name="Normal 45 5 2" xfId="22022" xr:uid="{00000000-0005-0000-0000-000019470000}"/>
    <cellStyle name="Normal 45 50" xfId="9905" xr:uid="{00000000-0005-0000-0000-00001A470000}"/>
    <cellStyle name="Normal 45 50 2" xfId="22023" xr:uid="{00000000-0005-0000-0000-00001B470000}"/>
    <cellStyle name="Normal 45 51" xfId="9906" xr:uid="{00000000-0005-0000-0000-00001C470000}"/>
    <cellStyle name="Normal 45 51 2" xfId="22024" xr:uid="{00000000-0005-0000-0000-00001D470000}"/>
    <cellStyle name="Normal 45 52" xfId="9907" xr:uid="{00000000-0005-0000-0000-00001E470000}"/>
    <cellStyle name="Normal 45 52 2" xfId="22025" xr:uid="{00000000-0005-0000-0000-00001F470000}"/>
    <cellStyle name="Normal 45 53" xfId="9908" xr:uid="{00000000-0005-0000-0000-000020470000}"/>
    <cellStyle name="Normal 45 53 2" xfId="22026" xr:uid="{00000000-0005-0000-0000-000021470000}"/>
    <cellStyle name="Normal 45 54" xfId="9909" xr:uid="{00000000-0005-0000-0000-000022470000}"/>
    <cellStyle name="Normal 45 54 2" xfId="22027" xr:uid="{00000000-0005-0000-0000-000023470000}"/>
    <cellStyle name="Normal 45 55" xfId="9910" xr:uid="{00000000-0005-0000-0000-000024470000}"/>
    <cellStyle name="Normal 45 55 2" xfId="22028" xr:uid="{00000000-0005-0000-0000-000025470000}"/>
    <cellStyle name="Normal 45 56" xfId="9911" xr:uid="{00000000-0005-0000-0000-000026470000}"/>
    <cellStyle name="Normal 45 56 2" xfId="22029" xr:uid="{00000000-0005-0000-0000-000027470000}"/>
    <cellStyle name="Normal 45 57" xfId="9912" xr:uid="{00000000-0005-0000-0000-000028470000}"/>
    <cellStyle name="Normal 45 57 2" xfId="22030" xr:uid="{00000000-0005-0000-0000-000029470000}"/>
    <cellStyle name="Normal 45 58" xfId="9913" xr:uid="{00000000-0005-0000-0000-00002A470000}"/>
    <cellStyle name="Normal 45 58 2" xfId="22031" xr:uid="{00000000-0005-0000-0000-00002B470000}"/>
    <cellStyle name="Normal 45 59" xfId="9914" xr:uid="{00000000-0005-0000-0000-00002C470000}"/>
    <cellStyle name="Normal 45 59 2" xfId="22032" xr:uid="{00000000-0005-0000-0000-00002D470000}"/>
    <cellStyle name="Normal 45 6" xfId="9915" xr:uid="{00000000-0005-0000-0000-00002E470000}"/>
    <cellStyle name="Normal 45 6 2" xfId="22033" xr:uid="{00000000-0005-0000-0000-00002F470000}"/>
    <cellStyle name="Normal 45 60" xfId="9916" xr:uid="{00000000-0005-0000-0000-000030470000}"/>
    <cellStyle name="Normal 45 60 2" xfId="22034" xr:uid="{00000000-0005-0000-0000-000031470000}"/>
    <cellStyle name="Normal 45 61" xfId="9917" xr:uid="{00000000-0005-0000-0000-000032470000}"/>
    <cellStyle name="Normal 45 61 2" xfId="22035" xr:uid="{00000000-0005-0000-0000-000033470000}"/>
    <cellStyle name="Normal 45 62" xfId="9918" xr:uid="{00000000-0005-0000-0000-000034470000}"/>
    <cellStyle name="Normal 45 62 2" xfId="22036" xr:uid="{00000000-0005-0000-0000-000035470000}"/>
    <cellStyle name="Normal 45 63" xfId="9919" xr:uid="{00000000-0005-0000-0000-000036470000}"/>
    <cellStyle name="Normal 45 63 2" xfId="22037" xr:uid="{00000000-0005-0000-0000-000037470000}"/>
    <cellStyle name="Normal 45 64" xfId="9920" xr:uid="{00000000-0005-0000-0000-000038470000}"/>
    <cellStyle name="Normal 45 64 2" xfId="22038" xr:uid="{00000000-0005-0000-0000-000039470000}"/>
    <cellStyle name="Normal 45 65" xfId="9921" xr:uid="{00000000-0005-0000-0000-00003A470000}"/>
    <cellStyle name="Normal 45 65 2" xfId="22039" xr:uid="{00000000-0005-0000-0000-00003B470000}"/>
    <cellStyle name="Normal 45 66" xfId="9922" xr:uid="{00000000-0005-0000-0000-00003C470000}"/>
    <cellStyle name="Normal 45 66 2" xfId="22040" xr:uid="{00000000-0005-0000-0000-00003D470000}"/>
    <cellStyle name="Normal 45 67" xfId="9923" xr:uid="{00000000-0005-0000-0000-00003E470000}"/>
    <cellStyle name="Normal 45 67 2" xfId="22041" xr:uid="{00000000-0005-0000-0000-00003F470000}"/>
    <cellStyle name="Normal 45 68" xfId="9924" xr:uid="{00000000-0005-0000-0000-000040470000}"/>
    <cellStyle name="Normal 45 68 2" xfId="22042" xr:uid="{00000000-0005-0000-0000-000041470000}"/>
    <cellStyle name="Normal 45 69" xfId="9925" xr:uid="{00000000-0005-0000-0000-000042470000}"/>
    <cellStyle name="Normal 45 69 2" xfId="22043" xr:uid="{00000000-0005-0000-0000-000043470000}"/>
    <cellStyle name="Normal 45 7" xfId="9926" xr:uid="{00000000-0005-0000-0000-000044470000}"/>
    <cellStyle name="Normal 45 7 2" xfId="22044" xr:uid="{00000000-0005-0000-0000-000045470000}"/>
    <cellStyle name="Normal 45 70" xfId="9927" xr:uid="{00000000-0005-0000-0000-000046470000}"/>
    <cellStyle name="Normal 45 70 2" xfId="22045" xr:uid="{00000000-0005-0000-0000-000047470000}"/>
    <cellStyle name="Normal 45 71" xfId="9928" xr:uid="{00000000-0005-0000-0000-000048470000}"/>
    <cellStyle name="Normal 45 71 2" xfId="22046" xr:uid="{00000000-0005-0000-0000-000049470000}"/>
    <cellStyle name="Normal 45 72" xfId="9929" xr:uid="{00000000-0005-0000-0000-00004A470000}"/>
    <cellStyle name="Normal 45 72 2" xfId="22047" xr:uid="{00000000-0005-0000-0000-00004B470000}"/>
    <cellStyle name="Normal 45 73" xfId="9930" xr:uid="{00000000-0005-0000-0000-00004C470000}"/>
    <cellStyle name="Normal 45 73 2" xfId="22048" xr:uid="{00000000-0005-0000-0000-00004D470000}"/>
    <cellStyle name="Normal 45 74" xfId="9931" xr:uid="{00000000-0005-0000-0000-00004E470000}"/>
    <cellStyle name="Normal 45 74 2" xfId="22049" xr:uid="{00000000-0005-0000-0000-00004F470000}"/>
    <cellStyle name="Normal 45 75" xfId="9932" xr:uid="{00000000-0005-0000-0000-000050470000}"/>
    <cellStyle name="Normal 45 75 2" xfId="22050" xr:uid="{00000000-0005-0000-0000-000051470000}"/>
    <cellStyle name="Normal 45 76" xfId="9933" xr:uid="{00000000-0005-0000-0000-000052470000}"/>
    <cellStyle name="Normal 45 76 2" xfId="22051" xr:uid="{00000000-0005-0000-0000-000053470000}"/>
    <cellStyle name="Normal 45 77" xfId="9934" xr:uid="{00000000-0005-0000-0000-000054470000}"/>
    <cellStyle name="Normal 45 77 2" xfId="22052" xr:uid="{00000000-0005-0000-0000-000055470000}"/>
    <cellStyle name="Normal 45 78" xfId="9935" xr:uid="{00000000-0005-0000-0000-000056470000}"/>
    <cellStyle name="Normal 45 78 2" xfId="22053" xr:uid="{00000000-0005-0000-0000-000057470000}"/>
    <cellStyle name="Normal 45 79" xfId="9936" xr:uid="{00000000-0005-0000-0000-000058470000}"/>
    <cellStyle name="Normal 45 79 2" xfId="22054" xr:uid="{00000000-0005-0000-0000-000059470000}"/>
    <cellStyle name="Normal 45 8" xfId="9937" xr:uid="{00000000-0005-0000-0000-00005A470000}"/>
    <cellStyle name="Normal 45 8 2" xfId="22055" xr:uid="{00000000-0005-0000-0000-00005B470000}"/>
    <cellStyle name="Normal 45 80" xfId="9861" xr:uid="{00000000-0005-0000-0000-00005C470000}"/>
    <cellStyle name="Normal 45 9" xfId="9938" xr:uid="{00000000-0005-0000-0000-00005D470000}"/>
    <cellStyle name="Normal 45 9 2" xfId="22056" xr:uid="{00000000-0005-0000-0000-00005E470000}"/>
    <cellStyle name="Normal 46" xfId="153" xr:uid="{00000000-0005-0000-0000-00005F470000}"/>
    <cellStyle name="Normal 46 10" xfId="9940" xr:uid="{00000000-0005-0000-0000-000060470000}"/>
    <cellStyle name="Normal 46 10 2" xfId="22057" xr:uid="{00000000-0005-0000-0000-000061470000}"/>
    <cellStyle name="Normal 46 11" xfId="9941" xr:uid="{00000000-0005-0000-0000-000062470000}"/>
    <cellStyle name="Normal 46 11 2" xfId="22058" xr:uid="{00000000-0005-0000-0000-000063470000}"/>
    <cellStyle name="Normal 46 12" xfId="9942" xr:uid="{00000000-0005-0000-0000-000064470000}"/>
    <cellStyle name="Normal 46 12 2" xfId="22059" xr:uid="{00000000-0005-0000-0000-000065470000}"/>
    <cellStyle name="Normal 46 13" xfId="9943" xr:uid="{00000000-0005-0000-0000-000066470000}"/>
    <cellStyle name="Normal 46 13 2" xfId="22060" xr:uid="{00000000-0005-0000-0000-000067470000}"/>
    <cellStyle name="Normal 46 14" xfId="9944" xr:uid="{00000000-0005-0000-0000-000068470000}"/>
    <cellStyle name="Normal 46 14 2" xfId="22061" xr:uid="{00000000-0005-0000-0000-000069470000}"/>
    <cellStyle name="Normal 46 15" xfId="9945" xr:uid="{00000000-0005-0000-0000-00006A470000}"/>
    <cellStyle name="Normal 46 15 2" xfId="22062" xr:uid="{00000000-0005-0000-0000-00006B470000}"/>
    <cellStyle name="Normal 46 16" xfId="9946" xr:uid="{00000000-0005-0000-0000-00006C470000}"/>
    <cellStyle name="Normal 46 16 2" xfId="22063" xr:uid="{00000000-0005-0000-0000-00006D470000}"/>
    <cellStyle name="Normal 46 17" xfId="9947" xr:uid="{00000000-0005-0000-0000-00006E470000}"/>
    <cellStyle name="Normal 46 17 2" xfId="22064" xr:uid="{00000000-0005-0000-0000-00006F470000}"/>
    <cellStyle name="Normal 46 18" xfId="9948" xr:uid="{00000000-0005-0000-0000-000070470000}"/>
    <cellStyle name="Normal 46 18 2" xfId="22065" xr:uid="{00000000-0005-0000-0000-000071470000}"/>
    <cellStyle name="Normal 46 19" xfId="9949" xr:uid="{00000000-0005-0000-0000-000072470000}"/>
    <cellStyle name="Normal 46 19 2" xfId="22066" xr:uid="{00000000-0005-0000-0000-000073470000}"/>
    <cellStyle name="Normal 46 2" xfId="176" xr:uid="{00000000-0005-0000-0000-000074470000}"/>
    <cellStyle name="Normal 46 2 2" xfId="22067" xr:uid="{00000000-0005-0000-0000-000075470000}"/>
    <cellStyle name="Normal 46 2 3" xfId="9950" xr:uid="{00000000-0005-0000-0000-000076470000}"/>
    <cellStyle name="Normal 46 20" xfId="9951" xr:uid="{00000000-0005-0000-0000-000077470000}"/>
    <cellStyle name="Normal 46 20 2" xfId="22068" xr:uid="{00000000-0005-0000-0000-000078470000}"/>
    <cellStyle name="Normal 46 21" xfId="9952" xr:uid="{00000000-0005-0000-0000-000079470000}"/>
    <cellStyle name="Normal 46 21 2" xfId="22069" xr:uid="{00000000-0005-0000-0000-00007A470000}"/>
    <cellStyle name="Normal 46 22" xfId="9953" xr:uid="{00000000-0005-0000-0000-00007B470000}"/>
    <cellStyle name="Normal 46 22 2" xfId="22070" xr:uid="{00000000-0005-0000-0000-00007C470000}"/>
    <cellStyle name="Normal 46 23" xfId="9954" xr:uid="{00000000-0005-0000-0000-00007D470000}"/>
    <cellStyle name="Normal 46 23 2" xfId="22071" xr:uid="{00000000-0005-0000-0000-00007E470000}"/>
    <cellStyle name="Normal 46 24" xfId="9955" xr:uid="{00000000-0005-0000-0000-00007F470000}"/>
    <cellStyle name="Normal 46 24 2" xfId="22072" xr:uid="{00000000-0005-0000-0000-000080470000}"/>
    <cellStyle name="Normal 46 25" xfId="9956" xr:uid="{00000000-0005-0000-0000-000081470000}"/>
    <cellStyle name="Normal 46 25 2" xfId="22073" xr:uid="{00000000-0005-0000-0000-000082470000}"/>
    <cellStyle name="Normal 46 26" xfId="9957" xr:uid="{00000000-0005-0000-0000-000083470000}"/>
    <cellStyle name="Normal 46 26 2" xfId="22074" xr:uid="{00000000-0005-0000-0000-000084470000}"/>
    <cellStyle name="Normal 46 27" xfId="9958" xr:uid="{00000000-0005-0000-0000-000085470000}"/>
    <cellStyle name="Normal 46 27 2" xfId="22075" xr:uid="{00000000-0005-0000-0000-000086470000}"/>
    <cellStyle name="Normal 46 28" xfId="9959" xr:uid="{00000000-0005-0000-0000-000087470000}"/>
    <cellStyle name="Normal 46 28 2" xfId="22076" xr:uid="{00000000-0005-0000-0000-000088470000}"/>
    <cellStyle name="Normal 46 29" xfId="9960" xr:uid="{00000000-0005-0000-0000-000089470000}"/>
    <cellStyle name="Normal 46 29 2" xfId="22077" xr:uid="{00000000-0005-0000-0000-00008A470000}"/>
    <cellStyle name="Normal 46 3" xfId="734" xr:uid="{00000000-0005-0000-0000-00008B470000}"/>
    <cellStyle name="Normal 46 3 2" xfId="22078" xr:uid="{00000000-0005-0000-0000-00008C470000}"/>
    <cellStyle name="Normal 46 3 3" xfId="9961" xr:uid="{00000000-0005-0000-0000-00008D470000}"/>
    <cellStyle name="Normal 46 30" xfId="9962" xr:uid="{00000000-0005-0000-0000-00008E470000}"/>
    <cellStyle name="Normal 46 30 2" xfId="22079" xr:uid="{00000000-0005-0000-0000-00008F470000}"/>
    <cellStyle name="Normal 46 31" xfId="9963" xr:uid="{00000000-0005-0000-0000-000090470000}"/>
    <cellStyle name="Normal 46 31 2" xfId="22080" xr:uid="{00000000-0005-0000-0000-000091470000}"/>
    <cellStyle name="Normal 46 32" xfId="9964" xr:uid="{00000000-0005-0000-0000-000092470000}"/>
    <cellStyle name="Normal 46 32 2" xfId="22081" xr:uid="{00000000-0005-0000-0000-000093470000}"/>
    <cellStyle name="Normal 46 33" xfId="9965" xr:uid="{00000000-0005-0000-0000-000094470000}"/>
    <cellStyle name="Normal 46 33 2" xfId="22082" xr:uid="{00000000-0005-0000-0000-000095470000}"/>
    <cellStyle name="Normal 46 34" xfId="9966" xr:uid="{00000000-0005-0000-0000-000096470000}"/>
    <cellStyle name="Normal 46 34 2" xfId="22083" xr:uid="{00000000-0005-0000-0000-000097470000}"/>
    <cellStyle name="Normal 46 35" xfId="9967" xr:uid="{00000000-0005-0000-0000-000098470000}"/>
    <cellStyle name="Normal 46 35 2" xfId="22084" xr:uid="{00000000-0005-0000-0000-000099470000}"/>
    <cellStyle name="Normal 46 36" xfId="9968" xr:uid="{00000000-0005-0000-0000-00009A470000}"/>
    <cellStyle name="Normal 46 36 2" xfId="22085" xr:uid="{00000000-0005-0000-0000-00009B470000}"/>
    <cellStyle name="Normal 46 37" xfId="9969" xr:uid="{00000000-0005-0000-0000-00009C470000}"/>
    <cellStyle name="Normal 46 37 2" xfId="22086" xr:uid="{00000000-0005-0000-0000-00009D470000}"/>
    <cellStyle name="Normal 46 38" xfId="9970" xr:uid="{00000000-0005-0000-0000-00009E470000}"/>
    <cellStyle name="Normal 46 38 2" xfId="22087" xr:uid="{00000000-0005-0000-0000-00009F470000}"/>
    <cellStyle name="Normal 46 39" xfId="9971" xr:uid="{00000000-0005-0000-0000-0000A0470000}"/>
    <cellStyle name="Normal 46 39 2" xfId="22088" xr:uid="{00000000-0005-0000-0000-0000A1470000}"/>
    <cellStyle name="Normal 46 4" xfId="368" xr:uid="{00000000-0005-0000-0000-0000A2470000}"/>
    <cellStyle name="Normal 46 4 2" xfId="22089" xr:uid="{00000000-0005-0000-0000-0000A3470000}"/>
    <cellStyle name="Normal 46 40" xfId="9972" xr:uid="{00000000-0005-0000-0000-0000A4470000}"/>
    <cellStyle name="Normal 46 40 2" xfId="22090" xr:uid="{00000000-0005-0000-0000-0000A5470000}"/>
    <cellStyle name="Normal 46 41" xfId="9973" xr:uid="{00000000-0005-0000-0000-0000A6470000}"/>
    <cellStyle name="Normal 46 41 2" xfId="22091" xr:uid="{00000000-0005-0000-0000-0000A7470000}"/>
    <cellStyle name="Normal 46 42" xfId="9974" xr:uid="{00000000-0005-0000-0000-0000A8470000}"/>
    <cellStyle name="Normal 46 42 2" xfId="22092" xr:uid="{00000000-0005-0000-0000-0000A9470000}"/>
    <cellStyle name="Normal 46 43" xfId="9975" xr:uid="{00000000-0005-0000-0000-0000AA470000}"/>
    <cellStyle name="Normal 46 43 2" xfId="22093" xr:uid="{00000000-0005-0000-0000-0000AB470000}"/>
    <cellStyle name="Normal 46 44" xfId="9976" xr:uid="{00000000-0005-0000-0000-0000AC470000}"/>
    <cellStyle name="Normal 46 44 2" xfId="22094" xr:uid="{00000000-0005-0000-0000-0000AD470000}"/>
    <cellStyle name="Normal 46 45" xfId="9977" xr:uid="{00000000-0005-0000-0000-0000AE470000}"/>
    <cellStyle name="Normal 46 45 2" xfId="22095" xr:uid="{00000000-0005-0000-0000-0000AF470000}"/>
    <cellStyle name="Normal 46 46" xfId="9978" xr:uid="{00000000-0005-0000-0000-0000B0470000}"/>
    <cellStyle name="Normal 46 46 2" xfId="22096" xr:uid="{00000000-0005-0000-0000-0000B1470000}"/>
    <cellStyle name="Normal 46 47" xfId="9979" xr:uid="{00000000-0005-0000-0000-0000B2470000}"/>
    <cellStyle name="Normal 46 47 2" xfId="22097" xr:uid="{00000000-0005-0000-0000-0000B3470000}"/>
    <cellStyle name="Normal 46 48" xfId="9980" xr:uid="{00000000-0005-0000-0000-0000B4470000}"/>
    <cellStyle name="Normal 46 48 2" xfId="22098" xr:uid="{00000000-0005-0000-0000-0000B5470000}"/>
    <cellStyle name="Normal 46 49" xfId="9981" xr:uid="{00000000-0005-0000-0000-0000B6470000}"/>
    <cellStyle name="Normal 46 49 2" xfId="22099" xr:uid="{00000000-0005-0000-0000-0000B7470000}"/>
    <cellStyle name="Normal 46 5" xfId="9982" xr:uid="{00000000-0005-0000-0000-0000B8470000}"/>
    <cellStyle name="Normal 46 5 2" xfId="22100" xr:uid="{00000000-0005-0000-0000-0000B9470000}"/>
    <cellStyle name="Normal 46 50" xfId="9983" xr:uid="{00000000-0005-0000-0000-0000BA470000}"/>
    <cellStyle name="Normal 46 50 2" xfId="22101" xr:uid="{00000000-0005-0000-0000-0000BB470000}"/>
    <cellStyle name="Normal 46 51" xfId="9984" xr:uid="{00000000-0005-0000-0000-0000BC470000}"/>
    <cellStyle name="Normal 46 51 2" xfId="22102" xr:uid="{00000000-0005-0000-0000-0000BD470000}"/>
    <cellStyle name="Normal 46 52" xfId="9985" xr:uid="{00000000-0005-0000-0000-0000BE470000}"/>
    <cellStyle name="Normal 46 52 2" xfId="22103" xr:uid="{00000000-0005-0000-0000-0000BF470000}"/>
    <cellStyle name="Normal 46 53" xfId="9986" xr:uid="{00000000-0005-0000-0000-0000C0470000}"/>
    <cellStyle name="Normal 46 53 2" xfId="22104" xr:uid="{00000000-0005-0000-0000-0000C1470000}"/>
    <cellStyle name="Normal 46 54" xfId="9987" xr:uid="{00000000-0005-0000-0000-0000C2470000}"/>
    <cellStyle name="Normal 46 54 2" xfId="22105" xr:uid="{00000000-0005-0000-0000-0000C3470000}"/>
    <cellStyle name="Normal 46 55" xfId="9988" xr:uid="{00000000-0005-0000-0000-0000C4470000}"/>
    <cellStyle name="Normal 46 55 2" xfId="22106" xr:uid="{00000000-0005-0000-0000-0000C5470000}"/>
    <cellStyle name="Normal 46 56" xfId="9989" xr:uid="{00000000-0005-0000-0000-0000C6470000}"/>
    <cellStyle name="Normal 46 56 2" xfId="22107" xr:uid="{00000000-0005-0000-0000-0000C7470000}"/>
    <cellStyle name="Normal 46 57" xfId="9990" xr:uid="{00000000-0005-0000-0000-0000C8470000}"/>
    <cellStyle name="Normal 46 57 2" xfId="22108" xr:uid="{00000000-0005-0000-0000-0000C9470000}"/>
    <cellStyle name="Normal 46 58" xfId="9991" xr:uid="{00000000-0005-0000-0000-0000CA470000}"/>
    <cellStyle name="Normal 46 58 2" xfId="22109" xr:uid="{00000000-0005-0000-0000-0000CB470000}"/>
    <cellStyle name="Normal 46 59" xfId="9992" xr:uid="{00000000-0005-0000-0000-0000CC470000}"/>
    <cellStyle name="Normal 46 59 2" xfId="22110" xr:uid="{00000000-0005-0000-0000-0000CD470000}"/>
    <cellStyle name="Normal 46 6" xfId="9993" xr:uid="{00000000-0005-0000-0000-0000CE470000}"/>
    <cellStyle name="Normal 46 6 2" xfId="22111" xr:uid="{00000000-0005-0000-0000-0000CF470000}"/>
    <cellStyle name="Normal 46 60" xfId="9994" xr:uid="{00000000-0005-0000-0000-0000D0470000}"/>
    <cellStyle name="Normal 46 60 2" xfId="22112" xr:uid="{00000000-0005-0000-0000-0000D1470000}"/>
    <cellStyle name="Normal 46 61" xfId="9995" xr:uid="{00000000-0005-0000-0000-0000D2470000}"/>
    <cellStyle name="Normal 46 61 2" xfId="22113" xr:uid="{00000000-0005-0000-0000-0000D3470000}"/>
    <cellStyle name="Normal 46 62" xfId="9996" xr:uid="{00000000-0005-0000-0000-0000D4470000}"/>
    <cellStyle name="Normal 46 62 2" xfId="22114" xr:uid="{00000000-0005-0000-0000-0000D5470000}"/>
    <cellStyle name="Normal 46 63" xfId="9997" xr:uid="{00000000-0005-0000-0000-0000D6470000}"/>
    <cellStyle name="Normal 46 63 2" xfId="22115" xr:uid="{00000000-0005-0000-0000-0000D7470000}"/>
    <cellStyle name="Normal 46 64" xfId="9998" xr:uid="{00000000-0005-0000-0000-0000D8470000}"/>
    <cellStyle name="Normal 46 64 2" xfId="22116" xr:uid="{00000000-0005-0000-0000-0000D9470000}"/>
    <cellStyle name="Normal 46 65" xfId="9999" xr:uid="{00000000-0005-0000-0000-0000DA470000}"/>
    <cellStyle name="Normal 46 65 2" xfId="22117" xr:uid="{00000000-0005-0000-0000-0000DB470000}"/>
    <cellStyle name="Normal 46 66" xfId="10000" xr:uid="{00000000-0005-0000-0000-0000DC470000}"/>
    <cellStyle name="Normal 46 66 2" xfId="22118" xr:uid="{00000000-0005-0000-0000-0000DD470000}"/>
    <cellStyle name="Normal 46 67" xfId="10001" xr:uid="{00000000-0005-0000-0000-0000DE470000}"/>
    <cellStyle name="Normal 46 67 2" xfId="22119" xr:uid="{00000000-0005-0000-0000-0000DF470000}"/>
    <cellStyle name="Normal 46 68" xfId="10002" xr:uid="{00000000-0005-0000-0000-0000E0470000}"/>
    <cellStyle name="Normal 46 68 2" xfId="22120" xr:uid="{00000000-0005-0000-0000-0000E1470000}"/>
    <cellStyle name="Normal 46 69" xfId="10003" xr:uid="{00000000-0005-0000-0000-0000E2470000}"/>
    <cellStyle name="Normal 46 69 2" xfId="22121" xr:uid="{00000000-0005-0000-0000-0000E3470000}"/>
    <cellStyle name="Normal 46 7" xfId="10004" xr:uid="{00000000-0005-0000-0000-0000E4470000}"/>
    <cellStyle name="Normal 46 7 2" xfId="22122" xr:uid="{00000000-0005-0000-0000-0000E5470000}"/>
    <cellStyle name="Normal 46 70" xfId="10005" xr:uid="{00000000-0005-0000-0000-0000E6470000}"/>
    <cellStyle name="Normal 46 70 2" xfId="22123" xr:uid="{00000000-0005-0000-0000-0000E7470000}"/>
    <cellStyle name="Normal 46 71" xfId="10006" xr:uid="{00000000-0005-0000-0000-0000E8470000}"/>
    <cellStyle name="Normal 46 71 2" xfId="22124" xr:uid="{00000000-0005-0000-0000-0000E9470000}"/>
    <cellStyle name="Normal 46 72" xfId="10007" xr:uid="{00000000-0005-0000-0000-0000EA470000}"/>
    <cellStyle name="Normal 46 72 2" xfId="22125" xr:uid="{00000000-0005-0000-0000-0000EB470000}"/>
    <cellStyle name="Normal 46 73" xfId="10008" xr:uid="{00000000-0005-0000-0000-0000EC470000}"/>
    <cellStyle name="Normal 46 73 2" xfId="22126" xr:uid="{00000000-0005-0000-0000-0000ED470000}"/>
    <cellStyle name="Normal 46 74" xfId="10009" xr:uid="{00000000-0005-0000-0000-0000EE470000}"/>
    <cellStyle name="Normal 46 74 2" xfId="22127" xr:uid="{00000000-0005-0000-0000-0000EF470000}"/>
    <cellStyle name="Normal 46 75" xfId="10010" xr:uid="{00000000-0005-0000-0000-0000F0470000}"/>
    <cellStyle name="Normal 46 75 2" xfId="22128" xr:uid="{00000000-0005-0000-0000-0000F1470000}"/>
    <cellStyle name="Normal 46 76" xfId="10011" xr:uid="{00000000-0005-0000-0000-0000F2470000}"/>
    <cellStyle name="Normal 46 76 2" xfId="22129" xr:uid="{00000000-0005-0000-0000-0000F3470000}"/>
    <cellStyle name="Normal 46 77" xfId="10012" xr:uid="{00000000-0005-0000-0000-0000F4470000}"/>
    <cellStyle name="Normal 46 77 2" xfId="22130" xr:uid="{00000000-0005-0000-0000-0000F5470000}"/>
    <cellStyle name="Normal 46 78" xfId="10013" xr:uid="{00000000-0005-0000-0000-0000F6470000}"/>
    <cellStyle name="Normal 46 78 2" xfId="22131" xr:uid="{00000000-0005-0000-0000-0000F7470000}"/>
    <cellStyle name="Normal 46 79" xfId="10014" xr:uid="{00000000-0005-0000-0000-0000F8470000}"/>
    <cellStyle name="Normal 46 79 2" xfId="22132" xr:uid="{00000000-0005-0000-0000-0000F9470000}"/>
    <cellStyle name="Normal 46 8" xfId="10015" xr:uid="{00000000-0005-0000-0000-0000FA470000}"/>
    <cellStyle name="Normal 46 8 2" xfId="22133" xr:uid="{00000000-0005-0000-0000-0000FB470000}"/>
    <cellStyle name="Normal 46 80" xfId="9939" xr:uid="{00000000-0005-0000-0000-0000FC470000}"/>
    <cellStyle name="Normal 46 9" xfId="10016" xr:uid="{00000000-0005-0000-0000-0000FD470000}"/>
    <cellStyle name="Normal 46 9 2" xfId="22134" xr:uid="{00000000-0005-0000-0000-0000FE470000}"/>
    <cellStyle name="Normal 47" xfId="179" xr:uid="{00000000-0005-0000-0000-0000FF470000}"/>
    <cellStyle name="Normal 47 10" xfId="10017" xr:uid="{00000000-0005-0000-0000-000000480000}"/>
    <cellStyle name="Normal 47 10 2" xfId="22136" xr:uid="{00000000-0005-0000-0000-000001480000}"/>
    <cellStyle name="Normal 47 11" xfId="10018" xr:uid="{00000000-0005-0000-0000-000002480000}"/>
    <cellStyle name="Normal 47 11 2" xfId="22137" xr:uid="{00000000-0005-0000-0000-000003480000}"/>
    <cellStyle name="Normal 47 12" xfId="10019" xr:uid="{00000000-0005-0000-0000-000004480000}"/>
    <cellStyle name="Normal 47 12 2" xfId="22138" xr:uid="{00000000-0005-0000-0000-000005480000}"/>
    <cellStyle name="Normal 47 13" xfId="10020" xr:uid="{00000000-0005-0000-0000-000006480000}"/>
    <cellStyle name="Normal 47 13 2" xfId="22139" xr:uid="{00000000-0005-0000-0000-000007480000}"/>
    <cellStyle name="Normal 47 14" xfId="10021" xr:uid="{00000000-0005-0000-0000-000008480000}"/>
    <cellStyle name="Normal 47 14 2" xfId="22140" xr:uid="{00000000-0005-0000-0000-000009480000}"/>
    <cellStyle name="Normal 47 15" xfId="10022" xr:uid="{00000000-0005-0000-0000-00000A480000}"/>
    <cellStyle name="Normal 47 15 2" xfId="22141" xr:uid="{00000000-0005-0000-0000-00000B480000}"/>
    <cellStyle name="Normal 47 16" xfId="10023" xr:uid="{00000000-0005-0000-0000-00000C480000}"/>
    <cellStyle name="Normal 47 16 2" xfId="22142" xr:uid="{00000000-0005-0000-0000-00000D480000}"/>
    <cellStyle name="Normal 47 17" xfId="10024" xr:uid="{00000000-0005-0000-0000-00000E480000}"/>
    <cellStyle name="Normal 47 17 2" xfId="22143" xr:uid="{00000000-0005-0000-0000-00000F480000}"/>
    <cellStyle name="Normal 47 18" xfId="10025" xr:uid="{00000000-0005-0000-0000-000010480000}"/>
    <cellStyle name="Normal 47 18 2" xfId="22144" xr:uid="{00000000-0005-0000-0000-000011480000}"/>
    <cellStyle name="Normal 47 19" xfId="10026" xr:uid="{00000000-0005-0000-0000-000012480000}"/>
    <cellStyle name="Normal 47 19 2" xfId="22145" xr:uid="{00000000-0005-0000-0000-000013480000}"/>
    <cellStyle name="Normal 47 2" xfId="177" xr:uid="{00000000-0005-0000-0000-000014480000}"/>
    <cellStyle name="Normal 47 2 2" xfId="22146" xr:uid="{00000000-0005-0000-0000-000015480000}"/>
    <cellStyle name="Normal 47 2 3" xfId="10027" xr:uid="{00000000-0005-0000-0000-000016480000}"/>
    <cellStyle name="Normal 47 20" xfId="10028" xr:uid="{00000000-0005-0000-0000-000017480000}"/>
    <cellStyle name="Normal 47 20 2" xfId="22147" xr:uid="{00000000-0005-0000-0000-000018480000}"/>
    <cellStyle name="Normal 47 21" xfId="10029" xr:uid="{00000000-0005-0000-0000-000019480000}"/>
    <cellStyle name="Normal 47 21 2" xfId="22148" xr:uid="{00000000-0005-0000-0000-00001A480000}"/>
    <cellStyle name="Normal 47 22" xfId="10030" xr:uid="{00000000-0005-0000-0000-00001B480000}"/>
    <cellStyle name="Normal 47 22 2" xfId="22149" xr:uid="{00000000-0005-0000-0000-00001C480000}"/>
    <cellStyle name="Normal 47 23" xfId="10031" xr:uid="{00000000-0005-0000-0000-00001D480000}"/>
    <cellStyle name="Normal 47 23 2" xfId="22150" xr:uid="{00000000-0005-0000-0000-00001E480000}"/>
    <cellStyle name="Normal 47 24" xfId="10032" xr:uid="{00000000-0005-0000-0000-00001F480000}"/>
    <cellStyle name="Normal 47 24 2" xfId="22151" xr:uid="{00000000-0005-0000-0000-000020480000}"/>
    <cellStyle name="Normal 47 25" xfId="10033" xr:uid="{00000000-0005-0000-0000-000021480000}"/>
    <cellStyle name="Normal 47 25 2" xfId="22152" xr:uid="{00000000-0005-0000-0000-000022480000}"/>
    <cellStyle name="Normal 47 26" xfId="10034" xr:uid="{00000000-0005-0000-0000-000023480000}"/>
    <cellStyle name="Normal 47 26 2" xfId="22153" xr:uid="{00000000-0005-0000-0000-000024480000}"/>
    <cellStyle name="Normal 47 27" xfId="10035" xr:uid="{00000000-0005-0000-0000-000025480000}"/>
    <cellStyle name="Normal 47 27 2" xfId="22154" xr:uid="{00000000-0005-0000-0000-000026480000}"/>
    <cellStyle name="Normal 47 28" xfId="10036" xr:uid="{00000000-0005-0000-0000-000027480000}"/>
    <cellStyle name="Normal 47 28 2" xfId="22155" xr:uid="{00000000-0005-0000-0000-000028480000}"/>
    <cellStyle name="Normal 47 29" xfId="10037" xr:uid="{00000000-0005-0000-0000-000029480000}"/>
    <cellStyle name="Normal 47 29 2" xfId="22156" xr:uid="{00000000-0005-0000-0000-00002A480000}"/>
    <cellStyle name="Normal 47 3" xfId="735" xr:uid="{00000000-0005-0000-0000-00002B480000}"/>
    <cellStyle name="Normal 47 3 2" xfId="22157" xr:uid="{00000000-0005-0000-0000-00002C480000}"/>
    <cellStyle name="Normal 47 3 3" xfId="10038" xr:uid="{00000000-0005-0000-0000-00002D480000}"/>
    <cellStyle name="Normal 47 30" xfId="10039" xr:uid="{00000000-0005-0000-0000-00002E480000}"/>
    <cellStyle name="Normal 47 30 2" xfId="22158" xr:uid="{00000000-0005-0000-0000-00002F480000}"/>
    <cellStyle name="Normal 47 31" xfId="10040" xr:uid="{00000000-0005-0000-0000-000030480000}"/>
    <cellStyle name="Normal 47 31 2" xfId="22159" xr:uid="{00000000-0005-0000-0000-000031480000}"/>
    <cellStyle name="Normal 47 32" xfId="10041" xr:uid="{00000000-0005-0000-0000-000032480000}"/>
    <cellStyle name="Normal 47 32 2" xfId="22160" xr:uid="{00000000-0005-0000-0000-000033480000}"/>
    <cellStyle name="Normal 47 33" xfId="10042" xr:uid="{00000000-0005-0000-0000-000034480000}"/>
    <cellStyle name="Normal 47 33 2" xfId="22161" xr:uid="{00000000-0005-0000-0000-000035480000}"/>
    <cellStyle name="Normal 47 34" xfId="10043" xr:uid="{00000000-0005-0000-0000-000036480000}"/>
    <cellStyle name="Normal 47 34 2" xfId="22162" xr:uid="{00000000-0005-0000-0000-000037480000}"/>
    <cellStyle name="Normal 47 35" xfId="10044" xr:uid="{00000000-0005-0000-0000-000038480000}"/>
    <cellStyle name="Normal 47 35 2" xfId="22163" xr:uid="{00000000-0005-0000-0000-000039480000}"/>
    <cellStyle name="Normal 47 36" xfId="10045" xr:uid="{00000000-0005-0000-0000-00003A480000}"/>
    <cellStyle name="Normal 47 36 2" xfId="22164" xr:uid="{00000000-0005-0000-0000-00003B480000}"/>
    <cellStyle name="Normal 47 37" xfId="10046" xr:uid="{00000000-0005-0000-0000-00003C480000}"/>
    <cellStyle name="Normal 47 37 2" xfId="22165" xr:uid="{00000000-0005-0000-0000-00003D480000}"/>
    <cellStyle name="Normal 47 38" xfId="10047" xr:uid="{00000000-0005-0000-0000-00003E480000}"/>
    <cellStyle name="Normal 47 38 2" xfId="22166" xr:uid="{00000000-0005-0000-0000-00003F480000}"/>
    <cellStyle name="Normal 47 39" xfId="10048" xr:uid="{00000000-0005-0000-0000-000040480000}"/>
    <cellStyle name="Normal 47 39 2" xfId="22167" xr:uid="{00000000-0005-0000-0000-000041480000}"/>
    <cellStyle name="Normal 47 4" xfId="369" xr:uid="{00000000-0005-0000-0000-000042480000}"/>
    <cellStyle name="Normal 47 4 2" xfId="22168" xr:uid="{00000000-0005-0000-0000-000043480000}"/>
    <cellStyle name="Normal 47 40" xfId="10049" xr:uid="{00000000-0005-0000-0000-000044480000}"/>
    <cellStyle name="Normal 47 40 2" xfId="22169" xr:uid="{00000000-0005-0000-0000-000045480000}"/>
    <cellStyle name="Normal 47 41" xfId="10050" xr:uid="{00000000-0005-0000-0000-000046480000}"/>
    <cellStyle name="Normal 47 41 2" xfId="22170" xr:uid="{00000000-0005-0000-0000-000047480000}"/>
    <cellStyle name="Normal 47 42" xfId="10051" xr:uid="{00000000-0005-0000-0000-000048480000}"/>
    <cellStyle name="Normal 47 42 2" xfId="22171" xr:uid="{00000000-0005-0000-0000-000049480000}"/>
    <cellStyle name="Normal 47 43" xfId="10052" xr:uid="{00000000-0005-0000-0000-00004A480000}"/>
    <cellStyle name="Normal 47 43 2" xfId="22172" xr:uid="{00000000-0005-0000-0000-00004B480000}"/>
    <cellStyle name="Normal 47 44" xfId="10053" xr:uid="{00000000-0005-0000-0000-00004C480000}"/>
    <cellStyle name="Normal 47 44 2" xfId="22173" xr:uid="{00000000-0005-0000-0000-00004D480000}"/>
    <cellStyle name="Normal 47 45" xfId="10054" xr:uid="{00000000-0005-0000-0000-00004E480000}"/>
    <cellStyle name="Normal 47 45 2" xfId="22174" xr:uid="{00000000-0005-0000-0000-00004F480000}"/>
    <cellStyle name="Normal 47 46" xfId="10055" xr:uid="{00000000-0005-0000-0000-000050480000}"/>
    <cellStyle name="Normal 47 46 2" xfId="22175" xr:uid="{00000000-0005-0000-0000-000051480000}"/>
    <cellStyle name="Normal 47 47" xfId="10056" xr:uid="{00000000-0005-0000-0000-000052480000}"/>
    <cellStyle name="Normal 47 47 2" xfId="22176" xr:uid="{00000000-0005-0000-0000-000053480000}"/>
    <cellStyle name="Normal 47 48" xfId="10057" xr:uid="{00000000-0005-0000-0000-000054480000}"/>
    <cellStyle name="Normal 47 48 2" xfId="22177" xr:uid="{00000000-0005-0000-0000-000055480000}"/>
    <cellStyle name="Normal 47 49" xfId="10058" xr:uid="{00000000-0005-0000-0000-000056480000}"/>
    <cellStyle name="Normal 47 49 2" xfId="22178" xr:uid="{00000000-0005-0000-0000-000057480000}"/>
    <cellStyle name="Normal 47 5" xfId="10059" xr:uid="{00000000-0005-0000-0000-000058480000}"/>
    <cellStyle name="Normal 47 5 2" xfId="22179" xr:uid="{00000000-0005-0000-0000-000059480000}"/>
    <cellStyle name="Normal 47 50" xfId="10060" xr:uid="{00000000-0005-0000-0000-00005A480000}"/>
    <cellStyle name="Normal 47 50 2" xfId="22180" xr:uid="{00000000-0005-0000-0000-00005B480000}"/>
    <cellStyle name="Normal 47 51" xfId="10061" xr:uid="{00000000-0005-0000-0000-00005C480000}"/>
    <cellStyle name="Normal 47 51 2" xfId="22181" xr:uid="{00000000-0005-0000-0000-00005D480000}"/>
    <cellStyle name="Normal 47 52" xfId="10062" xr:uid="{00000000-0005-0000-0000-00005E480000}"/>
    <cellStyle name="Normal 47 52 2" xfId="22182" xr:uid="{00000000-0005-0000-0000-00005F480000}"/>
    <cellStyle name="Normal 47 53" xfId="10063" xr:uid="{00000000-0005-0000-0000-000060480000}"/>
    <cellStyle name="Normal 47 53 2" xfId="22183" xr:uid="{00000000-0005-0000-0000-000061480000}"/>
    <cellStyle name="Normal 47 54" xfId="10064" xr:uid="{00000000-0005-0000-0000-000062480000}"/>
    <cellStyle name="Normal 47 54 2" xfId="22184" xr:uid="{00000000-0005-0000-0000-000063480000}"/>
    <cellStyle name="Normal 47 55" xfId="10065" xr:uid="{00000000-0005-0000-0000-000064480000}"/>
    <cellStyle name="Normal 47 55 2" xfId="22185" xr:uid="{00000000-0005-0000-0000-000065480000}"/>
    <cellStyle name="Normal 47 56" xfId="10066" xr:uid="{00000000-0005-0000-0000-000066480000}"/>
    <cellStyle name="Normal 47 56 2" xfId="22186" xr:uid="{00000000-0005-0000-0000-000067480000}"/>
    <cellStyle name="Normal 47 57" xfId="10067" xr:uid="{00000000-0005-0000-0000-000068480000}"/>
    <cellStyle name="Normal 47 57 2" xfId="22187" xr:uid="{00000000-0005-0000-0000-000069480000}"/>
    <cellStyle name="Normal 47 58" xfId="10068" xr:uid="{00000000-0005-0000-0000-00006A480000}"/>
    <cellStyle name="Normal 47 58 2" xfId="22188" xr:uid="{00000000-0005-0000-0000-00006B480000}"/>
    <cellStyle name="Normal 47 59" xfId="10069" xr:uid="{00000000-0005-0000-0000-00006C480000}"/>
    <cellStyle name="Normal 47 59 2" xfId="22189" xr:uid="{00000000-0005-0000-0000-00006D480000}"/>
    <cellStyle name="Normal 47 6" xfId="10070" xr:uid="{00000000-0005-0000-0000-00006E480000}"/>
    <cellStyle name="Normal 47 6 2" xfId="22190" xr:uid="{00000000-0005-0000-0000-00006F480000}"/>
    <cellStyle name="Normal 47 60" xfId="10071" xr:uid="{00000000-0005-0000-0000-000070480000}"/>
    <cellStyle name="Normal 47 60 2" xfId="22191" xr:uid="{00000000-0005-0000-0000-000071480000}"/>
    <cellStyle name="Normal 47 61" xfId="10072" xr:uid="{00000000-0005-0000-0000-000072480000}"/>
    <cellStyle name="Normal 47 61 2" xfId="22192" xr:uid="{00000000-0005-0000-0000-000073480000}"/>
    <cellStyle name="Normal 47 62" xfId="10073" xr:uid="{00000000-0005-0000-0000-000074480000}"/>
    <cellStyle name="Normal 47 62 2" xfId="22193" xr:uid="{00000000-0005-0000-0000-000075480000}"/>
    <cellStyle name="Normal 47 63" xfId="10074" xr:uid="{00000000-0005-0000-0000-000076480000}"/>
    <cellStyle name="Normal 47 63 2" xfId="22194" xr:uid="{00000000-0005-0000-0000-000077480000}"/>
    <cellStyle name="Normal 47 64" xfId="10075" xr:uid="{00000000-0005-0000-0000-000078480000}"/>
    <cellStyle name="Normal 47 64 2" xfId="22195" xr:uid="{00000000-0005-0000-0000-000079480000}"/>
    <cellStyle name="Normal 47 65" xfId="10076" xr:uid="{00000000-0005-0000-0000-00007A480000}"/>
    <cellStyle name="Normal 47 65 2" xfId="22196" xr:uid="{00000000-0005-0000-0000-00007B480000}"/>
    <cellStyle name="Normal 47 66" xfId="10077" xr:uid="{00000000-0005-0000-0000-00007C480000}"/>
    <cellStyle name="Normal 47 66 2" xfId="22197" xr:uid="{00000000-0005-0000-0000-00007D480000}"/>
    <cellStyle name="Normal 47 67" xfId="10078" xr:uid="{00000000-0005-0000-0000-00007E480000}"/>
    <cellStyle name="Normal 47 67 2" xfId="22198" xr:uid="{00000000-0005-0000-0000-00007F480000}"/>
    <cellStyle name="Normal 47 68" xfId="10079" xr:uid="{00000000-0005-0000-0000-000080480000}"/>
    <cellStyle name="Normal 47 68 2" xfId="22199" xr:uid="{00000000-0005-0000-0000-000081480000}"/>
    <cellStyle name="Normal 47 69" xfId="10080" xr:uid="{00000000-0005-0000-0000-000082480000}"/>
    <cellStyle name="Normal 47 69 2" xfId="22200" xr:uid="{00000000-0005-0000-0000-000083480000}"/>
    <cellStyle name="Normal 47 7" xfId="10081" xr:uid="{00000000-0005-0000-0000-000084480000}"/>
    <cellStyle name="Normal 47 7 2" xfId="22201" xr:uid="{00000000-0005-0000-0000-000085480000}"/>
    <cellStyle name="Normal 47 70" xfId="10082" xr:uid="{00000000-0005-0000-0000-000086480000}"/>
    <cellStyle name="Normal 47 70 2" xfId="22202" xr:uid="{00000000-0005-0000-0000-000087480000}"/>
    <cellStyle name="Normal 47 71" xfId="10083" xr:uid="{00000000-0005-0000-0000-000088480000}"/>
    <cellStyle name="Normal 47 71 2" xfId="22203" xr:uid="{00000000-0005-0000-0000-000089480000}"/>
    <cellStyle name="Normal 47 72" xfId="10084" xr:uid="{00000000-0005-0000-0000-00008A480000}"/>
    <cellStyle name="Normal 47 72 2" xfId="22204" xr:uid="{00000000-0005-0000-0000-00008B480000}"/>
    <cellStyle name="Normal 47 73" xfId="10085" xr:uid="{00000000-0005-0000-0000-00008C480000}"/>
    <cellStyle name="Normal 47 73 2" xfId="22205" xr:uid="{00000000-0005-0000-0000-00008D480000}"/>
    <cellStyle name="Normal 47 74" xfId="10086" xr:uid="{00000000-0005-0000-0000-00008E480000}"/>
    <cellStyle name="Normal 47 74 2" xfId="22206" xr:uid="{00000000-0005-0000-0000-00008F480000}"/>
    <cellStyle name="Normal 47 75" xfId="10087" xr:uid="{00000000-0005-0000-0000-000090480000}"/>
    <cellStyle name="Normal 47 75 2" xfId="22207" xr:uid="{00000000-0005-0000-0000-000091480000}"/>
    <cellStyle name="Normal 47 76" xfId="10088" xr:uid="{00000000-0005-0000-0000-000092480000}"/>
    <cellStyle name="Normal 47 76 2" xfId="22208" xr:uid="{00000000-0005-0000-0000-000093480000}"/>
    <cellStyle name="Normal 47 77" xfId="10089" xr:uid="{00000000-0005-0000-0000-000094480000}"/>
    <cellStyle name="Normal 47 77 2" xfId="22209" xr:uid="{00000000-0005-0000-0000-000095480000}"/>
    <cellStyle name="Normal 47 78" xfId="10090" xr:uid="{00000000-0005-0000-0000-000096480000}"/>
    <cellStyle name="Normal 47 78 2" xfId="22210" xr:uid="{00000000-0005-0000-0000-000097480000}"/>
    <cellStyle name="Normal 47 79" xfId="10091" xr:uid="{00000000-0005-0000-0000-000098480000}"/>
    <cellStyle name="Normal 47 79 2" xfId="22211" xr:uid="{00000000-0005-0000-0000-000099480000}"/>
    <cellStyle name="Normal 47 8" xfId="10092" xr:uid="{00000000-0005-0000-0000-00009A480000}"/>
    <cellStyle name="Normal 47 8 2" xfId="22212" xr:uid="{00000000-0005-0000-0000-00009B480000}"/>
    <cellStyle name="Normal 47 80" xfId="22135" xr:uid="{00000000-0005-0000-0000-00009C480000}"/>
    <cellStyle name="Normal 47 9" xfId="10093" xr:uid="{00000000-0005-0000-0000-00009D480000}"/>
    <cellStyle name="Normal 47 9 2" xfId="22213" xr:uid="{00000000-0005-0000-0000-00009E480000}"/>
    <cellStyle name="Normal 48" xfId="154" xr:uid="{00000000-0005-0000-0000-00009F480000}"/>
    <cellStyle name="Normal 48 10" xfId="10094" xr:uid="{00000000-0005-0000-0000-0000A0480000}"/>
    <cellStyle name="Normal 48 10 2" xfId="22215" xr:uid="{00000000-0005-0000-0000-0000A1480000}"/>
    <cellStyle name="Normal 48 11" xfId="10095" xr:uid="{00000000-0005-0000-0000-0000A2480000}"/>
    <cellStyle name="Normal 48 11 2" xfId="22216" xr:uid="{00000000-0005-0000-0000-0000A3480000}"/>
    <cellStyle name="Normal 48 12" xfId="10096" xr:uid="{00000000-0005-0000-0000-0000A4480000}"/>
    <cellStyle name="Normal 48 12 2" xfId="22217" xr:uid="{00000000-0005-0000-0000-0000A5480000}"/>
    <cellStyle name="Normal 48 13" xfId="10097" xr:uid="{00000000-0005-0000-0000-0000A6480000}"/>
    <cellStyle name="Normal 48 13 2" xfId="22218" xr:uid="{00000000-0005-0000-0000-0000A7480000}"/>
    <cellStyle name="Normal 48 14" xfId="10098" xr:uid="{00000000-0005-0000-0000-0000A8480000}"/>
    <cellStyle name="Normal 48 14 2" xfId="22219" xr:uid="{00000000-0005-0000-0000-0000A9480000}"/>
    <cellStyle name="Normal 48 15" xfId="10099" xr:uid="{00000000-0005-0000-0000-0000AA480000}"/>
    <cellStyle name="Normal 48 15 2" xfId="22220" xr:uid="{00000000-0005-0000-0000-0000AB480000}"/>
    <cellStyle name="Normal 48 16" xfId="10100" xr:uid="{00000000-0005-0000-0000-0000AC480000}"/>
    <cellStyle name="Normal 48 16 2" xfId="22221" xr:uid="{00000000-0005-0000-0000-0000AD480000}"/>
    <cellStyle name="Normal 48 17" xfId="10101" xr:uid="{00000000-0005-0000-0000-0000AE480000}"/>
    <cellStyle name="Normal 48 17 2" xfId="22222" xr:uid="{00000000-0005-0000-0000-0000AF480000}"/>
    <cellStyle name="Normal 48 18" xfId="10102" xr:uid="{00000000-0005-0000-0000-0000B0480000}"/>
    <cellStyle name="Normal 48 18 2" xfId="22223" xr:uid="{00000000-0005-0000-0000-0000B1480000}"/>
    <cellStyle name="Normal 48 19" xfId="10103" xr:uid="{00000000-0005-0000-0000-0000B2480000}"/>
    <cellStyle name="Normal 48 19 2" xfId="22224" xr:uid="{00000000-0005-0000-0000-0000B3480000}"/>
    <cellStyle name="Normal 48 2" xfId="178" xr:uid="{00000000-0005-0000-0000-0000B4480000}"/>
    <cellStyle name="Normal 48 2 2" xfId="22225" xr:uid="{00000000-0005-0000-0000-0000B5480000}"/>
    <cellStyle name="Normal 48 2 3" xfId="10104" xr:uid="{00000000-0005-0000-0000-0000B6480000}"/>
    <cellStyle name="Normal 48 20" xfId="10105" xr:uid="{00000000-0005-0000-0000-0000B7480000}"/>
    <cellStyle name="Normal 48 20 2" xfId="22226" xr:uid="{00000000-0005-0000-0000-0000B8480000}"/>
    <cellStyle name="Normal 48 21" xfId="10106" xr:uid="{00000000-0005-0000-0000-0000B9480000}"/>
    <cellStyle name="Normal 48 21 2" xfId="22227" xr:uid="{00000000-0005-0000-0000-0000BA480000}"/>
    <cellStyle name="Normal 48 22" xfId="10107" xr:uid="{00000000-0005-0000-0000-0000BB480000}"/>
    <cellStyle name="Normal 48 22 2" xfId="22228" xr:uid="{00000000-0005-0000-0000-0000BC480000}"/>
    <cellStyle name="Normal 48 23" xfId="10108" xr:uid="{00000000-0005-0000-0000-0000BD480000}"/>
    <cellStyle name="Normal 48 23 2" xfId="22229" xr:uid="{00000000-0005-0000-0000-0000BE480000}"/>
    <cellStyle name="Normal 48 24" xfId="10109" xr:uid="{00000000-0005-0000-0000-0000BF480000}"/>
    <cellStyle name="Normal 48 24 2" xfId="22230" xr:uid="{00000000-0005-0000-0000-0000C0480000}"/>
    <cellStyle name="Normal 48 25" xfId="10110" xr:uid="{00000000-0005-0000-0000-0000C1480000}"/>
    <cellStyle name="Normal 48 25 2" xfId="22231" xr:uid="{00000000-0005-0000-0000-0000C2480000}"/>
    <cellStyle name="Normal 48 26" xfId="10111" xr:uid="{00000000-0005-0000-0000-0000C3480000}"/>
    <cellStyle name="Normal 48 26 2" xfId="22232" xr:uid="{00000000-0005-0000-0000-0000C4480000}"/>
    <cellStyle name="Normal 48 27" xfId="10112" xr:uid="{00000000-0005-0000-0000-0000C5480000}"/>
    <cellStyle name="Normal 48 27 2" xfId="22233" xr:uid="{00000000-0005-0000-0000-0000C6480000}"/>
    <cellStyle name="Normal 48 28" xfId="10113" xr:uid="{00000000-0005-0000-0000-0000C7480000}"/>
    <cellStyle name="Normal 48 28 2" xfId="22234" xr:uid="{00000000-0005-0000-0000-0000C8480000}"/>
    <cellStyle name="Normal 48 29" xfId="10114" xr:uid="{00000000-0005-0000-0000-0000C9480000}"/>
    <cellStyle name="Normal 48 29 2" xfId="22235" xr:uid="{00000000-0005-0000-0000-0000CA480000}"/>
    <cellStyle name="Normal 48 3" xfId="736" xr:uid="{00000000-0005-0000-0000-0000CB480000}"/>
    <cellStyle name="Normal 48 3 2" xfId="22236" xr:uid="{00000000-0005-0000-0000-0000CC480000}"/>
    <cellStyle name="Normal 48 3 3" xfId="10115" xr:uid="{00000000-0005-0000-0000-0000CD480000}"/>
    <cellStyle name="Normal 48 30" xfId="10116" xr:uid="{00000000-0005-0000-0000-0000CE480000}"/>
    <cellStyle name="Normal 48 30 2" xfId="22237" xr:uid="{00000000-0005-0000-0000-0000CF480000}"/>
    <cellStyle name="Normal 48 31" xfId="10117" xr:uid="{00000000-0005-0000-0000-0000D0480000}"/>
    <cellStyle name="Normal 48 31 2" xfId="22238" xr:uid="{00000000-0005-0000-0000-0000D1480000}"/>
    <cellStyle name="Normal 48 32" xfId="10118" xr:uid="{00000000-0005-0000-0000-0000D2480000}"/>
    <cellStyle name="Normal 48 32 2" xfId="22239" xr:uid="{00000000-0005-0000-0000-0000D3480000}"/>
    <cellStyle name="Normal 48 33" xfId="10119" xr:uid="{00000000-0005-0000-0000-0000D4480000}"/>
    <cellStyle name="Normal 48 33 2" xfId="22240" xr:uid="{00000000-0005-0000-0000-0000D5480000}"/>
    <cellStyle name="Normal 48 34" xfId="10120" xr:uid="{00000000-0005-0000-0000-0000D6480000}"/>
    <cellStyle name="Normal 48 34 2" xfId="22241" xr:uid="{00000000-0005-0000-0000-0000D7480000}"/>
    <cellStyle name="Normal 48 35" xfId="10121" xr:uid="{00000000-0005-0000-0000-0000D8480000}"/>
    <cellStyle name="Normal 48 35 2" xfId="22242" xr:uid="{00000000-0005-0000-0000-0000D9480000}"/>
    <cellStyle name="Normal 48 36" xfId="10122" xr:uid="{00000000-0005-0000-0000-0000DA480000}"/>
    <cellStyle name="Normal 48 36 2" xfId="22243" xr:uid="{00000000-0005-0000-0000-0000DB480000}"/>
    <cellStyle name="Normal 48 37" xfId="10123" xr:uid="{00000000-0005-0000-0000-0000DC480000}"/>
    <cellStyle name="Normal 48 37 2" xfId="22244" xr:uid="{00000000-0005-0000-0000-0000DD480000}"/>
    <cellStyle name="Normal 48 38" xfId="10124" xr:uid="{00000000-0005-0000-0000-0000DE480000}"/>
    <cellStyle name="Normal 48 38 2" xfId="22245" xr:uid="{00000000-0005-0000-0000-0000DF480000}"/>
    <cellStyle name="Normal 48 39" xfId="10125" xr:uid="{00000000-0005-0000-0000-0000E0480000}"/>
    <cellStyle name="Normal 48 39 2" xfId="22246" xr:uid="{00000000-0005-0000-0000-0000E1480000}"/>
    <cellStyle name="Normal 48 4" xfId="370" xr:uid="{00000000-0005-0000-0000-0000E2480000}"/>
    <cellStyle name="Normal 48 4 2" xfId="22247" xr:uid="{00000000-0005-0000-0000-0000E3480000}"/>
    <cellStyle name="Normal 48 40" xfId="10126" xr:uid="{00000000-0005-0000-0000-0000E4480000}"/>
    <cellStyle name="Normal 48 40 2" xfId="22248" xr:uid="{00000000-0005-0000-0000-0000E5480000}"/>
    <cellStyle name="Normal 48 41" xfId="10127" xr:uid="{00000000-0005-0000-0000-0000E6480000}"/>
    <cellStyle name="Normal 48 41 2" xfId="22249" xr:uid="{00000000-0005-0000-0000-0000E7480000}"/>
    <cellStyle name="Normal 48 42" xfId="10128" xr:uid="{00000000-0005-0000-0000-0000E8480000}"/>
    <cellStyle name="Normal 48 42 2" xfId="22250" xr:uid="{00000000-0005-0000-0000-0000E9480000}"/>
    <cellStyle name="Normal 48 43" xfId="10129" xr:uid="{00000000-0005-0000-0000-0000EA480000}"/>
    <cellStyle name="Normal 48 43 2" xfId="22251" xr:uid="{00000000-0005-0000-0000-0000EB480000}"/>
    <cellStyle name="Normal 48 44" xfId="10130" xr:uid="{00000000-0005-0000-0000-0000EC480000}"/>
    <cellStyle name="Normal 48 44 2" xfId="22252" xr:uid="{00000000-0005-0000-0000-0000ED480000}"/>
    <cellStyle name="Normal 48 45" xfId="10131" xr:uid="{00000000-0005-0000-0000-0000EE480000}"/>
    <cellStyle name="Normal 48 45 2" xfId="22253" xr:uid="{00000000-0005-0000-0000-0000EF480000}"/>
    <cellStyle name="Normal 48 46" xfId="10132" xr:uid="{00000000-0005-0000-0000-0000F0480000}"/>
    <cellStyle name="Normal 48 46 2" xfId="22254" xr:uid="{00000000-0005-0000-0000-0000F1480000}"/>
    <cellStyle name="Normal 48 47" xfId="10133" xr:uid="{00000000-0005-0000-0000-0000F2480000}"/>
    <cellStyle name="Normal 48 47 2" xfId="22255" xr:uid="{00000000-0005-0000-0000-0000F3480000}"/>
    <cellStyle name="Normal 48 48" xfId="10134" xr:uid="{00000000-0005-0000-0000-0000F4480000}"/>
    <cellStyle name="Normal 48 48 2" xfId="22256" xr:uid="{00000000-0005-0000-0000-0000F5480000}"/>
    <cellStyle name="Normal 48 49" xfId="10135" xr:uid="{00000000-0005-0000-0000-0000F6480000}"/>
    <cellStyle name="Normal 48 49 2" xfId="22257" xr:uid="{00000000-0005-0000-0000-0000F7480000}"/>
    <cellStyle name="Normal 48 5" xfId="10136" xr:uid="{00000000-0005-0000-0000-0000F8480000}"/>
    <cellStyle name="Normal 48 5 2" xfId="22258" xr:uid="{00000000-0005-0000-0000-0000F9480000}"/>
    <cellStyle name="Normal 48 50" xfId="10137" xr:uid="{00000000-0005-0000-0000-0000FA480000}"/>
    <cellStyle name="Normal 48 50 2" xfId="22259" xr:uid="{00000000-0005-0000-0000-0000FB480000}"/>
    <cellStyle name="Normal 48 51" xfId="10138" xr:uid="{00000000-0005-0000-0000-0000FC480000}"/>
    <cellStyle name="Normal 48 51 2" xfId="22260" xr:uid="{00000000-0005-0000-0000-0000FD480000}"/>
    <cellStyle name="Normal 48 52" xfId="10139" xr:uid="{00000000-0005-0000-0000-0000FE480000}"/>
    <cellStyle name="Normal 48 52 2" xfId="22261" xr:uid="{00000000-0005-0000-0000-0000FF480000}"/>
    <cellStyle name="Normal 48 53" xfId="10140" xr:uid="{00000000-0005-0000-0000-000000490000}"/>
    <cellStyle name="Normal 48 53 2" xfId="22262" xr:uid="{00000000-0005-0000-0000-000001490000}"/>
    <cellStyle name="Normal 48 54" xfId="10141" xr:uid="{00000000-0005-0000-0000-000002490000}"/>
    <cellStyle name="Normal 48 54 2" xfId="22263" xr:uid="{00000000-0005-0000-0000-000003490000}"/>
    <cellStyle name="Normal 48 55" xfId="10142" xr:uid="{00000000-0005-0000-0000-000004490000}"/>
    <cellStyle name="Normal 48 55 2" xfId="22264" xr:uid="{00000000-0005-0000-0000-000005490000}"/>
    <cellStyle name="Normal 48 56" xfId="10143" xr:uid="{00000000-0005-0000-0000-000006490000}"/>
    <cellStyle name="Normal 48 56 2" xfId="22265" xr:uid="{00000000-0005-0000-0000-000007490000}"/>
    <cellStyle name="Normal 48 57" xfId="10144" xr:uid="{00000000-0005-0000-0000-000008490000}"/>
    <cellStyle name="Normal 48 57 2" xfId="22266" xr:uid="{00000000-0005-0000-0000-000009490000}"/>
    <cellStyle name="Normal 48 58" xfId="10145" xr:uid="{00000000-0005-0000-0000-00000A490000}"/>
    <cellStyle name="Normal 48 58 2" xfId="22267" xr:uid="{00000000-0005-0000-0000-00000B490000}"/>
    <cellStyle name="Normal 48 59" xfId="10146" xr:uid="{00000000-0005-0000-0000-00000C490000}"/>
    <cellStyle name="Normal 48 59 2" xfId="22268" xr:uid="{00000000-0005-0000-0000-00000D490000}"/>
    <cellStyle name="Normal 48 6" xfId="10147" xr:uid="{00000000-0005-0000-0000-00000E490000}"/>
    <cellStyle name="Normal 48 6 2" xfId="22269" xr:uid="{00000000-0005-0000-0000-00000F490000}"/>
    <cellStyle name="Normal 48 60" xfId="10148" xr:uid="{00000000-0005-0000-0000-000010490000}"/>
    <cellStyle name="Normal 48 60 2" xfId="22270" xr:uid="{00000000-0005-0000-0000-000011490000}"/>
    <cellStyle name="Normal 48 61" xfId="10149" xr:uid="{00000000-0005-0000-0000-000012490000}"/>
    <cellStyle name="Normal 48 61 2" xfId="22271" xr:uid="{00000000-0005-0000-0000-000013490000}"/>
    <cellStyle name="Normal 48 62" xfId="10150" xr:uid="{00000000-0005-0000-0000-000014490000}"/>
    <cellStyle name="Normal 48 62 2" xfId="22272" xr:uid="{00000000-0005-0000-0000-000015490000}"/>
    <cellStyle name="Normal 48 63" xfId="10151" xr:uid="{00000000-0005-0000-0000-000016490000}"/>
    <cellStyle name="Normal 48 63 2" xfId="22273" xr:uid="{00000000-0005-0000-0000-000017490000}"/>
    <cellStyle name="Normal 48 64" xfId="10152" xr:uid="{00000000-0005-0000-0000-000018490000}"/>
    <cellStyle name="Normal 48 64 2" xfId="22274" xr:uid="{00000000-0005-0000-0000-000019490000}"/>
    <cellStyle name="Normal 48 65" xfId="10153" xr:uid="{00000000-0005-0000-0000-00001A490000}"/>
    <cellStyle name="Normal 48 65 2" xfId="22275" xr:uid="{00000000-0005-0000-0000-00001B490000}"/>
    <cellStyle name="Normal 48 66" xfId="10154" xr:uid="{00000000-0005-0000-0000-00001C490000}"/>
    <cellStyle name="Normal 48 66 2" xfId="22276" xr:uid="{00000000-0005-0000-0000-00001D490000}"/>
    <cellStyle name="Normal 48 67" xfId="10155" xr:uid="{00000000-0005-0000-0000-00001E490000}"/>
    <cellStyle name="Normal 48 67 2" xfId="22277" xr:uid="{00000000-0005-0000-0000-00001F490000}"/>
    <cellStyle name="Normal 48 68" xfId="10156" xr:uid="{00000000-0005-0000-0000-000020490000}"/>
    <cellStyle name="Normal 48 68 2" xfId="22278" xr:uid="{00000000-0005-0000-0000-000021490000}"/>
    <cellStyle name="Normal 48 69" xfId="10157" xr:uid="{00000000-0005-0000-0000-000022490000}"/>
    <cellStyle name="Normal 48 69 2" xfId="22279" xr:uid="{00000000-0005-0000-0000-000023490000}"/>
    <cellStyle name="Normal 48 7" xfId="10158" xr:uid="{00000000-0005-0000-0000-000024490000}"/>
    <cellStyle name="Normal 48 7 2" xfId="22280" xr:uid="{00000000-0005-0000-0000-000025490000}"/>
    <cellStyle name="Normal 48 70" xfId="10159" xr:uid="{00000000-0005-0000-0000-000026490000}"/>
    <cellStyle name="Normal 48 70 2" xfId="22281" xr:uid="{00000000-0005-0000-0000-000027490000}"/>
    <cellStyle name="Normal 48 71" xfId="10160" xr:uid="{00000000-0005-0000-0000-000028490000}"/>
    <cellStyle name="Normal 48 71 2" xfId="22282" xr:uid="{00000000-0005-0000-0000-000029490000}"/>
    <cellStyle name="Normal 48 72" xfId="10161" xr:uid="{00000000-0005-0000-0000-00002A490000}"/>
    <cellStyle name="Normal 48 72 2" xfId="22283" xr:uid="{00000000-0005-0000-0000-00002B490000}"/>
    <cellStyle name="Normal 48 73" xfId="10162" xr:uid="{00000000-0005-0000-0000-00002C490000}"/>
    <cellStyle name="Normal 48 73 2" xfId="22284" xr:uid="{00000000-0005-0000-0000-00002D490000}"/>
    <cellStyle name="Normal 48 74" xfId="10163" xr:uid="{00000000-0005-0000-0000-00002E490000}"/>
    <cellStyle name="Normal 48 74 2" xfId="22285" xr:uid="{00000000-0005-0000-0000-00002F490000}"/>
    <cellStyle name="Normal 48 75" xfId="10164" xr:uid="{00000000-0005-0000-0000-000030490000}"/>
    <cellStyle name="Normal 48 75 2" xfId="22286" xr:uid="{00000000-0005-0000-0000-000031490000}"/>
    <cellStyle name="Normal 48 76" xfId="10165" xr:uid="{00000000-0005-0000-0000-000032490000}"/>
    <cellStyle name="Normal 48 76 2" xfId="22287" xr:uid="{00000000-0005-0000-0000-000033490000}"/>
    <cellStyle name="Normal 48 77" xfId="10166" xr:uid="{00000000-0005-0000-0000-000034490000}"/>
    <cellStyle name="Normal 48 77 2" xfId="22288" xr:uid="{00000000-0005-0000-0000-000035490000}"/>
    <cellStyle name="Normal 48 78" xfId="10167" xr:uid="{00000000-0005-0000-0000-000036490000}"/>
    <cellStyle name="Normal 48 78 2" xfId="22289" xr:uid="{00000000-0005-0000-0000-000037490000}"/>
    <cellStyle name="Normal 48 79" xfId="10168" xr:uid="{00000000-0005-0000-0000-000038490000}"/>
    <cellStyle name="Normal 48 79 2" xfId="22290" xr:uid="{00000000-0005-0000-0000-000039490000}"/>
    <cellStyle name="Normal 48 8" xfId="10169" xr:uid="{00000000-0005-0000-0000-00003A490000}"/>
    <cellStyle name="Normal 48 8 2" xfId="22291" xr:uid="{00000000-0005-0000-0000-00003B490000}"/>
    <cellStyle name="Normal 48 80" xfId="22214" xr:uid="{00000000-0005-0000-0000-00003C490000}"/>
    <cellStyle name="Normal 48 9" xfId="10170" xr:uid="{00000000-0005-0000-0000-00003D490000}"/>
    <cellStyle name="Normal 48 9 2" xfId="22292" xr:uid="{00000000-0005-0000-0000-00003E490000}"/>
    <cellStyle name="Normal 49" xfId="155" xr:uid="{00000000-0005-0000-0000-00003F490000}"/>
    <cellStyle name="Normal 49 10" xfId="10172" xr:uid="{00000000-0005-0000-0000-000040490000}"/>
    <cellStyle name="Normal 49 10 2" xfId="22293" xr:uid="{00000000-0005-0000-0000-000041490000}"/>
    <cellStyle name="Normal 49 11" xfId="10173" xr:uid="{00000000-0005-0000-0000-000042490000}"/>
    <cellStyle name="Normal 49 11 2" xfId="22294" xr:uid="{00000000-0005-0000-0000-000043490000}"/>
    <cellStyle name="Normal 49 12" xfId="10174" xr:uid="{00000000-0005-0000-0000-000044490000}"/>
    <cellStyle name="Normal 49 12 2" xfId="22295" xr:uid="{00000000-0005-0000-0000-000045490000}"/>
    <cellStyle name="Normal 49 13" xfId="10175" xr:uid="{00000000-0005-0000-0000-000046490000}"/>
    <cellStyle name="Normal 49 13 2" xfId="22296" xr:uid="{00000000-0005-0000-0000-000047490000}"/>
    <cellStyle name="Normal 49 14" xfId="10176" xr:uid="{00000000-0005-0000-0000-000048490000}"/>
    <cellStyle name="Normal 49 14 2" xfId="22297" xr:uid="{00000000-0005-0000-0000-000049490000}"/>
    <cellStyle name="Normal 49 15" xfId="10177" xr:uid="{00000000-0005-0000-0000-00004A490000}"/>
    <cellStyle name="Normal 49 15 2" xfId="22298" xr:uid="{00000000-0005-0000-0000-00004B490000}"/>
    <cellStyle name="Normal 49 16" xfId="10178" xr:uid="{00000000-0005-0000-0000-00004C490000}"/>
    <cellStyle name="Normal 49 16 2" xfId="22299" xr:uid="{00000000-0005-0000-0000-00004D490000}"/>
    <cellStyle name="Normal 49 17" xfId="10179" xr:uid="{00000000-0005-0000-0000-00004E490000}"/>
    <cellStyle name="Normal 49 17 2" xfId="22300" xr:uid="{00000000-0005-0000-0000-00004F490000}"/>
    <cellStyle name="Normal 49 18" xfId="10180" xr:uid="{00000000-0005-0000-0000-000050490000}"/>
    <cellStyle name="Normal 49 18 2" xfId="22301" xr:uid="{00000000-0005-0000-0000-000051490000}"/>
    <cellStyle name="Normal 49 19" xfId="10181" xr:uid="{00000000-0005-0000-0000-000052490000}"/>
    <cellStyle name="Normal 49 19 2" xfId="22302" xr:uid="{00000000-0005-0000-0000-000053490000}"/>
    <cellStyle name="Normal 49 2" xfId="737" xr:uid="{00000000-0005-0000-0000-000054490000}"/>
    <cellStyle name="Normal 49 2 2" xfId="22303" xr:uid="{00000000-0005-0000-0000-000055490000}"/>
    <cellStyle name="Normal 49 2 3" xfId="10182" xr:uid="{00000000-0005-0000-0000-000056490000}"/>
    <cellStyle name="Normal 49 20" xfId="10183" xr:uid="{00000000-0005-0000-0000-000057490000}"/>
    <cellStyle name="Normal 49 20 2" xfId="22304" xr:uid="{00000000-0005-0000-0000-000058490000}"/>
    <cellStyle name="Normal 49 21" xfId="10184" xr:uid="{00000000-0005-0000-0000-000059490000}"/>
    <cellStyle name="Normal 49 21 2" xfId="22305" xr:uid="{00000000-0005-0000-0000-00005A490000}"/>
    <cellStyle name="Normal 49 22" xfId="10185" xr:uid="{00000000-0005-0000-0000-00005B490000}"/>
    <cellStyle name="Normal 49 22 2" xfId="22306" xr:uid="{00000000-0005-0000-0000-00005C490000}"/>
    <cellStyle name="Normal 49 23" xfId="10186" xr:uid="{00000000-0005-0000-0000-00005D490000}"/>
    <cellStyle name="Normal 49 23 2" xfId="22307" xr:uid="{00000000-0005-0000-0000-00005E490000}"/>
    <cellStyle name="Normal 49 24" xfId="10187" xr:uid="{00000000-0005-0000-0000-00005F490000}"/>
    <cellStyle name="Normal 49 24 2" xfId="22308" xr:uid="{00000000-0005-0000-0000-000060490000}"/>
    <cellStyle name="Normal 49 25" xfId="10188" xr:uid="{00000000-0005-0000-0000-000061490000}"/>
    <cellStyle name="Normal 49 25 2" xfId="22309" xr:uid="{00000000-0005-0000-0000-000062490000}"/>
    <cellStyle name="Normal 49 26" xfId="10189" xr:uid="{00000000-0005-0000-0000-000063490000}"/>
    <cellStyle name="Normal 49 26 2" xfId="22310" xr:uid="{00000000-0005-0000-0000-000064490000}"/>
    <cellStyle name="Normal 49 27" xfId="10190" xr:uid="{00000000-0005-0000-0000-000065490000}"/>
    <cellStyle name="Normal 49 27 2" xfId="22311" xr:uid="{00000000-0005-0000-0000-000066490000}"/>
    <cellStyle name="Normal 49 28" xfId="10191" xr:uid="{00000000-0005-0000-0000-000067490000}"/>
    <cellStyle name="Normal 49 28 2" xfId="22312" xr:uid="{00000000-0005-0000-0000-000068490000}"/>
    <cellStyle name="Normal 49 29" xfId="10192" xr:uid="{00000000-0005-0000-0000-000069490000}"/>
    <cellStyle name="Normal 49 29 2" xfId="22313" xr:uid="{00000000-0005-0000-0000-00006A490000}"/>
    <cellStyle name="Normal 49 3" xfId="371" xr:uid="{00000000-0005-0000-0000-00006B490000}"/>
    <cellStyle name="Normal 49 3 2" xfId="22314" xr:uid="{00000000-0005-0000-0000-00006C490000}"/>
    <cellStyle name="Normal 49 30" xfId="10193" xr:uid="{00000000-0005-0000-0000-00006D490000}"/>
    <cellStyle name="Normal 49 30 2" xfId="22315" xr:uid="{00000000-0005-0000-0000-00006E490000}"/>
    <cellStyle name="Normal 49 31" xfId="10194" xr:uid="{00000000-0005-0000-0000-00006F490000}"/>
    <cellStyle name="Normal 49 31 2" xfId="22316" xr:uid="{00000000-0005-0000-0000-000070490000}"/>
    <cellStyle name="Normal 49 32" xfId="10195" xr:uid="{00000000-0005-0000-0000-000071490000}"/>
    <cellStyle name="Normal 49 32 2" xfId="22317" xr:uid="{00000000-0005-0000-0000-000072490000}"/>
    <cellStyle name="Normal 49 33" xfId="10196" xr:uid="{00000000-0005-0000-0000-000073490000}"/>
    <cellStyle name="Normal 49 33 2" xfId="22318" xr:uid="{00000000-0005-0000-0000-000074490000}"/>
    <cellStyle name="Normal 49 34" xfId="10197" xr:uid="{00000000-0005-0000-0000-000075490000}"/>
    <cellStyle name="Normal 49 34 2" xfId="22319" xr:uid="{00000000-0005-0000-0000-000076490000}"/>
    <cellStyle name="Normal 49 35" xfId="10198" xr:uid="{00000000-0005-0000-0000-000077490000}"/>
    <cellStyle name="Normal 49 35 2" xfId="22320" xr:uid="{00000000-0005-0000-0000-000078490000}"/>
    <cellStyle name="Normal 49 36" xfId="10199" xr:uid="{00000000-0005-0000-0000-000079490000}"/>
    <cellStyle name="Normal 49 36 2" xfId="22321" xr:uid="{00000000-0005-0000-0000-00007A490000}"/>
    <cellStyle name="Normal 49 37" xfId="10200" xr:uid="{00000000-0005-0000-0000-00007B490000}"/>
    <cellStyle name="Normal 49 37 2" xfId="22322" xr:uid="{00000000-0005-0000-0000-00007C490000}"/>
    <cellStyle name="Normal 49 38" xfId="10201" xr:uid="{00000000-0005-0000-0000-00007D490000}"/>
    <cellStyle name="Normal 49 38 2" xfId="22323" xr:uid="{00000000-0005-0000-0000-00007E490000}"/>
    <cellStyle name="Normal 49 39" xfId="10202" xr:uid="{00000000-0005-0000-0000-00007F490000}"/>
    <cellStyle name="Normal 49 39 2" xfId="22324" xr:uid="{00000000-0005-0000-0000-000080490000}"/>
    <cellStyle name="Normal 49 4" xfId="10203" xr:uid="{00000000-0005-0000-0000-000081490000}"/>
    <cellStyle name="Normal 49 4 2" xfId="22325" xr:uid="{00000000-0005-0000-0000-000082490000}"/>
    <cellStyle name="Normal 49 40" xfId="10204" xr:uid="{00000000-0005-0000-0000-000083490000}"/>
    <cellStyle name="Normal 49 40 2" xfId="22326" xr:uid="{00000000-0005-0000-0000-000084490000}"/>
    <cellStyle name="Normal 49 41" xfId="10205" xr:uid="{00000000-0005-0000-0000-000085490000}"/>
    <cellStyle name="Normal 49 41 2" xfId="22327" xr:uid="{00000000-0005-0000-0000-000086490000}"/>
    <cellStyle name="Normal 49 42" xfId="10206" xr:uid="{00000000-0005-0000-0000-000087490000}"/>
    <cellStyle name="Normal 49 42 2" xfId="22328" xr:uid="{00000000-0005-0000-0000-000088490000}"/>
    <cellStyle name="Normal 49 43" xfId="10207" xr:uid="{00000000-0005-0000-0000-000089490000}"/>
    <cellStyle name="Normal 49 43 2" xfId="22329" xr:uid="{00000000-0005-0000-0000-00008A490000}"/>
    <cellStyle name="Normal 49 44" xfId="10208" xr:uid="{00000000-0005-0000-0000-00008B490000}"/>
    <cellStyle name="Normal 49 44 2" xfId="22330" xr:uid="{00000000-0005-0000-0000-00008C490000}"/>
    <cellStyle name="Normal 49 45" xfId="10209" xr:uid="{00000000-0005-0000-0000-00008D490000}"/>
    <cellStyle name="Normal 49 45 2" xfId="22331" xr:uid="{00000000-0005-0000-0000-00008E490000}"/>
    <cellStyle name="Normal 49 46" xfId="10210" xr:uid="{00000000-0005-0000-0000-00008F490000}"/>
    <cellStyle name="Normal 49 46 2" xfId="22332" xr:uid="{00000000-0005-0000-0000-000090490000}"/>
    <cellStyle name="Normal 49 47" xfId="10211" xr:uid="{00000000-0005-0000-0000-000091490000}"/>
    <cellStyle name="Normal 49 47 2" xfId="22333" xr:uid="{00000000-0005-0000-0000-000092490000}"/>
    <cellStyle name="Normal 49 48" xfId="10212" xr:uid="{00000000-0005-0000-0000-000093490000}"/>
    <cellStyle name="Normal 49 48 2" xfId="22334" xr:uid="{00000000-0005-0000-0000-000094490000}"/>
    <cellStyle name="Normal 49 49" xfId="10213" xr:uid="{00000000-0005-0000-0000-000095490000}"/>
    <cellStyle name="Normal 49 49 2" xfId="22335" xr:uid="{00000000-0005-0000-0000-000096490000}"/>
    <cellStyle name="Normal 49 5" xfId="10214" xr:uid="{00000000-0005-0000-0000-000097490000}"/>
    <cellStyle name="Normal 49 5 2" xfId="22336" xr:uid="{00000000-0005-0000-0000-000098490000}"/>
    <cellStyle name="Normal 49 50" xfId="10215" xr:uid="{00000000-0005-0000-0000-000099490000}"/>
    <cellStyle name="Normal 49 50 2" xfId="22337" xr:uid="{00000000-0005-0000-0000-00009A490000}"/>
    <cellStyle name="Normal 49 51" xfId="10216" xr:uid="{00000000-0005-0000-0000-00009B490000}"/>
    <cellStyle name="Normal 49 51 2" xfId="22338" xr:uid="{00000000-0005-0000-0000-00009C490000}"/>
    <cellStyle name="Normal 49 52" xfId="10217" xr:uid="{00000000-0005-0000-0000-00009D490000}"/>
    <cellStyle name="Normal 49 52 2" xfId="22339" xr:uid="{00000000-0005-0000-0000-00009E490000}"/>
    <cellStyle name="Normal 49 53" xfId="10218" xr:uid="{00000000-0005-0000-0000-00009F490000}"/>
    <cellStyle name="Normal 49 53 2" xfId="22340" xr:uid="{00000000-0005-0000-0000-0000A0490000}"/>
    <cellStyle name="Normal 49 54" xfId="10219" xr:uid="{00000000-0005-0000-0000-0000A1490000}"/>
    <cellStyle name="Normal 49 54 2" xfId="22341" xr:uid="{00000000-0005-0000-0000-0000A2490000}"/>
    <cellStyle name="Normal 49 55" xfId="10220" xr:uid="{00000000-0005-0000-0000-0000A3490000}"/>
    <cellStyle name="Normal 49 55 2" xfId="22342" xr:uid="{00000000-0005-0000-0000-0000A4490000}"/>
    <cellStyle name="Normal 49 56" xfId="10221" xr:uid="{00000000-0005-0000-0000-0000A5490000}"/>
    <cellStyle name="Normal 49 56 2" xfId="22343" xr:uid="{00000000-0005-0000-0000-0000A6490000}"/>
    <cellStyle name="Normal 49 57" xfId="10222" xr:uid="{00000000-0005-0000-0000-0000A7490000}"/>
    <cellStyle name="Normal 49 57 2" xfId="22344" xr:uid="{00000000-0005-0000-0000-0000A8490000}"/>
    <cellStyle name="Normal 49 58" xfId="10223" xr:uid="{00000000-0005-0000-0000-0000A9490000}"/>
    <cellStyle name="Normal 49 58 2" xfId="22345" xr:uid="{00000000-0005-0000-0000-0000AA490000}"/>
    <cellStyle name="Normal 49 59" xfId="10224" xr:uid="{00000000-0005-0000-0000-0000AB490000}"/>
    <cellStyle name="Normal 49 59 2" xfId="22346" xr:uid="{00000000-0005-0000-0000-0000AC490000}"/>
    <cellStyle name="Normal 49 6" xfId="10225" xr:uid="{00000000-0005-0000-0000-0000AD490000}"/>
    <cellStyle name="Normal 49 6 2" xfId="22347" xr:uid="{00000000-0005-0000-0000-0000AE490000}"/>
    <cellStyle name="Normal 49 60" xfId="10226" xr:uid="{00000000-0005-0000-0000-0000AF490000}"/>
    <cellStyle name="Normal 49 60 2" xfId="22348" xr:uid="{00000000-0005-0000-0000-0000B0490000}"/>
    <cellStyle name="Normal 49 61" xfId="10227" xr:uid="{00000000-0005-0000-0000-0000B1490000}"/>
    <cellStyle name="Normal 49 61 2" xfId="22349" xr:uid="{00000000-0005-0000-0000-0000B2490000}"/>
    <cellStyle name="Normal 49 62" xfId="10228" xr:uid="{00000000-0005-0000-0000-0000B3490000}"/>
    <cellStyle name="Normal 49 62 2" xfId="22350" xr:uid="{00000000-0005-0000-0000-0000B4490000}"/>
    <cellStyle name="Normal 49 63" xfId="10229" xr:uid="{00000000-0005-0000-0000-0000B5490000}"/>
    <cellStyle name="Normal 49 63 2" xfId="22351" xr:uid="{00000000-0005-0000-0000-0000B6490000}"/>
    <cellStyle name="Normal 49 64" xfId="10230" xr:uid="{00000000-0005-0000-0000-0000B7490000}"/>
    <cellStyle name="Normal 49 64 2" xfId="22352" xr:uid="{00000000-0005-0000-0000-0000B8490000}"/>
    <cellStyle name="Normal 49 65" xfId="10231" xr:uid="{00000000-0005-0000-0000-0000B9490000}"/>
    <cellStyle name="Normal 49 65 2" xfId="22353" xr:uid="{00000000-0005-0000-0000-0000BA490000}"/>
    <cellStyle name="Normal 49 66" xfId="10232" xr:uid="{00000000-0005-0000-0000-0000BB490000}"/>
    <cellStyle name="Normal 49 66 2" xfId="22354" xr:uid="{00000000-0005-0000-0000-0000BC490000}"/>
    <cellStyle name="Normal 49 67" xfId="10233" xr:uid="{00000000-0005-0000-0000-0000BD490000}"/>
    <cellStyle name="Normal 49 67 2" xfId="22355" xr:uid="{00000000-0005-0000-0000-0000BE490000}"/>
    <cellStyle name="Normal 49 68" xfId="10234" xr:uid="{00000000-0005-0000-0000-0000BF490000}"/>
    <cellStyle name="Normal 49 68 2" xfId="22356" xr:uid="{00000000-0005-0000-0000-0000C0490000}"/>
    <cellStyle name="Normal 49 69" xfId="10235" xr:uid="{00000000-0005-0000-0000-0000C1490000}"/>
    <cellStyle name="Normal 49 69 2" xfId="22357" xr:uid="{00000000-0005-0000-0000-0000C2490000}"/>
    <cellStyle name="Normal 49 7" xfId="10236" xr:uid="{00000000-0005-0000-0000-0000C3490000}"/>
    <cellStyle name="Normal 49 7 2" xfId="22358" xr:uid="{00000000-0005-0000-0000-0000C4490000}"/>
    <cellStyle name="Normal 49 70" xfId="10237" xr:uid="{00000000-0005-0000-0000-0000C5490000}"/>
    <cellStyle name="Normal 49 70 2" xfId="22359" xr:uid="{00000000-0005-0000-0000-0000C6490000}"/>
    <cellStyle name="Normal 49 71" xfId="10238" xr:uid="{00000000-0005-0000-0000-0000C7490000}"/>
    <cellStyle name="Normal 49 71 2" xfId="22360" xr:uid="{00000000-0005-0000-0000-0000C8490000}"/>
    <cellStyle name="Normal 49 72" xfId="10239" xr:uid="{00000000-0005-0000-0000-0000C9490000}"/>
    <cellStyle name="Normal 49 72 2" xfId="22361" xr:uid="{00000000-0005-0000-0000-0000CA490000}"/>
    <cellStyle name="Normal 49 73" xfId="10240" xr:uid="{00000000-0005-0000-0000-0000CB490000}"/>
    <cellStyle name="Normal 49 73 2" xfId="22362" xr:uid="{00000000-0005-0000-0000-0000CC490000}"/>
    <cellStyle name="Normal 49 74" xfId="10241" xr:uid="{00000000-0005-0000-0000-0000CD490000}"/>
    <cellStyle name="Normal 49 74 2" xfId="22363" xr:uid="{00000000-0005-0000-0000-0000CE490000}"/>
    <cellStyle name="Normal 49 75" xfId="10242" xr:uid="{00000000-0005-0000-0000-0000CF490000}"/>
    <cellStyle name="Normal 49 75 2" xfId="22364" xr:uid="{00000000-0005-0000-0000-0000D0490000}"/>
    <cellStyle name="Normal 49 76" xfId="10243" xr:uid="{00000000-0005-0000-0000-0000D1490000}"/>
    <cellStyle name="Normal 49 76 2" xfId="22365" xr:uid="{00000000-0005-0000-0000-0000D2490000}"/>
    <cellStyle name="Normal 49 77" xfId="10244" xr:uid="{00000000-0005-0000-0000-0000D3490000}"/>
    <cellStyle name="Normal 49 77 2" xfId="22366" xr:uid="{00000000-0005-0000-0000-0000D4490000}"/>
    <cellStyle name="Normal 49 78" xfId="10245" xr:uid="{00000000-0005-0000-0000-0000D5490000}"/>
    <cellStyle name="Normal 49 78 2" xfId="22367" xr:uid="{00000000-0005-0000-0000-0000D6490000}"/>
    <cellStyle name="Normal 49 79" xfId="10246" xr:uid="{00000000-0005-0000-0000-0000D7490000}"/>
    <cellStyle name="Normal 49 79 2" xfId="22368" xr:uid="{00000000-0005-0000-0000-0000D8490000}"/>
    <cellStyle name="Normal 49 8" xfId="10247" xr:uid="{00000000-0005-0000-0000-0000D9490000}"/>
    <cellStyle name="Normal 49 8 2" xfId="22369" xr:uid="{00000000-0005-0000-0000-0000DA490000}"/>
    <cellStyle name="Normal 49 80" xfId="27361" xr:uid="{00000000-0005-0000-0000-0000DB490000}"/>
    <cellStyle name="Normal 49 81" xfId="10171" xr:uid="{00000000-0005-0000-0000-0000DC490000}"/>
    <cellStyle name="Normal 49 9" xfId="10248" xr:uid="{00000000-0005-0000-0000-0000DD490000}"/>
    <cellStyle name="Normal 49 9 2" xfId="22370" xr:uid="{00000000-0005-0000-0000-0000DE490000}"/>
    <cellStyle name="Normal 5" xfId="69" xr:uid="{00000000-0005-0000-0000-0000DF490000}"/>
    <cellStyle name="Normal 5 10" xfId="3173" xr:uid="{00000000-0005-0000-0000-0000E0490000}"/>
    <cellStyle name="Normal 5 10 2" xfId="15339" xr:uid="{00000000-0005-0000-0000-0000E1490000}"/>
    <cellStyle name="Normal 5 11" xfId="3174" xr:uid="{00000000-0005-0000-0000-0000E2490000}"/>
    <cellStyle name="Normal 5 11 2" xfId="15340" xr:uid="{00000000-0005-0000-0000-0000E3490000}"/>
    <cellStyle name="Normal 5 12" xfId="3175" xr:uid="{00000000-0005-0000-0000-0000E4490000}"/>
    <cellStyle name="Normal 5 12 2" xfId="15341" xr:uid="{00000000-0005-0000-0000-0000E5490000}"/>
    <cellStyle name="Normal 5 13" xfId="3176" xr:uid="{00000000-0005-0000-0000-0000E6490000}"/>
    <cellStyle name="Normal 5 13 2" xfId="15342" xr:uid="{00000000-0005-0000-0000-0000E7490000}"/>
    <cellStyle name="Normal 5 14" xfId="3177" xr:uid="{00000000-0005-0000-0000-0000E8490000}"/>
    <cellStyle name="Normal 5 14 2" xfId="15343" xr:uid="{00000000-0005-0000-0000-0000E9490000}"/>
    <cellStyle name="Normal 5 15" xfId="10249" xr:uid="{00000000-0005-0000-0000-0000EA490000}"/>
    <cellStyle name="Normal 5 15 2" xfId="22371" xr:uid="{00000000-0005-0000-0000-0000EB490000}"/>
    <cellStyle name="Normal 5 16" xfId="10250" xr:uid="{00000000-0005-0000-0000-0000EC490000}"/>
    <cellStyle name="Normal 5 16 2" xfId="22372" xr:uid="{00000000-0005-0000-0000-0000ED490000}"/>
    <cellStyle name="Normal 5 17" xfId="10251" xr:uid="{00000000-0005-0000-0000-0000EE490000}"/>
    <cellStyle name="Normal 5 17 2" xfId="22373" xr:uid="{00000000-0005-0000-0000-0000EF490000}"/>
    <cellStyle name="Normal 5 18" xfId="10252" xr:uid="{00000000-0005-0000-0000-0000F0490000}"/>
    <cellStyle name="Normal 5 18 2" xfId="22374" xr:uid="{00000000-0005-0000-0000-0000F1490000}"/>
    <cellStyle name="Normal 5 19" xfId="95" xr:uid="{00000000-0005-0000-0000-0000F2490000}"/>
    <cellStyle name="Normal 5 19 2" xfId="22375" xr:uid="{00000000-0005-0000-0000-0000F3490000}"/>
    <cellStyle name="Normal 5 2" xfId="98" xr:uid="{00000000-0005-0000-0000-0000F4490000}"/>
    <cellStyle name="Normal 5 2 10" xfId="10253" xr:uid="{00000000-0005-0000-0000-0000F5490000}"/>
    <cellStyle name="Normal 5 2 10 2" xfId="22376" xr:uid="{00000000-0005-0000-0000-0000F6490000}"/>
    <cellStyle name="Normal 5 2 11" xfId="10254" xr:uid="{00000000-0005-0000-0000-0000F7490000}"/>
    <cellStyle name="Normal 5 2 11 2" xfId="22377" xr:uid="{00000000-0005-0000-0000-0000F8490000}"/>
    <cellStyle name="Normal 5 2 12" xfId="10255" xr:uid="{00000000-0005-0000-0000-0000F9490000}"/>
    <cellStyle name="Normal 5 2 12 2" xfId="22378" xr:uid="{00000000-0005-0000-0000-0000FA490000}"/>
    <cellStyle name="Normal 5 2 13" xfId="10256" xr:uid="{00000000-0005-0000-0000-0000FB490000}"/>
    <cellStyle name="Normal 5 2 13 2" xfId="22379" xr:uid="{00000000-0005-0000-0000-0000FC490000}"/>
    <cellStyle name="Normal 5 2 14" xfId="10257" xr:uid="{00000000-0005-0000-0000-0000FD490000}"/>
    <cellStyle name="Normal 5 2 14 2" xfId="22380" xr:uid="{00000000-0005-0000-0000-0000FE490000}"/>
    <cellStyle name="Normal 5 2 15" xfId="10258" xr:uid="{00000000-0005-0000-0000-0000FF490000}"/>
    <cellStyle name="Normal 5 2 15 2" xfId="22381" xr:uid="{00000000-0005-0000-0000-0000004A0000}"/>
    <cellStyle name="Normal 5 2 16" xfId="10259" xr:uid="{00000000-0005-0000-0000-0000014A0000}"/>
    <cellStyle name="Normal 5 2 16 2" xfId="22382" xr:uid="{00000000-0005-0000-0000-0000024A0000}"/>
    <cellStyle name="Normal 5 2 17" xfId="10260" xr:uid="{00000000-0005-0000-0000-0000034A0000}"/>
    <cellStyle name="Normal 5 2 17 2" xfId="22383" xr:uid="{00000000-0005-0000-0000-0000044A0000}"/>
    <cellStyle name="Normal 5 2 18" xfId="10261" xr:uid="{00000000-0005-0000-0000-0000054A0000}"/>
    <cellStyle name="Normal 5 2 18 2" xfId="22384" xr:uid="{00000000-0005-0000-0000-0000064A0000}"/>
    <cellStyle name="Normal 5 2 19" xfId="10262" xr:uid="{00000000-0005-0000-0000-0000074A0000}"/>
    <cellStyle name="Normal 5 2 19 2" xfId="22385" xr:uid="{00000000-0005-0000-0000-0000084A0000}"/>
    <cellStyle name="Normal 5 2 2" xfId="3319" xr:uid="{00000000-0005-0000-0000-0000094A0000}"/>
    <cellStyle name="Normal 5 2 2 2" xfId="15354" xr:uid="{00000000-0005-0000-0000-00000A4A0000}"/>
    <cellStyle name="Normal 5 2 20" xfId="10263" xr:uid="{00000000-0005-0000-0000-00000B4A0000}"/>
    <cellStyle name="Normal 5 2 20 2" xfId="22386" xr:uid="{00000000-0005-0000-0000-00000C4A0000}"/>
    <cellStyle name="Normal 5 2 21" xfId="10264" xr:uid="{00000000-0005-0000-0000-00000D4A0000}"/>
    <cellStyle name="Normal 5 2 21 2" xfId="22387" xr:uid="{00000000-0005-0000-0000-00000E4A0000}"/>
    <cellStyle name="Normal 5 2 22" xfId="10265" xr:uid="{00000000-0005-0000-0000-00000F4A0000}"/>
    <cellStyle name="Normal 5 2 22 2" xfId="22388" xr:uid="{00000000-0005-0000-0000-0000104A0000}"/>
    <cellStyle name="Normal 5 2 23" xfId="10266" xr:uid="{00000000-0005-0000-0000-0000114A0000}"/>
    <cellStyle name="Normal 5 2 23 2" xfId="22389" xr:uid="{00000000-0005-0000-0000-0000124A0000}"/>
    <cellStyle name="Normal 5 2 24" xfId="10267" xr:uid="{00000000-0005-0000-0000-0000134A0000}"/>
    <cellStyle name="Normal 5 2 24 2" xfId="22390" xr:uid="{00000000-0005-0000-0000-0000144A0000}"/>
    <cellStyle name="Normal 5 2 25" xfId="10268" xr:uid="{00000000-0005-0000-0000-0000154A0000}"/>
    <cellStyle name="Normal 5 2 25 2" xfId="22391" xr:uid="{00000000-0005-0000-0000-0000164A0000}"/>
    <cellStyle name="Normal 5 2 26" xfId="10269" xr:uid="{00000000-0005-0000-0000-0000174A0000}"/>
    <cellStyle name="Normal 5 2 26 2" xfId="22392" xr:uid="{00000000-0005-0000-0000-0000184A0000}"/>
    <cellStyle name="Normal 5 2 27" xfId="10270" xr:uid="{00000000-0005-0000-0000-0000194A0000}"/>
    <cellStyle name="Normal 5 2 27 2" xfId="22393" xr:uid="{00000000-0005-0000-0000-00001A4A0000}"/>
    <cellStyle name="Normal 5 2 28" xfId="10271" xr:uid="{00000000-0005-0000-0000-00001B4A0000}"/>
    <cellStyle name="Normal 5 2 28 2" xfId="22394" xr:uid="{00000000-0005-0000-0000-00001C4A0000}"/>
    <cellStyle name="Normal 5 2 29" xfId="10272" xr:uid="{00000000-0005-0000-0000-00001D4A0000}"/>
    <cellStyle name="Normal 5 2 29 2" xfId="22395" xr:uid="{00000000-0005-0000-0000-00001E4A0000}"/>
    <cellStyle name="Normal 5 2 3" xfId="10273" xr:uid="{00000000-0005-0000-0000-00001F4A0000}"/>
    <cellStyle name="Normal 5 2 3 2" xfId="22396" xr:uid="{00000000-0005-0000-0000-0000204A0000}"/>
    <cellStyle name="Normal 5 2 30" xfId="10274" xr:uid="{00000000-0005-0000-0000-0000214A0000}"/>
    <cellStyle name="Normal 5 2 30 2" xfId="22397" xr:uid="{00000000-0005-0000-0000-0000224A0000}"/>
    <cellStyle name="Normal 5 2 31" xfId="10275" xr:uid="{00000000-0005-0000-0000-0000234A0000}"/>
    <cellStyle name="Normal 5 2 31 2" xfId="22398" xr:uid="{00000000-0005-0000-0000-0000244A0000}"/>
    <cellStyle name="Normal 5 2 32" xfId="10276" xr:uid="{00000000-0005-0000-0000-0000254A0000}"/>
    <cellStyle name="Normal 5 2 32 2" xfId="22399" xr:uid="{00000000-0005-0000-0000-0000264A0000}"/>
    <cellStyle name="Normal 5 2 33" xfId="10277" xr:uid="{00000000-0005-0000-0000-0000274A0000}"/>
    <cellStyle name="Normal 5 2 33 2" xfId="22400" xr:uid="{00000000-0005-0000-0000-0000284A0000}"/>
    <cellStyle name="Normal 5 2 34" xfId="10278" xr:uid="{00000000-0005-0000-0000-0000294A0000}"/>
    <cellStyle name="Normal 5 2 34 2" xfId="22401" xr:uid="{00000000-0005-0000-0000-00002A4A0000}"/>
    <cellStyle name="Normal 5 2 35" xfId="10279" xr:uid="{00000000-0005-0000-0000-00002B4A0000}"/>
    <cellStyle name="Normal 5 2 35 2" xfId="22402" xr:uid="{00000000-0005-0000-0000-00002C4A0000}"/>
    <cellStyle name="Normal 5 2 36" xfId="10280" xr:uid="{00000000-0005-0000-0000-00002D4A0000}"/>
    <cellStyle name="Normal 5 2 36 2" xfId="22403" xr:uid="{00000000-0005-0000-0000-00002E4A0000}"/>
    <cellStyle name="Normal 5 2 37" xfId="10281" xr:uid="{00000000-0005-0000-0000-00002F4A0000}"/>
    <cellStyle name="Normal 5 2 37 2" xfId="22404" xr:uid="{00000000-0005-0000-0000-0000304A0000}"/>
    <cellStyle name="Normal 5 2 38" xfId="10282" xr:uid="{00000000-0005-0000-0000-0000314A0000}"/>
    <cellStyle name="Normal 5 2 38 2" xfId="22405" xr:uid="{00000000-0005-0000-0000-0000324A0000}"/>
    <cellStyle name="Normal 5 2 39" xfId="10283" xr:uid="{00000000-0005-0000-0000-0000334A0000}"/>
    <cellStyle name="Normal 5 2 39 2" xfId="22406" xr:uid="{00000000-0005-0000-0000-0000344A0000}"/>
    <cellStyle name="Normal 5 2 4" xfId="10284" xr:uid="{00000000-0005-0000-0000-0000354A0000}"/>
    <cellStyle name="Normal 5 2 4 2" xfId="22407" xr:uid="{00000000-0005-0000-0000-0000364A0000}"/>
    <cellStyle name="Normal 5 2 40" xfId="10285" xr:uid="{00000000-0005-0000-0000-0000374A0000}"/>
    <cellStyle name="Normal 5 2 40 2" xfId="22408" xr:uid="{00000000-0005-0000-0000-0000384A0000}"/>
    <cellStyle name="Normal 5 2 41" xfId="10286" xr:uid="{00000000-0005-0000-0000-0000394A0000}"/>
    <cellStyle name="Normal 5 2 41 2" xfId="22409" xr:uid="{00000000-0005-0000-0000-00003A4A0000}"/>
    <cellStyle name="Normal 5 2 42" xfId="10287" xr:uid="{00000000-0005-0000-0000-00003B4A0000}"/>
    <cellStyle name="Normal 5 2 42 2" xfId="22410" xr:uid="{00000000-0005-0000-0000-00003C4A0000}"/>
    <cellStyle name="Normal 5 2 43" xfId="10288" xr:uid="{00000000-0005-0000-0000-00003D4A0000}"/>
    <cellStyle name="Normal 5 2 43 2" xfId="22411" xr:uid="{00000000-0005-0000-0000-00003E4A0000}"/>
    <cellStyle name="Normal 5 2 44" xfId="10289" xr:uid="{00000000-0005-0000-0000-00003F4A0000}"/>
    <cellStyle name="Normal 5 2 44 2" xfId="22412" xr:uid="{00000000-0005-0000-0000-0000404A0000}"/>
    <cellStyle name="Normal 5 2 45" xfId="10290" xr:uid="{00000000-0005-0000-0000-0000414A0000}"/>
    <cellStyle name="Normal 5 2 45 2" xfId="22413" xr:uid="{00000000-0005-0000-0000-0000424A0000}"/>
    <cellStyle name="Normal 5 2 46" xfId="10291" xr:uid="{00000000-0005-0000-0000-0000434A0000}"/>
    <cellStyle name="Normal 5 2 46 2" xfId="22414" xr:uid="{00000000-0005-0000-0000-0000444A0000}"/>
    <cellStyle name="Normal 5 2 47" xfId="10292" xr:uid="{00000000-0005-0000-0000-0000454A0000}"/>
    <cellStyle name="Normal 5 2 47 2" xfId="22415" xr:uid="{00000000-0005-0000-0000-0000464A0000}"/>
    <cellStyle name="Normal 5 2 48" xfId="10293" xr:uid="{00000000-0005-0000-0000-0000474A0000}"/>
    <cellStyle name="Normal 5 2 48 2" xfId="22416" xr:uid="{00000000-0005-0000-0000-0000484A0000}"/>
    <cellStyle name="Normal 5 2 49" xfId="10294" xr:uid="{00000000-0005-0000-0000-0000494A0000}"/>
    <cellStyle name="Normal 5 2 49 2" xfId="22417" xr:uid="{00000000-0005-0000-0000-00004A4A0000}"/>
    <cellStyle name="Normal 5 2 5" xfId="10295" xr:uid="{00000000-0005-0000-0000-00004B4A0000}"/>
    <cellStyle name="Normal 5 2 5 2" xfId="22418" xr:uid="{00000000-0005-0000-0000-00004C4A0000}"/>
    <cellStyle name="Normal 5 2 50" xfId="10296" xr:uid="{00000000-0005-0000-0000-00004D4A0000}"/>
    <cellStyle name="Normal 5 2 50 2" xfId="22419" xr:uid="{00000000-0005-0000-0000-00004E4A0000}"/>
    <cellStyle name="Normal 5 2 51" xfId="10297" xr:uid="{00000000-0005-0000-0000-00004F4A0000}"/>
    <cellStyle name="Normal 5 2 51 2" xfId="22420" xr:uid="{00000000-0005-0000-0000-0000504A0000}"/>
    <cellStyle name="Normal 5 2 52" xfId="10298" xr:uid="{00000000-0005-0000-0000-0000514A0000}"/>
    <cellStyle name="Normal 5 2 52 2" xfId="22421" xr:uid="{00000000-0005-0000-0000-0000524A0000}"/>
    <cellStyle name="Normal 5 2 53" xfId="10299" xr:uid="{00000000-0005-0000-0000-0000534A0000}"/>
    <cellStyle name="Normal 5 2 53 2" xfId="22422" xr:uid="{00000000-0005-0000-0000-0000544A0000}"/>
    <cellStyle name="Normal 5 2 54" xfId="10300" xr:uid="{00000000-0005-0000-0000-0000554A0000}"/>
    <cellStyle name="Normal 5 2 54 2" xfId="22423" xr:uid="{00000000-0005-0000-0000-0000564A0000}"/>
    <cellStyle name="Normal 5 2 55" xfId="10301" xr:uid="{00000000-0005-0000-0000-0000574A0000}"/>
    <cellStyle name="Normal 5 2 55 2" xfId="22424" xr:uid="{00000000-0005-0000-0000-0000584A0000}"/>
    <cellStyle name="Normal 5 2 56" xfId="10302" xr:uid="{00000000-0005-0000-0000-0000594A0000}"/>
    <cellStyle name="Normal 5 2 56 2" xfId="22425" xr:uid="{00000000-0005-0000-0000-00005A4A0000}"/>
    <cellStyle name="Normal 5 2 57" xfId="10303" xr:uid="{00000000-0005-0000-0000-00005B4A0000}"/>
    <cellStyle name="Normal 5 2 57 2" xfId="22426" xr:uid="{00000000-0005-0000-0000-00005C4A0000}"/>
    <cellStyle name="Normal 5 2 58" xfId="10304" xr:uid="{00000000-0005-0000-0000-00005D4A0000}"/>
    <cellStyle name="Normal 5 2 58 2" xfId="22427" xr:uid="{00000000-0005-0000-0000-00005E4A0000}"/>
    <cellStyle name="Normal 5 2 59" xfId="10305" xr:uid="{00000000-0005-0000-0000-00005F4A0000}"/>
    <cellStyle name="Normal 5 2 59 2" xfId="22428" xr:uid="{00000000-0005-0000-0000-0000604A0000}"/>
    <cellStyle name="Normal 5 2 6" xfId="10306" xr:uid="{00000000-0005-0000-0000-0000614A0000}"/>
    <cellStyle name="Normal 5 2 6 2" xfId="22429" xr:uid="{00000000-0005-0000-0000-0000624A0000}"/>
    <cellStyle name="Normal 5 2 60" xfId="10307" xr:uid="{00000000-0005-0000-0000-0000634A0000}"/>
    <cellStyle name="Normal 5 2 60 2" xfId="22430" xr:uid="{00000000-0005-0000-0000-0000644A0000}"/>
    <cellStyle name="Normal 5 2 61" xfId="10308" xr:uid="{00000000-0005-0000-0000-0000654A0000}"/>
    <cellStyle name="Normal 5 2 61 2" xfId="22431" xr:uid="{00000000-0005-0000-0000-0000664A0000}"/>
    <cellStyle name="Normal 5 2 62" xfId="10309" xr:uid="{00000000-0005-0000-0000-0000674A0000}"/>
    <cellStyle name="Normal 5 2 62 2" xfId="22432" xr:uid="{00000000-0005-0000-0000-0000684A0000}"/>
    <cellStyle name="Normal 5 2 63" xfId="10310" xr:uid="{00000000-0005-0000-0000-0000694A0000}"/>
    <cellStyle name="Normal 5 2 63 2" xfId="22433" xr:uid="{00000000-0005-0000-0000-00006A4A0000}"/>
    <cellStyle name="Normal 5 2 64" xfId="10311" xr:uid="{00000000-0005-0000-0000-00006B4A0000}"/>
    <cellStyle name="Normal 5 2 64 2" xfId="22434" xr:uid="{00000000-0005-0000-0000-00006C4A0000}"/>
    <cellStyle name="Normal 5 2 65" xfId="10312" xr:uid="{00000000-0005-0000-0000-00006D4A0000}"/>
    <cellStyle name="Normal 5 2 65 2" xfId="22435" xr:uid="{00000000-0005-0000-0000-00006E4A0000}"/>
    <cellStyle name="Normal 5 2 66" xfId="10313" xr:uid="{00000000-0005-0000-0000-00006F4A0000}"/>
    <cellStyle name="Normal 5 2 66 2" xfId="22436" xr:uid="{00000000-0005-0000-0000-0000704A0000}"/>
    <cellStyle name="Normal 5 2 67" xfId="10314" xr:uid="{00000000-0005-0000-0000-0000714A0000}"/>
    <cellStyle name="Normal 5 2 67 2" xfId="22437" xr:uid="{00000000-0005-0000-0000-0000724A0000}"/>
    <cellStyle name="Normal 5 2 68" xfId="10315" xr:uid="{00000000-0005-0000-0000-0000734A0000}"/>
    <cellStyle name="Normal 5 2 68 2" xfId="22438" xr:uid="{00000000-0005-0000-0000-0000744A0000}"/>
    <cellStyle name="Normal 5 2 69" xfId="10316" xr:uid="{00000000-0005-0000-0000-0000754A0000}"/>
    <cellStyle name="Normal 5 2 69 2" xfId="22439" xr:uid="{00000000-0005-0000-0000-0000764A0000}"/>
    <cellStyle name="Normal 5 2 7" xfId="10317" xr:uid="{00000000-0005-0000-0000-0000774A0000}"/>
    <cellStyle name="Normal 5 2 7 2" xfId="22440" xr:uid="{00000000-0005-0000-0000-0000784A0000}"/>
    <cellStyle name="Normal 5 2 70" xfId="10318" xr:uid="{00000000-0005-0000-0000-0000794A0000}"/>
    <cellStyle name="Normal 5 2 70 2" xfId="22441" xr:uid="{00000000-0005-0000-0000-00007A4A0000}"/>
    <cellStyle name="Normal 5 2 71" xfId="10319" xr:uid="{00000000-0005-0000-0000-00007B4A0000}"/>
    <cellStyle name="Normal 5 2 71 2" xfId="22442" xr:uid="{00000000-0005-0000-0000-00007C4A0000}"/>
    <cellStyle name="Normal 5 2 72" xfId="10320" xr:uid="{00000000-0005-0000-0000-00007D4A0000}"/>
    <cellStyle name="Normal 5 2 72 2" xfId="22443" xr:uid="{00000000-0005-0000-0000-00007E4A0000}"/>
    <cellStyle name="Normal 5 2 73" xfId="10321" xr:uid="{00000000-0005-0000-0000-00007F4A0000}"/>
    <cellStyle name="Normal 5 2 73 2" xfId="22444" xr:uid="{00000000-0005-0000-0000-0000804A0000}"/>
    <cellStyle name="Normal 5 2 74" xfId="10322" xr:uid="{00000000-0005-0000-0000-0000814A0000}"/>
    <cellStyle name="Normal 5 2 74 2" xfId="22445" xr:uid="{00000000-0005-0000-0000-0000824A0000}"/>
    <cellStyle name="Normal 5 2 75" xfId="10323" xr:uid="{00000000-0005-0000-0000-0000834A0000}"/>
    <cellStyle name="Normal 5 2 75 2" xfId="22446" xr:uid="{00000000-0005-0000-0000-0000844A0000}"/>
    <cellStyle name="Normal 5 2 76" xfId="10324" xr:uid="{00000000-0005-0000-0000-0000854A0000}"/>
    <cellStyle name="Normal 5 2 76 2" xfId="22447" xr:uid="{00000000-0005-0000-0000-0000864A0000}"/>
    <cellStyle name="Normal 5 2 77" xfId="10325" xr:uid="{00000000-0005-0000-0000-0000874A0000}"/>
    <cellStyle name="Normal 5 2 77 2" xfId="22448" xr:uid="{00000000-0005-0000-0000-0000884A0000}"/>
    <cellStyle name="Normal 5 2 78" xfId="10326" xr:uid="{00000000-0005-0000-0000-0000894A0000}"/>
    <cellStyle name="Normal 5 2 78 2" xfId="22449" xr:uid="{00000000-0005-0000-0000-00008A4A0000}"/>
    <cellStyle name="Normal 5 2 79" xfId="10327" xr:uid="{00000000-0005-0000-0000-00008B4A0000}"/>
    <cellStyle name="Normal 5 2 79 2" xfId="22450" xr:uid="{00000000-0005-0000-0000-00008C4A0000}"/>
    <cellStyle name="Normal 5 2 8" xfId="10328" xr:uid="{00000000-0005-0000-0000-00008D4A0000}"/>
    <cellStyle name="Normal 5 2 8 2" xfId="22451" xr:uid="{00000000-0005-0000-0000-00008E4A0000}"/>
    <cellStyle name="Normal 5 2 80" xfId="15344" xr:uid="{00000000-0005-0000-0000-00008F4A0000}"/>
    <cellStyle name="Normal 5 2 81" xfId="3178" xr:uid="{00000000-0005-0000-0000-0000904A0000}"/>
    <cellStyle name="Normal 5 2 9" xfId="10329" xr:uid="{00000000-0005-0000-0000-0000914A0000}"/>
    <cellStyle name="Normal 5 2 9 2" xfId="22452" xr:uid="{00000000-0005-0000-0000-0000924A0000}"/>
    <cellStyle name="Normal 5 20" xfId="10330" xr:uid="{00000000-0005-0000-0000-0000934A0000}"/>
    <cellStyle name="Normal 5 20 2" xfId="22453" xr:uid="{00000000-0005-0000-0000-0000944A0000}"/>
    <cellStyle name="Normal 5 21" xfId="10331" xr:uid="{00000000-0005-0000-0000-0000954A0000}"/>
    <cellStyle name="Normal 5 21 2" xfId="22454" xr:uid="{00000000-0005-0000-0000-0000964A0000}"/>
    <cellStyle name="Normal 5 22" xfId="10332" xr:uid="{00000000-0005-0000-0000-0000974A0000}"/>
    <cellStyle name="Normal 5 22 2" xfId="22455" xr:uid="{00000000-0005-0000-0000-0000984A0000}"/>
    <cellStyle name="Normal 5 23" xfId="10333" xr:uid="{00000000-0005-0000-0000-0000994A0000}"/>
    <cellStyle name="Normal 5 23 2" xfId="22456" xr:uid="{00000000-0005-0000-0000-00009A4A0000}"/>
    <cellStyle name="Normal 5 24" xfId="10334" xr:uid="{00000000-0005-0000-0000-00009B4A0000}"/>
    <cellStyle name="Normal 5 24 2" xfId="22457" xr:uid="{00000000-0005-0000-0000-00009C4A0000}"/>
    <cellStyle name="Normal 5 25" xfId="10335" xr:uid="{00000000-0005-0000-0000-00009D4A0000}"/>
    <cellStyle name="Normal 5 25 2" xfId="22458" xr:uid="{00000000-0005-0000-0000-00009E4A0000}"/>
    <cellStyle name="Normal 5 26" xfId="10336" xr:uid="{00000000-0005-0000-0000-00009F4A0000}"/>
    <cellStyle name="Normal 5 26 2" xfId="22459" xr:uid="{00000000-0005-0000-0000-0000A04A0000}"/>
    <cellStyle name="Normal 5 27" xfId="10337" xr:uid="{00000000-0005-0000-0000-0000A14A0000}"/>
    <cellStyle name="Normal 5 27 2" xfId="22460" xr:uid="{00000000-0005-0000-0000-0000A24A0000}"/>
    <cellStyle name="Normal 5 28" xfId="10338" xr:uid="{00000000-0005-0000-0000-0000A34A0000}"/>
    <cellStyle name="Normal 5 28 2" xfId="22461" xr:uid="{00000000-0005-0000-0000-0000A44A0000}"/>
    <cellStyle name="Normal 5 29" xfId="10339" xr:uid="{00000000-0005-0000-0000-0000A54A0000}"/>
    <cellStyle name="Normal 5 29 2" xfId="22462" xr:uid="{00000000-0005-0000-0000-0000A64A0000}"/>
    <cellStyle name="Normal 5 3" xfId="111" xr:uid="{00000000-0005-0000-0000-0000A74A0000}"/>
    <cellStyle name="Normal 5 3 10" xfId="10340" xr:uid="{00000000-0005-0000-0000-0000A84A0000}"/>
    <cellStyle name="Normal 5 3 10 2" xfId="22463" xr:uid="{00000000-0005-0000-0000-0000A94A0000}"/>
    <cellStyle name="Normal 5 3 11" xfId="10341" xr:uid="{00000000-0005-0000-0000-0000AA4A0000}"/>
    <cellStyle name="Normal 5 3 11 2" xfId="22464" xr:uid="{00000000-0005-0000-0000-0000AB4A0000}"/>
    <cellStyle name="Normal 5 3 12" xfId="10342" xr:uid="{00000000-0005-0000-0000-0000AC4A0000}"/>
    <cellStyle name="Normal 5 3 12 2" xfId="22465" xr:uid="{00000000-0005-0000-0000-0000AD4A0000}"/>
    <cellStyle name="Normal 5 3 13" xfId="10343" xr:uid="{00000000-0005-0000-0000-0000AE4A0000}"/>
    <cellStyle name="Normal 5 3 13 2" xfId="22466" xr:uid="{00000000-0005-0000-0000-0000AF4A0000}"/>
    <cellStyle name="Normal 5 3 14" xfId="10344" xr:uid="{00000000-0005-0000-0000-0000B04A0000}"/>
    <cellStyle name="Normal 5 3 14 2" xfId="22467" xr:uid="{00000000-0005-0000-0000-0000B14A0000}"/>
    <cellStyle name="Normal 5 3 15" xfId="10345" xr:uid="{00000000-0005-0000-0000-0000B24A0000}"/>
    <cellStyle name="Normal 5 3 15 2" xfId="22468" xr:uid="{00000000-0005-0000-0000-0000B34A0000}"/>
    <cellStyle name="Normal 5 3 16" xfId="10346" xr:uid="{00000000-0005-0000-0000-0000B44A0000}"/>
    <cellStyle name="Normal 5 3 16 2" xfId="22469" xr:uid="{00000000-0005-0000-0000-0000B54A0000}"/>
    <cellStyle name="Normal 5 3 17" xfId="10347" xr:uid="{00000000-0005-0000-0000-0000B64A0000}"/>
    <cellStyle name="Normal 5 3 17 2" xfId="22470" xr:uid="{00000000-0005-0000-0000-0000B74A0000}"/>
    <cellStyle name="Normal 5 3 18" xfId="10348" xr:uid="{00000000-0005-0000-0000-0000B84A0000}"/>
    <cellStyle name="Normal 5 3 18 2" xfId="22471" xr:uid="{00000000-0005-0000-0000-0000B94A0000}"/>
    <cellStyle name="Normal 5 3 19" xfId="10349" xr:uid="{00000000-0005-0000-0000-0000BA4A0000}"/>
    <cellStyle name="Normal 5 3 19 2" xfId="22472" xr:uid="{00000000-0005-0000-0000-0000BB4A0000}"/>
    <cellStyle name="Normal 5 3 2" xfId="10350" xr:uid="{00000000-0005-0000-0000-0000BC4A0000}"/>
    <cellStyle name="Normal 5 3 2 2" xfId="22473" xr:uid="{00000000-0005-0000-0000-0000BD4A0000}"/>
    <cellStyle name="Normal 5 3 20" xfId="10351" xr:uid="{00000000-0005-0000-0000-0000BE4A0000}"/>
    <cellStyle name="Normal 5 3 20 2" xfId="22474" xr:uid="{00000000-0005-0000-0000-0000BF4A0000}"/>
    <cellStyle name="Normal 5 3 21" xfId="10352" xr:uid="{00000000-0005-0000-0000-0000C04A0000}"/>
    <cellStyle name="Normal 5 3 21 2" xfId="22475" xr:uid="{00000000-0005-0000-0000-0000C14A0000}"/>
    <cellStyle name="Normal 5 3 22" xfId="10353" xr:uid="{00000000-0005-0000-0000-0000C24A0000}"/>
    <cellStyle name="Normal 5 3 22 2" xfId="22476" xr:uid="{00000000-0005-0000-0000-0000C34A0000}"/>
    <cellStyle name="Normal 5 3 23" xfId="10354" xr:uid="{00000000-0005-0000-0000-0000C44A0000}"/>
    <cellStyle name="Normal 5 3 23 2" xfId="22477" xr:uid="{00000000-0005-0000-0000-0000C54A0000}"/>
    <cellStyle name="Normal 5 3 24" xfId="10355" xr:uid="{00000000-0005-0000-0000-0000C64A0000}"/>
    <cellStyle name="Normal 5 3 24 2" xfId="22478" xr:uid="{00000000-0005-0000-0000-0000C74A0000}"/>
    <cellStyle name="Normal 5 3 25" xfId="10356" xr:uid="{00000000-0005-0000-0000-0000C84A0000}"/>
    <cellStyle name="Normal 5 3 25 2" xfId="22479" xr:uid="{00000000-0005-0000-0000-0000C94A0000}"/>
    <cellStyle name="Normal 5 3 26" xfId="10357" xr:uid="{00000000-0005-0000-0000-0000CA4A0000}"/>
    <cellStyle name="Normal 5 3 26 2" xfId="22480" xr:uid="{00000000-0005-0000-0000-0000CB4A0000}"/>
    <cellStyle name="Normal 5 3 27" xfId="10358" xr:uid="{00000000-0005-0000-0000-0000CC4A0000}"/>
    <cellStyle name="Normal 5 3 27 2" xfId="22481" xr:uid="{00000000-0005-0000-0000-0000CD4A0000}"/>
    <cellStyle name="Normal 5 3 28" xfId="10359" xr:uid="{00000000-0005-0000-0000-0000CE4A0000}"/>
    <cellStyle name="Normal 5 3 28 2" xfId="22482" xr:uid="{00000000-0005-0000-0000-0000CF4A0000}"/>
    <cellStyle name="Normal 5 3 29" xfId="10360" xr:uid="{00000000-0005-0000-0000-0000D04A0000}"/>
    <cellStyle name="Normal 5 3 29 2" xfId="22483" xr:uid="{00000000-0005-0000-0000-0000D14A0000}"/>
    <cellStyle name="Normal 5 3 3" xfId="10361" xr:uid="{00000000-0005-0000-0000-0000D24A0000}"/>
    <cellStyle name="Normal 5 3 3 2" xfId="22484" xr:uid="{00000000-0005-0000-0000-0000D34A0000}"/>
    <cellStyle name="Normal 5 3 30" xfId="10362" xr:uid="{00000000-0005-0000-0000-0000D44A0000}"/>
    <cellStyle name="Normal 5 3 30 2" xfId="22485" xr:uid="{00000000-0005-0000-0000-0000D54A0000}"/>
    <cellStyle name="Normal 5 3 31" xfId="10363" xr:uid="{00000000-0005-0000-0000-0000D64A0000}"/>
    <cellStyle name="Normal 5 3 31 2" xfId="22486" xr:uid="{00000000-0005-0000-0000-0000D74A0000}"/>
    <cellStyle name="Normal 5 3 32" xfId="10364" xr:uid="{00000000-0005-0000-0000-0000D84A0000}"/>
    <cellStyle name="Normal 5 3 32 2" xfId="22487" xr:uid="{00000000-0005-0000-0000-0000D94A0000}"/>
    <cellStyle name="Normal 5 3 33" xfId="10365" xr:uid="{00000000-0005-0000-0000-0000DA4A0000}"/>
    <cellStyle name="Normal 5 3 33 2" xfId="22488" xr:uid="{00000000-0005-0000-0000-0000DB4A0000}"/>
    <cellStyle name="Normal 5 3 34" xfId="10366" xr:uid="{00000000-0005-0000-0000-0000DC4A0000}"/>
    <cellStyle name="Normal 5 3 34 2" xfId="22489" xr:uid="{00000000-0005-0000-0000-0000DD4A0000}"/>
    <cellStyle name="Normal 5 3 35" xfId="10367" xr:uid="{00000000-0005-0000-0000-0000DE4A0000}"/>
    <cellStyle name="Normal 5 3 35 2" xfId="22490" xr:uid="{00000000-0005-0000-0000-0000DF4A0000}"/>
    <cellStyle name="Normal 5 3 36" xfId="10368" xr:uid="{00000000-0005-0000-0000-0000E04A0000}"/>
    <cellStyle name="Normal 5 3 36 2" xfId="22491" xr:uid="{00000000-0005-0000-0000-0000E14A0000}"/>
    <cellStyle name="Normal 5 3 37" xfId="10369" xr:uid="{00000000-0005-0000-0000-0000E24A0000}"/>
    <cellStyle name="Normal 5 3 37 2" xfId="22492" xr:uid="{00000000-0005-0000-0000-0000E34A0000}"/>
    <cellStyle name="Normal 5 3 38" xfId="10370" xr:uid="{00000000-0005-0000-0000-0000E44A0000}"/>
    <cellStyle name="Normal 5 3 38 2" xfId="22493" xr:uid="{00000000-0005-0000-0000-0000E54A0000}"/>
    <cellStyle name="Normal 5 3 39" xfId="10371" xr:uid="{00000000-0005-0000-0000-0000E64A0000}"/>
    <cellStyle name="Normal 5 3 39 2" xfId="22494" xr:uid="{00000000-0005-0000-0000-0000E74A0000}"/>
    <cellStyle name="Normal 5 3 4" xfId="10372" xr:uid="{00000000-0005-0000-0000-0000E84A0000}"/>
    <cellStyle name="Normal 5 3 4 2" xfId="22495" xr:uid="{00000000-0005-0000-0000-0000E94A0000}"/>
    <cellStyle name="Normal 5 3 40" xfId="10373" xr:uid="{00000000-0005-0000-0000-0000EA4A0000}"/>
    <cellStyle name="Normal 5 3 40 2" xfId="22496" xr:uid="{00000000-0005-0000-0000-0000EB4A0000}"/>
    <cellStyle name="Normal 5 3 41" xfId="10374" xr:uid="{00000000-0005-0000-0000-0000EC4A0000}"/>
    <cellStyle name="Normal 5 3 41 2" xfId="22497" xr:uid="{00000000-0005-0000-0000-0000ED4A0000}"/>
    <cellStyle name="Normal 5 3 42" xfId="10375" xr:uid="{00000000-0005-0000-0000-0000EE4A0000}"/>
    <cellStyle name="Normal 5 3 42 2" xfId="22498" xr:uid="{00000000-0005-0000-0000-0000EF4A0000}"/>
    <cellStyle name="Normal 5 3 43" xfId="10376" xr:uid="{00000000-0005-0000-0000-0000F04A0000}"/>
    <cellStyle name="Normal 5 3 43 2" xfId="22499" xr:uid="{00000000-0005-0000-0000-0000F14A0000}"/>
    <cellStyle name="Normal 5 3 44" xfId="10377" xr:uid="{00000000-0005-0000-0000-0000F24A0000}"/>
    <cellStyle name="Normal 5 3 44 2" xfId="22500" xr:uid="{00000000-0005-0000-0000-0000F34A0000}"/>
    <cellStyle name="Normal 5 3 45" xfId="10378" xr:uid="{00000000-0005-0000-0000-0000F44A0000}"/>
    <cellStyle name="Normal 5 3 45 2" xfId="22501" xr:uid="{00000000-0005-0000-0000-0000F54A0000}"/>
    <cellStyle name="Normal 5 3 46" xfId="10379" xr:uid="{00000000-0005-0000-0000-0000F64A0000}"/>
    <cellStyle name="Normal 5 3 46 2" xfId="22502" xr:uid="{00000000-0005-0000-0000-0000F74A0000}"/>
    <cellStyle name="Normal 5 3 47" xfId="10380" xr:uid="{00000000-0005-0000-0000-0000F84A0000}"/>
    <cellStyle name="Normal 5 3 47 2" xfId="22503" xr:uid="{00000000-0005-0000-0000-0000F94A0000}"/>
    <cellStyle name="Normal 5 3 48" xfId="10381" xr:uid="{00000000-0005-0000-0000-0000FA4A0000}"/>
    <cellStyle name="Normal 5 3 48 2" xfId="22504" xr:uid="{00000000-0005-0000-0000-0000FB4A0000}"/>
    <cellStyle name="Normal 5 3 49" xfId="10382" xr:uid="{00000000-0005-0000-0000-0000FC4A0000}"/>
    <cellStyle name="Normal 5 3 49 2" xfId="22505" xr:uid="{00000000-0005-0000-0000-0000FD4A0000}"/>
    <cellStyle name="Normal 5 3 5" xfId="10383" xr:uid="{00000000-0005-0000-0000-0000FE4A0000}"/>
    <cellStyle name="Normal 5 3 5 2" xfId="22506" xr:uid="{00000000-0005-0000-0000-0000FF4A0000}"/>
    <cellStyle name="Normal 5 3 50" xfId="10384" xr:uid="{00000000-0005-0000-0000-0000004B0000}"/>
    <cellStyle name="Normal 5 3 50 2" xfId="22507" xr:uid="{00000000-0005-0000-0000-0000014B0000}"/>
    <cellStyle name="Normal 5 3 51" xfId="10385" xr:uid="{00000000-0005-0000-0000-0000024B0000}"/>
    <cellStyle name="Normal 5 3 51 2" xfId="22508" xr:uid="{00000000-0005-0000-0000-0000034B0000}"/>
    <cellStyle name="Normal 5 3 52" xfId="10386" xr:uid="{00000000-0005-0000-0000-0000044B0000}"/>
    <cellStyle name="Normal 5 3 52 2" xfId="22509" xr:uid="{00000000-0005-0000-0000-0000054B0000}"/>
    <cellStyle name="Normal 5 3 53" xfId="10387" xr:uid="{00000000-0005-0000-0000-0000064B0000}"/>
    <cellStyle name="Normal 5 3 53 2" xfId="22510" xr:uid="{00000000-0005-0000-0000-0000074B0000}"/>
    <cellStyle name="Normal 5 3 54" xfId="10388" xr:uid="{00000000-0005-0000-0000-0000084B0000}"/>
    <cellStyle name="Normal 5 3 54 2" xfId="22511" xr:uid="{00000000-0005-0000-0000-0000094B0000}"/>
    <cellStyle name="Normal 5 3 55" xfId="10389" xr:uid="{00000000-0005-0000-0000-00000A4B0000}"/>
    <cellStyle name="Normal 5 3 55 2" xfId="22512" xr:uid="{00000000-0005-0000-0000-00000B4B0000}"/>
    <cellStyle name="Normal 5 3 56" xfId="10390" xr:uid="{00000000-0005-0000-0000-00000C4B0000}"/>
    <cellStyle name="Normal 5 3 56 2" xfId="22513" xr:uid="{00000000-0005-0000-0000-00000D4B0000}"/>
    <cellStyle name="Normal 5 3 57" xfId="10391" xr:uid="{00000000-0005-0000-0000-00000E4B0000}"/>
    <cellStyle name="Normal 5 3 57 2" xfId="22514" xr:uid="{00000000-0005-0000-0000-00000F4B0000}"/>
    <cellStyle name="Normal 5 3 58" xfId="10392" xr:uid="{00000000-0005-0000-0000-0000104B0000}"/>
    <cellStyle name="Normal 5 3 58 2" xfId="22515" xr:uid="{00000000-0005-0000-0000-0000114B0000}"/>
    <cellStyle name="Normal 5 3 59" xfId="10393" xr:uid="{00000000-0005-0000-0000-0000124B0000}"/>
    <cellStyle name="Normal 5 3 59 2" xfId="22516" xr:uid="{00000000-0005-0000-0000-0000134B0000}"/>
    <cellStyle name="Normal 5 3 6" xfId="10394" xr:uid="{00000000-0005-0000-0000-0000144B0000}"/>
    <cellStyle name="Normal 5 3 6 2" xfId="22517" xr:uid="{00000000-0005-0000-0000-0000154B0000}"/>
    <cellStyle name="Normal 5 3 60" xfId="10395" xr:uid="{00000000-0005-0000-0000-0000164B0000}"/>
    <cellStyle name="Normal 5 3 60 2" xfId="22518" xr:uid="{00000000-0005-0000-0000-0000174B0000}"/>
    <cellStyle name="Normal 5 3 61" xfId="10396" xr:uid="{00000000-0005-0000-0000-0000184B0000}"/>
    <cellStyle name="Normal 5 3 61 2" xfId="22519" xr:uid="{00000000-0005-0000-0000-0000194B0000}"/>
    <cellStyle name="Normal 5 3 62" xfId="10397" xr:uid="{00000000-0005-0000-0000-00001A4B0000}"/>
    <cellStyle name="Normal 5 3 62 2" xfId="22520" xr:uid="{00000000-0005-0000-0000-00001B4B0000}"/>
    <cellStyle name="Normal 5 3 63" xfId="10398" xr:uid="{00000000-0005-0000-0000-00001C4B0000}"/>
    <cellStyle name="Normal 5 3 63 2" xfId="22521" xr:uid="{00000000-0005-0000-0000-00001D4B0000}"/>
    <cellStyle name="Normal 5 3 64" xfId="10399" xr:uid="{00000000-0005-0000-0000-00001E4B0000}"/>
    <cellStyle name="Normal 5 3 64 2" xfId="22522" xr:uid="{00000000-0005-0000-0000-00001F4B0000}"/>
    <cellStyle name="Normal 5 3 65" xfId="10400" xr:uid="{00000000-0005-0000-0000-0000204B0000}"/>
    <cellStyle name="Normal 5 3 65 2" xfId="22523" xr:uid="{00000000-0005-0000-0000-0000214B0000}"/>
    <cellStyle name="Normal 5 3 66" xfId="10401" xr:uid="{00000000-0005-0000-0000-0000224B0000}"/>
    <cellStyle name="Normal 5 3 66 2" xfId="22524" xr:uid="{00000000-0005-0000-0000-0000234B0000}"/>
    <cellStyle name="Normal 5 3 67" xfId="10402" xr:uid="{00000000-0005-0000-0000-0000244B0000}"/>
    <cellStyle name="Normal 5 3 67 2" xfId="22525" xr:uid="{00000000-0005-0000-0000-0000254B0000}"/>
    <cellStyle name="Normal 5 3 68" xfId="10403" xr:uid="{00000000-0005-0000-0000-0000264B0000}"/>
    <cellStyle name="Normal 5 3 68 2" xfId="22526" xr:uid="{00000000-0005-0000-0000-0000274B0000}"/>
    <cellStyle name="Normal 5 3 69" xfId="10404" xr:uid="{00000000-0005-0000-0000-0000284B0000}"/>
    <cellStyle name="Normal 5 3 69 2" xfId="22527" xr:uid="{00000000-0005-0000-0000-0000294B0000}"/>
    <cellStyle name="Normal 5 3 7" xfId="10405" xr:uid="{00000000-0005-0000-0000-00002A4B0000}"/>
    <cellStyle name="Normal 5 3 7 2" xfId="22528" xr:uid="{00000000-0005-0000-0000-00002B4B0000}"/>
    <cellStyle name="Normal 5 3 70" xfId="10406" xr:uid="{00000000-0005-0000-0000-00002C4B0000}"/>
    <cellStyle name="Normal 5 3 70 2" xfId="22529" xr:uid="{00000000-0005-0000-0000-00002D4B0000}"/>
    <cellStyle name="Normal 5 3 71" xfId="10407" xr:uid="{00000000-0005-0000-0000-00002E4B0000}"/>
    <cellStyle name="Normal 5 3 71 2" xfId="22530" xr:uid="{00000000-0005-0000-0000-00002F4B0000}"/>
    <cellStyle name="Normal 5 3 72" xfId="10408" xr:uid="{00000000-0005-0000-0000-0000304B0000}"/>
    <cellStyle name="Normal 5 3 72 2" xfId="22531" xr:uid="{00000000-0005-0000-0000-0000314B0000}"/>
    <cellStyle name="Normal 5 3 73" xfId="10409" xr:uid="{00000000-0005-0000-0000-0000324B0000}"/>
    <cellStyle name="Normal 5 3 73 2" xfId="22532" xr:uid="{00000000-0005-0000-0000-0000334B0000}"/>
    <cellStyle name="Normal 5 3 74" xfId="10410" xr:uid="{00000000-0005-0000-0000-0000344B0000}"/>
    <cellStyle name="Normal 5 3 74 2" xfId="22533" xr:uid="{00000000-0005-0000-0000-0000354B0000}"/>
    <cellStyle name="Normal 5 3 75" xfId="10411" xr:uid="{00000000-0005-0000-0000-0000364B0000}"/>
    <cellStyle name="Normal 5 3 75 2" xfId="22534" xr:uid="{00000000-0005-0000-0000-0000374B0000}"/>
    <cellStyle name="Normal 5 3 76" xfId="10412" xr:uid="{00000000-0005-0000-0000-0000384B0000}"/>
    <cellStyle name="Normal 5 3 76 2" xfId="22535" xr:uid="{00000000-0005-0000-0000-0000394B0000}"/>
    <cellStyle name="Normal 5 3 77" xfId="10413" xr:uid="{00000000-0005-0000-0000-00003A4B0000}"/>
    <cellStyle name="Normal 5 3 77 2" xfId="22536" xr:uid="{00000000-0005-0000-0000-00003B4B0000}"/>
    <cellStyle name="Normal 5 3 78" xfId="10414" xr:uid="{00000000-0005-0000-0000-00003C4B0000}"/>
    <cellStyle name="Normal 5 3 78 2" xfId="22537" xr:uid="{00000000-0005-0000-0000-00003D4B0000}"/>
    <cellStyle name="Normal 5 3 79" xfId="10415" xr:uid="{00000000-0005-0000-0000-00003E4B0000}"/>
    <cellStyle name="Normal 5 3 79 2" xfId="22538" xr:uid="{00000000-0005-0000-0000-00003F4B0000}"/>
    <cellStyle name="Normal 5 3 8" xfId="10416" xr:uid="{00000000-0005-0000-0000-0000404B0000}"/>
    <cellStyle name="Normal 5 3 8 2" xfId="22539" xr:uid="{00000000-0005-0000-0000-0000414B0000}"/>
    <cellStyle name="Normal 5 3 80" xfId="15345" xr:uid="{00000000-0005-0000-0000-0000424B0000}"/>
    <cellStyle name="Normal 5 3 81" xfId="3179" xr:uid="{00000000-0005-0000-0000-0000434B0000}"/>
    <cellStyle name="Normal 5 3 9" xfId="10417" xr:uid="{00000000-0005-0000-0000-0000444B0000}"/>
    <cellStyle name="Normal 5 3 9 2" xfId="22540" xr:uid="{00000000-0005-0000-0000-0000454B0000}"/>
    <cellStyle name="Normal 5 30" xfId="10418" xr:uid="{00000000-0005-0000-0000-0000464B0000}"/>
    <cellStyle name="Normal 5 30 2" xfId="22541" xr:uid="{00000000-0005-0000-0000-0000474B0000}"/>
    <cellStyle name="Normal 5 31" xfId="10419" xr:uid="{00000000-0005-0000-0000-0000484B0000}"/>
    <cellStyle name="Normal 5 31 2" xfId="22542" xr:uid="{00000000-0005-0000-0000-0000494B0000}"/>
    <cellStyle name="Normal 5 32" xfId="10420" xr:uid="{00000000-0005-0000-0000-00004A4B0000}"/>
    <cellStyle name="Normal 5 32 2" xfId="22543" xr:uid="{00000000-0005-0000-0000-00004B4B0000}"/>
    <cellStyle name="Normal 5 33" xfId="10421" xr:uid="{00000000-0005-0000-0000-00004C4B0000}"/>
    <cellStyle name="Normal 5 33 2" xfId="22544" xr:uid="{00000000-0005-0000-0000-00004D4B0000}"/>
    <cellStyle name="Normal 5 34" xfId="10422" xr:uid="{00000000-0005-0000-0000-00004E4B0000}"/>
    <cellStyle name="Normal 5 34 2" xfId="22545" xr:uid="{00000000-0005-0000-0000-00004F4B0000}"/>
    <cellStyle name="Normal 5 35" xfId="10423" xr:uid="{00000000-0005-0000-0000-0000504B0000}"/>
    <cellStyle name="Normal 5 35 2" xfId="22546" xr:uid="{00000000-0005-0000-0000-0000514B0000}"/>
    <cellStyle name="Normal 5 36" xfId="10424" xr:uid="{00000000-0005-0000-0000-0000524B0000}"/>
    <cellStyle name="Normal 5 36 2" xfId="22547" xr:uid="{00000000-0005-0000-0000-0000534B0000}"/>
    <cellStyle name="Normal 5 37" xfId="10425" xr:uid="{00000000-0005-0000-0000-0000544B0000}"/>
    <cellStyle name="Normal 5 37 2" xfId="22548" xr:uid="{00000000-0005-0000-0000-0000554B0000}"/>
    <cellStyle name="Normal 5 38" xfId="10426" xr:uid="{00000000-0005-0000-0000-0000564B0000}"/>
    <cellStyle name="Normal 5 38 2" xfId="22549" xr:uid="{00000000-0005-0000-0000-0000574B0000}"/>
    <cellStyle name="Normal 5 39" xfId="10427" xr:uid="{00000000-0005-0000-0000-0000584B0000}"/>
    <cellStyle name="Normal 5 39 2" xfId="22550" xr:uid="{00000000-0005-0000-0000-0000594B0000}"/>
    <cellStyle name="Normal 5 4" xfId="118" xr:uid="{00000000-0005-0000-0000-00005A4B0000}"/>
    <cellStyle name="Normal 5 4 10" xfId="10428" xr:uid="{00000000-0005-0000-0000-00005B4B0000}"/>
    <cellStyle name="Normal 5 4 10 2" xfId="22551" xr:uid="{00000000-0005-0000-0000-00005C4B0000}"/>
    <cellStyle name="Normal 5 4 11" xfId="10429" xr:uid="{00000000-0005-0000-0000-00005D4B0000}"/>
    <cellStyle name="Normal 5 4 11 2" xfId="22552" xr:uid="{00000000-0005-0000-0000-00005E4B0000}"/>
    <cellStyle name="Normal 5 4 12" xfId="10430" xr:uid="{00000000-0005-0000-0000-00005F4B0000}"/>
    <cellStyle name="Normal 5 4 12 2" xfId="22553" xr:uid="{00000000-0005-0000-0000-0000604B0000}"/>
    <cellStyle name="Normal 5 4 13" xfId="10431" xr:uid="{00000000-0005-0000-0000-0000614B0000}"/>
    <cellStyle name="Normal 5 4 13 2" xfId="22554" xr:uid="{00000000-0005-0000-0000-0000624B0000}"/>
    <cellStyle name="Normal 5 4 14" xfId="10432" xr:uid="{00000000-0005-0000-0000-0000634B0000}"/>
    <cellStyle name="Normal 5 4 14 2" xfId="22555" xr:uid="{00000000-0005-0000-0000-0000644B0000}"/>
    <cellStyle name="Normal 5 4 15" xfId="10433" xr:uid="{00000000-0005-0000-0000-0000654B0000}"/>
    <cellStyle name="Normal 5 4 15 2" xfId="22556" xr:uid="{00000000-0005-0000-0000-0000664B0000}"/>
    <cellStyle name="Normal 5 4 16" xfId="10434" xr:uid="{00000000-0005-0000-0000-0000674B0000}"/>
    <cellStyle name="Normal 5 4 16 2" xfId="22557" xr:uid="{00000000-0005-0000-0000-0000684B0000}"/>
    <cellStyle name="Normal 5 4 17" xfId="10435" xr:uid="{00000000-0005-0000-0000-0000694B0000}"/>
    <cellStyle name="Normal 5 4 17 2" xfId="22558" xr:uid="{00000000-0005-0000-0000-00006A4B0000}"/>
    <cellStyle name="Normal 5 4 18" xfId="10436" xr:uid="{00000000-0005-0000-0000-00006B4B0000}"/>
    <cellStyle name="Normal 5 4 18 2" xfId="22559" xr:uid="{00000000-0005-0000-0000-00006C4B0000}"/>
    <cellStyle name="Normal 5 4 19" xfId="10437" xr:uid="{00000000-0005-0000-0000-00006D4B0000}"/>
    <cellStyle name="Normal 5 4 19 2" xfId="22560" xr:uid="{00000000-0005-0000-0000-00006E4B0000}"/>
    <cellStyle name="Normal 5 4 2" xfId="10438" xr:uid="{00000000-0005-0000-0000-00006F4B0000}"/>
    <cellStyle name="Normal 5 4 2 2" xfId="22561" xr:uid="{00000000-0005-0000-0000-0000704B0000}"/>
    <cellStyle name="Normal 5 4 20" xfId="10439" xr:uid="{00000000-0005-0000-0000-0000714B0000}"/>
    <cellStyle name="Normal 5 4 20 2" xfId="22562" xr:uid="{00000000-0005-0000-0000-0000724B0000}"/>
    <cellStyle name="Normal 5 4 21" xfId="10440" xr:uid="{00000000-0005-0000-0000-0000734B0000}"/>
    <cellStyle name="Normal 5 4 21 2" xfId="22563" xr:uid="{00000000-0005-0000-0000-0000744B0000}"/>
    <cellStyle name="Normal 5 4 22" xfId="10441" xr:uid="{00000000-0005-0000-0000-0000754B0000}"/>
    <cellStyle name="Normal 5 4 22 2" xfId="22564" xr:uid="{00000000-0005-0000-0000-0000764B0000}"/>
    <cellStyle name="Normal 5 4 23" xfId="10442" xr:uid="{00000000-0005-0000-0000-0000774B0000}"/>
    <cellStyle name="Normal 5 4 23 2" xfId="22565" xr:uid="{00000000-0005-0000-0000-0000784B0000}"/>
    <cellStyle name="Normal 5 4 24" xfId="10443" xr:uid="{00000000-0005-0000-0000-0000794B0000}"/>
    <cellStyle name="Normal 5 4 24 2" xfId="22566" xr:uid="{00000000-0005-0000-0000-00007A4B0000}"/>
    <cellStyle name="Normal 5 4 25" xfId="10444" xr:uid="{00000000-0005-0000-0000-00007B4B0000}"/>
    <cellStyle name="Normal 5 4 25 2" xfId="22567" xr:uid="{00000000-0005-0000-0000-00007C4B0000}"/>
    <cellStyle name="Normal 5 4 26" xfId="10445" xr:uid="{00000000-0005-0000-0000-00007D4B0000}"/>
    <cellStyle name="Normal 5 4 26 2" xfId="22568" xr:uid="{00000000-0005-0000-0000-00007E4B0000}"/>
    <cellStyle name="Normal 5 4 27" xfId="10446" xr:uid="{00000000-0005-0000-0000-00007F4B0000}"/>
    <cellStyle name="Normal 5 4 27 2" xfId="22569" xr:uid="{00000000-0005-0000-0000-0000804B0000}"/>
    <cellStyle name="Normal 5 4 28" xfId="10447" xr:uid="{00000000-0005-0000-0000-0000814B0000}"/>
    <cellStyle name="Normal 5 4 28 2" xfId="22570" xr:uid="{00000000-0005-0000-0000-0000824B0000}"/>
    <cellStyle name="Normal 5 4 29" xfId="10448" xr:uid="{00000000-0005-0000-0000-0000834B0000}"/>
    <cellStyle name="Normal 5 4 29 2" xfId="22571" xr:uid="{00000000-0005-0000-0000-0000844B0000}"/>
    <cellStyle name="Normal 5 4 3" xfId="10449" xr:uid="{00000000-0005-0000-0000-0000854B0000}"/>
    <cellStyle name="Normal 5 4 3 2" xfId="22572" xr:uid="{00000000-0005-0000-0000-0000864B0000}"/>
    <cellStyle name="Normal 5 4 30" xfId="10450" xr:uid="{00000000-0005-0000-0000-0000874B0000}"/>
    <cellStyle name="Normal 5 4 30 2" xfId="22573" xr:uid="{00000000-0005-0000-0000-0000884B0000}"/>
    <cellStyle name="Normal 5 4 31" xfId="10451" xr:uid="{00000000-0005-0000-0000-0000894B0000}"/>
    <cellStyle name="Normal 5 4 31 2" xfId="22574" xr:uid="{00000000-0005-0000-0000-00008A4B0000}"/>
    <cellStyle name="Normal 5 4 32" xfId="10452" xr:uid="{00000000-0005-0000-0000-00008B4B0000}"/>
    <cellStyle name="Normal 5 4 32 2" xfId="22575" xr:uid="{00000000-0005-0000-0000-00008C4B0000}"/>
    <cellStyle name="Normal 5 4 33" xfId="10453" xr:uid="{00000000-0005-0000-0000-00008D4B0000}"/>
    <cellStyle name="Normal 5 4 33 2" xfId="22576" xr:uid="{00000000-0005-0000-0000-00008E4B0000}"/>
    <cellStyle name="Normal 5 4 34" xfId="10454" xr:uid="{00000000-0005-0000-0000-00008F4B0000}"/>
    <cellStyle name="Normal 5 4 34 2" xfId="22577" xr:uid="{00000000-0005-0000-0000-0000904B0000}"/>
    <cellStyle name="Normal 5 4 35" xfId="10455" xr:uid="{00000000-0005-0000-0000-0000914B0000}"/>
    <cellStyle name="Normal 5 4 35 2" xfId="22578" xr:uid="{00000000-0005-0000-0000-0000924B0000}"/>
    <cellStyle name="Normal 5 4 36" xfId="10456" xr:uid="{00000000-0005-0000-0000-0000934B0000}"/>
    <cellStyle name="Normal 5 4 36 2" xfId="22579" xr:uid="{00000000-0005-0000-0000-0000944B0000}"/>
    <cellStyle name="Normal 5 4 37" xfId="10457" xr:uid="{00000000-0005-0000-0000-0000954B0000}"/>
    <cellStyle name="Normal 5 4 37 2" xfId="22580" xr:uid="{00000000-0005-0000-0000-0000964B0000}"/>
    <cellStyle name="Normal 5 4 38" xfId="10458" xr:uid="{00000000-0005-0000-0000-0000974B0000}"/>
    <cellStyle name="Normal 5 4 38 2" xfId="22581" xr:uid="{00000000-0005-0000-0000-0000984B0000}"/>
    <cellStyle name="Normal 5 4 39" xfId="10459" xr:uid="{00000000-0005-0000-0000-0000994B0000}"/>
    <cellStyle name="Normal 5 4 39 2" xfId="22582" xr:uid="{00000000-0005-0000-0000-00009A4B0000}"/>
    <cellStyle name="Normal 5 4 4" xfId="10460" xr:uid="{00000000-0005-0000-0000-00009B4B0000}"/>
    <cellStyle name="Normal 5 4 4 2" xfId="22583" xr:uid="{00000000-0005-0000-0000-00009C4B0000}"/>
    <cellStyle name="Normal 5 4 40" xfId="10461" xr:uid="{00000000-0005-0000-0000-00009D4B0000}"/>
    <cellStyle name="Normal 5 4 40 2" xfId="22584" xr:uid="{00000000-0005-0000-0000-00009E4B0000}"/>
    <cellStyle name="Normal 5 4 41" xfId="10462" xr:uid="{00000000-0005-0000-0000-00009F4B0000}"/>
    <cellStyle name="Normal 5 4 41 2" xfId="22585" xr:uid="{00000000-0005-0000-0000-0000A04B0000}"/>
    <cellStyle name="Normal 5 4 42" xfId="10463" xr:uid="{00000000-0005-0000-0000-0000A14B0000}"/>
    <cellStyle name="Normal 5 4 42 2" xfId="22586" xr:uid="{00000000-0005-0000-0000-0000A24B0000}"/>
    <cellStyle name="Normal 5 4 43" xfId="10464" xr:uid="{00000000-0005-0000-0000-0000A34B0000}"/>
    <cellStyle name="Normal 5 4 43 2" xfId="22587" xr:uid="{00000000-0005-0000-0000-0000A44B0000}"/>
    <cellStyle name="Normal 5 4 44" xfId="10465" xr:uid="{00000000-0005-0000-0000-0000A54B0000}"/>
    <cellStyle name="Normal 5 4 44 2" xfId="22588" xr:uid="{00000000-0005-0000-0000-0000A64B0000}"/>
    <cellStyle name="Normal 5 4 45" xfId="10466" xr:uid="{00000000-0005-0000-0000-0000A74B0000}"/>
    <cellStyle name="Normal 5 4 45 2" xfId="22589" xr:uid="{00000000-0005-0000-0000-0000A84B0000}"/>
    <cellStyle name="Normal 5 4 46" xfId="10467" xr:uid="{00000000-0005-0000-0000-0000A94B0000}"/>
    <cellStyle name="Normal 5 4 46 2" xfId="22590" xr:uid="{00000000-0005-0000-0000-0000AA4B0000}"/>
    <cellStyle name="Normal 5 4 47" xfId="10468" xr:uid="{00000000-0005-0000-0000-0000AB4B0000}"/>
    <cellStyle name="Normal 5 4 47 2" xfId="22591" xr:uid="{00000000-0005-0000-0000-0000AC4B0000}"/>
    <cellStyle name="Normal 5 4 48" xfId="10469" xr:uid="{00000000-0005-0000-0000-0000AD4B0000}"/>
    <cellStyle name="Normal 5 4 48 2" xfId="22592" xr:uid="{00000000-0005-0000-0000-0000AE4B0000}"/>
    <cellStyle name="Normal 5 4 49" xfId="10470" xr:uid="{00000000-0005-0000-0000-0000AF4B0000}"/>
    <cellStyle name="Normal 5 4 49 2" xfId="22593" xr:uid="{00000000-0005-0000-0000-0000B04B0000}"/>
    <cellStyle name="Normal 5 4 5" xfId="10471" xr:uid="{00000000-0005-0000-0000-0000B14B0000}"/>
    <cellStyle name="Normal 5 4 5 2" xfId="22594" xr:uid="{00000000-0005-0000-0000-0000B24B0000}"/>
    <cellStyle name="Normal 5 4 50" xfId="10472" xr:uid="{00000000-0005-0000-0000-0000B34B0000}"/>
    <cellStyle name="Normal 5 4 50 2" xfId="22595" xr:uid="{00000000-0005-0000-0000-0000B44B0000}"/>
    <cellStyle name="Normal 5 4 51" xfId="10473" xr:uid="{00000000-0005-0000-0000-0000B54B0000}"/>
    <cellStyle name="Normal 5 4 51 2" xfId="22596" xr:uid="{00000000-0005-0000-0000-0000B64B0000}"/>
    <cellStyle name="Normal 5 4 52" xfId="10474" xr:uid="{00000000-0005-0000-0000-0000B74B0000}"/>
    <cellStyle name="Normal 5 4 52 2" xfId="22597" xr:uid="{00000000-0005-0000-0000-0000B84B0000}"/>
    <cellStyle name="Normal 5 4 53" xfId="10475" xr:uid="{00000000-0005-0000-0000-0000B94B0000}"/>
    <cellStyle name="Normal 5 4 53 2" xfId="22598" xr:uid="{00000000-0005-0000-0000-0000BA4B0000}"/>
    <cellStyle name="Normal 5 4 54" xfId="10476" xr:uid="{00000000-0005-0000-0000-0000BB4B0000}"/>
    <cellStyle name="Normal 5 4 54 2" xfId="22599" xr:uid="{00000000-0005-0000-0000-0000BC4B0000}"/>
    <cellStyle name="Normal 5 4 55" xfId="10477" xr:uid="{00000000-0005-0000-0000-0000BD4B0000}"/>
    <cellStyle name="Normal 5 4 55 2" xfId="22600" xr:uid="{00000000-0005-0000-0000-0000BE4B0000}"/>
    <cellStyle name="Normal 5 4 56" xfId="10478" xr:uid="{00000000-0005-0000-0000-0000BF4B0000}"/>
    <cellStyle name="Normal 5 4 56 2" xfId="22601" xr:uid="{00000000-0005-0000-0000-0000C04B0000}"/>
    <cellStyle name="Normal 5 4 57" xfId="10479" xr:uid="{00000000-0005-0000-0000-0000C14B0000}"/>
    <cellStyle name="Normal 5 4 57 2" xfId="22602" xr:uid="{00000000-0005-0000-0000-0000C24B0000}"/>
    <cellStyle name="Normal 5 4 58" xfId="10480" xr:uid="{00000000-0005-0000-0000-0000C34B0000}"/>
    <cellStyle name="Normal 5 4 58 2" xfId="22603" xr:uid="{00000000-0005-0000-0000-0000C44B0000}"/>
    <cellStyle name="Normal 5 4 59" xfId="10481" xr:uid="{00000000-0005-0000-0000-0000C54B0000}"/>
    <cellStyle name="Normal 5 4 59 2" xfId="22604" xr:uid="{00000000-0005-0000-0000-0000C64B0000}"/>
    <cellStyle name="Normal 5 4 6" xfId="10482" xr:uid="{00000000-0005-0000-0000-0000C74B0000}"/>
    <cellStyle name="Normal 5 4 6 2" xfId="22605" xr:uid="{00000000-0005-0000-0000-0000C84B0000}"/>
    <cellStyle name="Normal 5 4 60" xfId="10483" xr:uid="{00000000-0005-0000-0000-0000C94B0000}"/>
    <cellStyle name="Normal 5 4 60 2" xfId="22606" xr:uid="{00000000-0005-0000-0000-0000CA4B0000}"/>
    <cellStyle name="Normal 5 4 61" xfId="10484" xr:uid="{00000000-0005-0000-0000-0000CB4B0000}"/>
    <cellStyle name="Normal 5 4 61 2" xfId="22607" xr:uid="{00000000-0005-0000-0000-0000CC4B0000}"/>
    <cellStyle name="Normal 5 4 62" xfId="10485" xr:uid="{00000000-0005-0000-0000-0000CD4B0000}"/>
    <cellStyle name="Normal 5 4 62 2" xfId="22608" xr:uid="{00000000-0005-0000-0000-0000CE4B0000}"/>
    <cellStyle name="Normal 5 4 63" xfId="10486" xr:uid="{00000000-0005-0000-0000-0000CF4B0000}"/>
    <cellStyle name="Normal 5 4 63 2" xfId="22609" xr:uid="{00000000-0005-0000-0000-0000D04B0000}"/>
    <cellStyle name="Normal 5 4 64" xfId="10487" xr:uid="{00000000-0005-0000-0000-0000D14B0000}"/>
    <cellStyle name="Normal 5 4 64 2" xfId="22610" xr:uid="{00000000-0005-0000-0000-0000D24B0000}"/>
    <cellStyle name="Normal 5 4 65" xfId="10488" xr:uid="{00000000-0005-0000-0000-0000D34B0000}"/>
    <cellStyle name="Normal 5 4 65 2" xfId="22611" xr:uid="{00000000-0005-0000-0000-0000D44B0000}"/>
    <cellStyle name="Normal 5 4 66" xfId="10489" xr:uid="{00000000-0005-0000-0000-0000D54B0000}"/>
    <cellStyle name="Normal 5 4 66 2" xfId="22612" xr:uid="{00000000-0005-0000-0000-0000D64B0000}"/>
    <cellStyle name="Normal 5 4 67" xfId="10490" xr:uid="{00000000-0005-0000-0000-0000D74B0000}"/>
    <cellStyle name="Normal 5 4 67 2" xfId="22613" xr:uid="{00000000-0005-0000-0000-0000D84B0000}"/>
    <cellStyle name="Normal 5 4 68" xfId="10491" xr:uid="{00000000-0005-0000-0000-0000D94B0000}"/>
    <cellStyle name="Normal 5 4 68 2" xfId="22614" xr:uid="{00000000-0005-0000-0000-0000DA4B0000}"/>
    <cellStyle name="Normal 5 4 69" xfId="10492" xr:uid="{00000000-0005-0000-0000-0000DB4B0000}"/>
    <cellStyle name="Normal 5 4 69 2" xfId="22615" xr:uid="{00000000-0005-0000-0000-0000DC4B0000}"/>
    <cellStyle name="Normal 5 4 7" xfId="10493" xr:uid="{00000000-0005-0000-0000-0000DD4B0000}"/>
    <cellStyle name="Normal 5 4 7 2" xfId="22616" xr:uid="{00000000-0005-0000-0000-0000DE4B0000}"/>
    <cellStyle name="Normal 5 4 70" xfId="10494" xr:uid="{00000000-0005-0000-0000-0000DF4B0000}"/>
    <cellStyle name="Normal 5 4 70 2" xfId="22617" xr:uid="{00000000-0005-0000-0000-0000E04B0000}"/>
    <cellStyle name="Normal 5 4 71" xfId="10495" xr:uid="{00000000-0005-0000-0000-0000E14B0000}"/>
    <cellStyle name="Normal 5 4 71 2" xfId="22618" xr:uid="{00000000-0005-0000-0000-0000E24B0000}"/>
    <cellStyle name="Normal 5 4 72" xfId="10496" xr:uid="{00000000-0005-0000-0000-0000E34B0000}"/>
    <cellStyle name="Normal 5 4 72 2" xfId="22619" xr:uid="{00000000-0005-0000-0000-0000E44B0000}"/>
    <cellStyle name="Normal 5 4 73" xfId="10497" xr:uid="{00000000-0005-0000-0000-0000E54B0000}"/>
    <cellStyle name="Normal 5 4 73 2" xfId="22620" xr:uid="{00000000-0005-0000-0000-0000E64B0000}"/>
    <cellStyle name="Normal 5 4 74" xfId="10498" xr:uid="{00000000-0005-0000-0000-0000E74B0000}"/>
    <cellStyle name="Normal 5 4 74 2" xfId="22621" xr:uid="{00000000-0005-0000-0000-0000E84B0000}"/>
    <cellStyle name="Normal 5 4 75" xfId="10499" xr:uid="{00000000-0005-0000-0000-0000E94B0000}"/>
    <cellStyle name="Normal 5 4 75 2" xfId="22622" xr:uid="{00000000-0005-0000-0000-0000EA4B0000}"/>
    <cellStyle name="Normal 5 4 76" xfId="10500" xr:uid="{00000000-0005-0000-0000-0000EB4B0000}"/>
    <cellStyle name="Normal 5 4 76 2" xfId="22623" xr:uid="{00000000-0005-0000-0000-0000EC4B0000}"/>
    <cellStyle name="Normal 5 4 77" xfId="10501" xr:uid="{00000000-0005-0000-0000-0000ED4B0000}"/>
    <cellStyle name="Normal 5 4 77 2" xfId="22624" xr:uid="{00000000-0005-0000-0000-0000EE4B0000}"/>
    <cellStyle name="Normal 5 4 78" xfId="10502" xr:uid="{00000000-0005-0000-0000-0000EF4B0000}"/>
    <cellStyle name="Normal 5 4 78 2" xfId="22625" xr:uid="{00000000-0005-0000-0000-0000F04B0000}"/>
    <cellStyle name="Normal 5 4 79" xfId="10503" xr:uid="{00000000-0005-0000-0000-0000F14B0000}"/>
    <cellStyle name="Normal 5 4 79 2" xfId="22626" xr:uid="{00000000-0005-0000-0000-0000F24B0000}"/>
    <cellStyle name="Normal 5 4 8" xfId="10504" xr:uid="{00000000-0005-0000-0000-0000F34B0000}"/>
    <cellStyle name="Normal 5 4 8 2" xfId="22627" xr:uid="{00000000-0005-0000-0000-0000F44B0000}"/>
    <cellStyle name="Normal 5 4 80" xfId="15346" xr:uid="{00000000-0005-0000-0000-0000F54B0000}"/>
    <cellStyle name="Normal 5 4 81" xfId="3180" xr:uid="{00000000-0005-0000-0000-0000F64B0000}"/>
    <cellStyle name="Normal 5 4 9" xfId="10505" xr:uid="{00000000-0005-0000-0000-0000F74B0000}"/>
    <cellStyle name="Normal 5 4 9 2" xfId="22628" xr:uid="{00000000-0005-0000-0000-0000F84B0000}"/>
    <cellStyle name="Normal 5 40" xfId="10506" xr:uid="{00000000-0005-0000-0000-0000F94B0000}"/>
    <cellStyle name="Normal 5 40 2" xfId="22629" xr:uid="{00000000-0005-0000-0000-0000FA4B0000}"/>
    <cellStyle name="Normal 5 41" xfId="10507" xr:uid="{00000000-0005-0000-0000-0000FB4B0000}"/>
    <cellStyle name="Normal 5 41 2" xfId="22630" xr:uid="{00000000-0005-0000-0000-0000FC4B0000}"/>
    <cellStyle name="Normal 5 42" xfId="10508" xr:uid="{00000000-0005-0000-0000-0000FD4B0000}"/>
    <cellStyle name="Normal 5 42 2" xfId="22631" xr:uid="{00000000-0005-0000-0000-0000FE4B0000}"/>
    <cellStyle name="Normal 5 43" xfId="10509" xr:uid="{00000000-0005-0000-0000-0000FF4B0000}"/>
    <cellStyle name="Normal 5 43 2" xfId="22632" xr:uid="{00000000-0005-0000-0000-0000004C0000}"/>
    <cellStyle name="Normal 5 44" xfId="10510" xr:uid="{00000000-0005-0000-0000-0000014C0000}"/>
    <cellStyle name="Normal 5 44 2" xfId="22633" xr:uid="{00000000-0005-0000-0000-0000024C0000}"/>
    <cellStyle name="Normal 5 45" xfId="10511" xr:uid="{00000000-0005-0000-0000-0000034C0000}"/>
    <cellStyle name="Normal 5 45 2" xfId="22634" xr:uid="{00000000-0005-0000-0000-0000044C0000}"/>
    <cellStyle name="Normal 5 46" xfId="10512" xr:uid="{00000000-0005-0000-0000-0000054C0000}"/>
    <cellStyle name="Normal 5 46 2" xfId="22635" xr:uid="{00000000-0005-0000-0000-0000064C0000}"/>
    <cellStyle name="Normal 5 47" xfId="10513" xr:uid="{00000000-0005-0000-0000-0000074C0000}"/>
    <cellStyle name="Normal 5 47 2" xfId="22636" xr:uid="{00000000-0005-0000-0000-0000084C0000}"/>
    <cellStyle name="Normal 5 48" xfId="10514" xr:uid="{00000000-0005-0000-0000-0000094C0000}"/>
    <cellStyle name="Normal 5 48 2" xfId="22637" xr:uid="{00000000-0005-0000-0000-00000A4C0000}"/>
    <cellStyle name="Normal 5 49" xfId="10515" xr:uid="{00000000-0005-0000-0000-00000B4C0000}"/>
    <cellStyle name="Normal 5 49 2" xfId="22638" xr:uid="{00000000-0005-0000-0000-00000C4C0000}"/>
    <cellStyle name="Normal 5 5" xfId="125" xr:uid="{00000000-0005-0000-0000-00000D4C0000}"/>
    <cellStyle name="Normal 5 5 2" xfId="15347" xr:uid="{00000000-0005-0000-0000-00000E4C0000}"/>
    <cellStyle name="Normal 5 5 3" xfId="3181" xr:uid="{00000000-0005-0000-0000-00000F4C0000}"/>
    <cellStyle name="Normal 5 50" xfId="10516" xr:uid="{00000000-0005-0000-0000-0000104C0000}"/>
    <cellStyle name="Normal 5 50 2" xfId="22639" xr:uid="{00000000-0005-0000-0000-0000114C0000}"/>
    <cellStyle name="Normal 5 51" xfId="10517" xr:uid="{00000000-0005-0000-0000-0000124C0000}"/>
    <cellStyle name="Normal 5 51 2" xfId="22640" xr:uid="{00000000-0005-0000-0000-0000134C0000}"/>
    <cellStyle name="Normal 5 52" xfId="10518" xr:uid="{00000000-0005-0000-0000-0000144C0000}"/>
    <cellStyle name="Normal 5 52 2" xfId="22641" xr:uid="{00000000-0005-0000-0000-0000154C0000}"/>
    <cellStyle name="Normal 5 53" xfId="10519" xr:uid="{00000000-0005-0000-0000-0000164C0000}"/>
    <cellStyle name="Normal 5 53 2" xfId="22642" xr:uid="{00000000-0005-0000-0000-0000174C0000}"/>
    <cellStyle name="Normal 5 54" xfId="10520" xr:uid="{00000000-0005-0000-0000-0000184C0000}"/>
    <cellStyle name="Normal 5 54 2" xfId="22643" xr:uid="{00000000-0005-0000-0000-0000194C0000}"/>
    <cellStyle name="Normal 5 55" xfId="10521" xr:uid="{00000000-0005-0000-0000-00001A4C0000}"/>
    <cellStyle name="Normal 5 55 2" xfId="22644" xr:uid="{00000000-0005-0000-0000-00001B4C0000}"/>
    <cellStyle name="Normal 5 56" xfId="10522" xr:uid="{00000000-0005-0000-0000-00001C4C0000}"/>
    <cellStyle name="Normal 5 56 2" xfId="22645" xr:uid="{00000000-0005-0000-0000-00001D4C0000}"/>
    <cellStyle name="Normal 5 57" xfId="10523" xr:uid="{00000000-0005-0000-0000-00001E4C0000}"/>
    <cellStyle name="Normal 5 57 2" xfId="22646" xr:uid="{00000000-0005-0000-0000-00001F4C0000}"/>
    <cellStyle name="Normal 5 58" xfId="10524" xr:uid="{00000000-0005-0000-0000-0000204C0000}"/>
    <cellStyle name="Normal 5 58 2" xfId="22647" xr:uid="{00000000-0005-0000-0000-0000214C0000}"/>
    <cellStyle name="Normal 5 59" xfId="10525" xr:uid="{00000000-0005-0000-0000-0000224C0000}"/>
    <cellStyle name="Normal 5 59 2" xfId="22648" xr:uid="{00000000-0005-0000-0000-0000234C0000}"/>
    <cellStyle name="Normal 5 6" xfId="131" xr:uid="{00000000-0005-0000-0000-0000244C0000}"/>
    <cellStyle name="Normal 5 6 2" xfId="15348" xr:uid="{00000000-0005-0000-0000-0000254C0000}"/>
    <cellStyle name="Normal 5 6 3" xfId="3182" xr:uid="{00000000-0005-0000-0000-0000264C0000}"/>
    <cellStyle name="Normal 5 60" xfId="10526" xr:uid="{00000000-0005-0000-0000-0000274C0000}"/>
    <cellStyle name="Normal 5 60 2" xfId="22649" xr:uid="{00000000-0005-0000-0000-0000284C0000}"/>
    <cellStyle name="Normal 5 61" xfId="10527" xr:uid="{00000000-0005-0000-0000-0000294C0000}"/>
    <cellStyle name="Normal 5 61 2" xfId="22650" xr:uid="{00000000-0005-0000-0000-00002A4C0000}"/>
    <cellStyle name="Normal 5 62" xfId="10528" xr:uid="{00000000-0005-0000-0000-00002B4C0000}"/>
    <cellStyle name="Normal 5 62 2" xfId="22651" xr:uid="{00000000-0005-0000-0000-00002C4C0000}"/>
    <cellStyle name="Normal 5 63" xfId="10529" xr:uid="{00000000-0005-0000-0000-00002D4C0000}"/>
    <cellStyle name="Normal 5 63 2" xfId="22652" xr:uid="{00000000-0005-0000-0000-00002E4C0000}"/>
    <cellStyle name="Normal 5 64" xfId="10530" xr:uid="{00000000-0005-0000-0000-00002F4C0000}"/>
    <cellStyle name="Normal 5 64 2" xfId="22653" xr:uid="{00000000-0005-0000-0000-0000304C0000}"/>
    <cellStyle name="Normal 5 65" xfId="10531" xr:uid="{00000000-0005-0000-0000-0000314C0000}"/>
    <cellStyle name="Normal 5 65 2" xfId="22654" xr:uid="{00000000-0005-0000-0000-0000324C0000}"/>
    <cellStyle name="Normal 5 66" xfId="10532" xr:uid="{00000000-0005-0000-0000-0000334C0000}"/>
    <cellStyle name="Normal 5 66 2" xfId="22655" xr:uid="{00000000-0005-0000-0000-0000344C0000}"/>
    <cellStyle name="Normal 5 67" xfId="10533" xr:uid="{00000000-0005-0000-0000-0000354C0000}"/>
    <cellStyle name="Normal 5 67 2" xfId="22656" xr:uid="{00000000-0005-0000-0000-0000364C0000}"/>
    <cellStyle name="Normal 5 68" xfId="10534" xr:uid="{00000000-0005-0000-0000-0000374C0000}"/>
    <cellStyle name="Normal 5 68 2" xfId="22657" xr:uid="{00000000-0005-0000-0000-0000384C0000}"/>
    <cellStyle name="Normal 5 69" xfId="10535" xr:uid="{00000000-0005-0000-0000-0000394C0000}"/>
    <cellStyle name="Normal 5 69 2" xfId="22658" xr:uid="{00000000-0005-0000-0000-00003A4C0000}"/>
    <cellStyle name="Normal 5 7" xfId="136" xr:uid="{00000000-0005-0000-0000-00003B4C0000}"/>
    <cellStyle name="Normal 5 7 2" xfId="15349" xr:uid="{00000000-0005-0000-0000-00003C4C0000}"/>
    <cellStyle name="Normal 5 7 3" xfId="3183" xr:uid="{00000000-0005-0000-0000-00003D4C0000}"/>
    <cellStyle name="Normal 5 70" xfId="10536" xr:uid="{00000000-0005-0000-0000-00003E4C0000}"/>
    <cellStyle name="Normal 5 70 2" xfId="22659" xr:uid="{00000000-0005-0000-0000-00003F4C0000}"/>
    <cellStyle name="Normal 5 71" xfId="10537" xr:uid="{00000000-0005-0000-0000-0000404C0000}"/>
    <cellStyle name="Normal 5 71 2" xfId="22660" xr:uid="{00000000-0005-0000-0000-0000414C0000}"/>
    <cellStyle name="Normal 5 72" xfId="10538" xr:uid="{00000000-0005-0000-0000-0000424C0000}"/>
    <cellStyle name="Normal 5 72 2" xfId="22661" xr:uid="{00000000-0005-0000-0000-0000434C0000}"/>
    <cellStyle name="Normal 5 73" xfId="10539" xr:uid="{00000000-0005-0000-0000-0000444C0000}"/>
    <cellStyle name="Normal 5 73 2" xfId="22662" xr:uid="{00000000-0005-0000-0000-0000454C0000}"/>
    <cellStyle name="Normal 5 74" xfId="10540" xr:uid="{00000000-0005-0000-0000-0000464C0000}"/>
    <cellStyle name="Normal 5 74 2" xfId="22663" xr:uid="{00000000-0005-0000-0000-0000474C0000}"/>
    <cellStyle name="Normal 5 75" xfId="10541" xr:uid="{00000000-0005-0000-0000-0000484C0000}"/>
    <cellStyle name="Normal 5 75 2" xfId="22664" xr:uid="{00000000-0005-0000-0000-0000494C0000}"/>
    <cellStyle name="Normal 5 76" xfId="10542" xr:uid="{00000000-0005-0000-0000-00004A4C0000}"/>
    <cellStyle name="Normal 5 76 2" xfId="22665" xr:uid="{00000000-0005-0000-0000-00004B4C0000}"/>
    <cellStyle name="Normal 5 77" xfId="10543" xr:uid="{00000000-0005-0000-0000-00004C4C0000}"/>
    <cellStyle name="Normal 5 77 2" xfId="22666" xr:uid="{00000000-0005-0000-0000-00004D4C0000}"/>
    <cellStyle name="Normal 5 78" xfId="10544" xr:uid="{00000000-0005-0000-0000-00004E4C0000}"/>
    <cellStyle name="Normal 5 78 2" xfId="22667" xr:uid="{00000000-0005-0000-0000-00004F4C0000}"/>
    <cellStyle name="Normal 5 79" xfId="10545" xr:uid="{00000000-0005-0000-0000-0000504C0000}"/>
    <cellStyle name="Normal 5 79 2" xfId="22668" xr:uid="{00000000-0005-0000-0000-0000514C0000}"/>
    <cellStyle name="Normal 5 8" xfId="738" xr:uid="{00000000-0005-0000-0000-0000524C0000}"/>
    <cellStyle name="Normal 5 8 2" xfId="15350" xr:uid="{00000000-0005-0000-0000-0000534C0000}"/>
    <cellStyle name="Normal 5 8 3" xfId="3184" xr:uid="{00000000-0005-0000-0000-0000544C0000}"/>
    <cellStyle name="Normal 5 80" xfId="10546" xr:uid="{00000000-0005-0000-0000-0000554C0000}"/>
    <cellStyle name="Normal 5 80 2" xfId="22669" xr:uid="{00000000-0005-0000-0000-0000564C0000}"/>
    <cellStyle name="Normal 5 81" xfId="10547" xr:uid="{00000000-0005-0000-0000-0000574C0000}"/>
    <cellStyle name="Normal 5 81 2" xfId="22670" xr:uid="{00000000-0005-0000-0000-0000584C0000}"/>
    <cellStyle name="Normal 5 82" xfId="10548" xr:uid="{00000000-0005-0000-0000-0000594C0000}"/>
    <cellStyle name="Normal 5 82 2" xfId="22671" xr:uid="{00000000-0005-0000-0000-00005A4C0000}"/>
    <cellStyle name="Normal 5 83" xfId="27176" xr:uid="{00000000-0005-0000-0000-00005B4C0000}"/>
    <cellStyle name="Normal 5 84" xfId="27417" xr:uid="{00000000-0005-0000-0000-00005C4C0000}"/>
    <cellStyle name="Normal 5 9" xfId="3185" xr:uid="{00000000-0005-0000-0000-00005D4C0000}"/>
    <cellStyle name="Normal 5 9 2" xfId="15351" xr:uid="{00000000-0005-0000-0000-00005E4C0000}"/>
    <cellStyle name="Normal 5_Master List" xfId="101" xr:uid="{00000000-0005-0000-0000-00005F4C0000}"/>
    <cellStyle name="Normal 50" xfId="158" xr:uid="{00000000-0005-0000-0000-0000604C0000}"/>
    <cellStyle name="Normal 50 10" xfId="10549" xr:uid="{00000000-0005-0000-0000-0000614C0000}"/>
    <cellStyle name="Normal 50 10 2" xfId="22673" xr:uid="{00000000-0005-0000-0000-0000624C0000}"/>
    <cellStyle name="Normal 50 11" xfId="10550" xr:uid="{00000000-0005-0000-0000-0000634C0000}"/>
    <cellStyle name="Normal 50 11 2" xfId="22674" xr:uid="{00000000-0005-0000-0000-0000644C0000}"/>
    <cellStyle name="Normal 50 12" xfId="10551" xr:uid="{00000000-0005-0000-0000-0000654C0000}"/>
    <cellStyle name="Normal 50 12 2" xfId="22675" xr:uid="{00000000-0005-0000-0000-0000664C0000}"/>
    <cellStyle name="Normal 50 13" xfId="10552" xr:uid="{00000000-0005-0000-0000-0000674C0000}"/>
    <cellStyle name="Normal 50 13 2" xfId="22676" xr:uid="{00000000-0005-0000-0000-0000684C0000}"/>
    <cellStyle name="Normal 50 14" xfId="10553" xr:uid="{00000000-0005-0000-0000-0000694C0000}"/>
    <cellStyle name="Normal 50 14 2" xfId="22677" xr:uid="{00000000-0005-0000-0000-00006A4C0000}"/>
    <cellStyle name="Normal 50 15" xfId="10554" xr:uid="{00000000-0005-0000-0000-00006B4C0000}"/>
    <cellStyle name="Normal 50 15 2" xfId="22678" xr:uid="{00000000-0005-0000-0000-00006C4C0000}"/>
    <cellStyle name="Normal 50 16" xfId="10555" xr:uid="{00000000-0005-0000-0000-00006D4C0000}"/>
    <cellStyle name="Normal 50 16 2" xfId="22679" xr:uid="{00000000-0005-0000-0000-00006E4C0000}"/>
    <cellStyle name="Normal 50 17" xfId="10556" xr:uid="{00000000-0005-0000-0000-00006F4C0000}"/>
    <cellStyle name="Normal 50 17 2" xfId="22680" xr:uid="{00000000-0005-0000-0000-0000704C0000}"/>
    <cellStyle name="Normal 50 18" xfId="10557" xr:uid="{00000000-0005-0000-0000-0000714C0000}"/>
    <cellStyle name="Normal 50 18 2" xfId="22681" xr:uid="{00000000-0005-0000-0000-0000724C0000}"/>
    <cellStyle name="Normal 50 19" xfId="10558" xr:uid="{00000000-0005-0000-0000-0000734C0000}"/>
    <cellStyle name="Normal 50 19 2" xfId="22682" xr:uid="{00000000-0005-0000-0000-0000744C0000}"/>
    <cellStyle name="Normal 50 2" xfId="739" xr:uid="{00000000-0005-0000-0000-0000754C0000}"/>
    <cellStyle name="Normal 50 2 2" xfId="22683" xr:uid="{00000000-0005-0000-0000-0000764C0000}"/>
    <cellStyle name="Normal 50 2 3" xfId="10559" xr:uid="{00000000-0005-0000-0000-0000774C0000}"/>
    <cellStyle name="Normal 50 20" xfId="10560" xr:uid="{00000000-0005-0000-0000-0000784C0000}"/>
    <cellStyle name="Normal 50 20 2" xfId="22684" xr:uid="{00000000-0005-0000-0000-0000794C0000}"/>
    <cellStyle name="Normal 50 21" xfId="10561" xr:uid="{00000000-0005-0000-0000-00007A4C0000}"/>
    <cellStyle name="Normal 50 21 2" xfId="22685" xr:uid="{00000000-0005-0000-0000-00007B4C0000}"/>
    <cellStyle name="Normal 50 22" xfId="10562" xr:uid="{00000000-0005-0000-0000-00007C4C0000}"/>
    <cellStyle name="Normal 50 22 2" xfId="22686" xr:uid="{00000000-0005-0000-0000-00007D4C0000}"/>
    <cellStyle name="Normal 50 23" xfId="10563" xr:uid="{00000000-0005-0000-0000-00007E4C0000}"/>
    <cellStyle name="Normal 50 23 2" xfId="22687" xr:uid="{00000000-0005-0000-0000-00007F4C0000}"/>
    <cellStyle name="Normal 50 24" xfId="10564" xr:uid="{00000000-0005-0000-0000-0000804C0000}"/>
    <cellStyle name="Normal 50 24 2" xfId="22688" xr:uid="{00000000-0005-0000-0000-0000814C0000}"/>
    <cellStyle name="Normal 50 25" xfId="10565" xr:uid="{00000000-0005-0000-0000-0000824C0000}"/>
    <cellStyle name="Normal 50 25 2" xfId="22689" xr:uid="{00000000-0005-0000-0000-0000834C0000}"/>
    <cellStyle name="Normal 50 26" xfId="10566" xr:uid="{00000000-0005-0000-0000-0000844C0000}"/>
    <cellStyle name="Normal 50 26 2" xfId="22690" xr:uid="{00000000-0005-0000-0000-0000854C0000}"/>
    <cellStyle name="Normal 50 27" xfId="10567" xr:uid="{00000000-0005-0000-0000-0000864C0000}"/>
    <cellStyle name="Normal 50 27 2" xfId="22691" xr:uid="{00000000-0005-0000-0000-0000874C0000}"/>
    <cellStyle name="Normal 50 28" xfId="10568" xr:uid="{00000000-0005-0000-0000-0000884C0000}"/>
    <cellStyle name="Normal 50 28 2" xfId="22692" xr:uid="{00000000-0005-0000-0000-0000894C0000}"/>
    <cellStyle name="Normal 50 29" xfId="10569" xr:uid="{00000000-0005-0000-0000-00008A4C0000}"/>
    <cellStyle name="Normal 50 29 2" xfId="22693" xr:uid="{00000000-0005-0000-0000-00008B4C0000}"/>
    <cellStyle name="Normal 50 3" xfId="372" xr:uid="{00000000-0005-0000-0000-00008C4C0000}"/>
    <cellStyle name="Normal 50 3 2" xfId="22694" xr:uid="{00000000-0005-0000-0000-00008D4C0000}"/>
    <cellStyle name="Normal 50 30" xfId="10570" xr:uid="{00000000-0005-0000-0000-00008E4C0000}"/>
    <cellStyle name="Normal 50 30 2" xfId="22695" xr:uid="{00000000-0005-0000-0000-00008F4C0000}"/>
    <cellStyle name="Normal 50 31" xfId="10571" xr:uid="{00000000-0005-0000-0000-0000904C0000}"/>
    <cellStyle name="Normal 50 31 2" xfId="22696" xr:uid="{00000000-0005-0000-0000-0000914C0000}"/>
    <cellStyle name="Normal 50 32" xfId="10572" xr:uid="{00000000-0005-0000-0000-0000924C0000}"/>
    <cellStyle name="Normal 50 32 2" xfId="22697" xr:uid="{00000000-0005-0000-0000-0000934C0000}"/>
    <cellStyle name="Normal 50 33" xfId="10573" xr:uid="{00000000-0005-0000-0000-0000944C0000}"/>
    <cellStyle name="Normal 50 33 2" xfId="22698" xr:uid="{00000000-0005-0000-0000-0000954C0000}"/>
    <cellStyle name="Normal 50 34" xfId="10574" xr:uid="{00000000-0005-0000-0000-0000964C0000}"/>
    <cellStyle name="Normal 50 34 2" xfId="22699" xr:uid="{00000000-0005-0000-0000-0000974C0000}"/>
    <cellStyle name="Normal 50 35" xfId="10575" xr:uid="{00000000-0005-0000-0000-0000984C0000}"/>
    <cellStyle name="Normal 50 35 2" xfId="22700" xr:uid="{00000000-0005-0000-0000-0000994C0000}"/>
    <cellStyle name="Normal 50 36" xfId="10576" xr:uid="{00000000-0005-0000-0000-00009A4C0000}"/>
    <cellStyle name="Normal 50 36 2" xfId="22701" xr:uid="{00000000-0005-0000-0000-00009B4C0000}"/>
    <cellStyle name="Normal 50 37" xfId="10577" xr:uid="{00000000-0005-0000-0000-00009C4C0000}"/>
    <cellStyle name="Normal 50 37 2" xfId="22702" xr:uid="{00000000-0005-0000-0000-00009D4C0000}"/>
    <cellStyle name="Normal 50 38" xfId="10578" xr:uid="{00000000-0005-0000-0000-00009E4C0000}"/>
    <cellStyle name="Normal 50 38 2" xfId="22703" xr:uid="{00000000-0005-0000-0000-00009F4C0000}"/>
    <cellStyle name="Normal 50 39" xfId="10579" xr:uid="{00000000-0005-0000-0000-0000A04C0000}"/>
    <cellStyle name="Normal 50 39 2" xfId="22704" xr:uid="{00000000-0005-0000-0000-0000A14C0000}"/>
    <cellStyle name="Normal 50 4" xfId="10580" xr:uid="{00000000-0005-0000-0000-0000A24C0000}"/>
    <cellStyle name="Normal 50 4 2" xfId="22705" xr:uid="{00000000-0005-0000-0000-0000A34C0000}"/>
    <cellStyle name="Normal 50 40" xfId="10581" xr:uid="{00000000-0005-0000-0000-0000A44C0000}"/>
    <cellStyle name="Normal 50 40 2" xfId="22706" xr:uid="{00000000-0005-0000-0000-0000A54C0000}"/>
    <cellStyle name="Normal 50 41" xfId="10582" xr:uid="{00000000-0005-0000-0000-0000A64C0000}"/>
    <cellStyle name="Normal 50 41 2" xfId="22707" xr:uid="{00000000-0005-0000-0000-0000A74C0000}"/>
    <cellStyle name="Normal 50 42" xfId="10583" xr:uid="{00000000-0005-0000-0000-0000A84C0000}"/>
    <cellStyle name="Normal 50 42 2" xfId="22708" xr:uid="{00000000-0005-0000-0000-0000A94C0000}"/>
    <cellStyle name="Normal 50 43" xfId="10584" xr:uid="{00000000-0005-0000-0000-0000AA4C0000}"/>
    <cellStyle name="Normal 50 43 2" xfId="22709" xr:uid="{00000000-0005-0000-0000-0000AB4C0000}"/>
    <cellStyle name="Normal 50 44" xfId="10585" xr:uid="{00000000-0005-0000-0000-0000AC4C0000}"/>
    <cellStyle name="Normal 50 44 2" xfId="22710" xr:uid="{00000000-0005-0000-0000-0000AD4C0000}"/>
    <cellStyle name="Normal 50 45" xfId="10586" xr:uid="{00000000-0005-0000-0000-0000AE4C0000}"/>
    <cellStyle name="Normal 50 45 2" xfId="22711" xr:uid="{00000000-0005-0000-0000-0000AF4C0000}"/>
    <cellStyle name="Normal 50 46" xfId="10587" xr:uid="{00000000-0005-0000-0000-0000B04C0000}"/>
    <cellStyle name="Normal 50 46 2" xfId="22712" xr:uid="{00000000-0005-0000-0000-0000B14C0000}"/>
    <cellStyle name="Normal 50 47" xfId="10588" xr:uid="{00000000-0005-0000-0000-0000B24C0000}"/>
    <cellStyle name="Normal 50 47 2" xfId="22713" xr:uid="{00000000-0005-0000-0000-0000B34C0000}"/>
    <cellStyle name="Normal 50 48" xfId="10589" xr:uid="{00000000-0005-0000-0000-0000B44C0000}"/>
    <cellStyle name="Normal 50 48 2" xfId="22714" xr:uid="{00000000-0005-0000-0000-0000B54C0000}"/>
    <cellStyle name="Normal 50 49" xfId="10590" xr:uid="{00000000-0005-0000-0000-0000B64C0000}"/>
    <cellStyle name="Normal 50 49 2" xfId="22715" xr:uid="{00000000-0005-0000-0000-0000B74C0000}"/>
    <cellStyle name="Normal 50 5" xfId="10591" xr:uid="{00000000-0005-0000-0000-0000B84C0000}"/>
    <cellStyle name="Normal 50 5 2" xfId="22716" xr:uid="{00000000-0005-0000-0000-0000B94C0000}"/>
    <cellStyle name="Normal 50 50" xfId="10592" xr:uid="{00000000-0005-0000-0000-0000BA4C0000}"/>
    <cellStyle name="Normal 50 50 2" xfId="22717" xr:uid="{00000000-0005-0000-0000-0000BB4C0000}"/>
    <cellStyle name="Normal 50 51" xfId="10593" xr:uid="{00000000-0005-0000-0000-0000BC4C0000}"/>
    <cellStyle name="Normal 50 51 2" xfId="22718" xr:uid="{00000000-0005-0000-0000-0000BD4C0000}"/>
    <cellStyle name="Normal 50 52" xfId="10594" xr:uid="{00000000-0005-0000-0000-0000BE4C0000}"/>
    <cellStyle name="Normal 50 52 2" xfId="22719" xr:uid="{00000000-0005-0000-0000-0000BF4C0000}"/>
    <cellStyle name="Normal 50 53" xfId="10595" xr:uid="{00000000-0005-0000-0000-0000C04C0000}"/>
    <cellStyle name="Normal 50 53 2" xfId="22720" xr:uid="{00000000-0005-0000-0000-0000C14C0000}"/>
    <cellStyle name="Normal 50 54" xfId="10596" xr:uid="{00000000-0005-0000-0000-0000C24C0000}"/>
    <cellStyle name="Normal 50 54 2" xfId="22721" xr:uid="{00000000-0005-0000-0000-0000C34C0000}"/>
    <cellStyle name="Normal 50 55" xfId="10597" xr:uid="{00000000-0005-0000-0000-0000C44C0000}"/>
    <cellStyle name="Normal 50 55 2" xfId="22722" xr:uid="{00000000-0005-0000-0000-0000C54C0000}"/>
    <cellStyle name="Normal 50 56" xfId="10598" xr:uid="{00000000-0005-0000-0000-0000C64C0000}"/>
    <cellStyle name="Normal 50 56 2" xfId="22723" xr:uid="{00000000-0005-0000-0000-0000C74C0000}"/>
    <cellStyle name="Normal 50 57" xfId="10599" xr:uid="{00000000-0005-0000-0000-0000C84C0000}"/>
    <cellStyle name="Normal 50 57 2" xfId="22724" xr:uid="{00000000-0005-0000-0000-0000C94C0000}"/>
    <cellStyle name="Normal 50 58" xfId="10600" xr:uid="{00000000-0005-0000-0000-0000CA4C0000}"/>
    <cellStyle name="Normal 50 58 2" xfId="22725" xr:uid="{00000000-0005-0000-0000-0000CB4C0000}"/>
    <cellStyle name="Normal 50 59" xfId="10601" xr:uid="{00000000-0005-0000-0000-0000CC4C0000}"/>
    <cellStyle name="Normal 50 59 2" xfId="22726" xr:uid="{00000000-0005-0000-0000-0000CD4C0000}"/>
    <cellStyle name="Normal 50 6" xfId="10602" xr:uid="{00000000-0005-0000-0000-0000CE4C0000}"/>
    <cellStyle name="Normal 50 6 2" xfId="22727" xr:uid="{00000000-0005-0000-0000-0000CF4C0000}"/>
    <cellStyle name="Normal 50 60" xfId="10603" xr:uid="{00000000-0005-0000-0000-0000D04C0000}"/>
    <cellStyle name="Normal 50 60 2" xfId="22728" xr:uid="{00000000-0005-0000-0000-0000D14C0000}"/>
    <cellStyle name="Normal 50 61" xfId="10604" xr:uid="{00000000-0005-0000-0000-0000D24C0000}"/>
    <cellStyle name="Normal 50 61 2" xfId="22729" xr:uid="{00000000-0005-0000-0000-0000D34C0000}"/>
    <cellStyle name="Normal 50 62" xfId="10605" xr:uid="{00000000-0005-0000-0000-0000D44C0000}"/>
    <cellStyle name="Normal 50 62 2" xfId="22730" xr:uid="{00000000-0005-0000-0000-0000D54C0000}"/>
    <cellStyle name="Normal 50 63" xfId="10606" xr:uid="{00000000-0005-0000-0000-0000D64C0000}"/>
    <cellStyle name="Normal 50 63 2" xfId="22731" xr:uid="{00000000-0005-0000-0000-0000D74C0000}"/>
    <cellStyle name="Normal 50 64" xfId="10607" xr:uid="{00000000-0005-0000-0000-0000D84C0000}"/>
    <cellStyle name="Normal 50 64 2" xfId="22732" xr:uid="{00000000-0005-0000-0000-0000D94C0000}"/>
    <cellStyle name="Normal 50 65" xfId="10608" xr:uid="{00000000-0005-0000-0000-0000DA4C0000}"/>
    <cellStyle name="Normal 50 65 2" xfId="22733" xr:uid="{00000000-0005-0000-0000-0000DB4C0000}"/>
    <cellStyle name="Normal 50 66" xfId="10609" xr:uid="{00000000-0005-0000-0000-0000DC4C0000}"/>
    <cellStyle name="Normal 50 66 2" xfId="22734" xr:uid="{00000000-0005-0000-0000-0000DD4C0000}"/>
    <cellStyle name="Normal 50 67" xfId="10610" xr:uid="{00000000-0005-0000-0000-0000DE4C0000}"/>
    <cellStyle name="Normal 50 67 2" xfId="22735" xr:uid="{00000000-0005-0000-0000-0000DF4C0000}"/>
    <cellStyle name="Normal 50 68" xfId="10611" xr:uid="{00000000-0005-0000-0000-0000E04C0000}"/>
    <cellStyle name="Normal 50 68 2" xfId="22736" xr:uid="{00000000-0005-0000-0000-0000E14C0000}"/>
    <cellStyle name="Normal 50 69" xfId="10612" xr:uid="{00000000-0005-0000-0000-0000E24C0000}"/>
    <cellStyle name="Normal 50 69 2" xfId="22737" xr:uid="{00000000-0005-0000-0000-0000E34C0000}"/>
    <cellStyle name="Normal 50 7" xfId="10613" xr:uid="{00000000-0005-0000-0000-0000E44C0000}"/>
    <cellStyle name="Normal 50 7 2" xfId="22738" xr:uid="{00000000-0005-0000-0000-0000E54C0000}"/>
    <cellStyle name="Normal 50 70" xfId="10614" xr:uid="{00000000-0005-0000-0000-0000E64C0000}"/>
    <cellStyle name="Normal 50 70 2" xfId="22739" xr:uid="{00000000-0005-0000-0000-0000E74C0000}"/>
    <cellStyle name="Normal 50 71" xfId="10615" xr:uid="{00000000-0005-0000-0000-0000E84C0000}"/>
    <cellStyle name="Normal 50 71 2" xfId="22740" xr:uid="{00000000-0005-0000-0000-0000E94C0000}"/>
    <cellStyle name="Normal 50 72" xfId="10616" xr:uid="{00000000-0005-0000-0000-0000EA4C0000}"/>
    <cellStyle name="Normal 50 72 2" xfId="22741" xr:uid="{00000000-0005-0000-0000-0000EB4C0000}"/>
    <cellStyle name="Normal 50 73" xfId="10617" xr:uid="{00000000-0005-0000-0000-0000EC4C0000}"/>
    <cellStyle name="Normal 50 73 2" xfId="22742" xr:uid="{00000000-0005-0000-0000-0000ED4C0000}"/>
    <cellStyle name="Normal 50 74" xfId="10618" xr:uid="{00000000-0005-0000-0000-0000EE4C0000}"/>
    <cellStyle name="Normal 50 74 2" xfId="22743" xr:uid="{00000000-0005-0000-0000-0000EF4C0000}"/>
    <cellStyle name="Normal 50 75" xfId="10619" xr:uid="{00000000-0005-0000-0000-0000F04C0000}"/>
    <cellStyle name="Normal 50 75 2" xfId="22744" xr:uid="{00000000-0005-0000-0000-0000F14C0000}"/>
    <cellStyle name="Normal 50 76" xfId="10620" xr:uid="{00000000-0005-0000-0000-0000F24C0000}"/>
    <cellStyle name="Normal 50 76 2" xfId="22745" xr:uid="{00000000-0005-0000-0000-0000F34C0000}"/>
    <cellStyle name="Normal 50 77" xfId="10621" xr:uid="{00000000-0005-0000-0000-0000F44C0000}"/>
    <cellStyle name="Normal 50 77 2" xfId="22746" xr:uid="{00000000-0005-0000-0000-0000F54C0000}"/>
    <cellStyle name="Normal 50 78" xfId="10622" xr:uid="{00000000-0005-0000-0000-0000F64C0000}"/>
    <cellStyle name="Normal 50 78 2" xfId="22747" xr:uid="{00000000-0005-0000-0000-0000F74C0000}"/>
    <cellStyle name="Normal 50 79" xfId="10623" xr:uid="{00000000-0005-0000-0000-0000F84C0000}"/>
    <cellStyle name="Normal 50 79 2" xfId="22748" xr:uid="{00000000-0005-0000-0000-0000F94C0000}"/>
    <cellStyle name="Normal 50 8" xfId="10624" xr:uid="{00000000-0005-0000-0000-0000FA4C0000}"/>
    <cellStyle name="Normal 50 8 2" xfId="22749" xr:uid="{00000000-0005-0000-0000-0000FB4C0000}"/>
    <cellStyle name="Normal 50 80" xfId="22672" xr:uid="{00000000-0005-0000-0000-0000FC4C0000}"/>
    <cellStyle name="Normal 50 9" xfId="10625" xr:uid="{00000000-0005-0000-0000-0000FD4C0000}"/>
    <cellStyle name="Normal 50 9 2" xfId="22750" xr:uid="{00000000-0005-0000-0000-0000FE4C0000}"/>
    <cellStyle name="Normal 51" xfId="157" xr:uid="{00000000-0005-0000-0000-0000FF4C0000}"/>
    <cellStyle name="Normal 51 10" xfId="10626" xr:uid="{00000000-0005-0000-0000-0000004D0000}"/>
    <cellStyle name="Normal 51 10 2" xfId="22752" xr:uid="{00000000-0005-0000-0000-0000014D0000}"/>
    <cellStyle name="Normal 51 11" xfId="10627" xr:uid="{00000000-0005-0000-0000-0000024D0000}"/>
    <cellStyle name="Normal 51 11 2" xfId="22753" xr:uid="{00000000-0005-0000-0000-0000034D0000}"/>
    <cellStyle name="Normal 51 12" xfId="10628" xr:uid="{00000000-0005-0000-0000-0000044D0000}"/>
    <cellStyle name="Normal 51 12 2" xfId="22754" xr:uid="{00000000-0005-0000-0000-0000054D0000}"/>
    <cellStyle name="Normal 51 13" xfId="10629" xr:uid="{00000000-0005-0000-0000-0000064D0000}"/>
    <cellStyle name="Normal 51 13 2" xfId="22755" xr:uid="{00000000-0005-0000-0000-0000074D0000}"/>
    <cellStyle name="Normal 51 14" xfId="10630" xr:uid="{00000000-0005-0000-0000-0000084D0000}"/>
    <cellStyle name="Normal 51 14 2" xfId="22756" xr:uid="{00000000-0005-0000-0000-0000094D0000}"/>
    <cellStyle name="Normal 51 15" xfId="10631" xr:uid="{00000000-0005-0000-0000-00000A4D0000}"/>
    <cellStyle name="Normal 51 15 2" xfId="22757" xr:uid="{00000000-0005-0000-0000-00000B4D0000}"/>
    <cellStyle name="Normal 51 16" xfId="10632" xr:uid="{00000000-0005-0000-0000-00000C4D0000}"/>
    <cellStyle name="Normal 51 16 2" xfId="22758" xr:uid="{00000000-0005-0000-0000-00000D4D0000}"/>
    <cellStyle name="Normal 51 17" xfId="10633" xr:uid="{00000000-0005-0000-0000-00000E4D0000}"/>
    <cellStyle name="Normal 51 17 2" xfId="22759" xr:uid="{00000000-0005-0000-0000-00000F4D0000}"/>
    <cellStyle name="Normal 51 18" xfId="10634" xr:uid="{00000000-0005-0000-0000-0000104D0000}"/>
    <cellStyle name="Normal 51 18 2" xfId="22760" xr:uid="{00000000-0005-0000-0000-0000114D0000}"/>
    <cellStyle name="Normal 51 19" xfId="10635" xr:uid="{00000000-0005-0000-0000-0000124D0000}"/>
    <cellStyle name="Normal 51 19 2" xfId="22761" xr:uid="{00000000-0005-0000-0000-0000134D0000}"/>
    <cellStyle name="Normal 51 2" xfId="740" xr:uid="{00000000-0005-0000-0000-0000144D0000}"/>
    <cellStyle name="Normal 51 2 2" xfId="22762" xr:uid="{00000000-0005-0000-0000-0000154D0000}"/>
    <cellStyle name="Normal 51 2 3" xfId="10636" xr:uid="{00000000-0005-0000-0000-0000164D0000}"/>
    <cellStyle name="Normal 51 20" xfId="10637" xr:uid="{00000000-0005-0000-0000-0000174D0000}"/>
    <cellStyle name="Normal 51 20 2" xfId="22763" xr:uid="{00000000-0005-0000-0000-0000184D0000}"/>
    <cellStyle name="Normal 51 21" xfId="10638" xr:uid="{00000000-0005-0000-0000-0000194D0000}"/>
    <cellStyle name="Normal 51 21 2" xfId="22764" xr:uid="{00000000-0005-0000-0000-00001A4D0000}"/>
    <cellStyle name="Normal 51 22" xfId="10639" xr:uid="{00000000-0005-0000-0000-00001B4D0000}"/>
    <cellStyle name="Normal 51 22 2" xfId="22765" xr:uid="{00000000-0005-0000-0000-00001C4D0000}"/>
    <cellStyle name="Normal 51 23" xfId="10640" xr:uid="{00000000-0005-0000-0000-00001D4D0000}"/>
    <cellStyle name="Normal 51 23 2" xfId="22766" xr:uid="{00000000-0005-0000-0000-00001E4D0000}"/>
    <cellStyle name="Normal 51 24" xfId="10641" xr:uid="{00000000-0005-0000-0000-00001F4D0000}"/>
    <cellStyle name="Normal 51 24 2" xfId="22767" xr:uid="{00000000-0005-0000-0000-0000204D0000}"/>
    <cellStyle name="Normal 51 25" xfId="10642" xr:uid="{00000000-0005-0000-0000-0000214D0000}"/>
    <cellStyle name="Normal 51 25 2" xfId="22768" xr:uid="{00000000-0005-0000-0000-0000224D0000}"/>
    <cellStyle name="Normal 51 26" xfId="10643" xr:uid="{00000000-0005-0000-0000-0000234D0000}"/>
    <cellStyle name="Normal 51 26 2" xfId="22769" xr:uid="{00000000-0005-0000-0000-0000244D0000}"/>
    <cellStyle name="Normal 51 27" xfId="10644" xr:uid="{00000000-0005-0000-0000-0000254D0000}"/>
    <cellStyle name="Normal 51 27 2" xfId="22770" xr:uid="{00000000-0005-0000-0000-0000264D0000}"/>
    <cellStyle name="Normal 51 28" xfId="10645" xr:uid="{00000000-0005-0000-0000-0000274D0000}"/>
    <cellStyle name="Normal 51 28 2" xfId="22771" xr:uid="{00000000-0005-0000-0000-0000284D0000}"/>
    <cellStyle name="Normal 51 29" xfId="10646" xr:uid="{00000000-0005-0000-0000-0000294D0000}"/>
    <cellStyle name="Normal 51 29 2" xfId="22772" xr:uid="{00000000-0005-0000-0000-00002A4D0000}"/>
    <cellStyle name="Normal 51 3" xfId="392" xr:uid="{00000000-0005-0000-0000-00002B4D0000}"/>
    <cellStyle name="Normal 51 3 2" xfId="22773" xr:uid="{00000000-0005-0000-0000-00002C4D0000}"/>
    <cellStyle name="Normal 51 30" xfId="10647" xr:uid="{00000000-0005-0000-0000-00002D4D0000}"/>
    <cellStyle name="Normal 51 30 2" xfId="22774" xr:uid="{00000000-0005-0000-0000-00002E4D0000}"/>
    <cellStyle name="Normal 51 31" xfId="10648" xr:uid="{00000000-0005-0000-0000-00002F4D0000}"/>
    <cellStyle name="Normal 51 31 2" xfId="22775" xr:uid="{00000000-0005-0000-0000-0000304D0000}"/>
    <cellStyle name="Normal 51 32" xfId="10649" xr:uid="{00000000-0005-0000-0000-0000314D0000}"/>
    <cellStyle name="Normal 51 32 2" xfId="22776" xr:uid="{00000000-0005-0000-0000-0000324D0000}"/>
    <cellStyle name="Normal 51 33" xfId="10650" xr:uid="{00000000-0005-0000-0000-0000334D0000}"/>
    <cellStyle name="Normal 51 33 2" xfId="22777" xr:uid="{00000000-0005-0000-0000-0000344D0000}"/>
    <cellStyle name="Normal 51 34" xfId="10651" xr:uid="{00000000-0005-0000-0000-0000354D0000}"/>
    <cellStyle name="Normal 51 34 2" xfId="22778" xr:uid="{00000000-0005-0000-0000-0000364D0000}"/>
    <cellStyle name="Normal 51 35" xfId="10652" xr:uid="{00000000-0005-0000-0000-0000374D0000}"/>
    <cellStyle name="Normal 51 35 2" xfId="22779" xr:uid="{00000000-0005-0000-0000-0000384D0000}"/>
    <cellStyle name="Normal 51 36" xfId="10653" xr:uid="{00000000-0005-0000-0000-0000394D0000}"/>
    <cellStyle name="Normal 51 36 2" xfId="22780" xr:uid="{00000000-0005-0000-0000-00003A4D0000}"/>
    <cellStyle name="Normal 51 37" xfId="10654" xr:uid="{00000000-0005-0000-0000-00003B4D0000}"/>
    <cellStyle name="Normal 51 37 2" xfId="22781" xr:uid="{00000000-0005-0000-0000-00003C4D0000}"/>
    <cellStyle name="Normal 51 38" xfId="10655" xr:uid="{00000000-0005-0000-0000-00003D4D0000}"/>
    <cellStyle name="Normal 51 38 2" xfId="22782" xr:uid="{00000000-0005-0000-0000-00003E4D0000}"/>
    <cellStyle name="Normal 51 39" xfId="10656" xr:uid="{00000000-0005-0000-0000-00003F4D0000}"/>
    <cellStyle name="Normal 51 39 2" xfId="22783" xr:uid="{00000000-0005-0000-0000-0000404D0000}"/>
    <cellStyle name="Normal 51 4" xfId="10657" xr:uid="{00000000-0005-0000-0000-0000414D0000}"/>
    <cellStyle name="Normal 51 4 2" xfId="22784" xr:uid="{00000000-0005-0000-0000-0000424D0000}"/>
    <cellStyle name="Normal 51 40" xfId="10658" xr:uid="{00000000-0005-0000-0000-0000434D0000}"/>
    <cellStyle name="Normal 51 40 2" xfId="22785" xr:uid="{00000000-0005-0000-0000-0000444D0000}"/>
    <cellStyle name="Normal 51 41" xfId="10659" xr:uid="{00000000-0005-0000-0000-0000454D0000}"/>
    <cellStyle name="Normal 51 41 2" xfId="22786" xr:uid="{00000000-0005-0000-0000-0000464D0000}"/>
    <cellStyle name="Normal 51 42" xfId="10660" xr:uid="{00000000-0005-0000-0000-0000474D0000}"/>
    <cellStyle name="Normal 51 42 2" xfId="22787" xr:uid="{00000000-0005-0000-0000-0000484D0000}"/>
    <cellStyle name="Normal 51 43" xfId="10661" xr:uid="{00000000-0005-0000-0000-0000494D0000}"/>
    <cellStyle name="Normal 51 43 2" xfId="22788" xr:uid="{00000000-0005-0000-0000-00004A4D0000}"/>
    <cellStyle name="Normal 51 44" xfId="10662" xr:uid="{00000000-0005-0000-0000-00004B4D0000}"/>
    <cellStyle name="Normal 51 44 2" xfId="22789" xr:uid="{00000000-0005-0000-0000-00004C4D0000}"/>
    <cellStyle name="Normal 51 45" xfId="10663" xr:uid="{00000000-0005-0000-0000-00004D4D0000}"/>
    <cellStyle name="Normal 51 45 2" xfId="22790" xr:uid="{00000000-0005-0000-0000-00004E4D0000}"/>
    <cellStyle name="Normal 51 46" xfId="10664" xr:uid="{00000000-0005-0000-0000-00004F4D0000}"/>
    <cellStyle name="Normal 51 46 2" xfId="22791" xr:uid="{00000000-0005-0000-0000-0000504D0000}"/>
    <cellStyle name="Normal 51 47" xfId="10665" xr:uid="{00000000-0005-0000-0000-0000514D0000}"/>
    <cellStyle name="Normal 51 47 2" xfId="22792" xr:uid="{00000000-0005-0000-0000-0000524D0000}"/>
    <cellStyle name="Normal 51 48" xfId="10666" xr:uid="{00000000-0005-0000-0000-0000534D0000}"/>
    <cellStyle name="Normal 51 48 2" xfId="22793" xr:uid="{00000000-0005-0000-0000-0000544D0000}"/>
    <cellStyle name="Normal 51 49" xfId="10667" xr:uid="{00000000-0005-0000-0000-0000554D0000}"/>
    <cellStyle name="Normal 51 49 2" xfId="22794" xr:uid="{00000000-0005-0000-0000-0000564D0000}"/>
    <cellStyle name="Normal 51 5" xfId="10668" xr:uid="{00000000-0005-0000-0000-0000574D0000}"/>
    <cellStyle name="Normal 51 5 2" xfId="22795" xr:uid="{00000000-0005-0000-0000-0000584D0000}"/>
    <cellStyle name="Normal 51 50" xfId="10669" xr:uid="{00000000-0005-0000-0000-0000594D0000}"/>
    <cellStyle name="Normal 51 50 2" xfId="22796" xr:uid="{00000000-0005-0000-0000-00005A4D0000}"/>
    <cellStyle name="Normal 51 51" xfId="10670" xr:uid="{00000000-0005-0000-0000-00005B4D0000}"/>
    <cellStyle name="Normal 51 51 2" xfId="22797" xr:uid="{00000000-0005-0000-0000-00005C4D0000}"/>
    <cellStyle name="Normal 51 52" xfId="10671" xr:uid="{00000000-0005-0000-0000-00005D4D0000}"/>
    <cellStyle name="Normal 51 52 2" xfId="22798" xr:uid="{00000000-0005-0000-0000-00005E4D0000}"/>
    <cellStyle name="Normal 51 53" xfId="10672" xr:uid="{00000000-0005-0000-0000-00005F4D0000}"/>
    <cellStyle name="Normal 51 53 2" xfId="22799" xr:uid="{00000000-0005-0000-0000-0000604D0000}"/>
    <cellStyle name="Normal 51 54" xfId="10673" xr:uid="{00000000-0005-0000-0000-0000614D0000}"/>
    <cellStyle name="Normal 51 54 2" xfId="22800" xr:uid="{00000000-0005-0000-0000-0000624D0000}"/>
    <cellStyle name="Normal 51 55" xfId="10674" xr:uid="{00000000-0005-0000-0000-0000634D0000}"/>
    <cellStyle name="Normal 51 55 2" xfId="22801" xr:uid="{00000000-0005-0000-0000-0000644D0000}"/>
    <cellStyle name="Normal 51 56" xfId="10675" xr:uid="{00000000-0005-0000-0000-0000654D0000}"/>
    <cellStyle name="Normal 51 56 2" xfId="22802" xr:uid="{00000000-0005-0000-0000-0000664D0000}"/>
    <cellStyle name="Normal 51 57" xfId="10676" xr:uid="{00000000-0005-0000-0000-0000674D0000}"/>
    <cellStyle name="Normal 51 57 2" xfId="22803" xr:uid="{00000000-0005-0000-0000-0000684D0000}"/>
    <cellStyle name="Normal 51 58" xfId="10677" xr:uid="{00000000-0005-0000-0000-0000694D0000}"/>
    <cellStyle name="Normal 51 58 2" xfId="22804" xr:uid="{00000000-0005-0000-0000-00006A4D0000}"/>
    <cellStyle name="Normal 51 59" xfId="10678" xr:uid="{00000000-0005-0000-0000-00006B4D0000}"/>
    <cellStyle name="Normal 51 59 2" xfId="22805" xr:uid="{00000000-0005-0000-0000-00006C4D0000}"/>
    <cellStyle name="Normal 51 6" xfId="10679" xr:uid="{00000000-0005-0000-0000-00006D4D0000}"/>
    <cellStyle name="Normal 51 6 2" xfId="22806" xr:uid="{00000000-0005-0000-0000-00006E4D0000}"/>
    <cellStyle name="Normal 51 60" xfId="10680" xr:uid="{00000000-0005-0000-0000-00006F4D0000}"/>
    <cellStyle name="Normal 51 60 2" xfId="22807" xr:uid="{00000000-0005-0000-0000-0000704D0000}"/>
    <cellStyle name="Normal 51 61" xfId="10681" xr:uid="{00000000-0005-0000-0000-0000714D0000}"/>
    <cellStyle name="Normal 51 61 2" xfId="22808" xr:uid="{00000000-0005-0000-0000-0000724D0000}"/>
    <cellStyle name="Normal 51 62" xfId="10682" xr:uid="{00000000-0005-0000-0000-0000734D0000}"/>
    <cellStyle name="Normal 51 62 2" xfId="22809" xr:uid="{00000000-0005-0000-0000-0000744D0000}"/>
    <cellStyle name="Normal 51 63" xfId="10683" xr:uid="{00000000-0005-0000-0000-0000754D0000}"/>
    <cellStyle name="Normal 51 63 2" xfId="22810" xr:uid="{00000000-0005-0000-0000-0000764D0000}"/>
    <cellStyle name="Normal 51 64" xfId="10684" xr:uid="{00000000-0005-0000-0000-0000774D0000}"/>
    <cellStyle name="Normal 51 64 2" xfId="22811" xr:uid="{00000000-0005-0000-0000-0000784D0000}"/>
    <cellStyle name="Normal 51 65" xfId="10685" xr:uid="{00000000-0005-0000-0000-0000794D0000}"/>
    <cellStyle name="Normal 51 65 2" xfId="22812" xr:uid="{00000000-0005-0000-0000-00007A4D0000}"/>
    <cellStyle name="Normal 51 66" xfId="10686" xr:uid="{00000000-0005-0000-0000-00007B4D0000}"/>
    <cellStyle name="Normal 51 66 2" xfId="22813" xr:uid="{00000000-0005-0000-0000-00007C4D0000}"/>
    <cellStyle name="Normal 51 67" xfId="10687" xr:uid="{00000000-0005-0000-0000-00007D4D0000}"/>
    <cellStyle name="Normal 51 67 2" xfId="22814" xr:uid="{00000000-0005-0000-0000-00007E4D0000}"/>
    <cellStyle name="Normal 51 68" xfId="10688" xr:uid="{00000000-0005-0000-0000-00007F4D0000}"/>
    <cellStyle name="Normal 51 68 2" xfId="22815" xr:uid="{00000000-0005-0000-0000-0000804D0000}"/>
    <cellStyle name="Normal 51 69" xfId="10689" xr:uid="{00000000-0005-0000-0000-0000814D0000}"/>
    <cellStyle name="Normal 51 69 2" xfId="22816" xr:uid="{00000000-0005-0000-0000-0000824D0000}"/>
    <cellStyle name="Normal 51 7" xfId="10690" xr:uid="{00000000-0005-0000-0000-0000834D0000}"/>
    <cellStyle name="Normal 51 7 2" xfId="22817" xr:uid="{00000000-0005-0000-0000-0000844D0000}"/>
    <cellStyle name="Normal 51 70" xfId="10691" xr:uid="{00000000-0005-0000-0000-0000854D0000}"/>
    <cellStyle name="Normal 51 70 2" xfId="22818" xr:uid="{00000000-0005-0000-0000-0000864D0000}"/>
    <cellStyle name="Normal 51 71" xfId="10692" xr:uid="{00000000-0005-0000-0000-0000874D0000}"/>
    <cellStyle name="Normal 51 71 2" xfId="22819" xr:uid="{00000000-0005-0000-0000-0000884D0000}"/>
    <cellStyle name="Normal 51 72" xfId="10693" xr:uid="{00000000-0005-0000-0000-0000894D0000}"/>
    <cellStyle name="Normal 51 72 2" xfId="22820" xr:uid="{00000000-0005-0000-0000-00008A4D0000}"/>
    <cellStyle name="Normal 51 73" xfId="10694" xr:uid="{00000000-0005-0000-0000-00008B4D0000}"/>
    <cellStyle name="Normal 51 73 2" xfId="22821" xr:uid="{00000000-0005-0000-0000-00008C4D0000}"/>
    <cellStyle name="Normal 51 74" xfId="10695" xr:uid="{00000000-0005-0000-0000-00008D4D0000}"/>
    <cellStyle name="Normal 51 74 2" xfId="22822" xr:uid="{00000000-0005-0000-0000-00008E4D0000}"/>
    <cellStyle name="Normal 51 75" xfId="10696" xr:uid="{00000000-0005-0000-0000-00008F4D0000}"/>
    <cellStyle name="Normal 51 75 2" xfId="22823" xr:uid="{00000000-0005-0000-0000-0000904D0000}"/>
    <cellStyle name="Normal 51 76" xfId="10697" xr:uid="{00000000-0005-0000-0000-0000914D0000}"/>
    <cellStyle name="Normal 51 76 2" xfId="22824" xr:uid="{00000000-0005-0000-0000-0000924D0000}"/>
    <cellStyle name="Normal 51 77" xfId="10698" xr:uid="{00000000-0005-0000-0000-0000934D0000}"/>
    <cellStyle name="Normal 51 77 2" xfId="22825" xr:uid="{00000000-0005-0000-0000-0000944D0000}"/>
    <cellStyle name="Normal 51 78" xfId="10699" xr:uid="{00000000-0005-0000-0000-0000954D0000}"/>
    <cellStyle name="Normal 51 78 2" xfId="22826" xr:uid="{00000000-0005-0000-0000-0000964D0000}"/>
    <cellStyle name="Normal 51 79" xfId="10700" xr:uid="{00000000-0005-0000-0000-0000974D0000}"/>
    <cellStyle name="Normal 51 79 2" xfId="22827" xr:uid="{00000000-0005-0000-0000-0000984D0000}"/>
    <cellStyle name="Normal 51 8" xfId="10701" xr:uid="{00000000-0005-0000-0000-0000994D0000}"/>
    <cellStyle name="Normal 51 8 2" xfId="22828" xr:uid="{00000000-0005-0000-0000-00009A4D0000}"/>
    <cellStyle name="Normal 51 80" xfId="22751" xr:uid="{00000000-0005-0000-0000-00009B4D0000}"/>
    <cellStyle name="Normal 51 9" xfId="10702" xr:uid="{00000000-0005-0000-0000-00009C4D0000}"/>
    <cellStyle name="Normal 51 9 2" xfId="22829" xr:uid="{00000000-0005-0000-0000-00009D4D0000}"/>
    <cellStyle name="Normal 52" xfId="159" xr:uid="{00000000-0005-0000-0000-00009E4D0000}"/>
    <cellStyle name="Normal 52 10" xfId="10703" xr:uid="{00000000-0005-0000-0000-00009F4D0000}"/>
    <cellStyle name="Normal 52 10 2" xfId="22831" xr:uid="{00000000-0005-0000-0000-0000A04D0000}"/>
    <cellStyle name="Normal 52 11" xfId="10704" xr:uid="{00000000-0005-0000-0000-0000A14D0000}"/>
    <cellStyle name="Normal 52 11 2" xfId="22832" xr:uid="{00000000-0005-0000-0000-0000A24D0000}"/>
    <cellStyle name="Normal 52 12" xfId="10705" xr:uid="{00000000-0005-0000-0000-0000A34D0000}"/>
    <cellStyle name="Normal 52 12 2" xfId="22833" xr:uid="{00000000-0005-0000-0000-0000A44D0000}"/>
    <cellStyle name="Normal 52 13" xfId="10706" xr:uid="{00000000-0005-0000-0000-0000A54D0000}"/>
    <cellStyle name="Normal 52 13 2" xfId="22834" xr:uid="{00000000-0005-0000-0000-0000A64D0000}"/>
    <cellStyle name="Normal 52 14" xfId="10707" xr:uid="{00000000-0005-0000-0000-0000A74D0000}"/>
    <cellStyle name="Normal 52 14 2" xfId="22835" xr:uid="{00000000-0005-0000-0000-0000A84D0000}"/>
    <cellStyle name="Normal 52 15" xfId="10708" xr:uid="{00000000-0005-0000-0000-0000A94D0000}"/>
    <cellStyle name="Normal 52 15 2" xfId="22836" xr:uid="{00000000-0005-0000-0000-0000AA4D0000}"/>
    <cellStyle name="Normal 52 16" xfId="10709" xr:uid="{00000000-0005-0000-0000-0000AB4D0000}"/>
    <cellStyle name="Normal 52 16 2" xfId="22837" xr:uid="{00000000-0005-0000-0000-0000AC4D0000}"/>
    <cellStyle name="Normal 52 17" xfId="10710" xr:uid="{00000000-0005-0000-0000-0000AD4D0000}"/>
    <cellStyle name="Normal 52 17 2" xfId="22838" xr:uid="{00000000-0005-0000-0000-0000AE4D0000}"/>
    <cellStyle name="Normal 52 18" xfId="10711" xr:uid="{00000000-0005-0000-0000-0000AF4D0000}"/>
    <cellStyle name="Normal 52 18 2" xfId="22839" xr:uid="{00000000-0005-0000-0000-0000B04D0000}"/>
    <cellStyle name="Normal 52 19" xfId="10712" xr:uid="{00000000-0005-0000-0000-0000B14D0000}"/>
    <cellStyle name="Normal 52 19 2" xfId="22840" xr:uid="{00000000-0005-0000-0000-0000B24D0000}"/>
    <cellStyle name="Normal 52 2" xfId="741" xr:uid="{00000000-0005-0000-0000-0000B34D0000}"/>
    <cellStyle name="Normal 52 2 2" xfId="22841" xr:uid="{00000000-0005-0000-0000-0000B44D0000}"/>
    <cellStyle name="Normal 52 2 3" xfId="10713" xr:uid="{00000000-0005-0000-0000-0000B54D0000}"/>
    <cellStyle name="Normal 52 20" xfId="10714" xr:uid="{00000000-0005-0000-0000-0000B64D0000}"/>
    <cellStyle name="Normal 52 20 2" xfId="22842" xr:uid="{00000000-0005-0000-0000-0000B74D0000}"/>
    <cellStyle name="Normal 52 21" xfId="10715" xr:uid="{00000000-0005-0000-0000-0000B84D0000}"/>
    <cellStyle name="Normal 52 21 2" xfId="22843" xr:uid="{00000000-0005-0000-0000-0000B94D0000}"/>
    <cellStyle name="Normal 52 22" xfId="10716" xr:uid="{00000000-0005-0000-0000-0000BA4D0000}"/>
    <cellStyle name="Normal 52 22 2" xfId="22844" xr:uid="{00000000-0005-0000-0000-0000BB4D0000}"/>
    <cellStyle name="Normal 52 23" xfId="10717" xr:uid="{00000000-0005-0000-0000-0000BC4D0000}"/>
    <cellStyle name="Normal 52 23 2" xfId="22845" xr:uid="{00000000-0005-0000-0000-0000BD4D0000}"/>
    <cellStyle name="Normal 52 24" xfId="10718" xr:uid="{00000000-0005-0000-0000-0000BE4D0000}"/>
    <cellStyle name="Normal 52 24 2" xfId="22846" xr:uid="{00000000-0005-0000-0000-0000BF4D0000}"/>
    <cellStyle name="Normal 52 25" xfId="10719" xr:uid="{00000000-0005-0000-0000-0000C04D0000}"/>
    <cellStyle name="Normal 52 25 2" xfId="22847" xr:uid="{00000000-0005-0000-0000-0000C14D0000}"/>
    <cellStyle name="Normal 52 26" xfId="10720" xr:uid="{00000000-0005-0000-0000-0000C24D0000}"/>
    <cellStyle name="Normal 52 26 2" xfId="22848" xr:uid="{00000000-0005-0000-0000-0000C34D0000}"/>
    <cellStyle name="Normal 52 27" xfId="10721" xr:uid="{00000000-0005-0000-0000-0000C44D0000}"/>
    <cellStyle name="Normal 52 27 2" xfId="22849" xr:uid="{00000000-0005-0000-0000-0000C54D0000}"/>
    <cellStyle name="Normal 52 28" xfId="10722" xr:uid="{00000000-0005-0000-0000-0000C64D0000}"/>
    <cellStyle name="Normal 52 28 2" xfId="22850" xr:uid="{00000000-0005-0000-0000-0000C74D0000}"/>
    <cellStyle name="Normal 52 29" xfId="10723" xr:uid="{00000000-0005-0000-0000-0000C84D0000}"/>
    <cellStyle name="Normal 52 29 2" xfId="22851" xr:uid="{00000000-0005-0000-0000-0000C94D0000}"/>
    <cellStyle name="Normal 52 3" xfId="393" xr:uid="{00000000-0005-0000-0000-0000CA4D0000}"/>
    <cellStyle name="Normal 52 3 2" xfId="22852" xr:uid="{00000000-0005-0000-0000-0000CB4D0000}"/>
    <cellStyle name="Normal 52 30" xfId="10724" xr:uid="{00000000-0005-0000-0000-0000CC4D0000}"/>
    <cellStyle name="Normal 52 30 2" xfId="22853" xr:uid="{00000000-0005-0000-0000-0000CD4D0000}"/>
    <cellStyle name="Normal 52 31" xfId="10725" xr:uid="{00000000-0005-0000-0000-0000CE4D0000}"/>
    <cellStyle name="Normal 52 31 2" xfId="22854" xr:uid="{00000000-0005-0000-0000-0000CF4D0000}"/>
    <cellStyle name="Normal 52 32" xfId="10726" xr:uid="{00000000-0005-0000-0000-0000D04D0000}"/>
    <cellStyle name="Normal 52 32 2" xfId="22855" xr:uid="{00000000-0005-0000-0000-0000D14D0000}"/>
    <cellStyle name="Normal 52 33" xfId="10727" xr:uid="{00000000-0005-0000-0000-0000D24D0000}"/>
    <cellStyle name="Normal 52 33 2" xfId="22856" xr:uid="{00000000-0005-0000-0000-0000D34D0000}"/>
    <cellStyle name="Normal 52 34" xfId="10728" xr:uid="{00000000-0005-0000-0000-0000D44D0000}"/>
    <cellStyle name="Normal 52 34 2" xfId="22857" xr:uid="{00000000-0005-0000-0000-0000D54D0000}"/>
    <cellStyle name="Normal 52 35" xfId="10729" xr:uid="{00000000-0005-0000-0000-0000D64D0000}"/>
    <cellStyle name="Normal 52 35 2" xfId="22858" xr:uid="{00000000-0005-0000-0000-0000D74D0000}"/>
    <cellStyle name="Normal 52 36" xfId="10730" xr:uid="{00000000-0005-0000-0000-0000D84D0000}"/>
    <cellStyle name="Normal 52 36 2" xfId="22859" xr:uid="{00000000-0005-0000-0000-0000D94D0000}"/>
    <cellStyle name="Normal 52 37" xfId="10731" xr:uid="{00000000-0005-0000-0000-0000DA4D0000}"/>
    <cellStyle name="Normal 52 37 2" xfId="22860" xr:uid="{00000000-0005-0000-0000-0000DB4D0000}"/>
    <cellStyle name="Normal 52 38" xfId="10732" xr:uid="{00000000-0005-0000-0000-0000DC4D0000}"/>
    <cellStyle name="Normal 52 38 2" xfId="22861" xr:uid="{00000000-0005-0000-0000-0000DD4D0000}"/>
    <cellStyle name="Normal 52 39" xfId="10733" xr:uid="{00000000-0005-0000-0000-0000DE4D0000}"/>
    <cellStyle name="Normal 52 39 2" xfId="22862" xr:uid="{00000000-0005-0000-0000-0000DF4D0000}"/>
    <cellStyle name="Normal 52 4" xfId="10734" xr:uid="{00000000-0005-0000-0000-0000E04D0000}"/>
    <cellStyle name="Normal 52 4 2" xfId="22863" xr:uid="{00000000-0005-0000-0000-0000E14D0000}"/>
    <cellStyle name="Normal 52 40" xfId="10735" xr:uid="{00000000-0005-0000-0000-0000E24D0000}"/>
    <cellStyle name="Normal 52 40 2" xfId="22864" xr:uid="{00000000-0005-0000-0000-0000E34D0000}"/>
    <cellStyle name="Normal 52 41" xfId="10736" xr:uid="{00000000-0005-0000-0000-0000E44D0000}"/>
    <cellStyle name="Normal 52 41 2" xfId="22865" xr:uid="{00000000-0005-0000-0000-0000E54D0000}"/>
    <cellStyle name="Normal 52 42" xfId="10737" xr:uid="{00000000-0005-0000-0000-0000E64D0000}"/>
    <cellStyle name="Normal 52 42 2" xfId="22866" xr:uid="{00000000-0005-0000-0000-0000E74D0000}"/>
    <cellStyle name="Normal 52 43" xfId="10738" xr:uid="{00000000-0005-0000-0000-0000E84D0000}"/>
    <cellStyle name="Normal 52 43 2" xfId="22867" xr:uid="{00000000-0005-0000-0000-0000E94D0000}"/>
    <cellStyle name="Normal 52 44" xfId="10739" xr:uid="{00000000-0005-0000-0000-0000EA4D0000}"/>
    <cellStyle name="Normal 52 44 2" xfId="22868" xr:uid="{00000000-0005-0000-0000-0000EB4D0000}"/>
    <cellStyle name="Normal 52 45" xfId="10740" xr:uid="{00000000-0005-0000-0000-0000EC4D0000}"/>
    <cellStyle name="Normal 52 45 2" xfId="22869" xr:uid="{00000000-0005-0000-0000-0000ED4D0000}"/>
    <cellStyle name="Normal 52 46" xfId="10741" xr:uid="{00000000-0005-0000-0000-0000EE4D0000}"/>
    <cellStyle name="Normal 52 46 2" xfId="22870" xr:uid="{00000000-0005-0000-0000-0000EF4D0000}"/>
    <cellStyle name="Normal 52 47" xfId="10742" xr:uid="{00000000-0005-0000-0000-0000F04D0000}"/>
    <cellStyle name="Normal 52 47 2" xfId="22871" xr:uid="{00000000-0005-0000-0000-0000F14D0000}"/>
    <cellStyle name="Normal 52 48" xfId="10743" xr:uid="{00000000-0005-0000-0000-0000F24D0000}"/>
    <cellStyle name="Normal 52 48 2" xfId="22872" xr:uid="{00000000-0005-0000-0000-0000F34D0000}"/>
    <cellStyle name="Normal 52 49" xfId="10744" xr:uid="{00000000-0005-0000-0000-0000F44D0000}"/>
    <cellStyle name="Normal 52 49 2" xfId="22873" xr:uid="{00000000-0005-0000-0000-0000F54D0000}"/>
    <cellStyle name="Normal 52 5" xfId="10745" xr:uid="{00000000-0005-0000-0000-0000F64D0000}"/>
    <cellStyle name="Normal 52 5 2" xfId="22874" xr:uid="{00000000-0005-0000-0000-0000F74D0000}"/>
    <cellStyle name="Normal 52 50" xfId="10746" xr:uid="{00000000-0005-0000-0000-0000F84D0000}"/>
    <cellStyle name="Normal 52 50 2" xfId="22875" xr:uid="{00000000-0005-0000-0000-0000F94D0000}"/>
    <cellStyle name="Normal 52 51" xfId="10747" xr:uid="{00000000-0005-0000-0000-0000FA4D0000}"/>
    <cellStyle name="Normal 52 51 2" xfId="22876" xr:uid="{00000000-0005-0000-0000-0000FB4D0000}"/>
    <cellStyle name="Normal 52 52" xfId="10748" xr:uid="{00000000-0005-0000-0000-0000FC4D0000}"/>
    <cellStyle name="Normal 52 52 2" xfId="22877" xr:uid="{00000000-0005-0000-0000-0000FD4D0000}"/>
    <cellStyle name="Normal 52 53" xfId="10749" xr:uid="{00000000-0005-0000-0000-0000FE4D0000}"/>
    <cellStyle name="Normal 52 53 2" xfId="22878" xr:uid="{00000000-0005-0000-0000-0000FF4D0000}"/>
    <cellStyle name="Normal 52 54" xfId="10750" xr:uid="{00000000-0005-0000-0000-0000004E0000}"/>
    <cellStyle name="Normal 52 54 2" xfId="22879" xr:uid="{00000000-0005-0000-0000-0000014E0000}"/>
    <cellStyle name="Normal 52 55" xfId="10751" xr:uid="{00000000-0005-0000-0000-0000024E0000}"/>
    <cellStyle name="Normal 52 55 2" xfId="22880" xr:uid="{00000000-0005-0000-0000-0000034E0000}"/>
    <cellStyle name="Normal 52 56" xfId="10752" xr:uid="{00000000-0005-0000-0000-0000044E0000}"/>
    <cellStyle name="Normal 52 56 2" xfId="22881" xr:uid="{00000000-0005-0000-0000-0000054E0000}"/>
    <cellStyle name="Normal 52 57" xfId="10753" xr:uid="{00000000-0005-0000-0000-0000064E0000}"/>
    <cellStyle name="Normal 52 57 2" xfId="22882" xr:uid="{00000000-0005-0000-0000-0000074E0000}"/>
    <cellStyle name="Normal 52 58" xfId="10754" xr:uid="{00000000-0005-0000-0000-0000084E0000}"/>
    <cellStyle name="Normal 52 58 2" xfId="22883" xr:uid="{00000000-0005-0000-0000-0000094E0000}"/>
    <cellStyle name="Normal 52 59" xfId="10755" xr:uid="{00000000-0005-0000-0000-00000A4E0000}"/>
    <cellStyle name="Normal 52 59 2" xfId="22884" xr:uid="{00000000-0005-0000-0000-00000B4E0000}"/>
    <cellStyle name="Normal 52 6" xfId="10756" xr:uid="{00000000-0005-0000-0000-00000C4E0000}"/>
    <cellStyle name="Normal 52 6 2" xfId="22885" xr:uid="{00000000-0005-0000-0000-00000D4E0000}"/>
    <cellStyle name="Normal 52 60" xfId="10757" xr:uid="{00000000-0005-0000-0000-00000E4E0000}"/>
    <cellStyle name="Normal 52 60 2" xfId="22886" xr:uid="{00000000-0005-0000-0000-00000F4E0000}"/>
    <cellStyle name="Normal 52 61" xfId="10758" xr:uid="{00000000-0005-0000-0000-0000104E0000}"/>
    <cellStyle name="Normal 52 61 2" xfId="22887" xr:uid="{00000000-0005-0000-0000-0000114E0000}"/>
    <cellStyle name="Normal 52 62" xfId="10759" xr:uid="{00000000-0005-0000-0000-0000124E0000}"/>
    <cellStyle name="Normal 52 62 2" xfId="22888" xr:uid="{00000000-0005-0000-0000-0000134E0000}"/>
    <cellStyle name="Normal 52 63" xfId="10760" xr:uid="{00000000-0005-0000-0000-0000144E0000}"/>
    <cellStyle name="Normal 52 63 2" xfId="22889" xr:uid="{00000000-0005-0000-0000-0000154E0000}"/>
    <cellStyle name="Normal 52 64" xfId="10761" xr:uid="{00000000-0005-0000-0000-0000164E0000}"/>
    <cellStyle name="Normal 52 64 2" xfId="22890" xr:uid="{00000000-0005-0000-0000-0000174E0000}"/>
    <cellStyle name="Normal 52 65" xfId="10762" xr:uid="{00000000-0005-0000-0000-0000184E0000}"/>
    <cellStyle name="Normal 52 65 2" xfId="22891" xr:uid="{00000000-0005-0000-0000-0000194E0000}"/>
    <cellStyle name="Normal 52 66" xfId="10763" xr:uid="{00000000-0005-0000-0000-00001A4E0000}"/>
    <cellStyle name="Normal 52 66 2" xfId="22892" xr:uid="{00000000-0005-0000-0000-00001B4E0000}"/>
    <cellStyle name="Normal 52 67" xfId="10764" xr:uid="{00000000-0005-0000-0000-00001C4E0000}"/>
    <cellStyle name="Normal 52 67 2" xfId="22893" xr:uid="{00000000-0005-0000-0000-00001D4E0000}"/>
    <cellStyle name="Normal 52 68" xfId="10765" xr:uid="{00000000-0005-0000-0000-00001E4E0000}"/>
    <cellStyle name="Normal 52 68 2" xfId="22894" xr:uid="{00000000-0005-0000-0000-00001F4E0000}"/>
    <cellStyle name="Normal 52 69" xfId="10766" xr:uid="{00000000-0005-0000-0000-0000204E0000}"/>
    <cellStyle name="Normal 52 69 2" xfId="22895" xr:uid="{00000000-0005-0000-0000-0000214E0000}"/>
    <cellStyle name="Normal 52 7" xfId="10767" xr:uid="{00000000-0005-0000-0000-0000224E0000}"/>
    <cellStyle name="Normal 52 7 2" xfId="22896" xr:uid="{00000000-0005-0000-0000-0000234E0000}"/>
    <cellStyle name="Normal 52 70" xfId="10768" xr:uid="{00000000-0005-0000-0000-0000244E0000}"/>
    <cellStyle name="Normal 52 70 2" xfId="22897" xr:uid="{00000000-0005-0000-0000-0000254E0000}"/>
    <cellStyle name="Normal 52 71" xfId="10769" xr:uid="{00000000-0005-0000-0000-0000264E0000}"/>
    <cellStyle name="Normal 52 71 2" xfId="22898" xr:uid="{00000000-0005-0000-0000-0000274E0000}"/>
    <cellStyle name="Normal 52 72" xfId="10770" xr:uid="{00000000-0005-0000-0000-0000284E0000}"/>
    <cellStyle name="Normal 52 72 2" xfId="22899" xr:uid="{00000000-0005-0000-0000-0000294E0000}"/>
    <cellStyle name="Normal 52 73" xfId="10771" xr:uid="{00000000-0005-0000-0000-00002A4E0000}"/>
    <cellStyle name="Normal 52 73 2" xfId="22900" xr:uid="{00000000-0005-0000-0000-00002B4E0000}"/>
    <cellStyle name="Normal 52 74" xfId="10772" xr:uid="{00000000-0005-0000-0000-00002C4E0000}"/>
    <cellStyle name="Normal 52 74 2" xfId="22901" xr:uid="{00000000-0005-0000-0000-00002D4E0000}"/>
    <cellStyle name="Normal 52 75" xfId="10773" xr:uid="{00000000-0005-0000-0000-00002E4E0000}"/>
    <cellStyle name="Normal 52 75 2" xfId="22902" xr:uid="{00000000-0005-0000-0000-00002F4E0000}"/>
    <cellStyle name="Normal 52 76" xfId="10774" xr:uid="{00000000-0005-0000-0000-0000304E0000}"/>
    <cellStyle name="Normal 52 76 2" xfId="22903" xr:uid="{00000000-0005-0000-0000-0000314E0000}"/>
    <cellStyle name="Normal 52 77" xfId="10775" xr:uid="{00000000-0005-0000-0000-0000324E0000}"/>
    <cellStyle name="Normal 52 77 2" xfId="22904" xr:uid="{00000000-0005-0000-0000-0000334E0000}"/>
    <cellStyle name="Normal 52 78" xfId="10776" xr:uid="{00000000-0005-0000-0000-0000344E0000}"/>
    <cellStyle name="Normal 52 78 2" xfId="22905" xr:uid="{00000000-0005-0000-0000-0000354E0000}"/>
    <cellStyle name="Normal 52 79" xfId="10777" xr:uid="{00000000-0005-0000-0000-0000364E0000}"/>
    <cellStyle name="Normal 52 79 2" xfId="22906" xr:uid="{00000000-0005-0000-0000-0000374E0000}"/>
    <cellStyle name="Normal 52 8" xfId="10778" xr:uid="{00000000-0005-0000-0000-0000384E0000}"/>
    <cellStyle name="Normal 52 8 2" xfId="22907" xr:uid="{00000000-0005-0000-0000-0000394E0000}"/>
    <cellStyle name="Normal 52 80" xfId="22830" xr:uid="{00000000-0005-0000-0000-00003A4E0000}"/>
    <cellStyle name="Normal 52 9" xfId="10779" xr:uid="{00000000-0005-0000-0000-00003B4E0000}"/>
    <cellStyle name="Normal 52 9 2" xfId="22908" xr:uid="{00000000-0005-0000-0000-00003C4E0000}"/>
    <cellStyle name="Normal 53" xfId="180" xr:uid="{00000000-0005-0000-0000-00003D4E0000}"/>
    <cellStyle name="Normal 53 10" xfId="10780" xr:uid="{00000000-0005-0000-0000-00003E4E0000}"/>
    <cellStyle name="Normal 53 10 2" xfId="22910" xr:uid="{00000000-0005-0000-0000-00003F4E0000}"/>
    <cellStyle name="Normal 53 11" xfId="10781" xr:uid="{00000000-0005-0000-0000-0000404E0000}"/>
    <cellStyle name="Normal 53 11 2" xfId="22911" xr:uid="{00000000-0005-0000-0000-0000414E0000}"/>
    <cellStyle name="Normal 53 12" xfId="10782" xr:uid="{00000000-0005-0000-0000-0000424E0000}"/>
    <cellStyle name="Normal 53 12 2" xfId="22912" xr:uid="{00000000-0005-0000-0000-0000434E0000}"/>
    <cellStyle name="Normal 53 13" xfId="10783" xr:uid="{00000000-0005-0000-0000-0000444E0000}"/>
    <cellStyle name="Normal 53 13 2" xfId="22913" xr:uid="{00000000-0005-0000-0000-0000454E0000}"/>
    <cellStyle name="Normal 53 14" xfId="10784" xr:uid="{00000000-0005-0000-0000-0000464E0000}"/>
    <cellStyle name="Normal 53 14 2" xfId="22914" xr:uid="{00000000-0005-0000-0000-0000474E0000}"/>
    <cellStyle name="Normal 53 15" xfId="10785" xr:uid="{00000000-0005-0000-0000-0000484E0000}"/>
    <cellStyle name="Normal 53 15 2" xfId="22915" xr:uid="{00000000-0005-0000-0000-0000494E0000}"/>
    <cellStyle name="Normal 53 16" xfId="10786" xr:uid="{00000000-0005-0000-0000-00004A4E0000}"/>
    <cellStyle name="Normal 53 16 2" xfId="22916" xr:uid="{00000000-0005-0000-0000-00004B4E0000}"/>
    <cellStyle name="Normal 53 17" xfId="10787" xr:uid="{00000000-0005-0000-0000-00004C4E0000}"/>
    <cellStyle name="Normal 53 17 2" xfId="22917" xr:uid="{00000000-0005-0000-0000-00004D4E0000}"/>
    <cellStyle name="Normal 53 18" xfId="10788" xr:uid="{00000000-0005-0000-0000-00004E4E0000}"/>
    <cellStyle name="Normal 53 18 2" xfId="22918" xr:uid="{00000000-0005-0000-0000-00004F4E0000}"/>
    <cellStyle name="Normal 53 19" xfId="10789" xr:uid="{00000000-0005-0000-0000-0000504E0000}"/>
    <cellStyle name="Normal 53 19 2" xfId="22919" xr:uid="{00000000-0005-0000-0000-0000514E0000}"/>
    <cellStyle name="Normal 53 2" xfId="742" xr:uid="{00000000-0005-0000-0000-0000524E0000}"/>
    <cellStyle name="Normal 53 2 2" xfId="22920" xr:uid="{00000000-0005-0000-0000-0000534E0000}"/>
    <cellStyle name="Normal 53 2 3" xfId="10790" xr:uid="{00000000-0005-0000-0000-0000544E0000}"/>
    <cellStyle name="Normal 53 20" xfId="10791" xr:uid="{00000000-0005-0000-0000-0000554E0000}"/>
    <cellStyle name="Normal 53 20 2" xfId="22921" xr:uid="{00000000-0005-0000-0000-0000564E0000}"/>
    <cellStyle name="Normal 53 21" xfId="10792" xr:uid="{00000000-0005-0000-0000-0000574E0000}"/>
    <cellStyle name="Normal 53 21 2" xfId="22922" xr:uid="{00000000-0005-0000-0000-0000584E0000}"/>
    <cellStyle name="Normal 53 22" xfId="10793" xr:uid="{00000000-0005-0000-0000-0000594E0000}"/>
    <cellStyle name="Normal 53 22 2" xfId="22923" xr:uid="{00000000-0005-0000-0000-00005A4E0000}"/>
    <cellStyle name="Normal 53 23" xfId="10794" xr:uid="{00000000-0005-0000-0000-00005B4E0000}"/>
    <cellStyle name="Normal 53 23 2" xfId="22924" xr:uid="{00000000-0005-0000-0000-00005C4E0000}"/>
    <cellStyle name="Normal 53 24" xfId="10795" xr:uid="{00000000-0005-0000-0000-00005D4E0000}"/>
    <cellStyle name="Normal 53 24 2" xfId="22925" xr:uid="{00000000-0005-0000-0000-00005E4E0000}"/>
    <cellStyle name="Normal 53 25" xfId="10796" xr:uid="{00000000-0005-0000-0000-00005F4E0000}"/>
    <cellStyle name="Normal 53 25 2" xfId="22926" xr:uid="{00000000-0005-0000-0000-0000604E0000}"/>
    <cellStyle name="Normal 53 26" xfId="10797" xr:uid="{00000000-0005-0000-0000-0000614E0000}"/>
    <cellStyle name="Normal 53 26 2" xfId="22927" xr:uid="{00000000-0005-0000-0000-0000624E0000}"/>
    <cellStyle name="Normal 53 27" xfId="10798" xr:uid="{00000000-0005-0000-0000-0000634E0000}"/>
    <cellStyle name="Normal 53 27 2" xfId="22928" xr:uid="{00000000-0005-0000-0000-0000644E0000}"/>
    <cellStyle name="Normal 53 28" xfId="10799" xr:uid="{00000000-0005-0000-0000-0000654E0000}"/>
    <cellStyle name="Normal 53 28 2" xfId="22929" xr:uid="{00000000-0005-0000-0000-0000664E0000}"/>
    <cellStyle name="Normal 53 29" xfId="10800" xr:uid="{00000000-0005-0000-0000-0000674E0000}"/>
    <cellStyle name="Normal 53 29 2" xfId="22930" xr:uid="{00000000-0005-0000-0000-0000684E0000}"/>
    <cellStyle name="Normal 53 3" xfId="394" xr:uid="{00000000-0005-0000-0000-0000694E0000}"/>
    <cellStyle name="Normal 53 3 2" xfId="22931" xr:uid="{00000000-0005-0000-0000-00006A4E0000}"/>
    <cellStyle name="Normal 53 30" xfId="10801" xr:uid="{00000000-0005-0000-0000-00006B4E0000}"/>
    <cellStyle name="Normal 53 30 2" xfId="22932" xr:uid="{00000000-0005-0000-0000-00006C4E0000}"/>
    <cellStyle name="Normal 53 31" xfId="10802" xr:uid="{00000000-0005-0000-0000-00006D4E0000}"/>
    <cellStyle name="Normal 53 31 2" xfId="22933" xr:uid="{00000000-0005-0000-0000-00006E4E0000}"/>
    <cellStyle name="Normal 53 32" xfId="10803" xr:uid="{00000000-0005-0000-0000-00006F4E0000}"/>
    <cellStyle name="Normal 53 32 2" xfId="22934" xr:uid="{00000000-0005-0000-0000-0000704E0000}"/>
    <cellStyle name="Normal 53 33" xfId="10804" xr:uid="{00000000-0005-0000-0000-0000714E0000}"/>
    <cellStyle name="Normal 53 33 2" xfId="22935" xr:uid="{00000000-0005-0000-0000-0000724E0000}"/>
    <cellStyle name="Normal 53 34" xfId="10805" xr:uid="{00000000-0005-0000-0000-0000734E0000}"/>
    <cellStyle name="Normal 53 34 2" xfId="22936" xr:uid="{00000000-0005-0000-0000-0000744E0000}"/>
    <cellStyle name="Normal 53 35" xfId="10806" xr:uid="{00000000-0005-0000-0000-0000754E0000}"/>
    <cellStyle name="Normal 53 35 2" xfId="22937" xr:uid="{00000000-0005-0000-0000-0000764E0000}"/>
    <cellStyle name="Normal 53 36" xfId="10807" xr:uid="{00000000-0005-0000-0000-0000774E0000}"/>
    <cellStyle name="Normal 53 36 2" xfId="22938" xr:uid="{00000000-0005-0000-0000-0000784E0000}"/>
    <cellStyle name="Normal 53 37" xfId="10808" xr:uid="{00000000-0005-0000-0000-0000794E0000}"/>
    <cellStyle name="Normal 53 37 2" xfId="22939" xr:uid="{00000000-0005-0000-0000-00007A4E0000}"/>
    <cellStyle name="Normal 53 38" xfId="10809" xr:uid="{00000000-0005-0000-0000-00007B4E0000}"/>
    <cellStyle name="Normal 53 38 2" xfId="22940" xr:uid="{00000000-0005-0000-0000-00007C4E0000}"/>
    <cellStyle name="Normal 53 39" xfId="10810" xr:uid="{00000000-0005-0000-0000-00007D4E0000}"/>
    <cellStyle name="Normal 53 39 2" xfId="22941" xr:uid="{00000000-0005-0000-0000-00007E4E0000}"/>
    <cellStyle name="Normal 53 4" xfId="10811" xr:uid="{00000000-0005-0000-0000-00007F4E0000}"/>
    <cellStyle name="Normal 53 4 2" xfId="22942" xr:uid="{00000000-0005-0000-0000-0000804E0000}"/>
    <cellStyle name="Normal 53 40" xfId="10812" xr:uid="{00000000-0005-0000-0000-0000814E0000}"/>
    <cellStyle name="Normal 53 40 2" xfId="22943" xr:uid="{00000000-0005-0000-0000-0000824E0000}"/>
    <cellStyle name="Normal 53 41" xfId="10813" xr:uid="{00000000-0005-0000-0000-0000834E0000}"/>
    <cellStyle name="Normal 53 41 2" xfId="22944" xr:uid="{00000000-0005-0000-0000-0000844E0000}"/>
    <cellStyle name="Normal 53 42" xfId="10814" xr:uid="{00000000-0005-0000-0000-0000854E0000}"/>
    <cellStyle name="Normal 53 42 2" xfId="22945" xr:uid="{00000000-0005-0000-0000-0000864E0000}"/>
    <cellStyle name="Normal 53 43" xfId="10815" xr:uid="{00000000-0005-0000-0000-0000874E0000}"/>
    <cellStyle name="Normal 53 43 2" xfId="22946" xr:uid="{00000000-0005-0000-0000-0000884E0000}"/>
    <cellStyle name="Normal 53 44" xfId="10816" xr:uid="{00000000-0005-0000-0000-0000894E0000}"/>
    <cellStyle name="Normal 53 44 2" xfId="22947" xr:uid="{00000000-0005-0000-0000-00008A4E0000}"/>
    <cellStyle name="Normal 53 45" xfId="10817" xr:uid="{00000000-0005-0000-0000-00008B4E0000}"/>
    <cellStyle name="Normal 53 45 2" xfId="22948" xr:uid="{00000000-0005-0000-0000-00008C4E0000}"/>
    <cellStyle name="Normal 53 46" xfId="10818" xr:uid="{00000000-0005-0000-0000-00008D4E0000}"/>
    <cellStyle name="Normal 53 46 2" xfId="22949" xr:uid="{00000000-0005-0000-0000-00008E4E0000}"/>
    <cellStyle name="Normal 53 47" xfId="10819" xr:uid="{00000000-0005-0000-0000-00008F4E0000}"/>
    <cellStyle name="Normal 53 47 2" xfId="22950" xr:uid="{00000000-0005-0000-0000-0000904E0000}"/>
    <cellStyle name="Normal 53 48" xfId="10820" xr:uid="{00000000-0005-0000-0000-0000914E0000}"/>
    <cellStyle name="Normal 53 48 2" xfId="22951" xr:uid="{00000000-0005-0000-0000-0000924E0000}"/>
    <cellStyle name="Normal 53 49" xfId="10821" xr:uid="{00000000-0005-0000-0000-0000934E0000}"/>
    <cellStyle name="Normal 53 49 2" xfId="22952" xr:uid="{00000000-0005-0000-0000-0000944E0000}"/>
    <cellStyle name="Normal 53 5" xfId="10822" xr:uid="{00000000-0005-0000-0000-0000954E0000}"/>
    <cellStyle name="Normal 53 5 2" xfId="22953" xr:uid="{00000000-0005-0000-0000-0000964E0000}"/>
    <cellStyle name="Normal 53 50" xfId="10823" xr:uid="{00000000-0005-0000-0000-0000974E0000}"/>
    <cellStyle name="Normal 53 50 2" xfId="22954" xr:uid="{00000000-0005-0000-0000-0000984E0000}"/>
    <cellStyle name="Normal 53 51" xfId="10824" xr:uid="{00000000-0005-0000-0000-0000994E0000}"/>
    <cellStyle name="Normal 53 51 2" xfId="22955" xr:uid="{00000000-0005-0000-0000-00009A4E0000}"/>
    <cellStyle name="Normal 53 52" xfId="10825" xr:uid="{00000000-0005-0000-0000-00009B4E0000}"/>
    <cellStyle name="Normal 53 52 2" xfId="22956" xr:uid="{00000000-0005-0000-0000-00009C4E0000}"/>
    <cellStyle name="Normal 53 53" xfId="10826" xr:uid="{00000000-0005-0000-0000-00009D4E0000}"/>
    <cellStyle name="Normal 53 53 2" xfId="22957" xr:uid="{00000000-0005-0000-0000-00009E4E0000}"/>
    <cellStyle name="Normal 53 54" xfId="10827" xr:uid="{00000000-0005-0000-0000-00009F4E0000}"/>
    <cellStyle name="Normal 53 54 2" xfId="22958" xr:uid="{00000000-0005-0000-0000-0000A04E0000}"/>
    <cellStyle name="Normal 53 55" xfId="10828" xr:uid="{00000000-0005-0000-0000-0000A14E0000}"/>
    <cellStyle name="Normal 53 55 2" xfId="22959" xr:uid="{00000000-0005-0000-0000-0000A24E0000}"/>
    <cellStyle name="Normal 53 56" xfId="10829" xr:uid="{00000000-0005-0000-0000-0000A34E0000}"/>
    <cellStyle name="Normal 53 56 2" xfId="22960" xr:uid="{00000000-0005-0000-0000-0000A44E0000}"/>
    <cellStyle name="Normal 53 57" xfId="10830" xr:uid="{00000000-0005-0000-0000-0000A54E0000}"/>
    <cellStyle name="Normal 53 57 2" xfId="22961" xr:uid="{00000000-0005-0000-0000-0000A64E0000}"/>
    <cellStyle name="Normal 53 58" xfId="10831" xr:uid="{00000000-0005-0000-0000-0000A74E0000}"/>
    <cellStyle name="Normal 53 58 2" xfId="22962" xr:uid="{00000000-0005-0000-0000-0000A84E0000}"/>
    <cellStyle name="Normal 53 59" xfId="10832" xr:uid="{00000000-0005-0000-0000-0000A94E0000}"/>
    <cellStyle name="Normal 53 59 2" xfId="22963" xr:uid="{00000000-0005-0000-0000-0000AA4E0000}"/>
    <cellStyle name="Normal 53 6" xfId="10833" xr:uid="{00000000-0005-0000-0000-0000AB4E0000}"/>
    <cellStyle name="Normal 53 6 2" xfId="22964" xr:uid="{00000000-0005-0000-0000-0000AC4E0000}"/>
    <cellStyle name="Normal 53 60" xfId="10834" xr:uid="{00000000-0005-0000-0000-0000AD4E0000}"/>
    <cellStyle name="Normal 53 60 2" xfId="22965" xr:uid="{00000000-0005-0000-0000-0000AE4E0000}"/>
    <cellStyle name="Normal 53 61" xfId="10835" xr:uid="{00000000-0005-0000-0000-0000AF4E0000}"/>
    <cellStyle name="Normal 53 61 2" xfId="22966" xr:uid="{00000000-0005-0000-0000-0000B04E0000}"/>
    <cellStyle name="Normal 53 62" xfId="10836" xr:uid="{00000000-0005-0000-0000-0000B14E0000}"/>
    <cellStyle name="Normal 53 62 2" xfId="22967" xr:uid="{00000000-0005-0000-0000-0000B24E0000}"/>
    <cellStyle name="Normal 53 63" xfId="10837" xr:uid="{00000000-0005-0000-0000-0000B34E0000}"/>
    <cellStyle name="Normal 53 63 2" xfId="22968" xr:uid="{00000000-0005-0000-0000-0000B44E0000}"/>
    <cellStyle name="Normal 53 64" xfId="10838" xr:uid="{00000000-0005-0000-0000-0000B54E0000}"/>
    <cellStyle name="Normal 53 64 2" xfId="22969" xr:uid="{00000000-0005-0000-0000-0000B64E0000}"/>
    <cellStyle name="Normal 53 65" xfId="10839" xr:uid="{00000000-0005-0000-0000-0000B74E0000}"/>
    <cellStyle name="Normal 53 65 2" xfId="22970" xr:uid="{00000000-0005-0000-0000-0000B84E0000}"/>
    <cellStyle name="Normal 53 66" xfId="10840" xr:uid="{00000000-0005-0000-0000-0000B94E0000}"/>
    <cellStyle name="Normal 53 66 2" xfId="22971" xr:uid="{00000000-0005-0000-0000-0000BA4E0000}"/>
    <cellStyle name="Normal 53 67" xfId="10841" xr:uid="{00000000-0005-0000-0000-0000BB4E0000}"/>
    <cellStyle name="Normal 53 67 2" xfId="22972" xr:uid="{00000000-0005-0000-0000-0000BC4E0000}"/>
    <cellStyle name="Normal 53 68" xfId="10842" xr:uid="{00000000-0005-0000-0000-0000BD4E0000}"/>
    <cellStyle name="Normal 53 68 2" xfId="22973" xr:uid="{00000000-0005-0000-0000-0000BE4E0000}"/>
    <cellStyle name="Normal 53 69" xfId="10843" xr:uid="{00000000-0005-0000-0000-0000BF4E0000}"/>
    <cellStyle name="Normal 53 69 2" xfId="22974" xr:uid="{00000000-0005-0000-0000-0000C04E0000}"/>
    <cellStyle name="Normal 53 7" xfId="10844" xr:uid="{00000000-0005-0000-0000-0000C14E0000}"/>
    <cellStyle name="Normal 53 7 2" xfId="22975" xr:uid="{00000000-0005-0000-0000-0000C24E0000}"/>
    <cellStyle name="Normal 53 70" xfId="10845" xr:uid="{00000000-0005-0000-0000-0000C34E0000}"/>
    <cellStyle name="Normal 53 70 2" xfId="22976" xr:uid="{00000000-0005-0000-0000-0000C44E0000}"/>
    <cellStyle name="Normal 53 71" xfId="10846" xr:uid="{00000000-0005-0000-0000-0000C54E0000}"/>
    <cellStyle name="Normal 53 71 2" xfId="22977" xr:uid="{00000000-0005-0000-0000-0000C64E0000}"/>
    <cellStyle name="Normal 53 72" xfId="10847" xr:uid="{00000000-0005-0000-0000-0000C74E0000}"/>
    <cellStyle name="Normal 53 72 2" xfId="22978" xr:uid="{00000000-0005-0000-0000-0000C84E0000}"/>
    <cellStyle name="Normal 53 73" xfId="10848" xr:uid="{00000000-0005-0000-0000-0000C94E0000}"/>
    <cellStyle name="Normal 53 73 2" xfId="22979" xr:uid="{00000000-0005-0000-0000-0000CA4E0000}"/>
    <cellStyle name="Normal 53 74" xfId="10849" xr:uid="{00000000-0005-0000-0000-0000CB4E0000}"/>
    <cellStyle name="Normal 53 74 2" xfId="22980" xr:uid="{00000000-0005-0000-0000-0000CC4E0000}"/>
    <cellStyle name="Normal 53 75" xfId="10850" xr:uid="{00000000-0005-0000-0000-0000CD4E0000}"/>
    <cellStyle name="Normal 53 75 2" xfId="22981" xr:uid="{00000000-0005-0000-0000-0000CE4E0000}"/>
    <cellStyle name="Normal 53 76" xfId="10851" xr:uid="{00000000-0005-0000-0000-0000CF4E0000}"/>
    <cellStyle name="Normal 53 76 2" xfId="22982" xr:uid="{00000000-0005-0000-0000-0000D04E0000}"/>
    <cellStyle name="Normal 53 77" xfId="10852" xr:uid="{00000000-0005-0000-0000-0000D14E0000}"/>
    <cellStyle name="Normal 53 77 2" xfId="22983" xr:uid="{00000000-0005-0000-0000-0000D24E0000}"/>
    <cellStyle name="Normal 53 78" xfId="10853" xr:uid="{00000000-0005-0000-0000-0000D34E0000}"/>
    <cellStyle name="Normal 53 78 2" xfId="22984" xr:uid="{00000000-0005-0000-0000-0000D44E0000}"/>
    <cellStyle name="Normal 53 79" xfId="10854" xr:uid="{00000000-0005-0000-0000-0000D54E0000}"/>
    <cellStyle name="Normal 53 79 2" xfId="22985" xr:uid="{00000000-0005-0000-0000-0000D64E0000}"/>
    <cellStyle name="Normal 53 8" xfId="10855" xr:uid="{00000000-0005-0000-0000-0000D74E0000}"/>
    <cellStyle name="Normal 53 8 2" xfId="22986" xr:uid="{00000000-0005-0000-0000-0000D84E0000}"/>
    <cellStyle name="Normal 53 80" xfId="22909" xr:uid="{00000000-0005-0000-0000-0000D94E0000}"/>
    <cellStyle name="Normal 53 9" xfId="10856" xr:uid="{00000000-0005-0000-0000-0000DA4E0000}"/>
    <cellStyle name="Normal 53 9 2" xfId="22987" xr:uid="{00000000-0005-0000-0000-0000DB4E0000}"/>
    <cellStyle name="Normal 54" xfId="181" xr:uid="{00000000-0005-0000-0000-0000DC4E0000}"/>
    <cellStyle name="Normal 54 10" xfId="10857" xr:uid="{00000000-0005-0000-0000-0000DD4E0000}"/>
    <cellStyle name="Normal 54 10 2" xfId="22989" xr:uid="{00000000-0005-0000-0000-0000DE4E0000}"/>
    <cellStyle name="Normal 54 11" xfId="10858" xr:uid="{00000000-0005-0000-0000-0000DF4E0000}"/>
    <cellStyle name="Normal 54 11 2" xfId="22990" xr:uid="{00000000-0005-0000-0000-0000E04E0000}"/>
    <cellStyle name="Normal 54 12" xfId="10859" xr:uid="{00000000-0005-0000-0000-0000E14E0000}"/>
    <cellStyle name="Normal 54 12 2" xfId="22991" xr:uid="{00000000-0005-0000-0000-0000E24E0000}"/>
    <cellStyle name="Normal 54 13" xfId="10860" xr:uid="{00000000-0005-0000-0000-0000E34E0000}"/>
    <cellStyle name="Normal 54 13 2" xfId="22992" xr:uid="{00000000-0005-0000-0000-0000E44E0000}"/>
    <cellStyle name="Normal 54 14" xfId="10861" xr:uid="{00000000-0005-0000-0000-0000E54E0000}"/>
    <cellStyle name="Normal 54 14 2" xfId="22993" xr:uid="{00000000-0005-0000-0000-0000E64E0000}"/>
    <cellStyle name="Normal 54 15" xfId="10862" xr:uid="{00000000-0005-0000-0000-0000E74E0000}"/>
    <cellStyle name="Normal 54 15 2" xfId="22994" xr:uid="{00000000-0005-0000-0000-0000E84E0000}"/>
    <cellStyle name="Normal 54 16" xfId="10863" xr:uid="{00000000-0005-0000-0000-0000E94E0000}"/>
    <cellStyle name="Normal 54 16 2" xfId="22995" xr:uid="{00000000-0005-0000-0000-0000EA4E0000}"/>
    <cellStyle name="Normal 54 17" xfId="10864" xr:uid="{00000000-0005-0000-0000-0000EB4E0000}"/>
    <cellStyle name="Normal 54 17 2" xfId="22996" xr:uid="{00000000-0005-0000-0000-0000EC4E0000}"/>
    <cellStyle name="Normal 54 18" xfId="10865" xr:uid="{00000000-0005-0000-0000-0000ED4E0000}"/>
    <cellStyle name="Normal 54 18 2" xfId="22997" xr:uid="{00000000-0005-0000-0000-0000EE4E0000}"/>
    <cellStyle name="Normal 54 19" xfId="10866" xr:uid="{00000000-0005-0000-0000-0000EF4E0000}"/>
    <cellStyle name="Normal 54 19 2" xfId="22998" xr:uid="{00000000-0005-0000-0000-0000F04E0000}"/>
    <cellStyle name="Normal 54 2" xfId="743" xr:uid="{00000000-0005-0000-0000-0000F14E0000}"/>
    <cellStyle name="Normal 54 2 2" xfId="22999" xr:uid="{00000000-0005-0000-0000-0000F24E0000}"/>
    <cellStyle name="Normal 54 2 3" xfId="10867" xr:uid="{00000000-0005-0000-0000-0000F34E0000}"/>
    <cellStyle name="Normal 54 20" xfId="10868" xr:uid="{00000000-0005-0000-0000-0000F44E0000}"/>
    <cellStyle name="Normal 54 20 2" xfId="23000" xr:uid="{00000000-0005-0000-0000-0000F54E0000}"/>
    <cellStyle name="Normal 54 21" xfId="10869" xr:uid="{00000000-0005-0000-0000-0000F64E0000}"/>
    <cellStyle name="Normal 54 21 2" xfId="23001" xr:uid="{00000000-0005-0000-0000-0000F74E0000}"/>
    <cellStyle name="Normal 54 22" xfId="10870" xr:uid="{00000000-0005-0000-0000-0000F84E0000}"/>
    <cellStyle name="Normal 54 22 2" xfId="23002" xr:uid="{00000000-0005-0000-0000-0000F94E0000}"/>
    <cellStyle name="Normal 54 23" xfId="10871" xr:uid="{00000000-0005-0000-0000-0000FA4E0000}"/>
    <cellStyle name="Normal 54 23 2" xfId="23003" xr:uid="{00000000-0005-0000-0000-0000FB4E0000}"/>
    <cellStyle name="Normal 54 24" xfId="10872" xr:uid="{00000000-0005-0000-0000-0000FC4E0000}"/>
    <cellStyle name="Normal 54 24 2" xfId="23004" xr:uid="{00000000-0005-0000-0000-0000FD4E0000}"/>
    <cellStyle name="Normal 54 25" xfId="10873" xr:uid="{00000000-0005-0000-0000-0000FE4E0000}"/>
    <cellStyle name="Normal 54 25 2" xfId="23005" xr:uid="{00000000-0005-0000-0000-0000FF4E0000}"/>
    <cellStyle name="Normal 54 26" xfId="10874" xr:uid="{00000000-0005-0000-0000-0000004F0000}"/>
    <cellStyle name="Normal 54 26 2" xfId="23006" xr:uid="{00000000-0005-0000-0000-0000014F0000}"/>
    <cellStyle name="Normal 54 27" xfId="10875" xr:uid="{00000000-0005-0000-0000-0000024F0000}"/>
    <cellStyle name="Normal 54 27 2" xfId="23007" xr:uid="{00000000-0005-0000-0000-0000034F0000}"/>
    <cellStyle name="Normal 54 28" xfId="10876" xr:uid="{00000000-0005-0000-0000-0000044F0000}"/>
    <cellStyle name="Normal 54 28 2" xfId="23008" xr:uid="{00000000-0005-0000-0000-0000054F0000}"/>
    <cellStyle name="Normal 54 29" xfId="10877" xr:uid="{00000000-0005-0000-0000-0000064F0000}"/>
    <cellStyle name="Normal 54 29 2" xfId="23009" xr:uid="{00000000-0005-0000-0000-0000074F0000}"/>
    <cellStyle name="Normal 54 3" xfId="395" xr:uid="{00000000-0005-0000-0000-0000084F0000}"/>
    <cellStyle name="Normal 54 3 2" xfId="23010" xr:uid="{00000000-0005-0000-0000-0000094F0000}"/>
    <cellStyle name="Normal 54 30" xfId="10878" xr:uid="{00000000-0005-0000-0000-00000A4F0000}"/>
    <cellStyle name="Normal 54 30 2" xfId="23011" xr:uid="{00000000-0005-0000-0000-00000B4F0000}"/>
    <cellStyle name="Normal 54 31" xfId="10879" xr:uid="{00000000-0005-0000-0000-00000C4F0000}"/>
    <cellStyle name="Normal 54 31 2" xfId="23012" xr:uid="{00000000-0005-0000-0000-00000D4F0000}"/>
    <cellStyle name="Normal 54 32" xfId="10880" xr:uid="{00000000-0005-0000-0000-00000E4F0000}"/>
    <cellStyle name="Normal 54 32 2" xfId="23013" xr:uid="{00000000-0005-0000-0000-00000F4F0000}"/>
    <cellStyle name="Normal 54 33" xfId="10881" xr:uid="{00000000-0005-0000-0000-0000104F0000}"/>
    <cellStyle name="Normal 54 33 2" xfId="23014" xr:uid="{00000000-0005-0000-0000-0000114F0000}"/>
    <cellStyle name="Normal 54 34" xfId="10882" xr:uid="{00000000-0005-0000-0000-0000124F0000}"/>
    <cellStyle name="Normal 54 34 2" xfId="23015" xr:uid="{00000000-0005-0000-0000-0000134F0000}"/>
    <cellStyle name="Normal 54 35" xfId="10883" xr:uid="{00000000-0005-0000-0000-0000144F0000}"/>
    <cellStyle name="Normal 54 35 2" xfId="23016" xr:uid="{00000000-0005-0000-0000-0000154F0000}"/>
    <cellStyle name="Normal 54 36" xfId="10884" xr:uid="{00000000-0005-0000-0000-0000164F0000}"/>
    <cellStyle name="Normal 54 36 2" xfId="23017" xr:uid="{00000000-0005-0000-0000-0000174F0000}"/>
    <cellStyle name="Normal 54 37" xfId="10885" xr:uid="{00000000-0005-0000-0000-0000184F0000}"/>
    <cellStyle name="Normal 54 37 2" xfId="23018" xr:uid="{00000000-0005-0000-0000-0000194F0000}"/>
    <cellStyle name="Normal 54 38" xfId="10886" xr:uid="{00000000-0005-0000-0000-00001A4F0000}"/>
    <cellStyle name="Normal 54 38 2" xfId="23019" xr:uid="{00000000-0005-0000-0000-00001B4F0000}"/>
    <cellStyle name="Normal 54 39" xfId="10887" xr:uid="{00000000-0005-0000-0000-00001C4F0000}"/>
    <cellStyle name="Normal 54 39 2" xfId="23020" xr:uid="{00000000-0005-0000-0000-00001D4F0000}"/>
    <cellStyle name="Normal 54 4" xfId="10888" xr:uid="{00000000-0005-0000-0000-00001E4F0000}"/>
    <cellStyle name="Normal 54 4 2" xfId="23021" xr:uid="{00000000-0005-0000-0000-00001F4F0000}"/>
    <cellStyle name="Normal 54 40" xfId="10889" xr:uid="{00000000-0005-0000-0000-0000204F0000}"/>
    <cellStyle name="Normal 54 40 2" xfId="23022" xr:uid="{00000000-0005-0000-0000-0000214F0000}"/>
    <cellStyle name="Normal 54 41" xfId="10890" xr:uid="{00000000-0005-0000-0000-0000224F0000}"/>
    <cellStyle name="Normal 54 41 2" xfId="23023" xr:uid="{00000000-0005-0000-0000-0000234F0000}"/>
    <cellStyle name="Normal 54 42" xfId="10891" xr:uid="{00000000-0005-0000-0000-0000244F0000}"/>
    <cellStyle name="Normal 54 42 2" xfId="23024" xr:uid="{00000000-0005-0000-0000-0000254F0000}"/>
    <cellStyle name="Normal 54 43" xfId="10892" xr:uid="{00000000-0005-0000-0000-0000264F0000}"/>
    <cellStyle name="Normal 54 43 2" xfId="23025" xr:uid="{00000000-0005-0000-0000-0000274F0000}"/>
    <cellStyle name="Normal 54 44" xfId="10893" xr:uid="{00000000-0005-0000-0000-0000284F0000}"/>
    <cellStyle name="Normal 54 44 2" xfId="23026" xr:uid="{00000000-0005-0000-0000-0000294F0000}"/>
    <cellStyle name="Normal 54 45" xfId="10894" xr:uid="{00000000-0005-0000-0000-00002A4F0000}"/>
    <cellStyle name="Normal 54 45 2" xfId="23027" xr:uid="{00000000-0005-0000-0000-00002B4F0000}"/>
    <cellStyle name="Normal 54 46" xfId="10895" xr:uid="{00000000-0005-0000-0000-00002C4F0000}"/>
    <cellStyle name="Normal 54 46 2" xfId="23028" xr:uid="{00000000-0005-0000-0000-00002D4F0000}"/>
    <cellStyle name="Normal 54 47" xfId="10896" xr:uid="{00000000-0005-0000-0000-00002E4F0000}"/>
    <cellStyle name="Normal 54 47 2" xfId="23029" xr:uid="{00000000-0005-0000-0000-00002F4F0000}"/>
    <cellStyle name="Normal 54 48" xfId="10897" xr:uid="{00000000-0005-0000-0000-0000304F0000}"/>
    <cellStyle name="Normal 54 48 2" xfId="23030" xr:uid="{00000000-0005-0000-0000-0000314F0000}"/>
    <cellStyle name="Normal 54 49" xfId="10898" xr:uid="{00000000-0005-0000-0000-0000324F0000}"/>
    <cellStyle name="Normal 54 49 2" xfId="23031" xr:uid="{00000000-0005-0000-0000-0000334F0000}"/>
    <cellStyle name="Normal 54 5" xfId="10899" xr:uid="{00000000-0005-0000-0000-0000344F0000}"/>
    <cellStyle name="Normal 54 5 2" xfId="23032" xr:uid="{00000000-0005-0000-0000-0000354F0000}"/>
    <cellStyle name="Normal 54 50" xfId="10900" xr:uid="{00000000-0005-0000-0000-0000364F0000}"/>
    <cellStyle name="Normal 54 50 2" xfId="23033" xr:uid="{00000000-0005-0000-0000-0000374F0000}"/>
    <cellStyle name="Normal 54 51" xfId="10901" xr:uid="{00000000-0005-0000-0000-0000384F0000}"/>
    <cellStyle name="Normal 54 51 2" xfId="23034" xr:uid="{00000000-0005-0000-0000-0000394F0000}"/>
    <cellStyle name="Normal 54 52" xfId="10902" xr:uid="{00000000-0005-0000-0000-00003A4F0000}"/>
    <cellStyle name="Normal 54 52 2" xfId="23035" xr:uid="{00000000-0005-0000-0000-00003B4F0000}"/>
    <cellStyle name="Normal 54 53" xfId="10903" xr:uid="{00000000-0005-0000-0000-00003C4F0000}"/>
    <cellStyle name="Normal 54 53 2" xfId="23036" xr:uid="{00000000-0005-0000-0000-00003D4F0000}"/>
    <cellStyle name="Normal 54 54" xfId="10904" xr:uid="{00000000-0005-0000-0000-00003E4F0000}"/>
    <cellStyle name="Normal 54 54 2" xfId="23037" xr:uid="{00000000-0005-0000-0000-00003F4F0000}"/>
    <cellStyle name="Normal 54 55" xfId="10905" xr:uid="{00000000-0005-0000-0000-0000404F0000}"/>
    <cellStyle name="Normal 54 55 2" xfId="23038" xr:uid="{00000000-0005-0000-0000-0000414F0000}"/>
    <cellStyle name="Normal 54 56" xfId="10906" xr:uid="{00000000-0005-0000-0000-0000424F0000}"/>
    <cellStyle name="Normal 54 56 2" xfId="23039" xr:uid="{00000000-0005-0000-0000-0000434F0000}"/>
    <cellStyle name="Normal 54 57" xfId="10907" xr:uid="{00000000-0005-0000-0000-0000444F0000}"/>
    <cellStyle name="Normal 54 57 2" xfId="23040" xr:uid="{00000000-0005-0000-0000-0000454F0000}"/>
    <cellStyle name="Normal 54 58" xfId="10908" xr:uid="{00000000-0005-0000-0000-0000464F0000}"/>
    <cellStyle name="Normal 54 58 2" xfId="23041" xr:uid="{00000000-0005-0000-0000-0000474F0000}"/>
    <cellStyle name="Normal 54 59" xfId="10909" xr:uid="{00000000-0005-0000-0000-0000484F0000}"/>
    <cellStyle name="Normal 54 59 2" xfId="23042" xr:uid="{00000000-0005-0000-0000-0000494F0000}"/>
    <cellStyle name="Normal 54 6" xfId="10910" xr:uid="{00000000-0005-0000-0000-00004A4F0000}"/>
    <cellStyle name="Normal 54 6 2" xfId="23043" xr:uid="{00000000-0005-0000-0000-00004B4F0000}"/>
    <cellStyle name="Normal 54 60" xfId="10911" xr:uid="{00000000-0005-0000-0000-00004C4F0000}"/>
    <cellStyle name="Normal 54 60 2" xfId="23044" xr:uid="{00000000-0005-0000-0000-00004D4F0000}"/>
    <cellStyle name="Normal 54 61" xfId="10912" xr:uid="{00000000-0005-0000-0000-00004E4F0000}"/>
    <cellStyle name="Normal 54 61 2" xfId="23045" xr:uid="{00000000-0005-0000-0000-00004F4F0000}"/>
    <cellStyle name="Normal 54 62" xfId="10913" xr:uid="{00000000-0005-0000-0000-0000504F0000}"/>
    <cellStyle name="Normal 54 62 2" xfId="23046" xr:uid="{00000000-0005-0000-0000-0000514F0000}"/>
    <cellStyle name="Normal 54 63" xfId="10914" xr:uid="{00000000-0005-0000-0000-0000524F0000}"/>
    <cellStyle name="Normal 54 63 2" xfId="23047" xr:uid="{00000000-0005-0000-0000-0000534F0000}"/>
    <cellStyle name="Normal 54 64" xfId="10915" xr:uid="{00000000-0005-0000-0000-0000544F0000}"/>
    <cellStyle name="Normal 54 64 2" xfId="23048" xr:uid="{00000000-0005-0000-0000-0000554F0000}"/>
    <cellStyle name="Normal 54 65" xfId="10916" xr:uid="{00000000-0005-0000-0000-0000564F0000}"/>
    <cellStyle name="Normal 54 65 2" xfId="23049" xr:uid="{00000000-0005-0000-0000-0000574F0000}"/>
    <cellStyle name="Normal 54 66" xfId="10917" xr:uid="{00000000-0005-0000-0000-0000584F0000}"/>
    <cellStyle name="Normal 54 66 2" xfId="23050" xr:uid="{00000000-0005-0000-0000-0000594F0000}"/>
    <cellStyle name="Normal 54 67" xfId="10918" xr:uid="{00000000-0005-0000-0000-00005A4F0000}"/>
    <cellStyle name="Normal 54 67 2" xfId="23051" xr:uid="{00000000-0005-0000-0000-00005B4F0000}"/>
    <cellStyle name="Normal 54 68" xfId="10919" xr:uid="{00000000-0005-0000-0000-00005C4F0000}"/>
    <cellStyle name="Normal 54 68 2" xfId="23052" xr:uid="{00000000-0005-0000-0000-00005D4F0000}"/>
    <cellStyle name="Normal 54 69" xfId="10920" xr:uid="{00000000-0005-0000-0000-00005E4F0000}"/>
    <cellStyle name="Normal 54 69 2" xfId="23053" xr:uid="{00000000-0005-0000-0000-00005F4F0000}"/>
    <cellStyle name="Normal 54 7" xfId="10921" xr:uid="{00000000-0005-0000-0000-0000604F0000}"/>
    <cellStyle name="Normal 54 7 2" xfId="23054" xr:uid="{00000000-0005-0000-0000-0000614F0000}"/>
    <cellStyle name="Normal 54 70" xfId="10922" xr:uid="{00000000-0005-0000-0000-0000624F0000}"/>
    <cellStyle name="Normal 54 70 2" xfId="23055" xr:uid="{00000000-0005-0000-0000-0000634F0000}"/>
    <cellStyle name="Normal 54 71" xfId="10923" xr:uid="{00000000-0005-0000-0000-0000644F0000}"/>
    <cellStyle name="Normal 54 71 2" xfId="23056" xr:uid="{00000000-0005-0000-0000-0000654F0000}"/>
    <cellStyle name="Normal 54 72" xfId="10924" xr:uid="{00000000-0005-0000-0000-0000664F0000}"/>
    <cellStyle name="Normal 54 72 2" xfId="23057" xr:uid="{00000000-0005-0000-0000-0000674F0000}"/>
    <cellStyle name="Normal 54 73" xfId="10925" xr:uid="{00000000-0005-0000-0000-0000684F0000}"/>
    <cellStyle name="Normal 54 73 2" xfId="23058" xr:uid="{00000000-0005-0000-0000-0000694F0000}"/>
    <cellStyle name="Normal 54 74" xfId="10926" xr:uid="{00000000-0005-0000-0000-00006A4F0000}"/>
    <cellStyle name="Normal 54 74 2" xfId="23059" xr:uid="{00000000-0005-0000-0000-00006B4F0000}"/>
    <cellStyle name="Normal 54 75" xfId="10927" xr:uid="{00000000-0005-0000-0000-00006C4F0000}"/>
    <cellStyle name="Normal 54 75 2" xfId="23060" xr:uid="{00000000-0005-0000-0000-00006D4F0000}"/>
    <cellStyle name="Normal 54 76" xfId="10928" xr:uid="{00000000-0005-0000-0000-00006E4F0000}"/>
    <cellStyle name="Normal 54 76 2" xfId="23061" xr:uid="{00000000-0005-0000-0000-00006F4F0000}"/>
    <cellStyle name="Normal 54 77" xfId="10929" xr:uid="{00000000-0005-0000-0000-0000704F0000}"/>
    <cellStyle name="Normal 54 77 2" xfId="23062" xr:uid="{00000000-0005-0000-0000-0000714F0000}"/>
    <cellStyle name="Normal 54 78" xfId="10930" xr:uid="{00000000-0005-0000-0000-0000724F0000}"/>
    <cellStyle name="Normal 54 78 2" xfId="23063" xr:uid="{00000000-0005-0000-0000-0000734F0000}"/>
    <cellStyle name="Normal 54 79" xfId="10931" xr:uid="{00000000-0005-0000-0000-0000744F0000}"/>
    <cellStyle name="Normal 54 79 2" xfId="23064" xr:uid="{00000000-0005-0000-0000-0000754F0000}"/>
    <cellStyle name="Normal 54 8" xfId="10932" xr:uid="{00000000-0005-0000-0000-0000764F0000}"/>
    <cellStyle name="Normal 54 8 2" xfId="23065" xr:uid="{00000000-0005-0000-0000-0000774F0000}"/>
    <cellStyle name="Normal 54 80" xfId="22988" xr:uid="{00000000-0005-0000-0000-0000784F0000}"/>
    <cellStyle name="Normal 54 9" xfId="10933" xr:uid="{00000000-0005-0000-0000-0000794F0000}"/>
    <cellStyle name="Normal 54 9 2" xfId="23066" xr:uid="{00000000-0005-0000-0000-00007A4F0000}"/>
    <cellStyle name="Normal 55" xfId="396" xr:uid="{00000000-0005-0000-0000-00007B4F0000}"/>
    <cellStyle name="Normal 55 10" xfId="10934" xr:uid="{00000000-0005-0000-0000-00007C4F0000}"/>
    <cellStyle name="Normal 55 10 2" xfId="23068" xr:uid="{00000000-0005-0000-0000-00007D4F0000}"/>
    <cellStyle name="Normal 55 11" xfId="10935" xr:uid="{00000000-0005-0000-0000-00007E4F0000}"/>
    <cellStyle name="Normal 55 11 2" xfId="23069" xr:uid="{00000000-0005-0000-0000-00007F4F0000}"/>
    <cellStyle name="Normal 55 12" xfId="10936" xr:uid="{00000000-0005-0000-0000-0000804F0000}"/>
    <cellStyle name="Normal 55 12 2" xfId="23070" xr:uid="{00000000-0005-0000-0000-0000814F0000}"/>
    <cellStyle name="Normal 55 13" xfId="10937" xr:uid="{00000000-0005-0000-0000-0000824F0000}"/>
    <cellStyle name="Normal 55 13 2" xfId="23071" xr:uid="{00000000-0005-0000-0000-0000834F0000}"/>
    <cellStyle name="Normal 55 14" xfId="10938" xr:uid="{00000000-0005-0000-0000-0000844F0000}"/>
    <cellStyle name="Normal 55 14 2" xfId="23072" xr:uid="{00000000-0005-0000-0000-0000854F0000}"/>
    <cellStyle name="Normal 55 15" xfId="10939" xr:uid="{00000000-0005-0000-0000-0000864F0000}"/>
    <cellStyle name="Normal 55 15 2" xfId="23073" xr:uid="{00000000-0005-0000-0000-0000874F0000}"/>
    <cellStyle name="Normal 55 16" xfId="10940" xr:uid="{00000000-0005-0000-0000-0000884F0000}"/>
    <cellStyle name="Normal 55 16 2" xfId="23074" xr:uid="{00000000-0005-0000-0000-0000894F0000}"/>
    <cellStyle name="Normal 55 17" xfId="10941" xr:uid="{00000000-0005-0000-0000-00008A4F0000}"/>
    <cellStyle name="Normal 55 17 2" xfId="23075" xr:uid="{00000000-0005-0000-0000-00008B4F0000}"/>
    <cellStyle name="Normal 55 18" xfId="10942" xr:uid="{00000000-0005-0000-0000-00008C4F0000}"/>
    <cellStyle name="Normal 55 18 2" xfId="23076" xr:uid="{00000000-0005-0000-0000-00008D4F0000}"/>
    <cellStyle name="Normal 55 19" xfId="10943" xr:uid="{00000000-0005-0000-0000-00008E4F0000}"/>
    <cellStyle name="Normal 55 19 2" xfId="23077" xr:uid="{00000000-0005-0000-0000-00008F4F0000}"/>
    <cellStyle name="Normal 55 2" xfId="10944" xr:uid="{00000000-0005-0000-0000-0000904F0000}"/>
    <cellStyle name="Normal 55 2 2" xfId="23078" xr:uid="{00000000-0005-0000-0000-0000914F0000}"/>
    <cellStyle name="Normal 55 20" xfId="10945" xr:uid="{00000000-0005-0000-0000-0000924F0000}"/>
    <cellStyle name="Normal 55 20 2" xfId="23079" xr:uid="{00000000-0005-0000-0000-0000934F0000}"/>
    <cellStyle name="Normal 55 21" xfId="10946" xr:uid="{00000000-0005-0000-0000-0000944F0000}"/>
    <cellStyle name="Normal 55 21 2" xfId="23080" xr:uid="{00000000-0005-0000-0000-0000954F0000}"/>
    <cellStyle name="Normal 55 22" xfId="10947" xr:uid="{00000000-0005-0000-0000-0000964F0000}"/>
    <cellStyle name="Normal 55 22 2" xfId="23081" xr:uid="{00000000-0005-0000-0000-0000974F0000}"/>
    <cellStyle name="Normal 55 23" xfId="10948" xr:uid="{00000000-0005-0000-0000-0000984F0000}"/>
    <cellStyle name="Normal 55 23 2" xfId="23082" xr:uid="{00000000-0005-0000-0000-0000994F0000}"/>
    <cellStyle name="Normal 55 24" xfId="10949" xr:uid="{00000000-0005-0000-0000-00009A4F0000}"/>
    <cellStyle name="Normal 55 24 2" xfId="23083" xr:uid="{00000000-0005-0000-0000-00009B4F0000}"/>
    <cellStyle name="Normal 55 25" xfId="10950" xr:uid="{00000000-0005-0000-0000-00009C4F0000}"/>
    <cellStyle name="Normal 55 25 2" xfId="23084" xr:uid="{00000000-0005-0000-0000-00009D4F0000}"/>
    <cellStyle name="Normal 55 26" xfId="10951" xr:uid="{00000000-0005-0000-0000-00009E4F0000}"/>
    <cellStyle name="Normal 55 26 2" xfId="23085" xr:uid="{00000000-0005-0000-0000-00009F4F0000}"/>
    <cellStyle name="Normal 55 27" xfId="10952" xr:uid="{00000000-0005-0000-0000-0000A04F0000}"/>
    <cellStyle name="Normal 55 27 2" xfId="23086" xr:uid="{00000000-0005-0000-0000-0000A14F0000}"/>
    <cellStyle name="Normal 55 28" xfId="10953" xr:uid="{00000000-0005-0000-0000-0000A24F0000}"/>
    <cellStyle name="Normal 55 28 2" xfId="23087" xr:uid="{00000000-0005-0000-0000-0000A34F0000}"/>
    <cellStyle name="Normal 55 29" xfId="10954" xr:uid="{00000000-0005-0000-0000-0000A44F0000}"/>
    <cellStyle name="Normal 55 29 2" xfId="23088" xr:uid="{00000000-0005-0000-0000-0000A54F0000}"/>
    <cellStyle name="Normal 55 3" xfId="10955" xr:uid="{00000000-0005-0000-0000-0000A64F0000}"/>
    <cellStyle name="Normal 55 3 2" xfId="23089" xr:uid="{00000000-0005-0000-0000-0000A74F0000}"/>
    <cellStyle name="Normal 55 30" xfId="10956" xr:uid="{00000000-0005-0000-0000-0000A84F0000}"/>
    <cellStyle name="Normal 55 30 2" xfId="23090" xr:uid="{00000000-0005-0000-0000-0000A94F0000}"/>
    <cellStyle name="Normal 55 31" xfId="10957" xr:uid="{00000000-0005-0000-0000-0000AA4F0000}"/>
    <cellStyle name="Normal 55 31 2" xfId="23091" xr:uid="{00000000-0005-0000-0000-0000AB4F0000}"/>
    <cellStyle name="Normal 55 32" xfId="10958" xr:uid="{00000000-0005-0000-0000-0000AC4F0000}"/>
    <cellStyle name="Normal 55 32 2" xfId="23092" xr:uid="{00000000-0005-0000-0000-0000AD4F0000}"/>
    <cellStyle name="Normal 55 33" xfId="10959" xr:uid="{00000000-0005-0000-0000-0000AE4F0000}"/>
    <cellStyle name="Normal 55 33 2" xfId="23093" xr:uid="{00000000-0005-0000-0000-0000AF4F0000}"/>
    <cellStyle name="Normal 55 34" xfId="10960" xr:uid="{00000000-0005-0000-0000-0000B04F0000}"/>
    <cellStyle name="Normal 55 34 2" xfId="23094" xr:uid="{00000000-0005-0000-0000-0000B14F0000}"/>
    <cellStyle name="Normal 55 35" xfId="10961" xr:uid="{00000000-0005-0000-0000-0000B24F0000}"/>
    <cellStyle name="Normal 55 35 2" xfId="23095" xr:uid="{00000000-0005-0000-0000-0000B34F0000}"/>
    <cellStyle name="Normal 55 36" xfId="10962" xr:uid="{00000000-0005-0000-0000-0000B44F0000}"/>
    <cellStyle name="Normal 55 36 2" xfId="23096" xr:uid="{00000000-0005-0000-0000-0000B54F0000}"/>
    <cellStyle name="Normal 55 37" xfId="10963" xr:uid="{00000000-0005-0000-0000-0000B64F0000}"/>
    <cellStyle name="Normal 55 37 2" xfId="23097" xr:uid="{00000000-0005-0000-0000-0000B74F0000}"/>
    <cellStyle name="Normal 55 38" xfId="10964" xr:uid="{00000000-0005-0000-0000-0000B84F0000}"/>
    <cellStyle name="Normal 55 38 2" xfId="23098" xr:uid="{00000000-0005-0000-0000-0000B94F0000}"/>
    <cellStyle name="Normal 55 39" xfId="10965" xr:uid="{00000000-0005-0000-0000-0000BA4F0000}"/>
    <cellStyle name="Normal 55 39 2" xfId="23099" xr:uid="{00000000-0005-0000-0000-0000BB4F0000}"/>
    <cellStyle name="Normal 55 4" xfId="10966" xr:uid="{00000000-0005-0000-0000-0000BC4F0000}"/>
    <cellStyle name="Normal 55 4 2" xfId="23100" xr:uid="{00000000-0005-0000-0000-0000BD4F0000}"/>
    <cellStyle name="Normal 55 40" xfId="10967" xr:uid="{00000000-0005-0000-0000-0000BE4F0000}"/>
    <cellStyle name="Normal 55 40 2" xfId="23101" xr:uid="{00000000-0005-0000-0000-0000BF4F0000}"/>
    <cellStyle name="Normal 55 41" xfId="10968" xr:uid="{00000000-0005-0000-0000-0000C04F0000}"/>
    <cellStyle name="Normal 55 41 2" xfId="23102" xr:uid="{00000000-0005-0000-0000-0000C14F0000}"/>
    <cellStyle name="Normal 55 42" xfId="10969" xr:uid="{00000000-0005-0000-0000-0000C24F0000}"/>
    <cellStyle name="Normal 55 42 2" xfId="23103" xr:uid="{00000000-0005-0000-0000-0000C34F0000}"/>
    <cellStyle name="Normal 55 43" xfId="10970" xr:uid="{00000000-0005-0000-0000-0000C44F0000}"/>
    <cellStyle name="Normal 55 43 2" xfId="23104" xr:uid="{00000000-0005-0000-0000-0000C54F0000}"/>
    <cellStyle name="Normal 55 44" xfId="10971" xr:uid="{00000000-0005-0000-0000-0000C64F0000}"/>
    <cellStyle name="Normal 55 44 2" xfId="23105" xr:uid="{00000000-0005-0000-0000-0000C74F0000}"/>
    <cellStyle name="Normal 55 45" xfId="10972" xr:uid="{00000000-0005-0000-0000-0000C84F0000}"/>
    <cellStyle name="Normal 55 45 2" xfId="23106" xr:uid="{00000000-0005-0000-0000-0000C94F0000}"/>
    <cellStyle name="Normal 55 46" xfId="10973" xr:uid="{00000000-0005-0000-0000-0000CA4F0000}"/>
    <cellStyle name="Normal 55 46 2" xfId="23107" xr:uid="{00000000-0005-0000-0000-0000CB4F0000}"/>
    <cellStyle name="Normal 55 47" xfId="10974" xr:uid="{00000000-0005-0000-0000-0000CC4F0000}"/>
    <cellStyle name="Normal 55 47 2" xfId="23108" xr:uid="{00000000-0005-0000-0000-0000CD4F0000}"/>
    <cellStyle name="Normal 55 48" xfId="10975" xr:uid="{00000000-0005-0000-0000-0000CE4F0000}"/>
    <cellStyle name="Normal 55 48 2" xfId="23109" xr:uid="{00000000-0005-0000-0000-0000CF4F0000}"/>
    <cellStyle name="Normal 55 49" xfId="10976" xr:uid="{00000000-0005-0000-0000-0000D04F0000}"/>
    <cellStyle name="Normal 55 49 2" xfId="23110" xr:uid="{00000000-0005-0000-0000-0000D14F0000}"/>
    <cellStyle name="Normal 55 5" xfId="10977" xr:uid="{00000000-0005-0000-0000-0000D24F0000}"/>
    <cellStyle name="Normal 55 5 2" xfId="23111" xr:uid="{00000000-0005-0000-0000-0000D34F0000}"/>
    <cellStyle name="Normal 55 50" xfId="10978" xr:uid="{00000000-0005-0000-0000-0000D44F0000}"/>
    <cellStyle name="Normal 55 50 2" xfId="23112" xr:uid="{00000000-0005-0000-0000-0000D54F0000}"/>
    <cellStyle name="Normal 55 51" xfId="10979" xr:uid="{00000000-0005-0000-0000-0000D64F0000}"/>
    <cellStyle name="Normal 55 51 2" xfId="23113" xr:uid="{00000000-0005-0000-0000-0000D74F0000}"/>
    <cellStyle name="Normal 55 52" xfId="10980" xr:uid="{00000000-0005-0000-0000-0000D84F0000}"/>
    <cellStyle name="Normal 55 52 2" xfId="23114" xr:uid="{00000000-0005-0000-0000-0000D94F0000}"/>
    <cellStyle name="Normal 55 53" xfId="10981" xr:uid="{00000000-0005-0000-0000-0000DA4F0000}"/>
    <cellStyle name="Normal 55 53 2" xfId="23115" xr:uid="{00000000-0005-0000-0000-0000DB4F0000}"/>
    <cellStyle name="Normal 55 54" xfId="10982" xr:uid="{00000000-0005-0000-0000-0000DC4F0000}"/>
    <cellStyle name="Normal 55 54 2" xfId="23116" xr:uid="{00000000-0005-0000-0000-0000DD4F0000}"/>
    <cellStyle name="Normal 55 55" xfId="10983" xr:uid="{00000000-0005-0000-0000-0000DE4F0000}"/>
    <cellStyle name="Normal 55 55 2" xfId="23117" xr:uid="{00000000-0005-0000-0000-0000DF4F0000}"/>
    <cellStyle name="Normal 55 56" xfId="10984" xr:uid="{00000000-0005-0000-0000-0000E04F0000}"/>
    <cellStyle name="Normal 55 56 2" xfId="23118" xr:uid="{00000000-0005-0000-0000-0000E14F0000}"/>
    <cellStyle name="Normal 55 57" xfId="10985" xr:uid="{00000000-0005-0000-0000-0000E24F0000}"/>
    <cellStyle name="Normal 55 57 2" xfId="23119" xr:uid="{00000000-0005-0000-0000-0000E34F0000}"/>
    <cellStyle name="Normal 55 58" xfId="10986" xr:uid="{00000000-0005-0000-0000-0000E44F0000}"/>
    <cellStyle name="Normal 55 58 2" xfId="23120" xr:uid="{00000000-0005-0000-0000-0000E54F0000}"/>
    <cellStyle name="Normal 55 59" xfId="10987" xr:uid="{00000000-0005-0000-0000-0000E64F0000}"/>
    <cellStyle name="Normal 55 59 2" xfId="23121" xr:uid="{00000000-0005-0000-0000-0000E74F0000}"/>
    <cellStyle name="Normal 55 6" xfId="10988" xr:uid="{00000000-0005-0000-0000-0000E84F0000}"/>
    <cellStyle name="Normal 55 6 2" xfId="23122" xr:uid="{00000000-0005-0000-0000-0000E94F0000}"/>
    <cellStyle name="Normal 55 60" xfId="10989" xr:uid="{00000000-0005-0000-0000-0000EA4F0000}"/>
    <cellStyle name="Normal 55 60 2" xfId="23123" xr:uid="{00000000-0005-0000-0000-0000EB4F0000}"/>
    <cellStyle name="Normal 55 61" xfId="10990" xr:uid="{00000000-0005-0000-0000-0000EC4F0000}"/>
    <cellStyle name="Normal 55 61 2" xfId="23124" xr:uid="{00000000-0005-0000-0000-0000ED4F0000}"/>
    <cellStyle name="Normal 55 62" xfId="10991" xr:uid="{00000000-0005-0000-0000-0000EE4F0000}"/>
    <cellStyle name="Normal 55 62 2" xfId="23125" xr:uid="{00000000-0005-0000-0000-0000EF4F0000}"/>
    <cellStyle name="Normal 55 63" xfId="10992" xr:uid="{00000000-0005-0000-0000-0000F04F0000}"/>
    <cellStyle name="Normal 55 63 2" xfId="23126" xr:uid="{00000000-0005-0000-0000-0000F14F0000}"/>
    <cellStyle name="Normal 55 64" xfId="10993" xr:uid="{00000000-0005-0000-0000-0000F24F0000}"/>
    <cellStyle name="Normal 55 64 2" xfId="23127" xr:uid="{00000000-0005-0000-0000-0000F34F0000}"/>
    <cellStyle name="Normal 55 65" xfId="10994" xr:uid="{00000000-0005-0000-0000-0000F44F0000}"/>
    <cellStyle name="Normal 55 65 2" xfId="23128" xr:uid="{00000000-0005-0000-0000-0000F54F0000}"/>
    <cellStyle name="Normal 55 66" xfId="10995" xr:uid="{00000000-0005-0000-0000-0000F64F0000}"/>
    <cellStyle name="Normal 55 66 2" xfId="23129" xr:uid="{00000000-0005-0000-0000-0000F74F0000}"/>
    <cellStyle name="Normal 55 67" xfId="10996" xr:uid="{00000000-0005-0000-0000-0000F84F0000}"/>
    <cellStyle name="Normal 55 67 2" xfId="23130" xr:uid="{00000000-0005-0000-0000-0000F94F0000}"/>
    <cellStyle name="Normal 55 68" xfId="10997" xr:uid="{00000000-0005-0000-0000-0000FA4F0000}"/>
    <cellStyle name="Normal 55 68 2" xfId="23131" xr:uid="{00000000-0005-0000-0000-0000FB4F0000}"/>
    <cellStyle name="Normal 55 69" xfId="10998" xr:uid="{00000000-0005-0000-0000-0000FC4F0000}"/>
    <cellStyle name="Normal 55 69 2" xfId="23132" xr:uid="{00000000-0005-0000-0000-0000FD4F0000}"/>
    <cellStyle name="Normal 55 7" xfId="10999" xr:uid="{00000000-0005-0000-0000-0000FE4F0000}"/>
    <cellStyle name="Normal 55 7 2" xfId="23133" xr:uid="{00000000-0005-0000-0000-0000FF4F0000}"/>
    <cellStyle name="Normal 55 70" xfId="11000" xr:uid="{00000000-0005-0000-0000-000000500000}"/>
    <cellStyle name="Normal 55 70 2" xfId="23134" xr:uid="{00000000-0005-0000-0000-000001500000}"/>
    <cellStyle name="Normal 55 71" xfId="11001" xr:uid="{00000000-0005-0000-0000-000002500000}"/>
    <cellStyle name="Normal 55 71 2" xfId="23135" xr:uid="{00000000-0005-0000-0000-000003500000}"/>
    <cellStyle name="Normal 55 72" xfId="11002" xr:uid="{00000000-0005-0000-0000-000004500000}"/>
    <cellStyle name="Normal 55 72 2" xfId="23136" xr:uid="{00000000-0005-0000-0000-000005500000}"/>
    <cellStyle name="Normal 55 73" xfId="11003" xr:uid="{00000000-0005-0000-0000-000006500000}"/>
    <cellStyle name="Normal 55 73 2" xfId="23137" xr:uid="{00000000-0005-0000-0000-000007500000}"/>
    <cellStyle name="Normal 55 74" xfId="11004" xr:uid="{00000000-0005-0000-0000-000008500000}"/>
    <cellStyle name="Normal 55 74 2" xfId="23138" xr:uid="{00000000-0005-0000-0000-000009500000}"/>
    <cellStyle name="Normal 55 75" xfId="11005" xr:uid="{00000000-0005-0000-0000-00000A500000}"/>
    <cellStyle name="Normal 55 75 2" xfId="23139" xr:uid="{00000000-0005-0000-0000-00000B500000}"/>
    <cellStyle name="Normal 55 76" xfId="11006" xr:uid="{00000000-0005-0000-0000-00000C500000}"/>
    <cellStyle name="Normal 55 76 2" xfId="23140" xr:uid="{00000000-0005-0000-0000-00000D500000}"/>
    <cellStyle name="Normal 55 77" xfId="11007" xr:uid="{00000000-0005-0000-0000-00000E500000}"/>
    <cellStyle name="Normal 55 77 2" xfId="23141" xr:uid="{00000000-0005-0000-0000-00000F500000}"/>
    <cellStyle name="Normal 55 78" xfId="11008" xr:uid="{00000000-0005-0000-0000-000010500000}"/>
    <cellStyle name="Normal 55 78 2" xfId="23142" xr:uid="{00000000-0005-0000-0000-000011500000}"/>
    <cellStyle name="Normal 55 79" xfId="11009" xr:uid="{00000000-0005-0000-0000-000012500000}"/>
    <cellStyle name="Normal 55 79 2" xfId="23143" xr:uid="{00000000-0005-0000-0000-000013500000}"/>
    <cellStyle name="Normal 55 8" xfId="11010" xr:uid="{00000000-0005-0000-0000-000014500000}"/>
    <cellStyle name="Normal 55 8 2" xfId="23144" xr:uid="{00000000-0005-0000-0000-000015500000}"/>
    <cellStyle name="Normal 55 80" xfId="23067" xr:uid="{00000000-0005-0000-0000-000016500000}"/>
    <cellStyle name="Normal 55 9" xfId="11011" xr:uid="{00000000-0005-0000-0000-000017500000}"/>
    <cellStyle name="Normal 55 9 2" xfId="23145" xr:uid="{00000000-0005-0000-0000-000018500000}"/>
    <cellStyle name="Normal 56" xfId="182" xr:uid="{00000000-0005-0000-0000-000019500000}"/>
    <cellStyle name="Normal 56 10" xfId="11012" xr:uid="{00000000-0005-0000-0000-00001A500000}"/>
    <cellStyle name="Normal 56 10 2" xfId="23147" xr:uid="{00000000-0005-0000-0000-00001B500000}"/>
    <cellStyle name="Normal 56 11" xfId="11013" xr:uid="{00000000-0005-0000-0000-00001C500000}"/>
    <cellStyle name="Normal 56 11 2" xfId="23148" xr:uid="{00000000-0005-0000-0000-00001D500000}"/>
    <cellStyle name="Normal 56 12" xfId="11014" xr:uid="{00000000-0005-0000-0000-00001E500000}"/>
    <cellStyle name="Normal 56 12 2" xfId="23149" xr:uid="{00000000-0005-0000-0000-00001F500000}"/>
    <cellStyle name="Normal 56 13" xfId="11015" xr:uid="{00000000-0005-0000-0000-000020500000}"/>
    <cellStyle name="Normal 56 13 2" xfId="23150" xr:uid="{00000000-0005-0000-0000-000021500000}"/>
    <cellStyle name="Normal 56 14" xfId="11016" xr:uid="{00000000-0005-0000-0000-000022500000}"/>
    <cellStyle name="Normal 56 14 2" xfId="23151" xr:uid="{00000000-0005-0000-0000-000023500000}"/>
    <cellStyle name="Normal 56 15" xfId="11017" xr:uid="{00000000-0005-0000-0000-000024500000}"/>
    <cellStyle name="Normal 56 15 2" xfId="23152" xr:uid="{00000000-0005-0000-0000-000025500000}"/>
    <cellStyle name="Normal 56 16" xfId="11018" xr:uid="{00000000-0005-0000-0000-000026500000}"/>
    <cellStyle name="Normal 56 16 2" xfId="23153" xr:uid="{00000000-0005-0000-0000-000027500000}"/>
    <cellStyle name="Normal 56 17" xfId="11019" xr:uid="{00000000-0005-0000-0000-000028500000}"/>
    <cellStyle name="Normal 56 17 2" xfId="23154" xr:uid="{00000000-0005-0000-0000-000029500000}"/>
    <cellStyle name="Normal 56 18" xfId="11020" xr:uid="{00000000-0005-0000-0000-00002A500000}"/>
    <cellStyle name="Normal 56 18 2" xfId="23155" xr:uid="{00000000-0005-0000-0000-00002B500000}"/>
    <cellStyle name="Normal 56 19" xfId="11021" xr:uid="{00000000-0005-0000-0000-00002C500000}"/>
    <cellStyle name="Normal 56 19 2" xfId="23156" xr:uid="{00000000-0005-0000-0000-00002D500000}"/>
    <cellStyle name="Normal 56 2" xfId="744" xr:uid="{00000000-0005-0000-0000-00002E500000}"/>
    <cellStyle name="Normal 56 2 2" xfId="23157" xr:uid="{00000000-0005-0000-0000-00002F500000}"/>
    <cellStyle name="Normal 56 2 3" xfId="11022" xr:uid="{00000000-0005-0000-0000-000030500000}"/>
    <cellStyle name="Normal 56 20" xfId="11023" xr:uid="{00000000-0005-0000-0000-000031500000}"/>
    <cellStyle name="Normal 56 20 2" xfId="23158" xr:uid="{00000000-0005-0000-0000-000032500000}"/>
    <cellStyle name="Normal 56 21" xfId="11024" xr:uid="{00000000-0005-0000-0000-000033500000}"/>
    <cellStyle name="Normal 56 21 2" xfId="23159" xr:uid="{00000000-0005-0000-0000-000034500000}"/>
    <cellStyle name="Normal 56 22" xfId="11025" xr:uid="{00000000-0005-0000-0000-000035500000}"/>
    <cellStyle name="Normal 56 22 2" xfId="23160" xr:uid="{00000000-0005-0000-0000-000036500000}"/>
    <cellStyle name="Normal 56 23" xfId="11026" xr:uid="{00000000-0005-0000-0000-000037500000}"/>
    <cellStyle name="Normal 56 23 2" xfId="23161" xr:uid="{00000000-0005-0000-0000-000038500000}"/>
    <cellStyle name="Normal 56 24" xfId="11027" xr:uid="{00000000-0005-0000-0000-000039500000}"/>
    <cellStyle name="Normal 56 24 2" xfId="23162" xr:uid="{00000000-0005-0000-0000-00003A500000}"/>
    <cellStyle name="Normal 56 25" xfId="11028" xr:uid="{00000000-0005-0000-0000-00003B500000}"/>
    <cellStyle name="Normal 56 25 2" xfId="23163" xr:uid="{00000000-0005-0000-0000-00003C500000}"/>
    <cellStyle name="Normal 56 26" xfId="11029" xr:uid="{00000000-0005-0000-0000-00003D500000}"/>
    <cellStyle name="Normal 56 26 2" xfId="23164" xr:uid="{00000000-0005-0000-0000-00003E500000}"/>
    <cellStyle name="Normal 56 27" xfId="11030" xr:uid="{00000000-0005-0000-0000-00003F500000}"/>
    <cellStyle name="Normal 56 27 2" xfId="23165" xr:uid="{00000000-0005-0000-0000-000040500000}"/>
    <cellStyle name="Normal 56 28" xfId="11031" xr:uid="{00000000-0005-0000-0000-000041500000}"/>
    <cellStyle name="Normal 56 28 2" xfId="23166" xr:uid="{00000000-0005-0000-0000-000042500000}"/>
    <cellStyle name="Normal 56 29" xfId="11032" xr:uid="{00000000-0005-0000-0000-000043500000}"/>
    <cellStyle name="Normal 56 29 2" xfId="23167" xr:uid="{00000000-0005-0000-0000-000044500000}"/>
    <cellStyle name="Normal 56 3" xfId="397" xr:uid="{00000000-0005-0000-0000-000045500000}"/>
    <cellStyle name="Normal 56 3 2" xfId="23168" xr:uid="{00000000-0005-0000-0000-000046500000}"/>
    <cellStyle name="Normal 56 30" xfId="11033" xr:uid="{00000000-0005-0000-0000-000047500000}"/>
    <cellStyle name="Normal 56 30 2" xfId="23169" xr:uid="{00000000-0005-0000-0000-000048500000}"/>
    <cellStyle name="Normal 56 31" xfId="11034" xr:uid="{00000000-0005-0000-0000-000049500000}"/>
    <cellStyle name="Normal 56 31 2" xfId="23170" xr:uid="{00000000-0005-0000-0000-00004A500000}"/>
    <cellStyle name="Normal 56 32" xfId="11035" xr:uid="{00000000-0005-0000-0000-00004B500000}"/>
    <cellStyle name="Normal 56 32 2" xfId="23171" xr:uid="{00000000-0005-0000-0000-00004C500000}"/>
    <cellStyle name="Normal 56 33" xfId="11036" xr:uid="{00000000-0005-0000-0000-00004D500000}"/>
    <cellStyle name="Normal 56 33 2" xfId="23172" xr:uid="{00000000-0005-0000-0000-00004E500000}"/>
    <cellStyle name="Normal 56 34" xfId="11037" xr:uid="{00000000-0005-0000-0000-00004F500000}"/>
    <cellStyle name="Normal 56 34 2" xfId="23173" xr:uid="{00000000-0005-0000-0000-000050500000}"/>
    <cellStyle name="Normal 56 35" xfId="11038" xr:uid="{00000000-0005-0000-0000-000051500000}"/>
    <cellStyle name="Normal 56 35 2" xfId="23174" xr:uid="{00000000-0005-0000-0000-000052500000}"/>
    <cellStyle name="Normal 56 36" xfId="11039" xr:uid="{00000000-0005-0000-0000-000053500000}"/>
    <cellStyle name="Normal 56 36 2" xfId="23175" xr:uid="{00000000-0005-0000-0000-000054500000}"/>
    <cellStyle name="Normal 56 37" xfId="11040" xr:uid="{00000000-0005-0000-0000-000055500000}"/>
    <cellStyle name="Normal 56 37 2" xfId="23176" xr:uid="{00000000-0005-0000-0000-000056500000}"/>
    <cellStyle name="Normal 56 38" xfId="11041" xr:uid="{00000000-0005-0000-0000-000057500000}"/>
    <cellStyle name="Normal 56 38 2" xfId="23177" xr:uid="{00000000-0005-0000-0000-000058500000}"/>
    <cellStyle name="Normal 56 39" xfId="11042" xr:uid="{00000000-0005-0000-0000-000059500000}"/>
    <cellStyle name="Normal 56 39 2" xfId="23178" xr:uid="{00000000-0005-0000-0000-00005A500000}"/>
    <cellStyle name="Normal 56 4" xfId="11043" xr:uid="{00000000-0005-0000-0000-00005B500000}"/>
    <cellStyle name="Normal 56 4 2" xfId="23179" xr:uid="{00000000-0005-0000-0000-00005C500000}"/>
    <cellStyle name="Normal 56 40" xfId="11044" xr:uid="{00000000-0005-0000-0000-00005D500000}"/>
    <cellStyle name="Normal 56 40 2" xfId="23180" xr:uid="{00000000-0005-0000-0000-00005E500000}"/>
    <cellStyle name="Normal 56 41" xfId="11045" xr:uid="{00000000-0005-0000-0000-00005F500000}"/>
    <cellStyle name="Normal 56 41 2" xfId="23181" xr:uid="{00000000-0005-0000-0000-000060500000}"/>
    <cellStyle name="Normal 56 42" xfId="11046" xr:uid="{00000000-0005-0000-0000-000061500000}"/>
    <cellStyle name="Normal 56 42 2" xfId="23182" xr:uid="{00000000-0005-0000-0000-000062500000}"/>
    <cellStyle name="Normal 56 43" xfId="11047" xr:uid="{00000000-0005-0000-0000-000063500000}"/>
    <cellStyle name="Normal 56 43 2" xfId="23183" xr:uid="{00000000-0005-0000-0000-000064500000}"/>
    <cellStyle name="Normal 56 44" xfId="11048" xr:uid="{00000000-0005-0000-0000-000065500000}"/>
    <cellStyle name="Normal 56 44 2" xfId="23184" xr:uid="{00000000-0005-0000-0000-000066500000}"/>
    <cellStyle name="Normal 56 45" xfId="11049" xr:uid="{00000000-0005-0000-0000-000067500000}"/>
    <cellStyle name="Normal 56 45 2" xfId="23185" xr:uid="{00000000-0005-0000-0000-000068500000}"/>
    <cellStyle name="Normal 56 46" xfId="11050" xr:uid="{00000000-0005-0000-0000-000069500000}"/>
    <cellStyle name="Normal 56 46 2" xfId="23186" xr:uid="{00000000-0005-0000-0000-00006A500000}"/>
    <cellStyle name="Normal 56 47" xfId="11051" xr:uid="{00000000-0005-0000-0000-00006B500000}"/>
    <cellStyle name="Normal 56 47 2" xfId="23187" xr:uid="{00000000-0005-0000-0000-00006C500000}"/>
    <cellStyle name="Normal 56 48" xfId="11052" xr:uid="{00000000-0005-0000-0000-00006D500000}"/>
    <cellStyle name="Normal 56 48 2" xfId="23188" xr:uid="{00000000-0005-0000-0000-00006E500000}"/>
    <cellStyle name="Normal 56 49" xfId="11053" xr:uid="{00000000-0005-0000-0000-00006F500000}"/>
    <cellStyle name="Normal 56 49 2" xfId="23189" xr:uid="{00000000-0005-0000-0000-000070500000}"/>
    <cellStyle name="Normal 56 5" xfId="11054" xr:uid="{00000000-0005-0000-0000-000071500000}"/>
    <cellStyle name="Normal 56 5 2" xfId="23190" xr:uid="{00000000-0005-0000-0000-000072500000}"/>
    <cellStyle name="Normal 56 50" xfId="11055" xr:uid="{00000000-0005-0000-0000-000073500000}"/>
    <cellStyle name="Normal 56 50 2" xfId="23191" xr:uid="{00000000-0005-0000-0000-000074500000}"/>
    <cellStyle name="Normal 56 51" xfId="11056" xr:uid="{00000000-0005-0000-0000-000075500000}"/>
    <cellStyle name="Normal 56 51 2" xfId="23192" xr:uid="{00000000-0005-0000-0000-000076500000}"/>
    <cellStyle name="Normal 56 52" xfId="11057" xr:uid="{00000000-0005-0000-0000-000077500000}"/>
    <cellStyle name="Normal 56 52 2" xfId="23193" xr:uid="{00000000-0005-0000-0000-000078500000}"/>
    <cellStyle name="Normal 56 53" xfId="11058" xr:uid="{00000000-0005-0000-0000-000079500000}"/>
    <cellStyle name="Normal 56 53 2" xfId="23194" xr:uid="{00000000-0005-0000-0000-00007A500000}"/>
    <cellStyle name="Normal 56 54" xfId="11059" xr:uid="{00000000-0005-0000-0000-00007B500000}"/>
    <cellStyle name="Normal 56 54 2" xfId="23195" xr:uid="{00000000-0005-0000-0000-00007C500000}"/>
    <cellStyle name="Normal 56 55" xfId="11060" xr:uid="{00000000-0005-0000-0000-00007D500000}"/>
    <cellStyle name="Normal 56 55 2" xfId="23196" xr:uid="{00000000-0005-0000-0000-00007E500000}"/>
    <cellStyle name="Normal 56 56" xfId="11061" xr:uid="{00000000-0005-0000-0000-00007F500000}"/>
    <cellStyle name="Normal 56 56 2" xfId="23197" xr:uid="{00000000-0005-0000-0000-000080500000}"/>
    <cellStyle name="Normal 56 57" xfId="11062" xr:uid="{00000000-0005-0000-0000-000081500000}"/>
    <cellStyle name="Normal 56 57 2" xfId="23198" xr:uid="{00000000-0005-0000-0000-000082500000}"/>
    <cellStyle name="Normal 56 58" xfId="11063" xr:uid="{00000000-0005-0000-0000-000083500000}"/>
    <cellStyle name="Normal 56 58 2" xfId="23199" xr:uid="{00000000-0005-0000-0000-000084500000}"/>
    <cellStyle name="Normal 56 59" xfId="11064" xr:uid="{00000000-0005-0000-0000-000085500000}"/>
    <cellStyle name="Normal 56 59 2" xfId="23200" xr:uid="{00000000-0005-0000-0000-000086500000}"/>
    <cellStyle name="Normal 56 6" xfId="11065" xr:uid="{00000000-0005-0000-0000-000087500000}"/>
    <cellStyle name="Normal 56 6 2" xfId="23201" xr:uid="{00000000-0005-0000-0000-000088500000}"/>
    <cellStyle name="Normal 56 60" xfId="11066" xr:uid="{00000000-0005-0000-0000-000089500000}"/>
    <cellStyle name="Normal 56 60 2" xfId="23202" xr:uid="{00000000-0005-0000-0000-00008A500000}"/>
    <cellStyle name="Normal 56 61" xfId="11067" xr:uid="{00000000-0005-0000-0000-00008B500000}"/>
    <cellStyle name="Normal 56 61 2" xfId="23203" xr:uid="{00000000-0005-0000-0000-00008C500000}"/>
    <cellStyle name="Normal 56 62" xfId="11068" xr:uid="{00000000-0005-0000-0000-00008D500000}"/>
    <cellStyle name="Normal 56 62 2" xfId="23204" xr:uid="{00000000-0005-0000-0000-00008E500000}"/>
    <cellStyle name="Normal 56 63" xfId="11069" xr:uid="{00000000-0005-0000-0000-00008F500000}"/>
    <cellStyle name="Normal 56 63 2" xfId="23205" xr:uid="{00000000-0005-0000-0000-000090500000}"/>
    <cellStyle name="Normal 56 64" xfId="11070" xr:uid="{00000000-0005-0000-0000-000091500000}"/>
    <cellStyle name="Normal 56 64 2" xfId="23206" xr:uid="{00000000-0005-0000-0000-000092500000}"/>
    <cellStyle name="Normal 56 65" xfId="11071" xr:uid="{00000000-0005-0000-0000-000093500000}"/>
    <cellStyle name="Normal 56 65 2" xfId="23207" xr:uid="{00000000-0005-0000-0000-000094500000}"/>
    <cellStyle name="Normal 56 66" xfId="11072" xr:uid="{00000000-0005-0000-0000-000095500000}"/>
    <cellStyle name="Normal 56 66 2" xfId="23208" xr:uid="{00000000-0005-0000-0000-000096500000}"/>
    <cellStyle name="Normal 56 67" xfId="11073" xr:uid="{00000000-0005-0000-0000-000097500000}"/>
    <cellStyle name="Normal 56 67 2" xfId="23209" xr:uid="{00000000-0005-0000-0000-000098500000}"/>
    <cellStyle name="Normal 56 68" xfId="11074" xr:uid="{00000000-0005-0000-0000-000099500000}"/>
    <cellStyle name="Normal 56 68 2" xfId="23210" xr:uid="{00000000-0005-0000-0000-00009A500000}"/>
    <cellStyle name="Normal 56 69" xfId="11075" xr:uid="{00000000-0005-0000-0000-00009B500000}"/>
    <cellStyle name="Normal 56 69 2" xfId="23211" xr:uid="{00000000-0005-0000-0000-00009C500000}"/>
    <cellStyle name="Normal 56 7" xfId="11076" xr:uid="{00000000-0005-0000-0000-00009D500000}"/>
    <cellStyle name="Normal 56 7 2" xfId="23212" xr:uid="{00000000-0005-0000-0000-00009E500000}"/>
    <cellStyle name="Normal 56 70" xfId="11077" xr:uid="{00000000-0005-0000-0000-00009F500000}"/>
    <cellStyle name="Normal 56 70 2" xfId="23213" xr:uid="{00000000-0005-0000-0000-0000A0500000}"/>
    <cellStyle name="Normal 56 71" xfId="11078" xr:uid="{00000000-0005-0000-0000-0000A1500000}"/>
    <cellStyle name="Normal 56 71 2" xfId="23214" xr:uid="{00000000-0005-0000-0000-0000A2500000}"/>
    <cellStyle name="Normal 56 72" xfId="11079" xr:uid="{00000000-0005-0000-0000-0000A3500000}"/>
    <cellStyle name="Normal 56 72 2" xfId="23215" xr:uid="{00000000-0005-0000-0000-0000A4500000}"/>
    <cellStyle name="Normal 56 73" xfId="11080" xr:uid="{00000000-0005-0000-0000-0000A5500000}"/>
    <cellStyle name="Normal 56 73 2" xfId="23216" xr:uid="{00000000-0005-0000-0000-0000A6500000}"/>
    <cellStyle name="Normal 56 74" xfId="11081" xr:uid="{00000000-0005-0000-0000-0000A7500000}"/>
    <cellStyle name="Normal 56 74 2" xfId="23217" xr:uid="{00000000-0005-0000-0000-0000A8500000}"/>
    <cellStyle name="Normal 56 75" xfId="11082" xr:uid="{00000000-0005-0000-0000-0000A9500000}"/>
    <cellStyle name="Normal 56 75 2" xfId="23218" xr:uid="{00000000-0005-0000-0000-0000AA500000}"/>
    <cellStyle name="Normal 56 76" xfId="11083" xr:uid="{00000000-0005-0000-0000-0000AB500000}"/>
    <cellStyle name="Normal 56 76 2" xfId="23219" xr:uid="{00000000-0005-0000-0000-0000AC500000}"/>
    <cellStyle name="Normal 56 77" xfId="11084" xr:uid="{00000000-0005-0000-0000-0000AD500000}"/>
    <cellStyle name="Normal 56 77 2" xfId="23220" xr:uid="{00000000-0005-0000-0000-0000AE500000}"/>
    <cellStyle name="Normal 56 78" xfId="11085" xr:uid="{00000000-0005-0000-0000-0000AF500000}"/>
    <cellStyle name="Normal 56 78 2" xfId="23221" xr:uid="{00000000-0005-0000-0000-0000B0500000}"/>
    <cellStyle name="Normal 56 79" xfId="11086" xr:uid="{00000000-0005-0000-0000-0000B1500000}"/>
    <cellStyle name="Normal 56 79 2" xfId="23222" xr:uid="{00000000-0005-0000-0000-0000B2500000}"/>
    <cellStyle name="Normal 56 8" xfId="11087" xr:uid="{00000000-0005-0000-0000-0000B3500000}"/>
    <cellStyle name="Normal 56 8 2" xfId="23223" xr:uid="{00000000-0005-0000-0000-0000B4500000}"/>
    <cellStyle name="Normal 56 80" xfId="23146" xr:uid="{00000000-0005-0000-0000-0000B5500000}"/>
    <cellStyle name="Normal 56 9" xfId="11088" xr:uid="{00000000-0005-0000-0000-0000B6500000}"/>
    <cellStyle name="Normal 56 9 2" xfId="23224" xr:uid="{00000000-0005-0000-0000-0000B7500000}"/>
    <cellStyle name="Normal 57" xfId="183" xr:uid="{00000000-0005-0000-0000-0000B8500000}"/>
    <cellStyle name="Normal 57 10" xfId="11089" xr:uid="{00000000-0005-0000-0000-0000B9500000}"/>
    <cellStyle name="Normal 57 10 2" xfId="23226" xr:uid="{00000000-0005-0000-0000-0000BA500000}"/>
    <cellStyle name="Normal 57 11" xfId="11090" xr:uid="{00000000-0005-0000-0000-0000BB500000}"/>
    <cellStyle name="Normal 57 11 2" xfId="23227" xr:uid="{00000000-0005-0000-0000-0000BC500000}"/>
    <cellStyle name="Normal 57 12" xfId="11091" xr:uid="{00000000-0005-0000-0000-0000BD500000}"/>
    <cellStyle name="Normal 57 12 2" xfId="23228" xr:uid="{00000000-0005-0000-0000-0000BE500000}"/>
    <cellStyle name="Normal 57 13" xfId="11092" xr:uid="{00000000-0005-0000-0000-0000BF500000}"/>
    <cellStyle name="Normal 57 13 2" xfId="23229" xr:uid="{00000000-0005-0000-0000-0000C0500000}"/>
    <cellStyle name="Normal 57 14" xfId="11093" xr:uid="{00000000-0005-0000-0000-0000C1500000}"/>
    <cellStyle name="Normal 57 14 2" xfId="23230" xr:uid="{00000000-0005-0000-0000-0000C2500000}"/>
    <cellStyle name="Normal 57 15" xfId="11094" xr:uid="{00000000-0005-0000-0000-0000C3500000}"/>
    <cellStyle name="Normal 57 15 2" xfId="23231" xr:uid="{00000000-0005-0000-0000-0000C4500000}"/>
    <cellStyle name="Normal 57 16" xfId="11095" xr:uid="{00000000-0005-0000-0000-0000C5500000}"/>
    <cellStyle name="Normal 57 16 2" xfId="23232" xr:uid="{00000000-0005-0000-0000-0000C6500000}"/>
    <cellStyle name="Normal 57 17" xfId="11096" xr:uid="{00000000-0005-0000-0000-0000C7500000}"/>
    <cellStyle name="Normal 57 17 2" xfId="23233" xr:uid="{00000000-0005-0000-0000-0000C8500000}"/>
    <cellStyle name="Normal 57 18" xfId="11097" xr:uid="{00000000-0005-0000-0000-0000C9500000}"/>
    <cellStyle name="Normal 57 18 2" xfId="23234" xr:uid="{00000000-0005-0000-0000-0000CA500000}"/>
    <cellStyle name="Normal 57 19" xfId="11098" xr:uid="{00000000-0005-0000-0000-0000CB500000}"/>
    <cellStyle name="Normal 57 19 2" xfId="23235" xr:uid="{00000000-0005-0000-0000-0000CC500000}"/>
    <cellStyle name="Normal 57 2" xfId="745" xr:uid="{00000000-0005-0000-0000-0000CD500000}"/>
    <cellStyle name="Normal 57 2 2" xfId="23236" xr:uid="{00000000-0005-0000-0000-0000CE500000}"/>
    <cellStyle name="Normal 57 2 3" xfId="11099" xr:uid="{00000000-0005-0000-0000-0000CF500000}"/>
    <cellStyle name="Normal 57 20" xfId="11100" xr:uid="{00000000-0005-0000-0000-0000D0500000}"/>
    <cellStyle name="Normal 57 20 2" xfId="23237" xr:uid="{00000000-0005-0000-0000-0000D1500000}"/>
    <cellStyle name="Normal 57 21" xfId="11101" xr:uid="{00000000-0005-0000-0000-0000D2500000}"/>
    <cellStyle name="Normal 57 21 2" xfId="23238" xr:uid="{00000000-0005-0000-0000-0000D3500000}"/>
    <cellStyle name="Normal 57 22" xfId="11102" xr:uid="{00000000-0005-0000-0000-0000D4500000}"/>
    <cellStyle name="Normal 57 22 2" xfId="23239" xr:uid="{00000000-0005-0000-0000-0000D5500000}"/>
    <cellStyle name="Normal 57 23" xfId="11103" xr:uid="{00000000-0005-0000-0000-0000D6500000}"/>
    <cellStyle name="Normal 57 23 2" xfId="23240" xr:uid="{00000000-0005-0000-0000-0000D7500000}"/>
    <cellStyle name="Normal 57 24" xfId="11104" xr:uid="{00000000-0005-0000-0000-0000D8500000}"/>
    <cellStyle name="Normal 57 24 2" xfId="23241" xr:uid="{00000000-0005-0000-0000-0000D9500000}"/>
    <cellStyle name="Normal 57 25" xfId="11105" xr:uid="{00000000-0005-0000-0000-0000DA500000}"/>
    <cellStyle name="Normal 57 25 2" xfId="23242" xr:uid="{00000000-0005-0000-0000-0000DB500000}"/>
    <cellStyle name="Normal 57 26" xfId="11106" xr:uid="{00000000-0005-0000-0000-0000DC500000}"/>
    <cellStyle name="Normal 57 26 2" xfId="23243" xr:uid="{00000000-0005-0000-0000-0000DD500000}"/>
    <cellStyle name="Normal 57 27" xfId="11107" xr:uid="{00000000-0005-0000-0000-0000DE500000}"/>
    <cellStyle name="Normal 57 27 2" xfId="23244" xr:uid="{00000000-0005-0000-0000-0000DF500000}"/>
    <cellStyle name="Normal 57 28" xfId="11108" xr:uid="{00000000-0005-0000-0000-0000E0500000}"/>
    <cellStyle name="Normal 57 28 2" xfId="23245" xr:uid="{00000000-0005-0000-0000-0000E1500000}"/>
    <cellStyle name="Normal 57 29" xfId="11109" xr:uid="{00000000-0005-0000-0000-0000E2500000}"/>
    <cellStyle name="Normal 57 29 2" xfId="23246" xr:uid="{00000000-0005-0000-0000-0000E3500000}"/>
    <cellStyle name="Normal 57 3" xfId="398" xr:uid="{00000000-0005-0000-0000-0000E4500000}"/>
    <cellStyle name="Normal 57 3 2" xfId="23247" xr:uid="{00000000-0005-0000-0000-0000E5500000}"/>
    <cellStyle name="Normal 57 30" xfId="11110" xr:uid="{00000000-0005-0000-0000-0000E6500000}"/>
    <cellStyle name="Normal 57 30 2" xfId="23248" xr:uid="{00000000-0005-0000-0000-0000E7500000}"/>
    <cellStyle name="Normal 57 31" xfId="11111" xr:uid="{00000000-0005-0000-0000-0000E8500000}"/>
    <cellStyle name="Normal 57 31 2" xfId="23249" xr:uid="{00000000-0005-0000-0000-0000E9500000}"/>
    <cellStyle name="Normal 57 32" xfId="11112" xr:uid="{00000000-0005-0000-0000-0000EA500000}"/>
    <cellStyle name="Normal 57 32 2" xfId="23250" xr:uid="{00000000-0005-0000-0000-0000EB500000}"/>
    <cellStyle name="Normal 57 33" xfId="11113" xr:uid="{00000000-0005-0000-0000-0000EC500000}"/>
    <cellStyle name="Normal 57 33 2" xfId="23251" xr:uid="{00000000-0005-0000-0000-0000ED500000}"/>
    <cellStyle name="Normal 57 34" xfId="11114" xr:uid="{00000000-0005-0000-0000-0000EE500000}"/>
    <cellStyle name="Normal 57 34 2" xfId="23252" xr:uid="{00000000-0005-0000-0000-0000EF500000}"/>
    <cellStyle name="Normal 57 35" xfId="11115" xr:uid="{00000000-0005-0000-0000-0000F0500000}"/>
    <cellStyle name="Normal 57 35 2" xfId="23253" xr:uid="{00000000-0005-0000-0000-0000F1500000}"/>
    <cellStyle name="Normal 57 36" xfId="11116" xr:uid="{00000000-0005-0000-0000-0000F2500000}"/>
    <cellStyle name="Normal 57 36 2" xfId="23254" xr:uid="{00000000-0005-0000-0000-0000F3500000}"/>
    <cellStyle name="Normal 57 37" xfId="11117" xr:uid="{00000000-0005-0000-0000-0000F4500000}"/>
    <cellStyle name="Normal 57 37 2" xfId="23255" xr:uid="{00000000-0005-0000-0000-0000F5500000}"/>
    <cellStyle name="Normal 57 38" xfId="11118" xr:uid="{00000000-0005-0000-0000-0000F6500000}"/>
    <cellStyle name="Normal 57 38 2" xfId="23256" xr:uid="{00000000-0005-0000-0000-0000F7500000}"/>
    <cellStyle name="Normal 57 39" xfId="11119" xr:uid="{00000000-0005-0000-0000-0000F8500000}"/>
    <cellStyle name="Normal 57 39 2" xfId="23257" xr:uid="{00000000-0005-0000-0000-0000F9500000}"/>
    <cellStyle name="Normal 57 4" xfId="11120" xr:uid="{00000000-0005-0000-0000-0000FA500000}"/>
    <cellStyle name="Normal 57 4 2" xfId="23258" xr:uid="{00000000-0005-0000-0000-0000FB500000}"/>
    <cellStyle name="Normal 57 40" xfId="11121" xr:uid="{00000000-0005-0000-0000-0000FC500000}"/>
    <cellStyle name="Normal 57 40 2" xfId="23259" xr:uid="{00000000-0005-0000-0000-0000FD500000}"/>
    <cellStyle name="Normal 57 41" xfId="11122" xr:uid="{00000000-0005-0000-0000-0000FE500000}"/>
    <cellStyle name="Normal 57 41 2" xfId="23260" xr:uid="{00000000-0005-0000-0000-0000FF500000}"/>
    <cellStyle name="Normal 57 42" xfId="11123" xr:uid="{00000000-0005-0000-0000-000000510000}"/>
    <cellStyle name="Normal 57 42 2" xfId="23261" xr:uid="{00000000-0005-0000-0000-000001510000}"/>
    <cellStyle name="Normal 57 43" xfId="11124" xr:uid="{00000000-0005-0000-0000-000002510000}"/>
    <cellStyle name="Normal 57 43 2" xfId="23262" xr:uid="{00000000-0005-0000-0000-000003510000}"/>
    <cellStyle name="Normal 57 44" xfId="11125" xr:uid="{00000000-0005-0000-0000-000004510000}"/>
    <cellStyle name="Normal 57 44 2" xfId="23263" xr:uid="{00000000-0005-0000-0000-000005510000}"/>
    <cellStyle name="Normal 57 45" xfId="11126" xr:uid="{00000000-0005-0000-0000-000006510000}"/>
    <cellStyle name="Normal 57 45 2" xfId="23264" xr:uid="{00000000-0005-0000-0000-000007510000}"/>
    <cellStyle name="Normal 57 46" xfId="11127" xr:uid="{00000000-0005-0000-0000-000008510000}"/>
    <cellStyle name="Normal 57 46 2" xfId="23265" xr:uid="{00000000-0005-0000-0000-000009510000}"/>
    <cellStyle name="Normal 57 47" xfId="11128" xr:uid="{00000000-0005-0000-0000-00000A510000}"/>
    <cellStyle name="Normal 57 47 2" xfId="23266" xr:uid="{00000000-0005-0000-0000-00000B510000}"/>
    <cellStyle name="Normal 57 48" xfId="11129" xr:uid="{00000000-0005-0000-0000-00000C510000}"/>
    <cellStyle name="Normal 57 48 2" xfId="23267" xr:uid="{00000000-0005-0000-0000-00000D510000}"/>
    <cellStyle name="Normal 57 49" xfId="11130" xr:uid="{00000000-0005-0000-0000-00000E510000}"/>
    <cellStyle name="Normal 57 49 2" xfId="23268" xr:uid="{00000000-0005-0000-0000-00000F510000}"/>
    <cellStyle name="Normal 57 5" xfId="11131" xr:uid="{00000000-0005-0000-0000-000010510000}"/>
    <cellStyle name="Normal 57 5 2" xfId="23269" xr:uid="{00000000-0005-0000-0000-000011510000}"/>
    <cellStyle name="Normal 57 50" xfId="11132" xr:uid="{00000000-0005-0000-0000-000012510000}"/>
    <cellStyle name="Normal 57 50 2" xfId="23270" xr:uid="{00000000-0005-0000-0000-000013510000}"/>
    <cellStyle name="Normal 57 51" xfId="11133" xr:uid="{00000000-0005-0000-0000-000014510000}"/>
    <cellStyle name="Normal 57 51 2" xfId="23271" xr:uid="{00000000-0005-0000-0000-000015510000}"/>
    <cellStyle name="Normal 57 52" xfId="11134" xr:uid="{00000000-0005-0000-0000-000016510000}"/>
    <cellStyle name="Normal 57 52 2" xfId="23272" xr:uid="{00000000-0005-0000-0000-000017510000}"/>
    <cellStyle name="Normal 57 53" xfId="11135" xr:uid="{00000000-0005-0000-0000-000018510000}"/>
    <cellStyle name="Normal 57 53 2" xfId="23273" xr:uid="{00000000-0005-0000-0000-000019510000}"/>
    <cellStyle name="Normal 57 54" xfId="11136" xr:uid="{00000000-0005-0000-0000-00001A510000}"/>
    <cellStyle name="Normal 57 54 2" xfId="23274" xr:uid="{00000000-0005-0000-0000-00001B510000}"/>
    <cellStyle name="Normal 57 55" xfId="11137" xr:uid="{00000000-0005-0000-0000-00001C510000}"/>
    <cellStyle name="Normal 57 55 2" xfId="23275" xr:uid="{00000000-0005-0000-0000-00001D510000}"/>
    <cellStyle name="Normal 57 56" xfId="11138" xr:uid="{00000000-0005-0000-0000-00001E510000}"/>
    <cellStyle name="Normal 57 56 2" xfId="23276" xr:uid="{00000000-0005-0000-0000-00001F510000}"/>
    <cellStyle name="Normal 57 57" xfId="11139" xr:uid="{00000000-0005-0000-0000-000020510000}"/>
    <cellStyle name="Normal 57 57 2" xfId="23277" xr:uid="{00000000-0005-0000-0000-000021510000}"/>
    <cellStyle name="Normal 57 58" xfId="11140" xr:uid="{00000000-0005-0000-0000-000022510000}"/>
    <cellStyle name="Normal 57 58 2" xfId="23278" xr:uid="{00000000-0005-0000-0000-000023510000}"/>
    <cellStyle name="Normal 57 59" xfId="11141" xr:uid="{00000000-0005-0000-0000-000024510000}"/>
    <cellStyle name="Normal 57 59 2" xfId="23279" xr:uid="{00000000-0005-0000-0000-000025510000}"/>
    <cellStyle name="Normal 57 6" xfId="11142" xr:uid="{00000000-0005-0000-0000-000026510000}"/>
    <cellStyle name="Normal 57 6 2" xfId="23280" xr:uid="{00000000-0005-0000-0000-000027510000}"/>
    <cellStyle name="Normal 57 60" xfId="11143" xr:uid="{00000000-0005-0000-0000-000028510000}"/>
    <cellStyle name="Normal 57 60 2" xfId="23281" xr:uid="{00000000-0005-0000-0000-000029510000}"/>
    <cellStyle name="Normal 57 61" xfId="11144" xr:uid="{00000000-0005-0000-0000-00002A510000}"/>
    <cellStyle name="Normal 57 61 2" xfId="23282" xr:uid="{00000000-0005-0000-0000-00002B510000}"/>
    <cellStyle name="Normal 57 62" xfId="11145" xr:uid="{00000000-0005-0000-0000-00002C510000}"/>
    <cellStyle name="Normal 57 62 2" xfId="23283" xr:uid="{00000000-0005-0000-0000-00002D510000}"/>
    <cellStyle name="Normal 57 63" xfId="11146" xr:uid="{00000000-0005-0000-0000-00002E510000}"/>
    <cellStyle name="Normal 57 63 2" xfId="23284" xr:uid="{00000000-0005-0000-0000-00002F510000}"/>
    <cellStyle name="Normal 57 64" xfId="11147" xr:uid="{00000000-0005-0000-0000-000030510000}"/>
    <cellStyle name="Normal 57 64 2" xfId="23285" xr:uid="{00000000-0005-0000-0000-000031510000}"/>
    <cellStyle name="Normal 57 65" xfId="11148" xr:uid="{00000000-0005-0000-0000-000032510000}"/>
    <cellStyle name="Normal 57 65 2" xfId="23286" xr:uid="{00000000-0005-0000-0000-000033510000}"/>
    <cellStyle name="Normal 57 66" xfId="11149" xr:uid="{00000000-0005-0000-0000-000034510000}"/>
    <cellStyle name="Normal 57 66 2" xfId="23287" xr:uid="{00000000-0005-0000-0000-000035510000}"/>
    <cellStyle name="Normal 57 67" xfId="11150" xr:uid="{00000000-0005-0000-0000-000036510000}"/>
    <cellStyle name="Normal 57 67 2" xfId="23288" xr:uid="{00000000-0005-0000-0000-000037510000}"/>
    <cellStyle name="Normal 57 68" xfId="11151" xr:uid="{00000000-0005-0000-0000-000038510000}"/>
    <cellStyle name="Normal 57 68 2" xfId="23289" xr:uid="{00000000-0005-0000-0000-000039510000}"/>
    <cellStyle name="Normal 57 69" xfId="11152" xr:uid="{00000000-0005-0000-0000-00003A510000}"/>
    <cellStyle name="Normal 57 69 2" xfId="23290" xr:uid="{00000000-0005-0000-0000-00003B510000}"/>
    <cellStyle name="Normal 57 7" xfId="11153" xr:uid="{00000000-0005-0000-0000-00003C510000}"/>
    <cellStyle name="Normal 57 7 2" xfId="23291" xr:uid="{00000000-0005-0000-0000-00003D510000}"/>
    <cellStyle name="Normal 57 70" xfId="11154" xr:uid="{00000000-0005-0000-0000-00003E510000}"/>
    <cellStyle name="Normal 57 70 2" xfId="23292" xr:uid="{00000000-0005-0000-0000-00003F510000}"/>
    <cellStyle name="Normal 57 71" xfId="11155" xr:uid="{00000000-0005-0000-0000-000040510000}"/>
    <cellStyle name="Normal 57 71 2" xfId="23293" xr:uid="{00000000-0005-0000-0000-000041510000}"/>
    <cellStyle name="Normal 57 72" xfId="11156" xr:uid="{00000000-0005-0000-0000-000042510000}"/>
    <cellStyle name="Normal 57 72 2" xfId="23294" xr:uid="{00000000-0005-0000-0000-000043510000}"/>
    <cellStyle name="Normal 57 73" xfId="11157" xr:uid="{00000000-0005-0000-0000-000044510000}"/>
    <cellStyle name="Normal 57 73 2" xfId="23295" xr:uid="{00000000-0005-0000-0000-000045510000}"/>
    <cellStyle name="Normal 57 74" xfId="11158" xr:uid="{00000000-0005-0000-0000-000046510000}"/>
    <cellStyle name="Normal 57 74 2" xfId="23296" xr:uid="{00000000-0005-0000-0000-000047510000}"/>
    <cellStyle name="Normal 57 75" xfId="11159" xr:uid="{00000000-0005-0000-0000-000048510000}"/>
    <cellStyle name="Normal 57 75 2" xfId="23297" xr:uid="{00000000-0005-0000-0000-000049510000}"/>
    <cellStyle name="Normal 57 76" xfId="11160" xr:uid="{00000000-0005-0000-0000-00004A510000}"/>
    <cellStyle name="Normal 57 76 2" xfId="23298" xr:uid="{00000000-0005-0000-0000-00004B510000}"/>
    <cellStyle name="Normal 57 77" xfId="11161" xr:uid="{00000000-0005-0000-0000-00004C510000}"/>
    <cellStyle name="Normal 57 77 2" xfId="23299" xr:uid="{00000000-0005-0000-0000-00004D510000}"/>
    <cellStyle name="Normal 57 78" xfId="11162" xr:uid="{00000000-0005-0000-0000-00004E510000}"/>
    <cellStyle name="Normal 57 78 2" xfId="23300" xr:uid="{00000000-0005-0000-0000-00004F510000}"/>
    <cellStyle name="Normal 57 79" xfId="11163" xr:uid="{00000000-0005-0000-0000-000050510000}"/>
    <cellStyle name="Normal 57 79 2" xfId="23301" xr:uid="{00000000-0005-0000-0000-000051510000}"/>
    <cellStyle name="Normal 57 8" xfId="11164" xr:uid="{00000000-0005-0000-0000-000052510000}"/>
    <cellStyle name="Normal 57 8 2" xfId="23302" xr:uid="{00000000-0005-0000-0000-000053510000}"/>
    <cellStyle name="Normal 57 80" xfId="23225" xr:uid="{00000000-0005-0000-0000-000054510000}"/>
    <cellStyle name="Normal 57 9" xfId="11165" xr:uid="{00000000-0005-0000-0000-000055510000}"/>
    <cellStyle name="Normal 57 9 2" xfId="23303" xr:uid="{00000000-0005-0000-0000-000056510000}"/>
    <cellStyle name="Normal 58" xfId="184" xr:uid="{00000000-0005-0000-0000-000057510000}"/>
    <cellStyle name="Normal 58 10" xfId="11166" xr:uid="{00000000-0005-0000-0000-000058510000}"/>
    <cellStyle name="Normal 58 10 2" xfId="23305" xr:uid="{00000000-0005-0000-0000-000059510000}"/>
    <cellStyle name="Normal 58 11" xfId="11167" xr:uid="{00000000-0005-0000-0000-00005A510000}"/>
    <cellStyle name="Normal 58 11 2" xfId="23306" xr:uid="{00000000-0005-0000-0000-00005B510000}"/>
    <cellStyle name="Normal 58 12" xfId="11168" xr:uid="{00000000-0005-0000-0000-00005C510000}"/>
    <cellStyle name="Normal 58 12 2" xfId="23307" xr:uid="{00000000-0005-0000-0000-00005D510000}"/>
    <cellStyle name="Normal 58 13" xfId="11169" xr:uid="{00000000-0005-0000-0000-00005E510000}"/>
    <cellStyle name="Normal 58 13 2" xfId="23308" xr:uid="{00000000-0005-0000-0000-00005F510000}"/>
    <cellStyle name="Normal 58 14" xfId="11170" xr:uid="{00000000-0005-0000-0000-000060510000}"/>
    <cellStyle name="Normal 58 14 2" xfId="23309" xr:uid="{00000000-0005-0000-0000-000061510000}"/>
    <cellStyle name="Normal 58 15" xfId="11171" xr:uid="{00000000-0005-0000-0000-000062510000}"/>
    <cellStyle name="Normal 58 15 2" xfId="23310" xr:uid="{00000000-0005-0000-0000-000063510000}"/>
    <cellStyle name="Normal 58 16" xfId="11172" xr:uid="{00000000-0005-0000-0000-000064510000}"/>
    <cellStyle name="Normal 58 16 2" xfId="23311" xr:uid="{00000000-0005-0000-0000-000065510000}"/>
    <cellStyle name="Normal 58 17" xfId="11173" xr:uid="{00000000-0005-0000-0000-000066510000}"/>
    <cellStyle name="Normal 58 17 2" xfId="23312" xr:uid="{00000000-0005-0000-0000-000067510000}"/>
    <cellStyle name="Normal 58 18" xfId="11174" xr:uid="{00000000-0005-0000-0000-000068510000}"/>
    <cellStyle name="Normal 58 18 2" xfId="23313" xr:uid="{00000000-0005-0000-0000-000069510000}"/>
    <cellStyle name="Normal 58 19" xfId="11175" xr:uid="{00000000-0005-0000-0000-00006A510000}"/>
    <cellStyle name="Normal 58 19 2" xfId="23314" xr:uid="{00000000-0005-0000-0000-00006B510000}"/>
    <cellStyle name="Normal 58 2" xfId="746" xr:uid="{00000000-0005-0000-0000-00006C510000}"/>
    <cellStyle name="Normal 58 2 2" xfId="23315" xr:uid="{00000000-0005-0000-0000-00006D510000}"/>
    <cellStyle name="Normal 58 2 3" xfId="11176" xr:uid="{00000000-0005-0000-0000-00006E510000}"/>
    <cellStyle name="Normal 58 20" xfId="11177" xr:uid="{00000000-0005-0000-0000-00006F510000}"/>
    <cellStyle name="Normal 58 20 2" xfId="23316" xr:uid="{00000000-0005-0000-0000-000070510000}"/>
    <cellStyle name="Normal 58 21" xfId="11178" xr:uid="{00000000-0005-0000-0000-000071510000}"/>
    <cellStyle name="Normal 58 21 2" xfId="23317" xr:uid="{00000000-0005-0000-0000-000072510000}"/>
    <cellStyle name="Normal 58 22" xfId="11179" xr:uid="{00000000-0005-0000-0000-000073510000}"/>
    <cellStyle name="Normal 58 22 2" xfId="23318" xr:uid="{00000000-0005-0000-0000-000074510000}"/>
    <cellStyle name="Normal 58 23" xfId="11180" xr:uid="{00000000-0005-0000-0000-000075510000}"/>
    <cellStyle name="Normal 58 23 2" xfId="23319" xr:uid="{00000000-0005-0000-0000-000076510000}"/>
    <cellStyle name="Normal 58 24" xfId="11181" xr:uid="{00000000-0005-0000-0000-000077510000}"/>
    <cellStyle name="Normal 58 24 2" xfId="23320" xr:uid="{00000000-0005-0000-0000-000078510000}"/>
    <cellStyle name="Normal 58 25" xfId="11182" xr:uid="{00000000-0005-0000-0000-000079510000}"/>
    <cellStyle name="Normal 58 25 2" xfId="23321" xr:uid="{00000000-0005-0000-0000-00007A510000}"/>
    <cellStyle name="Normal 58 26" xfId="11183" xr:uid="{00000000-0005-0000-0000-00007B510000}"/>
    <cellStyle name="Normal 58 26 2" xfId="23322" xr:uid="{00000000-0005-0000-0000-00007C510000}"/>
    <cellStyle name="Normal 58 27" xfId="11184" xr:uid="{00000000-0005-0000-0000-00007D510000}"/>
    <cellStyle name="Normal 58 27 2" xfId="23323" xr:uid="{00000000-0005-0000-0000-00007E510000}"/>
    <cellStyle name="Normal 58 28" xfId="11185" xr:uid="{00000000-0005-0000-0000-00007F510000}"/>
    <cellStyle name="Normal 58 28 2" xfId="23324" xr:uid="{00000000-0005-0000-0000-000080510000}"/>
    <cellStyle name="Normal 58 29" xfId="11186" xr:uid="{00000000-0005-0000-0000-000081510000}"/>
    <cellStyle name="Normal 58 29 2" xfId="23325" xr:uid="{00000000-0005-0000-0000-000082510000}"/>
    <cellStyle name="Normal 58 3" xfId="399" xr:uid="{00000000-0005-0000-0000-000083510000}"/>
    <cellStyle name="Normal 58 3 2" xfId="23326" xr:uid="{00000000-0005-0000-0000-000084510000}"/>
    <cellStyle name="Normal 58 30" xfId="11187" xr:uid="{00000000-0005-0000-0000-000085510000}"/>
    <cellStyle name="Normal 58 30 2" xfId="23327" xr:uid="{00000000-0005-0000-0000-000086510000}"/>
    <cellStyle name="Normal 58 31" xfId="11188" xr:uid="{00000000-0005-0000-0000-000087510000}"/>
    <cellStyle name="Normal 58 31 2" xfId="23328" xr:uid="{00000000-0005-0000-0000-000088510000}"/>
    <cellStyle name="Normal 58 32" xfId="11189" xr:uid="{00000000-0005-0000-0000-000089510000}"/>
    <cellStyle name="Normal 58 32 2" xfId="23329" xr:uid="{00000000-0005-0000-0000-00008A510000}"/>
    <cellStyle name="Normal 58 33" xfId="11190" xr:uid="{00000000-0005-0000-0000-00008B510000}"/>
    <cellStyle name="Normal 58 33 2" xfId="23330" xr:uid="{00000000-0005-0000-0000-00008C510000}"/>
    <cellStyle name="Normal 58 34" xfId="11191" xr:uid="{00000000-0005-0000-0000-00008D510000}"/>
    <cellStyle name="Normal 58 34 2" xfId="23331" xr:uid="{00000000-0005-0000-0000-00008E510000}"/>
    <cellStyle name="Normal 58 35" xfId="11192" xr:uid="{00000000-0005-0000-0000-00008F510000}"/>
    <cellStyle name="Normal 58 35 2" xfId="23332" xr:uid="{00000000-0005-0000-0000-000090510000}"/>
    <cellStyle name="Normal 58 36" xfId="11193" xr:uid="{00000000-0005-0000-0000-000091510000}"/>
    <cellStyle name="Normal 58 36 2" xfId="23333" xr:uid="{00000000-0005-0000-0000-000092510000}"/>
    <cellStyle name="Normal 58 37" xfId="11194" xr:uid="{00000000-0005-0000-0000-000093510000}"/>
    <cellStyle name="Normal 58 37 2" xfId="23334" xr:uid="{00000000-0005-0000-0000-000094510000}"/>
    <cellStyle name="Normal 58 38" xfId="11195" xr:uid="{00000000-0005-0000-0000-000095510000}"/>
    <cellStyle name="Normal 58 38 2" xfId="23335" xr:uid="{00000000-0005-0000-0000-000096510000}"/>
    <cellStyle name="Normal 58 39" xfId="11196" xr:uid="{00000000-0005-0000-0000-000097510000}"/>
    <cellStyle name="Normal 58 39 2" xfId="23336" xr:uid="{00000000-0005-0000-0000-000098510000}"/>
    <cellStyle name="Normal 58 4" xfId="11197" xr:uid="{00000000-0005-0000-0000-000099510000}"/>
    <cellStyle name="Normal 58 4 2" xfId="23337" xr:uid="{00000000-0005-0000-0000-00009A510000}"/>
    <cellStyle name="Normal 58 40" xfId="11198" xr:uid="{00000000-0005-0000-0000-00009B510000}"/>
    <cellStyle name="Normal 58 40 2" xfId="23338" xr:uid="{00000000-0005-0000-0000-00009C510000}"/>
    <cellStyle name="Normal 58 41" xfId="11199" xr:uid="{00000000-0005-0000-0000-00009D510000}"/>
    <cellStyle name="Normal 58 41 2" xfId="23339" xr:uid="{00000000-0005-0000-0000-00009E510000}"/>
    <cellStyle name="Normal 58 42" xfId="11200" xr:uid="{00000000-0005-0000-0000-00009F510000}"/>
    <cellStyle name="Normal 58 42 2" xfId="23340" xr:uid="{00000000-0005-0000-0000-0000A0510000}"/>
    <cellStyle name="Normal 58 43" xfId="11201" xr:uid="{00000000-0005-0000-0000-0000A1510000}"/>
    <cellStyle name="Normal 58 43 2" xfId="23341" xr:uid="{00000000-0005-0000-0000-0000A2510000}"/>
    <cellStyle name="Normal 58 44" xfId="11202" xr:uid="{00000000-0005-0000-0000-0000A3510000}"/>
    <cellStyle name="Normal 58 44 2" xfId="23342" xr:uid="{00000000-0005-0000-0000-0000A4510000}"/>
    <cellStyle name="Normal 58 45" xfId="11203" xr:uid="{00000000-0005-0000-0000-0000A5510000}"/>
    <cellStyle name="Normal 58 45 2" xfId="23343" xr:uid="{00000000-0005-0000-0000-0000A6510000}"/>
    <cellStyle name="Normal 58 46" xfId="11204" xr:uid="{00000000-0005-0000-0000-0000A7510000}"/>
    <cellStyle name="Normal 58 46 2" xfId="23344" xr:uid="{00000000-0005-0000-0000-0000A8510000}"/>
    <cellStyle name="Normal 58 47" xfId="11205" xr:uid="{00000000-0005-0000-0000-0000A9510000}"/>
    <cellStyle name="Normal 58 47 2" xfId="23345" xr:uid="{00000000-0005-0000-0000-0000AA510000}"/>
    <cellStyle name="Normal 58 48" xfId="11206" xr:uid="{00000000-0005-0000-0000-0000AB510000}"/>
    <cellStyle name="Normal 58 48 2" xfId="23346" xr:uid="{00000000-0005-0000-0000-0000AC510000}"/>
    <cellStyle name="Normal 58 49" xfId="11207" xr:uid="{00000000-0005-0000-0000-0000AD510000}"/>
    <cellStyle name="Normal 58 49 2" xfId="23347" xr:uid="{00000000-0005-0000-0000-0000AE510000}"/>
    <cellStyle name="Normal 58 5" xfId="11208" xr:uid="{00000000-0005-0000-0000-0000AF510000}"/>
    <cellStyle name="Normal 58 5 2" xfId="23348" xr:uid="{00000000-0005-0000-0000-0000B0510000}"/>
    <cellStyle name="Normal 58 50" xfId="11209" xr:uid="{00000000-0005-0000-0000-0000B1510000}"/>
    <cellStyle name="Normal 58 50 2" xfId="23349" xr:uid="{00000000-0005-0000-0000-0000B2510000}"/>
    <cellStyle name="Normal 58 51" xfId="11210" xr:uid="{00000000-0005-0000-0000-0000B3510000}"/>
    <cellStyle name="Normal 58 51 2" xfId="23350" xr:uid="{00000000-0005-0000-0000-0000B4510000}"/>
    <cellStyle name="Normal 58 52" xfId="11211" xr:uid="{00000000-0005-0000-0000-0000B5510000}"/>
    <cellStyle name="Normal 58 52 2" xfId="23351" xr:uid="{00000000-0005-0000-0000-0000B6510000}"/>
    <cellStyle name="Normal 58 53" xfId="11212" xr:uid="{00000000-0005-0000-0000-0000B7510000}"/>
    <cellStyle name="Normal 58 53 2" xfId="23352" xr:uid="{00000000-0005-0000-0000-0000B8510000}"/>
    <cellStyle name="Normal 58 54" xfId="11213" xr:uid="{00000000-0005-0000-0000-0000B9510000}"/>
    <cellStyle name="Normal 58 54 2" xfId="23353" xr:uid="{00000000-0005-0000-0000-0000BA510000}"/>
    <cellStyle name="Normal 58 55" xfId="11214" xr:uid="{00000000-0005-0000-0000-0000BB510000}"/>
    <cellStyle name="Normal 58 55 2" xfId="23354" xr:uid="{00000000-0005-0000-0000-0000BC510000}"/>
    <cellStyle name="Normal 58 56" xfId="11215" xr:uid="{00000000-0005-0000-0000-0000BD510000}"/>
    <cellStyle name="Normal 58 56 2" xfId="23355" xr:uid="{00000000-0005-0000-0000-0000BE510000}"/>
    <cellStyle name="Normal 58 57" xfId="11216" xr:uid="{00000000-0005-0000-0000-0000BF510000}"/>
    <cellStyle name="Normal 58 57 2" xfId="23356" xr:uid="{00000000-0005-0000-0000-0000C0510000}"/>
    <cellStyle name="Normal 58 58" xfId="11217" xr:uid="{00000000-0005-0000-0000-0000C1510000}"/>
    <cellStyle name="Normal 58 58 2" xfId="23357" xr:uid="{00000000-0005-0000-0000-0000C2510000}"/>
    <cellStyle name="Normal 58 59" xfId="11218" xr:uid="{00000000-0005-0000-0000-0000C3510000}"/>
    <cellStyle name="Normal 58 59 2" xfId="23358" xr:uid="{00000000-0005-0000-0000-0000C4510000}"/>
    <cellStyle name="Normal 58 6" xfId="11219" xr:uid="{00000000-0005-0000-0000-0000C5510000}"/>
    <cellStyle name="Normal 58 6 2" xfId="23359" xr:uid="{00000000-0005-0000-0000-0000C6510000}"/>
    <cellStyle name="Normal 58 60" xfId="11220" xr:uid="{00000000-0005-0000-0000-0000C7510000}"/>
    <cellStyle name="Normal 58 60 2" xfId="23360" xr:uid="{00000000-0005-0000-0000-0000C8510000}"/>
    <cellStyle name="Normal 58 61" xfId="11221" xr:uid="{00000000-0005-0000-0000-0000C9510000}"/>
    <cellStyle name="Normal 58 61 2" xfId="23361" xr:uid="{00000000-0005-0000-0000-0000CA510000}"/>
    <cellStyle name="Normal 58 62" xfId="11222" xr:uid="{00000000-0005-0000-0000-0000CB510000}"/>
    <cellStyle name="Normal 58 62 2" xfId="23362" xr:uid="{00000000-0005-0000-0000-0000CC510000}"/>
    <cellStyle name="Normal 58 63" xfId="11223" xr:uid="{00000000-0005-0000-0000-0000CD510000}"/>
    <cellStyle name="Normal 58 63 2" xfId="23363" xr:uid="{00000000-0005-0000-0000-0000CE510000}"/>
    <cellStyle name="Normal 58 64" xfId="11224" xr:uid="{00000000-0005-0000-0000-0000CF510000}"/>
    <cellStyle name="Normal 58 64 2" xfId="23364" xr:uid="{00000000-0005-0000-0000-0000D0510000}"/>
    <cellStyle name="Normal 58 65" xfId="11225" xr:uid="{00000000-0005-0000-0000-0000D1510000}"/>
    <cellStyle name="Normal 58 65 2" xfId="23365" xr:uid="{00000000-0005-0000-0000-0000D2510000}"/>
    <cellStyle name="Normal 58 66" xfId="11226" xr:uid="{00000000-0005-0000-0000-0000D3510000}"/>
    <cellStyle name="Normal 58 66 2" xfId="23366" xr:uid="{00000000-0005-0000-0000-0000D4510000}"/>
    <cellStyle name="Normal 58 67" xfId="11227" xr:uid="{00000000-0005-0000-0000-0000D5510000}"/>
    <cellStyle name="Normal 58 67 2" xfId="23367" xr:uid="{00000000-0005-0000-0000-0000D6510000}"/>
    <cellStyle name="Normal 58 68" xfId="11228" xr:uid="{00000000-0005-0000-0000-0000D7510000}"/>
    <cellStyle name="Normal 58 68 2" xfId="23368" xr:uid="{00000000-0005-0000-0000-0000D8510000}"/>
    <cellStyle name="Normal 58 69" xfId="11229" xr:uid="{00000000-0005-0000-0000-0000D9510000}"/>
    <cellStyle name="Normal 58 69 2" xfId="23369" xr:uid="{00000000-0005-0000-0000-0000DA510000}"/>
    <cellStyle name="Normal 58 7" xfId="11230" xr:uid="{00000000-0005-0000-0000-0000DB510000}"/>
    <cellStyle name="Normal 58 7 2" xfId="23370" xr:uid="{00000000-0005-0000-0000-0000DC510000}"/>
    <cellStyle name="Normal 58 70" xfId="11231" xr:uid="{00000000-0005-0000-0000-0000DD510000}"/>
    <cellStyle name="Normal 58 70 2" xfId="23371" xr:uid="{00000000-0005-0000-0000-0000DE510000}"/>
    <cellStyle name="Normal 58 71" xfId="11232" xr:uid="{00000000-0005-0000-0000-0000DF510000}"/>
    <cellStyle name="Normal 58 71 2" xfId="23372" xr:uid="{00000000-0005-0000-0000-0000E0510000}"/>
    <cellStyle name="Normal 58 72" xfId="11233" xr:uid="{00000000-0005-0000-0000-0000E1510000}"/>
    <cellStyle name="Normal 58 72 2" xfId="23373" xr:uid="{00000000-0005-0000-0000-0000E2510000}"/>
    <cellStyle name="Normal 58 73" xfId="11234" xr:uid="{00000000-0005-0000-0000-0000E3510000}"/>
    <cellStyle name="Normal 58 73 2" xfId="23374" xr:uid="{00000000-0005-0000-0000-0000E4510000}"/>
    <cellStyle name="Normal 58 74" xfId="11235" xr:uid="{00000000-0005-0000-0000-0000E5510000}"/>
    <cellStyle name="Normal 58 74 2" xfId="23375" xr:uid="{00000000-0005-0000-0000-0000E6510000}"/>
    <cellStyle name="Normal 58 75" xfId="11236" xr:uid="{00000000-0005-0000-0000-0000E7510000}"/>
    <cellStyle name="Normal 58 75 2" xfId="23376" xr:uid="{00000000-0005-0000-0000-0000E8510000}"/>
    <cellStyle name="Normal 58 76" xfId="11237" xr:uid="{00000000-0005-0000-0000-0000E9510000}"/>
    <cellStyle name="Normal 58 76 2" xfId="23377" xr:uid="{00000000-0005-0000-0000-0000EA510000}"/>
    <cellStyle name="Normal 58 77" xfId="11238" xr:uid="{00000000-0005-0000-0000-0000EB510000}"/>
    <cellStyle name="Normal 58 77 2" xfId="23378" xr:uid="{00000000-0005-0000-0000-0000EC510000}"/>
    <cellStyle name="Normal 58 78" xfId="11239" xr:uid="{00000000-0005-0000-0000-0000ED510000}"/>
    <cellStyle name="Normal 58 78 2" xfId="23379" xr:uid="{00000000-0005-0000-0000-0000EE510000}"/>
    <cellStyle name="Normal 58 79" xfId="11240" xr:uid="{00000000-0005-0000-0000-0000EF510000}"/>
    <cellStyle name="Normal 58 79 2" xfId="23380" xr:uid="{00000000-0005-0000-0000-0000F0510000}"/>
    <cellStyle name="Normal 58 8" xfId="11241" xr:uid="{00000000-0005-0000-0000-0000F1510000}"/>
    <cellStyle name="Normal 58 8 2" xfId="23381" xr:uid="{00000000-0005-0000-0000-0000F2510000}"/>
    <cellStyle name="Normal 58 80" xfId="23304" xr:uid="{00000000-0005-0000-0000-0000F3510000}"/>
    <cellStyle name="Normal 58 9" xfId="11242" xr:uid="{00000000-0005-0000-0000-0000F4510000}"/>
    <cellStyle name="Normal 58 9 2" xfId="23382" xr:uid="{00000000-0005-0000-0000-0000F5510000}"/>
    <cellStyle name="Normal 59" xfId="185" xr:uid="{00000000-0005-0000-0000-0000F6510000}"/>
    <cellStyle name="Normal 59 10" xfId="11243" xr:uid="{00000000-0005-0000-0000-0000F7510000}"/>
    <cellStyle name="Normal 59 10 2" xfId="23384" xr:uid="{00000000-0005-0000-0000-0000F8510000}"/>
    <cellStyle name="Normal 59 11" xfId="11244" xr:uid="{00000000-0005-0000-0000-0000F9510000}"/>
    <cellStyle name="Normal 59 11 2" xfId="23385" xr:uid="{00000000-0005-0000-0000-0000FA510000}"/>
    <cellStyle name="Normal 59 12" xfId="11245" xr:uid="{00000000-0005-0000-0000-0000FB510000}"/>
    <cellStyle name="Normal 59 12 2" xfId="23386" xr:uid="{00000000-0005-0000-0000-0000FC510000}"/>
    <cellStyle name="Normal 59 13" xfId="11246" xr:uid="{00000000-0005-0000-0000-0000FD510000}"/>
    <cellStyle name="Normal 59 13 2" xfId="23387" xr:uid="{00000000-0005-0000-0000-0000FE510000}"/>
    <cellStyle name="Normal 59 14" xfId="11247" xr:uid="{00000000-0005-0000-0000-0000FF510000}"/>
    <cellStyle name="Normal 59 14 2" xfId="23388" xr:uid="{00000000-0005-0000-0000-000000520000}"/>
    <cellStyle name="Normal 59 15" xfId="11248" xr:uid="{00000000-0005-0000-0000-000001520000}"/>
    <cellStyle name="Normal 59 15 2" xfId="23389" xr:uid="{00000000-0005-0000-0000-000002520000}"/>
    <cellStyle name="Normal 59 16" xfId="11249" xr:uid="{00000000-0005-0000-0000-000003520000}"/>
    <cellStyle name="Normal 59 16 2" xfId="23390" xr:uid="{00000000-0005-0000-0000-000004520000}"/>
    <cellStyle name="Normal 59 17" xfId="11250" xr:uid="{00000000-0005-0000-0000-000005520000}"/>
    <cellStyle name="Normal 59 17 2" xfId="23391" xr:uid="{00000000-0005-0000-0000-000006520000}"/>
    <cellStyle name="Normal 59 18" xfId="11251" xr:uid="{00000000-0005-0000-0000-000007520000}"/>
    <cellStyle name="Normal 59 18 2" xfId="23392" xr:uid="{00000000-0005-0000-0000-000008520000}"/>
    <cellStyle name="Normal 59 19" xfId="11252" xr:uid="{00000000-0005-0000-0000-000009520000}"/>
    <cellStyle name="Normal 59 19 2" xfId="23393" xr:uid="{00000000-0005-0000-0000-00000A520000}"/>
    <cellStyle name="Normal 59 2" xfId="747" xr:uid="{00000000-0005-0000-0000-00000B520000}"/>
    <cellStyle name="Normal 59 2 2" xfId="23394" xr:uid="{00000000-0005-0000-0000-00000C520000}"/>
    <cellStyle name="Normal 59 2 3" xfId="11253" xr:uid="{00000000-0005-0000-0000-00000D520000}"/>
    <cellStyle name="Normal 59 20" xfId="11254" xr:uid="{00000000-0005-0000-0000-00000E520000}"/>
    <cellStyle name="Normal 59 20 2" xfId="23395" xr:uid="{00000000-0005-0000-0000-00000F520000}"/>
    <cellStyle name="Normal 59 21" xfId="11255" xr:uid="{00000000-0005-0000-0000-000010520000}"/>
    <cellStyle name="Normal 59 21 2" xfId="23396" xr:uid="{00000000-0005-0000-0000-000011520000}"/>
    <cellStyle name="Normal 59 22" xfId="11256" xr:uid="{00000000-0005-0000-0000-000012520000}"/>
    <cellStyle name="Normal 59 22 2" xfId="23397" xr:uid="{00000000-0005-0000-0000-000013520000}"/>
    <cellStyle name="Normal 59 23" xfId="11257" xr:uid="{00000000-0005-0000-0000-000014520000}"/>
    <cellStyle name="Normal 59 23 2" xfId="23398" xr:uid="{00000000-0005-0000-0000-000015520000}"/>
    <cellStyle name="Normal 59 24" xfId="11258" xr:uid="{00000000-0005-0000-0000-000016520000}"/>
    <cellStyle name="Normal 59 24 2" xfId="23399" xr:uid="{00000000-0005-0000-0000-000017520000}"/>
    <cellStyle name="Normal 59 25" xfId="11259" xr:uid="{00000000-0005-0000-0000-000018520000}"/>
    <cellStyle name="Normal 59 25 2" xfId="23400" xr:uid="{00000000-0005-0000-0000-000019520000}"/>
    <cellStyle name="Normal 59 26" xfId="11260" xr:uid="{00000000-0005-0000-0000-00001A520000}"/>
    <cellStyle name="Normal 59 26 2" xfId="23401" xr:uid="{00000000-0005-0000-0000-00001B520000}"/>
    <cellStyle name="Normal 59 27" xfId="11261" xr:uid="{00000000-0005-0000-0000-00001C520000}"/>
    <cellStyle name="Normal 59 27 2" xfId="23402" xr:uid="{00000000-0005-0000-0000-00001D520000}"/>
    <cellStyle name="Normal 59 28" xfId="11262" xr:uid="{00000000-0005-0000-0000-00001E520000}"/>
    <cellStyle name="Normal 59 28 2" xfId="23403" xr:uid="{00000000-0005-0000-0000-00001F520000}"/>
    <cellStyle name="Normal 59 29" xfId="11263" xr:uid="{00000000-0005-0000-0000-000020520000}"/>
    <cellStyle name="Normal 59 29 2" xfId="23404" xr:uid="{00000000-0005-0000-0000-000021520000}"/>
    <cellStyle name="Normal 59 3" xfId="400" xr:uid="{00000000-0005-0000-0000-000022520000}"/>
    <cellStyle name="Normal 59 3 2" xfId="23405" xr:uid="{00000000-0005-0000-0000-000023520000}"/>
    <cellStyle name="Normal 59 30" xfId="11264" xr:uid="{00000000-0005-0000-0000-000024520000}"/>
    <cellStyle name="Normal 59 30 2" xfId="23406" xr:uid="{00000000-0005-0000-0000-000025520000}"/>
    <cellStyle name="Normal 59 31" xfId="11265" xr:uid="{00000000-0005-0000-0000-000026520000}"/>
    <cellStyle name="Normal 59 31 2" xfId="23407" xr:uid="{00000000-0005-0000-0000-000027520000}"/>
    <cellStyle name="Normal 59 32" xfId="11266" xr:uid="{00000000-0005-0000-0000-000028520000}"/>
    <cellStyle name="Normal 59 32 2" xfId="23408" xr:uid="{00000000-0005-0000-0000-000029520000}"/>
    <cellStyle name="Normal 59 33" xfId="11267" xr:uid="{00000000-0005-0000-0000-00002A520000}"/>
    <cellStyle name="Normal 59 33 2" xfId="23409" xr:uid="{00000000-0005-0000-0000-00002B520000}"/>
    <cellStyle name="Normal 59 34" xfId="11268" xr:uid="{00000000-0005-0000-0000-00002C520000}"/>
    <cellStyle name="Normal 59 34 2" xfId="23410" xr:uid="{00000000-0005-0000-0000-00002D520000}"/>
    <cellStyle name="Normal 59 35" xfId="11269" xr:uid="{00000000-0005-0000-0000-00002E520000}"/>
    <cellStyle name="Normal 59 35 2" xfId="23411" xr:uid="{00000000-0005-0000-0000-00002F520000}"/>
    <cellStyle name="Normal 59 36" xfId="11270" xr:uid="{00000000-0005-0000-0000-000030520000}"/>
    <cellStyle name="Normal 59 36 2" xfId="23412" xr:uid="{00000000-0005-0000-0000-000031520000}"/>
    <cellStyle name="Normal 59 37" xfId="11271" xr:uid="{00000000-0005-0000-0000-000032520000}"/>
    <cellStyle name="Normal 59 37 2" xfId="23413" xr:uid="{00000000-0005-0000-0000-000033520000}"/>
    <cellStyle name="Normal 59 38" xfId="11272" xr:uid="{00000000-0005-0000-0000-000034520000}"/>
    <cellStyle name="Normal 59 38 2" xfId="23414" xr:uid="{00000000-0005-0000-0000-000035520000}"/>
    <cellStyle name="Normal 59 39" xfId="11273" xr:uid="{00000000-0005-0000-0000-000036520000}"/>
    <cellStyle name="Normal 59 39 2" xfId="23415" xr:uid="{00000000-0005-0000-0000-000037520000}"/>
    <cellStyle name="Normal 59 4" xfId="11274" xr:uid="{00000000-0005-0000-0000-000038520000}"/>
    <cellStyle name="Normal 59 4 2" xfId="23416" xr:uid="{00000000-0005-0000-0000-000039520000}"/>
    <cellStyle name="Normal 59 40" xfId="11275" xr:uid="{00000000-0005-0000-0000-00003A520000}"/>
    <cellStyle name="Normal 59 40 2" xfId="23417" xr:uid="{00000000-0005-0000-0000-00003B520000}"/>
    <cellStyle name="Normal 59 41" xfId="11276" xr:uid="{00000000-0005-0000-0000-00003C520000}"/>
    <cellStyle name="Normal 59 41 2" xfId="23418" xr:uid="{00000000-0005-0000-0000-00003D520000}"/>
    <cellStyle name="Normal 59 42" xfId="11277" xr:uid="{00000000-0005-0000-0000-00003E520000}"/>
    <cellStyle name="Normal 59 42 2" xfId="23419" xr:uid="{00000000-0005-0000-0000-00003F520000}"/>
    <cellStyle name="Normal 59 43" xfId="11278" xr:uid="{00000000-0005-0000-0000-000040520000}"/>
    <cellStyle name="Normal 59 43 2" xfId="23420" xr:uid="{00000000-0005-0000-0000-000041520000}"/>
    <cellStyle name="Normal 59 44" xfId="11279" xr:uid="{00000000-0005-0000-0000-000042520000}"/>
    <cellStyle name="Normal 59 44 2" xfId="23421" xr:uid="{00000000-0005-0000-0000-000043520000}"/>
    <cellStyle name="Normal 59 45" xfId="11280" xr:uid="{00000000-0005-0000-0000-000044520000}"/>
    <cellStyle name="Normal 59 45 2" xfId="23422" xr:uid="{00000000-0005-0000-0000-000045520000}"/>
    <cellStyle name="Normal 59 46" xfId="11281" xr:uid="{00000000-0005-0000-0000-000046520000}"/>
    <cellStyle name="Normal 59 46 2" xfId="23423" xr:uid="{00000000-0005-0000-0000-000047520000}"/>
    <cellStyle name="Normal 59 47" xfId="11282" xr:uid="{00000000-0005-0000-0000-000048520000}"/>
    <cellStyle name="Normal 59 47 2" xfId="23424" xr:uid="{00000000-0005-0000-0000-000049520000}"/>
    <cellStyle name="Normal 59 48" xfId="11283" xr:uid="{00000000-0005-0000-0000-00004A520000}"/>
    <cellStyle name="Normal 59 48 2" xfId="23425" xr:uid="{00000000-0005-0000-0000-00004B520000}"/>
    <cellStyle name="Normal 59 49" xfId="11284" xr:uid="{00000000-0005-0000-0000-00004C520000}"/>
    <cellStyle name="Normal 59 49 2" xfId="23426" xr:uid="{00000000-0005-0000-0000-00004D520000}"/>
    <cellStyle name="Normal 59 5" xfId="11285" xr:uid="{00000000-0005-0000-0000-00004E520000}"/>
    <cellStyle name="Normal 59 5 2" xfId="23427" xr:uid="{00000000-0005-0000-0000-00004F520000}"/>
    <cellStyle name="Normal 59 50" xfId="11286" xr:uid="{00000000-0005-0000-0000-000050520000}"/>
    <cellStyle name="Normal 59 50 2" xfId="23428" xr:uid="{00000000-0005-0000-0000-000051520000}"/>
    <cellStyle name="Normal 59 51" xfId="11287" xr:uid="{00000000-0005-0000-0000-000052520000}"/>
    <cellStyle name="Normal 59 51 2" xfId="23429" xr:uid="{00000000-0005-0000-0000-000053520000}"/>
    <cellStyle name="Normal 59 52" xfId="11288" xr:uid="{00000000-0005-0000-0000-000054520000}"/>
    <cellStyle name="Normal 59 52 2" xfId="23430" xr:uid="{00000000-0005-0000-0000-000055520000}"/>
    <cellStyle name="Normal 59 53" xfId="11289" xr:uid="{00000000-0005-0000-0000-000056520000}"/>
    <cellStyle name="Normal 59 53 2" xfId="23431" xr:uid="{00000000-0005-0000-0000-000057520000}"/>
    <cellStyle name="Normal 59 54" xfId="11290" xr:uid="{00000000-0005-0000-0000-000058520000}"/>
    <cellStyle name="Normal 59 54 2" xfId="23432" xr:uid="{00000000-0005-0000-0000-000059520000}"/>
    <cellStyle name="Normal 59 55" xfId="11291" xr:uid="{00000000-0005-0000-0000-00005A520000}"/>
    <cellStyle name="Normal 59 55 2" xfId="23433" xr:uid="{00000000-0005-0000-0000-00005B520000}"/>
    <cellStyle name="Normal 59 56" xfId="11292" xr:uid="{00000000-0005-0000-0000-00005C520000}"/>
    <cellStyle name="Normal 59 56 2" xfId="23434" xr:uid="{00000000-0005-0000-0000-00005D520000}"/>
    <cellStyle name="Normal 59 57" xfId="11293" xr:uid="{00000000-0005-0000-0000-00005E520000}"/>
    <cellStyle name="Normal 59 57 2" xfId="23435" xr:uid="{00000000-0005-0000-0000-00005F520000}"/>
    <cellStyle name="Normal 59 58" xfId="11294" xr:uid="{00000000-0005-0000-0000-000060520000}"/>
    <cellStyle name="Normal 59 58 2" xfId="23436" xr:uid="{00000000-0005-0000-0000-000061520000}"/>
    <cellStyle name="Normal 59 59" xfId="11295" xr:uid="{00000000-0005-0000-0000-000062520000}"/>
    <cellStyle name="Normal 59 59 2" xfId="23437" xr:uid="{00000000-0005-0000-0000-000063520000}"/>
    <cellStyle name="Normal 59 6" xfId="11296" xr:uid="{00000000-0005-0000-0000-000064520000}"/>
    <cellStyle name="Normal 59 6 2" xfId="23438" xr:uid="{00000000-0005-0000-0000-000065520000}"/>
    <cellStyle name="Normal 59 60" xfId="11297" xr:uid="{00000000-0005-0000-0000-000066520000}"/>
    <cellStyle name="Normal 59 60 2" xfId="23439" xr:uid="{00000000-0005-0000-0000-000067520000}"/>
    <cellStyle name="Normal 59 61" xfId="11298" xr:uid="{00000000-0005-0000-0000-000068520000}"/>
    <cellStyle name="Normal 59 61 2" xfId="23440" xr:uid="{00000000-0005-0000-0000-000069520000}"/>
    <cellStyle name="Normal 59 62" xfId="11299" xr:uid="{00000000-0005-0000-0000-00006A520000}"/>
    <cellStyle name="Normal 59 62 2" xfId="23441" xr:uid="{00000000-0005-0000-0000-00006B520000}"/>
    <cellStyle name="Normal 59 63" xfId="11300" xr:uid="{00000000-0005-0000-0000-00006C520000}"/>
    <cellStyle name="Normal 59 63 2" xfId="23442" xr:uid="{00000000-0005-0000-0000-00006D520000}"/>
    <cellStyle name="Normal 59 64" xfId="11301" xr:uid="{00000000-0005-0000-0000-00006E520000}"/>
    <cellStyle name="Normal 59 64 2" xfId="23443" xr:uid="{00000000-0005-0000-0000-00006F520000}"/>
    <cellStyle name="Normal 59 65" xfId="11302" xr:uid="{00000000-0005-0000-0000-000070520000}"/>
    <cellStyle name="Normal 59 65 2" xfId="23444" xr:uid="{00000000-0005-0000-0000-000071520000}"/>
    <cellStyle name="Normal 59 66" xfId="11303" xr:uid="{00000000-0005-0000-0000-000072520000}"/>
    <cellStyle name="Normal 59 66 2" xfId="23445" xr:uid="{00000000-0005-0000-0000-000073520000}"/>
    <cellStyle name="Normal 59 67" xfId="11304" xr:uid="{00000000-0005-0000-0000-000074520000}"/>
    <cellStyle name="Normal 59 67 2" xfId="23446" xr:uid="{00000000-0005-0000-0000-000075520000}"/>
    <cellStyle name="Normal 59 68" xfId="11305" xr:uid="{00000000-0005-0000-0000-000076520000}"/>
    <cellStyle name="Normal 59 68 2" xfId="23447" xr:uid="{00000000-0005-0000-0000-000077520000}"/>
    <cellStyle name="Normal 59 69" xfId="11306" xr:uid="{00000000-0005-0000-0000-000078520000}"/>
    <cellStyle name="Normal 59 69 2" xfId="23448" xr:uid="{00000000-0005-0000-0000-000079520000}"/>
    <cellStyle name="Normal 59 7" xfId="11307" xr:uid="{00000000-0005-0000-0000-00007A520000}"/>
    <cellStyle name="Normal 59 7 2" xfId="23449" xr:uid="{00000000-0005-0000-0000-00007B520000}"/>
    <cellStyle name="Normal 59 70" xfId="11308" xr:uid="{00000000-0005-0000-0000-00007C520000}"/>
    <cellStyle name="Normal 59 70 2" xfId="23450" xr:uid="{00000000-0005-0000-0000-00007D520000}"/>
    <cellStyle name="Normal 59 71" xfId="11309" xr:uid="{00000000-0005-0000-0000-00007E520000}"/>
    <cellStyle name="Normal 59 71 2" xfId="23451" xr:uid="{00000000-0005-0000-0000-00007F520000}"/>
    <cellStyle name="Normal 59 72" xfId="11310" xr:uid="{00000000-0005-0000-0000-000080520000}"/>
    <cellStyle name="Normal 59 72 2" xfId="23452" xr:uid="{00000000-0005-0000-0000-000081520000}"/>
    <cellStyle name="Normal 59 73" xfId="11311" xr:uid="{00000000-0005-0000-0000-000082520000}"/>
    <cellStyle name="Normal 59 73 2" xfId="23453" xr:uid="{00000000-0005-0000-0000-000083520000}"/>
    <cellStyle name="Normal 59 74" xfId="11312" xr:uid="{00000000-0005-0000-0000-000084520000}"/>
    <cellStyle name="Normal 59 74 2" xfId="23454" xr:uid="{00000000-0005-0000-0000-000085520000}"/>
    <cellStyle name="Normal 59 75" xfId="11313" xr:uid="{00000000-0005-0000-0000-000086520000}"/>
    <cellStyle name="Normal 59 75 2" xfId="23455" xr:uid="{00000000-0005-0000-0000-000087520000}"/>
    <cellStyle name="Normal 59 76" xfId="11314" xr:uid="{00000000-0005-0000-0000-000088520000}"/>
    <cellStyle name="Normal 59 76 2" xfId="23456" xr:uid="{00000000-0005-0000-0000-000089520000}"/>
    <cellStyle name="Normal 59 77" xfId="11315" xr:uid="{00000000-0005-0000-0000-00008A520000}"/>
    <cellStyle name="Normal 59 77 2" xfId="23457" xr:uid="{00000000-0005-0000-0000-00008B520000}"/>
    <cellStyle name="Normal 59 78" xfId="11316" xr:uid="{00000000-0005-0000-0000-00008C520000}"/>
    <cellStyle name="Normal 59 78 2" xfId="23458" xr:uid="{00000000-0005-0000-0000-00008D520000}"/>
    <cellStyle name="Normal 59 79" xfId="11317" xr:uid="{00000000-0005-0000-0000-00008E520000}"/>
    <cellStyle name="Normal 59 79 2" xfId="23459" xr:uid="{00000000-0005-0000-0000-00008F520000}"/>
    <cellStyle name="Normal 59 8" xfId="11318" xr:uid="{00000000-0005-0000-0000-000090520000}"/>
    <cellStyle name="Normal 59 8 2" xfId="23460" xr:uid="{00000000-0005-0000-0000-000091520000}"/>
    <cellStyle name="Normal 59 80" xfId="23383" xr:uid="{00000000-0005-0000-0000-000092520000}"/>
    <cellStyle name="Normal 59 9" xfId="11319" xr:uid="{00000000-0005-0000-0000-000093520000}"/>
    <cellStyle name="Normal 59 9 2" xfId="23461" xr:uid="{00000000-0005-0000-0000-000094520000}"/>
    <cellStyle name="Normal 6" xfId="80" xr:uid="{00000000-0005-0000-0000-000095520000}"/>
    <cellStyle name="Normal 6 10" xfId="11320" xr:uid="{00000000-0005-0000-0000-000096520000}"/>
    <cellStyle name="Normal 6 10 2" xfId="23462" xr:uid="{00000000-0005-0000-0000-000097520000}"/>
    <cellStyle name="Normal 6 10 3" xfId="31351" xr:uid="{00000000-0005-0000-0000-000098520000}"/>
    <cellStyle name="Normal 6 11" xfId="11321" xr:uid="{00000000-0005-0000-0000-000099520000}"/>
    <cellStyle name="Normal 6 11 2" xfId="23463" xr:uid="{00000000-0005-0000-0000-00009A520000}"/>
    <cellStyle name="Normal 6 12" xfId="11322" xr:uid="{00000000-0005-0000-0000-00009B520000}"/>
    <cellStyle name="Normal 6 12 2" xfId="23464" xr:uid="{00000000-0005-0000-0000-00009C520000}"/>
    <cellStyle name="Normal 6 13" xfId="11323" xr:uid="{00000000-0005-0000-0000-00009D520000}"/>
    <cellStyle name="Normal 6 13 2" xfId="23465" xr:uid="{00000000-0005-0000-0000-00009E520000}"/>
    <cellStyle name="Normal 6 14" xfId="11324" xr:uid="{00000000-0005-0000-0000-00009F520000}"/>
    <cellStyle name="Normal 6 14 2" xfId="23466" xr:uid="{00000000-0005-0000-0000-0000A0520000}"/>
    <cellStyle name="Normal 6 15" xfId="11325" xr:uid="{00000000-0005-0000-0000-0000A1520000}"/>
    <cellStyle name="Normal 6 15 2" xfId="23467" xr:uid="{00000000-0005-0000-0000-0000A2520000}"/>
    <cellStyle name="Normal 6 16" xfId="11326" xr:uid="{00000000-0005-0000-0000-0000A3520000}"/>
    <cellStyle name="Normal 6 16 2" xfId="23468" xr:uid="{00000000-0005-0000-0000-0000A4520000}"/>
    <cellStyle name="Normal 6 17" xfId="11327" xr:uid="{00000000-0005-0000-0000-0000A5520000}"/>
    <cellStyle name="Normal 6 17 2" xfId="23469" xr:uid="{00000000-0005-0000-0000-0000A6520000}"/>
    <cellStyle name="Normal 6 18" xfId="11328" xr:uid="{00000000-0005-0000-0000-0000A7520000}"/>
    <cellStyle name="Normal 6 18 2" xfId="23470" xr:uid="{00000000-0005-0000-0000-0000A8520000}"/>
    <cellStyle name="Normal 6 19" xfId="11329" xr:uid="{00000000-0005-0000-0000-0000A9520000}"/>
    <cellStyle name="Normal 6 19 2" xfId="23471" xr:uid="{00000000-0005-0000-0000-0000AA520000}"/>
    <cellStyle name="Normal 6 2" xfId="96" xr:uid="{00000000-0005-0000-0000-0000AB520000}"/>
    <cellStyle name="Normal 6 2 10" xfId="11330" xr:uid="{00000000-0005-0000-0000-0000AC520000}"/>
    <cellStyle name="Normal 6 2 10 2" xfId="23473" xr:uid="{00000000-0005-0000-0000-0000AD520000}"/>
    <cellStyle name="Normal 6 2 11" xfId="11331" xr:uid="{00000000-0005-0000-0000-0000AE520000}"/>
    <cellStyle name="Normal 6 2 11 2" xfId="23474" xr:uid="{00000000-0005-0000-0000-0000AF520000}"/>
    <cellStyle name="Normal 6 2 12" xfId="11332" xr:uid="{00000000-0005-0000-0000-0000B0520000}"/>
    <cellStyle name="Normal 6 2 12 2" xfId="23475" xr:uid="{00000000-0005-0000-0000-0000B1520000}"/>
    <cellStyle name="Normal 6 2 13" xfId="11333" xr:uid="{00000000-0005-0000-0000-0000B2520000}"/>
    <cellStyle name="Normal 6 2 13 2" xfId="23476" xr:uid="{00000000-0005-0000-0000-0000B3520000}"/>
    <cellStyle name="Normal 6 2 14" xfId="11334" xr:uid="{00000000-0005-0000-0000-0000B4520000}"/>
    <cellStyle name="Normal 6 2 14 2" xfId="23477" xr:uid="{00000000-0005-0000-0000-0000B5520000}"/>
    <cellStyle name="Normal 6 2 15" xfId="11335" xr:uid="{00000000-0005-0000-0000-0000B6520000}"/>
    <cellStyle name="Normal 6 2 15 2" xfId="23478" xr:uid="{00000000-0005-0000-0000-0000B7520000}"/>
    <cellStyle name="Normal 6 2 16" xfId="11336" xr:uid="{00000000-0005-0000-0000-0000B8520000}"/>
    <cellStyle name="Normal 6 2 16 2" xfId="23479" xr:uid="{00000000-0005-0000-0000-0000B9520000}"/>
    <cellStyle name="Normal 6 2 17" xfId="11337" xr:uid="{00000000-0005-0000-0000-0000BA520000}"/>
    <cellStyle name="Normal 6 2 17 2" xfId="23480" xr:uid="{00000000-0005-0000-0000-0000BB520000}"/>
    <cellStyle name="Normal 6 2 18" xfId="11338" xr:uid="{00000000-0005-0000-0000-0000BC520000}"/>
    <cellStyle name="Normal 6 2 18 2" xfId="23481" xr:uid="{00000000-0005-0000-0000-0000BD520000}"/>
    <cellStyle name="Normal 6 2 19" xfId="11339" xr:uid="{00000000-0005-0000-0000-0000BE520000}"/>
    <cellStyle name="Normal 6 2 19 2" xfId="23482" xr:uid="{00000000-0005-0000-0000-0000BF520000}"/>
    <cellStyle name="Normal 6 2 2" xfId="11340" xr:uid="{00000000-0005-0000-0000-0000C0520000}"/>
    <cellStyle name="Normal 6 2 2 2" xfId="23483" xr:uid="{00000000-0005-0000-0000-0000C1520000}"/>
    <cellStyle name="Normal 6 2 20" xfId="11341" xr:uid="{00000000-0005-0000-0000-0000C2520000}"/>
    <cellStyle name="Normal 6 2 20 2" xfId="23484" xr:uid="{00000000-0005-0000-0000-0000C3520000}"/>
    <cellStyle name="Normal 6 2 21" xfId="11342" xr:uid="{00000000-0005-0000-0000-0000C4520000}"/>
    <cellStyle name="Normal 6 2 21 2" xfId="23485" xr:uid="{00000000-0005-0000-0000-0000C5520000}"/>
    <cellStyle name="Normal 6 2 22" xfId="11343" xr:uid="{00000000-0005-0000-0000-0000C6520000}"/>
    <cellStyle name="Normal 6 2 22 2" xfId="23486" xr:uid="{00000000-0005-0000-0000-0000C7520000}"/>
    <cellStyle name="Normal 6 2 23" xfId="11344" xr:uid="{00000000-0005-0000-0000-0000C8520000}"/>
    <cellStyle name="Normal 6 2 23 2" xfId="23487" xr:uid="{00000000-0005-0000-0000-0000C9520000}"/>
    <cellStyle name="Normal 6 2 24" xfId="11345" xr:uid="{00000000-0005-0000-0000-0000CA520000}"/>
    <cellStyle name="Normal 6 2 24 2" xfId="23488" xr:uid="{00000000-0005-0000-0000-0000CB520000}"/>
    <cellStyle name="Normal 6 2 25" xfId="11346" xr:uid="{00000000-0005-0000-0000-0000CC520000}"/>
    <cellStyle name="Normal 6 2 25 2" xfId="23489" xr:uid="{00000000-0005-0000-0000-0000CD520000}"/>
    <cellStyle name="Normal 6 2 26" xfId="11347" xr:uid="{00000000-0005-0000-0000-0000CE520000}"/>
    <cellStyle name="Normal 6 2 26 2" xfId="23490" xr:uid="{00000000-0005-0000-0000-0000CF520000}"/>
    <cellStyle name="Normal 6 2 27" xfId="11348" xr:uid="{00000000-0005-0000-0000-0000D0520000}"/>
    <cellStyle name="Normal 6 2 27 2" xfId="23491" xr:uid="{00000000-0005-0000-0000-0000D1520000}"/>
    <cellStyle name="Normal 6 2 28" xfId="11349" xr:uid="{00000000-0005-0000-0000-0000D2520000}"/>
    <cellStyle name="Normal 6 2 28 2" xfId="23492" xr:uid="{00000000-0005-0000-0000-0000D3520000}"/>
    <cellStyle name="Normal 6 2 29" xfId="11350" xr:uid="{00000000-0005-0000-0000-0000D4520000}"/>
    <cellStyle name="Normal 6 2 29 2" xfId="23493" xr:uid="{00000000-0005-0000-0000-0000D5520000}"/>
    <cellStyle name="Normal 6 2 3" xfId="11351" xr:uid="{00000000-0005-0000-0000-0000D6520000}"/>
    <cellStyle name="Normal 6 2 3 2" xfId="23494" xr:uid="{00000000-0005-0000-0000-0000D7520000}"/>
    <cellStyle name="Normal 6 2 30" xfId="11352" xr:uid="{00000000-0005-0000-0000-0000D8520000}"/>
    <cellStyle name="Normal 6 2 30 2" xfId="23495" xr:uid="{00000000-0005-0000-0000-0000D9520000}"/>
    <cellStyle name="Normal 6 2 31" xfId="11353" xr:uid="{00000000-0005-0000-0000-0000DA520000}"/>
    <cellStyle name="Normal 6 2 31 2" xfId="23496" xr:uid="{00000000-0005-0000-0000-0000DB520000}"/>
    <cellStyle name="Normal 6 2 32" xfId="11354" xr:uid="{00000000-0005-0000-0000-0000DC520000}"/>
    <cellStyle name="Normal 6 2 32 2" xfId="23497" xr:uid="{00000000-0005-0000-0000-0000DD520000}"/>
    <cellStyle name="Normal 6 2 33" xfId="11355" xr:uid="{00000000-0005-0000-0000-0000DE520000}"/>
    <cellStyle name="Normal 6 2 33 2" xfId="23498" xr:uid="{00000000-0005-0000-0000-0000DF520000}"/>
    <cellStyle name="Normal 6 2 34" xfId="11356" xr:uid="{00000000-0005-0000-0000-0000E0520000}"/>
    <cellStyle name="Normal 6 2 34 2" xfId="23499" xr:uid="{00000000-0005-0000-0000-0000E1520000}"/>
    <cellStyle name="Normal 6 2 35" xfId="11357" xr:uid="{00000000-0005-0000-0000-0000E2520000}"/>
    <cellStyle name="Normal 6 2 35 2" xfId="23500" xr:uid="{00000000-0005-0000-0000-0000E3520000}"/>
    <cellStyle name="Normal 6 2 36" xfId="11358" xr:uid="{00000000-0005-0000-0000-0000E4520000}"/>
    <cellStyle name="Normal 6 2 36 2" xfId="23501" xr:uid="{00000000-0005-0000-0000-0000E5520000}"/>
    <cellStyle name="Normal 6 2 37" xfId="11359" xr:uid="{00000000-0005-0000-0000-0000E6520000}"/>
    <cellStyle name="Normal 6 2 37 2" xfId="23502" xr:uid="{00000000-0005-0000-0000-0000E7520000}"/>
    <cellStyle name="Normal 6 2 38" xfId="11360" xr:uid="{00000000-0005-0000-0000-0000E8520000}"/>
    <cellStyle name="Normal 6 2 38 2" xfId="23503" xr:uid="{00000000-0005-0000-0000-0000E9520000}"/>
    <cellStyle name="Normal 6 2 39" xfId="11361" xr:uid="{00000000-0005-0000-0000-0000EA520000}"/>
    <cellStyle name="Normal 6 2 39 2" xfId="23504" xr:uid="{00000000-0005-0000-0000-0000EB520000}"/>
    <cellStyle name="Normal 6 2 4" xfId="11362" xr:uid="{00000000-0005-0000-0000-0000EC520000}"/>
    <cellStyle name="Normal 6 2 4 2" xfId="23505" xr:uid="{00000000-0005-0000-0000-0000ED520000}"/>
    <cellStyle name="Normal 6 2 40" xfId="11363" xr:uid="{00000000-0005-0000-0000-0000EE520000}"/>
    <cellStyle name="Normal 6 2 40 2" xfId="23506" xr:uid="{00000000-0005-0000-0000-0000EF520000}"/>
    <cellStyle name="Normal 6 2 41" xfId="11364" xr:uid="{00000000-0005-0000-0000-0000F0520000}"/>
    <cellStyle name="Normal 6 2 41 2" xfId="23507" xr:uid="{00000000-0005-0000-0000-0000F1520000}"/>
    <cellStyle name="Normal 6 2 42" xfId="11365" xr:uid="{00000000-0005-0000-0000-0000F2520000}"/>
    <cellStyle name="Normal 6 2 42 2" xfId="23508" xr:uid="{00000000-0005-0000-0000-0000F3520000}"/>
    <cellStyle name="Normal 6 2 43" xfId="11366" xr:uid="{00000000-0005-0000-0000-0000F4520000}"/>
    <cellStyle name="Normal 6 2 43 2" xfId="23509" xr:uid="{00000000-0005-0000-0000-0000F5520000}"/>
    <cellStyle name="Normal 6 2 44" xfId="11367" xr:uid="{00000000-0005-0000-0000-0000F6520000}"/>
    <cellStyle name="Normal 6 2 44 2" xfId="23510" xr:uid="{00000000-0005-0000-0000-0000F7520000}"/>
    <cellStyle name="Normal 6 2 45" xfId="11368" xr:uid="{00000000-0005-0000-0000-0000F8520000}"/>
    <cellStyle name="Normal 6 2 45 2" xfId="23511" xr:uid="{00000000-0005-0000-0000-0000F9520000}"/>
    <cellStyle name="Normal 6 2 46" xfId="11369" xr:uid="{00000000-0005-0000-0000-0000FA520000}"/>
    <cellStyle name="Normal 6 2 46 2" xfId="23512" xr:uid="{00000000-0005-0000-0000-0000FB520000}"/>
    <cellStyle name="Normal 6 2 47" xfId="11370" xr:uid="{00000000-0005-0000-0000-0000FC520000}"/>
    <cellStyle name="Normal 6 2 47 2" xfId="23513" xr:uid="{00000000-0005-0000-0000-0000FD520000}"/>
    <cellStyle name="Normal 6 2 48" xfId="11371" xr:uid="{00000000-0005-0000-0000-0000FE520000}"/>
    <cellStyle name="Normal 6 2 48 2" xfId="23514" xr:uid="{00000000-0005-0000-0000-0000FF520000}"/>
    <cellStyle name="Normal 6 2 49" xfId="11372" xr:uid="{00000000-0005-0000-0000-000000530000}"/>
    <cellStyle name="Normal 6 2 49 2" xfId="23515" xr:uid="{00000000-0005-0000-0000-000001530000}"/>
    <cellStyle name="Normal 6 2 5" xfId="11373" xr:uid="{00000000-0005-0000-0000-000002530000}"/>
    <cellStyle name="Normal 6 2 5 2" xfId="23516" xr:uid="{00000000-0005-0000-0000-000003530000}"/>
    <cellStyle name="Normal 6 2 50" xfId="11374" xr:uid="{00000000-0005-0000-0000-000004530000}"/>
    <cellStyle name="Normal 6 2 50 2" xfId="23517" xr:uid="{00000000-0005-0000-0000-000005530000}"/>
    <cellStyle name="Normal 6 2 51" xfId="11375" xr:uid="{00000000-0005-0000-0000-000006530000}"/>
    <cellStyle name="Normal 6 2 51 2" xfId="23518" xr:uid="{00000000-0005-0000-0000-000007530000}"/>
    <cellStyle name="Normal 6 2 52" xfId="11376" xr:uid="{00000000-0005-0000-0000-000008530000}"/>
    <cellStyle name="Normal 6 2 52 2" xfId="23519" xr:uid="{00000000-0005-0000-0000-000009530000}"/>
    <cellStyle name="Normal 6 2 53" xfId="11377" xr:uid="{00000000-0005-0000-0000-00000A530000}"/>
    <cellStyle name="Normal 6 2 53 2" xfId="23520" xr:uid="{00000000-0005-0000-0000-00000B530000}"/>
    <cellStyle name="Normal 6 2 54" xfId="11378" xr:uid="{00000000-0005-0000-0000-00000C530000}"/>
    <cellStyle name="Normal 6 2 54 2" xfId="23521" xr:uid="{00000000-0005-0000-0000-00000D530000}"/>
    <cellStyle name="Normal 6 2 55" xfId="11379" xr:uid="{00000000-0005-0000-0000-00000E530000}"/>
    <cellStyle name="Normal 6 2 55 2" xfId="23522" xr:uid="{00000000-0005-0000-0000-00000F530000}"/>
    <cellStyle name="Normal 6 2 56" xfId="11380" xr:uid="{00000000-0005-0000-0000-000010530000}"/>
    <cellStyle name="Normal 6 2 56 2" xfId="23523" xr:uid="{00000000-0005-0000-0000-000011530000}"/>
    <cellStyle name="Normal 6 2 57" xfId="11381" xr:uid="{00000000-0005-0000-0000-000012530000}"/>
    <cellStyle name="Normal 6 2 57 2" xfId="23524" xr:uid="{00000000-0005-0000-0000-000013530000}"/>
    <cellStyle name="Normal 6 2 58" xfId="11382" xr:uid="{00000000-0005-0000-0000-000014530000}"/>
    <cellStyle name="Normal 6 2 58 2" xfId="23525" xr:uid="{00000000-0005-0000-0000-000015530000}"/>
    <cellStyle name="Normal 6 2 59" xfId="11383" xr:uid="{00000000-0005-0000-0000-000016530000}"/>
    <cellStyle name="Normal 6 2 59 2" xfId="23526" xr:uid="{00000000-0005-0000-0000-000017530000}"/>
    <cellStyle name="Normal 6 2 6" xfId="11384" xr:uid="{00000000-0005-0000-0000-000018530000}"/>
    <cellStyle name="Normal 6 2 6 2" xfId="23527" xr:uid="{00000000-0005-0000-0000-000019530000}"/>
    <cellStyle name="Normal 6 2 60" xfId="11385" xr:uid="{00000000-0005-0000-0000-00001A530000}"/>
    <cellStyle name="Normal 6 2 60 2" xfId="23528" xr:uid="{00000000-0005-0000-0000-00001B530000}"/>
    <cellStyle name="Normal 6 2 61" xfId="11386" xr:uid="{00000000-0005-0000-0000-00001C530000}"/>
    <cellStyle name="Normal 6 2 61 2" xfId="23529" xr:uid="{00000000-0005-0000-0000-00001D530000}"/>
    <cellStyle name="Normal 6 2 62" xfId="11387" xr:uid="{00000000-0005-0000-0000-00001E530000}"/>
    <cellStyle name="Normal 6 2 62 2" xfId="23530" xr:uid="{00000000-0005-0000-0000-00001F530000}"/>
    <cellStyle name="Normal 6 2 63" xfId="11388" xr:uid="{00000000-0005-0000-0000-000020530000}"/>
    <cellStyle name="Normal 6 2 63 2" xfId="23531" xr:uid="{00000000-0005-0000-0000-000021530000}"/>
    <cellStyle name="Normal 6 2 64" xfId="11389" xr:uid="{00000000-0005-0000-0000-000022530000}"/>
    <cellStyle name="Normal 6 2 64 2" xfId="23532" xr:uid="{00000000-0005-0000-0000-000023530000}"/>
    <cellStyle name="Normal 6 2 65" xfId="11390" xr:uid="{00000000-0005-0000-0000-000024530000}"/>
    <cellStyle name="Normal 6 2 65 2" xfId="23533" xr:uid="{00000000-0005-0000-0000-000025530000}"/>
    <cellStyle name="Normal 6 2 66" xfId="11391" xr:uid="{00000000-0005-0000-0000-000026530000}"/>
    <cellStyle name="Normal 6 2 66 2" xfId="23534" xr:uid="{00000000-0005-0000-0000-000027530000}"/>
    <cellStyle name="Normal 6 2 67" xfId="11392" xr:uid="{00000000-0005-0000-0000-000028530000}"/>
    <cellStyle name="Normal 6 2 67 2" xfId="23535" xr:uid="{00000000-0005-0000-0000-000029530000}"/>
    <cellStyle name="Normal 6 2 68" xfId="11393" xr:uid="{00000000-0005-0000-0000-00002A530000}"/>
    <cellStyle name="Normal 6 2 68 2" xfId="23536" xr:uid="{00000000-0005-0000-0000-00002B530000}"/>
    <cellStyle name="Normal 6 2 69" xfId="11394" xr:uid="{00000000-0005-0000-0000-00002C530000}"/>
    <cellStyle name="Normal 6 2 69 2" xfId="23537" xr:uid="{00000000-0005-0000-0000-00002D530000}"/>
    <cellStyle name="Normal 6 2 7" xfId="11395" xr:uid="{00000000-0005-0000-0000-00002E530000}"/>
    <cellStyle name="Normal 6 2 7 2" xfId="23538" xr:uid="{00000000-0005-0000-0000-00002F530000}"/>
    <cellStyle name="Normal 6 2 70" xfId="11396" xr:uid="{00000000-0005-0000-0000-000030530000}"/>
    <cellStyle name="Normal 6 2 70 2" xfId="23539" xr:uid="{00000000-0005-0000-0000-000031530000}"/>
    <cellStyle name="Normal 6 2 71" xfId="11397" xr:uid="{00000000-0005-0000-0000-000032530000}"/>
    <cellStyle name="Normal 6 2 71 2" xfId="23540" xr:uid="{00000000-0005-0000-0000-000033530000}"/>
    <cellStyle name="Normal 6 2 72" xfId="11398" xr:uid="{00000000-0005-0000-0000-000034530000}"/>
    <cellStyle name="Normal 6 2 72 2" xfId="23541" xr:uid="{00000000-0005-0000-0000-000035530000}"/>
    <cellStyle name="Normal 6 2 73" xfId="11399" xr:uid="{00000000-0005-0000-0000-000036530000}"/>
    <cellStyle name="Normal 6 2 73 2" xfId="23542" xr:uid="{00000000-0005-0000-0000-000037530000}"/>
    <cellStyle name="Normal 6 2 74" xfId="11400" xr:uid="{00000000-0005-0000-0000-000038530000}"/>
    <cellStyle name="Normal 6 2 74 2" xfId="23543" xr:uid="{00000000-0005-0000-0000-000039530000}"/>
    <cellStyle name="Normal 6 2 75" xfId="11401" xr:uid="{00000000-0005-0000-0000-00003A530000}"/>
    <cellStyle name="Normal 6 2 75 2" xfId="23544" xr:uid="{00000000-0005-0000-0000-00003B530000}"/>
    <cellStyle name="Normal 6 2 76" xfId="11402" xr:uid="{00000000-0005-0000-0000-00003C530000}"/>
    <cellStyle name="Normal 6 2 76 2" xfId="23545" xr:uid="{00000000-0005-0000-0000-00003D530000}"/>
    <cellStyle name="Normal 6 2 77" xfId="11403" xr:uid="{00000000-0005-0000-0000-00003E530000}"/>
    <cellStyle name="Normal 6 2 77 2" xfId="23546" xr:uid="{00000000-0005-0000-0000-00003F530000}"/>
    <cellStyle name="Normal 6 2 78" xfId="11404" xr:uid="{00000000-0005-0000-0000-000040530000}"/>
    <cellStyle name="Normal 6 2 78 2" xfId="23547" xr:uid="{00000000-0005-0000-0000-000041530000}"/>
    <cellStyle name="Normal 6 2 79" xfId="11405" xr:uid="{00000000-0005-0000-0000-000042530000}"/>
    <cellStyle name="Normal 6 2 79 2" xfId="23548" xr:uid="{00000000-0005-0000-0000-000043530000}"/>
    <cellStyle name="Normal 6 2 8" xfId="11406" xr:uid="{00000000-0005-0000-0000-000044530000}"/>
    <cellStyle name="Normal 6 2 8 2" xfId="23549" xr:uid="{00000000-0005-0000-0000-000045530000}"/>
    <cellStyle name="Normal 6 2 80" xfId="23472" xr:uid="{00000000-0005-0000-0000-000046530000}"/>
    <cellStyle name="Normal 6 2 9" xfId="11407" xr:uid="{00000000-0005-0000-0000-000047530000}"/>
    <cellStyle name="Normal 6 2 9 2" xfId="23550" xr:uid="{00000000-0005-0000-0000-000048530000}"/>
    <cellStyle name="Normal 6 20" xfId="11408" xr:uid="{00000000-0005-0000-0000-000049530000}"/>
    <cellStyle name="Normal 6 20 2" xfId="23551" xr:uid="{00000000-0005-0000-0000-00004A530000}"/>
    <cellStyle name="Normal 6 21" xfId="11409" xr:uid="{00000000-0005-0000-0000-00004B530000}"/>
    <cellStyle name="Normal 6 21 2" xfId="23552" xr:uid="{00000000-0005-0000-0000-00004C530000}"/>
    <cellStyle name="Normal 6 22" xfId="11410" xr:uid="{00000000-0005-0000-0000-00004D530000}"/>
    <cellStyle name="Normal 6 22 2" xfId="23553" xr:uid="{00000000-0005-0000-0000-00004E530000}"/>
    <cellStyle name="Normal 6 23" xfId="11411" xr:uid="{00000000-0005-0000-0000-00004F530000}"/>
    <cellStyle name="Normal 6 23 2" xfId="23554" xr:uid="{00000000-0005-0000-0000-000050530000}"/>
    <cellStyle name="Normal 6 24" xfId="11412" xr:uid="{00000000-0005-0000-0000-000051530000}"/>
    <cellStyle name="Normal 6 24 2" xfId="23555" xr:uid="{00000000-0005-0000-0000-000052530000}"/>
    <cellStyle name="Normal 6 25" xfId="11413" xr:uid="{00000000-0005-0000-0000-000053530000}"/>
    <cellStyle name="Normal 6 25 2" xfId="23556" xr:uid="{00000000-0005-0000-0000-000054530000}"/>
    <cellStyle name="Normal 6 26" xfId="11414" xr:uid="{00000000-0005-0000-0000-000055530000}"/>
    <cellStyle name="Normal 6 26 2" xfId="23557" xr:uid="{00000000-0005-0000-0000-000056530000}"/>
    <cellStyle name="Normal 6 27" xfId="11415" xr:uid="{00000000-0005-0000-0000-000057530000}"/>
    <cellStyle name="Normal 6 27 2" xfId="23558" xr:uid="{00000000-0005-0000-0000-000058530000}"/>
    <cellStyle name="Normal 6 28" xfId="11416" xr:uid="{00000000-0005-0000-0000-000059530000}"/>
    <cellStyle name="Normal 6 28 2" xfId="23559" xr:uid="{00000000-0005-0000-0000-00005A530000}"/>
    <cellStyle name="Normal 6 29" xfId="11417" xr:uid="{00000000-0005-0000-0000-00005B530000}"/>
    <cellStyle name="Normal 6 29 2" xfId="23560" xr:uid="{00000000-0005-0000-0000-00005C530000}"/>
    <cellStyle name="Normal 6 3" xfId="109" xr:uid="{00000000-0005-0000-0000-00005D530000}"/>
    <cellStyle name="Normal 6 3 10" xfId="11418" xr:uid="{00000000-0005-0000-0000-00005E530000}"/>
    <cellStyle name="Normal 6 3 10 2" xfId="23562" xr:uid="{00000000-0005-0000-0000-00005F530000}"/>
    <cellStyle name="Normal 6 3 11" xfId="11419" xr:uid="{00000000-0005-0000-0000-000060530000}"/>
    <cellStyle name="Normal 6 3 11 2" xfId="23563" xr:uid="{00000000-0005-0000-0000-000061530000}"/>
    <cellStyle name="Normal 6 3 12" xfId="11420" xr:uid="{00000000-0005-0000-0000-000062530000}"/>
    <cellStyle name="Normal 6 3 12 2" xfId="23564" xr:uid="{00000000-0005-0000-0000-000063530000}"/>
    <cellStyle name="Normal 6 3 13" xfId="11421" xr:uid="{00000000-0005-0000-0000-000064530000}"/>
    <cellStyle name="Normal 6 3 13 2" xfId="23565" xr:uid="{00000000-0005-0000-0000-000065530000}"/>
    <cellStyle name="Normal 6 3 14" xfId="11422" xr:uid="{00000000-0005-0000-0000-000066530000}"/>
    <cellStyle name="Normal 6 3 14 2" xfId="23566" xr:uid="{00000000-0005-0000-0000-000067530000}"/>
    <cellStyle name="Normal 6 3 15" xfId="11423" xr:uid="{00000000-0005-0000-0000-000068530000}"/>
    <cellStyle name="Normal 6 3 15 2" xfId="23567" xr:uid="{00000000-0005-0000-0000-000069530000}"/>
    <cellStyle name="Normal 6 3 16" xfId="11424" xr:uid="{00000000-0005-0000-0000-00006A530000}"/>
    <cellStyle name="Normal 6 3 16 2" xfId="23568" xr:uid="{00000000-0005-0000-0000-00006B530000}"/>
    <cellStyle name="Normal 6 3 17" xfId="11425" xr:uid="{00000000-0005-0000-0000-00006C530000}"/>
    <cellStyle name="Normal 6 3 17 2" xfId="23569" xr:uid="{00000000-0005-0000-0000-00006D530000}"/>
    <cellStyle name="Normal 6 3 18" xfId="11426" xr:uid="{00000000-0005-0000-0000-00006E530000}"/>
    <cellStyle name="Normal 6 3 18 2" xfId="23570" xr:uid="{00000000-0005-0000-0000-00006F530000}"/>
    <cellStyle name="Normal 6 3 19" xfId="11427" xr:uid="{00000000-0005-0000-0000-000070530000}"/>
    <cellStyle name="Normal 6 3 19 2" xfId="23571" xr:uid="{00000000-0005-0000-0000-000071530000}"/>
    <cellStyle name="Normal 6 3 2" xfId="11428" xr:uid="{00000000-0005-0000-0000-000072530000}"/>
    <cellStyle name="Normal 6 3 2 2" xfId="23572" xr:uid="{00000000-0005-0000-0000-000073530000}"/>
    <cellStyle name="Normal 6 3 20" xfId="11429" xr:uid="{00000000-0005-0000-0000-000074530000}"/>
    <cellStyle name="Normal 6 3 20 2" xfId="23573" xr:uid="{00000000-0005-0000-0000-000075530000}"/>
    <cellStyle name="Normal 6 3 21" xfId="11430" xr:uid="{00000000-0005-0000-0000-000076530000}"/>
    <cellStyle name="Normal 6 3 21 2" xfId="23574" xr:uid="{00000000-0005-0000-0000-000077530000}"/>
    <cellStyle name="Normal 6 3 22" xfId="11431" xr:uid="{00000000-0005-0000-0000-000078530000}"/>
    <cellStyle name="Normal 6 3 22 2" xfId="23575" xr:uid="{00000000-0005-0000-0000-000079530000}"/>
    <cellStyle name="Normal 6 3 23" xfId="11432" xr:uid="{00000000-0005-0000-0000-00007A530000}"/>
    <cellStyle name="Normal 6 3 23 2" xfId="23576" xr:uid="{00000000-0005-0000-0000-00007B530000}"/>
    <cellStyle name="Normal 6 3 24" xfId="11433" xr:uid="{00000000-0005-0000-0000-00007C530000}"/>
    <cellStyle name="Normal 6 3 24 2" xfId="23577" xr:uid="{00000000-0005-0000-0000-00007D530000}"/>
    <cellStyle name="Normal 6 3 25" xfId="11434" xr:uid="{00000000-0005-0000-0000-00007E530000}"/>
    <cellStyle name="Normal 6 3 25 2" xfId="23578" xr:uid="{00000000-0005-0000-0000-00007F530000}"/>
    <cellStyle name="Normal 6 3 26" xfId="11435" xr:uid="{00000000-0005-0000-0000-000080530000}"/>
    <cellStyle name="Normal 6 3 26 2" xfId="23579" xr:uid="{00000000-0005-0000-0000-000081530000}"/>
    <cellStyle name="Normal 6 3 27" xfId="11436" xr:uid="{00000000-0005-0000-0000-000082530000}"/>
    <cellStyle name="Normal 6 3 27 2" xfId="23580" xr:uid="{00000000-0005-0000-0000-000083530000}"/>
    <cellStyle name="Normal 6 3 28" xfId="11437" xr:uid="{00000000-0005-0000-0000-000084530000}"/>
    <cellStyle name="Normal 6 3 28 2" xfId="23581" xr:uid="{00000000-0005-0000-0000-000085530000}"/>
    <cellStyle name="Normal 6 3 29" xfId="11438" xr:uid="{00000000-0005-0000-0000-000086530000}"/>
    <cellStyle name="Normal 6 3 29 2" xfId="23582" xr:uid="{00000000-0005-0000-0000-000087530000}"/>
    <cellStyle name="Normal 6 3 3" xfId="11439" xr:uid="{00000000-0005-0000-0000-000088530000}"/>
    <cellStyle name="Normal 6 3 3 2" xfId="23583" xr:uid="{00000000-0005-0000-0000-000089530000}"/>
    <cellStyle name="Normal 6 3 30" xfId="11440" xr:uid="{00000000-0005-0000-0000-00008A530000}"/>
    <cellStyle name="Normal 6 3 30 2" xfId="23584" xr:uid="{00000000-0005-0000-0000-00008B530000}"/>
    <cellStyle name="Normal 6 3 31" xfId="11441" xr:uid="{00000000-0005-0000-0000-00008C530000}"/>
    <cellStyle name="Normal 6 3 31 2" xfId="23585" xr:uid="{00000000-0005-0000-0000-00008D530000}"/>
    <cellStyle name="Normal 6 3 32" xfId="11442" xr:uid="{00000000-0005-0000-0000-00008E530000}"/>
    <cellStyle name="Normal 6 3 32 2" xfId="23586" xr:uid="{00000000-0005-0000-0000-00008F530000}"/>
    <cellStyle name="Normal 6 3 33" xfId="11443" xr:uid="{00000000-0005-0000-0000-000090530000}"/>
    <cellStyle name="Normal 6 3 33 2" xfId="23587" xr:uid="{00000000-0005-0000-0000-000091530000}"/>
    <cellStyle name="Normal 6 3 34" xfId="11444" xr:uid="{00000000-0005-0000-0000-000092530000}"/>
    <cellStyle name="Normal 6 3 34 2" xfId="23588" xr:uid="{00000000-0005-0000-0000-000093530000}"/>
    <cellStyle name="Normal 6 3 35" xfId="11445" xr:uid="{00000000-0005-0000-0000-000094530000}"/>
    <cellStyle name="Normal 6 3 35 2" xfId="23589" xr:uid="{00000000-0005-0000-0000-000095530000}"/>
    <cellStyle name="Normal 6 3 36" xfId="11446" xr:uid="{00000000-0005-0000-0000-000096530000}"/>
    <cellStyle name="Normal 6 3 36 2" xfId="23590" xr:uid="{00000000-0005-0000-0000-000097530000}"/>
    <cellStyle name="Normal 6 3 37" xfId="11447" xr:uid="{00000000-0005-0000-0000-000098530000}"/>
    <cellStyle name="Normal 6 3 37 2" xfId="23591" xr:uid="{00000000-0005-0000-0000-000099530000}"/>
    <cellStyle name="Normal 6 3 38" xfId="11448" xr:uid="{00000000-0005-0000-0000-00009A530000}"/>
    <cellStyle name="Normal 6 3 38 2" xfId="23592" xr:uid="{00000000-0005-0000-0000-00009B530000}"/>
    <cellStyle name="Normal 6 3 39" xfId="11449" xr:uid="{00000000-0005-0000-0000-00009C530000}"/>
    <cellStyle name="Normal 6 3 39 2" xfId="23593" xr:uid="{00000000-0005-0000-0000-00009D530000}"/>
    <cellStyle name="Normal 6 3 4" xfId="11450" xr:uid="{00000000-0005-0000-0000-00009E530000}"/>
    <cellStyle name="Normal 6 3 4 2" xfId="23594" xr:uid="{00000000-0005-0000-0000-00009F530000}"/>
    <cellStyle name="Normal 6 3 40" xfId="11451" xr:uid="{00000000-0005-0000-0000-0000A0530000}"/>
    <cellStyle name="Normal 6 3 40 2" xfId="23595" xr:uid="{00000000-0005-0000-0000-0000A1530000}"/>
    <cellStyle name="Normal 6 3 41" xfId="11452" xr:uid="{00000000-0005-0000-0000-0000A2530000}"/>
    <cellStyle name="Normal 6 3 41 2" xfId="23596" xr:uid="{00000000-0005-0000-0000-0000A3530000}"/>
    <cellStyle name="Normal 6 3 42" xfId="11453" xr:uid="{00000000-0005-0000-0000-0000A4530000}"/>
    <cellStyle name="Normal 6 3 42 2" xfId="23597" xr:uid="{00000000-0005-0000-0000-0000A5530000}"/>
    <cellStyle name="Normal 6 3 43" xfId="11454" xr:uid="{00000000-0005-0000-0000-0000A6530000}"/>
    <cellStyle name="Normal 6 3 43 2" xfId="23598" xr:uid="{00000000-0005-0000-0000-0000A7530000}"/>
    <cellStyle name="Normal 6 3 44" xfId="11455" xr:uid="{00000000-0005-0000-0000-0000A8530000}"/>
    <cellStyle name="Normal 6 3 44 2" xfId="23599" xr:uid="{00000000-0005-0000-0000-0000A9530000}"/>
    <cellStyle name="Normal 6 3 45" xfId="11456" xr:uid="{00000000-0005-0000-0000-0000AA530000}"/>
    <cellStyle name="Normal 6 3 45 2" xfId="23600" xr:uid="{00000000-0005-0000-0000-0000AB530000}"/>
    <cellStyle name="Normal 6 3 46" xfId="11457" xr:uid="{00000000-0005-0000-0000-0000AC530000}"/>
    <cellStyle name="Normal 6 3 46 2" xfId="23601" xr:uid="{00000000-0005-0000-0000-0000AD530000}"/>
    <cellStyle name="Normal 6 3 47" xfId="11458" xr:uid="{00000000-0005-0000-0000-0000AE530000}"/>
    <cellStyle name="Normal 6 3 47 2" xfId="23602" xr:uid="{00000000-0005-0000-0000-0000AF530000}"/>
    <cellStyle name="Normal 6 3 48" xfId="11459" xr:uid="{00000000-0005-0000-0000-0000B0530000}"/>
    <cellStyle name="Normal 6 3 48 2" xfId="23603" xr:uid="{00000000-0005-0000-0000-0000B1530000}"/>
    <cellStyle name="Normal 6 3 49" xfId="11460" xr:uid="{00000000-0005-0000-0000-0000B2530000}"/>
    <cellStyle name="Normal 6 3 49 2" xfId="23604" xr:uid="{00000000-0005-0000-0000-0000B3530000}"/>
    <cellStyle name="Normal 6 3 5" xfId="11461" xr:uid="{00000000-0005-0000-0000-0000B4530000}"/>
    <cellStyle name="Normal 6 3 5 2" xfId="23605" xr:uid="{00000000-0005-0000-0000-0000B5530000}"/>
    <cellStyle name="Normal 6 3 50" xfId="11462" xr:uid="{00000000-0005-0000-0000-0000B6530000}"/>
    <cellStyle name="Normal 6 3 50 2" xfId="23606" xr:uid="{00000000-0005-0000-0000-0000B7530000}"/>
    <cellStyle name="Normal 6 3 51" xfId="11463" xr:uid="{00000000-0005-0000-0000-0000B8530000}"/>
    <cellStyle name="Normal 6 3 51 2" xfId="23607" xr:uid="{00000000-0005-0000-0000-0000B9530000}"/>
    <cellStyle name="Normal 6 3 52" xfId="11464" xr:uid="{00000000-0005-0000-0000-0000BA530000}"/>
    <cellStyle name="Normal 6 3 52 2" xfId="23608" xr:uid="{00000000-0005-0000-0000-0000BB530000}"/>
    <cellStyle name="Normal 6 3 53" xfId="11465" xr:uid="{00000000-0005-0000-0000-0000BC530000}"/>
    <cellStyle name="Normal 6 3 53 2" xfId="23609" xr:uid="{00000000-0005-0000-0000-0000BD530000}"/>
    <cellStyle name="Normal 6 3 54" xfId="11466" xr:uid="{00000000-0005-0000-0000-0000BE530000}"/>
    <cellStyle name="Normal 6 3 54 2" xfId="23610" xr:uid="{00000000-0005-0000-0000-0000BF530000}"/>
    <cellStyle name="Normal 6 3 55" xfId="11467" xr:uid="{00000000-0005-0000-0000-0000C0530000}"/>
    <cellStyle name="Normal 6 3 55 2" xfId="23611" xr:uid="{00000000-0005-0000-0000-0000C1530000}"/>
    <cellStyle name="Normal 6 3 56" xfId="11468" xr:uid="{00000000-0005-0000-0000-0000C2530000}"/>
    <cellStyle name="Normal 6 3 56 2" xfId="23612" xr:uid="{00000000-0005-0000-0000-0000C3530000}"/>
    <cellStyle name="Normal 6 3 57" xfId="11469" xr:uid="{00000000-0005-0000-0000-0000C4530000}"/>
    <cellStyle name="Normal 6 3 57 2" xfId="23613" xr:uid="{00000000-0005-0000-0000-0000C5530000}"/>
    <cellStyle name="Normal 6 3 58" xfId="11470" xr:uid="{00000000-0005-0000-0000-0000C6530000}"/>
    <cellStyle name="Normal 6 3 58 2" xfId="23614" xr:uid="{00000000-0005-0000-0000-0000C7530000}"/>
    <cellStyle name="Normal 6 3 59" xfId="11471" xr:uid="{00000000-0005-0000-0000-0000C8530000}"/>
    <cellStyle name="Normal 6 3 59 2" xfId="23615" xr:uid="{00000000-0005-0000-0000-0000C9530000}"/>
    <cellStyle name="Normal 6 3 6" xfId="11472" xr:uid="{00000000-0005-0000-0000-0000CA530000}"/>
    <cellStyle name="Normal 6 3 6 2" xfId="23616" xr:uid="{00000000-0005-0000-0000-0000CB530000}"/>
    <cellStyle name="Normal 6 3 60" xfId="11473" xr:uid="{00000000-0005-0000-0000-0000CC530000}"/>
    <cellStyle name="Normal 6 3 60 2" xfId="23617" xr:uid="{00000000-0005-0000-0000-0000CD530000}"/>
    <cellStyle name="Normal 6 3 61" xfId="11474" xr:uid="{00000000-0005-0000-0000-0000CE530000}"/>
    <cellStyle name="Normal 6 3 61 2" xfId="23618" xr:uid="{00000000-0005-0000-0000-0000CF530000}"/>
    <cellStyle name="Normal 6 3 62" xfId="11475" xr:uid="{00000000-0005-0000-0000-0000D0530000}"/>
    <cellStyle name="Normal 6 3 62 2" xfId="23619" xr:uid="{00000000-0005-0000-0000-0000D1530000}"/>
    <cellStyle name="Normal 6 3 63" xfId="11476" xr:uid="{00000000-0005-0000-0000-0000D2530000}"/>
    <cellStyle name="Normal 6 3 63 2" xfId="23620" xr:uid="{00000000-0005-0000-0000-0000D3530000}"/>
    <cellStyle name="Normal 6 3 64" xfId="11477" xr:uid="{00000000-0005-0000-0000-0000D4530000}"/>
    <cellStyle name="Normal 6 3 64 2" xfId="23621" xr:uid="{00000000-0005-0000-0000-0000D5530000}"/>
    <cellStyle name="Normal 6 3 65" xfId="11478" xr:uid="{00000000-0005-0000-0000-0000D6530000}"/>
    <cellStyle name="Normal 6 3 65 2" xfId="23622" xr:uid="{00000000-0005-0000-0000-0000D7530000}"/>
    <cellStyle name="Normal 6 3 66" xfId="11479" xr:uid="{00000000-0005-0000-0000-0000D8530000}"/>
    <cellStyle name="Normal 6 3 66 2" xfId="23623" xr:uid="{00000000-0005-0000-0000-0000D9530000}"/>
    <cellStyle name="Normal 6 3 67" xfId="11480" xr:uid="{00000000-0005-0000-0000-0000DA530000}"/>
    <cellStyle name="Normal 6 3 67 2" xfId="23624" xr:uid="{00000000-0005-0000-0000-0000DB530000}"/>
    <cellStyle name="Normal 6 3 68" xfId="11481" xr:uid="{00000000-0005-0000-0000-0000DC530000}"/>
    <cellStyle name="Normal 6 3 68 2" xfId="23625" xr:uid="{00000000-0005-0000-0000-0000DD530000}"/>
    <cellStyle name="Normal 6 3 69" xfId="11482" xr:uid="{00000000-0005-0000-0000-0000DE530000}"/>
    <cellStyle name="Normal 6 3 69 2" xfId="23626" xr:uid="{00000000-0005-0000-0000-0000DF530000}"/>
    <cellStyle name="Normal 6 3 7" xfId="11483" xr:uid="{00000000-0005-0000-0000-0000E0530000}"/>
    <cellStyle name="Normal 6 3 7 2" xfId="23627" xr:uid="{00000000-0005-0000-0000-0000E1530000}"/>
    <cellStyle name="Normal 6 3 70" xfId="11484" xr:uid="{00000000-0005-0000-0000-0000E2530000}"/>
    <cellStyle name="Normal 6 3 70 2" xfId="23628" xr:uid="{00000000-0005-0000-0000-0000E3530000}"/>
    <cellStyle name="Normal 6 3 71" xfId="11485" xr:uid="{00000000-0005-0000-0000-0000E4530000}"/>
    <cellStyle name="Normal 6 3 71 2" xfId="23629" xr:uid="{00000000-0005-0000-0000-0000E5530000}"/>
    <cellStyle name="Normal 6 3 72" xfId="11486" xr:uid="{00000000-0005-0000-0000-0000E6530000}"/>
    <cellStyle name="Normal 6 3 72 2" xfId="23630" xr:uid="{00000000-0005-0000-0000-0000E7530000}"/>
    <cellStyle name="Normal 6 3 73" xfId="11487" xr:uid="{00000000-0005-0000-0000-0000E8530000}"/>
    <cellStyle name="Normal 6 3 73 2" xfId="23631" xr:uid="{00000000-0005-0000-0000-0000E9530000}"/>
    <cellStyle name="Normal 6 3 74" xfId="11488" xr:uid="{00000000-0005-0000-0000-0000EA530000}"/>
    <cellStyle name="Normal 6 3 74 2" xfId="23632" xr:uid="{00000000-0005-0000-0000-0000EB530000}"/>
    <cellStyle name="Normal 6 3 75" xfId="11489" xr:uid="{00000000-0005-0000-0000-0000EC530000}"/>
    <cellStyle name="Normal 6 3 75 2" xfId="23633" xr:uid="{00000000-0005-0000-0000-0000ED530000}"/>
    <cellStyle name="Normal 6 3 76" xfId="11490" xr:uid="{00000000-0005-0000-0000-0000EE530000}"/>
    <cellStyle name="Normal 6 3 76 2" xfId="23634" xr:uid="{00000000-0005-0000-0000-0000EF530000}"/>
    <cellStyle name="Normal 6 3 77" xfId="11491" xr:uid="{00000000-0005-0000-0000-0000F0530000}"/>
    <cellStyle name="Normal 6 3 77 2" xfId="23635" xr:uid="{00000000-0005-0000-0000-0000F1530000}"/>
    <cellStyle name="Normal 6 3 78" xfId="11492" xr:uid="{00000000-0005-0000-0000-0000F2530000}"/>
    <cellStyle name="Normal 6 3 78 2" xfId="23636" xr:uid="{00000000-0005-0000-0000-0000F3530000}"/>
    <cellStyle name="Normal 6 3 79" xfId="11493" xr:uid="{00000000-0005-0000-0000-0000F4530000}"/>
    <cellStyle name="Normal 6 3 79 2" xfId="23637" xr:uid="{00000000-0005-0000-0000-0000F5530000}"/>
    <cellStyle name="Normal 6 3 8" xfId="11494" xr:uid="{00000000-0005-0000-0000-0000F6530000}"/>
    <cellStyle name="Normal 6 3 8 2" xfId="23638" xr:uid="{00000000-0005-0000-0000-0000F7530000}"/>
    <cellStyle name="Normal 6 3 80" xfId="23561" xr:uid="{00000000-0005-0000-0000-0000F8530000}"/>
    <cellStyle name="Normal 6 3 9" xfId="11495" xr:uid="{00000000-0005-0000-0000-0000F9530000}"/>
    <cellStyle name="Normal 6 3 9 2" xfId="23639" xr:uid="{00000000-0005-0000-0000-0000FA530000}"/>
    <cellStyle name="Normal 6 30" xfId="11496" xr:uid="{00000000-0005-0000-0000-0000FB530000}"/>
    <cellStyle name="Normal 6 30 2" xfId="23640" xr:uid="{00000000-0005-0000-0000-0000FC530000}"/>
    <cellStyle name="Normal 6 31" xfId="11497" xr:uid="{00000000-0005-0000-0000-0000FD530000}"/>
    <cellStyle name="Normal 6 31 2" xfId="23641" xr:uid="{00000000-0005-0000-0000-0000FE530000}"/>
    <cellStyle name="Normal 6 32" xfId="11498" xr:uid="{00000000-0005-0000-0000-0000FF530000}"/>
    <cellStyle name="Normal 6 32 2" xfId="23642" xr:uid="{00000000-0005-0000-0000-000000540000}"/>
    <cellStyle name="Normal 6 33" xfId="11499" xr:uid="{00000000-0005-0000-0000-000001540000}"/>
    <cellStyle name="Normal 6 33 2" xfId="23643" xr:uid="{00000000-0005-0000-0000-000002540000}"/>
    <cellStyle name="Normal 6 34" xfId="11500" xr:uid="{00000000-0005-0000-0000-000003540000}"/>
    <cellStyle name="Normal 6 34 2" xfId="23644" xr:uid="{00000000-0005-0000-0000-000004540000}"/>
    <cellStyle name="Normal 6 35" xfId="11501" xr:uid="{00000000-0005-0000-0000-000005540000}"/>
    <cellStyle name="Normal 6 35 2" xfId="23645" xr:uid="{00000000-0005-0000-0000-000006540000}"/>
    <cellStyle name="Normal 6 36" xfId="11502" xr:uid="{00000000-0005-0000-0000-000007540000}"/>
    <cellStyle name="Normal 6 36 2" xfId="23646" xr:uid="{00000000-0005-0000-0000-000008540000}"/>
    <cellStyle name="Normal 6 37" xfId="11503" xr:uid="{00000000-0005-0000-0000-000009540000}"/>
    <cellStyle name="Normal 6 37 2" xfId="23647" xr:uid="{00000000-0005-0000-0000-00000A540000}"/>
    <cellStyle name="Normal 6 38" xfId="11504" xr:uid="{00000000-0005-0000-0000-00000B540000}"/>
    <cellStyle name="Normal 6 38 2" xfId="23648" xr:uid="{00000000-0005-0000-0000-00000C540000}"/>
    <cellStyle name="Normal 6 39" xfId="11505" xr:uid="{00000000-0005-0000-0000-00000D540000}"/>
    <cellStyle name="Normal 6 39 2" xfId="23649" xr:uid="{00000000-0005-0000-0000-00000E540000}"/>
    <cellStyle name="Normal 6 4" xfId="116" xr:uid="{00000000-0005-0000-0000-00000F540000}"/>
    <cellStyle name="Normal 6 4 10" xfId="11506" xr:uid="{00000000-0005-0000-0000-000010540000}"/>
    <cellStyle name="Normal 6 4 10 2" xfId="23651" xr:uid="{00000000-0005-0000-0000-000011540000}"/>
    <cellStyle name="Normal 6 4 11" xfId="11507" xr:uid="{00000000-0005-0000-0000-000012540000}"/>
    <cellStyle name="Normal 6 4 11 2" xfId="23652" xr:uid="{00000000-0005-0000-0000-000013540000}"/>
    <cellStyle name="Normal 6 4 12" xfId="11508" xr:uid="{00000000-0005-0000-0000-000014540000}"/>
    <cellStyle name="Normal 6 4 12 2" xfId="23653" xr:uid="{00000000-0005-0000-0000-000015540000}"/>
    <cellStyle name="Normal 6 4 13" xfId="11509" xr:uid="{00000000-0005-0000-0000-000016540000}"/>
    <cellStyle name="Normal 6 4 13 2" xfId="23654" xr:uid="{00000000-0005-0000-0000-000017540000}"/>
    <cellStyle name="Normal 6 4 14" xfId="11510" xr:uid="{00000000-0005-0000-0000-000018540000}"/>
    <cellStyle name="Normal 6 4 14 2" xfId="23655" xr:uid="{00000000-0005-0000-0000-000019540000}"/>
    <cellStyle name="Normal 6 4 15" xfId="11511" xr:uid="{00000000-0005-0000-0000-00001A540000}"/>
    <cellStyle name="Normal 6 4 15 2" xfId="23656" xr:uid="{00000000-0005-0000-0000-00001B540000}"/>
    <cellStyle name="Normal 6 4 16" xfId="11512" xr:uid="{00000000-0005-0000-0000-00001C540000}"/>
    <cellStyle name="Normal 6 4 16 2" xfId="23657" xr:uid="{00000000-0005-0000-0000-00001D540000}"/>
    <cellStyle name="Normal 6 4 17" xfId="11513" xr:uid="{00000000-0005-0000-0000-00001E540000}"/>
    <cellStyle name="Normal 6 4 17 2" xfId="23658" xr:uid="{00000000-0005-0000-0000-00001F540000}"/>
    <cellStyle name="Normal 6 4 18" xfId="11514" xr:uid="{00000000-0005-0000-0000-000020540000}"/>
    <cellStyle name="Normal 6 4 18 2" xfId="23659" xr:uid="{00000000-0005-0000-0000-000021540000}"/>
    <cellStyle name="Normal 6 4 19" xfId="11515" xr:uid="{00000000-0005-0000-0000-000022540000}"/>
    <cellStyle name="Normal 6 4 19 2" xfId="23660" xr:uid="{00000000-0005-0000-0000-000023540000}"/>
    <cellStyle name="Normal 6 4 2" xfId="11516" xr:uid="{00000000-0005-0000-0000-000024540000}"/>
    <cellStyle name="Normal 6 4 2 2" xfId="23661" xr:uid="{00000000-0005-0000-0000-000025540000}"/>
    <cellStyle name="Normal 6 4 20" xfId="11517" xr:uid="{00000000-0005-0000-0000-000026540000}"/>
    <cellStyle name="Normal 6 4 20 2" xfId="23662" xr:uid="{00000000-0005-0000-0000-000027540000}"/>
    <cellStyle name="Normal 6 4 21" xfId="11518" xr:uid="{00000000-0005-0000-0000-000028540000}"/>
    <cellStyle name="Normal 6 4 21 2" xfId="23663" xr:uid="{00000000-0005-0000-0000-000029540000}"/>
    <cellStyle name="Normal 6 4 22" xfId="11519" xr:uid="{00000000-0005-0000-0000-00002A540000}"/>
    <cellStyle name="Normal 6 4 22 2" xfId="23664" xr:uid="{00000000-0005-0000-0000-00002B540000}"/>
    <cellStyle name="Normal 6 4 23" xfId="11520" xr:uid="{00000000-0005-0000-0000-00002C540000}"/>
    <cellStyle name="Normal 6 4 23 2" xfId="23665" xr:uid="{00000000-0005-0000-0000-00002D540000}"/>
    <cellStyle name="Normal 6 4 24" xfId="11521" xr:uid="{00000000-0005-0000-0000-00002E540000}"/>
    <cellStyle name="Normal 6 4 24 2" xfId="23666" xr:uid="{00000000-0005-0000-0000-00002F540000}"/>
    <cellStyle name="Normal 6 4 25" xfId="11522" xr:uid="{00000000-0005-0000-0000-000030540000}"/>
    <cellStyle name="Normal 6 4 25 2" xfId="23667" xr:uid="{00000000-0005-0000-0000-000031540000}"/>
    <cellStyle name="Normal 6 4 26" xfId="11523" xr:uid="{00000000-0005-0000-0000-000032540000}"/>
    <cellStyle name="Normal 6 4 26 2" xfId="23668" xr:uid="{00000000-0005-0000-0000-000033540000}"/>
    <cellStyle name="Normal 6 4 27" xfId="11524" xr:uid="{00000000-0005-0000-0000-000034540000}"/>
    <cellStyle name="Normal 6 4 27 2" xfId="23669" xr:uid="{00000000-0005-0000-0000-000035540000}"/>
    <cellStyle name="Normal 6 4 28" xfId="11525" xr:uid="{00000000-0005-0000-0000-000036540000}"/>
    <cellStyle name="Normal 6 4 28 2" xfId="23670" xr:uid="{00000000-0005-0000-0000-000037540000}"/>
    <cellStyle name="Normal 6 4 29" xfId="11526" xr:uid="{00000000-0005-0000-0000-000038540000}"/>
    <cellStyle name="Normal 6 4 29 2" xfId="23671" xr:uid="{00000000-0005-0000-0000-000039540000}"/>
    <cellStyle name="Normal 6 4 3" xfId="11527" xr:uid="{00000000-0005-0000-0000-00003A540000}"/>
    <cellStyle name="Normal 6 4 3 2" xfId="23672" xr:uid="{00000000-0005-0000-0000-00003B540000}"/>
    <cellStyle name="Normal 6 4 30" xfId="11528" xr:uid="{00000000-0005-0000-0000-00003C540000}"/>
    <cellStyle name="Normal 6 4 30 2" xfId="23673" xr:uid="{00000000-0005-0000-0000-00003D540000}"/>
    <cellStyle name="Normal 6 4 31" xfId="11529" xr:uid="{00000000-0005-0000-0000-00003E540000}"/>
    <cellStyle name="Normal 6 4 31 2" xfId="23674" xr:uid="{00000000-0005-0000-0000-00003F540000}"/>
    <cellStyle name="Normal 6 4 32" xfId="11530" xr:uid="{00000000-0005-0000-0000-000040540000}"/>
    <cellStyle name="Normal 6 4 32 2" xfId="23675" xr:uid="{00000000-0005-0000-0000-000041540000}"/>
    <cellStyle name="Normal 6 4 33" xfId="11531" xr:uid="{00000000-0005-0000-0000-000042540000}"/>
    <cellStyle name="Normal 6 4 33 2" xfId="23676" xr:uid="{00000000-0005-0000-0000-000043540000}"/>
    <cellStyle name="Normal 6 4 34" xfId="11532" xr:uid="{00000000-0005-0000-0000-000044540000}"/>
    <cellStyle name="Normal 6 4 34 2" xfId="23677" xr:uid="{00000000-0005-0000-0000-000045540000}"/>
    <cellStyle name="Normal 6 4 35" xfId="11533" xr:uid="{00000000-0005-0000-0000-000046540000}"/>
    <cellStyle name="Normal 6 4 35 2" xfId="23678" xr:uid="{00000000-0005-0000-0000-000047540000}"/>
    <cellStyle name="Normal 6 4 36" xfId="11534" xr:uid="{00000000-0005-0000-0000-000048540000}"/>
    <cellStyle name="Normal 6 4 36 2" xfId="23679" xr:uid="{00000000-0005-0000-0000-000049540000}"/>
    <cellStyle name="Normal 6 4 37" xfId="11535" xr:uid="{00000000-0005-0000-0000-00004A540000}"/>
    <cellStyle name="Normal 6 4 37 2" xfId="23680" xr:uid="{00000000-0005-0000-0000-00004B540000}"/>
    <cellStyle name="Normal 6 4 38" xfId="11536" xr:uid="{00000000-0005-0000-0000-00004C540000}"/>
    <cellStyle name="Normal 6 4 38 2" xfId="23681" xr:uid="{00000000-0005-0000-0000-00004D540000}"/>
    <cellStyle name="Normal 6 4 39" xfId="11537" xr:uid="{00000000-0005-0000-0000-00004E540000}"/>
    <cellStyle name="Normal 6 4 39 2" xfId="23682" xr:uid="{00000000-0005-0000-0000-00004F540000}"/>
    <cellStyle name="Normal 6 4 4" xfId="11538" xr:uid="{00000000-0005-0000-0000-000050540000}"/>
    <cellStyle name="Normal 6 4 4 2" xfId="23683" xr:uid="{00000000-0005-0000-0000-000051540000}"/>
    <cellStyle name="Normal 6 4 40" xfId="11539" xr:uid="{00000000-0005-0000-0000-000052540000}"/>
    <cellStyle name="Normal 6 4 40 2" xfId="23684" xr:uid="{00000000-0005-0000-0000-000053540000}"/>
    <cellStyle name="Normal 6 4 41" xfId="11540" xr:uid="{00000000-0005-0000-0000-000054540000}"/>
    <cellStyle name="Normal 6 4 41 2" xfId="23685" xr:uid="{00000000-0005-0000-0000-000055540000}"/>
    <cellStyle name="Normal 6 4 42" xfId="11541" xr:uid="{00000000-0005-0000-0000-000056540000}"/>
    <cellStyle name="Normal 6 4 42 2" xfId="23686" xr:uid="{00000000-0005-0000-0000-000057540000}"/>
    <cellStyle name="Normal 6 4 43" xfId="11542" xr:uid="{00000000-0005-0000-0000-000058540000}"/>
    <cellStyle name="Normal 6 4 43 2" xfId="23687" xr:uid="{00000000-0005-0000-0000-000059540000}"/>
    <cellStyle name="Normal 6 4 44" xfId="11543" xr:uid="{00000000-0005-0000-0000-00005A540000}"/>
    <cellStyle name="Normal 6 4 44 2" xfId="23688" xr:uid="{00000000-0005-0000-0000-00005B540000}"/>
    <cellStyle name="Normal 6 4 45" xfId="11544" xr:uid="{00000000-0005-0000-0000-00005C540000}"/>
    <cellStyle name="Normal 6 4 45 2" xfId="23689" xr:uid="{00000000-0005-0000-0000-00005D540000}"/>
    <cellStyle name="Normal 6 4 46" xfId="11545" xr:uid="{00000000-0005-0000-0000-00005E540000}"/>
    <cellStyle name="Normal 6 4 46 2" xfId="23690" xr:uid="{00000000-0005-0000-0000-00005F540000}"/>
    <cellStyle name="Normal 6 4 47" xfId="11546" xr:uid="{00000000-0005-0000-0000-000060540000}"/>
    <cellStyle name="Normal 6 4 47 2" xfId="23691" xr:uid="{00000000-0005-0000-0000-000061540000}"/>
    <cellStyle name="Normal 6 4 48" xfId="11547" xr:uid="{00000000-0005-0000-0000-000062540000}"/>
    <cellStyle name="Normal 6 4 48 2" xfId="23692" xr:uid="{00000000-0005-0000-0000-000063540000}"/>
    <cellStyle name="Normal 6 4 49" xfId="11548" xr:uid="{00000000-0005-0000-0000-000064540000}"/>
    <cellStyle name="Normal 6 4 49 2" xfId="23693" xr:uid="{00000000-0005-0000-0000-000065540000}"/>
    <cellStyle name="Normal 6 4 5" xfId="11549" xr:uid="{00000000-0005-0000-0000-000066540000}"/>
    <cellStyle name="Normal 6 4 5 2" xfId="23694" xr:uid="{00000000-0005-0000-0000-000067540000}"/>
    <cellStyle name="Normal 6 4 50" xfId="11550" xr:uid="{00000000-0005-0000-0000-000068540000}"/>
    <cellStyle name="Normal 6 4 50 2" xfId="23695" xr:uid="{00000000-0005-0000-0000-000069540000}"/>
    <cellStyle name="Normal 6 4 51" xfId="11551" xr:uid="{00000000-0005-0000-0000-00006A540000}"/>
    <cellStyle name="Normal 6 4 51 2" xfId="23696" xr:uid="{00000000-0005-0000-0000-00006B540000}"/>
    <cellStyle name="Normal 6 4 52" xfId="11552" xr:uid="{00000000-0005-0000-0000-00006C540000}"/>
    <cellStyle name="Normal 6 4 52 2" xfId="23697" xr:uid="{00000000-0005-0000-0000-00006D540000}"/>
    <cellStyle name="Normal 6 4 53" xfId="11553" xr:uid="{00000000-0005-0000-0000-00006E540000}"/>
    <cellStyle name="Normal 6 4 53 2" xfId="23698" xr:uid="{00000000-0005-0000-0000-00006F540000}"/>
    <cellStyle name="Normal 6 4 54" xfId="11554" xr:uid="{00000000-0005-0000-0000-000070540000}"/>
    <cellStyle name="Normal 6 4 54 2" xfId="23699" xr:uid="{00000000-0005-0000-0000-000071540000}"/>
    <cellStyle name="Normal 6 4 55" xfId="11555" xr:uid="{00000000-0005-0000-0000-000072540000}"/>
    <cellStyle name="Normal 6 4 55 2" xfId="23700" xr:uid="{00000000-0005-0000-0000-000073540000}"/>
    <cellStyle name="Normal 6 4 56" xfId="11556" xr:uid="{00000000-0005-0000-0000-000074540000}"/>
    <cellStyle name="Normal 6 4 56 2" xfId="23701" xr:uid="{00000000-0005-0000-0000-000075540000}"/>
    <cellStyle name="Normal 6 4 57" xfId="11557" xr:uid="{00000000-0005-0000-0000-000076540000}"/>
    <cellStyle name="Normal 6 4 57 2" xfId="23702" xr:uid="{00000000-0005-0000-0000-000077540000}"/>
    <cellStyle name="Normal 6 4 58" xfId="11558" xr:uid="{00000000-0005-0000-0000-000078540000}"/>
    <cellStyle name="Normal 6 4 58 2" xfId="23703" xr:uid="{00000000-0005-0000-0000-000079540000}"/>
    <cellStyle name="Normal 6 4 59" xfId="11559" xr:uid="{00000000-0005-0000-0000-00007A540000}"/>
    <cellStyle name="Normal 6 4 59 2" xfId="23704" xr:uid="{00000000-0005-0000-0000-00007B540000}"/>
    <cellStyle name="Normal 6 4 6" xfId="11560" xr:uid="{00000000-0005-0000-0000-00007C540000}"/>
    <cellStyle name="Normal 6 4 6 2" xfId="23705" xr:uid="{00000000-0005-0000-0000-00007D540000}"/>
    <cellStyle name="Normal 6 4 60" xfId="11561" xr:uid="{00000000-0005-0000-0000-00007E540000}"/>
    <cellStyle name="Normal 6 4 60 2" xfId="23706" xr:uid="{00000000-0005-0000-0000-00007F540000}"/>
    <cellStyle name="Normal 6 4 61" xfId="11562" xr:uid="{00000000-0005-0000-0000-000080540000}"/>
    <cellStyle name="Normal 6 4 61 2" xfId="23707" xr:uid="{00000000-0005-0000-0000-000081540000}"/>
    <cellStyle name="Normal 6 4 62" xfId="11563" xr:uid="{00000000-0005-0000-0000-000082540000}"/>
    <cellStyle name="Normal 6 4 62 2" xfId="23708" xr:uid="{00000000-0005-0000-0000-000083540000}"/>
    <cellStyle name="Normal 6 4 63" xfId="11564" xr:uid="{00000000-0005-0000-0000-000084540000}"/>
    <cellStyle name="Normal 6 4 63 2" xfId="23709" xr:uid="{00000000-0005-0000-0000-000085540000}"/>
    <cellStyle name="Normal 6 4 64" xfId="11565" xr:uid="{00000000-0005-0000-0000-000086540000}"/>
    <cellStyle name="Normal 6 4 64 2" xfId="23710" xr:uid="{00000000-0005-0000-0000-000087540000}"/>
    <cellStyle name="Normal 6 4 65" xfId="11566" xr:uid="{00000000-0005-0000-0000-000088540000}"/>
    <cellStyle name="Normal 6 4 65 2" xfId="23711" xr:uid="{00000000-0005-0000-0000-000089540000}"/>
    <cellStyle name="Normal 6 4 66" xfId="11567" xr:uid="{00000000-0005-0000-0000-00008A540000}"/>
    <cellStyle name="Normal 6 4 66 2" xfId="23712" xr:uid="{00000000-0005-0000-0000-00008B540000}"/>
    <cellStyle name="Normal 6 4 67" xfId="11568" xr:uid="{00000000-0005-0000-0000-00008C540000}"/>
    <cellStyle name="Normal 6 4 67 2" xfId="23713" xr:uid="{00000000-0005-0000-0000-00008D540000}"/>
    <cellStyle name="Normal 6 4 68" xfId="11569" xr:uid="{00000000-0005-0000-0000-00008E540000}"/>
    <cellStyle name="Normal 6 4 68 2" xfId="23714" xr:uid="{00000000-0005-0000-0000-00008F540000}"/>
    <cellStyle name="Normal 6 4 69" xfId="11570" xr:uid="{00000000-0005-0000-0000-000090540000}"/>
    <cellStyle name="Normal 6 4 69 2" xfId="23715" xr:uid="{00000000-0005-0000-0000-000091540000}"/>
    <cellStyle name="Normal 6 4 7" xfId="11571" xr:uid="{00000000-0005-0000-0000-000092540000}"/>
    <cellStyle name="Normal 6 4 7 2" xfId="23716" xr:uid="{00000000-0005-0000-0000-000093540000}"/>
    <cellStyle name="Normal 6 4 70" xfId="11572" xr:uid="{00000000-0005-0000-0000-000094540000}"/>
    <cellStyle name="Normal 6 4 70 2" xfId="23717" xr:uid="{00000000-0005-0000-0000-000095540000}"/>
    <cellStyle name="Normal 6 4 71" xfId="11573" xr:uid="{00000000-0005-0000-0000-000096540000}"/>
    <cellStyle name="Normal 6 4 71 2" xfId="23718" xr:uid="{00000000-0005-0000-0000-000097540000}"/>
    <cellStyle name="Normal 6 4 72" xfId="11574" xr:uid="{00000000-0005-0000-0000-000098540000}"/>
    <cellStyle name="Normal 6 4 72 2" xfId="23719" xr:uid="{00000000-0005-0000-0000-000099540000}"/>
    <cellStyle name="Normal 6 4 73" xfId="11575" xr:uid="{00000000-0005-0000-0000-00009A540000}"/>
    <cellStyle name="Normal 6 4 73 2" xfId="23720" xr:uid="{00000000-0005-0000-0000-00009B540000}"/>
    <cellStyle name="Normal 6 4 74" xfId="11576" xr:uid="{00000000-0005-0000-0000-00009C540000}"/>
    <cellStyle name="Normal 6 4 74 2" xfId="23721" xr:uid="{00000000-0005-0000-0000-00009D540000}"/>
    <cellStyle name="Normal 6 4 75" xfId="11577" xr:uid="{00000000-0005-0000-0000-00009E540000}"/>
    <cellStyle name="Normal 6 4 75 2" xfId="23722" xr:uid="{00000000-0005-0000-0000-00009F540000}"/>
    <cellStyle name="Normal 6 4 76" xfId="11578" xr:uid="{00000000-0005-0000-0000-0000A0540000}"/>
    <cellStyle name="Normal 6 4 76 2" xfId="23723" xr:uid="{00000000-0005-0000-0000-0000A1540000}"/>
    <cellStyle name="Normal 6 4 77" xfId="11579" xr:uid="{00000000-0005-0000-0000-0000A2540000}"/>
    <cellStyle name="Normal 6 4 77 2" xfId="23724" xr:uid="{00000000-0005-0000-0000-0000A3540000}"/>
    <cellStyle name="Normal 6 4 78" xfId="11580" xr:uid="{00000000-0005-0000-0000-0000A4540000}"/>
    <cellStyle name="Normal 6 4 78 2" xfId="23725" xr:uid="{00000000-0005-0000-0000-0000A5540000}"/>
    <cellStyle name="Normal 6 4 79" xfId="11581" xr:uid="{00000000-0005-0000-0000-0000A6540000}"/>
    <cellStyle name="Normal 6 4 79 2" xfId="23726" xr:uid="{00000000-0005-0000-0000-0000A7540000}"/>
    <cellStyle name="Normal 6 4 8" xfId="11582" xr:uid="{00000000-0005-0000-0000-0000A8540000}"/>
    <cellStyle name="Normal 6 4 8 2" xfId="23727" xr:uid="{00000000-0005-0000-0000-0000A9540000}"/>
    <cellStyle name="Normal 6 4 80" xfId="23650" xr:uid="{00000000-0005-0000-0000-0000AA540000}"/>
    <cellStyle name="Normal 6 4 9" xfId="11583" xr:uid="{00000000-0005-0000-0000-0000AB540000}"/>
    <cellStyle name="Normal 6 4 9 2" xfId="23728" xr:uid="{00000000-0005-0000-0000-0000AC540000}"/>
    <cellStyle name="Normal 6 40" xfId="11584" xr:uid="{00000000-0005-0000-0000-0000AD540000}"/>
    <cellStyle name="Normal 6 40 2" xfId="23729" xr:uid="{00000000-0005-0000-0000-0000AE540000}"/>
    <cellStyle name="Normal 6 41" xfId="11585" xr:uid="{00000000-0005-0000-0000-0000AF540000}"/>
    <cellStyle name="Normal 6 41 2" xfId="23730" xr:uid="{00000000-0005-0000-0000-0000B0540000}"/>
    <cellStyle name="Normal 6 42" xfId="11586" xr:uid="{00000000-0005-0000-0000-0000B1540000}"/>
    <cellStyle name="Normal 6 42 2" xfId="23731" xr:uid="{00000000-0005-0000-0000-0000B2540000}"/>
    <cellStyle name="Normal 6 43" xfId="11587" xr:uid="{00000000-0005-0000-0000-0000B3540000}"/>
    <cellStyle name="Normal 6 43 2" xfId="23732" xr:uid="{00000000-0005-0000-0000-0000B4540000}"/>
    <cellStyle name="Normal 6 44" xfId="11588" xr:uid="{00000000-0005-0000-0000-0000B5540000}"/>
    <cellStyle name="Normal 6 44 2" xfId="23733" xr:uid="{00000000-0005-0000-0000-0000B6540000}"/>
    <cellStyle name="Normal 6 45" xfId="11589" xr:uid="{00000000-0005-0000-0000-0000B7540000}"/>
    <cellStyle name="Normal 6 45 2" xfId="23734" xr:uid="{00000000-0005-0000-0000-0000B8540000}"/>
    <cellStyle name="Normal 6 46" xfId="11590" xr:uid="{00000000-0005-0000-0000-0000B9540000}"/>
    <cellStyle name="Normal 6 46 2" xfId="23735" xr:uid="{00000000-0005-0000-0000-0000BA540000}"/>
    <cellStyle name="Normal 6 47" xfId="11591" xr:uid="{00000000-0005-0000-0000-0000BB540000}"/>
    <cellStyle name="Normal 6 47 2" xfId="23736" xr:uid="{00000000-0005-0000-0000-0000BC540000}"/>
    <cellStyle name="Normal 6 48" xfId="11592" xr:uid="{00000000-0005-0000-0000-0000BD540000}"/>
    <cellStyle name="Normal 6 48 2" xfId="23737" xr:uid="{00000000-0005-0000-0000-0000BE540000}"/>
    <cellStyle name="Normal 6 49" xfId="11593" xr:uid="{00000000-0005-0000-0000-0000BF540000}"/>
    <cellStyle name="Normal 6 49 2" xfId="23738" xr:uid="{00000000-0005-0000-0000-0000C0540000}"/>
    <cellStyle name="Normal 6 5" xfId="123" xr:uid="{00000000-0005-0000-0000-0000C1540000}"/>
    <cellStyle name="Normal 6 5 2" xfId="23739" xr:uid="{00000000-0005-0000-0000-0000C2540000}"/>
    <cellStyle name="Normal 6 50" xfId="11594" xr:uid="{00000000-0005-0000-0000-0000C3540000}"/>
    <cellStyle name="Normal 6 50 2" xfId="23740" xr:uid="{00000000-0005-0000-0000-0000C4540000}"/>
    <cellStyle name="Normal 6 51" xfId="11595" xr:uid="{00000000-0005-0000-0000-0000C5540000}"/>
    <cellStyle name="Normal 6 51 2" xfId="23741" xr:uid="{00000000-0005-0000-0000-0000C6540000}"/>
    <cellStyle name="Normal 6 52" xfId="11596" xr:uid="{00000000-0005-0000-0000-0000C7540000}"/>
    <cellStyle name="Normal 6 52 2" xfId="23742" xr:uid="{00000000-0005-0000-0000-0000C8540000}"/>
    <cellStyle name="Normal 6 53" xfId="11597" xr:uid="{00000000-0005-0000-0000-0000C9540000}"/>
    <cellStyle name="Normal 6 53 2" xfId="23743" xr:uid="{00000000-0005-0000-0000-0000CA540000}"/>
    <cellStyle name="Normal 6 54" xfId="11598" xr:uid="{00000000-0005-0000-0000-0000CB540000}"/>
    <cellStyle name="Normal 6 54 2" xfId="23744" xr:uid="{00000000-0005-0000-0000-0000CC540000}"/>
    <cellStyle name="Normal 6 55" xfId="11599" xr:uid="{00000000-0005-0000-0000-0000CD540000}"/>
    <cellStyle name="Normal 6 55 2" xfId="23745" xr:uid="{00000000-0005-0000-0000-0000CE540000}"/>
    <cellStyle name="Normal 6 56" xfId="11600" xr:uid="{00000000-0005-0000-0000-0000CF540000}"/>
    <cellStyle name="Normal 6 56 2" xfId="23746" xr:uid="{00000000-0005-0000-0000-0000D0540000}"/>
    <cellStyle name="Normal 6 57" xfId="11601" xr:uid="{00000000-0005-0000-0000-0000D1540000}"/>
    <cellStyle name="Normal 6 57 2" xfId="23747" xr:uid="{00000000-0005-0000-0000-0000D2540000}"/>
    <cellStyle name="Normal 6 58" xfId="11602" xr:uid="{00000000-0005-0000-0000-0000D3540000}"/>
    <cellStyle name="Normal 6 58 2" xfId="23748" xr:uid="{00000000-0005-0000-0000-0000D4540000}"/>
    <cellStyle name="Normal 6 59" xfId="11603" xr:uid="{00000000-0005-0000-0000-0000D5540000}"/>
    <cellStyle name="Normal 6 59 2" xfId="23749" xr:uid="{00000000-0005-0000-0000-0000D6540000}"/>
    <cellStyle name="Normal 6 6" xfId="119" xr:uid="{00000000-0005-0000-0000-0000D7540000}"/>
    <cellStyle name="Normal 6 6 2" xfId="23750" xr:uid="{00000000-0005-0000-0000-0000D8540000}"/>
    <cellStyle name="Normal 6 60" xfId="11604" xr:uid="{00000000-0005-0000-0000-0000D9540000}"/>
    <cellStyle name="Normal 6 60 2" xfId="23751" xr:uid="{00000000-0005-0000-0000-0000DA540000}"/>
    <cellStyle name="Normal 6 61" xfId="11605" xr:uid="{00000000-0005-0000-0000-0000DB540000}"/>
    <cellStyle name="Normal 6 61 2" xfId="23752" xr:uid="{00000000-0005-0000-0000-0000DC540000}"/>
    <cellStyle name="Normal 6 62" xfId="11606" xr:uid="{00000000-0005-0000-0000-0000DD540000}"/>
    <cellStyle name="Normal 6 62 2" xfId="23753" xr:uid="{00000000-0005-0000-0000-0000DE540000}"/>
    <cellStyle name="Normal 6 63" xfId="11607" xr:uid="{00000000-0005-0000-0000-0000DF540000}"/>
    <cellStyle name="Normal 6 63 2" xfId="23754" xr:uid="{00000000-0005-0000-0000-0000E0540000}"/>
    <cellStyle name="Normal 6 64" xfId="11608" xr:uid="{00000000-0005-0000-0000-0000E1540000}"/>
    <cellStyle name="Normal 6 64 2" xfId="23755" xr:uid="{00000000-0005-0000-0000-0000E2540000}"/>
    <cellStyle name="Normal 6 65" xfId="11609" xr:uid="{00000000-0005-0000-0000-0000E3540000}"/>
    <cellStyle name="Normal 6 65 2" xfId="23756" xr:uid="{00000000-0005-0000-0000-0000E4540000}"/>
    <cellStyle name="Normal 6 66" xfId="11610" xr:uid="{00000000-0005-0000-0000-0000E5540000}"/>
    <cellStyle name="Normal 6 66 2" xfId="23757" xr:uid="{00000000-0005-0000-0000-0000E6540000}"/>
    <cellStyle name="Normal 6 67" xfId="11611" xr:uid="{00000000-0005-0000-0000-0000E7540000}"/>
    <cellStyle name="Normal 6 67 2" xfId="23758" xr:uid="{00000000-0005-0000-0000-0000E8540000}"/>
    <cellStyle name="Normal 6 68" xfId="11612" xr:uid="{00000000-0005-0000-0000-0000E9540000}"/>
    <cellStyle name="Normal 6 68 2" xfId="23759" xr:uid="{00000000-0005-0000-0000-0000EA540000}"/>
    <cellStyle name="Normal 6 69" xfId="11613" xr:uid="{00000000-0005-0000-0000-0000EB540000}"/>
    <cellStyle name="Normal 6 69 2" xfId="23760" xr:uid="{00000000-0005-0000-0000-0000EC540000}"/>
    <cellStyle name="Normal 6 7" xfId="128" xr:uid="{00000000-0005-0000-0000-0000ED540000}"/>
    <cellStyle name="Normal 6 7 2" xfId="23761" xr:uid="{00000000-0005-0000-0000-0000EE540000}"/>
    <cellStyle name="Normal 6 70" xfId="11614" xr:uid="{00000000-0005-0000-0000-0000EF540000}"/>
    <cellStyle name="Normal 6 70 2" xfId="23762" xr:uid="{00000000-0005-0000-0000-0000F0540000}"/>
    <cellStyle name="Normal 6 71" xfId="11615" xr:uid="{00000000-0005-0000-0000-0000F1540000}"/>
    <cellStyle name="Normal 6 71 2" xfId="23763" xr:uid="{00000000-0005-0000-0000-0000F2540000}"/>
    <cellStyle name="Normal 6 72" xfId="11616" xr:uid="{00000000-0005-0000-0000-0000F3540000}"/>
    <cellStyle name="Normal 6 72 2" xfId="23764" xr:uid="{00000000-0005-0000-0000-0000F4540000}"/>
    <cellStyle name="Normal 6 73" xfId="11617" xr:uid="{00000000-0005-0000-0000-0000F5540000}"/>
    <cellStyle name="Normal 6 73 2" xfId="23765" xr:uid="{00000000-0005-0000-0000-0000F6540000}"/>
    <cellStyle name="Normal 6 74" xfId="11618" xr:uid="{00000000-0005-0000-0000-0000F7540000}"/>
    <cellStyle name="Normal 6 74 2" xfId="23766" xr:uid="{00000000-0005-0000-0000-0000F8540000}"/>
    <cellStyle name="Normal 6 75" xfId="11619" xr:uid="{00000000-0005-0000-0000-0000F9540000}"/>
    <cellStyle name="Normal 6 75 2" xfId="23767" xr:uid="{00000000-0005-0000-0000-0000FA540000}"/>
    <cellStyle name="Normal 6 76" xfId="11620" xr:uid="{00000000-0005-0000-0000-0000FB540000}"/>
    <cellStyle name="Normal 6 76 2" xfId="23768" xr:uid="{00000000-0005-0000-0000-0000FC540000}"/>
    <cellStyle name="Normal 6 77" xfId="11621" xr:uid="{00000000-0005-0000-0000-0000FD540000}"/>
    <cellStyle name="Normal 6 77 2" xfId="23769" xr:uid="{00000000-0005-0000-0000-0000FE540000}"/>
    <cellStyle name="Normal 6 78" xfId="11622" xr:uid="{00000000-0005-0000-0000-0000FF540000}"/>
    <cellStyle name="Normal 6 78 2" xfId="23770" xr:uid="{00000000-0005-0000-0000-000000550000}"/>
    <cellStyle name="Normal 6 79" xfId="11623" xr:uid="{00000000-0005-0000-0000-000001550000}"/>
    <cellStyle name="Normal 6 79 2" xfId="23771" xr:uid="{00000000-0005-0000-0000-000002550000}"/>
    <cellStyle name="Normal 6 8" xfId="156" xr:uid="{00000000-0005-0000-0000-000003550000}"/>
    <cellStyle name="Normal 6 8 2" xfId="23772" xr:uid="{00000000-0005-0000-0000-000004550000}"/>
    <cellStyle name="Normal 6 8 3" xfId="11624" xr:uid="{00000000-0005-0000-0000-000005550000}"/>
    <cellStyle name="Normal 6 80" xfId="11625" xr:uid="{00000000-0005-0000-0000-000006550000}"/>
    <cellStyle name="Normal 6 80 2" xfId="23773" xr:uid="{00000000-0005-0000-0000-000007550000}"/>
    <cellStyle name="Normal 6 81" xfId="11626" xr:uid="{00000000-0005-0000-0000-000008550000}"/>
    <cellStyle name="Normal 6 81 2" xfId="23774" xr:uid="{00000000-0005-0000-0000-000009550000}"/>
    <cellStyle name="Normal 6 82" xfId="11627" xr:uid="{00000000-0005-0000-0000-00000A550000}"/>
    <cellStyle name="Normal 6 82 2" xfId="23775" xr:uid="{00000000-0005-0000-0000-00000B550000}"/>
    <cellStyle name="Normal 6 83" xfId="27177" xr:uid="{00000000-0005-0000-0000-00000C550000}"/>
    <cellStyle name="Normal 6 84" xfId="1619" xr:uid="{00000000-0005-0000-0000-00000D550000}"/>
    <cellStyle name="Normal 6 85" xfId="27411" xr:uid="{00000000-0005-0000-0000-00000E550000}"/>
    <cellStyle name="Normal 6 9" xfId="748" xr:uid="{00000000-0005-0000-0000-00000F550000}"/>
    <cellStyle name="Normal 6 9 2" xfId="23776" xr:uid="{00000000-0005-0000-0000-000010550000}"/>
    <cellStyle name="Normal 6 9 3" xfId="11628" xr:uid="{00000000-0005-0000-0000-000011550000}"/>
    <cellStyle name="Normal 60" xfId="186" xr:uid="{00000000-0005-0000-0000-000012550000}"/>
    <cellStyle name="Normal 60 10" xfId="11629" xr:uid="{00000000-0005-0000-0000-000013550000}"/>
    <cellStyle name="Normal 60 10 2" xfId="23778" xr:uid="{00000000-0005-0000-0000-000014550000}"/>
    <cellStyle name="Normal 60 11" xfId="11630" xr:uid="{00000000-0005-0000-0000-000015550000}"/>
    <cellStyle name="Normal 60 11 2" xfId="23779" xr:uid="{00000000-0005-0000-0000-000016550000}"/>
    <cellStyle name="Normal 60 12" xfId="11631" xr:uid="{00000000-0005-0000-0000-000017550000}"/>
    <cellStyle name="Normal 60 12 2" xfId="23780" xr:uid="{00000000-0005-0000-0000-000018550000}"/>
    <cellStyle name="Normal 60 13" xfId="11632" xr:uid="{00000000-0005-0000-0000-000019550000}"/>
    <cellStyle name="Normal 60 13 2" xfId="23781" xr:uid="{00000000-0005-0000-0000-00001A550000}"/>
    <cellStyle name="Normal 60 14" xfId="11633" xr:uid="{00000000-0005-0000-0000-00001B550000}"/>
    <cellStyle name="Normal 60 14 2" xfId="23782" xr:uid="{00000000-0005-0000-0000-00001C550000}"/>
    <cellStyle name="Normal 60 15" xfId="11634" xr:uid="{00000000-0005-0000-0000-00001D550000}"/>
    <cellStyle name="Normal 60 15 2" xfId="23783" xr:uid="{00000000-0005-0000-0000-00001E550000}"/>
    <cellStyle name="Normal 60 16" xfId="11635" xr:uid="{00000000-0005-0000-0000-00001F550000}"/>
    <cellStyle name="Normal 60 16 2" xfId="23784" xr:uid="{00000000-0005-0000-0000-000020550000}"/>
    <cellStyle name="Normal 60 17" xfId="11636" xr:uid="{00000000-0005-0000-0000-000021550000}"/>
    <cellStyle name="Normal 60 17 2" xfId="23785" xr:uid="{00000000-0005-0000-0000-000022550000}"/>
    <cellStyle name="Normal 60 18" xfId="11637" xr:uid="{00000000-0005-0000-0000-000023550000}"/>
    <cellStyle name="Normal 60 18 2" xfId="23786" xr:uid="{00000000-0005-0000-0000-000024550000}"/>
    <cellStyle name="Normal 60 19" xfId="11638" xr:uid="{00000000-0005-0000-0000-000025550000}"/>
    <cellStyle name="Normal 60 19 2" xfId="23787" xr:uid="{00000000-0005-0000-0000-000026550000}"/>
    <cellStyle name="Normal 60 2" xfId="749" xr:uid="{00000000-0005-0000-0000-000027550000}"/>
    <cellStyle name="Normal 60 2 2" xfId="23788" xr:uid="{00000000-0005-0000-0000-000028550000}"/>
    <cellStyle name="Normal 60 2 3" xfId="11639" xr:uid="{00000000-0005-0000-0000-000029550000}"/>
    <cellStyle name="Normal 60 20" xfId="11640" xr:uid="{00000000-0005-0000-0000-00002A550000}"/>
    <cellStyle name="Normal 60 20 2" xfId="23789" xr:uid="{00000000-0005-0000-0000-00002B550000}"/>
    <cellStyle name="Normal 60 21" xfId="11641" xr:uid="{00000000-0005-0000-0000-00002C550000}"/>
    <cellStyle name="Normal 60 21 2" xfId="23790" xr:uid="{00000000-0005-0000-0000-00002D550000}"/>
    <cellStyle name="Normal 60 22" xfId="11642" xr:uid="{00000000-0005-0000-0000-00002E550000}"/>
    <cellStyle name="Normal 60 22 2" xfId="23791" xr:uid="{00000000-0005-0000-0000-00002F550000}"/>
    <cellStyle name="Normal 60 23" xfId="11643" xr:uid="{00000000-0005-0000-0000-000030550000}"/>
    <cellStyle name="Normal 60 23 2" xfId="23792" xr:uid="{00000000-0005-0000-0000-000031550000}"/>
    <cellStyle name="Normal 60 24" xfId="11644" xr:uid="{00000000-0005-0000-0000-000032550000}"/>
    <cellStyle name="Normal 60 24 2" xfId="23793" xr:uid="{00000000-0005-0000-0000-000033550000}"/>
    <cellStyle name="Normal 60 25" xfId="11645" xr:uid="{00000000-0005-0000-0000-000034550000}"/>
    <cellStyle name="Normal 60 25 2" xfId="23794" xr:uid="{00000000-0005-0000-0000-000035550000}"/>
    <cellStyle name="Normal 60 26" xfId="11646" xr:uid="{00000000-0005-0000-0000-000036550000}"/>
    <cellStyle name="Normal 60 26 2" xfId="23795" xr:uid="{00000000-0005-0000-0000-000037550000}"/>
    <cellStyle name="Normal 60 27" xfId="11647" xr:uid="{00000000-0005-0000-0000-000038550000}"/>
    <cellStyle name="Normal 60 27 2" xfId="23796" xr:uid="{00000000-0005-0000-0000-000039550000}"/>
    <cellStyle name="Normal 60 28" xfId="11648" xr:uid="{00000000-0005-0000-0000-00003A550000}"/>
    <cellStyle name="Normal 60 28 2" xfId="23797" xr:uid="{00000000-0005-0000-0000-00003B550000}"/>
    <cellStyle name="Normal 60 29" xfId="11649" xr:uid="{00000000-0005-0000-0000-00003C550000}"/>
    <cellStyle name="Normal 60 29 2" xfId="23798" xr:uid="{00000000-0005-0000-0000-00003D550000}"/>
    <cellStyle name="Normal 60 3" xfId="401" xr:uid="{00000000-0005-0000-0000-00003E550000}"/>
    <cellStyle name="Normal 60 3 2" xfId="23799" xr:uid="{00000000-0005-0000-0000-00003F550000}"/>
    <cellStyle name="Normal 60 30" xfId="11650" xr:uid="{00000000-0005-0000-0000-000040550000}"/>
    <cellStyle name="Normal 60 30 2" xfId="23800" xr:uid="{00000000-0005-0000-0000-000041550000}"/>
    <cellStyle name="Normal 60 31" xfId="11651" xr:uid="{00000000-0005-0000-0000-000042550000}"/>
    <cellStyle name="Normal 60 31 2" xfId="23801" xr:uid="{00000000-0005-0000-0000-000043550000}"/>
    <cellStyle name="Normal 60 32" xfId="11652" xr:uid="{00000000-0005-0000-0000-000044550000}"/>
    <cellStyle name="Normal 60 32 2" xfId="23802" xr:uid="{00000000-0005-0000-0000-000045550000}"/>
    <cellStyle name="Normal 60 33" xfId="11653" xr:uid="{00000000-0005-0000-0000-000046550000}"/>
    <cellStyle name="Normal 60 33 2" xfId="23803" xr:uid="{00000000-0005-0000-0000-000047550000}"/>
    <cellStyle name="Normal 60 34" xfId="11654" xr:uid="{00000000-0005-0000-0000-000048550000}"/>
    <cellStyle name="Normal 60 34 2" xfId="23804" xr:uid="{00000000-0005-0000-0000-000049550000}"/>
    <cellStyle name="Normal 60 35" xfId="11655" xr:uid="{00000000-0005-0000-0000-00004A550000}"/>
    <cellStyle name="Normal 60 35 2" xfId="23805" xr:uid="{00000000-0005-0000-0000-00004B550000}"/>
    <cellStyle name="Normal 60 36" xfId="11656" xr:uid="{00000000-0005-0000-0000-00004C550000}"/>
    <cellStyle name="Normal 60 36 2" xfId="23806" xr:uid="{00000000-0005-0000-0000-00004D550000}"/>
    <cellStyle name="Normal 60 37" xfId="11657" xr:uid="{00000000-0005-0000-0000-00004E550000}"/>
    <cellStyle name="Normal 60 37 2" xfId="23807" xr:uid="{00000000-0005-0000-0000-00004F550000}"/>
    <cellStyle name="Normal 60 38" xfId="11658" xr:uid="{00000000-0005-0000-0000-000050550000}"/>
    <cellStyle name="Normal 60 38 2" xfId="23808" xr:uid="{00000000-0005-0000-0000-000051550000}"/>
    <cellStyle name="Normal 60 39" xfId="11659" xr:uid="{00000000-0005-0000-0000-000052550000}"/>
    <cellStyle name="Normal 60 39 2" xfId="23809" xr:uid="{00000000-0005-0000-0000-000053550000}"/>
    <cellStyle name="Normal 60 4" xfId="11660" xr:uid="{00000000-0005-0000-0000-000054550000}"/>
    <cellStyle name="Normal 60 4 2" xfId="23810" xr:uid="{00000000-0005-0000-0000-000055550000}"/>
    <cellStyle name="Normal 60 40" xfId="11661" xr:uid="{00000000-0005-0000-0000-000056550000}"/>
    <cellStyle name="Normal 60 40 2" xfId="23811" xr:uid="{00000000-0005-0000-0000-000057550000}"/>
    <cellStyle name="Normal 60 41" xfId="11662" xr:uid="{00000000-0005-0000-0000-000058550000}"/>
    <cellStyle name="Normal 60 41 2" xfId="23812" xr:uid="{00000000-0005-0000-0000-000059550000}"/>
    <cellStyle name="Normal 60 42" xfId="11663" xr:uid="{00000000-0005-0000-0000-00005A550000}"/>
    <cellStyle name="Normal 60 42 2" xfId="23813" xr:uid="{00000000-0005-0000-0000-00005B550000}"/>
    <cellStyle name="Normal 60 43" xfId="11664" xr:uid="{00000000-0005-0000-0000-00005C550000}"/>
    <cellStyle name="Normal 60 43 2" xfId="23814" xr:uid="{00000000-0005-0000-0000-00005D550000}"/>
    <cellStyle name="Normal 60 44" xfId="11665" xr:uid="{00000000-0005-0000-0000-00005E550000}"/>
    <cellStyle name="Normal 60 44 2" xfId="23815" xr:uid="{00000000-0005-0000-0000-00005F550000}"/>
    <cellStyle name="Normal 60 45" xfId="11666" xr:uid="{00000000-0005-0000-0000-000060550000}"/>
    <cellStyle name="Normal 60 45 2" xfId="23816" xr:uid="{00000000-0005-0000-0000-000061550000}"/>
    <cellStyle name="Normal 60 46" xfId="11667" xr:uid="{00000000-0005-0000-0000-000062550000}"/>
    <cellStyle name="Normal 60 46 2" xfId="23817" xr:uid="{00000000-0005-0000-0000-000063550000}"/>
    <cellStyle name="Normal 60 47" xfId="11668" xr:uid="{00000000-0005-0000-0000-000064550000}"/>
    <cellStyle name="Normal 60 47 2" xfId="23818" xr:uid="{00000000-0005-0000-0000-000065550000}"/>
    <cellStyle name="Normal 60 48" xfId="11669" xr:uid="{00000000-0005-0000-0000-000066550000}"/>
    <cellStyle name="Normal 60 48 2" xfId="23819" xr:uid="{00000000-0005-0000-0000-000067550000}"/>
    <cellStyle name="Normal 60 49" xfId="11670" xr:uid="{00000000-0005-0000-0000-000068550000}"/>
    <cellStyle name="Normal 60 49 2" xfId="23820" xr:uid="{00000000-0005-0000-0000-000069550000}"/>
    <cellStyle name="Normal 60 5" xfId="11671" xr:uid="{00000000-0005-0000-0000-00006A550000}"/>
    <cellStyle name="Normal 60 5 2" xfId="23821" xr:uid="{00000000-0005-0000-0000-00006B550000}"/>
    <cellStyle name="Normal 60 50" xfId="11672" xr:uid="{00000000-0005-0000-0000-00006C550000}"/>
    <cellStyle name="Normal 60 50 2" xfId="23822" xr:uid="{00000000-0005-0000-0000-00006D550000}"/>
    <cellStyle name="Normal 60 51" xfId="11673" xr:uid="{00000000-0005-0000-0000-00006E550000}"/>
    <cellStyle name="Normal 60 51 2" xfId="23823" xr:uid="{00000000-0005-0000-0000-00006F550000}"/>
    <cellStyle name="Normal 60 52" xfId="11674" xr:uid="{00000000-0005-0000-0000-000070550000}"/>
    <cellStyle name="Normal 60 52 2" xfId="23824" xr:uid="{00000000-0005-0000-0000-000071550000}"/>
    <cellStyle name="Normal 60 53" xfId="11675" xr:uid="{00000000-0005-0000-0000-000072550000}"/>
    <cellStyle name="Normal 60 53 2" xfId="23825" xr:uid="{00000000-0005-0000-0000-000073550000}"/>
    <cellStyle name="Normal 60 54" xfId="11676" xr:uid="{00000000-0005-0000-0000-000074550000}"/>
    <cellStyle name="Normal 60 54 2" xfId="23826" xr:uid="{00000000-0005-0000-0000-000075550000}"/>
    <cellStyle name="Normal 60 55" xfId="11677" xr:uid="{00000000-0005-0000-0000-000076550000}"/>
    <cellStyle name="Normal 60 55 2" xfId="23827" xr:uid="{00000000-0005-0000-0000-000077550000}"/>
    <cellStyle name="Normal 60 56" xfId="11678" xr:uid="{00000000-0005-0000-0000-000078550000}"/>
    <cellStyle name="Normal 60 56 2" xfId="23828" xr:uid="{00000000-0005-0000-0000-000079550000}"/>
    <cellStyle name="Normal 60 57" xfId="11679" xr:uid="{00000000-0005-0000-0000-00007A550000}"/>
    <cellStyle name="Normal 60 57 2" xfId="23829" xr:uid="{00000000-0005-0000-0000-00007B550000}"/>
    <cellStyle name="Normal 60 58" xfId="11680" xr:uid="{00000000-0005-0000-0000-00007C550000}"/>
    <cellStyle name="Normal 60 58 2" xfId="23830" xr:uid="{00000000-0005-0000-0000-00007D550000}"/>
    <cellStyle name="Normal 60 59" xfId="11681" xr:uid="{00000000-0005-0000-0000-00007E550000}"/>
    <cellStyle name="Normal 60 59 2" xfId="23831" xr:uid="{00000000-0005-0000-0000-00007F550000}"/>
    <cellStyle name="Normal 60 6" xfId="11682" xr:uid="{00000000-0005-0000-0000-000080550000}"/>
    <cellStyle name="Normal 60 6 2" xfId="23832" xr:uid="{00000000-0005-0000-0000-000081550000}"/>
    <cellStyle name="Normal 60 60" xfId="11683" xr:uid="{00000000-0005-0000-0000-000082550000}"/>
    <cellStyle name="Normal 60 60 2" xfId="23833" xr:uid="{00000000-0005-0000-0000-000083550000}"/>
    <cellStyle name="Normal 60 61" xfId="11684" xr:uid="{00000000-0005-0000-0000-000084550000}"/>
    <cellStyle name="Normal 60 61 2" xfId="23834" xr:uid="{00000000-0005-0000-0000-000085550000}"/>
    <cellStyle name="Normal 60 62" xfId="11685" xr:uid="{00000000-0005-0000-0000-000086550000}"/>
    <cellStyle name="Normal 60 62 2" xfId="23835" xr:uid="{00000000-0005-0000-0000-000087550000}"/>
    <cellStyle name="Normal 60 63" xfId="11686" xr:uid="{00000000-0005-0000-0000-000088550000}"/>
    <cellStyle name="Normal 60 63 2" xfId="23836" xr:uid="{00000000-0005-0000-0000-000089550000}"/>
    <cellStyle name="Normal 60 64" xfId="11687" xr:uid="{00000000-0005-0000-0000-00008A550000}"/>
    <cellStyle name="Normal 60 64 2" xfId="23837" xr:uid="{00000000-0005-0000-0000-00008B550000}"/>
    <cellStyle name="Normal 60 65" xfId="11688" xr:uid="{00000000-0005-0000-0000-00008C550000}"/>
    <cellStyle name="Normal 60 65 2" xfId="23838" xr:uid="{00000000-0005-0000-0000-00008D550000}"/>
    <cellStyle name="Normal 60 66" xfId="11689" xr:uid="{00000000-0005-0000-0000-00008E550000}"/>
    <cellStyle name="Normal 60 66 2" xfId="23839" xr:uid="{00000000-0005-0000-0000-00008F550000}"/>
    <cellStyle name="Normal 60 67" xfId="11690" xr:uid="{00000000-0005-0000-0000-000090550000}"/>
    <cellStyle name="Normal 60 67 2" xfId="23840" xr:uid="{00000000-0005-0000-0000-000091550000}"/>
    <cellStyle name="Normal 60 68" xfId="11691" xr:uid="{00000000-0005-0000-0000-000092550000}"/>
    <cellStyle name="Normal 60 68 2" xfId="23841" xr:uid="{00000000-0005-0000-0000-000093550000}"/>
    <cellStyle name="Normal 60 69" xfId="11692" xr:uid="{00000000-0005-0000-0000-000094550000}"/>
    <cellStyle name="Normal 60 69 2" xfId="23842" xr:uid="{00000000-0005-0000-0000-000095550000}"/>
    <cellStyle name="Normal 60 7" xfId="11693" xr:uid="{00000000-0005-0000-0000-000096550000}"/>
    <cellStyle name="Normal 60 7 2" xfId="23843" xr:uid="{00000000-0005-0000-0000-000097550000}"/>
    <cellStyle name="Normal 60 70" xfId="11694" xr:uid="{00000000-0005-0000-0000-000098550000}"/>
    <cellStyle name="Normal 60 70 2" xfId="23844" xr:uid="{00000000-0005-0000-0000-000099550000}"/>
    <cellStyle name="Normal 60 71" xfId="11695" xr:uid="{00000000-0005-0000-0000-00009A550000}"/>
    <cellStyle name="Normal 60 71 2" xfId="23845" xr:uid="{00000000-0005-0000-0000-00009B550000}"/>
    <cellStyle name="Normal 60 72" xfId="11696" xr:uid="{00000000-0005-0000-0000-00009C550000}"/>
    <cellStyle name="Normal 60 72 2" xfId="23846" xr:uid="{00000000-0005-0000-0000-00009D550000}"/>
    <cellStyle name="Normal 60 73" xfId="11697" xr:uid="{00000000-0005-0000-0000-00009E550000}"/>
    <cellStyle name="Normal 60 73 2" xfId="23847" xr:uid="{00000000-0005-0000-0000-00009F550000}"/>
    <cellStyle name="Normal 60 74" xfId="11698" xr:uid="{00000000-0005-0000-0000-0000A0550000}"/>
    <cellStyle name="Normal 60 74 2" xfId="23848" xr:uid="{00000000-0005-0000-0000-0000A1550000}"/>
    <cellStyle name="Normal 60 75" xfId="11699" xr:uid="{00000000-0005-0000-0000-0000A2550000}"/>
    <cellStyle name="Normal 60 75 2" xfId="23849" xr:uid="{00000000-0005-0000-0000-0000A3550000}"/>
    <cellStyle name="Normal 60 76" xfId="11700" xr:uid="{00000000-0005-0000-0000-0000A4550000}"/>
    <cellStyle name="Normal 60 76 2" xfId="23850" xr:uid="{00000000-0005-0000-0000-0000A5550000}"/>
    <cellStyle name="Normal 60 77" xfId="11701" xr:uid="{00000000-0005-0000-0000-0000A6550000}"/>
    <cellStyle name="Normal 60 77 2" xfId="23851" xr:uid="{00000000-0005-0000-0000-0000A7550000}"/>
    <cellStyle name="Normal 60 78" xfId="11702" xr:uid="{00000000-0005-0000-0000-0000A8550000}"/>
    <cellStyle name="Normal 60 78 2" xfId="23852" xr:uid="{00000000-0005-0000-0000-0000A9550000}"/>
    <cellStyle name="Normal 60 79" xfId="11703" xr:uid="{00000000-0005-0000-0000-0000AA550000}"/>
    <cellStyle name="Normal 60 79 2" xfId="23853" xr:uid="{00000000-0005-0000-0000-0000AB550000}"/>
    <cellStyle name="Normal 60 8" xfId="11704" xr:uid="{00000000-0005-0000-0000-0000AC550000}"/>
    <cellStyle name="Normal 60 8 2" xfId="23854" xr:uid="{00000000-0005-0000-0000-0000AD550000}"/>
    <cellStyle name="Normal 60 80" xfId="23777" xr:uid="{00000000-0005-0000-0000-0000AE550000}"/>
    <cellStyle name="Normal 60 9" xfId="11705" xr:uid="{00000000-0005-0000-0000-0000AF550000}"/>
    <cellStyle name="Normal 60 9 2" xfId="23855" xr:uid="{00000000-0005-0000-0000-0000B0550000}"/>
    <cellStyle name="Normal 61" xfId="187" xr:uid="{00000000-0005-0000-0000-0000B1550000}"/>
    <cellStyle name="Normal 61 10" xfId="11706" xr:uid="{00000000-0005-0000-0000-0000B2550000}"/>
    <cellStyle name="Normal 61 10 2" xfId="23857" xr:uid="{00000000-0005-0000-0000-0000B3550000}"/>
    <cellStyle name="Normal 61 11" xfId="11707" xr:uid="{00000000-0005-0000-0000-0000B4550000}"/>
    <cellStyle name="Normal 61 11 2" xfId="23858" xr:uid="{00000000-0005-0000-0000-0000B5550000}"/>
    <cellStyle name="Normal 61 12" xfId="11708" xr:uid="{00000000-0005-0000-0000-0000B6550000}"/>
    <cellStyle name="Normal 61 12 2" xfId="23859" xr:uid="{00000000-0005-0000-0000-0000B7550000}"/>
    <cellStyle name="Normal 61 13" xfId="11709" xr:uid="{00000000-0005-0000-0000-0000B8550000}"/>
    <cellStyle name="Normal 61 13 2" xfId="23860" xr:uid="{00000000-0005-0000-0000-0000B9550000}"/>
    <cellStyle name="Normal 61 14" xfId="11710" xr:uid="{00000000-0005-0000-0000-0000BA550000}"/>
    <cellStyle name="Normal 61 14 2" xfId="23861" xr:uid="{00000000-0005-0000-0000-0000BB550000}"/>
    <cellStyle name="Normal 61 15" xfId="11711" xr:uid="{00000000-0005-0000-0000-0000BC550000}"/>
    <cellStyle name="Normal 61 15 2" xfId="23862" xr:uid="{00000000-0005-0000-0000-0000BD550000}"/>
    <cellStyle name="Normal 61 16" xfId="11712" xr:uid="{00000000-0005-0000-0000-0000BE550000}"/>
    <cellStyle name="Normal 61 16 2" xfId="23863" xr:uid="{00000000-0005-0000-0000-0000BF550000}"/>
    <cellStyle name="Normal 61 17" xfId="11713" xr:uid="{00000000-0005-0000-0000-0000C0550000}"/>
    <cellStyle name="Normal 61 17 2" xfId="23864" xr:uid="{00000000-0005-0000-0000-0000C1550000}"/>
    <cellStyle name="Normal 61 18" xfId="11714" xr:uid="{00000000-0005-0000-0000-0000C2550000}"/>
    <cellStyle name="Normal 61 18 2" xfId="23865" xr:uid="{00000000-0005-0000-0000-0000C3550000}"/>
    <cellStyle name="Normal 61 19" xfId="11715" xr:uid="{00000000-0005-0000-0000-0000C4550000}"/>
    <cellStyle name="Normal 61 19 2" xfId="23866" xr:uid="{00000000-0005-0000-0000-0000C5550000}"/>
    <cellStyle name="Normal 61 2" xfId="750" xr:uid="{00000000-0005-0000-0000-0000C6550000}"/>
    <cellStyle name="Normal 61 2 2" xfId="23867" xr:uid="{00000000-0005-0000-0000-0000C7550000}"/>
    <cellStyle name="Normal 61 2 3" xfId="11716" xr:uid="{00000000-0005-0000-0000-0000C8550000}"/>
    <cellStyle name="Normal 61 20" xfId="11717" xr:uid="{00000000-0005-0000-0000-0000C9550000}"/>
    <cellStyle name="Normal 61 20 2" xfId="23868" xr:uid="{00000000-0005-0000-0000-0000CA550000}"/>
    <cellStyle name="Normal 61 21" xfId="11718" xr:uid="{00000000-0005-0000-0000-0000CB550000}"/>
    <cellStyle name="Normal 61 21 2" xfId="23869" xr:uid="{00000000-0005-0000-0000-0000CC550000}"/>
    <cellStyle name="Normal 61 22" xfId="11719" xr:uid="{00000000-0005-0000-0000-0000CD550000}"/>
    <cellStyle name="Normal 61 22 2" xfId="23870" xr:uid="{00000000-0005-0000-0000-0000CE550000}"/>
    <cellStyle name="Normal 61 23" xfId="11720" xr:uid="{00000000-0005-0000-0000-0000CF550000}"/>
    <cellStyle name="Normal 61 23 2" xfId="23871" xr:uid="{00000000-0005-0000-0000-0000D0550000}"/>
    <cellStyle name="Normal 61 24" xfId="11721" xr:uid="{00000000-0005-0000-0000-0000D1550000}"/>
    <cellStyle name="Normal 61 24 2" xfId="23872" xr:uid="{00000000-0005-0000-0000-0000D2550000}"/>
    <cellStyle name="Normal 61 25" xfId="11722" xr:uid="{00000000-0005-0000-0000-0000D3550000}"/>
    <cellStyle name="Normal 61 25 2" xfId="23873" xr:uid="{00000000-0005-0000-0000-0000D4550000}"/>
    <cellStyle name="Normal 61 26" xfId="11723" xr:uid="{00000000-0005-0000-0000-0000D5550000}"/>
    <cellStyle name="Normal 61 26 2" xfId="23874" xr:uid="{00000000-0005-0000-0000-0000D6550000}"/>
    <cellStyle name="Normal 61 27" xfId="11724" xr:uid="{00000000-0005-0000-0000-0000D7550000}"/>
    <cellStyle name="Normal 61 27 2" xfId="23875" xr:uid="{00000000-0005-0000-0000-0000D8550000}"/>
    <cellStyle name="Normal 61 28" xfId="11725" xr:uid="{00000000-0005-0000-0000-0000D9550000}"/>
    <cellStyle name="Normal 61 28 2" xfId="23876" xr:uid="{00000000-0005-0000-0000-0000DA550000}"/>
    <cellStyle name="Normal 61 29" xfId="11726" xr:uid="{00000000-0005-0000-0000-0000DB550000}"/>
    <cellStyle name="Normal 61 29 2" xfId="23877" xr:uid="{00000000-0005-0000-0000-0000DC550000}"/>
    <cellStyle name="Normal 61 3" xfId="402" xr:uid="{00000000-0005-0000-0000-0000DD550000}"/>
    <cellStyle name="Normal 61 3 2" xfId="23878" xr:uid="{00000000-0005-0000-0000-0000DE550000}"/>
    <cellStyle name="Normal 61 30" xfId="11727" xr:uid="{00000000-0005-0000-0000-0000DF550000}"/>
    <cellStyle name="Normal 61 30 2" xfId="23879" xr:uid="{00000000-0005-0000-0000-0000E0550000}"/>
    <cellStyle name="Normal 61 31" xfId="11728" xr:uid="{00000000-0005-0000-0000-0000E1550000}"/>
    <cellStyle name="Normal 61 31 2" xfId="23880" xr:uid="{00000000-0005-0000-0000-0000E2550000}"/>
    <cellStyle name="Normal 61 32" xfId="11729" xr:uid="{00000000-0005-0000-0000-0000E3550000}"/>
    <cellStyle name="Normal 61 32 2" xfId="23881" xr:uid="{00000000-0005-0000-0000-0000E4550000}"/>
    <cellStyle name="Normal 61 33" xfId="11730" xr:uid="{00000000-0005-0000-0000-0000E5550000}"/>
    <cellStyle name="Normal 61 33 2" xfId="23882" xr:uid="{00000000-0005-0000-0000-0000E6550000}"/>
    <cellStyle name="Normal 61 34" xfId="11731" xr:uid="{00000000-0005-0000-0000-0000E7550000}"/>
    <cellStyle name="Normal 61 34 2" xfId="23883" xr:uid="{00000000-0005-0000-0000-0000E8550000}"/>
    <cellStyle name="Normal 61 35" xfId="11732" xr:uid="{00000000-0005-0000-0000-0000E9550000}"/>
    <cellStyle name="Normal 61 35 2" xfId="23884" xr:uid="{00000000-0005-0000-0000-0000EA550000}"/>
    <cellStyle name="Normal 61 36" xfId="11733" xr:uid="{00000000-0005-0000-0000-0000EB550000}"/>
    <cellStyle name="Normal 61 36 2" xfId="23885" xr:uid="{00000000-0005-0000-0000-0000EC550000}"/>
    <cellStyle name="Normal 61 37" xfId="11734" xr:uid="{00000000-0005-0000-0000-0000ED550000}"/>
    <cellStyle name="Normal 61 37 2" xfId="23886" xr:uid="{00000000-0005-0000-0000-0000EE550000}"/>
    <cellStyle name="Normal 61 38" xfId="11735" xr:uid="{00000000-0005-0000-0000-0000EF550000}"/>
    <cellStyle name="Normal 61 38 2" xfId="23887" xr:uid="{00000000-0005-0000-0000-0000F0550000}"/>
    <cellStyle name="Normal 61 39" xfId="11736" xr:uid="{00000000-0005-0000-0000-0000F1550000}"/>
    <cellStyle name="Normal 61 39 2" xfId="23888" xr:uid="{00000000-0005-0000-0000-0000F2550000}"/>
    <cellStyle name="Normal 61 4" xfId="11737" xr:uid="{00000000-0005-0000-0000-0000F3550000}"/>
    <cellStyle name="Normal 61 4 2" xfId="23889" xr:uid="{00000000-0005-0000-0000-0000F4550000}"/>
    <cellStyle name="Normal 61 40" xfId="11738" xr:uid="{00000000-0005-0000-0000-0000F5550000}"/>
    <cellStyle name="Normal 61 40 2" xfId="23890" xr:uid="{00000000-0005-0000-0000-0000F6550000}"/>
    <cellStyle name="Normal 61 41" xfId="11739" xr:uid="{00000000-0005-0000-0000-0000F7550000}"/>
    <cellStyle name="Normal 61 41 2" xfId="23891" xr:uid="{00000000-0005-0000-0000-0000F8550000}"/>
    <cellStyle name="Normal 61 42" xfId="11740" xr:uid="{00000000-0005-0000-0000-0000F9550000}"/>
    <cellStyle name="Normal 61 42 2" xfId="23892" xr:uid="{00000000-0005-0000-0000-0000FA550000}"/>
    <cellStyle name="Normal 61 43" xfId="11741" xr:uid="{00000000-0005-0000-0000-0000FB550000}"/>
    <cellStyle name="Normal 61 43 2" xfId="23893" xr:uid="{00000000-0005-0000-0000-0000FC550000}"/>
    <cellStyle name="Normal 61 44" xfId="11742" xr:uid="{00000000-0005-0000-0000-0000FD550000}"/>
    <cellStyle name="Normal 61 44 2" xfId="23894" xr:uid="{00000000-0005-0000-0000-0000FE550000}"/>
    <cellStyle name="Normal 61 45" xfId="11743" xr:uid="{00000000-0005-0000-0000-0000FF550000}"/>
    <cellStyle name="Normal 61 45 2" xfId="23895" xr:uid="{00000000-0005-0000-0000-000000560000}"/>
    <cellStyle name="Normal 61 46" xfId="11744" xr:uid="{00000000-0005-0000-0000-000001560000}"/>
    <cellStyle name="Normal 61 46 2" xfId="23896" xr:uid="{00000000-0005-0000-0000-000002560000}"/>
    <cellStyle name="Normal 61 47" xfId="11745" xr:uid="{00000000-0005-0000-0000-000003560000}"/>
    <cellStyle name="Normal 61 47 2" xfId="23897" xr:uid="{00000000-0005-0000-0000-000004560000}"/>
    <cellStyle name="Normal 61 48" xfId="11746" xr:uid="{00000000-0005-0000-0000-000005560000}"/>
    <cellStyle name="Normal 61 48 2" xfId="23898" xr:uid="{00000000-0005-0000-0000-000006560000}"/>
    <cellStyle name="Normal 61 49" xfId="11747" xr:uid="{00000000-0005-0000-0000-000007560000}"/>
    <cellStyle name="Normal 61 49 2" xfId="23899" xr:uid="{00000000-0005-0000-0000-000008560000}"/>
    <cellStyle name="Normal 61 5" xfId="11748" xr:uid="{00000000-0005-0000-0000-000009560000}"/>
    <cellStyle name="Normal 61 5 2" xfId="23900" xr:uid="{00000000-0005-0000-0000-00000A560000}"/>
    <cellStyle name="Normal 61 50" xfId="11749" xr:uid="{00000000-0005-0000-0000-00000B560000}"/>
    <cellStyle name="Normal 61 50 2" xfId="23901" xr:uid="{00000000-0005-0000-0000-00000C560000}"/>
    <cellStyle name="Normal 61 51" xfId="11750" xr:uid="{00000000-0005-0000-0000-00000D560000}"/>
    <cellStyle name="Normal 61 51 2" xfId="23902" xr:uid="{00000000-0005-0000-0000-00000E560000}"/>
    <cellStyle name="Normal 61 52" xfId="11751" xr:uid="{00000000-0005-0000-0000-00000F560000}"/>
    <cellStyle name="Normal 61 52 2" xfId="23903" xr:uid="{00000000-0005-0000-0000-000010560000}"/>
    <cellStyle name="Normal 61 53" xfId="11752" xr:uid="{00000000-0005-0000-0000-000011560000}"/>
    <cellStyle name="Normal 61 53 2" xfId="23904" xr:uid="{00000000-0005-0000-0000-000012560000}"/>
    <cellStyle name="Normal 61 54" xfId="11753" xr:uid="{00000000-0005-0000-0000-000013560000}"/>
    <cellStyle name="Normal 61 54 2" xfId="23905" xr:uid="{00000000-0005-0000-0000-000014560000}"/>
    <cellStyle name="Normal 61 55" xfId="11754" xr:uid="{00000000-0005-0000-0000-000015560000}"/>
    <cellStyle name="Normal 61 55 2" xfId="23906" xr:uid="{00000000-0005-0000-0000-000016560000}"/>
    <cellStyle name="Normal 61 56" xfId="11755" xr:uid="{00000000-0005-0000-0000-000017560000}"/>
    <cellStyle name="Normal 61 56 2" xfId="23907" xr:uid="{00000000-0005-0000-0000-000018560000}"/>
    <cellStyle name="Normal 61 57" xfId="11756" xr:uid="{00000000-0005-0000-0000-000019560000}"/>
    <cellStyle name="Normal 61 57 2" xfId="23908" xr:uid="{00000000-0005-0000-0000-00001A560000}"/>
    <cellStyle name="Normal 61 58" xfId="11757" xr:uid="{00000000-0005-0000-0000-00001B560000}"/>
    <cellStyle name="Normal 61 58 2" xfId="23909" xr:uid="{00000000-0005-0000-0000-00001C560000}"/>
    <cellStyle name="Normal 61 59" xfId="11758" xr:uid="{00000000-0005-0000-0000-00001D560000}"/>
    <cellStyle name="Normal 61 59 2" xfId="23910" xr:uid="{00000000-0005-0000-0000-00001E560000}"/>
    <cellStyle name="Normal 61 6" xfId="11759" xr:uid="{00000000-0005-0000-0000-00001F560000}"/>
    <cellStyle name="Normal 61 6 2" xfId="23911" xr:uid="{00000000-0005-0000-0000-000020560000}"/>
    <cellStyle name="Normal 61 60" xfId="11760" xr:uid="{00000000-0005-0000-0000-000021560000}"/>
    <cellStyle name="Normal 61 60 2" xfId="23912" xr:uid="{00000000-0005-0000-0000-000022560000}"/>
    <cellStyle name="Normal 61 61" xfId="11761" xr:uid="{00000000-0005-0000-0000-000023560000}"/>
    <cellStyle name="Normal 61 61 2" xfId="23913" xr:uid="{00000000-0005-0000-0000-000024560000}"/>
    <cellStyle name="Normal 61 62" xfId="11762" xr:uid="{00000000-0005-0000-0000-000025560000}"/>
    <cellStyle name="Normal 61 62 2" xfId="23914" xr:uid="{00000000-0005-0000-0000-000026560000}"/>
    <cellStyle name="Normal 61 63" xfId="11763" xr:uid="{00000000-0005-0000-0000-000027560000}"/>
    <cellStyle name="Normal 61 63 2" xfId="23915" xr:uid="{00000000-0005-0000-0000-000028560000}"/>
    <cellStyle name="Normal 61 64" xfId="11764" xr:uid="{00000000-0005-0000-0000-000029560000}"/>
    <cellStyle name="Normal 61 64 2" xfId="23916" xr:uid="{00000000-0005-0000-0000-00002A560000}"/>
    <cellStyle name="Normal 61 65" xfId="11765" xr:uid="{00000000-0005-0000-0000-00002B560000}"/>
    <cellStyle name="Normal 61 65 2" xfId="23917" xr:uid="{00000000-0005-0000-0000-00002C560000}"/>
    <cellStyle name="Normal 61 66" xfId="11766" xr:uid="{00000000-0005-0000-0000-00002D560000}"/>
    <cellStyle name="Normal 61 66 2" xfId="23918" xr:uid="{00000000-0005-0000-0000-00002E560000}"/>
    <cellStyle name="Normal 61 67" xfId="11767" xr:uid="{00000000-0005-0000-0000-00002F560000}"/>
    <cellStyle name="Normal 61 67 2" xfId="23919" xr:uid="{00000000-0005-0000-0000-000030560000}"/>
    <cellStyle name="Normal 61 68" xfId="11768" xr:uid="{00000000-0005-0000-0000-000031560000}"/>
    <cellStyle name="Normal 61 68 2" xfId="23920" xr:uid="{00000000-0005-0000-0000-000032560000}"/>
    <cellStyle name="Normal 61 69" xfId="11769" xr:uid="{00000000-0005-0000-0000-000033560000}"/>
    <cellStyle name="Normal 61 69 2" xfId="23921" xr:uid="{00000000-0005-0000-0000-000034560000}"/>
    <cellStyle name="Normal 61 7" xfId="11770" xr:uid="{00000000-0005-0000-0000-000035560000}"/>
    <cellStyle name="Normal 61 7 2" xfId="23922" xr:uid="{00000000-0005-0000-0000-000036560000}"/>
    <cellStyle name="Normal 61 70" xfId="11771" xr:uid="{00000000-0005-0000-0000-000037560000}"/>
    <cellStyle name="Normal 61 70 2" xfId="23923" xr:uid="{00000000-0005-0000-0000-000038560000}"/>
    <cellStyle name="Normal 61 71" xfId="11772" xr:uid="{00000000-0005-0000-0000-000039560000}"/>
    <cellStyle name="Normal 61 71 2" xfId="23924" xr:uid="{00000000-0005-0000-0000-00003A560000}"/>
    <cellStyle name="Normal 61 72" xfId="11773" xr:uid="{00000000-0005-0000-0000-00003B560000}"/>
    <cellStyle name="Normal 61 72 2" xfId="23925" xr:uid="{00000000-0005-0000-0000-00003C560000}"/>
    <cellStyle name="Normal 61 73" xfId="11774" xr:uid="{00000000-0005-0000-0000-00003D560000}"/>
    <cellStyle name="Normal 61 73 2" xfId="23926" xr:uid="{00000000-0005-0000-0000-00003E560000}"/>
    <cellStyle name="Normal 61 74" xfId="11775" xr:uid="{00000000-0005-0000-0000-00003F560000}"/>
    <cellStyle name="Normal 61 74 2" xfId="23927" xr:uid="{00000000-0005-0000-0000-000040560000}"/>
    <cellStyle name="Normal 61 75" xfId="11776" xr:uid="{00000000-0005-0000-0000-000041560000}"/>
    <cellStyle name="Normal 61 75 2" xfId="23928" xr:uid="{00000000-0005-0000-0000-000042560000}"/>
    <cellStyle name="Normal 61 76" xfId="11777" xr:uid="{00000000-0005-0000-0000-000043560000}"/>
    <cellStyle name="Normal 61 76 2" xfId="23929" xr:uid="{00000000-0005-0000-0000-000044560000}"/>
    <cellStyle name="Normal 61 77" xfId="11778" xr:uid="{00000000-0005-0000-0000-000045560000}"/>
    <cellStyle name="Normal 61 77 2" xfId="23930" xr:uid="{00000000-0005-0000-0000-000046560000}"/>
    <cellStyle name="Normal 61 78" xfId="11779" xr:uid="{00000000-0005-0000-0000-000047560000}"/>
    <cellStyle name="Normal 61 78 2" xfId="23931" xr:uid="{00000000-0005-0000-0000-000048560000}"/>
    <cellStyle name="Normal 61 79" xfId="11780" xr:uid="{00000000-0005-0000-0000-000049560000}"/>
    <cellStyle name="Normal 61 79 2" xfId="23932" xr:uid="{00000000-0005-0000-0000-00004A560000}"/>
    <cellStyle name="Normal 61 8" xfId="11781" xr:uid="{00000000-0005-0000-0000-00004B560000}"/>
    <cellStyle name="Normal 61 8 2" xfId="23933" xr:uid="{00000000-0005-0000-0000-00004C560000}"/>
    <cellStyle name="Normal 61 80" xfId="23856" xr:uid="{00000000-0005-0000-0000-00004D560000}"/>
    <cellStyle name="Normal 61 9" xfId="11782" xr:uid="{00000000-0005-0000-0000-00004E560000}"/>
    <cellStyle name="Normal 61 9 2" xfId="23934" xr:uid="{00000000-0005-0000-0000-00004F560000}"/>
    <cellStyle name="Normal 62" xfId="188" xr:uid="{00000000-0005-0000-0000-000050560000}"/>
    <cellStyle name="Normal 62 10" xfId="11783" xr:uid="{00000000-0005-0000-0000-000051560000}"/>
    <cellStyle name="Normal 62 10 2" xfId="23936" xr:uid="{00000000-0005-0000-0000-000052560000}"/>
    <cellStyle name="Normal 62 11" xfId="11784" xr:uid="{00000000-0005-0000-0000-000053560000}"/>
    <cellStyle name="Normal 62 11 2" xfId="23937" xr:uid="{00000000-0005-0000-0000-000054560000}"/>
    <cellStyle name="Normal 62 12" xfId="11785" xr:uid="{00000000-0005-0000-0000-000055560000}"/>
    <cellStyle name="Normal 62 12 2" xfId="23938" xr:uid="{00000000-0005-0000-0000-000056560000}"/>
    <cellStyle name="Normal 62 13" xfId="11786" xr:uid="{00000000-0005-0000-0000-000057560000}"/>
    <cellStyle name="Normal 62 13 2" xfId="23939" xr:uid="{00000000-0005-0000-0000-000058560000}"/>
    <cellStyle name="Normal 62 14" xfId="11787" xr:uid="{00000000-0005-0000-0000-000059560000}"/>
    <cellStyle name="Normal 62 14 2" xfId="23940" xr:uid="{00000000-0005-0000-0000-00005A560000}"/>
    <cellStyle name="Normal 62 15" xfId="11788" xr:uid="{00000000-0005-0000-0000-00005B560000}"/>
    <cellStyle name="Normal 62 15 2" xfId="23941" xr:uid="{00000000-0005-0000-0000-00005C560000}"/>
    <cellStyle name="Normal 62 16" xfId="11789" xr:uid="{00000000-0005-0000-0000-00005D560000}"/>
    <cellStyle name="Normal 62 16 2" xfId="23942" xr:uid="{00000000-0005-0000-0000-00005E560000}"/>
    <cellStyle name="Normal 62 17" xfId="11790" xr:uid="{00000000-0005-0000-0000-00005F560000}"/>
    <cellStyle name="Normal 62 17 2" xfId="23943" xr:uid="{00000000-0005-0000-0000-000060560000}"/>
    <cellStyle name="Normal 62 18" xfId="11791" xr:uid="{00000000-0005-0000-0000-000061560000}"/>
    <cellStyle name="Normal 62 18 2" xfId="23944" xr:uid="{00000000-0005-0000-0000-000062560000}"/>
    <cellStyle name="Normal 62 19" xfId="11792" xr:uid="{00000000-0005-0000-0000-000063560000}"/>
    <cellStyle name="Normal 62 19 2" xfId="23945" xr:uid="{00000000-0005-0000-0000-000064560000}"/>
    <cellStyle name="Normal 62 2" xfId="751" xr:uid="{00000000-0005-0000-0000-000065560000}"/>
    <cellStyle name="Normal 62 2 2" xfId="23946" xr:uid="{00000000-0005-0000-0000-000066560000}"/>
    <cellStyle name="Normal 62 2 3" xfId="11793" xr:uid="{00000000-0005-0000-0000-000067560000}"/>
    <cellStyle name="Normal 62 20" xfId="11794" xr:uid="{00000000-0005-0000-0000-000068560000}"/>
    <cellStyle name="Normal 62 20 2" xfId="23947" xr:uid="{00000000-0005-0000-0000-000069560000}"/>
    <cellStyle name="Normal 62 21" xfId="11795" xr:uid="{00000000-0005-0000-0000-00006A560000}"/>
    <cellStyle name="Normal 62 21 2" xfId="23948" xr:uid="{00000000-0005-0000-0000-00006B560000}"/>
    <cellStyle name="Normal 62 22" xfId="11796" xr:uid="{00000000-0005-0000-0000-00006C560000}"/>
    <cellStyle name="Normal 62 22 2" xfId="23949" xr:uid="{00000000-0005-0000-0000-00006D560000}"/>
    <cellStyle name="Normal 62 23" xfId="11797" xr:uid="{00000000-0005-0000-0000-00006E560000}"/>
    <cellStyle name="Normal 62 23 2" xfId="23950" xr:uid="{00000000-0005-0000-0000-00006F560000}"/>
    <cellStyle name="Normal 62 24" xfId="11798" xr:uid="{00000000-0005-0000-0000-000070560000}"/>
    <cellStyle name="Normal 62 24 2" xfId="23951" xr:uid="{00000000-0005-0000-0000-000071560000}"/>
    <cellStyle name="Normal 62 25" xfId="11799" xr:uid="{00000000-0005-0000-0000-000072560000}"/>
    <cellStyle name="Normal 62 25 2" xfId="23952" xr:uid="{00000000-0005-0000-0000-000073560000}"/>
    <cellStyle name="Normal 62 26" xfId="11800" xr:uid="{00000000-0005-0000-0000-000074560000}"/>
    <cellStyle name="Normal 62 26 2" xfId="23953" xr:uid="{00000000-0005-0000-0000-000075560000}"/>
    <cellStyle name="Normal 62 27" xfId="11801" xr:uid="{00000000-0005-0000-0000-000076560000}"/>
    <cellStyle name="Normal 62 27 2" xfId="23954" xr:uid="{00000000-0005-0000-0000-000077560000}"/>
    <cellStyle name="Normal 62 28" xfId="11802" xr:uid="{00000000-0005-0000-0000-000078560000}"/>
    <cellStyle name="Normal 62 28 2" xfId="23955" xr:uid="{00000000-0005-0000-0000-000079560000}"/>
    <cellStyle name="Normal 62 29" xfId="11803" xr:uid="{00000000-0005-0000-0000-00007A560000}"/>
    <cellStyle name="Normal 62 29 2" xfId="23956" xr:uid="{00000000-0005-0000-0000-00007B560000}"/>
    <cellStyle name="Normal 62 3" xfId="403" xr:uid="{00000000-0005-0000-0000-00007C560000}"/>
    <cellStyle name="Normal 62 3 2" xfId="23957" xr:uid="{00000000-0005-0000-0000-00007D560000}"/>
    <cellStyle name="Normal 62 30" xfId="11804" xr:uid="{00000000-0005-0000-0000-00007E560000}"/>
    <cellStyle name="Normal 62 30 2" xfId="23958" xr:uid="{00000000-0005-0000-0000-00007F560000}"/>
    <cellStyle name="Normal 62 31" xfId="11805" xr:uid="{00000000-0005-0000-0000-000080560000}"/>
    <cellStyle name="Normal 62 31 2" xfId="23959" xr:uid="{00000000-0005-0000-0000-000081560000}"/>
    <cellStyle name="Normal 62 32" xfId="11806" xr:uid="{00000000-0005-0000-0000-000082560000}"/>
    <cellStyle name="Normal 62 32 2" xfId="23960" xr:uid="{00000000-0005-0000-0000-000083560000}"/>
    <cellStyle name="Normal 62 33" xfId="11807" xr:uid="{00000000-0005-0000-0000-000084560000}"/>
    <cellStyle name="Normal 62 33 2" xfId="23961" xr:uid="{00000000-0005-0000-0000-000085560000}"/>
    <cellStyle name="Normal 62 34" xfId="11808" xr:uid="{00000000-0005-0000-0000-000086560000}"/>
    <cellStyle name="Normal 62 34 2" xfId="23962" xr:uid="{00000000-0005-0000-0000-000087560000}"/>
    <cellStyle name="Normal 62 35" xfId="11809" xr:uid="{00000000-0005-0000-0000-000088560000}"/>
    <cellStyle name="Normal 62 35 2" xfId="23963" xr:uid="{00000000-0005-0000-0000-000089560000}"/>
    <cellStyle name="Normal 62 36" xfId="11810" xr:uid="{00000000-0005-0000-0000-00008A560000}"/>
    <cellStyle name="Normal 62 36 2" xfId="23964" xr:uid="{00000000-0005-0000-0000-00008B560000}"/>
    <cellStyle name="Normal 62 37" xfId="11811" xr:uid="{00000000-0005-0000-0000-00008C560000}"/>
    <cellStyle name="Normal 62 37 2" xfId="23965" xr:uid="{00000000-0005-0000-0000-00008D560000}"/>
    <cellStyle name="Normal 62 38" xfId="11812" xr:uid="{00000000-0005-0000-0000-00008E560000}"/>
    <cellStyle name="Normal 62 38 2" xfId="23966" xr:uid="{00000000-0005-0000-0000-00008F560000}"/>
    <cellStyle name="Normal 62 39" xfId="11813" xr:uid="{00000000-0005-0000-0000-000090560000}"/>
    <cellStyle name="Normal 62 39 2" xfId="23967" xr:uid="{00000000-0005-0000-0000-000091560000}"/>
    <cellStyle name="Normal 62 4" xfId="11814" xr:uid="{00000000-0005-0000-0000-000092560000}"/>
    <cellStyle name="Normal 62 4 2" xfId="23968" xr:uid="{00000000-0005-0000-0000-000093560000}"/>
    <cellStyle name="Normal 62 40" xfId="11815" xr:uid="{00000000-0005-0000-0000-000094560000}"/>
    <cellStyle name="Normal 62 40 2" xfId="23969" xr:uid="{00000000-0005-0000-0000-000095560000}"/>
    <cellStyle name="Normal 62 41" xfId="11816" xr:uid="{00000000-0005-0000-0000-000096560000}"/>
    <cellStyle name="Normal 62 41 2" xfId="23970" xr:uid="{00000000-0005-0000-0000-000097560000}"/>
    <cellStyle name="Normal 62 42" xfId="11817" xr:uid="{00000000-0005-0000-0000-000098560000}"/>
    <cellStyle name="Normal 62 42 2" xfId="23971" xr:uid="{00000000-0005-0000-0000-000099560000}"/>
    <cellStyle name="Normal 62 43" xfId="11818" xr:uid="{00000000-0005-0000-0000-00009A560000}"/>
    <cellStyle name="Normal 62 43 2" xfId="23972" xr:uid="{00000000-0005-0000-0000-00009B560000}"/>
    <cellStyle name="Normal 62 44" xfId="11819" xr:uid="{00000000-0005-0000-0000-00009C560000}"/>
    <cellStyle name="Normal 62 44 2" xfId="23973" xr:uid="{00000000-0005-0000-0000-00009D560000}"/>
    <cellStyle name="Normal 62 45" xfId="11820" xr:uid="{00000000-0005-0000-0000-00009E560000}"/>
    <cellStyle name="Normal 62 45 2" xfId="23974" xr:uid="{00000000-0005-0000-0000-00009F560000}"/>
    <cellStyle name="Normal 62 46" xfId="11821" xr:uid="{00000000-0005-0000-0000-0000A0560000}"/>
    <cellStyle name="Normal 62 46 2" xfId="23975" xr:uid="{00000000-0005-0000-0000-0000A1560000}"/>
    <cellStyle name="Normal 62 47" xfId="11822" xr:uid="{00000000-0005-0000-0000-0000A2560000}"/>
    <cellStyle name="Normal 62 47 2" xfId="23976" xr:uid="{00000000-0005-0000-0000-0000A3560000}"/>
    <cellStyle name="Normal 62 48" xfId="11823" xr:uid="{00000000-0005-0000-0000-0000A4560000}"/>
    <cellStyle name="Normal 62 48 2" xfId="23977" xr:uid="{00000000-0005-0000-0000-0000A5560000}"/>
    <cellStyle name="Normal 62 49" xfId="11824" xr:uid="{00000000-0005-0000-0000-0000A6560000}"/>
    <cellStyle name="Normal 62 49 2" xfId="23978" xr:uid="{00000000-0005-0000-0000-0000A7560000}"/>
    <cellStyle name="Normal 62 5" xfId="11825" xr:uid="{00000000-0005-0000-0000-0000A8560000}"/>
    <cellStyle name="Normal 62 5 2" xfId="23979" xr:uid="{00000000-0005-0000-0000-0000A9560000}"/>
    <cellStyle name="Normal 62 50" xfId="11826" xr:uid="{00000000-0005-0000-0000-0000AA560000}"/>
    <cellStyle name="Normal 62 50 2" xfId="23980" xr:uid="{00000000-0005-0000-0000-0000AB560000}"/>
    <cellStyle name="Normal 62 51" xfId="11827" xr:uid="{00000000-0005-0000-0000-0000AC560000}"/>
    <cellStyle name="Normal 62 51 2" xfId="23981" xr:uid="{00000000-0005-0000-0000-0000AD560000}"/>
    <cellStyle name="Normal 62 52" xfId="11828" xr:uid="{00000000-0005-0000-0000-0000AE560000}"/>
    <cellStyle name="Normal 62 52 2" xfId="23982" xr:uid="{00000000-0005-0000-0000-0000AF560000}"/>
    <cellStyle name="Normal 62 53" xfId="11829" xr:uid="{00000000-0005-0000-0000-0000B0560000}"/>
    <cellStyle name="Normal 62 53 2" xfId="23983" xr:uid="{00000000-0005-0000-0000-0000B1560000}"/>
    <cellStyle name="Normal 62 54" xfId="11830" xr:uid="{00000000-0005-0000-0000-0000B2560000}"/>
    <cellStyle name="Normal 62 54 2" xfId="23984" xr:uid="{00000000-0005-0000-0000-0000B3560000}"/>
    <cellStyle name="Normal 62 55" xfId="11831" xr:uid="{00000000-0005-0000-0000-0000B4560000}"/>
    <cellStyle name="Normal 62 55 2" xfId="23985" xr:uid="{00000000-0005-0000-0000-0000B5560000}"/>
    <cellStyle name="Normal 62 56" xfId="11832" xr:uid="{00000000-0005-0000-0000-0000B6560000}"/>
    <cellStyle name="Normal 62 56 2" xfId="23986" xr:uid="{00000000-0005-0000-0000-0000B7560000}"/>
    <cellStyle name="Normal 62 57" xfId="11833" xr:uid="{00000000-0005-0000-0000-0000B8560000}"/>
    <cellStyle name="Normal 62 57 2" xfId="23987" xr:uid="{00000000-0005-0000-0000-0000B9560000}"/>
    <cellStyle name="Normal 62 58" xfId="11834" xr:uid="{00000000-0005-0000-0000-0000BA560000}"/>
    <cellStyle name="Normal 62 58 2" xfId="23988" xr:uid="{00000000-0005-0000-0000-0000BB560000}"/>
    <cellStyle name="Normal 62 59" xfId="11835" xr:uid="{00000000-0005-0000-0000-0000BC560000}"/>
    <cellStyle name="Normal 62 59 2" xfId="23989" xr:uid="{00000000-0005-0000-0000-0000BD560000}"/>
    <cellStyle name="Normal 62 6" xfId="11836" xr:uid="{00000000-0005-0000-0000-0000BE560000}"/>
    <cellStyle name="Normal 62 6 2" xfId="23990" xr:uid="{00000000-0005-0000-0000-0000BF560000}"/>
    <cellStyle name="Normal 62 60" xfId="11837" xr:uid="{00000000-0005-0000-0000-0000C0560000}"/>
    <cellStyle name="Normal 62 60 2" xfId="23991" xr:uid="{00000000-0005-0000-0000-0000C1560000}"/>
    <cellStyle name="Normal 62 61" xfId="11838" xr:uid="{00000000-0005-0000-0000-0000C2560000}"/>
    <cellStyle name="Normal 62 61 2" xfId="23992" xr:uid="{00000000-0005-0000-0000-0000C3560000}"/>
    <cellStyle name="Normal 62 62" xfId="11839" xr:uid="{00000000-0005-0000-0000-0000C4560000}"/>
    <cellStyle name="Normal 62 62 2" xfId="23993" xr:uid="{00000000-0005-0000-0000-0000C5560000}"/>
    <cellStyle name="Normal 62 63" xfId="11840" xr:uid="{00000000-0005-0000-0000-0000C6560000}"/>
    <cellStyle name="Normal 62 63 2" xfId="23994" xr:uid="{00000000-0005-0000-0000-0000C7560000}"/>
    <cellStyle name="Normal 62 64" xfId="11841" xr:uid="{00000000-0005-0000-0000-0000C8560000}"/>
    <cellStyle name="Normal 62 64 2" xfId="23995" xr:uid="{00000000-0005-0000-0000-0000C9560000}"/>
    <cellStyle name="Normal 62 65" xfId="11842" xr:uid="{00000000-0005-0000-0000-0000CA560000}"/>
    <cellStyle name="Normal 62 65 2" xfId="23996" xr:uid="{00000000-0005-0000-0000-0000CB560000}"/>
    <cellStyle name="Normal 62 66" xfId="11843" xr:uid="{00000000-0005-0000-0000-0000CC560000}"/>
    <cellStyle name="Normal 62 66 2" xfId="23997" xr:uid="{00000000-0005-0000-0000-0000CD560000}"/>
    <cellStyle name="Normal 62 67" xfId="11844" xr:uid="{00000000-0005-0000-0000-0000CE560000}"/>
    <cellStyle name="Normal 62 67 2" xfId="23998" xr:uid="{00000000-0005-0000-0000-0000CF560000}"/>
    <cellStyle name="Normal 62 68" xfId="11845" xr:uid="{00000000-0005-0000-0000-0000D0560000}"/>
    <cellStyle name="Normal 62 68 2" xfId="23999" xr:uid="{00000000-0005-0000-0000-0000D1560000}"/>
    <cellStyle name="Normal 62 69" xfId="11846" xr:uid="{00000000-0005-0000-0000-0000D2560000}"/>
    <cellStyle name="Normal 62 69 2" xfId="24000" xr:uid="{00000000-0005-0000-0000-0000D3560000}"/>
    <cellStyle name="Normal 62 7" xfId="11847" xr:uid="{00000000-0005-0000-0000-0000D4560000}"/>
    <cellStyle name="Normal 62 7 2" xfId="24001" xr:uid="{00000000-0005-0000-0000-0000D5560000}"/>
    <cellStyle name="Normal 62 70" xfId="11848" xr:uid="{00000000-0005-0000-0000-0000D6560000}"/>
    <cellStyle name="Normal 62 70 2" xfId="24002" xr:uid="{00000000-0005-0000-0000-0000D7560000}"/>
    <cellStyle name="Normal 62 71" xfId="11849" xr:uid="{00000000-0005-0000-0000-0000D8560000}"/>
    <cellStyle name="Normal 62 71 2" xfId="24003" xr:uid="{00000000-0005-0000-0000-0000D9560000}"/>
    <cellStyle name="Normal 62 72" xfId="11850" xr:uid="{00000000-0005-0000-0000-0000DA560000}"/>
    <cellStyle name="Normal 62 72 2" xfId="24004" xr:uid="{00000000-0005-0000-0000-0000DB560000}"/>
    <cellStyle name="Normal 62 73" xfId="11851" xr:uid="{00000000-0005-0000-0000-0000DC560000}"/>
    <cellStyle name="Normal 62 73 2" xfId="24005" xr:uid="{00000000-0005-0000-0000-0000DD560000}"/>
    <cellStyle name="Normal 62 74" xfId="11852" xr:uid="{00000000-0005-0000-0000-0000DE560000}"/>
    <cellStyle name="Normal 62 74 2" xfId="24006" xr:uid="{00000000-0005-0000-0000-0000DF560000}"/>
    <cellStyle name="Normal 62 75" xfId="11853" xr:uid="{00000000-0005-0000-0000-0000E0560000}"/>
    <cellStyle name="Normal 62 75 2" xfId="24007" xr:uid="{00000000-0005-0000-0000-0000E1560000}"/>
    <cellStyle name="Normal 62 76" xfId="11854" xr:uid="{00000000-0005-0000-0000-0000E2560000}"/>
    <cellStyle name="Normal 62 76 2" xfId="24008" xr:uid="{00000000-0005-0000-0000-0000E3560000}"/>
    <cellStyle name="Normal 62 77" xfId="11855" xr:uid="{00000000-0005-0000-0000-0000E4560000}"/>
    <cellStyle name="Normal 62 77 2" xfId="24009" xr:uid="{00000000-0005-0000-0000-0000E5560000}"/>
    <cellStyle name="Normal 62 78" xfId="11856" xr:uid="{00000000-0005-0000-0000-0000E6560000}"/>
    <cellStyle name="Normal 62 78 2" xfId="24010" xr:uid="{00000000-0005-0000-0000-0000E7560000}"/>
    <cellStyle name="Normal 62 79" xfId="11857" xr:uid="{00000000-0005-0000-0000-0000E8560000}"/>
    <cellStyle name="Normal 62 79 2" xfId="24011" xr:uid="{00000000-0005-0000-0000-0000E9560000}"/>
    <cellStyle name="Normal 62 8" xfId="11858" xr:uid="{00000000-0005-0000-0000-0000EA560000}"/>
    <cellStyle name="Normal 62 8 2" xfId="24012" xr:uid="{00000000-0005-0000-0000-0000EB560000}"/>
    <cellStyle name="Normal 62 80" xfId="23935" xr:uid="{00000000-0005-0000-0000-0000EC560000}"/>
    <cellStyle name="Normal 62 9" xfId="11859" xr:uid="{00000000-0005-0000-0000-0000ED560000}"/>
    <cellStyle name="Normal 62 9 2" xfId="24013" xr:uid="{00000000-0005-0000-0000-0000EE560000}"/>
    <cellStyle name="Normal 63" xfId="189" xr:uid="{00000000-0005-0000-0000-0000EF560000}"/>
    <cellStyle name="Normal 63 10" xfId="11860" xr:uid="{00000000-0005-0000-0000-0000F0560000}"/>
    <cellStyle name="Normal 63 10 2" xfId="24015" xr:uid="{00000000-0005-0000-0000-0000F1560000}"/>
    <cellStyle name="Normal 63 11" xfId="11861" xr:uid="{00000000-0005-0000-0000-0000F2560000}"/>
    <cellStyle name="Normal 63 11 2" xfId="24016" xr:uid="{00000000-0005-0000-0000-0000F3560000}"/>
    <cellStyle name="Normal 63 12" xfId="11862" xr:uid="{00000000-0005-0000-0000-0000F4560000}"/>
    <cellStyle name="Normal 63 12 2" xfId="24017" xr:uid="{00000000-0005-0000-0000-0000F5560000}"/>
    <cellStyle name="Normal 63 13" xfId="11863" xr:uid="{00000000-0005-0000-0000-0000F6560000}"/>
    <cellStyle name="Normal 63 13 2" xfId="24018" xr:uid="{00000000-0005-0000-0000-0000F7560000}"/>
    <cellStyle name="Normal 63 14" xfId="11864" xr:uid="{00000000-0005-0000-0000-0000F8560000}"/>
    <cellStyle name="Normal 63 14 2" xfId="24019" xr:uid="{00000000-0005-0000-0000-0000F9560000}"/>
    <cellStyle name="Normal 63 15" xfId="11865" xr:uid="{00000000-0005-0000-0000-0000FA560000}"/>
    <cellStyle name="Normal 63 15 2" xfId="24020" xr:uid="{00000000-0005-0000-0000-0000FB560000}"/>
    <cellStyle name="Normal 63 16" xfId="11866" xr:uid="{00000000-0005-0000-0000-0000FC560000}"/>
    <cellStyle name="Normal 63 16 2" xfId="24021" xr:uid="{00000000-0005-0000-0000-0000FD560000}"/>
    <cellStyle name="Normal 63 17" xfId="11867" xr:uid="{00000000-0005-0000-0000-0000FE560000}"/>
    <cellStyle name="Normal 63 17 2" xfId="24022" xr:uid="{00000000-0005-0000-0000-0000FF560000}"/>
    <cellStyle name="Normal 63 18" xfId="11868" xr:uid="{00000000-0005-0000-0000-000000570000}"/>
    <cellStyle name="Normal 63 18 2" xfId="24023" xr:uid="{00000000-0005-0000-0000-000001570000}"/>
    <cellStyle name="Normal 63 19" xfId="11869" xr:uid="{00000000-0005-0000-0000-000002570000}"/>
    <cellStyle name="Normal 63 19 2" xfId="24024" xr:uid="{00000000-0005-0000-0000-000003570000}"/>
    <cellStyle name="Normal 63 2" xfId="806" xr:uid="{00000000-0005-0000-0000-000004570000}"/>
    <cellStyle name="Normal 63 2 2" xfId="24025" xr:uid="{00000000-0005-0000-0000-000005570000}"/>
    <cellStyle name="Normal 63 20" xfId="11870" xr:uid="{00000000-0005-0000-0000-000006570000}"/>
    <cellStyle name="Normal 63 20 2" xfId="24026" xr:uid="{00000000-0005-0000-0000-000007570000}"/>
    <cellStyle name="Normal 63 21" xfId="11871" xr:uid="{00000000-0005-0000-0000-000008570000}"/>
    <cellStyle name="Normal 63 21 2" xfId="24027" xr:uid="{00000000-0005-0000-0000-000009570000}"/>
    <cellStyle name="Normal 63 22" xfId="11872" xr:uid="{00000000-0005-0000-0000-00000A570000}"/>
    <cellStyle name="Normal 63 22 2" xfId="24028" xr:uid="{00000000-0005-0000-0000-00000B570000}"/>
    <cellStyle name="Normal 63 23" xfId="11873" xr:uid="{00000000-0005-0000-0000-00000C570000}"/>
    <cellStyle name="Normal 63 23 2" xfId="24029" xr:uid="{00000000-0005-0000-0000-00000D570000}"/>
    <cellStyle name="Normal 63 24" xfId="11874" xr:uid="{00000000-0005-0000-0000-00000E570000}"/>
    <cellStyle name="Normal 63 24 2" xfId="24030" xr:uid="{00000000-0005-0000-0000-00000F570000}"/>
    <cellStyle name="Normal 63 25" xfId="11875" xr:uid="{00000000-0005-0000-0000-000010570000}"/>
    <cellStyle name="Normal 63 25 2" xfId="24031" xr:uid="{00000000-0005-0000-0000-000011570000}"/>
    <cellStyle name="Normal 63 26" xfId="11876" xr:uid="{00000000-0005-0000-0000-000012570000}"/>
    <cellStyle name="Normal 63 26 2" xfId="24032" xr:uid="{00000000-0005-0000-0000-000013570000}"/>
    <cellStyle name="Normal 63 27" xfId="11877" xr:uid="{00000000-0005-0000-0000-000014570000}"/>
    <cellStyle name="Normal 63 27 2" xfId="24033" xr:uid="{00000000-0005-0000-0000-000015570000}"/>
    <cellStyle name="Normal 63 28" xfId="11878" xr:uid="{00000000-0005-0000-0000-000016570000}"/>
    <cellStyle name="Normal 63 28 2" xfId="24034" xr:uid="{00000000-0005-0000-0000-000017570000}"/>
    <cellStyle name="Normal 63 29" xfId="11879" xr:uid="{00000000-0005-0000-0000-000018570000}"/>
    <cellStyle name="Normal 63 29 2" xfId="24035" xr:uid="{00000000-0005-0000-0000-000019570000}"/>
    <cellStyle name="Normal 63 3" xfId="752" xr:uid="{00000000-0005-0000-0000-00001A570000}"/>
    <cellStyle name="Normal 63 3 2" xfId="24036" xr:uid="{00000000-0005-0000-0000-00001B570000}"/>
    <cellStyle name="Normal 63 3 3" xfId="11880" xr:uid="{00000000-0005-0000-0000-00001C570000}"/>
    <cellStyle name="Normal 63 30" xfId="11881" xr:uid="{00000000-0005-0000-0000-00001D570000}"/>
    <cellStyle name="Normal 63 30 2" xfId="24037" xr:uid="{00000000-0005-0000-0000-00001E570000}"/>
    <cellStyle name="Normal 63 31" xfId="11882" xr:uid="{00000000-0005-0000-0000-00001F570000}"/>
    <cellStyle name="Normal 63 31 2" xfId="24038" xr:uid="{00000000-0005-0000-0000-000020570000}"/>
    <cellStyle name="Normal 63 32" xfId="11883" xr:uid="{00000000-0005-0000-0000-000021570000}"/>
    <cellStyle name="Normal 63 32 2" xfId="24039" xr:uid="{00000000-0005-0000-0000-000022570000}"/>
    <cellStyle name="Normal 63 33" xfId="11884" xr:uid="{00000000-0005-0000-0000-000023570000}"/>
    <cellStyle name="Normal 63 33 2" xfId="24040" xr:uid="{00000000-0005-0000-0000-000024570000}"/>
    <cellStyle name="Normal 63 34" xfId="11885" xr:uid="{00000000-0005-0000-0000-000025570000}"/>
    <cellStyle name="Normal 63 34 2" xfId="24041" xr:uid="{00000000-0005-0000-0000-000026570000}"/>
    <cellStyle name="Normal 63 35" xfId="11886" xr:uid="{00000000-0005-0000-0000-000027570000}"/>
    <cellStyle name="Normal 63 35 2" xfId="24042" xr:uid="{00000000-0005-0000-0000-000028570000}"/>
    <cellStyle name="Normal 63 36" xfId="11887" xr:uid="{00000000-0005-0000-0000-000029570000}"/>
    <cellStyle name="Normal 63 36 2" xfId="24043" xr:uid="{00000000-0005-0000-0000-00002A570000}"/>
    <cellStyle name="Normal 63 37" xfId="11888" xr:uid="{00000000-0005-0000-0000-00002B570000}"/>
    <cellStyle name="Normal 63 37 2" xfId="24044" xr:uid="{00000000-0005-0000-0000-00002C570000}"/>
    <cellStyle name="Normal 63 38" xfId="11889" xr:uid="{00000000-0005-0000-0000-00002D570000}"/>
    <cellStyle name="Normal 63 38 2" xfId="24045" xr:uid="{00000000-0005-0000-0000-00002E570000}"/>
    <cellStyle name="Normal 63 39" xfId="11890" xr:uid="{00000000-0005-0000-0000-00002F570000}"/>
    <cellStyle name="Normal 63 39 2" xfId="24046" xr:uid="{00000000-0005-0000-0000-000030570000}"/>
    <cellStyle name="Normal 63 4" xfId="404" xr:uid="{00000000-0005-0000-0000-000031570000}"/>
    <cellStyle name="Normal 63 4 2" xfId="24047" xr:uid="{00000000-0005-0000-0000-000032570000}"/>
    <cellStyle name="Normal 63 40" xfId="11891" xr:uid="{00000000-0005-0000-0000-000033570000}"/>
    <cellStyle name="Normal 63 40 2" xfId="24048" xr:uid="{00000000-0005-0000-0000-000034570000}"/>
    <cellStyle name="Normal 63 41" xfId="11892" xr:uid="{00000000-0005-0000-0000-000035570000}"/>
    <cellStyle name="Normal 63 41 2" xfId="24049" xr:uid="{00000000-0005-0000-0000-000036570000}"/>
    <cellStyle name="Normal 63 42" xfId="11893" xr:uid="{00000000-0005-0000-0000-000037570000}"/>
    <cellStyle name="Normal 63 42 2" xfId="24050" xr:uid="{00000000-0005-0000-0000-000038570000}"/>
    <cellStyle name="Normal 63 43" xfId="11894" xr:uid="{00000000-0005-0000-0000-000039570000}"/>
    <cellStyle name="Normal 63 43 2" xfId="24051" xr:uid="{00000000-0005-0000-0000-00003A570000}"/>
    <cellStyle name="Normal 63 44" xfId="11895" xr:uid="{00000000-0005-0000-0000-00003B570000}"/>
    <cellStyle name="Normal 63 44 2" xfId="24052" xr:uid="{00000000-0005-0000-0000-00003C570000}"/>
    <cellStyle name="Normal 63 45" xfId="11896" xr:uid="{00000000-0005-0000-0000-00003D570000}"/>
    <cellStyle name="Normal 63 45 2" xfId="24053" xr:uid="{00000000-0005-0000-0000-00003E570000}"/>
    <cellStyle name="Normal 63 46" xfId="11897" xr:uid="{00000000-0005-0000-0000-00003F570000}"/>
    <cellStyle name="Normal 63 46 2" xfId="24054" xr:uid="{00000000-0005-0000-0000-000040570000}"/>
    <cellStyle name="Normal 63 47" xfId="11898" xr:uid="{00000000-0005-0000-0000-000041570000}"/>
    <cellStyle name="Normal 63 47 2" xfId="24055" xr:uid="{00000000-0005-0000-0000-000042570000}"/>
    <cellStyle name="Normal 63 48" xfId="11899" xr:uid="{00000000-0005-0000-0000-000043570000}"/>
    <cellStyle name="Normal 63 48 2" xfId="24056" xr:uid="{00000000-0005-0000-0000-000044570000}"/>
    <cellStyle name="Normal 63 49" xfId="11900" xr:uid="{00000000-0005-0000-0000-000045570000}"/>
    <cellStyle name="Normal 63 49 2" xfId="24057" xr:uid="{00000000-0005-0000-0000-000046570000}"/>
    <cellStyle name="Normal 63 5" xfId="11901" xr:uid="{00000000-0005-0000-0000-000047570000}"/>
    <cellStyle name="Normal 63 5 2" xfId="24058" xr:uid="{00000000-0005-0000-0000-000048570000}"/>
    <cellStyle name="Normal 63 50" xfId="11902" xr:uid="{00000000-0005-0000-0000-000049570000}"/>
    <cellStyle name="Normal 63 50 2" xfId="24059" xr:uid="{00000000-0005-0000-0000-00004A570000}"/>
    <cellStyle name="Normal 63 51" xfId="11903" xr:uid="{00000000-0005-0000-0000-00004B570000}"/>
    <cellStyle name="Normal 63 51 2" xfId="24060" xr:uid="{00000000-0005-0000-0000-00004C570000}"/>
    <cellStyle name="Normal 63 52" xfId="11904" xr:uid="{00000000-0005-0000-0000-00004D570000}"/>
    <cellStyle name="Normal 63 52 2" xfId="24061" xr:uid="{00000000-0005-0000-0000-00004E570000}"/>
    <cellStyle name="Normal 63 53" xfId="11905" xr:uid="{00000000-0005-0000-0000-00004F570000}"/>
    <cellStyle name="Normal 63 53 2" xfId="24062" xr:uid="{00000000-0005-0000-0000-000050570000}"/>
    <cellStyle name="Normal 63 54" xfId="11906" xr:uid="{00000000-0005-0000-0000-000051570000}"/>
    <cellStyle name="Normal 63 54 2" xfId="24063" xr:uid="{00000000-0005-0000-0000-000052570000}"/>
    <cellStyle name="Normal 63 55" xfId="11907" xr:uid="{00000000-0005-0000-0000-000053570000}"/>
    <cellStyle name="Normal 63 55 2" xfId="24064" xr:uid="{00000000-0005-0000-0000-000054570000}"/>
    <cellStyle name="Normal 63 56" xfId="11908" xr:uid="{00000000-0005-0000-0000-000055570000}"/>
    <cellStyle name="Normal 63 56 2" xfId="24065" xr:uid="{00000000-0005-0000-0000-000056570000}"/>
    <cellStyle name="Normal 63 57" xfId="11909" xr:uid="{00000000-0005-0000-0000-000057570000}"/>
    <cellStyle name="Normal 63 57 2" xfId="24066" xr:uid="{00000000-0005-0000-0000-000058570000}"/>
    <cellStyle name="Normal 63 58" xfId="11910" xr:uid="{00000000-0005-0000-0000-000059570000}"/>
    <cellStyle name="Normal 63 58 2" xfId="24067" xr:uid="{00000000-0005-0000-0000-00005A570000}"/>
    <cellStyle name="Normal 63 59" xfId="11911" xr:uid="{00000000-0005-0000-0000-00005B570000}"/>
    <cellStyle name="Normal 63 59 2" xfId="24068" xr:uid="{00000000-0005-0000-0000-00005C570000}"/>
    <cellStyle name="Normal 63 6" xfId="11912" xr:uid="{00000000-0005-0000-0000-00005D570000}"/>
    <cellStyle name="Normal 63 6 2" xfId="24069" xr:uid="{00000000-0005-0000-0000-00005E570000}"/>
    <cellStyle name="Normal 63 60" xfId="11913" xr:uid="{00000000-0005-0000-0000-00005F570000}"/>
    <cellStyle name="Normal 63 60 2" xfId="24070" xr:uid="{00000000-0005-0000-0000-000060570000}"/>
    <cellStyle name="Normal 63 61" xfId="11914" xr:uid="{00000000-0005-0000-0000-000061570000}"/>
    <cellStyle name="Normal 63 61 2" xfId="24071" xr:uid="{00000000-0005-0000-0000-000062570000}"/>
    <cellStyle name="Normal 63 62" xfId="11915" xr:uid="{00000000-0005-0000-0000-000063570000}"/>
    <cellStyle name="Normal 63 62 2" xfId="24072" xr:uid="{00000000-0005-0000-0000-000064570000}"/>
    <cellStyle name="Normal 63 63" xfId="11916" xr:uid="{00000000-0005-0000-0000-000065570000}"/>
    <cellStyle name="Normal 63 63 2" xfId="24073" xr:uid="{00000000-0005-0000-0000-000066570000}"/>
    <cellStyle name="Normal 63 64" xfId="11917" xr:uid="{00000000-0005-0000-0000-000067570000}"/>
    <cellStyle name="Normal 63 64 2" xfId="24074" xr:uid="{00000000-0005-0000-0000-000068570000}"/>
    <cellStyle name="Normal 63 65" xfId="11918" xr:uid="{00000000-0005-0000-0000-000069570000}"/>
    <cellStyle name="Normal 63 65 2" xfId="24075" xr:uid="{00000000-0005-0000-0000-00006A570000}"/>
    <cellStyle name="Normal 63 66" xfId="11919" xr:uid="{00000000-0005-0000-0000-00006B570000}"/>
    <cellStyle name="Normal 63 66 2" xfId="24076" xr:uid="{00000000-0005-0000-0000-00006C570000}"/>
    <cellStyle name="Normal 63 67" xfId="11920" xr:uid="{00000000-0005-0000-0000-00006D570000}"/>
    <cellStyle name="Normal 63 67 2" xfId="24077" xr:uid="{00000000-0005-0000-0000-00006E570000}"/>
    <cellStyle name="Normal 63 68" xfId="11921" xr:uid="{00000000-0005-0000-0000-00006F570000}"/>
    <cellStyle name="Normal 63 68 2" xfId="24078" xr:uid="{00000000-0005-0000-0000-000070570000}"/>
    <cellStyle name="Normal 63 69" xfId="11922" xr:uid="{00000000-0005-0000-0000-000071570000}"/>
    <cellStyle name="Normal 63 69 2" xfId="24079" xr:uid="{00000000-0005-0000-0000-000072570000}"/>
    <cellStyle name="Normal 63 7" xfId="11923" xr:uid="{00000000-0005-0000-0000-000073570000}"/>
    <cellStyle name="Normal 63 7 2" xfId="24080" xr:uid="{00000000-0005-0000-0000-000074570000}"/>
    <cellStyle name="Normal 63 70" xfId="11924" xr:uid="{00000000-0005-0000-0000-000075570000}"/>
    <cellStyle name="Normal 63 70 2" xfId="24081" xr:uid="{00000000-0005-0000-0000-000076570000}"/>
    <cellStyle name="Normal 63 71" xfId="11925" xr:uid="{00000000-0005-0000-0000-000077570000}"/>
    <cellStyle name="Normal 63 71 2" xfId="24082" xr:uid="{00000000-0005-0000-0000-000078570000}"/>
    <cellStyle name="Normal 63 72" xfId="11926" xr:uid="{00000000-0005-0000-0000-000079570000}"/>
    <cellStyle name="Normal 63 72 2" xfId="24083" xr:uid="{00000000-0005-0000-0000-00007A570000}"/>
    <cellStyle name="Normal 63 73" xfId="11927" xr:uid="{00000000-0005-0000-0000-00007B570000}"/>
    <cellStyle name="Normal 63 73 2" xfId="24084" xr:uid="{00000000-0005-0000-0000-00007C570000}"/>
    <cellStyle name="Normal 63 74" xfId="11928" xr:uid="{00000000-0005-0000-0000-00007D570000}"/>
    <cellStyle name="Normal 63 74 2" xfId="24085" xr:uid="{00000000-0005-0000-0000-00007E570000}"/>
    <cellStyle name="Normal 63 75" xfId="11929" xr:uid="{00000000-0005-0000-0000-00007F570000}"/>
    <cellStyle name="Normal 63 75 2" xfId="24086" xr:uid="{00000000-0005-0000-0000-000080570000}"/>
    <cellStyle name="Normal 63 76" xfId="11930" xr:uid="{00000000-0005-0000-0000-000081570000}"/>
    <cellStyle name="Normal 63 76 2" xfId="24087" xr:uid="{00000000-0005-0000-0000-000082570000}"/>
    <cellStyle name="Normal 63 77" xfId="11931" xr:uid="{00000000-0005-0000-0000-000083570000}"/>
    <cellStyle name="Normal 63 77 2" xfId="24088" xr:uid="{00000000-0005-0000-0000-000084570000}"/>
    <cellStyle name="Normal 63 78" xfId="11932" xr:uid="{00000000-0005-0000-0000-000085570000}"/>
    <cellStyle name="Normal 63 78 2" xfId="24089" xr:uid="{00000000-0005-0000-0000-000086570000}"/>
    <cellStyle name="Normal 63 79" xfId="11933" xr:uid="{00000000-0005-0000-0000-000087570000}"/>
    <cellStyle name="Normal 63 79 2" xfId="24090" xr:uid="{00000000-0005-0000-0000-000088570000}"/>
    <cellStyle name="Normal 63 8" xfId="11934" xr:uid="{00000000-0005-0000-0000-000089570000}"/>
    <cellStyle name="Normal 63 8 2" xfId="24091" xr:uid="{00000000-0005-0000-0000-00008A570000}"/>
    <cellStyle name="Normal 63 80" xfId="24014" xr:uid="{00000000-0005-0000-0000-00008B570000}"/>
    <cellStyle name="Normal 63 9" xfId="11935" xr:uid="{00000000-0005-0000-0000-00008C570000}"/>
    <cellStyle name="Normal 63 9 2" xfId="24092" xr:uid="{00000000-0005-0000-0000-00008D570000}"/>
    <cellStyle name="Normal 64" xfId="190" xr:uid="{00000000-0005-0000-0000-00008E570000}"/>
    <cellStyle name="Normal 64 10" xfId="11936" xr:uid="{00000000-0005-0000-0000-00008F570000}"/>
    <cellStyle name="Normal 64 10 2" xfId="24094" xr:uid="{00000000-0005-0000-0000-000090570000}"/>
    <cellStyle name="Normal 64 11" xfId="11937" xr:uid="{00000000-0005-0000-0000-000091570000}"/>
    <cellStyle name="Normal 64 11 2" xfId="24095" xr:uid="{00000000-0005-0000-0000-000092570000}"/>
    <cellStyle name="Normal 64 12" xfId="11938" xr:uid="{00000000-0005-0000-0000-000093570000}"/>
    <cellStyle name="Normal 64 12 2" xfId="24096" xr:uid="{00000000-0005-0000-0000-000094570000}"/>
    <cellStyle name="Normal 64 13" xfId="11939" xr:uid="{00000000-0005-0000-0000-000095570000}"/>
    <cellStyle name="Normal 64 13 2" xfId="24097" xr:uid="{00000000-0005-0000-0000-000096570000}"/>
    <cellStyle name="Normal 64 14" xfId="11940" xr:uid="{00000000-0005-0000-0000-000097570000}"/>
    <cellStyle name="Normal 64 14 2" xfId="24098" xr:uid="{00000000-0005-0000-0000-000098570000}"/>
    <cellStyle name="Normal 64 15" xfId="11941" xr:uid="{00000000-0005-0000-0000-000099570000}"/>
    <cellStyle name="Normal 64 15 2" xfId="24099" xr:uid="{00000000-0005-0000-0000-00009A570000}"/>
    <cellStyle name="Normal 64 16" xfId="11942" xr:uid="{00000000-0005-0000-0000-00009B570000}"/>
    <cellStyle name="Normal 64 16 2" xfId="24100" xr:uid="{00000000-0005-0000-0000-00009C570000}"/>
    <cellStyle name="Normal 64 17" xfId="11943" xr:uid="{00000000-0005-0000-0000-00009D570000}"/>
    <cellStyle name="Normal 64 17 2" xfId="24101" xr:uid="{00000000-0005-0000-0000-00009E570000}"/>
    <cellStyle name="Normal 64 18" xfId="11944" xr:uid="{00000000-0005-0000-0000-00009F570000}"/>
    <cellStyle name="Normal 64 18 2" xfId="24102" xr:uid="{00000000-0005-0000-0000-0000A0570000}"/>
    <cellStyle name="Normal 64 19" xfId="11945" xr:uid="{00000000-0005-0000-0000-0000A1570000}"/>
    <cellStyle name="Normal 64 19 2" xfId="24103" xr:uid="{00000000-0005-0000-0000-0000A2570000}"/>
    <cellStyle name="Normal 64 2" xfId="753" xr:uid="{00000000-0005-0000-0000-0000A3570000}"/>
    <cellStyle name="Normal 64 2 2" xfId="24104" xr:uid="{00000000-0005-0000-0000-0000A4570000}"/>
    <cellStyle name="Normal 64 2 3" xfId="11946" xr:uid="{00000000-0005-0000-0000-0000A5570000}"/>
    <cellStyle name="Normal 64 20" xfId="11947" xr:uid="{00000000-0005-0000-0000-0000A6570000}"/>
    <cellStyle name="Normal 64 20 2" xfId="24105" xr:uid="{00000000-0005-0000-0000-0000A7570000}"/>
    <cellStyle name="Normal 64 21" xfId="11948" xr:uid="{00000000-0005-0000-0000-0000A8570000}"/>
    <cellStyle name="Normal 64 21 2" xfId="24106" xr:uid="{00000000-0005-0000-0000-0000A9570000}"/>
    <cellStyle name="Normal 64 22" xfId="11949" xr:uid="{00000000-0005-0000-0000-0000AA570000}"/>
    <cellStyle name="Normal 64 22 2" xfId="24107" xr:uid="{00000000-0005-0000-0000-0000AB570000}"/>
    <cellStyle name="Normal 64 23" xfId="11950" xr:uid="{00000000-0005-0000-0000-0000AC570000}"/>
    <cellStyle name="Normal 64 23 2" xfId="24108" xr:uid="{00000000-0005-0000-0000-0000AD570000}"/>
    <cellStyle name="Normal 64 24" xfId="11951" xr:uid="{00000000-0005-0000-0000-0000AE570000}"/>
    <cellStyle name="Normal 64 24 2" xfId="24109" xr:uid="{00000000-0005-0000-0000-0000AF570000}"/>
    <cellStyle name="Normal 64 25" xfId="11952" xr:uid="{00000000-0005-0000-0000-0000B0570000}"/>
    <cellStyle name="Normal 64 25 2" xfId="24110" xr:uid="{00000000-0005-0000-0000-0000B1570000}"/>
    <cellStyle name="Normal 64 26" xfId="11953" xr:uid="{00000000-0005-0000-0000-0000B2570000}"/>
    <cellStyle name="Normal 64 26 2" xfId="24111" xr:uid="{00000000-0005-0000-0000-0000B3570000}"/>
    <cellStyle name="Normal 64 27" xfId="11954" xr:uid="{00000000-0005-0000-0000-0000B4570000}"/>
    <cellStyle name="Normal 64 27 2" xfId="24112" xr:uid="{00000000-0005-0000-0000-0000B5570000}"/>
    <cellStyle name="Normal 64 28" xfId="11955" xr:uid="{00000000-0005-0000-0000-0000B6570000}"/>
    <cellStyle name="Normal 64 28 2" xfId="24113" xr:uid="{00000000-0005-0000-0000-0000B7570000}"/>
    <cellStyle name="Normal 64 29" xfId="11956" xr:uid="{00000000-0005-0000-0000-0000B8570000}"/>
    <cellStyle name="Normal 64 29 2" xfId="24114" xr:uid="{00000000-0005-0000-0000-0000B9570000}"/>
    <cellStyle name="Normal 64 3" xfId="405" xr:uid="{00000000-0005-0000-0000-0000BA570000}"/>
    <cellStyle name="Normal 64 3 2" xfId="24115" xr:uid="{00000000-0005-0000-0000-0000BB570000}"/>
    <cellStyle name="Normal 64 30" xfId="11957" xr:uid="{00000000-0005-0000-0000-0000BC570000}"/>
    <cellStyle name="Normal 64 30 2" xfId="24116" xr:uid="{00000000-0005-0000-0000-0000BD570000}"/>
    <cellStyle name="Normal 64 31" xfId="11958" xr:uid="{00000000-0005-0000-0000-0000BE570000}"/>
    <cellStyle name="Normal 64 31 2" xfId="24117" xr:uid="{00000000-0005-0000-0000-0000BF570000}"/>
    <cellStyle name="Normal 64 32" xfId="11959" xr:uid="{00000000-0005-0000-0000-0000C0570000}"/>
    <cellStyle name="Normal 64 32 2" xfId="24118" xr:uid="{00000000-0005-0000-0000-0000C1570000}"/>
    <cellStyle name="Normal 64 33" xfId="11960" xr:uid="{00000000-0005-0000-0000-0000C2570000}"/>
    <cellStyle name="Normal 64 33 2" xfId="24119" xr:uid="{00000000-0005-0000-0000-0000C3570000}"/>
    <cellStyle name="Normal 64 34" xfId="11961" xr:uid="{00000000-0005-0000-0000-0000C4570000}"/>
    <cellStyle name="Normal 64 34 2" xfId="24120" xr:uid="{00000000-0005-0000-0000-0000C5570000}"/>
    <cellStyle name="Normal 64 35" xfId="11962" xr:uid="{00000000-0005-0000-0000-0000C6570000}"/>
    <cellStyle name="Normal 64 35 2" xfId="24121" xr:uid="{00000000-0005-0000-0000-0000C7570000}"/>
    <cellStyle name="Normal 64 36" xfId="11963" xr:uid="{00000000-0005-0000-0000-0000C8570000}"/>
    <cellStyle name="Normal 64 36 2" xfId="24122" xr:uid="{00000000-0005-0000-0000-0000C9570000}"/>
    <cellStyle name="Normal 64 37" xfId="11964" xr:uid="{00000000-0005-0000-0000-0000CA570000}"/>
    <cellStyle name="Normal 64 37 2" xfId="24123" xr:uid="{00000000-0005-0000-0000-0000CB570000}"/>
    <cellStyle name="Normal 64 38" xfId="11965" xr:uid="{00000000-0005-0000-0000-0000CC570000}"/>
    <cellStyle name="Normal 64 38 2" xfId="24124" xr:uid="{00000000-0005-0000-0000-0000CD570000}"/>
    <cellStyle name="Normal 64 39" xfId="11966" xr:uid="{00000000-0005-0000-0000-0000CE570000}"/>
    <cellStyle name="Normal 64 39 2" xfId="24125" xr:uid="{00000000-0005-0000-0000-0000CF570000}"/>
    <cellStyle name="Normal 64 4" xfId="11967" xr:uid="{00000000-0005-0000-0000-0000D0570000}"/>
    <cellStyle name="Normal 64 4 2" xfId="24126" xr:uid="{00000000-0005-0000-0000-0000D1570000}"/>
    <cellStyle name="Normal 64 40" xfId="11968" xr:uid="{00000000-0005-0000-0000-0000D2570000}"/>
    <cellStyle name="Normal 64 40 2" xfId="24127" xr:uid="{00000000-0005-0000-0000-0000D3570000}"/>
    <cellStyle name="Normal 64 41" xfId="11969" xr:uid="{00000000-0005-0000-0000-0000D4570000}"/>
    <cellStyle name="Normal 64 41 2" xfId="24128" xr:uid="{00000000-0005-0000-0000-0000D5570000}"/>
    <cellStyle name="Normal 64 42" xfId="11970" xr:uid="{00000000-0005-0000-0000-0000D6570000}"/>
    <cellStyle name="Normal 64 42 2" xfId="24129" xr:uid="{00000000-0005-0000-0000-0000D7570000}"/>
    <cellStyle name="Normal 64 43" xfId="11971" xr:uid="{00000000-0005-0000-0000-0000D8570000}"/>
    <cellStyle name="Normal 64 43 2" xfId="24130" xr:uid="{00000000-0005-0000-0000-0000D9570000}"/>
    <cellStyle name="Normal 64 44" xfId="11972" xr:uid="{00000000-0005-0000-0000-0000DA570000}"/>
    <cellStyle name="Normal 64 44 2" xfId="24131" xr:uid="{00000000-0005-0000-0000-0000DB570000}"/>
    <cellStyle name="Normal 64 45" xfId="11973" xr:uid="{00000000-0005-0000-0000-0000DC570000}"/>
    <cellStyle name="Normal 64 45 2" xfId="24132" xr:uid="{00000000-0005-0000-0000-0000DD570000}"/>
    <cellStyle name="Normal 64 46" xfId="11974" xr:uid="{00000000-0005-0000-0000-0000DE570000}"/>
    <cellStyle name="Normal 64 46 2" xfId="24133" xr:uid="{00000000-0005-0000-0000-0000DF570000}"/>
    <cellStyle name="Normal 64 47" xfId="11975" xr:uid="{00000000-0005-0000-0000-0000E0570000}"/>
    <cellStyle name="Normal 64 47 2" xfId="24134" xr:uid="{00000000-0005-0000-0000-0000E1570000}"/>
    <cellStyle name="Normal 64 48" xfId="11976" xr:uid="{00000000-0005-0000-0000-0000E2570000}"/>
    <cellStyle name="Normal 64 48 2" xfId="24135" xr:uid="{00000000-0005-0000-0000-0000E3570000}"/>
    <cellStyle name="Normal 64 49" xfId="11977" xr:uid="{00000000-0005-0000-0000-0000E4570000}"/>
    <cellStyle name="Normal 64 49 2" xfId="24136" xr:uid="{00000000-0005-0000-0000-0000E5570000}"/>
    <cellStyle name="Normal 64 5" xfId="11978" xr:uid="{00000000-0005-0000-0000-0000E6570000}"/>
    <cellStyle name="Normal 64 5 2" xfId="24137" xr:uid="{00000000-0005-0000-0000-0000E7570000}"/>
    <cellStyle name="Normal 64 50" xfId="11979" xr:uid="{00000000-0005-0000-0000-0000E8570000}"/>
    <cellStyle name="Normal 64 50 2" xfId="24138" xr:uid="{00000000-0005-0000-0000-0000E9570000}"/>
    <cellStyle name="Normal 64 51" xfId="11980" xr:uid="{00000000-0005-0000-0000-0000EA570000}"/>
    <cellStyle name="Normal 64 51 2" xfId="24139" xr:uid="{00000000-0005-0000-0000-0000EB570000}"/>
    <cellStyle name="Normal 64 52" xfId="11981" xr:uid="{00000000-0005-0000-0000-0000EC570000}"/>
    <cellStyle name="Normal 64 52 2" xfId="24140" xr:uid="{00000000-0005-0000-0000-0000ED570000}"/>
    <cellStyle name="Normal 64 53" xfId="11982" xr:uid="{00000000-0005-0000-0000-0000EE570000}"/>
    <cellStyle name="Normal 64 53 2" xfId="24141" xr:uid="{00000000-0005-0000-0000-0000EF570000}"/>
    <cellStyle name="Normal 64 54" xfId="11983" xr:uid="{00000000-0005-0000-0000-0000F0570000}"/>
    <cellStyle name="Normal 64 54 2" xfId="24142" xr:uid="{00000000-0005-0000-0000-0000F1570000}"/>
    <cellStyle name="Normal 64 55" xfId="11984" xr:uid="{00000000-0005-0000-0000-0000F2570000}"/>
    <cellStyle name="Normal 64 55 2" xfId="24143" xr:uid="{00000000-0005-0000-0000-0000F3570000}"/>
    <cellStyle name="Normal 64 56" xfId="11985" xr:uid="{00000000-0005-0000-0000-0000F4570000}"/>
    <cellStyle name="Normal 64 56 2" xfId="24144" xr:uid="{00000000-0005-0000-0000-0000F5570000}"/>
    <cellStyle name="Normal 64 57" xfId="11986" xr:uid="{00000000-0005-0000-0000-0000F6570000}"/>
    <cellStyle name="Normal 64 57 2" xfId="24145" xr:uid="{00000000-0005-0000-0000-0000F7570000}"/>
    <cellStyle name="Normal 64 58" xfId="11987" xr:uid="{00000000-0005-0000-0000-0000F8570000}"/>
    <cellStyle name="Normal 64 58 2" xfId="24146" xr:uid="{00000000-0005-0000-0000-0000F9570000}"/>
    <cellStyle name="Normal 64 59" xfId="11988" xr:uid="{00000000-0005-0000-0000-0000FA570000}"/>
    <cellStyle name="Normal 64 59 2" xfId="24147" xr:uid="{00000000-0005-0000-0000-0000FB570000}"/>
    <cellStyle name="Normal 64 6" xfId="11989" xr:uid="{00000000-0005-0000-0000-0000FC570000}"/>
    <cellStyle name="Normal 64 6 2" xfId="24148" xr:uid="{00000000-0005-0000-0000-0000FD570000}"/>
    <cellStyle name="Normal 64 60" xfId="11990" xr:uid="{00000000-0005-0000-0000-0000FE570000}"/>
    <cellStyle name="Normal 64 60 2" xfId="24149" xr:uid="{00000000-0005-0000-0000-0000FF570000}"/>
    <cellStyle name="Normal 64 61" xfId="11991" xr:uid="{00000000-0005-0000-0000-000000580000}"/>
    <cellStyle name="Normal 64 61 2" xfId="24150" xr:uid="{00000000-0005-0000-0000-000001580000}"/>
    <cellStyle name="Normal 64 62" xfId="11992" xr:uid="{00000000-0005-0000-0000-000002580000}"/>
    <cellStyle name="Normal 64 62 2" xfId="24151" xr:uid="{00000000-0005-0000-0000-000003580000}"/>
    <cellStyle name="Normal 64 63" xfId="11993" xr:uid="{00000000-0005-0000-0000-000004580000}"/>
    <cellStyle name="Normal 64 63 2" xfId="24152" xr:uid="{00000000-0005-0000-0000-000005580000}"/>
    <cellStyle name="Normal 64 64" xfId="11994" xr:uid="{00000000-0005-0000-0000-000006580000}"/>
    <cellStyle name="Normal 64 64 2" xfId="24153" xr:uid="{00000000-0005-0000-0000-000007580000}"/>
    <cellStyle name="Normal 64 65" xfId="11995" xr:uid="{00000000-0005-0000-0000-000008580000}"/>
    <cellStyle name="Normal 64 65 2" xfId="24154" xr:uid="{00000000-0005-0000-0000-000009580000}"/>
    <cellStyle name="Normal 64 66" xfId="11996" xr:uid="{00000000-0005-0000-0000-00000A580000}"/>
    <cellStyle name="Normal 64 66 2" xfId="24155" xr:uid="{00000000-0005-0000-0000-00000B580000}"/>
    <cellStyle name="Normal 64 67" xfId="11997" xr:uid="{00000000-0005-0000-0000-00000C580000}"/>
    <cellStyle name="Normal 64 67 2" xfId="24156" xr:uid="{00000000-0005-0000-0000-00000D580000}"/>
    <cellStyle name="Normal 64 68" xfId="11998" xr:uid="{00000000-0005-0000-0000-00000E580000}"/>
    <cellStyle name="Normal 64 68 2" xfId="24157" xr:uid="{00000000-0005-0000-0000-00000F580000}"/>
    <cellStyle name="Normal 64 69" xfId="11999" xr:uid="{00000000-0005-0000-0000-000010580000}"/>
    <cellStyle name="Normal 64 69 2" xfId="24158" xr:uid="{00000000-0005-0000-0000-000011580000}"/>
    <cellStyle name="Normal 64 7" xfId="12000" xr:uid="{00000000-0005-0000-0000-000012580000}"/>
    <cellStyle name="Normal 64 7 2" xfId="24159" xr:uid="{00000000-0005-0000-0000-000013580000}"/>
    <cellStyle name="Normal 64 70" xfId="12001" xr:uid="{00000000-0005-0000-0000-000014580000}"/>
    <cellStyle name="Normal 64 70 2" xfId="24160" xr:uid="{00000000-0005-0000-0000-000015580000}"/>
    <cellStyle name="Normal 64 71" xfId="12002" xr:uid="{00000000-0005-0000-0000-000016580000}"/>
    <cellStyle name="Normal 64 71 2" xfId="24161" xr:uid="{00000000-0005-0000-0000-000017580000}"/>
    <cellStyle name="Normal 64 72" xfId="12003" xr:uid="{00000000-0005-0000-0000-000018580000}"/>
    <cellStyle name="Normal 64 72 2" xfId="24162" xr:uid="{00000000-0005-0000-0000-000019580000}"/>
    <cellStyle name="Normal 64 73" xfId="12004" xr:uid="{00000000-0005-0000-0000-00001A580000}"/>
    <cellStyle name="Normal 64 73 2" xfId="24163" xr:uid="{00000000-0005-0000-0000-00001B580000}"/>
    <cellStyle name="Normal 64 74" xfId="12005" xr:uid="{00000000-0005-0000-0000-00001C580000}"/>
    <cellStyle name="Normal 64 74 2" xfId="24164" xr:uid="{00000000-0005-0000-0000-00001D580000}"/>
    <cellStyle name="Normal 64 75" xfId="12006" xr:uid="{00000000-0005-0000-0000-00001E580000}"/>
    <cellStyle name="Normal 64 75 2" xfId="24165" xr:uid="{00000000-0005-0000-0000-00001F580000}"/>
    <cellStyle name="Normal 64 76" xfId="12007" xr:uid="{00000000-0005-0000-0000-000020580000}"/>
    <cellStyle name="Normal 64 76 2" xfId="24166" xr:uid="{00000000-0005-0000-0000-000021580000}"/>
    <cellStyle name="Normal 64 77" xfId="12008" xr:uid="{00000000-0005-0000-0000-000022580000}"/>
    <cellStyle name="Normal 64 77 2" xfId="24167" xr:uid="{00000000-0005-0000-0000-000023580000}"/>
    <cellStyle name="Normal 64 78" xfId="12009" xr:uid="{00000000-0005-0000-0000-000024580000}"/>
    <cellStyle name="Normal 64 78 2" xfId="24168" xr:uid="{00000000-0005-0000-0000-000025580000}"/>
    <cellStyle name="Normal 64 79" xfId="12010" xr:uid="{00000000-0005-0000-0000-000026580000}"/>
    <cellStyle name="Normal 64 79 2" xfId="24169" xr:uid="{00000000-0005-0000-0000-000027580000}"/>
    <cellStyle name="Normal 64 8" xfId="12011" xr:uid="{00000000-0005-0000-0000-000028580000}"/>
    <cellStyle name="Normal 64 8 2" xfId="24170" xr:uid="{00000000-0005-0000-0000-000029580000}"/>
    <cellStyle name="Normal 64 80" xfId="24093" xr:uid="{00000000-0005-0000-0000-00002A580000}"/>
    <cellStyle name="Normal 64 9" xfId="12012" xr:uid="{00000000-0005-0000-0000-00002B580000}"/>
    <cellStyle name="Normal 64 9 2" xfId="24171" xr:uid="{00000000-0005-0000-0000-00002C580000}"/>
    <cellStyle name="Normal 65" xfId="191" xr:uid="{00000000-0005-0000-0000-00002D580000}"/>
    <cellStyle name="Normal 65 10" xfId="12013" xr:uid="{00000000-0005-0000-0000-00002E580000}"/>
    <cellStyle name="Normal 65 10 2" xfId="24173" xr:uid="{00000000-0005-0000-0000-00002F580000}"/>
    <cellStyle name="Normal 65 11" xfId="12014" xr:uid="{00000000-0005-0000-0000-000030580000}"/>
    <cellStyle name="Normal 65 11 2" xfId="24174" xr:uid="{00000000-0005-0000-0000-000031580000}"/>
    <cellStyle name="Normal 65 12" xfId="12015" xr:uid="{00000000-0005-0000-0000-000032580000}"/>
    <cellStyle name="Normal 65 12 2" xfId="24175" xr:uid="{00000000-0005-0000-0000-000033580000}"/>
    <cellStyle name="Normal 65 13" xfId="12016" xr:uid="{00000000-0005-0000-0000-000034580000}"/>
    <cellStyle name="Normal 65 13 2" xfId="24176" xr:uid="{00000000-0005-0000-0000-000035580000}"/>
    <cellStyle name="Normal 65 14" xfId="12017" xr:uid="{00000000-0005-0000-0000-000036580000}"/>
    <cellStyle name="Normal 65 14 2" xfId="24177" xr:uid="{00000000-0005-0000-0000-000037580000}"/>
    <cellStyle name="Normal 65 15" xfId="12018" xr:uid="{00000000-0005-0000-0000-000038580000}"/>
    <cellStyle name="Normal 65 15 2" xfId="24178" xr:uid="{00000000-0005-0000-0000-000039580000}"/>
    <cellStyle name="Normal 65 16" xfId="12019" xr:uid="{00000000-0005-0000-0000-00003A580000}"/>
    <cellStyle name="Normal 65 16 2" xfId="24179" xr:uid="{00000000-0005-0000-0000-00003B580000}"/>
    <cellStyle name="Normal 65 17" xfId="12020" xr:uid="{00000000-0005-0000-0000-00003C580000}"/>
    <cellStyle name="Normal 65 17 2" xfId="24180" xr:uid="{00000000-0005-0000-0000-00003D580000}"/>
    <cellStyle name="Normal 65 18" xfId="12021" xr:uid="{00000000-0005-0000-0000-00003E580000}"/>
    <cellStyle name="Normal 65 18 2" xfId="24181" xr:uid="{00000000-0005-0000-0000-00003F580000}"/>
    <cellStyle name="Normal 65 19" xfId="12022" xr:uid="{00000000-0005-0000-0000-000040580000}"/>
    <cellStyle name="Normal 65 19 2" xfId="24182" xr:uid="{00000000-0005-0000-0000-000041580000}"/>
    <cellStyle name="Normal 65 2" xfId="754" xr:uid="{00000000-0005-0000-0000-000042580000}"/>
    <cellStyle name="Normal 65 2 2" xfId="24183" xr:uid="{00000000-0005-0000-0000-000043580000}"/>
    <cellStyle name="Normal 65 2 3" xfId="12023" xr:uid="{00000000-0005-0000-0000-000044580000}"/>
    <cellStyle name="Normal 65 20" xfId="12024" xr:uid="{00000000-0005-0000-0000-000045580000}"/>
    <cellStyle name="Normal 65 20 2" xfId="24184" xr:uid="{00000000-0005-0000-0000-000046580000}"/>
    <cellStyle name="Normal 65 21" xfId="12025" xr:uid="{00000000-0005-0000-0000-000047580000}"/>
    <cellStyle name="Normal 65 21 2" xfId="24185" xr:uid="{00000000-0005-0000-0000-000048580000}"/>
    <cellStyle name="Normal 65 22" xfId="12026" xr:uid="{00000000-0005-0000-0000-000049580000}"/>
    <cellStyle name="Normal 65 22 2" xfId="24186" xr:uid="{00000000-0005-0000-0000-00004A580000}"/>
    <cellStyle name="Normal 65 23" xfId="12027" xr:uid="{00000000-0005-0000-0000-00004B580000}"/>
    <cellStyle name="Normal 65 23 2" xfId="24187" xr:uid="{00000000-0005-0000-0000-00004C580000}"/>
    <cellStyle name="Normal 65 24" xfId="12028" xr:uid="{00000000-0005-0000-0000-00004D580000}"/>
    <cellStyle name="Normal 65 24 2" xfId="24188" xr:uid="{00000000-0005-0000-0000-00004E580000}"/>
    <cellStyle name="Normal 65 25" xfId="12029" xr:uid="{00000000-0005-0000-0000-00004F580000}"/>
    <cellStyle name="Normal 65 25 2" xfId="24189" xr:uid="{00000000-0005-0000-0000-000050580000}"/>
    <cellStyle name="Normal 65 26" xfId="12030" xr:uid="{00000000-0005-0000-0000-000051580000}"/>
    <cellStyle name="Normal 65 26 2" xfId="24190" xr:uid="{00000000-0005-0000-0000-000052580000}"/>
    <cellStyle name="Normal 65 27" xfId="12031" xr:uid="{00000000-0005-0000-0000-000053580000}"/>
    <cellStyle name="Normal 65 27 2" xfId="24191" xr:uid="{00000000-0005-0000-0000-000054580000}"/>
    <cellStyle name="Normal 65 28" xfId="12032" xr:uid="{00000000-0005-0000-0000-000055580000}"/>
    <cellStyle name="Normal 65 28 2" xfId="24192" xr:uid="{00000000-0005-0000-0000-000056580000}"/>
    <cellStyle name="Normal 65 29" xfId="12033" xr:uid="{00000000-0005-0000-0000-000057580000}"/>
    <cellStyle name="Normal 65 29 2" xfId="24193" xr:uid="{00000000-0005-0000-0000-000058580000}"/>
    <cellStyle name="Normal 65 3" xfId="406" xr:uid="{00000000-0005-0000-0000-000059580000}"/>
    <cellStyle name="Normal 65 3 2" xfId="24194" xr:uid="{00000000-0005-0000-0000-00005A580000}"/>
    <cellStyle name="Normal 65 30" xfId="12034" xr:uid="{00000000-0005-0000-0000-00005B580000}"/>
    <cellStyle name="Normal 65 30 2" xfId="24195" xr:uid="{00000000-0005-0000-0000-00005C580000}"/>
    <cellStyle name="Normal 65 31" xfId="12035" xr:uid="{00000000-0005-0000-0000-00005D580000}"/>
    <cellStyle name="Normal 65 31 2" xfId="24196" xr:uid="{00000000-0005-0000-0000-00005E580000}"/>
    <cellStyle name="Normal 65 32" xfId="12036" xr:uid="{00000000-0005-0000-0000-00005F580000}"/>
    <cellStyle name="Normal 65 32 2" xfId="24197" xr:uid="{00000000-0005-0000-0000-000060580000}"/>
    <cellStyle name="Normal 65 33" xfId="12037" xr:uid="{00000000-0005-0000-0000-000061580000}"/>
    <cellStyle name="Normal 65 33 2" xfId="24198" xr:uid="{00000000-0005-0000-0000-000062580000}"/>
    <cellStyle name="Normal 65 34" xfId="12038" xr:uid="{00000000-0005-0000-0000-000063580000}"/>
    <cellStyle name="Normal 65 34 2" xfId="24199" xr:uid="{00000000-0005-0000-0000-000064580000}"/>
    <cellStyle name="Normal 65 35" xfId="12039" xr:uid="{00000000-0005-0000-0000-000065580000}"/>
    <cellStyle name="Normal 65 35 2" xfId="24200" xr:uid="{00000000-0005-0000-0000-000066580000}"/>
    <cellStyle name="Normal 65 36" xfId="12040" xr:uid="{00000000-0005-0000-0000-000067580000}"/>
    <cellStyle name="Normal 65 36 2" xfId="24201" xr:uid="{00000000-0005-0000-0000-000068580000}"/>
    <cellStyle name="Normal 65 37" xfId="12041" xr:uid="{00000000-0005-0000-0000-000069580000}"/>
    <cellStyle name="Normal 65 37 2" xfId="24202" xr:uid="{00000000-0005-0000-0000-00006A580000}"/>
    <cellStyle name="Normal 65 38" xfId="12042" xr:uid="{00000000-0005-0000-0000-00006B580000}"/>
    <cellStyle name="Normal 65 38 2" xfId="24203" xr:uid="{00000000-0005-0000-0000-00006C580000}"/>
    <cellStyle name="Normal 65 39" xfId="12043" xr:uid="{00000000-0005-0000-0000-00006D580000}"/>
    <cellStyle name="Normal 65 39 2" xfId="24204" xr:uid="{00000000-0005-0000-0000-00006E580000}"/>
    <cellStyle name="Normal 65 4" xfId="12044" xr:uid="{00000000-0005-0000-0000-00006F580000}"/>
    <cellStyle name="Normal 65 4 2" xfId="24205" xr:uid="{00000000-0005-0000-0000-000070580000}"/>
    <cellStyle name="Normal 65 40" xfId="12045" xr:uid="{00000000-0005-0000-0000-000071580000}"/>
    <cellStyle name="Normal 65 40 2" xfId="24206" xr:uid="{00000000-0005-0000-0000-000072580000}"/>
    <cellStyle name="Normal 65 41" xfId="12046" xr:uid="{00000000-0005-0000-0000-000073580000}"/>
    <cellStyle name="Normal 65 41 2" xfId="24207" xr:uid="{00000000-0005-0000-0000-000074580000}"/>
    <cellStyle name="Normal 65 42" xfId="12047" xr:uid="{00000000-0005-0000-0000-000075580000}"/>
    <cellStyle name="Normal 65 42 2" xfId="24208" xr:uid="{00000000-0005-0000-0000-000076580000}"/>
    <cellStyle name="Normal 65 43" xfId="12048" xr:uid="{00000000-0005-0000-0000-000077580000}"/>
    <cellStyle name="Normal 65 43 2" xfId="24209" xr:uid="{00000000-0005-0000-0000-000078580000}"/>
    <cellStyle name="Normal 65 44" xfId="12049" xr:uid="{00000000-0005-0000-0000-000079580000}"/>
    <cellStyle name="Normal 65 44 2" xfId="24210" xr:uid="{00000000-0005-0000-0000-00007A580000}"/>
    <cellStyle name="Normal 65 45" xfId="12050" xr:uid="{00000000-0005-0000-0000-00007B580000}"/>
    <cellStyle name="Normal 65 45 2" xfId="24211" xr:uid="{00000000-0005-0000-0000-00007C580000}"/>
    <cellStyle name="Normal 65 46" xfId="12051" xr:uid="{00000000-0005-0000-0000-00007D580000}"/>
    <cellStyle name="Normal 65 46 2" xfId="24212" xr:uid="{00000000-0005-0000-0000-00007E580000}"/>
    <cellStyle name="Normal 65 47" xfId="12052" xr:uid="{00000000-0005-0000-0000-00007F580000}"/>
    <cellStyle name="Normal 65 47 2" xfId="24213" xr:uid="{00000000-0005-0000-0000-000080580000}"/>
    <cellStyle name="Normal 65 48" xfId="12053" xr:uid="{00000000-0005-0000-0000-000081580000}"/>
    <cellStyle name="Normal 65 48 2" xfId="24214" xr:uid="{00000000-0005-0000-0000-000082580000}"/>
    <cellStyle name="Normal 65 49" xfId="12054" xr:uid="{00000000-0005-0000-0000-000083580000}"/>
    <cellStyle name="Normal 65 49 2" xfId="24215" xr:uid="{00000000-0005-0000-0000-000084580000}"/>
    <cellStyle name="Normal 65 5" xfId="12055" xr:uid="{00000000-0005-0000-0000-000085580000}"/>
    <cellStyle name="Normal 65 5 2" xfId="24216" xr:uid="{00000000-0005-0000-0000-000086580000}"/>
    <cellStyle name="Normal 65 50" xfId="12056" xr:uid="{00000000-0005-0000-0000-000087580000}"/>
    <cellStyle name="Normal 65 50 2" xfId="24217" xr:uid="{00000000-0005-0000-0000-000088580000}"/>
    <cellStyle name="Normal 65 51" xfId="12057" xr:uid="{00000000-0005-0000-0000-000089580000}"/>
    <cellStyle name="Normal 65 51 2" xfId="24218" xr:uid="{00000000-0005-0000-0000-00008A580000}"/>
    <cellStyle name="Normal 65 52" xfId="12058" xr:uid="{00000000-0005-0000-0000-00008B580000}"/>
    <cellStyle name="Normal 65 52 2" xfId="24219" xr:uid="{00000000-0005-0000-0000-00008C580000}"/>
    <cellStyle name="Normal 65 53" xfId="12059" xr:uid="{00000000-0005-0000-0000-00008D580000}"/>
    <cellStyle name="Normal 65 53 2" xfId="24220" xr:uid="{00000000-0005-0000-0000-00008E580000}"/>
    <cellStyle name="Normal 65 54" xfId="12060" xr:uid="{00000000-0005-0000-0000-00008F580000}"/>
    <cellStyle name="Normal 65 54 2" xfId="24221" xr:uid="{00000000-0005-0000-0000-000090580000}"/>
    <cellStyle name="Normal 65 55" xfId="12061" xr:uid="{00000000-0005-0000-0000-000091580000}"/>
    <cellStyle name="Normal 65 55 2" xfId="24222" xr:uid="{00000000-0005-0000-0000-000092580000}"/>
    <cellStyle name="Normal 65 56" xfId="12062" xr:uid="{00000000-0005-0000-0000-000093580000}"/>
    <cellStyle name="Normal 65 56 2" xfId="24223" xr:uid="{00000000-0005-0000-0000-000094580000}"/>
    <cellStyle name="Normal 65 57" xfId="12063" xr:uid="{00000000-0005-0000-0000-000095580000}"/>
    <cellStyle name="Normal 65 57 2" xfId="24224" xr:uid="{00000000-0005-0000-0000-000096580000}"/>
    <cellStyle name="Normal 65 58" xfId="12064" xr:uid="{00000000-0005-0000-0000-000097580000}"/>
    <cellStyle name="Normal 65 58 2" xfId="24225" xr:uid="{00000000-0005-0000-0000-000098580000}"/>
    <cellStyle name="Normal 65 59" xfId="12065" xr:uid="{00000000-0005-0000-0000-000099580000}"/>
    <cellStyle name="Normal 65 59 2" xfId="24226" xr:uid="{00000000-0005-0000-0000-00009A580000}"/>
    <cellStyle name="Normal 65 6" xfId="12066" xr:uid="{00000000-0005-0000-0000-00009B580000}"/>
    <cellStyle name="Normal 65 6 2" xfId="24227" xr:uid="{00000000-0005-0000-0000-00009C580000}"/>
    <cellStyle name="Normal 65 60" xfId="12067" xr:uid="{00000000-0005-0000-0000-00009D580000}"/>
    <cellStyle name="Normal 65 60 2" xfId="24228" xr:uid="{00000000-0005-0000-0000-00009E580000}"/>
    <cellStyle name="Normal 65 61" xfId="12068" xr:uid="{00000000-0005-0000-0000-00009F580000}"/>
    <cellStyle name="Normal 65 61 2" xfId="24229" xr:uid="{00000000-0005-0000-0000-0000A0580000}"/>
    <cellStyle name="Normal 65 62" xfId="12069" xr:uid="{00000000-0005-0000-0000-0000A1580000}"/>
    <cellStyle name="Normal 65 62 2" xfId="24230" xr:uid="{00000000-0005-0000-0000-0000A2580000}"/>
    <cellStyle name="Normal 65 63" xfId="12070" xr:uid="{00000000-0005-0000-0000-0000A3580000}"/>
    <cellStyle name="Normal 65 63 2" xfId="24231" xr:uid="{00000000-0005-0000-0000-0000A4580000}"/>
    <cellStyle name="Normal 65 64" xfId="12071" xr:uid="{00000000-0005-0000-0000-0000A5580000}"/>
    <cellStyle name="Normal 65 64 2" xfId="24232" xr:uid="{00000000-0005-0000-0000-0000A6580000}"/>
    <cellStyle name="Normal 65 65" xfId="12072" xr:uid="{00000000-0005-0000-0000-0000A7580000}"/>
    <cellStyle name="Normal 65 65 2" xfId="24233" xr:uid="{00000000-0005-0000-0000-0000A8580000}"/>
    <cellStyle name="Normal 65 66" xfId="12073" xr:uid="{00000000-0005-0000-0000-0000A9580000}"/>
    <cellStyle name="Normal 65 66 2" xfId="24234" xr:uid="{00000000-0005-0000-0000-0000AA580000}"/>
    <cellStyle name="Normal 65 67" xfId="12074" xr:uid="{00000000-0005-0000-0000-0000AB580000}"/>
    <cellStyle name="Normal 65 67 2" xfId="24235" xr:uid="{00000000-0005-0000-0000-0000AC580000}"/>
    <cellStyle name="Normal 65 68" xfId="12075" xr:uid="{00000000-0005-0000-0000-0000AD580000}"/>
    <cellStyle name="Normal 65 68 2" xfId="24236" xr:uid="{00000000-0005-0000-0000-0000AE580000}"/>
    <cellStyle name="Normal 65 69" xfId="12076" xr:uid="{00000000-0005-0000-0000-0000AF580000}"/>
    <cellStyle name="Normal 65 69 2" xfId="24237" xr:uid="{00000000-0005-0000-0000-0000B0580000}"/>
    <cellStyle name="Normal 65 7" xfId="12077" xr:uid="{00000000-0005-0000-0000-0000B1580000}"/>
    <cellStyle name="Normal 65 7 2" xfId="24238" xr:uid="{00000000-0005-0000-0000-0000B2580000}"/>
    <cellStyle name="Normal 65 70" xfId="12078" xr:uid="{00000000-0005-0000-0000-0000B3580000}"/>
    <cellStyle name="Normal 65 70 2" xfId="24239" xr:uid="{00000000-0005-0000-0000-0000B4580000}"/>
    <cellStyle name="Normal 65 71" xfId="12079" xr:uid="{00000000-0005-0000-0000-0000B5580000}"/>
    <cellStyle name="Normal 65 71 2" xfId="24240" xr:uid="{00000000-0005-0000-0000-0000B6580000}"/>
    <cellStyle name="Normal 65 72" xfId="12080" xr:uid="{00000000-0005-0000-0000-0000B7580000}"/>
    <cellStyle name="Normal 65 72 2" xfId="24241" xr:uid="{00000000-0005-0000-0000-0000B8580000}"/>
    <cellStyle name="Normal 65 73" xfId="12081" xr:uid="{00000000-0005-0000-0000-0000B9580000}"/>
    <cellStyle name="Normal 65 73 2" xfId="24242" xr:uid="{00000000-0005-0000-0000-0000BA580000}"/>
    <cellStyle name="Normal 65 74" xfId="12082" xr:uid="{00000000-0005-0000-0000-0000BB580000}"/>
    <cellStyle name="Normal 65 74 2" xfId="24243" xr:uid="{00000000-0005-0000-0000-0000BC580000}"/>
    <cellStyle name="Normal 65 75" xfId="12083" xr:uid="{00000000-0005-0000-0000-0000BD580000}"/>
    <cellStyle name="Normal 65 75 2" xfId="24244" xr:uid="{00000000-0005-0000-0000-0000BE580000}"/>
    <cellStyle name="Normal 65 76" xfId="12084" xr:uid="{00000000-0005-0000-0000-0000BF580000}"/>
    <cellStyle name="Normal 65 76 2" xfId="24245" xr:uid="{00000000-0005-0000-0000-0000C0580000}"/>
    <cellStyle name="Normal 65 77" xfId="12085" xr:uid="{00000000-0005-0000-0000-0000C1580000}"/>
    <cellStyle name="Normal 65 77 2" xfId="24246" xr:uid="{00000000-0005-0000-0000-0000C2580000}"/>
    <cellStyle name="Normal 65 78" xfId="12086" xr:uid="{00000000-0005-0000-0000-0000C3580000}"/>
    <cellStyle name="Normal 65 78 2" xfId="24247" xr:uid="{00000000-0005-0000-0000-0000C4580000}"/>
    <cellStyle name="Normal 65 79" xfId="12087" xr:uid="{00000000-0005-0000-0000-0000C5580000}"/>
    <cellStyle name="Normal 65 79 2" xfId="24248" xr:uid="{00000000-0005-0000-0000-0000C6580000}"/>
    <cellStyle name="Normal 65 8" xfId="12088" xr:uid="{00000000-0005-0000-0000-0000C7580000}"/>
    <cellStyle name="Normal 65 8 2" xfId="24249" xr:uid="{00000000-0005-0000-0000-0000C8580000}"/>
    <cellStyle name="Normal 65 80" xfId="24172" xr:uid="{00000000-0005-0000-0000-0000C9580000}"/>
    <cellStyle name="Normal 65 9" xfId="12089" xr:uid="{00000000-0005-0000-0000-0000CA580000}"/>
    <cellStyle name="Normal 65 9 2" xfId="24250" xr:uid="{00000000-0005-0000-0000-0000CB580000}"/>
    <cellStyle name="Normal 66" xfId="192" xr:uid="{00000000-0005-0000-0000-0000CC580000}"/>
    <cellStyle name="Normal 66 2" xfId="755" xr:uid="{00000000-0005-0000-0000-0000CD580000}"/>
    <cellStyle name="Normal 66 3" xfId="407" xr:uid="{00000000-0005-0000-0000-0000CE580000}"/>
    <cellStyle name="Normal 66 4" xfId="27173" xr:uid="{00000000-0005-0000-0000-0000CF580000}"/>
    <cellStyle name="Normal 67" xfId="193" xr:uid="{00000000-0005-0000-0000-0000D0580000}"/>
    <cellStyle name="Normal 67 10" xfId="12090" xr:uid="{00000000-0005-0000-0000-0000D1580000}"/>
    <cellStyle name="Normal 67 10 2" xfId="24252" xr:uid="{00000000-0005-0000-0000-0000D2580000}"/>
    <cellStyle name="Normal 67 11" xfId="12091" xr:uid="{00000000-0005-0000-0000-0000D3580000}"/>
    <cellStyle name="Normal 67 11 2" xfId="24253" xr:uid="{00000000-0005-0000-0000-0000D4580000}"/>
    <cellStyle name="Normal 67 12" xfId="12092" xr:uid="{00000000-0005-0000-0000-0000D5580000}"/>
    <cellStyle name="Normal 67 12 2" xfId="24254" xr:uid="{00000000-0005-0000-0000-0000D6580000}"/>
    <cellStyle name="Normal 67 13" xfId="12093" xr:uid="{00000000-0005-0000-0000-0000D7580000}"/>
    <cellStyle name="Normal 67 13 2" xfId="24255" xr:uid="{00000000-0005-0000-0000-0000D8580000}"/>
    <cellStyle name="Normal 67 14" xfId="12094" xr:uid="{00000000-0005-0000-0000-0000D9580000}"/>
    <cellStyle name="Normal 67 14 2" xfId="24256" xr:uid="{00000000-0005-0000-0000-0000DA580000}"/>
    <cellStyle name="Normal 67 15" xfId="12095" xr:uid="{00000000-0005-0000-0000-0000DB580000}"/>
    <cellStyle name="Normal 67 15 2" xfId="24257" xr:uid="{00000000-0005-0000-0000-0000DC580000}"/>
    <cellStyle name="Normal 67 16" xfId="12096" xr:uid="{00000000-0005-0000-0000-0000DD580000}"/>
    <cellStyle name="Normal 67 16 2" xfId="24258" xr:uid="{00000000-0005-0000-0000-0000DE580000}"/>
    <cellStyle name="Normal 67 17" xfId="12097" xr:uid="{00000000-0005-0000-0000-0000DF580000}"/>
    <cellStyle name="Normal 67 17 2" xfId="24259" xr:uid="{00000000-0005-0000-0000-0000E0580000}"/>
    <cellStyle name="Normal 67 18" xfId="12098" xr:uid="{00000000-0005-0000-0000-0000E1580000}"/>
    <cellStyle name="Normal 67 18 2" xfId="24260" xr:uid="{00000000-0005-0000-0000-0000E2580000}"/>
    <cellStyle name="Normal 67 19" xfId="12099" xr:uid="{00000000-0005-0000-0000-0000E3580000}"/>
    <cellStyle name="Normal 67 19 2" xfId="24261" xr:uid="{00000000-0005-0000-0000-0000E4580000}"/>
    <cellStyle name="Normal 67 2" xfId="807" xr:uid="{00000000-0005-0000-0000-0000E5580000}"/>
    <cellStyle name="Normal 67 2 2" xfId="24262" xr:uid="{00000000-0005-0000-0000-0000E6580000}"/>
    <cellStyle name="Normal 67 20" xfId="12100" xr:uid="{00000000-0005-0000-0000-0000E7580000}"/>
    <cellStyle name="Normal 67 20 2" xfId="24263" xr:uid="{00000000-0005-0000-0000-0000E8580000}"/>
    <cellStyle name="Normal 67 21" xfId="12101" xr:uid="{00000000-0005-0000-0000-0000E9580000}"/>
    <cellStyle name="Normal 67 21 2" xfId="24264" xr:uid="{00000000-0005-0000-0000-0000EA580000}"/>
    <cellStyle name="Normal 67 22" xfId="12102" xr:uid="{00000000-0005-0000-0000-0000EB580000}"/>
    <cellStyle name="Normal 67 22 2" xfId="24265" xr:uid="{00000000-0005-0000-0000-0000EC580000}"/>
    <cellStyle name="Normal 67 23" xfId="12103" xr:uid="{00000000-0005-0000-0000-0000ED580000}"/>
    <cellStyle name="Normal 67 23 2" xfId="24266" xr:uid="{00000000-0005-0000-0000-0000EE580000}"/>
    <cellStyle name="Normal 67 24" xfId="12104" xr:uid="{00000000-0005-0000-0000-0000EF580000}"/>
    <cellStyle name="Normal 67 24 2" xfId="24267" xr:uid="{00000000-0005-0000-0000-0000F0580000}"/>
    <cellStyle name="Normal 67 25" xfId="12105" xr:uid="{00000000-0005-0000-0000-0000F1580000}"/>
    <cellStyle name="Normal 67 25 2" xfId="24268" xr:uid="{00000000-0005-0000-0000-0000F2580000}"/>
    <cellStyle name="Normal 67 26" xfId="12106" xr:uid="{00000000-0005-0000-0000-0000F3580000}"/>
    <cellStyle name="Normal 67 26 2" xfId="24269" xr:uid="{00000000-0005-0000-0000-0000F4580000}"/>
    <cellStyle name="Normal 67 27" xfId="12107" xr:uid="{00000000-0005-0000-0000-0000F5580000}"/>
    <cellStyle name="Normal 67 27 2" xfId="24270" xr:uid="{00000000-0005-0000-0000-0000F6580000}"/>
    <cellStyle name="Normal 67 28" xfId="12108" xr:uid="{00000000-0005-0000-0000-0000F7580000}"/>
    <cellStyle name="Normal 67 28 2" xfId="24271" xr:uid="{00000000-0005-0000-0000-0000F8580000}"/>
    <cellStyle name="Normal 67 29" xfId="12109" xr:uid="{00000000-0005-0000-0000-0000F9580000}"/>
    <cellStyle name="Normal 67 29 2" xfId="24272" xr:uid="{00000000-0005-0000-0000-0000FA580000}"/>
    <cellStyle name="Normal 67 3" xfId="756" xr:uid="{00000000-0005-0000-0000-0000FB580000}"/>
    <cellStyle name="Normal 67 3 2" xfId="24273" xr:uid="{00000000-0005-0000-0000-0000FC580000}"/>
    <cellStyle name="Normal 67 3 3" xfId="12110" xr:uid="{00000000-0005-0000-0000-0000FD580000}"/>
    <cellStyle name="Normal 67 30" xfId="12111" xr:uid="{00000000-0005-0000-0000-0000FE580000}"/>
    <cellStyle name="Normal 67 30 2" xfId="24274" xr:uid="{00000000-0005-0000-0000-0000FF580000}"/>
    <cellStyle name="Normal 67 31" xfId="12112" xr:uid="{00000000-0005-0000-0000-000000590000}"/>
    <cellStyle name="Normal 67 31 2" xfId="24275" xr:uid="{00000000-0005-0000-0000-000001590000}"/>
    <cellStyle name="Normal 67 32" xfId="12113" xr:uid="{00000000-0005-0000-0000-000002590000}"/>
    <cellStyle name="Normal 67 32 2" xfId="24276" xr:uid="{00000000-0005-0000-0000-000003590000}"/>
    <cellStyle name="Normal 67 33" xfId="12114" xr:uid="{00000000-0005-0000-0000-000004590000}"/>
    <cellStyle name="Normal 67 33 2" xfId="24277" xr:uid="{00000000-0005-0000-0000-000005590000}"/>
    <cellStyle name="Normal 67 34" xfId="12115" xr:uid="{00000000-0005-0000-0000-000006590000}"/>
    <cellStyle name="Normal 67 34 2" xfId="24278" xr:uid="{00000000-0005-0000-0000-000007590000}"/>
    <cellStyle name="Normal 67 35" xfId="12116" xr:uid="{00000000-0005-0000-0000-000008590000}"/>
    <cellStyle name="Normal 67 35 2" xfId="24279" xr:uid="{00000000-0005-0000-0000-000009590000}"/>
    <cellStyle name="Normal 67 36" xfId="12117" xr:uid="{00000000-0005-0000-0000-00000A590000}"/>
    <cellStyle name="Normal 67 36 2" xfId="24280" xr:uid="{00000000-0005-0000-0000-00000B590000}"/>
    <cellStyle name="Normal 67 37" xfId="12118" xr:uid="{00000000-0005-0000-0000-00000C590000}"/>
    <cellStyle name="Normal 67 37 2" xfId="24281" xr:uid="{00000000-0005-0000-0000-00000D590000}"/>
    <cellStyle name="Normal 67 38" xfId="12119" xr:uid="{00000000-0005-0000-0000-00000E590000}"/>
    <cellStyle name="Normal 67 38 2" xfId="24282" xr:uid="{00000000-0005-0000-0000-00000F590000}"/>
    <cellStyle name="Normal 67 39" xfId="12120" xr:uid="{00000000-0005-0000-0000-000010590000}"/>
    <cellStyle name="Normal 67 39 2" xfId="24283" xr:uid="{00000000-0005-0000-0000-000011590000}"/>
    <cellStyle name="Normal 67 4" xfId="408" xr:uid="{00000000-0005-0000-0000-000012590000}"/>
    <cellStyle name="Normal 67 4 2" xfId="24284" xr:uid="{00000000-0005-0000-0000-000013590000}"/>
    <cellStyle name="Normal 67 40" xfId="12121" xr:uid="{00000000-0005-0000-0000-000014590000}"/>
    <cellStyle name="Normal 67 40 2" xfId="24285" xr:uid="{00000000-0005-0000-0000-000015590000}"/>
    <cellStyle name="Normal 67 41" xfId="12122" xr:uid="{00000000-0005-0000-0000-000016590000}"/>
    <cellStyle name="Normal 67 41 2" xfId="24286" xr:uid="{00000000-0005-0000-0000-000017590000}"/>
    <cellStyle name="Normal 67 42" xfId="12123" xr:uid="{00000000-0005-0000-0000-000018590000}"/>
    <cellStyle name="Normal 67 42 2" xfId="24287" xr:uid="{00000000-0005-0000-0000-000019590000}"/>
    <cellStyle name="Normal 67 43" xfId="12124" xr:uid="{00000000-0005-0000-0000-00001A590000}"/>
    <cellStyle name="Normal 67 43 2" xfId="24288" xr:uid="{00000000-0005-0000-0000-00001B590000}"/>
    <cellStyle name="Normal 67 44" xfId="12125" xr:uid="{00000000-0005-0000-0000-00001C590000}"/>
    <cellStyle name="Normal 67 44 2" xfId="24289" xr:uid="{00000000-0005-0000-0000-00001D590000}"/>
    <cellStyle name="Normal 67 45" xfId="12126" xr:uid="{00000000-0005-0000-0000-00001E590000}"/>
    <cellStyle name="Normal 67 45 2" xfId="24290" xr:uid="{00000000-0005-0000-0000-00001F590000}"/>
    <cellStyle name="Normal 67 46" xfId="12127" xr:uid="{00000000-0005-0000-0000-000020590000}"/>
    <cellStyle name="Normal 67 46 2" xfId="24291" xr:uid="{00000000-0005-0000-0000-000021590000}"/>
    <cellStyle name="Normal 67 47" xfId="12128" xr:uid="{00000000-0005-0000-0000-000022590000}"/>
    <cellStyle name="Normal 67 47 2" xfId="24292" xr:uid="{00000000-0005-0000-0000-000023590000}"/>
    <cellStyle name="Normal 67 48" xfId="12129" xr:uid="{00000000-0005-0000-0000-000024590000}"/>
    <cellStyle name="Normal 67 48 2" xfId="24293" xr:uid="{00000000-0005-0000-0000-000025590000}"/>
    <cellStyle name="Normal 67 49" xfId="12130" xr:uid="{00000000-0005-0000-0000-000026590000}"/>
    <cellStyle name="Normal 67 49 2" xfId="24294" xr:uid="{00000000-0005-0000-0000-000027590000}"/>
    <cellStyle name="Normal 67 5" xfId="12131" xr:uid="{00000000-0005-0000-0000-000028590000}"/>
    <cellStyle name="Normal 67 5 2" xfId="24295" xr:uid="{00000000-0005-0000-0000-000029590000}"/>
    <cellStyle name="Normal 67 50" xfId="12132" xr:uid="{00000000-0005-0000-0000-00002A590000}"/>
    <cellStyle name="Normal 67 50 2" xfId="24296" xr:uid="{00000000-0005-0000-0000-00002B590000}"/>
    <cellStyle name="Normal 67 51" xfId="12133" xr:uid="{00000000-0005-0000-0000-00002C590000}"/>
    <cellStyle name="Normal 67 51 2" xfId="24297" xr:uid="{00000000-0005-0000-0000-00002D590000}"/>
    <cellStyle name="Normal 67 52" xfId="12134" xr:uid="{00000000-0005-0000-0000-00002E590000}"/>
    <cellStyle name="Normal 67 52 2" xfId="24298" xr:uid="{00000000-0005-0000-0000-00002F590000}"/>
    <cellStyle name="Normal 67 53" xfId="12135" xr:uid="{00000000-0005-0000-0000-000030590000}"/>
    <cellStyle name="Normal 67 53 2" xfId="24299" xr:uid="{00000000-0005-0000-0000-000031590000}"/>
    <cellStyle name="Normal 67 54" xfId="12136" xr:uid="{00000000-0005-0000-0000-000032590000}"/>
    <cellStyle name="Normal 67 54 2" xfId="24300" xr:uid="{00000000-0005-0000-0000-000033590000}"/>
    <cellStyle name="Normal 67 55" xfId="12137" xr:uid="{00000000-0005-0000-0000-000034590000}"/>
    <cellStyle name="Normal 67 55 2" xfId="24301" xr:uid="{00000000-0005-0000-0000-000035590000}"/>
    <cellStyle name="Normal 67 56" xfId="12138" xr:uid="{00000000-0005-0000-0000-000036590000}"/>
    <cellStyle name="Normal 67 56 2" xfId="24302" xr:uid="{00000000-0005-0000-0000-000037590000}"/>
    <cellStyle name="Normal 67 57" xfId="12139" xr:uid="{00000000-0005-0000-0000-000038590000}"/>
    <cellStyle name="Normal 67 57 2" xfId="24303" xr:uid="{00000000-0005-0000-0000-000039590000}"/>
    <cellStyle name="Normal 67 58" xfId="12140" xr:uid="{00000000-0005-0000-0000-00003A590000}"/>
    <cellStyle name="Normal 67 58 2" xfId="24304" xr:uid="{00000000-0005-0000-0000-00003B590000}"/>
    <cellStyle name="Normal 67 59" xfId="12141" xr:uid="{00000000-0005-0000-0000-00003C590000}"/>
    <cellStyle name="Normal 67 59 2" xfId="24305" xr:uid="{00000000-0005-0000-0000-00003D590000}"/>
    <cellStyle name="Normal 67 6" xfId="12142" xr:uid="{00000000-0005-0000-0000-00003E590000}"/>
    <cellStyle name="Normal 67 6 2" xfId="24306" xr:uid="{00000000-0005-0000-0000-00003F590000}"/>
    <cellStyle name="Normal 67 60" xfId="12143" xr:uid="{00000000-0005-0000-0000-000040590000}"/>
    <cellStyle name="Normal 67 60 2" xfId="24307" xr:uid="{00000000-0005-0000-0000-000041590000}"/>
    <cellStyle name="Normal 67 61" xfId="12144" xr:uid="{00000000-0005-0000-0000-000042590000}"/>
    <cellStyle name="Normal 67 61 2" xfId="24308" xr:uid="{00000000-0005-0000-0000-000043590000}"/>
    <cellStyle name="Normal 67 62" xfId="12145" xr:uid="{00000000-0005-0000-0000-000044590000}"/>
    <cellStyle name="Normal 67 62 2" xfId="24309" xr:uid="{00000000-0005-0000-0000-000045590000}"/>
    <cellStyle name="Normal 67 63" xfId="12146" xr:uid="{00000000-0005-0000-0000-000046590000}"/>
    <cellStyle name="Normal 67 63 2" xfId="24310" xr:uid="{00000000-0005-0000-0000-000047590000}"/>
    <cellStyle name="Normal 67 64" xfId="12147" xr:uid="{00000000-0005-0000-0000-000048590000}"/>
    <cellStyle name="Normal 67 64 2" xfId="24311" xr:uid="{00000000-0005-0000-0000-000049590000}"/>
    <cellStyle name="Normal 67 65" xfId="12148" xr:uid="{00000000-0005-0000-0000-00004A590000}"/>
    <cellStyle name="Normal 67 65 2" xfId="24312" xr:uid="{00000000-0005-0000-0000-00004B590000}"/>
    <cellStyle name="Normal 67 66" xfId="12149" xr:uid="{00000000-0005-0000-0000-00004C590000}"/>
    <cellStyle name="Normal 67 66 2" xfId="24313" xr:uid="{00000000-0005-0000-0000-00004D590000}"/>
    <cellStyle name="Normal 67 67" xfId="12150" xr:uid="{00000000-0005-0000-0000-00004E590000}"/>
    <cellStyle name="Normal 67 67 2" xfId="24314" xr:uid="{00000000-0005-0000-0000-00004F590000}"/>
    <cellStyle name="Normal 67 68" xfId="12151" xr:uid="{00000000-0005-0000-0000-000050590000}"/>
    <cellStyle name="Normal 67 68 2" xfId="24315" xr:uid="{00000000-0005-0000-0000-000051590000}"/>
    <cellStyle name="Normal 67 69" xfId="12152" xr:uid="{00000000-0005-0000-0000-000052590000}"/>
    <cellStyle name="Normal 67 69 2" xfId="24316" xr:uid="{00000000-0005-0000-0000-000053590000}"/>
    <cellStyle name="Normal 67 7" xfId="12153" xr:uid="{00000000-0005-0000-0000-000054590000}"/>
    <cellStyle name="Normal 67 7 2" xfId="24317" xr:uid="{00000000-0005-0000-0000-000055590000}"/>
    <cellStyle name="Normal 67 70" xfId="12154" xr:uid="{00000000-0005-0000-0000-000056590000}"/>
    <cellStyle name="Normal 67 70 2" xfId="24318" xr:uid="{00000000-0005-0000-0000-000057590000}"/>
    <cellStyle name="Normal 67 71" xfId="12155" xr:uid="{00000000-0005-0000-0000-000058590000}"/>
    <cellStyle name="Normal 67 71 2" xfId="24319" xr:uid="{00000000-0005-0000-0000-000059590000}"/>
    <cellStyle name="Normal 67 72" xfId="12156" xr:uid="{00000000-0005-0000-0000-00005A590000}"/>
    <cellStyle name="Normal 67 72 2" xfId="24320" xr:uid="{00000000-0005-0000-0000-00005B590000}"/>
    <cellStyle name="Normal 67 73" xfId="12157" xr:uid="{00000000-0005-0000-0000-00005C590000}"/>
    <cellStyle name="Normal 67 73 2" xfId="24321" xr:uid="{00000000-0005-0000-0000-00005D590000}"/>
    <cellStyle name="Normal 67 74" xfId="12158" xr:uid="{00000000-0005-0000-0000-00005E590000}"/>
    <cellStyle name="Normal 67 74 2" xfId="24322" xr:uid="{00000000-0005-0000-0000-00005F590000}"/>
    <cellStyle name="Normal 67 75" xfId="12159" xr:uid="{00000000-0005-0000-0000-000060590000}"/>
    <cellStyle name="Normal 67 75 2" xfId="24323" xr:uid="{00000000-0005-0000-0000-000061590000}"/>
    <cellStyle name="Normal 67 76" xfId="12160" xr:uid="{00000000-0005-0000-0000-000062590000}"/>
    <cellStyle name="Normal 67 76 2" xfId="24324" xr:uid="{00000000-0005-0000-0000-000063590000}"/>
    <cellStyle name="Normal 67 77" xfId="12161" xr:uid="{00000000-0005-0000-0000-000064590000}"/>
    <cellStyle name="Normal 67 77 2" xfId="24325" xr:uid="{00000000-0005-0000-0000-000065590000}"/>
    <cellStyle name="Normal 67 78" xfId="12162" xr:uid="{00000000-0005-0000-0000-000066590000}"/>
    <cellStyle name="Normal 67 78 2" xfId="24326" xr:uid="{00000000-0005-0000-0000-000067590000}"/>
    <cellStyle name="Normal 67 79" xfId="12163" xr:uid="{00000000-0005-0000-0000-000068590000}"/>
    <cellStyle name="Normal 67 79 2" xfId="24327" xr:uid="{00000000-0005-0000-0000-000069590000}"/>
    <cellStyle name="Normal 67 8" xfId="12164" xr:uid="{00000000-0005-0000-0000-00006A590000}"/>
    <cellStyle name="Normal 67 8 2" xfId="24328" xr:uid="{00000000-0005-0000-0000-00006B590000}"/>
    <cellStyle name="Normal 67 80" xfId="24251" xr:uid="{00000000-0005-0000-0000-00006C590000}"/>
    <cellStyle name="Normal 67 9" xfId="12165" xr:uid="{00000000-0005-0000-0000-00006D590000}"/>
    <cellStyle name="Normal 67 9 2" xfId="24329" xr:uid="{00000000-0005-0000-0000-00006E590000}"/>
    <cellStyle name="Normal 68" xfId="194" xr:uid="{00000000-0005-0000-0000-00006F590000}"/>
    <cellStyle name="Normal 68 10" xfId="12166" xr:uid="{00000000-0005-0000-0000-000070590000}"/>
    <cellStyle name="Normal 68 10 2" xfId="24331" xr:uid="{00000000-0005-0000-0000-000071590000}"/>
    <cellStyle name="Normal 68 11" xfId="12167" xr:uid="{00000000-0005-0000-0000-000072590000}"/>
    <cellStyle name="Normal 68 11 2" xfId="24332" xr:uid="{00000000-0005-0000-0000-000073590000}"/>
    <cellStyle name="Normal 68 12" xfId="12168" xr:uid="{00000000-0005-0000-0000-000074590000}"/>
    <cellStyle name="Normal 68 12 2" xfId="24333" xr:uid="{00000000-0005-0000-0000-000075590000}"/>
    <cellStyle name="Normal 68 13" xfId="12169" xr:uid="{00000000-0005-0000-0000-000076590000}"/>
    <cellStyle name="Normal 68 13 2" xfId="24334" xr:uid="{00000000-0005-0000-0000-000077590000}"/>
    <cellStyle name="Normal 68 14" xfId="12170" xr:uid="{00000000-0005-0000-0000-000078590000}"/>
    <cellStyle name="Normal 68 14 2" xfId="24335" xr:uid="{00000000-0005-0000-0000-000079590000}"/>
    <cellStyle name="Normal 68 15" xfId="12171" xr:uid="{00000000-0005-0000-0000-00007A590000}"/>
    <cellStyle name="Normal 68 15 2" xfId="24336" xr:uid="{00000000-0005-0000-0000-00007B590000}"/>
    <cellStyle name="Normal 68 16" xfId="12172" xr:uid="{00000000-0005-0000-0000-00007C590000}"/>
    <cellStyle name="Normal 68 16 2" xfId="24337" xr:uid="{00000000-0005-0000-0000-00007D590000}"/>
    <cellStyle name="Normal 68 17" xfId="12173" xr:uid="{00000000-0005-0000-0000-00007E590000}"/>
    <cellStyle name="Normal 68 17 2" xfId="24338" xr:uid="{00000000-0005-0000-0000-00007F590000}"/>
    <cellStyle name="Normal 68 18" xfId="12174" xr:uid="{00000000-0005-0000-0000-000080590000}"/>
    <cellStyle name="Normal 68 18 2" xfId="24339" xr:uid="{00000000-0005-0000-0000-000081590000}"/>
    <cellStyle name="Normal 68 19" xfId="12175" xr:uid="{00000000-0005-0000-0000-000082590000}"/>
    <cellStyle name="Normal 68 19 2" xfId="24340" xr:uid="{00000000-0005-0000-0000-000083590000}"/>
    <cellStyle name="Normal 68 2" xfId="757" xr:uid="{00000000-0005-0000-0000-000084590000}"/>
    <cellStyle name="Normal 68 2 2" xfId="24341" xr:uid="{00000000-0005-0000-0000-000085590000}"/>
    <cellStyle name="Normal 68 2 3" xfId="12176" xr:uid="{00000000-0005-0000-0000-000086590000}"/>
    <cellStyle name="Normal 68 20" xfId="12177" xr:uid="{00000000-0005-0000-0000-000087590000}"/>
    <cellStyle name="Normal 68 20 2" xfId="24342" xr:uid="{00000000-0005-0000-0000-000088590000}"/>
    <cellStyle name="Normal 68 21" xfId="12178" xr:uid="{00000000-0005-0000-0000-000089590000}"/>
    <cellStyle name="Normal 68 21 2" xfId="24343" xr:uid="{00000000-0005-0000-0000-00008A590000}"/>
    <cellStyle name="Normal 68 22" xfId="12179" xr:uid="{00000000-0005-0000-0000-00008B590000}"/>
    <cellStyle name="Normal 68 22 2" xfId="24344" xr:uid="{00000000-0005-0000-0000-00008C590000}"/>
    <cellStyle name="Normal 68 23" xfId="12180" xr:uid="{00000000-0005-0000-0000-00008D590000}"/>
    <cellStyle name="Normal 68 23 2" xfId="24345" xr:uid="{00000000-0005-0000-0000-00008E590000}"/>
    <cellStyle name="Normal 68 24" xfId="12181" xr:uid="{00000000-0005-0000-0000-00008F590000}"/>
    <cellStyle name="Normal 68 24 2" xfId="24346" xr:uid="{00000000-0005-0000-0000-000090590000}"/>
    <cellStyle name="Normal 68 25" xfId="12182" xr:uid="{00000000-0005-0000-0000-000091590000}"/>
    <cellStyle name="Normal 68 25 2" xfId="24347" xr:uid="{00000000-0005-0000-0000-000092590000}"/>
    <cellStyle name="Normal 68 26" xfId="12183" xr:uid="{00000000-0005-0000-0000-000093590000}"/>
    <cellStyle name="Normal 68 26 2" xfId="24348" xr:uid="{00000000-0005-0000-0000-000094590000}"/>
    <cellStyle name="Normal 68 27" xfId="12184" xr:uid="{00000000-0005-0000-0000-000095590000}"/>
    <cellStyle name="Normal 68 27 2" xfId="24349" xr:uid="{00000000-0005-0000-0000-000096590000}"/>
    <cellStyle name="Normal 68 28" xfId="12185" xr:uid="{00000000-0005-0000-0000-000097590000}"/>
    <cellStyle name="Normal 68 28 2" xfId="24350" xr:uid="{00000000-0005-0000-0000-000098590000}"/>
    <cellStyle name="Normal 68 29" xfId="12186" xr:uid="{00000000-0005-0000-0000-000099590000}"/>
    <cellStyle name="Normal 68 29 2" xfId="24351" xr:uid="{00000000-0005-0000-0000-00009A590000}"/>
    <cellStyle name="Normal 68 3" xfId="409" xr:uid="{00000000-0005-0000-0000-00009B590000}"/>
    <cellStyle name="Normal 68 3 2" xfId="24352" xr:uid="{00000000-0005-0000-0000-00009C590000}"/>
    <cellStyle name="Normal 68 30" xfId="12187" xr:uid="{00000000-0005-0000-0000-00009D590000}"/>
    <cellStyle name="Normal 68 30 2" xfId="24353" xr:uid="{00000000-0005-0000-0000-00009E590000}"/>
    <cellStyle name="Normal 68 31" xfId="12188" xr:uid="{00000000-0005-0000-0000-00009F590000}"/>
    <cellStyle name="Normal 68 31 2" xfId="24354" xr:uid="{00000000-0005-0000-0000-0000A0590000}"/>
    <cellStyle name="Normal 68 32" xfId="12189" xr:uid="{00000000-0005-0000-0000-0000A1590000}"/>
    <cellStyle name="Normal 68 32 2" xfId="24355" xr:uid="{00000000-0005-0000-0000-0000A2590000}"/>
    <cellStyle name="Normal 68 33" xfId="12190" xr:uid="{00000000-0005-0000-0000-0000A3590000}"/>
    <cellStyle name="Normal 68 33 2" xfId="24356" xr:uid="{00000000-0005-0000-0000-0000A4590000}"/>
    <cellStyle name="Normal 68 34" xfId="12191" xr:uid="{00000000-0005-0000-0000-0000A5590000}"/>
    <cellStyle name="Normal 68 34 2" xfId="24357" xr:uid="{00000000-0005-0000-0000-0000A6590000}"/>
    <cellStyle name="Normal 68 35" xfId="12192" xr:uid="{00000000-0005-0000-0000-0000A7590000}"/>
    <cellStyle name="Normal 68 35 2" xfId="24358" xr:uid="{00000000-0005-0000-0000-0000A8590000}"/>
    <cellStyle name="Normal 68 36" xfId="12193" xr:uid="{00000000-0005-0000-0000-0000A9590000}"/>
    <cellStyle name="Normal 68 36 2" xfId="24359" xr:uid="{00000000-0005-0000-0000-0000AA590000}"/>
    <cellStyle name="Normal 68 37" xfId="12194" xr:uid="{00000000-0005-0000-0000-0000AB590000}"/>
    <cellStyle name="Normal 68 37 2" xfId="24360" xr:uid="{00000000-0005-0000-0000-0000AC590000}"/>
    <cellStyle name="Normal 68 38" xfId="12195" xr:uid="{00000000-0005-0000-0000-0000AD590000}"/>
    <cellStyle name="Normal 68 38 2" xfId="24361" xr:uid="{00000000-0005-0000-0000-0000AE590000}"/>
    <cellStyle name="Normal 68 39" xfId="12196" xr:uid="{00000000-0005-0000-0000-0000AF590000}"/>
    <cellStyle name="Normal 68 39 2" xfId="24362" xr:uid="{00000000-0005-0000-0000-0000B0590000}"/>
    <cellStyle name="Normal 68 4" xfId="12197" xr:uid="{00000000-0005-0000-0000-0000B1590000}"/>
    <cellStyle name="Normal 68 4 2" xfId="24363" xr:uid="{00000000-0005-0000-0000-0000B2590000}"/>
    <cellStyle name="Normal 68 40" xfId="12198" xr:uid="{00000000-0005-0000-0000-0000B3590000}"/>
    <cellStyle name="Normal 68 40 2" xfId="24364" xr:uid="{00000000-0005-0000-0000-0000B4590000}"/>
    <cellStyle name="Normal 68 41" xfId="12199" xr:uid="{00000000-0005-0000-0000-0000B5590000}"/>
    <cellStyle name="Normal 68 41 2" xfId="24365" xr:uid="{00000000-0005-0000-0000-0000B6590000}"/>
    <cellStyle name="Normal 68 42" xfId="12200" xr:uid="{00000000-0005-0000-0000-0000B7590000}"/>
    <cellStyle name="Normal 68 42 2" xfId="24366" xr:uid="{00000000-0005-0000-0000-0000B8590000}"/>
    <cellStyle name="Normal 68 43" xfId="12201" xr:uid="{00000000-0005-0000-0000-0000B9590000}"/>
    <cellStyle name="Normal 68 43 2" xfId="24367" xr:uid="{00000000-0005-0000-0000-0000BA590000}"/>
    <cellStyle name="Normal 68 44" xfId="12202" xr:uid="{00000000-0005-0000-0000-0000BB590000}"/>
    <cellStyle name="Normal 68 44 2" xfId="24368" xr:uid="{00000000-0005-0000-0000-0000BC590000}"/>
    <cellStyle name="Normal 68 45" xfId="12203" xr:uid="{00000000-0005-0000-0000-0000BD590000}"/>
    <cellStyle name="Normal 68 45 2" xfId="24369" xr:uid="{00000000-0005-0000-0000-0000BE590000}"/>
    <cellStyle name="Normal 68 46" xfId="12204" xr:uid="{00000000-0005-0000-0000-0000BF590000}"/>
    <cellStyle name="Normal 68 46 2" xfId="24370" xr:uid="{00000000-0005-0000-0000-0000C0590000}"/>
    <cellStyle name="Normal 68 47" xfId="12205" xr:uid="{00000000-0005-0000-0000-0000C1590000}"/>
    <cellStyle name="Normal 68 47 2" xfId="24371" xr:uid="{00000000-0005-0000-0000-0000C2590000}"/>
    <cellStyle name="Normal 68 48" xfId="12206" xr:uid="{00000000-0005-0000-0000-0000C3590000}"/>
    <cellStyle name="Normal 68 48 2" xfId="24372" xr:uid="{00000000-0005-0000-0000-0000C4590000}"/>
    <cellStyle name="Normal 68 49" xfId="12207" xr:uid="{00000000-0005-0000-0000-0000C5590000}"/>
    <cellStyle name="Normal 68 49 2" xfId="24373" xr:uid="{00000000-0005-0000-0000-0000C6590000}"/>
    <cellStyle name="Normal 68 5" xfId="12208" xr:uid="{00000000-0005-0000-0000-0000C7590000}"/>
    <cellStyle name="Normal 68 5 2" xfId="24374" xr:uid="{00000000-0005-0000-0000-0000C8590000}"/>
    <cellStyle name="Normal 68 50" xfId="12209" xr:uid="{00000000-0005-0000-0000-0000C9590000}"/>
    <cellStyle name="Normal 68 50 2" xfId="24375" xr:uid="{00000000-0005-0000-0000-0000CA590000}"/>
    <cellStyle name="Normal 68 51" xfId="12210" xr:uid="{00000000-0005-0000-0000-0000CB590000}"/>
    <cellStyle name="Normal 68 51 2" xfId="24376" xr:uid="{00000000-0005-0000-0000-0000CC590000}"/>
    <cellStyle name="Normal 68 52" xfId="12211" xr:uid="{00000000-0005-0000-0000-0000CD590000}"/>
    <cellStyle name="Normal 68 52 2" xfId="24377" xr:uid="{00000000-0005-0000-0000-0000CE590000}"/>
    <cellStyle name="Normal 68 53" xfId="12212" xr:uid="{00000000-0005-0000-0000-0000CF590000}"/>
    <cellStyle name="Normal 68 53 2" xfId="24378" xr:uid="{00000000-0005-0000-0000-0000D0590000}"/>
    <cellStyle name="Normal 68 54" xfId="12213" xr:uid="{00000000-0005-0000-0000-0000D1590000}"/>
    <cellStyle name="Normal 68 54 2" xfId="24379" xr:uid="{00000000-0005-0000-0000-0000D2590000}"/>
    <cellStyle name="Normal 68 55" xfId="12214" xr:uid="{00000000-0005-0000-0000-0000D3590000}"/>
    <cellStyle name="Normal 68 55 2" xfId="24380" xr:uid="{00000000-0005-0000-0000-0000D4590000}"/>
    <cellStyle name="Normal 68 56" xfId="12215" xr:uid="{00000000-0005-0000-0000-0000D5590000}"/>
    <cellStyle name="Normal 68 56 2" xfId="24381" xr:uid="{00000000-0005-0000-0000-0000D6590000}"/>
    <cellStyle name="Normal 68 57" xfId="12216" xr:uid="{00000000-0005-0000-0000-0000D7590000}"/>
    <cellStyle name="Normal 68 57 2" xfId="24382" xr:uid="{00000000-0005-0000-0000-0000D8590000}"/>
    <cellStyle name="Normal 68 58" xfId="12217" xr:uid="{00000000-0005-0000-0000-0000D9590000}"/>
    <cellStyle name="Normal 68 58 2" xfId="24383" xr:uid="{00000000-0005-0000-0000-0000DA590000}"/>
    <cellStyle name="Normal 68 59" xfId="12218" xr:uid="{00000000-0005-0000-0000-0000DB590000}"/>
    <cellStyle name="Normal 68 59 2" xfId="24384" xr:uid="{00000000-0005-0000-0000-0000DC590000}"/>
    <cellStyle name="Normal 68 6" xfId="12219" xr:uid="{00000000-0005-0000-0000-0000DD590000}"/>
    <cellStyle name="Normal 68 6 2" xfId="24385" xr:uid="{00000000-0005-0000-0000-0000DE590000}"/>
    <cellStyle name="Normal 68 60" xfId="12220" xr:uid="{00000000-0005-0000-0000-0000DF590000}"/>
    <cellStyle name="Normal 68 60 2" xfId="24386" xr:uid="{00000000-0005-0000-0000-0000E0590000}"/>
    <cellStyle name="Normal 68 61" xfId="12221" xr:uid="{00000000-0005-0000-0000-0000E1590000}"/>
    <cellStyle name="Normal 68 61 2" xfId="24387" xr:uid="{00000000-0005-0000-0000-0000E2590000}"/>
    <cellStyle name="Normal 68 62" xfId="12222" xr:uid="{00000000-0005-0000-0000-0000E3590000}"/>
    <cellStyle name="Normal 68 62 2" xfId="24388" xr:uid="{00000000-0005-0000-0000-0000E4590000}"/>
    <cellStyle name="Normal 68 63" xfId="12223" xr:uid="{00000000-0005-0000-0000-0000E5590000}"/>
    <cellStyle name="Normal 68 63 2" xfId="24389" xr:uid="{00000000-0005-0000-0000-0000E6590000}"/>
    <cellStyle name="Normal 68 64" xfId="12224" xr:uid="{00000000-0005-0000-0000-0000E7590000}"/>
    <cellStyle name="Normal 68 64 2" xfId="24390" xr:uid="{00000000-0005-0000-0000-0000E8590000}"/>
    <cellStyle name="Normal 68 65" xfId="12225" xr:uid="{00000000-0005-0000-0000-0000E9590000}"/>
    <cellStyle name="Normal 68 65 2" xfId="24391" xr:uid="{00000000-0005-0000-0000-0000EA590000}"/>
    <cellStyle name="Normal 68 66" xfId="12226" xr:uid="{00000000-0005-0000-0000-0000EB590000}"/>
    <cellStyle name="Normal 68 66 2" xfId="24392" xr:uid="{00000000-0005-0000-0000-0000EC590000}"/>
    <cellStyle name="Normal 68 67" xfId="12227" xr:uid="{00000000-0005-0000-0000-0000ED590000}"/>
    <cellStyle name="Normal 68 67 2" xfId="24393" xr:uid="{00000000-0005-0000-0000-0000EE590000}"/>
    <cellStyle name="Normal 68 68" xfId="12228" xr:uid="{00000000-0005-0000-0000-0000EF590000}"/>
    <cellStyle name="Normal 68 68 2" xfId="24394" xr:uid="{00000000-0005-0000-0000-0000F0590000}"/>
    <cellStyle name="Normal 68 69" xfId="12229" xr:uid="{00000000-0005-0000-0000-0000F1590000}"/>
    <cellStyle name="Normal 68 69 2" xfId="24395" xr:uid="{00000000-0005-0000-0000-0000F2590000}"/>
    <cellStyle name="Normal 68 7" xfId="12230" xr:uid="{00000000-0005-0000-0000-0000F3590000}"/>
    <cellStyle name="Normal 68 7 2" xfId="24396" xr:uid="{00000000-0005-0000-0000-0000F4590000}"/>
    <cellStyle name="Normal 68 70" xfId="12231" xr:uid="{00000000-0005-0000-0000-0000F5590000}"/>
    <cellStyle name="Normal 68 70 2" xfId="24397" xr:uid="{00000000-0005-0000-0000-0000F6590000}"/>
    <cellStyle name="Normal 68 71" xfId="12232" xr:uid="{00000000-0005-0000-0000-0000F7590000}"/>
    <cellStyle name="Normal 68 71 2" xfId="24398" xr:uid="{00000000-0005-0000-0000-0000F8590000}"/>
    <cellStyle name="Normal 68 72" xfId="12233" xr:uid="{00000000-0005-0000-0000-0000F9590000}"/>
    <cellStyle name="Normal 68 72 2" xfId="24399" xr:uid="{00000000-0005-0000-0000-0000FA590000}"/>
    <cellStyle name="Normal 68 73" xfId="12234" xr:uid="{00000000-0005-0000-0000-0000FB590000}"/>
    <cellStyle name="Normal 68 73 2" xfId="24400" xr:uid="{00000000-0005-0000-0000-0000FC590000}"/>
    <cellStyle name="Normal 68 74" xfId="12235" xr:uid="{00000000-0005-0000-0000-0000FD590000}"/>
    <cellStyle name="Normal 68 74 2" xfId="24401" xr:uid="{00000000-0005-0000-0000-0000FE590000}"/>
    <cellStyle name="Normal 68 75" xfId="12236" xr:uid="{00000000-0005-0000-0000-0000FF590000}"/>
    <cellStyle name="Normal 68 75 2" xfId="24402" xr:uid="{00000000-0005-0000-0000-0000005A0000}"/>
    <cellStyle name="Normal 68 76" xfId="12237" xr:uid="{00000000-0005-0000-0000-0000015A0000}"/>
    <cellStyle name="Normal 68 76 2" xfId="24403" xr:uid="{00000000-0005-0000-0000-0000025A0000}"/>
    <cellStyle name="Normal 68 77" xfId="12238" xr:uid="{00000000-0005-0000-0000-0000035A0000}"/>
    <cellStyle name="Normal 68 77 2" xfId="24404" xr:uid="{00000000-0005-0000-0000-0000045A0000}"/>
    <cellStyle name="Normal 68 78" xfId="12239" xr:uid="{00000000-0005-0000-0000-0000055A0000}"/>
    <cellStyle name="Normal 68 78 2" xfId="24405" xr:uid="{00000000-0005-0000-0000-0000065A0000}"/>
    <cellStyle name="Normal 68 79" xfId="12240" xr:uid="{00000000-0005-0000-0000-0000075A0000}"/>
    <cellStyle name="Normal 68 79 2" xfId="24406" xr:uid="{00000000-0005-0000-0000-0000085A0000}"/>
    <cellStyle name="Normal 68 8" xfId="12241" xr:uid="{00000000-0005-0000-0000-0000095A0000}"/>
    <cellStyle name="Normal 68 8 2" xfId="24407" xr:uid="{00000000-0005-0000-0000-00000A5A0000}"/>
    <cellStyle name="Normal 68 80" xfId="24330" xr:uid="{00000000-0005-0000-0000-00000B5A0000}"/>
    <cellStyle name="Normal 68 9" xfId="12242" xr:uid="{00000000-0005-0000-0000-00000C5A0000}"/>
    <cellStyle name="Normal 68 9 2" xfId="24408" xr:uid="{00000000-0005-0000-0000-00000D5A0000}"/>
    <cellStyle name="Normal 69" xfId="195" xr:uid="{00000000-0005-0000-0000-00000E5A0000}"/>
    <cellStyle name="Normal 69 10" xfId="12243" xr:uid="{00000000-0005-0000-0000-00000F5A0000}"/>
    <cellStyle name="Normal 69 10 2" xfId="24410" xr:uid="{00000000-0005-0000-0000-0000105A0000}"/>
    <cellStyle name="Normal 69 11" xfId="12244" xr:uid="{00000000-0005-0000-0000-0000115A0000}"/>
    <cellStyle name="Normal 69 11 2" xfId="24411" xr:uid="{00000000-0005-0000-0000-0000125A0000}"/>
    <cellStyle name="Normal 69 12" xfId="12245" xr:uid="{00000000-0005-0000-0000-0000135A0000}"/>
    <cellStyle name="Normal 69 12 2" xfId="24412" xr:uid="{00000000-0005-0000-0000-0000145A0000}"/>
    <cellStyle name="Normal 69 13" xfId="12246" xr:uid="{00000000-0005-0000-0000-0000155A0000}"/>
    <cellStyle name="Normal 69 13 2" xfId="24413" xr:uid="{00000000-0005-0000-0000-0000165A0000}"/>
    <cellStyle name="Normal 69 14" xfId="12247" xr:uid="{00000000-0005-0000-0000-0000175A0000}"/>
    <cellStyle name="Normal 69 14 2" xfId="24414" xr:uid="{00000000-0005-0000-0000-0000185A0000}"/>
    <cellStyle name="Normal 69 15" xfId="12248" xr:uid="{00000000-0005-0000-0000-0000195A0000}"/>
    <cellStyle name="Normal 69 15 2" xfId="24415" xr:uid="{00000000-0005-0000-0000-00001A5A0000}"/>
    <cellStyle name="Normal 69 16" xfId="12249" xr:uid="{00000000-0005-0000-0000-00001B5A0000}"/>
    <cellStyle name="Normal 69 16 2" xfId="24416" xr:uid="{00000000-0005-0000-0000-00001C5A0000}"/>
    <cellStyle name="Normal 69 17" xfId="12250" xr:uid="{00000000-0005-0000-0000-00001D5A0000}"/>
    <cellStyle name="Normal 69 17 2" xfId="24417" xr:uid="{00000000-0005-0000-0000-00001E5A0000}"/>
    <cellStyle name="Normal 69 18" xfId="12251" xr:uid="{00000000-0005-0000-0000-00001F5A0000}"/>
    <cellStyle name="Normal 69 18 2" xfId="24418" xr:uid="{00000000-0005-0000-0000-0000205A0000}"/>
    <cellStyle name="Normal 69 19" xfId="12252" xr:uid="{00000000-0005-0000-0000-0000215A0000}"/>
    <cellStyle name="Normal 69 19 2" xfId="24419" xr:uid="{00000000-0005-0000-0000-0000225A0000}"/>
    <cellStyle name="Normal 69 2" xfId="758" xr:uid="{00000000-0005-0000-0000-0000235A0000}"/>
    <cellStyle name="Normal 69 2 2" xfId="24420" xr:uid="{00000000-0005-0000-0000-0000245A0000}"/>
    <cellStyle name="Normal 69 2 3" xfId="12253" xr:uid="{00000000-0005-0000-0000-0000255A0000}"/>
    <cellStyle name="Normal 69 20" xfId="12254" xr:uid="{00000000-0005-0000-0000-0000265A0000}"/>
    <cellStyle name="Normal 69 20 2" xfId="24421" xr:uid="{00000000-0005-0000-0000-0000275A0000}"/>
    <cellStyle name="Normal 69 21" xfId="12255" xr:uid="{00000000-0005-0000-0000-0000285A0000}"/>
    <cellStyle name="Normal 69 21 2" xfId="24422" xr:uid="{00000000-0005-0000-0000-0000295A0000}"/>
    <cellStyle name="Normal 69 22" xfId="12256" xr:uid="{00000000-0005-0000-0000-00002A5A0000}"/>
    <cellStyle name="Normal 69 22 2" xfId="24423" xr:uid="{00000000-0005-0000-0000-00002B5A0000}"/>
    <cellStyle name="Normal 69 23" xfId="12257" xr:uid="{00000000-0005-0000-0000-00002C5A0000}"/>
    <cellStyle name="Normal 69 23 2" xfId="24424" xr:uid="{00000000-0005-0000-0000-00002D5A0000}"/>
    <cellStyle name="Normal 69 24" xfId="12258" xr:uid="{00000000-0005-0000-0000-00002E5A0000}"/>
    <cellStyle name="Normal 69 24 2" xfId="24425" xr:uid="{00000000-0005-0000-0000-00002F5A0000}"/>
    <cellStyle name="Normal 69 25" xfId="12259" xr:uid="{00000000-0005-0000-0000-0000305A0000}"/>
    <cellStyle name="Normal 69 25 2" xfId="24426" xr:uid="{00000000-0005-0000-0000-0000315A0000}"/>
    <cellStyle name="Normal 69 26" xfId="12260" xr:uid="{00000000-0005-0000-0000-0000325A0000}"/>
    <cellStyle name="Normal 69 26 2" xfId="24427" xr:uid="{00000000-0005-0000-0000-0000335A0000}"/>
    <cellStyle name="Normal 69 27" xfId="12261" xr:uid="{00000000-0005-0000-0000-0000345A0000}"/>
    <cellStyle name="Normal 69 27 2" xfId="24428" xr:uid="{00000000-0005-0000-0000-0000355A0000}"/>
    <cellStyle name="Normal 69 28" xfId="12262" xr:uid="{00000000-0005-0000-0000-0000365A0000}"/>
    <cellStyle name="Normal 69 28 2" xfId="24429" xr:uid="{00000000-0005-0000-0000-0000375A0000}"/>
    <cellStyle name="Normal 69 29" xfId="12263" xr:uid="{00000000-0005-0000-0000-0000385A0000}"/>
    <cellStyle name="Normal 69 29 2" xfId="24430" xr:uid="{00000000-0005-0000-0000-0000395A0000}"/>
    <cellStyle name="Normal 69 3" xfId="410" xr:uid="{00000000-0005-0000-0000-00003A5A0000}"/>
    <cellStyle name="Normal 69 3 2" xfId="24431" xr:uid="{00000000-0005-0000-0000-00003B5A0000}"/>
    <cellStyle name="Normal 69 30" xfId="12264" xr:uid="{00000000-0005-0000-0000-00003C5A0000}"/>
    <cellStyle name="Normal 69 30 2" xfId="24432" xr:uid="{00000000-0005-0000-0000-00003D5A0000}"/>
    <cellStyle name="Normal 69 31" xfId="12265" xr:uid="{00000000-0005-0000-0000-00003E5A0000}"/>
    <cellStyle name="Normal 69 31 2" xfId="24433" xr:uid="{00000000-0005-0000-0000-00003F5A0000}"/>
    <cellStyle name="Normal 69 32" xfId="12266" xr:uid="{00000000-0005-0000-0000-0000405A0000}"/>
    <cellStyle name="Normal 69 32 2" xfId="24434" xr:uid="{00000000-0005-0000-0000-0000415A0000}"/>
    <cellStyle name="Normal 69 33" xfId="12267" xr:uid="{00000000-0005-0000-0000-0000425A0000}"/>
    <cellStyle name="Normal 69 33 2" xfId="24435" xr:uid="{00000000-0005-0000-0000-0000435A0000}"/>
    <cellStyle name="Normal 69 34" xfId="12268" xr:uid="{00000000-0005-0000-0000-0000445A0000}"/>
    <cellStyle name="Normal 69 34 2" xfId="24436" xr:uid="{00000000-0005-0000-0000-0000455A0000}"/>
    <cellStyle name="Normal 69 35" xfId="12269" xr:uid="{00000000-0005-0000-0000-0000465A0000}"/>
    <cellStyle name="Normal 69 35 2" xfId="24437" xr:uid="{00000000-0005-0000-0000-0000475A0000}"/>
    <cellStyle name="Normal 69 36" xfId="12270" xr:uid="{00000000-0005-0000-0000-0000485A0000}"/>
    <cellStyle name="Normal 69 36 2" xfId="24438" xr:uid="{00000000-0005-0000-0000-0000495A0000}"/>
    <cellStyle name="Normal 69 37" xfId="12271" xr:uid="{00000000-0005-0000-0000-00004A5A0000}"/>
    <cellStyle name="Normal 69 37 2" xfId="24439" xr:uid="{00000000-0005-0000-0000-00004B5A0000}"/>
    <cellStyle name="Normal 69 38" xfId="12272" xr:uid="{00000000-0005-0000-0000-00004C5A0000}"/>
    <cellStyle name="Normal 69 38 2" xfId="24440" xr:uid="{00000000-0005-0000-0000-00004D5A0000}"/>
    <cellStyle name="Normal 69 39" xfId="12273" xr:uid="{00000000-0005-0000-0000-00004E5A0000}"/>
    <cellStyle name="Normal 69 39 2" xfId="24441" xr:uid="{00000000-0005-0000-0000-00004F5A0000}"/>
    <cellStyle name="Normal 69 4" xfId="12274" xr:uid="{00000000-0005-0000-0000-0000505A0000}"/>
    <cellStyle name="Normal 69 4 2" xfId="24442" xr:uid="{00000000-0005-0000-0000-0000515A0000}"/>
    <cellStyle name="Normal 69 40" xfId="12275" xr:uid="{00000000-0005-0000-0000-0000525A0000}"/>
    <cellStyle name="Normal 69 40 2" xfId="24443" xr:uid="{00000000-0005-0000-0000-0000535A0000}"/>
    <cellStyle name="Normal 69 41" xfId="12276" xr:uid="{00000000-0005-0000-0000-0000545A0000}"/>
    <cellStyle name="Normal 69 41 2" xfId="24444" xr:uid="{00000000-0005-0000-0000-0000555A0000}"/>
    <cellStyle name="Normal 69 42" xfId="12277" xr:uid="{00000000-0005-0000-0000-0000565A0000}"/>
    <cellStyle name="Normal 69 42 2" xfId="24445" xr:uid="{00000000-0005-0000-0000-0000575A0000}"/>
    <cellStyle name="Normal 69 43" xfId="12278" xr:uid="{00000000-0005-0000-0000-0000585A0000}"/>
    <cellStyle name="Normal 69 43 2" xfId="24446" xr:uid="{00000000-0005-0000-0000-0000595A0000}"/>
    <cellStyle name="Normal 69 44" xfId="12279" xr:uid="{00000000-0005-0000-0000-00005A5A0000}"/>
    <cellStyle name="Normal 69 44 2" xfId="24447" xr:uid="{00000000-0005-0000-0000-00005B5A0000}"/>
    <cellStyle name="Normal 69 45" xfId="12280" xr:uid="{00000000-0005-0000-0000-00005C5A0000}"/>
    <cellStyle name="Normal 69 45 2" xfId="24448" xr:uid="{00000000-0005-0000-0000-00005D5A0000}"/>
    <cellStyle name="Normal 69 46" xfId="12281" xr:uid="{00000000-0005-0000-0000-00005E5A0000}"/>
    <cellStyle name="Normal 69 46 2" xfId="24449" xr:uid="{00000000-0005-0000-0000-00005F5A0000}"/>
    <cellStyle name="Normal 69 47" xfId="12282" xr:uid="{00000000-0005-0000-0000-0000605A0000}"/>
    <cellStyle name="Normal 69 47 2" xfId="24450" xr:uid="{00000000-0005-0000-0000-0000615A0000}"/>
    <cellStyle name="Normal 69 48" xfId="12283" xr:uid="{00000000-0005-0000-0000-0000625A0000}"/>
    <cellStyle name="Normal 69 48 2" xfId="24451" xr:uid="{00000000-0005-0000-0000-0000635A0000}"/>
    <cellStyle name="Normal 69 49" xfId="12284" xr:uid="{00000000-0005-0000-0000-0000645A0000}"/>
    <cellStyle name="Normal 69 49 2" xfId="24452" xr:uid="{00000000-0005-0000-0000-0000655A0000}"/>
    <cellStyle name="Normal 69 5" xfId="12285" xr:uid="{00000000-0005-0000-0000-0000665A0000}"/>
    <cellStyle name="Normal 69 5 2" xfId="24453" xr:uid="{00000000-0005-0000-0000-0000675A0000}"/>
    <cellStyle name="Normal 69 50" xfId="12286" xr:uid="{00000000-0005-0000-0000-0000685A0000}"/>
    <cellStyle name="Normal 69 50 2" xfId="24454" xr:uid="{00000000-0005-0000-0000-0000695A0000}"/>
    <cellStyle name="Normal 69 51" xfId="12287" xr:uid="{00000000-0005-0000-0000-00006A5A0000}"/>
    <cellStyle name="Normal 69 51 2" xfId="24455" xr:uid="{00000000-0005-0000-0000-00006B5A0000}"/>
    <cellStyle name="Normal 69 52" xfId="12288" xr:uid="{00000000-0005-0000-0000-00006C5A0000}"/>
    <cellStyle name="Normal 69 52 2" xfId="24456" xr:uid="{00000000-0005-0000-0000-00006D5A0000}"/>
    <cellStyle name="Normal 69 53" xfId="12289" xr:uid="{00000000-0005-0000-0000-00006E5A0000}"/>
    <cellStyle name="Normal 69 53 2" xfId="24457" xr:uid="{00000000-0005-0000-0000-00006F5A0000}"/>
    <cellStyle name="Normal 69 54" xfId="12290" xr:uid="{00000000-0005-0000-0000-0000705A0000}"/>
    <cellStyle name="Normal 69 54 2" xfId="24458" xr:uid="{00000000-0005-0000-0000-0000715A0000}"/>
    <cellStyle name="Normal 69 55" xfId="12291" xr:uid="{00000000-0005-0000-0000-0000725A0000}"/>
    <cellStyle name="Normal 69 55 2" xfId="24459" xr:uid="{00000000-0005-0000-0000-0000735A0000}"/>
    <cellStyle name="Normal 69 56" xfId="12292" xr:uid="{00000000-0005-0000-0000-0000745A0000}"/>
    <cellStyle name="Normal 69 56 2" xfId="24460" xr:uid="{00000000-0005-0000-0000-0000755A0000}"/>
    <cellStyle name="Normal 69 57" xfId="12293" xr:uid="{00000000-0005-0000-0000-0000765A0000}"/>
    <cellStyle name="Normal 69 57 2" xfId="24461" xr:uid="{00000000-0005-0000-0000-0000775A0000}"/>
    <cellStyle name="Normal 69 58" xfId="12294" xr:uid="{00000000-0005-0000-0000-0000785A0000}"/>
    <cellStyle name="Normal 69 58 2" xfId="24462" xr:uid="{00000000-0005-0000-0000-0000795A0000}"/>
    <cellStyle name="Normal 69 59" xfId="12295" xr:uid="{00000000-0005-0000-0000-00007A5A0000}"/>
    <cellStyle name="Normal 69 59 2" xfId="24463" xr:uid="{00000000-0005-0000-0000-00007B5A0000}"/>
    <cellStyle name="Normal 69 6" xfId="12296" xr:uid="{00000000-0005-0000-0000-00007C5A0000}"/>
    <cellStyle name="Normal 69 6 2" xfId="24464" xr:uid="{00000000-0005-0000-0000-00007D5A0000}"/>
    <cellStyle name="Normal 69 60" xfId="12297" xr:uid="{00000000-0005-0000-0000-00007E5A0000}"/>
    <cellStyle name="Normal 69 60 2" xfId="24465" xr:uid="{00000000-0005-0000-0000-00007F5A0000}"/>
    <cellStyle name="Normal 69 61" xfId="12298" xr:uid="{00000000-0005-0000-0000-0000805A0000}"/>
    <cellStyle name="Normal 69 61 2" xfId="24466" xr:uid="{00000000-0005-0000-0000-0000815A0000}"/>
    <cellStyle name="Normal 69 62" xfId="12299" xr:uid="{00000000-0005-0000-0000-0000825A0000}"/>
    <cellStyle name="Normal 69 62 2" xfId="24467" xr:uid="{00000000-0005-0000-0000-0000835A0000}"/>
    <cellStyle name="Normal 69 63" xfId="12300" xr:uid="{00000000-0005-0000-0000-0000845A0000}"/>
    <cellStyle name="Normal 69 63 2" xfId="24468" xr:uid="{00000000-0005-0000-0000-0000855A0000}"/>
    <cellStyle name="Normal 69 64" xfId="12301" xr:uid="{00000000-0005-0000-0000-0000865A0000}"/>
    <cellStyle name="Normal 69 64 2" xfId="24469" xr:uid="{00000000-0005-0000-0000-0000875A0000}"/>
    <cellStyle name="Normal 69 65" xfId="12302" xr:uid="{00000000-0005-0000-0000-0000885A0000}"/>
    <cellStyle name="Normal 69 65 2" xfId="24470" xr:uid="{00000000-0005-0000-0000-0000895A0000}"/>
    <cellStyle name="Normal 69 66" xfId="12303" xr:uid="{00000000-0005-0000-0000-00008A5A0000}"/>
    <cellStyle name="Normal 69 66 2" xfId="24471" xr:uid="{00000000-0005-0000-0000-00008B5A0000}"/>
    <cellStyle name="Normal 69 67" xfId="12304" xr:uid="{00000000-0005-0000-0000-00008C5A0000}"/>
    <cellStyle name="Normal 69 67 2" xfId="24472" xr:uid="{00000000-0005-0000-0000-00008D5A0000}"/>
    <cellStyle name="Normal 69 68" xfId="12305" xr:uid="{00000000-0005-0000-0000-00008E5A0000}"/>
    <cellStyle name="Normal 69 68 2" xfId="24473" xr:uid="{00000000-0005-0000-0000-00008F5A0000}"/>
    <cellStyle name="Normal 69 69" xfId="12306" xr:uid="{00000000-0005-0000-0000-0000905A0000}"/>
    <cellStyle name="Normal 69 69 2" xfId="24474" xr:uid="{00000000-0005-0000-0000-0000915A0000}"/>
    <cellStyle name="Normal 69 7" xfId="12307" xr:uid="{00000000-0005-0000-0000-0000925A0000}"/>
    <cellStyle name="Normal 69 7 2" xfId="24475" xr:uid="{00000000-0005-0000-0000-0000935A0000}"/>
    <cellStyle name="Normal 69 70" xfId="12308" xr:uid="{00000000-0005-0000-0000-0000945A0000}"/>
    <cellStyle name="Normal 69 70 2" xfId="24476" xr:uid="{00000000-0005-0000-0000-0000955A0000}"/>
    <cellStyle name="Normal 69 71" xfId="12309" xr:uid="{00000000-0005-0000-0000-0000965A0000}"/>
    <cellStyle name="Normal 69 71 2" xfId="24477" xr:uid="{00000000-0005-0000-0000-0000975A0000}"/>
    <cellStyle name="Normal 69 72" xfId="12310" xr:uid="{00000000-0005-0000-0000-0000985A0000}"/>
    <cellStyle name="Normal 69 72 2" xfId="24478" xr:uid="{00000000-0005-0000-0000-0000995A0000}"/>
    <cellStyle name="Normal 69 73" xfId="12311" xr:uid="{00000000-0005-0000-0000-00009A5A0000}"/>
    <cellStyle name="Normal 69 73 2" xfId="24479" xr:uid="{00000000-0005-0000-0000-00009B5A0000}"/>
    <cellStyle name="Normal 69 74" xfId="12312" xr:uid="{00000000-0005-0000-0000-00009C5A0000}"/>
    <cellStyle name="Normal 69 74 2" xfId="24480" xr:uid="{00000000-0005-0000-0000-00009D5A0000}"/>
    <cellStyle name="Normal 69 75" xfId="12313" xr:uid="{00000000-0005-0000-0000-00009E5A0000}"/>
    <cellStyle name="Normal 69 75 2" xfId="24481" xr:uid="{00000000-0005-0000-0000-00009F5A0000}"/>
    <cellStyle name="Normal 69 76" xfId="12314" xr:uid="{00000000-0005-0000-0000-0000A05A0000}"/>
    <cellStyle name="Normal 69 76 2" xfId="24482" xr:uid="{00000000-0005-0000-0000-0000A15A0000}"/>
    <cellStyle name="Normal 69 77" xfId="12315" xr:uid="{00000000-0005-0000-0000-0000A25A0000}"/>
    <cellStyle name="Normal 69 77 2" xfId="24483" xr:uid="{00000000-0005-0000-0000-0000A35A0000}"/>
    <cellStyle name="Normal 69 78" xfId="12316" xr:uid="{00000000-0005-0000-0000-0000A45A0000}"/>
    <cellStyle name="Normal 69 78 2" xfId="24484" xr:uid="{00000000-0005-0000-0000-0000A55A0000}"/>
    <cellStyle name="Normal 69 79" xfId="12317" xr:uid="{00000000-0005-0000-0000-0000A65A0000}"/>
    <cellStyle name="Normal 69 79 2" xfId="24485" xr:uid="{00000000-0005-0000-0000-0000A75A0000}"/>
    <cellStyle name="Normal 69 8" xfId="12318" xr:uid="{00000000-0005-0000-0000-0000A85A0000}"/>
    <cellStyle name="Normal 69 8 2" xfId="24486" xr:uid="{00000000-0005-0000-0000-0000A95A0000}"/>
    <cellStyle name="Normal 69 80" xfId="24409" xr:uid="{00000000-0005-0000-0000-0000AA5A0000}"/>
    <cellStyle name="Normal 69 9" xfId="12319" xr:uid="{00000000-0005-0000-0000-0000AB5A0000}"/>
    <cellStyle name="Normal 69 9 2" xfId="24487" xr:uid="{00000000-0005-0000-0000-0000AC5A0000}"/>
    <cellStyle name="Normal 7" xfId="102" xr:uid="{00000000-0005-0000-0000-0000AD5A0000}"/>
    <cellStyle name="Normal 7 10" xfId="12320" xr:uid="{00000000-0005-0000-0000-0000AE5A0000}"/>
    <cellStyle name="Normal 7 10 2" xfId="24488" xr:uid="{00000000-0005-0000-0000-0000AF5A0000}"/>
    <cellStyle name="Normal 7 11" xfId="12321" xr:uid="{00000000-0005-0000-0000-0000B05A0000}"/>
    <cellStyle name="Normal 7 11 2" xfId="24489" xr:uid="{00000000-0005-0000-0000-0000B15A0000}"/>
    <cellStyle name="Normal 7 12" xfId="12322" xr:uid="{00000000-0005-0000-0000-0000B25A0000}"/>
    <cellStyle name="Normal 7 12 2" xfId="24490" xr:uid="{00000000-0005-0000-0000-0000B35A0000}"/>
    <cellStyle name="Normal 7 13" xfId="12323" xr:uid="{00000000-0005-0000-0000-0000B45A0000}"/>
    <cellStyle name="Normal 7 13 2" xfId="24491" xr:uid="{00000000-0005-0000-0000-0000B55A0000}"/>
    <cellStyle name="Normal 7 14" xfId="12324" xr:uid="{00000000-0005-0000-0000-0000B65A0000}"/>
    <cellStyle name="Normal 7 14 2" xfId="24492" xr:uid="{00000000-0005-0000-0000-0000B75A0000}"/>
    <cellStyle name="Normal 7 15" xfId="12325" xr:uid="{00000000-0005-0000-0000-0000B85A0000}"/>
    <cellStyle name="Normal 7 15 2" xfId="24493" xr:uid="{00000000-0005-0000-0000-0000B95A0000}"/>
    <cellStyle name="Normal 7 16" xfId="12326" xr:uid="{00000000-0005-0000-0000-0000BA5A0000}"/>
    <cellStyle name="Normal 7 16 2" xfId="24494" xr:uid="{00000000-0005-0000-0000-0000BB5A0000}"/>
    <cellStyle name="Normal 7 17" xfId="12327" xr:uid="{00000000-0005-0000-0000-0000BC5A0000}"/>
    <cellStyle name="Normal 7 17 2" xfId="24495" xr:uid="{00000000-0005-0000-0000-0000BD5A0000}"/>
    <cellStyle name="Normal 7 18" xfId="12328" xr:uid="{00000000-0005-0000-0000-0000BE5A0000}"/>
    <cellStyle name="Normal 7 18 2" xfId="24496" xr:uid="{00000000-0005-0000-0000-0000BF5A0000}"/>
    <cellStyle name="Normal 7 19" xfId="12329" xr:uid="{00000000-0005-0000-0000-0000C05A0000}"/>
    <cellStyle name="Normal 7 19 2" xfId="24497" xr:uid="{00000000-0005-0000-0000-0000C15A0000}"/>
    <cellStyle name="Normal 7 2" xfId="759" xr:uid="{00000000-0005-0000-0000-0000C25A0000}"/>
    <cellStyle name="Normal 7 2 2" xfId="24498" xr:uid="{00000000-0005-0000-0000-0000C35A0000}"/>
    <cellStyle name="Normal 7 2 3" xfId="12330" xr:uid="{00000000-0005-0000-0000-0000C45A0000}"/>
    <cellStyle name="Normal 7 20" xfId="12331" xr:uid="{00000000-0005-0000-0000-0000C55A0000}"/>
    <cellStyle name="Normal 7 20 2" xfId="24499" xr:uid="{00000000-0005-0000-0000-0000C65A0000}"/>
    <cellStyle name="Normal 7 21" xfId="12332" xr:uid="{00000000-0005-0000-0000-0000C75A0000}"/>
    <cellStyle name="Normal 7 21 2" xfId="24500" xr:uid="{00000000-0005-0000-0000-0000C85A0000}"/>
    <cellStyle name="Normal 7 22" xfId="12333" xr:uid="{00000000-0005-0000-0000-0000C95A0000}"/>
    <cellStyle name="Normal 7 22 2" xfId="24501" xr:uid="{00000000-0005-0000-0000-0000CA5A0000}"/>
    <cellStyle name="Normal 7 23" xfId="12334" xr:uid="{00000000-0005-0000-0000-0000CB5A0000}"/>
    <cellStyle name="Normal 7 23 2" xfId="24502" xr:uid="{00000000-0005-0000-0000-0000CC5A0000}"/>
    <cellStyle name="Normal 7 24" xfId="12335" xr:uid="{00000000-0005-0000-0000-0000CD5A0000}"/>
    <cellStyle name="Normal 7 24 2" xfId="24503" xr:uid="{00000000-0005-0000-0000-0000CE5A0000}"/>
    <cellStyle name="Normal 7 25" xfId="12336" xr:uid="{00000000-0005-0000-0000-0000CF5A0000}"/>
    <cellStyle name="Normal 7 25 2" xfId="24504" xr:uid="{00000000-0005-0000-0000-0000D05A0000}"/>
    <cellStyle name="Normal 7 26" xfId="12337" xr:uid="{00000000-0005-0000-0000-0000D15A0000}"/>
    <cellStyle name="Normal 7 26 2" xfId="24505" xr:uid="{00000000-0005-0000-0000-0000D25A0000}"/>
    <cellStyle name="Normal 7 27" xfId="12338" xr:uid="{00000000-0005-0000-0000-0000D35A0000}"/>
    <cellStyle name="Normal 7 27 2" xfId="24506" xr:uid="{00000000-0005-0000-0000-0000D45A0000}"/>
    <cellStyle name="Normal 7 28" xfId="12339" xr:uid="{00000000-0005-0000-0000-0000D55A0000}"/>
    <cellStyle name="Normal 7 28 2" xfId="24507" xr:uid="{00000000-0005-0000-0000-0000D65A0000}"/>
    <cellStyle name="Normal 7 29" xfId="12340" xr:uid="{00000000-0005-0000-0000-0000D75A0000}"/>
    <cellStyle name="Normal 7 29 2" xfId="24508" xr:uid="{00000000-0005-0000-0000-0000D85A0000}"/>
    <cellStyle name="Normal 7 3" xfId="300" xr:uid="{00000000-0005-0000-0000-0000D95A0000}"/>
    <cellStyle name="Normal 7 3 2" xfId="24509" xr:uid="{00000000-0005-0000-0000-0000DA5A0000}"/>
    <cellStyle name="Normal 7 30" xfId="12341" xr:uid="{00000000-0005-0000-0000-0000DB5A0000}"/>
    <cellStyle name="Normal 7 30 2" xfId="24510" xr:uid="{00000000-0005-0000-0000-0000DC5A0000}"/>
    <cellStyle name="Normal 7 31" xfId="12342" xr:uid="{00000000-0005-0000-0000-0000DD5A0000}"/>
    <cellStyle name="Normal 7 31 2" xfId="24511" xr:uid="{00000000-0005-0000-0000-0000DE5A0000}"/>
    <cellStyle name="Normal 7 32" xfId="12343" xr:uid="{00000000-0005-0000-0000-0000DF5A0000}"/>
    <cellStyle name="Normal 7 32 2" xfId="24512" xr:uid="{00000000-0005-0000-0000-0000E05A0000}"/>
    <cellStyle name="Normal 7 33" xfId="12344" xr:uid="{00000000-0005-0000-0000-0000E15A0000}"/>
    <cellStyle name="Normal 7 33 2" xfId="24513" xr:uid="{00000000-0005-0000-0000-0000E25A0000}"/>
    <cellStyle name="Normal 7 34" xfId="12345" xr:uid="{00000000-0005-0000-0000-0000E35A0000}"/>
    <cellStyle name="Normal 7 34 2" xfId="24514" xr:uid="{00000000-0005-0000-0000-0000E45A0000}"/>
    <cellStyle name="Normal 7 35" xfId="12346" xr:uid="{00000000-0005-0000-0000-0000E55A0000}"/>
    <cellStyle name="Normal 7 35 2" xfId="24515" xr:uid="{00000000-0005-0000-0000-0000E65A0000}"/>
    <cellStyle name="Normal 7 36" xfId="12347" xr:uid="{00000000-0005-0000-0000-0000E75A0000}"/>
    <cellStyle name="Normal 7 36 2" xfId="24516" xr:uid="{00000000-0005-0000-0000-0000E85A0000}"/>
    <cellStyle name="Normal 7 37" xfId="12348" xr:uid="{00000000-0005-0000-0000-0000E95A0000}"/>
    <cellStyle name="Normal 7 37 2" xfId="24517" xr:uid="{00000000-0005-0000-0000-0000EA5A0000}"/>
    <cellStyle name="Normal 7 38" xfId="12349" xr:uid="{00000000-0005-0000-0000-0000EB5A0000}"/>
    <cellStyle name="Normal 7 38 2" xfId="24518" xr:uid="{00000000-0005-0000-0000-0000EC5A0000}"/>
    <cellStyle name="Normal 7 39" xfId="12350" xr:uid="{00000000-0005-0000-0000-0000ED5A0000}"/>
    <cellStyle name="Normal 7 39 2" xfId="24519" xr:uid="{00000000-0005-0000-0000-0000EE5A0000}"/>
    <cellStyle name="Normal 7 4" xfId="12351" xr:uid="{00000000-0005-0000-0000-0000EF5A0000}"/>
    <cellStyle name="Normal 7 4 2" xfId="24520" xr:uid="{00000000-0005-0000-0000-0000F05A0000}"/>
    <cellStyle name="Normal 7 4 3" xfId="31364" xr:uid="{00000000-0005-0000-0000-0000F15A0000}"/>
    <cellStyle name="Normal 7 40" xfId="12352" xr:uid="{00000000-0005-0000-0000-0000F25A0000}"/>
    <cellStyle name="Normal 7 40 2" xfId="24521" xr:uid="{00000000-0005-0000-0000-0000F35A0000}"/>
    <cellStyle name="Normal 7 41" xfId="12353" xr:uid="{00000000-0005-0000-0000-0000F45A0000}"/>
    <cellStyle name="Normal 7 41 2" xfId="24522" xr:uid="{00000000-0005-0000-0000-0000F55A0000}"/>
    <cellStyle name="Normal 7 42" xfId="12354" xr:uid="{00000000-0005-0000-0000-0000F65A0000}"/>
    <cellStyle name="Normal 7 42 2" xfId="24523" xr:uid="{00000000-0005-0000-0000-0000F75A0000}"/>
    <cellStyle name="Normal 7 43" xfId="12355" xr:uid="{00000000-0005-0000-0000-0000F85A0000}"/>
    <cellStyle name="Normal 7 43 2" xfId="24524" xr:uid="{00000000-0005-0000-0000-0000F95A0000}"/>
    <cellStyle name="Normal 7 44" xfId="12356" xr:uid="{00000000-0005-0000-0000-0000FA5A0000}"/>
    <cellStyle name="Normal 7 44 2" xfId="24525" xr:uid="{00000000-0005-0000-0000-0000FB5A0000}"/>
    <cellStyle name="Normal 7 45" xfId="12357" xr:uid="{00000000-0005-0000-0000-0000FC5A0000}"/>
    <cellStyle name="Normal 7 45 2" xfId="24526" xr:uid="{00000000-0005-0000-0000-0000FD5A0000}"/>
    <cellStyle name="Normal 7 46" xfId="12358" xr:uid="{00000000-0005-0000-0000-0000FE5A0000}"/>
    <cellStyle name="Normal 7 46 2" xfId="24527" xr:uid="{00000000-0005-0000-0000-0000FF5A0000}"/>
    <cellStyle name="Normal 7 47" xfId="12359" xr:uid="{00000000-0005-0000-0000-0000005B0000}"/>
    <cellStyle name="Normal 7 47 2" xfId="24528" xr:uid="{00000000-0005-0000-0000-0000015B0000}"/>
    <cellStyle name="Normal 7 48" xfId="12360" xr:uid="{00000000-0005-0000-0000-0000025B0000}"/>
    <cellStyle name="Normal 7 48 2" xfId="24529" xr:uid="{00000000-0005-0000-0000-0000035B0000}"/>
    <cellStyle name="Normal 7 49" xfId="12361" xr:uid="{00000000-0005-0000-0000-0000045B0000}"/>
    <cellStyle name="Normal 7 49 2" xfId="24530" xr:uid="{00000000-0005-0000-0000-0000055B0000}"/>
    <cellStyle name="Normal 7 5" xfId="12362" xr:uid="{00000000-0005-0000-0000-0000065B0000}"/>
    <cellStyle name="Normal 7 5 2" xfId="24531" xr:uid="{00000000-0005-0000-0000-0000075B0000}"/>
    <cellStyle name="Normal 7 50" xfId="12363" xr:uid="{00000000-0005-0000-0000-0000085B0000}"/>
    <cellStyle name="Normal 7 50 2" xfId="24532" xr:uid="{00000000-0005-0000-0000-0000095B0000}"/>
    <cellStyle name="Normal 7 51" xfId="12364" xr:uid="{00000000-0005-0000-0000-00000A5B0000}"/>
    <cellStyle name="Normal 7 51 2" xfId="24533" xr:uid="{00000000-0005-0000-0000-00000B5B0000}"/>
    <cellStyle name="Normal 7 52" xfId="12365" xr:uid="{00000000-0005-0000-0000-00000C5B0000}"/>
    <cellStyle name="Normal 7 52 2" xfId="24534" xr:uid="{00000000-0005-0000-0000-00000D5B0000}"/>
    <cellStyle name="Normal 7 53" xfId="12366" xr:uid="{00000000-0005-0000-0000-00000E5B0000}"/>
    <cellStyle name="Normal 7 53 2" xfId="24535" xr:uid="{00000000-0005-0000-0000-00000F5B0000}"/>
    <cellStyle name="Normal 7 54" xfId="12367" xr:uid="{00000000-0005-0000-0000-0000105B0000}"/>
    <cellStyle name="Normal 7 54 2" xfId="24536" xr:uid="{00000000-0005-0000-0000-0000115B0000}"/>
    <cellStyle name="Normal 7 55" xfId="12368" xr:uid="{00000000-0005-0000-0000-0000125B0000}"/>
    <cellStyle name="Normal 7 55 2" xfId="24537" xr:uid="{00000000-0005-0000-0000-0000135B0000}"/>
    <cellStyle name="Normal 7 56" xfId="12369" xr:uid="{00000000-0005-0000-0000-0000145B0000}"/>
    <cellStyle name="Normal 7 56 2" xfId="24538" xr:uid="{00000000-0005-0000-0000-0000155B0000}"/>
    <cellStyle name="Normal 7 57" xfId="12370" xr:uid="{00000000-0005-0000-0000-0000165B0000}"/>
    <cellStyle name="Normal 7 57 2" xfId="24539" xr:uid="{00000000-0005-0000-0000-0000175B0000}"/>
    <cellStyle name="Normal 7 58" xfId="12371" xr:uid="{00000000-0005-0000-0000-0000185B0000}"/>
    <cellStyle name="Normal 7 58 2" xfId="24540" xr:uid="{00000000-0005-0000-0000-0000195B0000}"/>
    <cellStyle name="Normal 7 59" xfId="12372" xr:uid="{00000000-0005-0000-0000-00001A5B0000}"/>
    <cellStyle name="Normal 7 59 2" xfId="24541" xr:uid="{00000000-0005-0000-0000-00001B5B0000}"/>
    <cellStyle name="Normal 7 6" xfId="12373" xr:uid="{00000000-0005-0000-0000-00001C5B0000}"/>
    <cellStyle name="Normal 7 6 2" xfId="24542" xr:uid="{00000000-0005-0000-0000-00001D5B0000}"/>
    <cellStyle name="Normal 7 60" xfId="12374" xr:uid="{00000000-0005-0000-0000-00001E5B0000}"/>
    <cellStyle name="Normal 7 60 2" xfId="24543" xr:uid="{00000000-0005-0000-0000-00001F5B0000}"/>
    <cellStyle name="Normal 7 61" xfId="12375" xr:uid="{00000000-0005-0000-0000-0000205B0000}"/>
    <cellStyle name="Normal 7 61 2" xfId="24544" xr:uid="{00000000-0005-0000-0000-0000215B0000}"/>
    <cellStyle name="Normal 7 62" xfId="12376" xr:uid="{00000000-0005-0000-0000-0000225B0000}"/>
    <cellStyle name="Normal 7 62 2" xfId="24545" xr:uid="{00000000-0005-0000-0000-0000235B0000}"/>
    <cellStyle name="Normal 7 63" xfId="12377" xr:uid="{00000000-0005-0000-0000-0000245B0000}"/>
    <cellStyle name="Normal 7 63 2" xfId="24546" xr:uid="{00000000-0005-0000-0000-0000255B0000}"/>
    <cellStyle name="Normal 7 64" xfId="12378" xr:uid="{00000000-0005-0000-0000-0000265B0000}"/>
    <cellStyle name="Normal 7 64 2" xfId="24547" xr:uid="{00000000-0005-0000-0000-0000275B0000}"/>
    <cellStyle name="Normal 7 65" xfId="12379" xr:uid="{00000000-0005-0000-0000-0000285B0000}"/>
    <cellStyle name="Normal 7 65 2" xfId="24548" xr:uid="{00000000-0005-0000-0000-0000295B0000}"/>
    <cellStyle name="Normal 7 66" xfId="12380" xr:uid="{00000000-0005-0000-0000-00002A5B0000}"/>
    <cellStyle name="Normal 7 66 2" xfId="24549" xr:uid="{00000000-0005-0000-0000-00002B5B0000}"/>
    <cellStyle name="Normal 7 67" xfId="12381" xr:uid="{00000000-0005-0000-0000-00002C5B0000}"/>
    <cellStyle name="Normal 7 67 2" xfId="24550" xr:uid="{00000000-0005-0000-0000-00002D5B0000}"/>
    <cellStyle name="Normal 7 68" xfId="12382" xr:uid="{00000000-0005-0000-0000-00002E5B0000}"/>
    <cellStyle name="Normal 7 68 2" xfId="24551" xr:uid="{00000000-0005-0000-0000-00002F5B0000}"/>
    <cellStyle name="Normal 7 69" xfId="12383" xr:uid="{00000000-0005-0000-0000-0000305B0000}"/>
    <cellStyle name="Normal 7 69 2" xfId="24552" xr:uid="{00000000-0005-0000-0000-0000315B0000}"/>
    <cellStyle name="Normal 7 7" xfId="12384" xr:uid="{00000000-0005-0000-0000-0000325B0000}"/>
    <cellStyle name="Normal 7 7 2" xfId="24553" xr:uid="{00000000-0005-0000-0000-0000335B0000}"/>
    <cellStyle name="Normal 7 70" xfId="12385" xr:uid="{00000000-0005-0000-0000-0000345B0000}"/>
    <cellStyle name="Normal 7 70 2" xfId="24554" xr:uid="{00000000-0005-0000-0000-0000355B0000}"/>
    <cellStyle name="Normal 7 71" xfId="12386" xr:uid="{00000000-0005-0000-0000-0000365B0000}"/>
    <cellStyle name="Normal 7 71 2" xfId="24555" xr:uid="{00000000-0005-0000-0000-0000375B0000}"/>
    <cellStyle name="Normal 7 72" xfId="12387" xr:uid="{00000000-0005-0000-0000-0000385B0000}"/>
    <cellStyle name="Normal 7 72 2" xfId="24556" xr:uid="{00000000-0005-0000-0000-0000395B0000}"/>
    <cellStyle name="Normal 7 73" xfId="12388" xr:uid="{00000000-0005-0000-0000-00003A5B0000}"/>
    <cellStyle name="Normal 7 73 2" xfId="24557" xr:uid="{00000000-0005-0000-0000-00003B5B0000}"/>
    <cellStyle name="Normal 7 74" xfId="12389" xr:uid="{00000000-0005-0000-0000-00003C5B0000}"/>
    <cellStyle name="Normal 7 74 2" xfId="24558" xr:uid="{00000000-0005-0000-0000-00003D5B0000}"/>
    <cellStyle name="Normal 7 75" xfId="12390" xr:uid="{00000000-0005-0000-0000-00003E5B0000}"/>
    <cellStyle name="Normal 7 75 2" xfId="24559" xr:uid="{00000000-0005-0000-0000-00003F5B0000}"/>
    <cellStyle name="Normal 7 76" xfId="12391" xr:uid="{00000000-0005-0000-0000-0000405B0000}"/>
    <cellStyle name="Normal 7 76 2" xfId="24560" xr:uid="{00000000-0005-0000-0000-0000415B0000}"/>
    <cellStyle name="Normal 7 77" xfId="12392" xr:uid="{00000000-0005-0000-0000-0000425B0000}"/>
    <cellStyle name="Normal 7 77 2" xfId="24561" xr:uid="{00000000-0005-0000-0000-0000435B0000}"/>
    <cellStyle name="Normal 7 78" xfId="12393" xr:uid="{00000000-0005-0000-0000-0000445B0000}"/>
    <cellStyle name="Normal 7 78 2" xfId="24562" xr:uid="{00000000-0005-0000-0000-0000455B0000}"/>
    <cellStyle name="Normal 7 79" xfId="12394" xr:uid="{00000000-0005-0000-0000-0000465B0000}"/>
    <cellStyle name="Normal 7 79 2" xfId="24563" xr:uid="{00000000-0005-0000-0000-0000475B0000}"/>
    <cellStyle name="Normal 7 8" xfId="12395" xr:uid="{00000000-0005-0000-0000-0000485B0000}"/>
    <cellStyle name="Normal 7 8 2" xfId="24564" xr:uid="{00000000-0005-0000-0000-0000495B0000}"/>
    <cellStyle name="Normal 7 80" xfId="15051" xr:uid="{00000000-0005-0000-0000-00004A5B0000}"/>
    <cellStyle name="Normal 7 9" xfId="12396" xr:uid="{00000000-0005-0000-0000-00004B5B0000}"/>
    <cellStyle name="Normal 7 9 2" xfId="24565" xr:uid="{00000000-0005-0000-0000-00004C5B0000}"/>
    <cellStyle name="Normal 70" xfId="196" xr:uid="{00000000-0005-0000-0000-00004D5B0000}"/>
    <cellStyle name="Normal 70 10" xfId="12397" xr:uid="{00000000-0005-0000-0000-00004E5B0000}"/>
    <cellStyle name="Normal 70 10 2" xfId="24567" xr:uid="{00000000-0005-0000-0000-00004F5B0000}"/>
    <cellStyle name="Normal 70 11" xfId="12398" xr:uid="{00000000-0005-0000-0000-0000505B0000}"/>
    <cellStyle name="Normal 70 11 2" xfId="24568" xr:uid="{00000000-0005-0000-0000-0000515B0000}"/>
    <cellStyle name="Normal 70 12" xfId="12399" xr:uid="{00000000-0005-0000-0000-0000525B0000}"/>
    <cellStyle name="Normal 70 12 2" xfId="24569" xr:uid="{00000000-0005-0000-0000-0000535B0000}"/>
    <cellStyle name="Normal 70 13" xfId="12400" xr:uid="{00000000-0005-0000-0000-0000545B0000}"/>
    <cellStyle name="Normal 70 13 2" xfId="24570" xr:uid="{00000000-0005-0000-0000-0000555B0000}"/>
    <cellStyle name="Normal 70 14" xfId="12401" xr:uid="{00000000-0005-0000-0000-0000565B0000}"/>
    <cellStyle name="Normal 70 14 2" xfId="24571" xr:uid="{00000000-0005-0000-0000-0000575B0000}"/>
    <cellStyle name="Normal 70 15" xfId="12402" xr:uid="{00000000-0005-0000-0000-0000585B0000}"/>
    <cellStyle name="Normal 70 15 2" xfId="24572" xr:uid="{00000000-0005-0000-0000-0000595B0000}"/>
    <cellStyle name="Normal 70 16" xfId="12403" xr:uid="{00000000-0005-0000-0000-00005A5B0000}"/>
    <cellStyle name="Normal 70 16 2" xfId="24573" xr:uid="{00000000-0005-0000-0000-00005B5B0000}"/>
    <cellStyle name="Normal 70 17" xfId="12404" xr:uid="{00000000-0005-0000-0000-00005C5B0000}"/>
    <cellStyle name="Normal 70 17 2" xfId="24574" xr:uid="{00000000-0005-0000-0000-00005D5B0000}"/>
    <cellStyle name="Normal 70 18" xfId="12405" xr:uid="{00000000-0005-0000-0000-00005E5B0000}"/>
    <cellStyle name="Normal 70 18 2" xfId="24575" xr:uid="{00000000-0005-0000-0000-00005F5B0000}"/>
    <cellStyle name="Normal 70 19" xfId="12406" xr:uid="{00000000-0005-0000-0000-0000605B0000}"/>
    <cellStyle name="Normal 70 19 2" xfId="24576" xr:uid="{00000000-0005-0000-0000-0000615B0000}"/>
    <cellStyle name="Normal 70 2" xfId="760" xr:uid="{00000000-0005-0000-0000-0000625B0000}"/>
    <cellStyle name="Normal 70 2 2" xfId="24577" xr:uid="{00000000-0005-0000-0000-0000635B0000}"/>
    <cellStyle name="Normal 70 2 3" xfId="12407" xr:uid="{00000000-0005-0000-0000-0000645B0000}"/>
    <cellStyle name="Normal 70 20" xfId="12408" xr:uid="{00000000-0005-0000-0000-0000655B0000}"/>
    <cellStyle name="Normal 70 20 2" xfId="24578" xr:uid="{00000000-0005-0000-0000-0000665B0000}"/>
    <cellStyle name="Normal 70 21" xfId="12409" xr:uid="{00000000-0005-0000-0000-0000675B0000}"/>
    <cellStyle name="Normal 70 21 2" xfId="24579" xr:uid="{00000000-0005-0000-0000-0000685B0000}"/>
    <cellStyle name="Normal 70 22" xfId="12410" xr:uid="{00000000-0005-0000-0000-0000695B0000}"/>
    <cellStyle name="Normal 70 22 2" xfId="24580" xr:uid="{00000000-0005-0000-0000-00006A5B0000}"/>
    <cellStyle name="Normal 70 23" xfId="12411" xr:uid="{00000000-0005-0000-0000-00006B5B0000}"/>
    <cellStyle name="Normal 70 23 2" xfId="24581" xr:uid="{00000000-0005-0000-0000-00006C5B0000}"/>
    <cellStyle name="Normal 70 24" xfId="12412" xr:uid="{00000000-0005-0000-0000-00006D5B0000}"/>
    <cellStyle name="Normal 70 24 2" xfId="24582" xr:uid="{00000000-0005-0000-0000-00006E5B0000}"/>
    <cellStyle name="Normal 70 25" xfId="12413" xr:uid="{00000000-0005-0000-0000-00006F5B0000}"/>
    <cellStyle name="Normal 70 25 2" xfId="24583" xr:uid="{00000000-0005-0000-0000-0000705B0000}"/>
    <cellStyle name="Normal 70 26" xfId="12414" xr:uid="{00000000-0005-0000-0000-0000715B0000}"/>
    <cellStyle name="Normal 70 26 2" xfId="24584" xr:uid="{00000000-0005-0000-0000-0000725B0000}"/>
    <cellStyle name="Normal 70 27" xfId="12415" xr:uid="{00000000-0005-0000-0000-0000735B0000}"/>
    <cellStyle name="Normal 70 27 2" xfId="24585" xr:uid="{00000000-0005-0000-0000-0000745B0000}"/>
    <cellStyle name="Normal 70 28" xfId="12416" xr:uid="{00000000-0005-0000-0000-0000755B0000}"/>
    <cellStyle name="Normal 70 28 2" xfId="24586" xr:uid="{00000000-0005-0000-0000-0000765B0000}"/>
    <cellStyle name="Normal 70 29" xfId="12417" xr:uid="{00000000-0005-0000-0000-0000775B0000}"/>
    <cellStyle name="Normal 70 29 2" xfId="24587" xr:uid="{00000000-0005-0000-0000-0000785B0000}"/>
    <cellStyle name="Normal 70 3" xfId="411" xr:uid="{00000000-0005-0000-0000-0000795B0000}"/>
    <cellStyle name="Normal 70 3 2" xfId="24588" xr:uid="{00000000-0005-0000-0000-00007A5B0000}"/>
    <cellStyle name="Normal 70 30" xfId="12418" xr:uid="{00000000-0005-0000-0000-00007B5B0000}"/>
    <cellStyle name="Normal 70 30 2" xfId="24589" xr:uid="{00000000-0005-0000-0000-00007C5B0000}"/>
    <cellStyle name="Normal 70 31" xfId="12419" xr:uid="{00000000-0005-0000-0000-00007D5B0000}"/>
    <cellStyle name="Normal 70 31 2" xfId="24590" xr:uid="{00000000-0005-0000-0000-00007E5B0000}"/>
    <cellStyle name="Normal 70 32" xfId="12420" xr:uid="{00000000-0005-0000-0000-00007F5B0000}"/>
    <cellStyle name="Normal 70 32 2" xfId="24591" xr:uid="{00000000-0005-0000-0000-0000805B0000}"/>
    <cellStyle name="Normal 70 33" xfId="12421" xr:uid="{00000000-0005-0000-0000-0000815B0000}"/>
    <cellStyle name="Normal 70 33 2" xfId="24592" xr:uid="{00000000-0005-0000-0000-0000825B0000}"/>
    <cellStyle name="Normal 70 34" xfId="12422" xr:uid="{00000000-0005-0000-0000-0000835B0000}"/>
    <cellStyle name="Normal 70 34 2" xfId="24593" xr:uid="{00000000-0005-0000-0000-0000845B0000}"/>
    <cellStyle name="Normal 70 35" xfId="12423" xr:uid="{00000000-0005-0000-0000-0000855B0000}"/>
    <cellStyle name="Normal 70 35 2" xfId="24594" xr:uid="{00000000-0005-0000-0000-0000865B0000}"/>
    <cellStyle name="Normal 70 36" xfId="12424" xr:uid="{00000000-0005-0000-0000-0000875B0000}"/>
    <cellStyle name="Normal 70 36 2" xfId="24595" xr:uid="{00000000-0005-0000-0000-0000885B0000}"/>
    <cellStyle name="Normal 70 37" xfId="12425" xr:uid="{00000000-0005-0000-0000-0000895B0000}"/>
    <cellStyle name="Normal 70 37 2" xfId="24596" xr:uid="{00000000-0005-0000-0000-00008A5B0000}"/>
    <cellStyle name="Normal 70 38" xfId="12426" xr:uid="{00000000-0005-0000-0000-00008B5B0000}"/>
    <cellStyle name="Normal 70 38 2" xfId="24597" xr:uid="{00000000-0005-0000-0000-00008C5B0000}"/>
    <cellStyle name="Normal 70 39" xfId="12427" xr:uid="{00000000-0005-0000-0000-00008D5B0000}"/>
    <cellStyle name="Normal 70 39 2" xfId="24598" xr:uid="{00000000-0005-0000-0000-00008E5B0000}"/>
    <cellStyle name="Normal 70 4" xfId="12428" xr:uid="{00000000-0005-0000-0000-00008F5B0000}"/>
    <cellStyle name="Normal 70 4 2" xfId="24599" xr:uid="{00000000-0005-0000-0000-0000905B0000}"/>
    <cellStyle name="Normal 70 40" xfId="12429" xr:uid="{00000000-0005-0000-0000-0000915B0000}"/>
    <cellStyle name="Normal 70 40 2" xfId="24600" xr:uid="{00000000-0005-0000-0000-0000925B0000}"/>
    <cellStyle name="Normal 70 41" xfId="12430" xr:uid="{00000000-0005-0000-0000-0000935B0000}"/>
    <cellStyle name="Normal 70 41 2" xfId="24601" xr:uid="{00000000-0005-0000-0000-0000945B0000}"/>
    <cellStyle name="Normal 70 42" xfId="12431" xr:uid="{00000000-0005-0000-0000-0000955B0000}"/>
    <cellStyle name="Normal 70 42 2" xfId="24602" xr:uid="{00000000-0005-0000-0000-0000965B0000}"/>
    <cellStyle name="Normal 70 43" xfId="12432" xr:uid="{00000000-0005-0000-0000-0000975B0000}"/>
    <cellStyle name="Normal 70 43 2" xfId="24603" xr:uid="{00000000-0005-0000-0000-0000985B0000}"/>
    <cellStyle name="Normal 70 44" xfId="12433" xr:uid="{00000000-0005-0000-0000-0000995B0000}"/>
    <cellStyle name="Normal 70 44 2" xfId="24604" xr:uid="{00000000-0005-0000-0000-00009A5B0000}"/>
    <cellStyle name="Normal 70 45" xfId="12434" xr:uid="{00000000-0005-0000-0000-00009B5B0000}"/>
    <cellStyle name="Normal 70 45 2" xfId="24605" xr:uid="{00000000-0005-0000-0000-00009C5B0000}"/>
    <cellStyle name="Normal 70 46" xfId="12435" xr:uid="{00000000-0005-0000-0000-00009D5B0000}"/>
    <cellStyle name="Normal 70 46 2" xfId="24606" xr:uid="{00000000-0005-0000-0000-00009E5B0000}"/>
    <cellStyle name="Normal 70 47" xfId="12436" xr:uid="{00000000-0005-0000-0000-00009F5B0000}"/>
    <cellStyle name="Normal 70 47 2" xfId="24607" xr:uid="{00000000-0005-0000-0000-0000A05B0000}"/>
    <cellStyle name="Normal 70 48" xfId="12437" xr:uid="{00000000-0005-0000-0000-0000A15B0000}"/>
    <cellStyle name="Normal 70 48 2" xfId="24608" xr:uid="{00000000-0005-0000-0000-0000A25B0000}"/>
    <cellStyle name="Normal 70 49" xfId="12438" xr:uid="{00000000-0005-0000-0000-0000A35B0000}"/>
    <cellStyle name="Normal 70 49 2" xfId="24609" xr:uid="{00000000-0005-0000-0000-0000A45B0000}"/>
    <cellStyle name="Normal 70 5" xfId="12439" xr:uid="{00000000-0005-0000-0000-0000A55B0000}"/>
    <cellStyle name="Normal 70 5 2" xfId="24610" xr:uid="{00000000-0005-0000-0000-0000A65B0000}"/>
    <cellStyle name="Normal 70 50" xfId="12440" xr:uid="{00000000-0005-0000-0000-0000A75B0000}"/>
    <cellStyle name="Normal 70 50 2" xfId="24611" xr:uid="{00000000-0005-0000-0000-0000A85B0000}"/>
    <cellStyle name="Normal 70 51" xfId="12441" xr:uid="{00000000-0005-0000-0000-0000A95B0000}"/>
    <cellStyle name="Normal 70 51 2" xfId="24612" xr:uid="{00000000-0005-0000-0000-0000AA5B0000}"/>
    <cellStyle name="Normal 70 52" xfId="12442" xr:uid="{00000000-0005-0000-0000-0000AB5B0000}"/>
    <cellStyle name="Normal 70 52 2" xfId="24613" xr:uid="{00000000-0005-0000-0000-0000AC5B0000}"/>
    <cellStyle name="Normal 70 53" xfId="12443" xr:uid="{00000000-0005-0000-0000-0000AD5B0000}"/>
    <cellStyle name="Normal 70 53 2" xfId="24614" xr:uid="{00000000-0005-0000-0000-0000AE5B0000}"/>
    <cellStyle name="Normal 70 54" xfId="12444" xr:uid="{00000000-0005-0000-0000-0000AF5B0000}"/>
    <cellStyle name="Normal 70 54 2" xfId="24615" xr:uid="{00000000-0005-0000-0000-0000B05B0000}"/>
    <cellStyle name="Normal 70 55" xfId="12445" xr:uid="{00000000-0005-0000-0000-0000B15B0000}"/>
    <cellStyle name="Normal 70 55 2" xfId="24616" xr:uid="{00000000-0005-0000-0000-0000B25B0000}"/>
    <cellStyle name="Normal 70 56" xfId="12446" xr:uid="{00000000-0005-0000-0000-0000B35B0000}"/>
    <cellStyle name="Normal 70 56 2" xfId="24617" xr:uid="{00000000-0005-0000-0000-0000B45B0000}"/>
    <cellStyle name="Normal 70 57" xfId="12447" xr:uid="{00000000-0005-0000-0000-0000B55B0000}"/>
    <cellStyle name="Normal 70 57 2" xfId="24618" xr:uid="{00000000-0005-0000-0000-0000B65B0000}"/>
    <cellStyle name="Normal 70 58" xfId="12448" xr:uid="{00000000-0005-0000-0000-0000B75B0000}"/>
    <cellStyle name="Normal 70 58 2" xfId="24619" xr:uid="{00000000-0005-0000-0000-0000B85B0000}"/>
    <cellStyle name="Normal 70 59" xfId="12449" xr:uid="{00000000-0005-0000-0000-0000B95B0000}"/>
    <cellStyle name="Normal 70 59 2" xfId="24620" xr:uid="{00000000-0005-0000-0000-0000BA5B0000}"/>
    <cellStyle name="Normal 70 6" xfId="12450" xr:uid="{00000000-0005-0000-0000-0000BB5B0000}"/>
    <cellStyle name="Normal 70 6 2" xfId="24621" xr:uid="{00000000-0005-0000-0000-0000BC5B0000}"/>
    <cellStyle name="Normal 70 60" xfId="12451" xr:uid="{00000000-0005-0000-0000-0000BD5B0000}"/>
    <cellStyle name="Normal 70 60 2" xfId="24622" xr:uid="{00000000-0005-0000-0000-0000BE5B0000}"/>
    <cellStyle name="Normal 70 61" xfId="12452" xr:uid="{00000000-0005-0000-0000-0000BF5B0000}"/>
    <cellStyle name="Normal 70 61 2" xfId="24623" xr:uid="{00000000-0005-0000-0000-0000C05B0000}"/>
    <cellStyle name="Normal 70 62" xfId="12453" xr:uid="{00000000-0005-0000-0000-0000C15B0000}"/>
    <cellStyle name="Normal 70 62 2" xfId="24624" xr:uid="{00000000-0005-0000-0000-0000C25B0000}"/>
    <cellStyle name="Normal 70 63" xfId="12454" xr:uid="{00000000-0005-0000-0000-0000C35B0000}"/>
    <cellStyle name="Normal 70 63 2" xfId="24625" xr:uid="{00000000-0005-0000-0000-0000C45B0000}"/>
    <cellStyle name="Normal 70 64" xfId="12455" xr:uid="{00000000-0005-0000-0000-0000C55B0000}"/>
    <cellStyle name="Normal 70 64 2" xfId="24626" xr:uid="{00000000-0005-0000-0000-0000C65B0000}"/>
    <cellStyle name="Normal 70 65" xfId="12456" xr:uid="{00000000-0005-0000-0000-0000C75B0000}"/>
    <cellStyle name="Normal 70 65 2" xfId="24627" xr:uid="{00000000-0005-0000-0000-0000C85B0000}"/>
    <cellStyle name="Normal 70 66" xfId="12457" xr:uid="{00000000-0005-0000-0000-0000C95B0000}"/>
    <cellStyle name="Normal 70 66 2" xfId="24628" xr:uid="{00000000-0005-0000-0000-0000CA5B0000}"/>
    <cellStyle name="Normal 70 67" xfId="12458" xr:uid="{00000000-0005-0000-0000-0000CB5B0000}"/>
    <cellStyle name="Normal 70 67 2" xfId="24629" xr:uid="{00000000-0005-0000-0000-0000CC5B0000}"/>
    <cellStyle name="Normal 70 68" xfId="12459" xr:uid="{00000000-0005-0000-0000-0000CD5B0000}"/>
    <cellStyle name="Normal 70 68 2" xfId="24630" xr:uid="{00000000-0005-0000-0000-0000CE5B0000}"/>
    <cellStyle name="Normal 70 69" xfId="12460" xr:uid="{00000000-0005-0000-0000-0000CF5B0000}"/>
    <cellStyle name="Normal 70 69 2" xfId="24631" xr:uid="{00000000-0005-0000-0000-0000D05B0000}"/>
    <cellStyle name="Normal 70 7" xfId="12461" xr:uid="{00000000-0005-0000-0000-0000D15B0000}"/>
    <cellStyle name="Normal 70 7 2" xfId="24632" xr:uid="{00000000-0005-0000-0000-0000D25B0000}"/>
    <cellStyle name="Normal 70 70" xfId="12462" xr:uid="{00000000-0005-0000-0000-0000D35B0000}"/>
    <cellStyle name="Normal 70 70 2" xfId="24633" xr:uid="{00000000-0005-0000-0000-0000D45B0000}"/>
    <cellStyle name="Normal 70 71" xfId="12463" xr:uid="{00000000-0005-0000-0000-0000D55B0000}"/>
    <cellStyle name="Normal 70 71 2" xfId="24634" xr:uid="{00000000-0005-0000-0000-0000D65B0000}"/>
    <cellStyle name="Normal 70 72" xfId="12464" xr:uid="{00000000-0005-0000-0000-0000D75B0000}"/>
    <cellStyle name="Normal 70 72 2" xfId="24635" xr:uid="{00000000-0005-0000-0000-0000D85B0000}"/>
    <cellStyle name="Normal 70 73" xfId="12465" xr:uid="{00000000-0005-0000-0000-0000D95B0000}"/>
    <cellStyle name="Normal 70 73 2" xfId="24636" xr:uid="{00000000-0005-0000-0000-0000DA5B0000}"/>
    <cellStyle name="Normal 70 74" xfId="12466" xr:uid="{00000000-0005-0000-0000-0000DB5B0000}"/>
    <cellStyle name="Normal 70 74 2" xfId="24637" xr:uid="{00000000-0005-0000-0000-0000DC5B0000}"/>
    <cellStyle name="Normal 70 75" xfId="12467" xr:uid="{00000000-0005-0000-0000-0000DD5B0000}"/>
    <cellStyle name="Normal 70 75 2" xfId="24638" xr:uid="{00000000-0005-0000-0000-0000DE5B0000}"/>
    <cellStyle name="Normal 70 76" xfId="12468" xr:uid="{00000000-0005-0000-0000-0000DF5B0000}"/>
    <cellStyle name="Normal 70 76 2" xfId="24639" xr:uid="{00000000-0005-0000-0000-0000E05B0000}"/>
    <cellStyle name="Normal 70 77" xfId="12469" xr:uid="{00000000-0005-0000-0000-0000E15B0000}"/>
    <cellStyle name="Normal 70 77 2" xfId="24640" xr:uid="{00000000-0005-0000-0000-0000E25B0000}"/>
    <cellStyle name="Normal 70 78" xfId="12470" xr:uid="{00000000-0005-0000-0000-0000E35B0000}"/>
    <cellStyle name="Normal 70 78 2" xfId="24641" xr:uid="{00000000-0005-0000-0000-0000E45B0000}"/>
    <cellStyle name="Normal 70 79" xfId="12471" xr:uid="{00000000-0005-0000-0000-0000E55B0000}"/>
    <cellStyle name="Normal 70 79 2" xfId="24642" xr:uid="{00000000-0005-0000-0000-0000E65B0000}"/>
    <cellStyle name="Normal 70 8" xfId="12472" xr:uid="{00000000-0005-0000-0000-0000E75B0000}"/>
    <cellStyle name="Normal 70 8 2" xfId="24643" xr:uid="{00000000-0005-0000-0000-0000E85B0000}"/>
    <cellStyle name="Normal 70 80" xfId="24566" xr:uid="{00000000-0005-0000-0000-0000E95B0000}"/>
    <cellStyle name="Normal 70 9" xfId="12473" xr:uid="{00000000-0005-0000-0000-0000EA5B0000}"/>
    <cellStyle name="Normal 70 9 2" xfId="24644" xr:uid="{00000000-0005-0000-0000-0000EB5B0000}"/>
    <cellStyle name="Normal 71" xfId="197" xr:uid="{00000000-0005-0000-0000-0000EC5B0000}"/>
    <cellStyle name="Normal 71 10" xfId="12474" xr:uid="{00000000-0005-0000-0000-0000ED5B0000}"/>
    <cellStyle name="Normal 71 10 2" xfId="24646" xr:uid="{00000000-0005-0000-0000-0000EE5B0000}"/>
    <cellStyle name="Normal 71 11" xfId="12475" xr:uid="{00000000-0005-0000-0000-0000EF5B0000}"/>
    <cellStyle name="Normal 71 11 2" xfId="24647" xr:uid="{00000000-0005-0000-0000-0000F05B0000}"/>
    <cellStyle name="Normal 71 12" xfId="12476" xr:uid="{00000000-0005-0000-0000-0000F15B0000}"/>
    <cellStyle name="Normal 71 12 2" xfId="24648" xr:uid="{00000000-0005-0000-0000-0000F25B0000}"/>
    <cellStyle name="Normal 71 13" xfId="12477" xr:uid="{00000000-0005-0000-0000-0000F35B0000}"/>
    <cellStyle name="Normal 71 13 2" xfId="24649" xr:uid="{00000000-0005-0000-0000-0000F45B0000}"/>
    <cellStyle name="Normal 71 14" xfId="12478" xr:uid="{00000000-0005-0000-0000-0000F55B0000}"/>
    <cellStyle name="Normal 71 14 2" xfId="24650" xr:uid="{00000000-0005-0000-0000-0000F65B0000}"/>
    <cellStyle name="Normal 71 15" xfId="12479" xr:uid="{00000000-0005-0000-0000-0000F75B0000}"/>
    <cellStyle name="Normal 71 15 2" xfId="24651" xr:uid="{00000000-0005-0000-0000-0000F85B0000}"/>
    <cellStyle name="Normal 71 16" xfId="12480" xr:uid="{00000000-0005-0000-0000-0000F95B0000}"/>
    <cellStyle name="Normal 71 16 2" xfId="24652" xr:uid="{00000000-0005-0000-0000-0000FA5B0000}"/>
    <cellStyle name="Normal 71 17" xfId="12481" xr:uid="{00000000-0005-0000-0000-0000FB5B0000}"/>
    <cellStyle name="Normal 71 17 2" xfId="24653" xr:uid="{00000000-0005-0000-0000-0000FC5B0000}"/>
    <cellStyle name="Normal 71 18" xfId="12482" xr:uid="{00000000-0005-0000-0000-0000FD5B0000}"/>
    <cellStyle name="Normal 71 18 2" xfId="24654" xr:uid="{00000000-0005-0000-0000-0000FE5B0000}"/>
    <cellStyle name="Normal 71 19" xfId="12483" xr:uid="{00000000-0005-0000-0000-0000FF5B0000}"/>
    <cellStyle name="Normal 71 19 2" xfId="24655" xr:uid="{00000000-0005-0000-0000-0000005C0000}"/>
    <cellStyle name="Normal 71 2" xfId="761" xr:uid="{00000000-0005-0000-0000-0000015C0000}"/>
    <cellStyle name="Normal 71 2 2" xfId="24656" xr:uid="{00000000-0005-0000-0000-0000025C0000}"/>
    <cellStyle name="Normal 71 2 3" xfId="12484" xr:uid="{00000000-0005-0000-0000-0000035C0000}"/>
    <cellStyle name="Normal 71 20" xfId="12485" xr:uid="{00000000-0005-0000-0000-0000045C0000}"/>
    <cellStyle name="Normal 71 20 2" xfId="24657" xr:uid="{00000000-0005-0000-0000-0000055C0000}"/>
    <cellStyle name="Normal 71 21" xfId="12486" xr:uid="{00000000-0005-0000-0000-0000065C0000}"/>
    <cellStyle name="Normal 71 21 2" xfId="24658" xr:uid="{00000000-0005-0000-0000-0000075C0000}"/>
    <cellStyle name="Normal 71 22" xfId="12487" xr:uid="{00000000-0005-0000-0000-0000085C0000}"/>
    <cellStyle name="Normal 71 22 2" xfId="24659" xr:uid="{00000000-0005-0000-0000-0000095C0000}"/>
    <cellStyle name="Normal 71 23" xfId="12488" xr:uid="{00000000-0005-0000-0000-00000A5C0000}"/>
    <cellStyle name="Normal 71 23 2" xfId="24660" xr:uid="{00000000-0005-0000-0000-00000B5C0000}"/>
    <cellStyle name="Normal 71 24" xfId="12489" xr:uid="{00000000-0005-0000-0000-00000C5C0000}"/>
    <cellStyle name="Normal 71 24 2" xfId="24661" xr:uid="{00000000-0005-0000-0000-00000D5C0000}"/>
    <cellStyle name="Normal 71 25" xfId="12490" xr:uid="{00000000-0005-0000-0000-00000E5C0000}"/>
    <cellStyle name="Normal 71 25 2" xfId="24662" xr:uid="{00000000-0005-0000-0000-00000F5C0000}"/>
    <cellStyle name="Normal 71 26" xfId="12491" xr:uid="{00000000-0005-0000-0000-0000105C0000}"/>
    <cellStyle name="Normal 71 26 2" xfId="24663" xr:uid="{00000000-0005-0000-0000-0000115C0000}"/>
    <cellStyle name="Normal 71 27" xfId="12492" xr:uid="{00000000-0005-0000-0000-0000125C0000}"/>
    <cellStyle name="Normal 71 27 2" xfId="24664" xr:uid="{00000000-0005-0000-0000-0000135C0000}"/>
    <cellStyle name="Normal 71 28" xfId="12493" xr:uid="{00000000-0005-0000-0000-0000145C0000}"/>
    <cellStyle name="Normal 71 28 2" xfId="24665" xr:uid="{00000000-0005-0000-0000-0000155C0000}"/>
    <cellStyle name="Normal 71 29" xfId="12494" xr:uid="{00000000-0005-0000-0000-0000165C0000}"/>
    <cellStyle name="Normal 71 29 2" xfId="24666" xr:uid="{00000000-0005-0000-0000-0000175C0000}"/>
    <cellStyle name="Normal 71 3" xfId="412" xr:uid="{00000000-0005-0000-0000-0000185C0000}"/>
    <cellStyle name="Normal 71 3 2" xfId="24667" xr:uid="{00000000-0005-0000-0000-0000195C0000}"/>
    <cellStyle name="Normal 71 30" xfId="12495" xr:uid="{00000000-0005-0000-0000-00001A5C0000}"/>
    <cellStyle name="Normal 71 30 2" xfId="24668" xr:uid="{00000000-0005-0000-0000-00001B5C0000}"/>
    <cellStyle name="Normal 71 31" xfId="12496" xr:uid="{00000000-0005-0000-0000-00001C5C0000}"/>
    <cellStyle name="Normal 71 31 2" xfId="24669" xr:uid="{00000000-0005-0000-0000-00001D5C0000}"/>
    <cellStyle name="Normal 71 32" xfId="12497" xr:uid="{00000000-0005-0000-0000-00001E5C0000}"/>
    <cellStyle name="Normal 71 32 2" xfId="24670" xr:uid="{00000000-0005-0000-0000-00001F5C0000}"/>
    <cellStyle name="Normal 71 33" xfId="12498" xr:uid="{00000000-0005-0000-0000-0000205C0000}"/>
    <cellStyle name="Normal 71 33 2" xfId="24671" xr:uid="{00000000-0005-0000-0000-0000215C0000}"/>
    <cellStyle name="Normal 71 34" xfId="12499" xr:uid="{00000000-0005-0000-0000-0000225C0000}"/>
    <cellStyle name="Normal 71 34 2" xfId="24672" xr:uid="{00000000-0005-0000-0000-0000235C0000}"/>
    <cellStyle name="Normal 71 35" xfId="12500" xr:uid="{00000000-0005-0000-0000-0000245C0000}"/>
    <cellStyle name="Normal 71 35 2" xfId="24673" xr:uid="{00000000-0005-0000-0000-0000255C0000}"/>
    <cellStyle name="Normal 71 36" xfId="12501" xr:uid="{00000000-0005-0000-0000-0000265C0000}"/>
    <cellStyle name="Normal 71 36 2" xfId="24674" xr:uid="{00000000-0005-0000-0000-0000275C0000}"/>
    <cellStyle name="Normal 71 37" xfId="12502" xr:uid="{00000000-0005-0000-0000-0000285C0000}"/>
    <cellStyle name="Normal 71 37 2" xfId="24675" xr:uid="{00000000-0005-0000-0000-0000295C0000}"/>
    <cellStyle name="Normal 71 38" xfId="12503" xr:uid="{00000000-0005-0000-0000-00002A5C0000}"/>
    <cellStyle name="Normal 71 38 2" xfId="24676" xr:uid="{00000000-0005-0000-0000-00002B5C0000}"/>
    <cellStyle name="Normal 71 39" xfId="12504" xr:uid="{00000000-0005-0000-0000-00002C5C0000}"/>
    <cellStyle name="Normal 71 39 2" xfId="24677" xr:uid="{00000000-0005-0000-0000-00002D5C0000}"/>
    <cellStyle name="Normal 71 4" xfId="12505" xr:uid="{00000000-0005-0000-0000-00002E5C0000}"/>
    <cellStyle name="Normal 71 4 2" xfId="24678" xr:uid="{00000000-0005-0000-0000-00002F5C0000}"/>
    <cellStyle name="Normal 71 40" xfId="12506" xr:uid="{00000000-0005-0000-0000-0000305C0000}"/>
    <cellStyle name="Normal 71 40 2" xfId="24679" xr:uid="{00000000-0005-0000-0000-0000315C0000}"/>
    <cellStyle name="Normal 71 41" xfId="12507" xr:uid="{00000000-0005-0000-0000-0000325C0000}"/>
    <cellStyle name="Normal 71 41 2" xfId="24680" xr:uid="{00000000-0005-0000-0000-0000335C0000}"/>
    <cellStyle name="Normal 71 42" xfId="12508" xr:uid="{00000000-0005-0000-0000-0000345C0000}"/>
    <cellStyle name="Normal 71 42 2" xfId="24681" xr:uid="{00000000-0005-0000-0000-0000355C0000}"/>
    <cellStyle name="Normal 71 43" xfId="12509" xr:uid="{00000000-0005-0000-0000-0000365C0000}"/>
    <cellStyle name="Normal 71 43 2" xfId="24682" xr:uid="{00000000-0005-0000-0000-0000375C0000}"/>
    <cellStyle name="Normal 71 44" xfId="12510" xr:uid="{00000000-0005-0000-0000-0000385C0000}"/>
    <cellStyle name="Normal 71 44 2" xfId="24683" xr:uid="{00000000-0005-0000-0000-0000395C0000}"/>
    <cellStyle name="Normal 71 45" xfId="12511" xr:uid="{00000000-0005-0000-0000-00003A5C0000}"/>
    <cellStyle name="Normal 71 45 2" xfId="24684" xr:uid="{00000000-0005-0000-0000-00003B5C0000}"/>
    <cellStyle name="Normal 71 46" xfId="12512" xr:uid="{00000000-0005-0000-0000-00003C5C0000}"/>
    <cellStyle name="Normal 71 46 2" xfId="24685" xr:uid="{00000000-0005-0000-0000-00003D5C0000}"/>
    <cellStyle name="Normal 71 47" xfId="12513" xr:uid="{00000000-0005-0000-0000-00003E5C0000}"/>
    <cellStyle name="Normal 71 47 2" xfId="24686" xr:uid="{00000000-0005-0000-0000-00003F5C0000}"/>
    <cellStyle name="Normal 71 48" xfId="12514" xr:uid="{00000000-0005-0000-0000-0000405C0000}"/>
    <cellStyle name="Normal 71 48 2" xfId="24687" xr:uid="{00000000-0005-0000-0000-0000415C0000}"/>
    <cellStyle name="Normal 71 49" xfId="12515" xr:uid="{00000000-0005-0000-0000-0000425C0000}"/>
    <cellStyle name="Normal 71 49 2" xfId="24688" xr:uid="{00000000-0005-0000-0000-0000435C0000}"/>
    <cellStyle name="Normal 71 5" xfId="12516" xr:uid="{00000000-0005-0000-0000-0000445C0000}"/>
    <cellStyle name="Normal 71 5 2" xfId="24689" xr:uid="{00000000-0005-0000-0000-0000455C0000}"/>
    <cellStyle name="Normal 71 50" xfId="12517" xr:uid="{00000000-0005-0000-0000-0000465C0000}"/>
    <cellStyle name="Normal 71 50 2" xfId="24690" xr:uid="{00000000-0005-0000-0000-0000475C0000}"/>
    <cellStyle name="Normal 71 51" xfId="12518" xr:uid="{00000000-0005-0000-0000-0000485C0000}"/>
    <cellStyle name="Normal 71 51 2" xfId="24691" xr:uid="{00000000-0005-0000-0000-0000495C0000}"/>
    <cellStyle name="Normal 71 52" xfId="12519" xr:uid="{00000000-0005-0000-0000-00004A5C0000}"/>
    <cellStyle name="Normal 71 52 2" xfId="24692" xr:uid="{00000000-0005-0000-0000-00004B5C0000}"/>
    <cellStyle name="Normal 71 53" xfId="12520" xr:uid="{00000000-0005-0000-0000-00004C5C0000}"/>
    <cellStyle name="Normal 71 53 2" xfId="24693" xr:uid="{00000000-0005-0000-0000-00004D5C0000}"/>
    <cellStyle name="Normal 71 54" xfId="12521" xr:uid="{00000000-0005-0000-0000-00004E5C0000}"/>
    <cellStyle name="Normal 71 54 2" xfId="24694" xr:uid="{00000000-0005-0000-0000-00004F5C0000}"/>
    <cellStyle name="Normal 71 55" xfId="12522" xr:uid="{00000000-0005-0000-0000-0000505C0000}"/>
    <cellStyle name="Normal 71 55 2" xfId="24695" xr:uid="{00000000-0005-0000-0000-0000515C0000}"/>
    <cellStyle name="Normal 71 56" xfId="12523" xr:uid="{00000000-0005-0000-0000-0000525C0000}"/>
    <cellStyle name="Normal 71 56 2" xfId="24696" xr:uid="{00000000-0005-0000-0000-0000535C0000}"/>
    <cellStyle name="Normal 71 57" xfId="12524" xr:uid="{00000000-0005-0000-0000-0000545C0000}"/>
    <cellStyle name="Normal 71 57 2" xfId="24697" xr:uid="{00000000-0005-0000-0000-0000555C0000}"/>
    <cellStyle name="Normal 71 58" xfId="12525" xr:uid="{00000000-0005-0000-0000-0000565C0000}"/>
    <cellStyle name="Normal 71 58 2" xfId="24698" xr:uid="{00000000-0005-0000-0000-0000575C0000}"/>
    <cellStyle name="Normal 71 59" xfId="12526" xr:uid="{00000000-0005-0000-0000-0000585C0000}"/>
    <cellStyle name="Normal 71 59 2" xfId="24699" xr:uid="{00000000-0005-0000-0000-0000595C0000}"/>
    <cellStyle name="Normal 71 6" xfId="12527" xr:uid="{00000000-0005-0000-0000-00005A5C0000}"/>
    <cellStyle name="Normal 71 6 2" xfId="24700" xr:uid="{00000000-0005-0000-0000-00005B5C0000}"/>
    <cellStyle name="Normal 71 60" xfId="12528" xr:uid="{00000000-0005-0000-0000-00005C5C0000}"/>
    <cellStyle name="Normal 71 60 2" xfId="24701" xr:uid="{00000000-0005-0000-0000-00005D5C0000}"/>
    <cellStyle name="Normal 71 61" xfId="12529" xr:uid="{00000000-0005-0000-0000-00005E5C0000}"/>
    <cellStyle name="Normal 71 61 2" xfId="24702" xr:uid="{00000000-0005-0000-0000-00005F5C0000}"/>
    <cellStyle name="Normal 71 62" xfId="12530" xr:uid="{00000000-0005-0000-0000-0000605C0000}"/>
    <cellStyle name="Normal 71 62 2" xfId="24703" xr:uid="{00000000-0005-0000-0000-0000615C0000}"/>
    <cellStyle name="Normal 71 63" xfId="12531" xr:uid="{00000000-0005-0000-0000-0000625C0000}"/>
    <cellStyle name="Normal 71 63 2" xfId="24704" xr:uid="{00000000-0005-0000-0000-0000635C0000}"/>
    <cellStyle name="Normal 71 64" xfId="12532" xr:uid="{00000000-0005-0000-0000-0000645C0000}"/>
    <cellStyle name="Normal 71 64 2" xfId="24705" xr:uid="{00000000-0005-0000-0000-0000655C0000}"/>
    <cellStyle name="Normal 71 65" xfId="12533" xr:uid="{00000000-0005-0000-0000-0000665C0000}"/>
    <cellStyle name="Normal 71 65 2" xfId="24706" xr:uid="{00000000-0005-0000-0000-0000675C0000}"/>
    <cellStyle name="Normal 71 66" xfId="12534" xr:uid="{00000000-0005-0000-0000-0000685C0000}"/>
    <cellStyle name="Normal 71 66 2" xfId="24707" xr:uid="{00000000-0005-0000-0000-0000695C0000}"/>
    <cellStyle name="Normal 71 67" xfId="12535" xr:uid="{00000000-0005-0000-0000-00006A5C0000}"/>
    <cellStyle name="Normal 71 67 2" xfId="24708" xr:uid="{00000000-0005-0000-0000-00006B5C0000}"/>
    <cellStyle name="Normal 71 68" xfId="12536" xr:uid="{00000000-0005-0000-0000-00006C5C0000}"/>
    <cellStyle name="Normal 71 68 2" xfId="24709" xr:uid="{00000000-0005-0000-0000-00006D5C0000}"/>
    <cellStyle name="Normal 71 69" xfId="12537" xr:uid="{00000000-0005-0000-0000-00006E5C0000}"/>
    <cellStyle name="Normal 71 69 2" xfId="24710" xr:uid="{00000000-0005-0000-0000-00006F5C0000}"/>
    <cellStyle name="Normal 71 7" xfId="12538" xr:uid="{00000000-0005-0000-0000-0000705C0000}"/>
    <cellStyle name="Normal 71 7 2" xfId="24711" xr:uid="{00000000-0005-0000-0000-0000715C0000}"/>
    <cellStyle name="Normal 71 70" xfId="12539" xr:uid="{00000000-0005-0000-0000-0000725C0000}"/>
    <cellStyle name="Normal 71 70 2" xfId="24712" xr:uid="{00000000-0005-0000-0000-0000735C0000}"/>
    <cellStyle name="Normal 71 71" xfId="12540" xr:uid="{00000000-0005-0000-0000-0000745C0000}"/>
    <cellStyle name="Normal 71 71 2" xfId="24713" xr:uid="{00000000-0005-0000-0000-0000755C0000}"/>
    <cellStyle name="Normal 71 72" xfId="12541" xr:uid="{00000000-0005-0000-0000-0000765C0000}"/>
    <cellStyle name="Normal 71 72 2" xfId="24714" xr:uid="{00000000-0005-0000-0000-0000775C0000}"/>
    <cellStyle name="Normal 71 73" xfId="12542" xr:uid="{00000000-0005-0000-0000-0000785C0000}"/>
    <cellStyle name="Normal 71 73 2" xfId="24715" xr:uid="{00000000-0005-0000-0000-0000795C0000}"/>
    <cellStyle name="Normal 71 74" xfId="12543" xr:uid="{00000000-0005-0000-0000-00007A5C0000}"/>
    <cellStyle name="Normal 71 74 2" xfId="24716" xr:uid="{00000000-0005-0000-0000-00007B5C0000}"/>
    <cellStyle name="Normal 71 75" xfId="12544" xr:uid="{00000000-0005-0000-0000-00007C5C0000}"/>
    <cellStyle name="Normal 71 75 2" xfId="24717" xr:uid="{00000000-0005-0000-0000-00007D5C0000}"/>
    <cellStyle name="Normal 71 76" xfId="12545" xr:uid="{00000000-0005-0000-0000-00007E5C0000}"/>
    <cellStyle name="Normal 71 76 2" xfId="24718" xr:uid="{00000000-0005-0000-0000-00007F5C0000}"/>
    <cellStyle name="Normal 71 77" xfId="12546" xr:uid="{00000000-0005-0000-0000-0000805C0000}"/>
    <cellStyle name="Normal 71 77 2" xfId="24719" xr:uid="{00000000-0005-0000-0000-0000815C0000}"/>
    <cellStyle name="Normal 71 78" xfId="12547" xr:uid="{00000000-0005-0000-0000-0000825C0000}"/>
    <cellStyle name="Normal 71 78 2" xfId="24720" xr:uid="{00000000-0005-0000-0000-0000835C0000}"/>
    <cellStyle name="Normal 71 79" xfId="12548" xr:uid="{00000000-0005-0000-0000-0000845C0000}"/>
    <cellStyle name="Normal 71 79 2" xfId="24721" xr:uid="{00000000-0005-0000-0000-0000855C0000}"/>
    <cellStyle name="Normal 71 8" xfId="12549" xr:uid="{00000000-0005-0000-0000-0000865C0000}"/>
    <cellStyle name="Normal 71 8 2" xfId="24722" xr:uid="{00000000-0005-0000-0000-0000875C0000}"/>
    <cellStyle name="Normal 71 80" xfId="24645" xr:uid="{00000000-0005-0000-0000-0000885C0000}"/>
    <cellStyle name="Normal 71 9" xfId="12550" xr:uid="{00000000-0005-0000-0000-0000895C0000}"/>
    <cellStyle name="Normal 71 9 2" xfId="24723" xr:uid="{00000000-0005-0000-0000-00008A5C0000}"/>
    <cellStyle name="Normal 72" xfId="198" xr:uid="{00000000-0005-0000-0000-00008B5C0000}"/>
    <cellStyle name="Normal 72 10" xfId="12551" xr:uid="{00000000-0005-0000-0000-00008C5C0000}"/>
    <cellStyle name="Normal 72 10 2" xfId="24725" xr:uid="{00000000-0005-0000-0000-00008D5C0000}"/>
    <cellStyle name="Normal 72 11" xfId="12552" xr:uid="{00000000-0005-0000-0000-00008E5C0000}"/>
    <cellStyle name="Normal 72 11 2" xfId="24726" xr:uid="{00000000-0005-0000-0000-00008F5C0000}"/>
    <cellStyle name="Normal 72 12" xfId="12553" xr:uid="{00000000-0005-0000-0000-0000905C0000}"/>
    <cellStyle name="Normal 72 12 2" xfId="24727" xr:uid="{00000000-0005-0000-0000-0000915C0000}"/>
    <cellStyle name="Normal 72 13" xfId="12554" xr:uid="{00000000-0005-0000-0000-0000925C0000}"/>
    <cellStyle name="Normal 72 13 2" xfId="24728" xr:uid="{00000000-0005-0000-0000-0000935C0000}"/>
    <cellStyle name="Normal 72 14" xfId="12555" xr:uid="{00000000-0005-0000-0000-0000945C0000}"/>
    <cellStyle name="Normal 72 14 2" xfId="24729" xr:uid="{00000000-0005-0000-0000-0000955C0000}"/>
    <cellStyle name="Normal 72 15" xfId="12556" xr:uid="{00000000-0005-0000-0000-0000965C0000}"/>
    <cellStyle name="Normal 72 15 2" xfId="24730" xr:uid="{00000000-0005-0000-0000-0000975C0000}"/>
    <cellStyle name="Normal 72 16" xfId="12557" xr:uid="{00000000-0005-0000-0000-0000985C0000}"/>
    <cellStyle name="Normal 72 16 2" xfId="24731" xr:uid="{00000000-0005-0000-0000-0000995C0000}"/>
    <cellStyle name="Normal 72 17" xfId="12558" xr:uid="{00000000-0005-0000-0000-00009A5C0000}"/>
    <cellStyle name="Normal 72 17 2" xfId="24732" xr:uid="{00000000-0005-0000-0000-00009B5C0000}"/>
    <cellStyle name="Normal 72 18" xfId="12559" xr:uid="{00000000-0005-0000-0000-00009C5C0000}"/>
    <cellStyle name="Normal 72 18 2" xfId="24733" xr:uid="{00000000-0005-0000-0000-00009D5C0000}"/>
    <cellStyle name="Normal 72 19" xfId="12560" xr:uid="{00000000-0005-0000-0000-00009E5C0000}"/>
    <cellStyle name="Normal 72 19 2" xfId="24734" xr:uid="{00000000-0005-0000-0000-00009F5C0000}"/>
    <cellStyle name="Normal 72 2" xfId="762" xr:uid="{00000000-0005-0000-0000-0000A05C0000}"/>
    <cellStyle name="Normal 72 2 2" xfId="24735" xr:uid="{00000000-0005-0000-0000-0000A15C0000}"/>
    <cellStyle name="Normal 72 2 3" xfId="12561" xr:uid="{00000000-0005-0000-0000-0000A25C0000}"/>
    <cellStyle name="Normal 72 20" xfId="12562" xr:uid="{00000000-0005-0000-0000-0000A35C0000}"/>
    <cellStyle name="Normal 72 20 2" xfId="24736" xr:uid="{00000000-0005-0000-0000-0000A45C0000}"/>
    <cellStyle name="Normal 72 21" xfId="12563" xr:uid="{00000000-0005-0000-0000-0000A55C0000}"/>
    <cellStyle name="Normal 72 21 2" xfId="24737" xr:uid="{00000000-0005-0000-0000-0000A65C0000}"/>
    <cellStyle name="Normal 72 22" xfId="12564" xr:uid="{00000000-0005-0000-0000-0000A75C0000}"/>
    <cellStyle name="Normal 72 22 2" xfId="24738" xr:uid="{00000000-0005-0000-0000-0000A85C0000}"/>
    <cellStyle name="Normal 72 23" xfId="12565" xr:uid="{00000000-0005-0000-0000-0000A95C0000}"/>
    <cellStyle name="Normal 72 23 2" xfId="24739" xr:uid="{00000000-0005-0000-0000-0000AA5C0000}"/>
    <cellStyle name="Normal 72 24" xfId="12566" xr:uid="{00000000-0005-0000-0000-0000AB5C0000}"/>
    <cellStyle name="Normal 72 24 2" xfId="24740" xr:uid="{00000000-0005-0000-0000-0000AC5C0000}"/>
    <cellStyle name="Normal 72 25" xfId="12567" xr:uid="{00000000-0005-0000-0000-0000AD5C0000}"/>
    <cellStyle name="Normal 72 25 2" xfId="24741" xr:uid="{00000000-0005-0000-0000-0000AE5C0000}"/>
    <cellStyle name="Normal 72 26" xfId="12568" xr:uid="{00000000-0005-0000-0000-0000AF5C0000}"/>
    <cellStyle name="Normal 72 26 2" xfId="24742" xr:uid="{00000000-0005-0000-0000-0000B05C0000}"/>
    <cellStyle name="Normal 72 27" xfId="12569" xr:uid="{00000000-0005-0000-0000-0000B15C0000}"/>
    <cellStyle name="Normal 72 27 2" xfId="24743" xr:uid="{00000000-0005-0000-0000-0000B25C0000}"/>
    <cellStyle name="Normal 72 28" xfId="12570" xr:uid="{00000000-0005-0000-0000-0000B35C0000}"/>
    <cellStyle name="Normal 72 28 2" xfId="24744" xr:uid="{00000000-0005-0000-0000-0000B45C0000}"/>
    <cellStyle name="Normal 72 29" xfId="12571" xr:uid="{00000000-0005-0000-0000-0000B55C0000}"/>
    <cellStyle name="Normal 72 29 2" xfId="24745" xr:uid="{00000000-0005-0000-0000-0000B65C0000}"/>
    <cellStyle name="Normal 72 3" xfId="413" xr:uid="{00000000-0005-0000-0000-0000B75C0000}"/>
    <cellStyle name="Normal 72 3 2" xfId="24746" xr:uid="{00000000-0005-0000-0000-0000B85C0000}"/>
    <cellStyle name="Normal 72 30" xfId="12572" xr:uid="{00000000-0005-0000-0000-0000B95C0000}"/>
    <cellStyle name="Normal 72 30 2" xfId="24747" xr:uid="{00000000-0005-0000-0000-0000BA5C0000}"/>
    <cellStyle name="Normal 72 31" xfId="12573" xr:uid="{00000000-0005-0000-0000-0000BB5C0000}"/>
    <cellStyle name="Normal 72 31 2" xfId="24748" xr:uid="{00000000-0005-0000-0000-0000BC5C0000}"/>
    <cellStyle name="Normal 72 32" xfId="12574" xr:uid="{00000000-0005-0000-0000-0000BD5C0000}"/>
    <cellStyle name="Normal 72 32 2" xfId="24749" xr:uid="{00000000-0005-0000-0000-0000BE5C0000}"/>
    <cellStyle name="Normal 72 33" xfId="12575" xr:uid="{00000000-0005-0000-0000-0000BF5C0000}"/>
    <cellStyle name="Normal 72 33 2" xfId="24750" xr:uid="{00000000-0005-0000-0000-0000C05C0000}"/>
    <cellStyle name="Normal 72 34" xfId="12576" xr:uid="{00000000-0005-0000-0000-0000C15C0000}"/>
    <cellStyle name="Normal 72 34 2" xfId="24751" xr:uid="{00000000-0005-0000-0000-0000C25C0000}"/>
    <cellStyle name="Normal 72 35" xfId="12577" xr:uid="{00000000-0005-0000-0000-0000C35C0000}"/>
    <cellStyle name="Normal 72 35 2" xfId="24752" xr:uid="{00000000-0005-0000-0000-0000C45C0000}"/>
    <cellStyle name="Normal 72 36" xfId="12578" xr:uid="{00000000-0005-0000-0000-0000C55C0000}"/>
    <cellStyle name="Normal 72 36 2" xfId="24753" xr:uid="{00000000-0005-0000-0000-0000C65C0000}"/>
    <cellStyle name="Normal 72 37" xfId="12579" xr:uid="{00000000-0005-0000-0000-0000C75C0000}"/>
    <cellStyle name="Normal 72 37 2" xfId="24754" xr:uid="{00000000-0005-0000-0000-0000C85C0000}"/>
    <cellStyle name="Normal 72 38" xfId="12580" xr:uid="{00000000-0005-0000-0000-0000C95C0000}"/>
    <cellStyle name="Normal 72 38 2" xfId="24755" xr:uid="{00000000-0005-0000-0000-0000CA5C0000}"/>
    <cellStyle name="Normal 72 39" xfId="12581" xr:uid="{00000000-0005-0000-0000-0000CB5C0000}"/>
    <cellStyle name="Normal 72 39 2" xfId="24756" xr:uid="{00000000-0005-0000-0000-0000CC5C0000}"/>
    <cellStyle name="Normal 72 4" xfId="12582" xr:uid="{00000000-0005-0000-0000-0000CD5C0000}"/>
    <cellStyle name="Normal 72 4 2" xfId="24757" xr:uid="{00000000-0005-0000-0000-0000CE5C0000}"/>
    <cellStyle name="Normal 72 40" xfId="12583" xr:uid="{00000000-0005-0000-0000-0000CF5C0000}"/>
    <cellStyle name="Normal 72 40 2" xfId="24758" xr:uid="{00000000-0005-0000-0000-0000D05C0000}"/>
    <cellStyle name="Normal 72 41" xfId="12584" xr:uid="{00000000-0005-0000-0000-0000D15C0000}"/>
    <cellStyle name="Normal 72 41 2" xfId="24759" xr:uid="{00000000-0005-0000-0000-0000D25C0000}"/>
    <cellStyle name="Normal 72 42" xfId="12585" xr:uid="{00000000-0005-0000-0000-0000D35C0000}"/>
    <cellStyle name="Normal 72 42 2" xfId="24760" xr:uid="{00000000-0005-0000-0000-0000D45C0000}"/>
    <cellStyle name="Normal 72 43" xfId="12586" xr:uid="{00000000-0005-0000-0000-0000D55C0000}"/>
    <cellStyle name="Normal 72 43 2" xfId="24761" xr:uid="{00000000-0005-0000-0000-0000D65C0000}"/>
    <cellStyle name="Normal 72 44" xfId="12587" xr:uid="{00000000-0005-0000-0000-0000D75C0000}"/>
    <cellStyle name="Normal 72 44 2" xfId="24762" xr:uid="{00000000-0005-0000-0000-0000D85C0000}"/>
    <cellStyle name="Normal 72 45" xfId="12588" xr:uid="{00000000-0005-0000-0000-0000D95C0000}"/>
    <cellStyle name="Normal 72 45 2" xfId="24763" xr:uid="{00000000-0005-0000-0000-0000DA5C0000}"/>
    <cellStyle name="Normal 72 46" xfId="12589" xr:uid="{00000000-0005-0000-0000-0000DB5C0000}"/>
    <cellStyle name="Normal 72 46 2" xfId="24764" xr:uid="{00000000-0005-0000-0000-0000DC5C0000}"/>
    <cellStyle name="Normal 72 47" xfId="12590" xr:uid="{00000000-0005-0000-0000-0000DD5C0000}"/>
    <cellStyle name="Normal 72 47 2" xfId="24765" xr:uid="{00000000-0005-0000-0000-0000DE5C0000}"/>
    <cellStyle name="Normal 72 48" xfId="12591" xr:uid="{00000000-0005-0000-0000-0000DF5C0000}"/>
    <cellStyle name="Normal 72 48 2" xfId="24766" xr:uid="{00000000-0005-0000-0000-0000E05C0000}"/>
    <cellStyle name="Normal 72 49" xfId="12592" xr:uid="{00000000-0005-0000-0000-0000E15C0000}"/>
    <cellStyle name="Normal 72 49 2" xfId="24767" xr:uid="{00000000-0005-0000-0000-0000E25C0000}"/>
    <cellStyle name="Normal 72 5" xfId="12593" xr:uid="{00000000-0005-0000-0000-0000E35C0000}"/>
    <cellStyle name="Normal 72 5 2" xfId="24768" xr:uid="{00000000-0005-0000-0000-0000E45C0000}"/>
    <cellStyle name="Normal 72 50" xfId="12594" xr:uid="{00000000-0005-0000-0000-0000E55C0000}"/>
    <cellStyle name="Normal 72 50 2" xfId="24769" xr:uid="{00000000-0005-0000-0000-0000E65C0000}"/>
    <cellStyle name="Normal 72 51" xfId="12595" xr:uid="{00000000-0005-0000-0000-0000E75C0000}"/>
    <cellStyle name="Normal 72 51 2" xfId="24770" xr:uid="{00000000-0005-0000-0000-0000E85C0000}"/>
    <cellStyle name="Normal 72 52" xfId="12596" xr:uid="{00000000-0005-0000-0000-0000E95C0000}"/>
    <cellStyle name="Normal 72 52 2" xfId="24771" xr:uid="{00000000-0005-0000-0000-0000EA5C0000}"/>
    <cellStyle name="Normal 72 53" xfId="12597" xr:uid="{00000000-0005-0000-0000-0000EB5C0000}"/>
    <cellStyle name="Normal 72 53 2" xfId="24772" xr:uid="{00000000-0005-0000-0000-0000EC5C0000}"/>
    <cellStyle name="Normal 72 54" xfId="12598" xr:uid="{00000000-0005-0000-0000-0000ED5C0000}"/>
    <cellStyle name="Normal 72 54 2" xfId="24773" xr:uid="{00000000-0005-0000-0000-0000EE5C0000}"/>
    <cellStyle name="Normal 72 55" xfId="12599" xr:uid="{00000000-0005-0000-0000-0000EF5C0000}"/>
    <cellStyle name="Normal 72 55 2" xfId="24774" xr:uid="{00000000-0005-0000-0000-0000F05C0000}"/>
    <cellStyle name="Normal 72 56" xfId="12600" xr:uid="{00000000-0005-0000-0000-0000F15C0000}"/>
    <cellStyle name="Normal 72 56 2" xfId="24775" xr:uid="{00000000-0005-0000-0000-0000F25C0000}"/>
    <cellStyle name="Normal 72 57" xfId="12601" xr:uid="{00000000-0005-0000-0000-0000F35C0000}"/>
    <cellStyle name="Normal 72 57 2" xfId="24776" xr:uid="{00000000-0005-0000-0000-0000F45C0000}"/>
    <cellStyle name="Normal 72 58" xfId="12602" xr:uid="{00000000-0005-0000-0000-0000F55C0000}"/>
    <cellStyle name="Normal 72 58 2" xfId="24777" xr:uid="{00000000-0005-0000-0000-0000F65C0000}"/>
    <cellStyle name="Normal 72 59" xfId="12603" xr:uid="{00000000-0005-0000-0000-0000F75C0000}"/>
    <cellStyle name="Normal 72 59 2" xfId="24778" xr:uid="{00000000-0005-0000-0000-0000F85C0000}"/>
    <cellStyle name="Normal 72 6" xfId="12604" xr:uid="{00000000-0005-0000-0000-0000F95C0000}"/>
    <cellStyle name="Normal 72 6 2" xfId="24779" xr:uid="{00000000-0005-0000-0000-0000FA5C0000}"/>
    <cellStyle name="Normal 72 60" xfId="12605" xr:uid="{00000000-0005-0000-0000-0000FB5C0000}"/>
    <cellStyle name="Normal 72 60 2" xfId="24780" xr:uid="{00000000-0005-0000-0000-0000FC5C0000}"/>
    <cellStyle name="Normal 72 61" xfId="12606" xr:uid="{00000000-0005-0000-0000-0000FD5C0000}"/>
    <cellStyle name="Normal 72 61 2" xfId="24781" xr:uid="{00000000-0005-0000-0000-0000FE5C0000}"/>
    <cellStyle name="Normal 72 62" xfId="12607" xr:uid="{00000000-0005-0000-0000-0000FF5C0000}"/>
    <cellStyle name="Normal 72 62 2" xfId="24782" xr:uid="{00000000-0005-0000-0000-0000005D0000}"/>
    <cellStyle name="Normal 72 63" xfId="12608" xr:uid="{00000000-0005-0000-0000-0000015D0000}"/>
    <cellStyle name="Normal 72 63 2" xfId="24783" xr:uid="{00000000-0005-0000-0000-0000025D0000}"/>
    <cellStyle name="Normal 72 64" xfId="12609" xr:uid="{00000000-0005-0000-0000-0000035D0000}"/>
    <cellStyle name="Normal 72 64 2" xfId="24784" xr:uid="{00000000-0005-0000-0000-0000045D0000}"/>
    <cellStyle name="Normal 72 65" xfId="12610" xr:uid="{00000000-0005-0000-0000-0000055D0000}"/>
    <cellStyle name="Normal 72 65 2" xfId="24785" xr:uid="{00000000-0005-0000-0000-0000065D0000}"/>
    <cellStyle name="Normal 72 66" xfId="12611" xr:uid="{00000000-0005-0000-0000-0000075D0000}"/>
    <cellStyle name="Normal 72 66 2" xfId="24786" xr:uid="{00000000-0005-0000-0000-0000085D0000}"/>
    <cellStyle name="Normal 72 67" xfId="12612" xr:uid="{00000000-0005-0000-0000-0000095D0000}"/>
    <cellStyle name="Normal 72 67 2" xfId="24787" xr:uid="{00000000-0005-0000-0000-00000A5D0000}"/>
    <cellStyle name="Normal 72 68" xfId="12613" xr:uid="{00000000-0005-0000-0000-00000B5D0000}"/>
    <cellStyle name="Normal 72 68 2" xfId="24788" xr:uid="{00000000-0005-0000-0000-00000C5D0000}"/>
    <cellStyle name="Normal 72 69" xfId="12614" xr:uid="{00000000-0005-0000-0000-00000D5D0000}"/>
    <cellStyle name="Normal 72 69 2" xfId="24789" xr:uid="{00000000-0005-0000-0000-00000E5D0000}"/>
    <cellStyle name="Normal 72 7" xfId="12615" xr:uid="{00000000-0005-0000-0000-00000F5D0000}"/>
    <cellStyle name="Normal 72 7 2" xfId="24790" xr:uid="{00000000-0005-0000-0000-0000105D0000}"/>
    <cellStyle name="Normal 72 70" xfId="12616" xr:uid="{00000000-0005-0000-0000-0000115D0000}"/>
    <cellStyle name="Normal 72 70 2" xfId="24791" xr:uid="{00000000-0005-0000-0000-0000125D0000}"/>
    <cellStyle name="Normal 72 71" xfId="12617" xr:uid="{00000000-0005-0000-0000-0000135D0000}"/>
    <cellStyle name="Normal 72 71 2" xfId="24792" xr:uid="{00000000-0005-0000-0000-0000145D0000}"/>
    <cellStyle name="Normal 72 72" xfId="12618" xr:uid="{00000000-0005-0000-0000-0000155D0000}"/>
    <cellStyle name="Normal 72 72 2" xfId="24793" xr:uid="{00000000-0005-0000-0000-0000165D0000}"/>
    <cellStyle name="Normal 72 73" xfId="12619" xr:uid="{00000000-0005-0000-0000-0000175D0000}"/>
    <cellStyle name="Normal 72 73 2" xfId="24794" xr:uid="{00000000-0005-0000-0000-0000185D0000}"/>
    <cellStyle name="Normal 72 74" xfId="12620" xr:uid="{00000000-0005-0000-0000-0000195D0000}"/>
    <cellStyle name="Normal 72 74 2" xfId="24795" xr:uid="{00000000-0005-0000-0000-00001A5D0000}"/>
    <cellStyle name="Normal 72 75" xfId="12621" xr:uid="{00000000-0005-0000-0000-00001B5D0000}"/>
    <cellStyle name="Normal 72 75 2" xfId="24796" xr:uid="{00000000-0005-0000-0000-00001C5D0000}"/>
    <cellStyle name="Normal 72 76" xfId="12622" xr:uid="{00000000-0005-0000-0000-00001D5D0000}"/>
    <cellStyle name="Normal 72 76 2" xfId="24797" xr:uid="{00000000-0005-0000-0000-00001E5D0000}"/>
    <cellStyle name="Normal 72 77" xfId="12623" xr:uid="{00000000-0005-0000-0000-00001F5D0000}"/>
    <cellStyle name="Normal 72 77 2" xfId="24798" xr:uid="{00000000-0005-0000-0000-0000205D0000}"/>
    <cellStyle name="Normal 72 78" xfId="12624" xr:uid="{00000000-0005-0000-0000-0000215D0000}"/>
    <cellStyle name="Normal 72 78 2" xfId="24799" xr:uid="{00000000-0005-0000-0000-0000225D0000}"/>
    <cellStyle name="Normal 72 79" xfId="12625" xr:uid="{00000000-0005-0000-0000-0000235D0000}"/>
    <cellStyle name="Normal 72 79 2" xfId="24800" xr:uid="{00000000-0005-0000-0000-0000245D0000}"/>
    <cellStyle name="Normal 72 8" xfId="12626" xr:uid="{00000000-0005-0000-0000-0000255D0000}"/>
    <cellStyle name="Normal 72 8 2" xfId="24801" xr:uid="{00000000-0005-0000-0000-0000265D0000}"/>
    <cellStyle name="Normal 72 80" xfId="24724" xr:uid="{00000000-0005-0000-0000-0000275D0000}"/>
    <cellStyle name="Normal 72 9" xfId="12627" xr:uid="{00000000-0005-0000-0000-0000285D0000}"/>
    <cellStyle name="Normal 72 9 2" xfId="24802" xr:uid="{00000000-0005-0000-0000-0000295D0000}"/>
    <cellStyle name="Normal 73" xfId="199" xr:uid="{00000000-0005-0000-0000-00002A5D0000}"/>
    <cellStyle name="Normal 73 10" xfId="12628" xr:uid="{00000000-0005-0000-0000-00002B5D0000}"/>
    <cellStyle name="Normal 73 10 2" xfId="24804" xr:uid="{00000000-0005-0000-0000-00002C5D0000}"/>
    <cellStyle name="Normal 73 11" xfId="12629" xr:uid="{00000000-0005-0000-0000-00002D5D0000}"/>
    <cellStyle name="Normal 73 11 2" xfId="24805" xr:uid="{00000000-0005-0000-0000-00002E5D0000}"/>
    <cellStyle name="Normal 73 12" xfId="12630" xr:uid="{00000000-0005-0000-0000-00002F5D0000}"/>
    <cellStyle name="Normal 73 12 2" xfId="24806" xr:uid="{00000000-0005-0000-0000-0000305D0000}"/>
    <cellStyle name="Normal 73 13" xfId="12631" xr:uid="{00000000-0005-0000-0000-0000315D0000}"/>
    <cellStyle name="Normal 73 13 2" xfId="24807" xr:uid="{00000000-0005-0000-0000-0000325D0000}"/>
    <cellStyle name="Normal 73 14" xfId="12632" xr:uid="{00000000-0005-0000-0000-0000335D0000}"/>
    <cellStyle name="Normal 73 14 2" xfId="24808" xr:uid="{00000000-0005-0000-0000-0000345D0000}"/>
    <cellStyle name="Normal 73 15" xfId="12633" xr:uid="{00000000-0005-0000-0000-0000355D0000}"/>
    <cellStyle name="Normal 73 15 2" xfId="24809" xr:uid="{00000000-0005-0000-0000-0000365D0000}"/>
    <cellStyle name="Normal 73 16" xfId="12634" xr:uid="{00000000-0005-0000-0000-0000375D0000}"/>
    <cellStyle name="Normal 73 16 2" xfId="24810" xr:uid="{00000000-0005-0000-0000-0000385D0000}"/>
    <cellStyle name="Normal 73 17" xfId="12635" xr:uid="{00000000-0005-0000-0000-0000395D0000}"/>
    <cellStyle name="Normal 73 17 2" xfId="24811" xr:uid="{00000000-0005-0000-0000-00003A5D0000}"/>
    <cellStyle name="Normal 73 18" xfId="12636" xr:uid="{00000000-0005-0000-0000-00003B5D0000}"/>
    <cellStyle name="Normal 73 18 2" xfId="24812" xr:uid="{00000000-0005-0000-0000-00003C5D0000}"/>
    <cellStyle name="Normal 73 19" xfId="12637" xr:uid="{00000000-0005-0000-0000-00003D5D0000}"/>
    <cellStyle name="Normal 73 19 2" xfId="24813" xr:uid="{00000000-0005-0000-0000-00003E5D0000}"/>
    <cellStyle name="Normal 73 2" xfId="763" xr:uid="{00000000-0005-0000-0000-00003F5D0000}"/>
    <cellStyle name="Normal 73 2 2" xfId="24814" xr:uid="{00000000-0005-0000-0000-0000405D0000}"/>
    <cellStyle name="Normal 73 2 3" xfId="12638" xr:uid="{00000000-0005-0000-0000-0000415D0000}"/>
    <cellStyle name="Normal 73 20" xfId="12639" xr:uid="{00000000-0005-0000-0000-0000425D0000}"/>
    <cellStyle name="Normal 73 20 2" xfId="24815" xr:uid="{00000000-0005-0000-0000-0000435D0000}"/>
    <cellStyle name="Normal 73 21" xfId="12640" xr:uid="{00000000-0005-0000-0000-0000445D0000}"/>
    <cellStyle name="Normal 73 21 2" xfId="24816" xr:uid="{00000000-0005-0000-0000-0000455D0000}"/>
    <cellStyle name="Normal 73 22" xfId="12641" xr:uid="{00000000-0005-0000-0000-0000465D0000}"/>
    <cellStyle name="Normal 73 22 2" xfId="24817" xr:uid="{00000000-0005-0000-0000-0000475D0000}"/>
    <cellStyle name="Normal 73 23" xfId="12642" xr:uid="{00000000-0005-0000-0000-0000485D0000}"/>
    <cellStyle name="Normal 73 23 2" xfId="24818" xr:uid="{00000000-0005-0000-0000-0000495D0000}"/>
    <cellStyle name="Normal 73 24" xfId="12643" xr:uid="{00000000-0005-0000-0000-00004A5D0000}"/>
    <cellStyle name="Normal 73 24 2" xfId="24819" xr:uid="{00000000-0005-0000-0000-00004B5D0000}"/>
    <cellStyle name="Normal 73 25" xfId="12644" xr:uid="{00000000-0005-0000-0000-00004C5D0000}"/>
    <cellStyle name="Normal 73 25 2" xfId="24820" xr:uid="{00000000-0005-0000-0000-00004D5D0000}"/>
    <cellStyle name="Normal 73 26" xfId="12645" xr:uid="{00000000-0005-0000-0000-00004E5D0000}"/>
    <cellStyle name="Normal 73 26 2" xfId="24821" xr:uid="{00000000-0005-0000-0000-00004F5D0000}"/>
    <cellStyle name="Normal 73 27" xfId="12646" xr:uid="{00000000-0005-0000-0000-0000505D0000}"/>
    <cellStyle name="Normal 73 27 2" xfId="24822" xr:uid="{00000000-0005-0000-0000-0000515D0000}"/>
    <cellStyle name="Normal 73 28" xfId="12647" xr:uid="{00000000-0005-0000-0000-0000525D0000}"/>
    <cellStyle name="Normal 73 28 2" xfId="24823" xr:uid="{00000000-0005-0000-0000-0000535D0000}"/>
    <cellStyle name="Normal 73 29" xfId="12648" xr:uid="{00000000-0005-0000-0000-0000545D0000}"/>
    <cellStyle name="Normal 73 29 2" xfId="24824" xr:uid="{00000000-0005-0000-0000-0000555D0000}"/>
    <cellStyle name="Normal 73 3" xfId="414" xr:uid="{00000000-0005-0000-0000-0000565D0000}"/>
    <cellStyle name="Normal 73 3 2" xfId="24825" xr:uid="{00000000-0005-0000-0000-0000575D0000}"/>
    <cellStyle name="Normal 73 30" xfId="12649" xr:uid="{00000000-0005-0000-0000-0000585D0000}"/>
    <cellStyle name="Normal 73 30 2" xfId="24826" xr:uid="{00000000-0005-0000-0000-0000595D0000}"/>
    <cellStyle name="Normal 73 31" xfId="12650" xr:uid="{00000000-0005-0000-0000-00005A5D0000}"/>
    <cellStyle name="Normal 73 31 2" xfId="24827" xr:uid="{00000000-0005-0000-0000-00005B5D0000}"/>
    <cellStyle name="Normal 73 32" xfId="12651" xr:uid="{00000000-0005-0000-0000-00005C5D0000}"/>
    <cellStyle name="Normal 73 32 2" xfId="24828" xr:uid="{00000000-0005-0000-0000-00005D5D0000}"/>
    <cellStyle name="Normal 73 33" xfId="12652" xr:uid="{00000000-0005-0000-0000-00005E5D0000}"/>
    <cellStyle name="Normal 73 33 2" xfId="24829" xr:uid="{00000000-0005-0000-0000-00005F5D0000}"/>
    <cellStyle name="Normal 73 34" xfId="12653" xr:uid="{00000000-0005-0000-0000-0000605D0000}"/>
    <cellStyle name="Normal 73 34 2" xfId="24830" xr:uid="{00000000-0005-0000-0000-0000615D0000}"/>
    <cellStyle name="Normal 73 35" xfId="12654" xr:uid="{00000000-0005-0000-0000-0000625D0000}"/>
    <cellStyle name="Normal 73 35 2" xfId="24831" xr:uid="{00000000-0005-0000-0000-0000635D0000}"/>
    <cellStyle name="Normal 73 36" xfId="12655" xr:uid="{00000000-0005-0000-0000-0000645D0000}"/>
    <cellStyle name="Normal 73 36 2" xfId="24832" xr:uid="{00000000-0005-0000-0000-0000655D0000}"/>
    <cellStyle name="Normal 73 37" xfId="12656" xr:uid="{00000000-0005-0000-0000-0000665D0000}"/>
    <cellStyle name="Normal 73 37 2" xfId="24833" xr:uid="{00000000-0005-0000-0000-0000675D0000}"/>
    <cellStyle name="Normal 73 38" xfId="12657" xr:uid="{00000000-0005-0000-0000-0000685D0000}"/>
    <cellStyle name="Normal 73 38 2" xfId="24834" xr:uid="{00000000-0005-0000-0000-0000695D0000}"/>
    <cellStyle name="Normal 73 39" xfId="12658" xr:uid="{00000000-0005-0000-0000-00006A5D0000}"/>
    <cellStyle name="Normal 73 39 2" xfId="24835" xr:uid="{00000000-0005-0000-0000-00006B5D0000}"/>
    <cellStyle name="Normal 73 4" xfId="12659" xr:uid="{00000000-0005-0000-0000-00006C5D0000}"/>
    <cellStyle name="Normal 73 4 2" xfId="24836" xr:uid="{00000000-0005-0000-0000-00006D5D0000}"/>
    <cellStyle name="Normal 73 40" xfId="12660" xr:uid="{00000000-0005-0000-0000-00006E5D0000}"/>
    <cellStyle name="Normal 73 40 2" xfId="24837" xr:uid="{00000000-0005-0000-0000-00006F5D0000}"/>
    <cellStyle name="Normal 73 41" xfId="12661" xr:uid="{00000000-0005-0000-0000-0000705D0000}"/>
    <cellStyle name="Normal 73 41 2" xfId="24838" xr:uid="{00000000-0005-0000-0000-0000715D0000}"/>
    <cellStyle name="Normal 73 42" xfId="12662" xr:uid="{00000000-0005-0000-0000-0000725D0000}"/>
    <cellStyle name="Normal 73 42 2" xfId="24839" xr:uid="{00000000-0005-0000-0000-0000735D0000}"/>
    <cellStyle name="Normal 73 43" xfId="12663" xr:uid="{00000000-0005-0000-0000-0000745D0000}"/>
    <cellStyle name="Normal 73 43 2" xfId="24840" xr:uid="{00000000-0005-0000-0000-0000755D0000}"/>
    <cellStyle name="Normal 73 44" xfId="12664" xr:uid="{00000000-0005-0000-0000-0000765D0000}"/>
    <cellStyle name="Normal 73 44 2" xfId="24841" xr:uid="{00000000-0005-0000-0000-0000775D0000}"/>
    <cellStyle name="Normal 73 45" xfId="12665" xr:uid="{00000000-0005-0000-0000-0000785D0000}"/>
    <cellStyle name="Normal 73 45 2" xfId="24842" xr:uid="{00000000-0005-0000-0000-0000795D0000}"/>
    <cellStyle name="Normal 73 46" xfId="12666" xr:uid="{00000000-0005-0000-0000-00007A5D0000}"/>
    <cellStyle name="Normal 73 46 2" xfId="24843" xr:uid="{00000000-0005-0000-0000-00007B5D0000}"/>
    <cellStyle name="Normal 73 47" xfId="12667" xr:uid="{00000000-0005-0000-0000-00007C5D0000}"/>
    <cellStyle name="Normal 73 47 2" xfId="24844" xr:uid="{00000000-0005-0000-0000-00007D5D0000}"/>
    <cellStyle name="Normal 73 48" xfId="12668" xr:uid="{00000000-0005-0000-0000-00007E5D0000}"/>
    <cellStyle name="Normal 73 48 2" xfId="24845" xr:uid="{00000000-0005-0000-0000-00007F5D0000}"/>
    <cellStyle name="Normal 73 49" xfId="12669" xr:uid="{00000000-0005-0000-0000-0000805D0000}"/>
    <cellStyle name="Normal 73 49 2" xfId="24846" xr:uid="{00000000-0005-0000-0000-0000815D0000}"/>
    <cellStyle name="Normal 73 5" xfId="12670" xr:uid="{00000000-0005-0000-0000-0000825D0000}"/>
    <cellStyle name="Normal 73 5 2" xfId="24847" xr:uid="{00000000-0005-0000-0000-0000835D0000}"/>
    <cellStyle name="Normal 73 50" xfId="12671" xr:uid="{00000000-0005-0000-0000-0000845D0000}"/>
    <cellStyle name="Normal 73 50 2" xfId="24848" xr:uid="{00000000-0005-0000-0000-0000855D0000}"/>
    <cellStyle name="Normal 73 51" xfId="12672" xr:uid="{00000000-0005-0000-0000-0000865D0000}"/>
    <cellStyle name="Normal 73 51 2" xfId="24849" xr:uid="{00000000-0005-0000-0000-0000875D0000}"/>
    <cellStyle name="Normal 73 52" xfId="12673" xr:uid="{00000000-0005-0000-0000-0000885D0000}"/>
    <cellStyle name="Normal 73 52 2" xfId="24850" xr:uid="{00000000-0005-0000-0000-0000895D0000}"/>
    <cellStyle name="Normal 73 53" xfId="12674" xr:uid="{00000000-0005-0000-0000-00008A5D0000}"/>
    <cellStyle name="Normal 73 53 2" xfId="24851" xr:uid="{00000000-0005-0000-0000-00008B5D0000}"/>
    <cellStyle name="Normal 73 54" xfId="12675" xr:uid="{00000000-0005-0000-0000-00008C5D0000}"/>
    <cellStyle name="Normal 73 54 2" xfId="24852" xr:uid="{00000000-0005-0000-0000-00008D5D0000}"/>
    <cellStyle name="Normal 73 55" xfId="12676" xr:uid="{00000000-0005-0000-0000-00008E5D0000}"/>
    <cellStyle name="Normal 73 55 2" xfId="24853" xr:uid="{00000000-0005-0000-0000-00008F5D0000}"/>
    <cellStyle name="Normal 73 56" xfId="12677" xr:uid="{00000000-0005-0000-0000-0000905D0000}"/>
    <cellStyle name="Normal 73 56 2" xfId="24854" xr:uid="{00000000-0005-0000-0000-0000915D0000}"/>
    <cellStyle name="Normal 73 57" xfId="12678" xr:uid="{00000000-0005-0000-0000-0000925D0000}"/>
    <cellStyle name="Normal 73 57 2" xfId="24855" xr:uid="{00000000-0005-0000-0000-0000935D0000}"/>
    <cellStyle name="Normal 73 58" xfId="12679" xr:uid="{00000000-0005-0000-0000-0000945D0000}"/>
    <cellStyle name="Normal 73 58 2" xfId="24856" xr:uid="{00000000-0005-0000-0000-0000955D0000}"/>
    <cellStyle name="Normal 73 59" xfId="12680" xr:uid="{00000000-0005-0000-0000-0000965D0000}"/>
    <cellStyle name="Normal 73 59 2" xfId="24857" xr:uid="{00000000-0005-0000-0000-0000975D0000}"/>
    <cellStyle name="Normal 73 6" xfId="12681" xr:uid="{00000000-0005-0000-0000-0000985D0000}"/>
    <cellStyle name="Normal 73 6 2" xfId="24858" xr:uid="{00000000-0005-0000-0000-0000995D0000}"/>
    <cellStyle name="Normal 73 60" xfId="12682" xr:uid="{00000000-0005-0000-0000-00009A5D0000}"/>
    <cellStyle name="Normal 73 60 2" xfId="24859" xr:uid="{00000000-0005-0000-0000-00009B5D0000}"/>
    <cellStyle name="Normal 73 61" xfId="12683" xr:uid="{00000000-0005-0000-0000-00009C5D0000}"/>
    <cellStyle name="Normal 73 61 2" xfId="24860" xr:uid="{00000000-0005-0000-0000-00009D5D0000}"/>
    <cellStyle name="Normal 73 62" xfId="12684" xr:uid="{00000000-0005-0000-0000-00009E5D0000}"/>
    <cellStyle name="Normal 73 62 2" xfId="24861" xr:uid="{00000000-0005-0000-0000-00009F5D0000}"/>
    <cellStyle name="Normal 73 63" xfId="12685" xr:uid="{00000000-0005-0000-0000-0000A05D0000}"/>
    <cellStyle name="Normal 73 63 2" xfId="24862" xr:uid="{00000000-0005-0000-0000-0000A15D0000}"/>
    <cellStyle name="Normal 73 64" xfId="12686" xr:uid="{00000000-0005-0000-0000-0000A25D0000}"/>
    <cellStyle name="Normal 73 64 2" xfId="24863" xr:uid="{00000000-0005-0000-0000-0000A35D0000}"/>
    <cellStyle name="Normal 73 65" xfId="12687" xr:uid="{00000000-0005-0000-0000-0000A45D0000}"/>
    <cellStyle name="Normal 73 65 2" xfId="24864" xr:uid="{00000000-0005-0000-0000-0000A55D0000}"/>
    <cellStyle name="Normal 73 66" xfId="12688" xr:uid="{00000000-0005-0000-0000-0000A65D0000}"/>
    <cellStyle name="Normal 73 66 2" xfId="24865" xr:uid="{00000000-0005-0000-0000-0000A75D0000}"/>
    <cellStyle name="Normal 73 67" xfId="12689" xr:uid="{00000000-0005-0000-0000-0000A85D0000}"/>
    <cellStyle name="Normal 73 67 2" xfId="24866" xr:uid="{00000000-0005-0000-0000-0000A95D0000}"/>
    <cellStyle name="Normal 73 68" xfId="12690" xr:uid="{00000000-0005-0000-0000-0000AA5D0000}"/>
    <cellStyle name="Normal 73 68 2" xfId="24867" xr:uid="{00000000-0005-0000-0000-0000AB5D0000}"/>
    <cellStyle name="Normal 73 69" xfId="12691" xr:uid="{00000000-0005-0000-0000-0000AC5D0000}"/>
    <cellStyle name="Normal 73 69 2" xfId="24868" xr:uid="{00000000-0005-0000-0000-0000AD5D0000}"/>
    <cellStyle name="Normal 73 7" xfId="12692" xr:uid="{00000000-0005-0000-0000-0000AE5D0000}"/>
    <cellStyle name="Normal 73 7 2" xfId="24869" xr:uid="{00000000-0005-0000-0000-0000AF5D0000}"/>
    <cellStyle name="Normal 73 70" xfId="12693" xr:uid="{00000000-0005-0000-0000-0000B05D0000}"/>
    <cellStyle name="Normal 73 70 2" xfId="24870" xr:uid="{00000000-0005-0000-0000-0000B15D0000}"/>
    <cellStyle name="Normal 73 71" xfId="12694" xr:uid="{00000000-0005-0000-0000-0000B25D0000}"/>
    <cellStyle name="Normal 73 71 2" xfId="24871" xr:uid="{00000000-0005-0000-0000-0000B35D0000}"/>
    <cellStyle name="Normal 73 72" xfId="12695" xr:uid="{00000000-0005-0000-0000-0000B45D0000}"/>
    <cellStyle name="Normal 73 72 2" xfId="24872" xr:uid="{00000000-0005-0000-0000-0000B55D0000}"/>
    <cellStyle name="Normal 73 73" xfId="12696" xr:uid="{00000000-0005-0000-0000-0000B65D0000}"/>
    <cellStyle name="Normal 73 73 2" xfId="24873" xr:uid="{00000000-0005-0000-0000-0000B75D0000}"/>
    <cellStyle name="Normal 73 74" xfId="12697" xr:uid="{00000000-0005-0000-0000-0000B85D0000}"/>
    <cellStyle name="Normal 73 74 2" xfId="24874" xr:uid="{00000000-0005-0000-0000-0000B95D0000}"/>
    <cellStyle name="Normal 73 75" xfId="12698" xr:uid="{00000000-0005-0000-0000-0000BA5D0000}"/>
    <cellStyle name="Normal 73 75 2" xfId="24875" xr:uid="{00000000-0005-0000-0000-0000BB5D0000}"/>
    <cellStyle name="Normal 73 76" xfId="12699" xr:uid="{00000000-0005-0000-0000-0000BC5D0000}"/>
    <cellStyle name="Normal 73 76 2" xfId="24876" xr:uid="{00000000-0005-0000-0000-0000BD5D0000}"/>
    <cellStyle name="Normal 73 77" xfId="12700" xr:uid="{00000000-0005-0000-0000-0000BE5D0000}"/>
    <cellStyle name="Normal 73 77 2" xfId="24877" xr:uid="{00000000-0005-0000-0000-0000BF5D0000}"/>
    <cellStyle name="Normal 73 78" xfId="12701" xr:uid="{00000000-0005-0000-0000-0000C05D0000}"/>
    <cellStyle name="Normal 73 78 2" xfId="24878" xr:uid="{00000000-0005-0000-0000-0000C15D0000}"/>
    <cellStyle name="Normal 73 79" xfId="12702" xr:uid="{00000000-0005-0000-0000-0000C25D0000}"/>
    <cellStyle name="Normal 73 79 2" xfId="24879" xr:uid="{00000000-0005-0000-0000-0000C35D0000}"/>
    <cellStyle name="Normal 73 8" xfId="12703" xr:uid="{00000000-0005-0000-0000-0000C45D0000}"/>
    <cellStyle name="Normal 73 8 2" xfId="24880" xr:uid="{00000000-0005-0000-0000-0000C55D0000}"/>
    <cellStyle name="Normal 73 80" xfId="24803" xr:uid="{00000000-0005-0000-0000-0000C65D0000}"/>
    <cellStyle name="Normal 73 9" xfId="12704" xr:uid="{00000000-0005-0000-0000-0000C75D0000}"/>
    <cellStyle name="Normal 73 9 2" xfId="24881" xr:uid="{00000000-0005-0000-0000-0000C85D0000}"/>
    <cellStyle name="Normal 74" xfId="200" xr:uid="{00000000-0005-0000-0000-0000C95D0000}"/>
    <cellStyle name="Normal 74 10" xfId="12705" xr:uid="{00000000-0005-0000-0000-0000CA5D0000}"/>
    <cellStyle name="Normal 74 10 2" xfId="24883" xr:uid="{00000000-0005-0000-0000-0000CB5D0000}"/>
    <cellStyle name="Normal 74 11" xfId="12706" xr:uid="{00000000-0005-0000-0000-0000CC5D0000}"/>
    <cellStyle name="Normal 74 11 2" xfId="24884" xr:uid="{00000000-0005-0000-0000-0000CD5D0000}"/>
    <cellStyle name="Normal 74 12" xfId="12707" xr:uid="{00000000-0005-0000-0000-0000CE5D0000}"/>
    <cellStyle name="Normal 74 12 2" xfId="24885" xr:uid="{00000000-0005-0000-0000-0000CF5D0000}"/>
    <cellStyle name="Normal 74 13" xfId="12708" xr:uid="{00000000-0005-0000-0000-0000D05D0000}"/>
    <cellStyle name="Normal 74 13 2" xfId="24886" xr:uid="{00000000-0005-0000-0000-0000D15D0000}"/>
    <cellStyle name="Normal 74 14" xfId="12709" xr:uid="{00000000-0005-0000-0000-0000D25D0000}"/>
    <cellStyle name="Normal 74 14 2" xfId="24887" xr:uid="{00000000-0005-0000-0000-0000D35D0000}"/>
    <cellStyle name="Normal 74 15" xfId="12710" xr:uid="{00000000-0005-0000-0000-0000D45D0000}"/>
    <cellStyle name="Normal 74 15 2" xfId="24888" xr:uid="{00000000-0005-0000-0000-0000D55D0000}"/>
    <cellStyle name="Normal 74 16" xfId="12711" xr:uid="{00000000-0005-0000-0000-0000D65D0000}"/>
    <cellStyle name="Normal 74 16 2" xfId="24889" xr:uid="{00000000-0005-0000-0000-0000D75D0000}"/>
    <cellStyle name="Normal 74 17" xfId="12712" xr:uid="{00000000-0005-0000-0000-0000D85D0000}"/>
    <cellStyle name="Normal 74 17 2" xfId="24890" xr:uid="{00000000-0005-0000-0000-0000D95D0000}"/>
    <cellStyle name="Normal 74 18" xfId="12713" xr:uid="{00000000-0005-0000-0000-0000DA5D0000}"/>
    <cellStyle name="Normal 74 18 2" xfId="24891" xr:uid="{00000000-0005-0000-0000-0000DB5D0000}"/>
    <cellStyle name="Normal 74 19" xfId="12714" xr:uid="{00000000-0005-0000-0000-0000DC5D0000}"/>
    <cellStyle name="Normal 74 19 2" xfId="24892" xr:uid="{00000000-0005-0000-0000-0000DD5D0000}"/>
    <cellStyle name="Normal 74 2" xfId="764" xr:uid="{00000000-0005-0000-0000-0000DE5D0000}"/>
    <cellStyle name="Normal 74 2 2" xfId="24893" xr:uid="{00000000-0005-0000-0000-0000DF5D0000}"/>
    <cellStyle name="Normal 74 2 3" xfId="12715" xr:uid="{00000000-0005-0000-0000-0000E05D0000}"/>
    <cellStyle name="Normal 74 20" xfId="12716" xr:uid="{00000000-0005-0000-0000-0000E15D0000}"/>
    <cellStyle name="Normal 74 20 2" xfId="24894" xr:uid="{00000000-0005-0000-0000-0000E25D0000}"/>
    <cellStyle name="Normal 74 21" xfId="12717" xr:uid="{00000000-0005-0000-0000-0000E35D0000}"/>
    <cellStyle name="Normal 74 21 2" xfId="24895" xr:uid="{00000000-0005-0000-0000-0000E45D0000}"/>
    <cellStyle name="Normal 74 22" xfId="12718" xr:uid="{00000000-0005-0000-0000-0000E55D0000}"/>
    <cellStyle name="Normal 74 22 2" xfId="24896" xr:uid="{00000000-0005-0000-0000-0000E65D0000}"/>
    <cellStyle name="Normal 74 23" xfId="12719" xr:uid="{00000000-0005-0000-0000-0000E75D0000}"/>
    <cellStyle name="Normal 74 23 2" xfId="24897" xr:uid="{00000000-0005-0000-0000-0000E85D0000}"/>
    <cellStyle name="Normal 74 24" xfId="12720" xr:uid="{00000000-0005-0000-0000-0000E95D0000}"/>
    <cellStyle name="Normal 74 24 2" xfId="24898" xr:uid="{00000000-0005-0000-0000-0000EA5D0000}"/>
    <cellStyle name="Normal 74 25" xfId="12721" xr:uid="{00000000-0005-0000-0000-0000EB5D0000}"/>
    <cellStyle name="Normal 74 25 2" xfId="24899" xr:uid="{00000000-0005-0000-0000-0000EC5D0000}"/>
    <cellStyle name="Normal 74 26" xfId="12722" xr:uid="{00000000-0005-0000-0000-0000ED5D0000}"/>
    <cellStyle name="Normal 74 26 2" xfId="24900" xr:uid="{00000000-0005-0000-0000-0000EE5D0000}"/>
    <cellStyle name="Normal 74 27" xfId="12723" xr:uid="{00000000-0005-0000-0000-0000EF5D0000}"/>
    <cellStyle name="Normal 74 27 2" xfId="24901" xr:uid="{00000000-0005-0000-0000-0000F05D0000}"/>
    <cellStyle name="Normal 74 28" xfId="12724" xr:uid="{00000000-0005-0000-0000-0000F15D0000}"/>
    <cellStyle name="Normal 74 28 2" xfId="24902" xr:uid="{00000000-0005-0000-0000-0000F25D0000}"/>
    <cellStyle name="Normal 74 29" xfId="12725" xr:uid="{00000000-0005-0000-0000-0000F35D0000}"/>
    <cellStyle name="Normal 74 29 2" xfId="24903" xr:uid="{00000000-0005-0000-0000-0000F45D0000}"/>
    <cellStyle name="Normal 74 3" xfId="415" xr:uid="{00000000-0005-0000-0000-0000F55D0000}"/>
    <cellStyle name="Normal 74 3 2" xfId="24904" xr:uid="{00000000-0005-0000-0000-0000F65D0000}"/>
    <cellStyle name="Normal 74 30" xfId="12726" xr:uid="{00000000-0005-0000-0000-0000F75D0000}"/>
    <cellStyle name="Normal 74 30 2" xfId="24905" xr:uid="{00000000-0005-0000-0000-0000F85D0000}"/>
    <cellStyle name="Normal 74 31" xfId="12727" xr:uid="{00000000-0005-0000-0000-0000F95D0000}"/>
    <cellStyle name="Normal 74 31 2" xfId="24906" xr:uid="{00000000-0005-0000-0000-0000FA5D0000}"/>
    <cellStyle name="Normal 74 32" xfId="12728" xr:uid="{00000000-0005-0000-0000-0000FB5D0000}"/>
    <cellStyle name="Normal 74 32 2" xfId="24907" xr:uid="{00000000-0005-0000-0000-0000FC5D0000}"/>
    <cellStyle name="Normal 74 33" xfId="12729" xr:uid="{00000000-0005-0000-0000-0000FD5D0000}"/>
    <cellStyle name="Normal 74 33 2" xfId="24908" xr:uid="{00000000-0005-0000-0000-0000FE5D0000}"/>
    <cellStyle name="Normal 74 34" xfId="12730" xr:uid="{00000000-0005-0000-0000-0000FF5D0000}"/>
    <cellStyle name="Normal 74 34 2" xfId="24909" xr:uid="{00000000-0005-0000-0000-0000005E0000}"/>
    <cellStyle name="Normal 74 35" xfId="12731" xr:uid="{00000000-0005-0000-0000-0000015E0000}"/>
    <cellStyle name="Normal 74 35 2" xfId="24910" xr:uid="{00000000-0005-0000-0000-0000025E0000}"/>
    <cellStyle name="Normal 74 36" xfId="12732" xr:uid="{00000000-0005-0000-0000-0000035E0000}"/>
    <cellStyle name="Normal 74 36 2" xfId="24911" xr:uid="{00000000-0005-0000-0000-0000045E0000}"/>
    <cellStyle name="Normal 74 37" xfId="12733" xr:uid="{00000000-0005-0000-0000-0000055E0000}"/>
    <cellStyle name="Normal 74 37 2" xfId="24912" xr:uid="{00000000-0005-0000-0000-0000065E0000}"/>
    <cellStyle name="Normal 74 38" xfId="12734" xr:uid="{00000000-0005-0000-0000-0000075E0000}"/>
    <cellStyle name="Normal 74 38 2" xfId="24913" xr:uid="{00000000-0005-0000-0000-0000085E0000}"/>
    <cellStyle name="Normal 74 39" xfId="12735" xr:uid="{00000000-0005-0000-0000-0000095E0000}"/>
    <cellStyle name="Normal 74 39 2" xfId="24914" xr:uid="{00000000-0005-0000-0000-00000A5E0000}"/>
    <cellStyle name="Normal 74 4" xfId="12736" xr:uid="{00000000-0005-0000-0000-00000B5E0000}"/>
    <cellStyle name="Normal 74 4 2" xfId="24915" xr:uid="{00000000-0005-0000-0000-00000C5E0000}"/>
    <cellStyle name="Normal 74 40" xfId="12737" xr:uid="{00000000-0005-0000-0000-00000D5E0000}"/>
    <cellStyle name="Normal 74 40 2" xfId="24916" xr:uid="{00000000-0005-0000-0000-00000E5E0000}"/>
    <cellStyle name="Normal 74 41" xfId="12738" xr:uid="{00000000-0005-0000-0000-00000F5E0000}"/>
    <cellStyle name="Normal 74 41 2" xfId="24917" xr:uid="{00000000-0005-0000-0000-0000105E0000}"/>
    <cellStyle name="Normal 74 42" xfId="12739" xr:uid="{00000000-0005-0000-0000-0000115E0000}"/>
    <cellStyle name="Normal 74 42 2" xfId="24918" xr:uid="{00000000-0005-0000-0000-0000125E0000}"/>
    <cellStyle name="Normal 74 43" xfId="12740" xr:uid="{00000000-0005-0000-0000-0000135E0000}"/>
    <cellStyle name="Normal 74 43 2" xfId="24919" xr:uid="{00000000-0005-0000-0000-0000145E0000}"/>
    <cellStyle name="Normal 74 44" xfId="12741" xr:uid="{00000000-0005-0000-0000-0000155E0000}"/>
    <cellStyle name="Normal 74 44 2" xfId="24920" xr:uid="{00000000-0005-0000-0000-0000165E0000}"/>
    <cellStyle name="Normal 74 45" xfId="12742" xr:uid="{00000000-0005-0000-0000-0000175E0000}"/>
    <cellStyle name="Normal 74 45 2" xfId="24921" xr:uid="{00000000-0005-0000-0000-0000185E0000}"/>
    <cellStyle name="Normal 74 46" xfId="12743" xr:uid="{00000000-0005-0000-0000-0000195E0000}"/>
    <cellStyle name="Normal 74 46 2" xfId="24922" xr:uid="{00000000-0005-0000-0000-00001A5E0000}"/>
    <cellStyle name="Normal 74 47" xfId="12744" xr:uid="{00000000-0005-0000-0000-00001B5E0000}"/>
    <cellStyle name="Normal 74 47 2" xfId="24923" xr:uid="{00000000-0005-0000-0000-00001C5E0000}"/>
    <cellStyle name="Normal 74 48" xfId="12745" xr:uid="{00000000-0005-0000-0000-00001D5E0000}"/>
    <cellStyle name="Normal 74 48 2" xfId="24924" xr:uid="{00000000-0005-0000-0000-00001E5E0000}"/>
    <cellStyle name="Normal 74 49" xfId="12746" xr:uid="{00000000-0005-0000-0000-00001F5E0000}"/>
    <cellStyle name="Normal 74 49 2" xfId="24925" xr:uid="{00000000-0005-0000-0000-0000205E0000}"/>
    <cellStyle name="Normal 74 5" xfId="12747" xr:uid="{00000000-0005-0000-0000-0000215E0000}"/>
    <cellStyle name="Normal 74 5 2" xfId="24926" xr:uid="{00000000-0005-0000-0000-0000225E0000}"/>
    <cellStyle name="Normal 74 50" xfId="12748" xr:uid="{00000000-0005-0000-0000-0000235E0000}"/>
    <cellStyle name="Normal 74 50 2" xfId="24927" xr:uid="{00000000-0005-0000-0000-0000245E0000}"/>
    <cellStyle name="Normal 74 51" xfId="12749" xr:uid="{00000000-0005-0000-0000-0000255E0000}"/>
    <cellStyle name="Normal 74 51 2" xfId="24928" xr:uid="{00000000-0005-0000-0000-0000265E0000}"/>
    <cellStyle name="Normal 74 52" xfId="12750" xr:uid="{00000000-0005-0000-0000-0000275E0000}"/>
    <cellStyle name="Normal 74 52 2" xfId="24929" xr:uid="{00000000-0005-0000-0000-0000285E0000}"/>
    <cellStyle name="Normal 74 53" xfId="12751" xr:uid="{00000000-0005-0000-0000-0000295E0000}"/>
    <cellStyle name="Normal 74 53 2" xfId="24930" xr:uid="{00000000-0005-0000-0000-00002A5E0000}"/>
    <cellStyle name="Normal 74 54" xfId="12752" xr:uid="{00000000-0005-0000-0000-00002B5E0000}"/>
    <cellStyle name="Normal 74 54 2" xfId="24931" xr:uid="{00000000-0005-0000-0000-00002C5E0000}"/>
    <cellStyle name="Normal 74 55" xfId="12753" xr:uid="{00000000-0005-0000-0000-00002D5E0000}"/>
    <cellStyle name="Normal 74 55 2" xfId="24932" xr:uid="{00000000-0005-0000-0000-00002E5E0000}"/>
    <cellStyle name="Normal 74 56" xfId="12754" xr:uid="{00000000-0005-0000-0000-00002F5E0000}"/>
    <cellStyle name="Normal 74 56 2" xfId="24933" xr:uid="{00000000-0005-0000-0000-0000305E0000}"/>
    <cellStyle name="Normal 74 57" xfId="12755" xr:uid="{00000000-0005-0000-0000-0000315E0000}"/>
    <cellStyle name="Normal 74 57 2" xfId="24934" xr:uid="{00000000-0005-0000-0000-0000325E0000}"/>
    <cellStyle name="Normal 74 58" xfId="12756" xr:uid="{00000000-0005-0000-0000-0000335E0000}"/>
    <cellStyle name="Normal 74 58 2" xfId="24935" xr:uid="{00000000-0005-0000-0000-0000345E0000}"/>
    <cellStyle name="Normal 74 59" xfId="12757" xr:uid="{00000000-0005-0000-0000-0000355E0000}"/>
    <cellStyle name="Normal 74 59 2" xfId="24936" xr:uid="{00000000-0005-0000-0000-0000365E0000}"/>
    <cellStyle name="Normal 74 6" xfId="12758" xr:uid="{00000000-0005-0000-0000-0000375E0000}"/>
    <cellStyle name="Normal 74 6 2" xfId="24937" xr:uid="{00000000-0005-0000-0000-0000385E0000}"/>
    <cellStyle name="Normal 74 60" xfId="12759" xr:uid="{00000000-0005-0000-0000-0000395E0000}"/>
    <cellStyle name="Normal 74 60 2" xfId="24938" xr:uid="{00000000-0005-0000-0000-00003A5E0000}"/>
    <cellStyle name="Normal 74 61" xfId="12760" xr:uid="{00000000-0005-0000-0000-00003B5E0000}"/>
    <cellStyle name="Normal 74 61 2" xfId="24939" xr:uid="{00000000-0005-0000-0000-00003C5E0000}"/>
    <cellStyle name="Normal 74 62" xfId="12761" xr:uid="{00000000-0005-0000-0000-00003D5E0000}"/>
    <cellStyle name="Normal 74 62 2" xfId="24940" xr:uid="{00000000-0005-0000-0000-00003E5E0000}"/>
    <cellStyle name="Normal 74 63" xfId="12762" xr:uid="{00000000-0005-0000-0000-00003F5E0000}"/>
    <cellStyle name="Normal 74 63 2" xfId="24941" xr:uid="{00000000-0005-0000-0000-0000405E0000}"/>
    <cellStyle name="Normal 74 64" xfId="12763" xr:uid="{00000000-0005-0000-0000-0000415E0000}"/>
    <cellStyle name="Normal 74 64 2" xfId="24942" xr:uid="{00000000-0005-0000-0000-0000425E0000}"/>
    <cellStyle name="Normal 74 65" xfId="12764" xr:uid="{00000000-0005-0000-0000-0000435E0000}"/>
    <cellStyle name="Normal 74 65 2" xfId="24943" xr:uid="{00000000-0005-0000-0000-0000445E0000}"/>
    <cellStyle name="Normal 74 66" xfId="12765" xr:uid="{00000000-0005-0000-0000-0000455E0000}"/>
    <cellStyle name="Normal 74 66 2" xfId="24944" xr:uid="{00000000-0005-0000-0000-0000465E0000}"/>
    <cellStyle name="Normal 74 67" xfId="12766" xr:uid="{00000000-0005-0000-0000-0000475E0000}"/>
    <cellStyle name="Normal 74 67 2" xfId="24945" xr:uid="{00000000-0005-0000-0000-0000485E0000}"/>
    <cellStyle name="Normal 74 68" xfId="12767" xr:uid="{00000000-0005-0000-0000-0000495E0000}"/>
    <cellStyle name="Normal 74 68 2" xfId="24946" xr:uid="{00000000-0005-0000-0000-00004A5E0000}"/>
    <cellStyle name="Normal 74 69" xfId="12768" xr:uid="{00000000-0005-0000-0000-00004B5E0000}"/>
    <cellStyle name="Normal 74 69 2" xfId="24947" xr:uid="{00000000-0005-0000-0000-00004C5E0000}"/>
    <cellStyle name="Normal 74 7" xfId="12769" xr:uid="{00000000-0005-0000-0000-00004D5E0000}"/>
    <cellStyle name="Normal 74 7 2" xfId="24948" xr:uid="{00000000-0005-0000-0000-00004E5E0000}"/>
    <cellStyle name="Normal 74 70" xfId="12770" xr:uid="{00000000-0005-0000-0000-00004F5E0000}"/>
    <cellStyle name="Normal 74 70 2" xfId="24949" xr:uid="{00000000-0005-0000-0000-0000505E0000}"/>
    <cellStyle name="Normal 74 71" xfId="12771" xr:uid="{00000000-0005-0000-0000-0000515E0000}"/>
    <cellStyle name="Normal 74 71 2" xfId="24950" xr:uid="{00000000-0005-0000-0000-0000525E0000}"/>
    <cellStyle name="Normal 74 72" xfId="12772" xr:uid="{00000000-0005-0000-0000-0000535E0000}"/>
    <cellStyle name="Normal 74 72 2" xfId="24951" xr:uid="{00000000-0005-0000-0000-0000545E0000}"/>
    <cellStyle name="Normal 74 73" xfId="12773" xr:uid="{00000000-0005-0000-0000-0000555E0000}"/>
    <cellStyle name="Normal 74 73 2" xfId="24952" xr:uid="{00000000-0005-0000-0000-0000565E0000}"/>
    <cellStyle name="Normal 74 74" xfId="12774" xr:uid="{00000000-0005-0000-0000-0000575E0000}"/>
    <cellStyle name="Normal 74 74 2" xfId="24953" xr:uid="{00000000-0005-0000-0000-0000585E0000}"/>
    <cellStyle name="Normal 74 75" xfId="12775" xr:uid="{00000000-0005-0000-0000-0000595E0000}"/>
    <cellStyle name="Normal 74 75 2" xfId="24954" xr:uid="{00000000-0005-0000-0000-00005A5E0000}"/>
    <cellStyle name="Normal 74 76" xfId="12776" xr:uid="{00000000-0005-0000-0000-00005B5E0000}"/>
    <cellStyle name="Normal 74 76 2" xfId="24955" xr:uid="{00000000-0005-0000-0000-00005C5E0000}"/>
    <cellStyle name="Normal 74 77" xfId="12777" xr:uid="{00000000-0005-0000-0000-00005D5E0000}"/>
    <cellStyle name="Normal 74 77 2" xfId="24956" xr:uid="{00000000-0005-0000-0000-00005E5E0000}"/>
    <cellStyle name="Normal 74 78" xfId="12778" xr:uid="{00000000-0005-0000-0000-00005F5E0000}"/>
    <cellStyle name="Normal 74 78 2" xfId="24957" xr:uid="{00000000-0005-0000-0000-0000605E0000}"/>
    <cellStyle name="Normal 74 79" xfId="12779" xr:uid="{00000000-0005-0000-0000-0000615E0000}"/>
    <cellStyle name="Normal 74 79 2" xfId="24958" xr:uid="{00000000-0005-0000-0000-0000625E0000}"/>
    <cellStyle name="Normal 74 8" xfId="12780" xr:uid="{00000000-0005-0000-0000-0000635E0000}"/>
    <cellStyle name="Normal 74 8 2" xfId="24959" xr:uid="{00000000-0005-0000-0000-0000645E0000}"/>
    <cellStyle name="Normal 74 80" xfId="24882" xr:uid="{00000000-0005-0000-0000-0000655E0000}"/>
    <cellStyle name="Normal 74 9" xfId="12781" xr:uid="{00000000-0005-0000-0000-0000665E0000}"/>
    <cellStyle name="Normal 74 9 2" xfId="24960" xr:uid="{00000000-0005-0000-0000-0000675E0000}"/>
    <cellStyle name="Normal 75" xfId="201" xr:uid="{00000000-0005-0000-0000-0000685E0000}"/>
    <cellStyle name="Normal 75 10" xfId="12782" xr:uid="{00000000-0005-0000-0000-0000695E0000}"/>
    <cellStyle name="Normal 75 10 2" xfId="24962" xr:uid="{00000000-0005-0000-0000-00006A5E0000}"/>
    <cellStyle name="Normal 75 11" xfId="12783" xr:uid="{00000000-0005-0000-0000-00006B5E0000}"/>
    <cellStyle name="Normal 75 11 2" xfId="24963" xr:uid="{00000000-0005-0000-0000-00006C5E0000}"/>
    <cellStyle name="Normal 75 12" xfId="12784" xr:uid="{00000000-0005-0000-0000-00006D5E0000}"/>
    <cellStyle name="Normal 75 12 2" xfId="24964" xr:uid="{00000000-0005-0000-0000-00006E5E0000}"/>
    <cellStyle name="Normal 75 13" xfId="12785" xr:uid="{00000000-0005-0000-0000-00006F5E0000}"/>
    <cellStyle name="Normal 75 13 2" xfId="24965" xr:uid="{00000000-0005-0000-0000-0000705E0000}"/>
    <cellStyle name="Normal 75 14" xfId="12786" xr:uid="{00000000-0005-0000-0000-0000715E0000}"/>
    <cellStyle name="Normal 75 14 2" xfId="24966" xr:uid="{00000000-0005-0000-0000-0000725E0000}"/>
    <cellStyle name="Normal 75 15" xfId="12787" xr:uid="{00000000-0005-0000-0000-0000735E0000}"/>
    <cellStyle name="Normal 75 15 2" xfId="24967" xr:uid="{00000000-0005-0000-0000-0000745E0000}"/>
    <cellStyle name="Normal 75 16" xfId="12788" xr:uid="{00000000-0005-0000-0000-0000755E0000}"/>
    <cellStyle name="Normal 75 16 2" xfId="24968" xr:uid="{00000000-0005-0000-0000-0000765E0000}"/>
    <cellStyle name="Normal 75 17" xfId="12789" xr:uid="{00000000-0005-0000-0000-0000775E0000}"/>
    <cellStyle name="Normal 75 17 2" xfId="24969" xr:uid="{00000000-0005-0000-0000-0000785E0000}"/>
    <cellStyle name="Normal 75 18" xfId="12790" xr:uid="{00000000-0005-0000-0000-0000795E0000}"/>
    <cellStyle name="Normal 75 18 2" xfId="24970" xr:uid="{00000000-0005-0000-0000-00007A5E0000}"/>
    <cellStyle name="Normal 75 19" xfId="12791" xr:uid="{00000000-0005-0000-0000-00007B5E0000}"/>
    <cellStyle name="Normal 75 19 2" xfId="24971" xr:uid="{00000000-0005-0000-0000-00007C5E0000}"/>
    <cellStyle name="Normal 75 2" xfId="765" xr:uid="{00000000-0005-0000-0000-00007D5E0000}"/>
    <cellStyle name="Normal 75 2 2" xfId="24972" xr:uid="{00000000-0005-0000-0000-00007E5E0000}"/>
    <cellStyle name="Normal 75 2 3" xfId="12792" xr:uid="{00000000-0005-0000-0000-00007F5E0000}"/>
    <cellStyle name="Normal 75 20" xfId="12793" xr:uid="{00000000-0005-0000-0000-0000805E0000}"/>
    <cellStyle name="Normal 75 20 2" xfId="24973" xr:uid="{00000000-0005-0000-0000-0000815E0000}"/>
    <cellStyle name="Normal 75 21" xfId="12794" xr:uid="{00000000-0005-0000-0000-0000825E0000}"/>
    <cellStyle name="Normal 75 21 2" xfId="24974" xr:uid="{00000000-0005-0000-0000-0000835E0000}"/>
    <cellStyle name="Normal 75 22" xfId="12795" xr:uid="{00000000-0005-0000-0000-0000845E0000}"/>
    <cellStyle name="Normal 75 22 2" xfId="24975" xr:uid="{00000000-0005-0000-0000-0000855E0000}"/>
    <cellStyle name="Normal 75 23" xfId="12796" xr:uid="{00000000-0005-0000-0000-0000865E0000}"/>
    <cellStyle name="Normal 75 23 2" xfId="24976" xr:uid="{00000000-0005-0000-0000-0000875E0000}"/>
    <cellStyle name="Normal 75 24" xfId="12797" xr:uid="{00000000-0005-0000-0000-0000885E0000}"/>
    <cellStyle name="Normal 75 24 2" xfId="24977" xr:uid="{00000000-0005-0000-0000-0000895E0000}"/>
    <cellStyle name="Normal 75 25" xfId="12798" xr:uid="{00000000-0005-0000-0000-00008A5E0000}"/>
    <cellStyle name="Normal 75 25 2" xfId="24978" xr:uid="{00000000-0005-0000-0000-00008B5E0000}"/>
    <cellStyle name="Normal 75 26" xfId="12799" xr:uid="{00000000-0005-0000-0000-00008C5E0000}"/>
    <cellStyle name="Normal 75 26 2" xfId="24979" xr:uid="{00000000-0005-0000-0000-00008D5E0000}"/>
    <cellStyle name="Normal 75 27" xfId="12800" xr:uid="{00000000-0005-0000-0000-00008E5E0000}"/>
    <cellStyle name="Normal 75 27 2" xfId="24980" xr:uid="{00000000-0005-0000-0000-00008F5E0000}"/>
    <cellStyle name="Normal 75 28" xfId="12801" xr:uid="{00000000-0005-0000-0000-0000905E0000}"/>
    <cellStyle name="Normal 75 28 2" xfId="24981" xr:uid="{00000000-0005-0000-0000-0000915E0000}"/>
    <cellStyle name="Normal 75 29" xfId="12802" xr:uid="{00000000-0005-0000-0000-0000925E0000}"/>
    <cellStyle name="Normal 75 29 2" xfId="24982" xr:uid="{00000000-0005-0000-0000-0000935E0000}"/>
    <cellStyle name="Normal 75 3" xfId="416" xr:uid="{00000000-0005-0000-0000-0000945E0000}"/>
    <cellStyle name="Normal 75 3 2" xfId="24983" xr:uid="{00000000-0005-0000-0000-0000955E0000}"/>
    <cellStyle name="Normal 75 30" xfId="12803" xr:uid="{00000000-0005-0000-0000-0000965E0000}"/>
    <cellStyle name="Normal 75 30 2" xfId="24984" xr:uid="{00000000-0005-0000-0000-0000975E0000}"/>
    <cellStyle name="Normal 75 31" xfId="12804" xr:uid="{00000000-0005-0000-0000-0000985E0000}"/>
    <cellStyle name="Normal 75 31 2" xfId="24985" xr:uid="{00000000-0005-0000-0000-0000995E0000}"/>
    <cellStyle name="Normal 75 32" xfId="12805" xr:uid="{00000000-0005-0000-0000-00009A5E0000}"/>
    <cellStyle name="Normal 75 32 2" xfId="24986" xr:uid="{00000000-0005-0000-0000-00009B5E0000}"/>
    <cellStyle name="Normal 75 33" xfId="12806" xr:uid="{00000000-0005-0000-0000-00009C5E0000}"/>
    <cellStyle name="Normal 75 33 2" xfId="24987" xr:uid="{00000000-0005-0000-0000-00009D5E0000}"/>
    <cellStyle name="Normal 75 34" xfId="12807" xr:uid="{00000000-0005-0000-0000-00009E5E0000}"/>
    <cellStyle name="Normal 75 34 2" xfId="24988" xr:uid="{00000000-0005-0000-0000-00009F5E0000}"/>
    <cellStyle name="Normal 75 35" xfId="12808" xr:uid="{00000000-0005-0000-0000-0000A05E0000}"/>
    <cellStyle name="Normal 75 35 2" xfId="24989" xr:uid="{00000000-0005-0000-0000-0000A15E0000}"/>
    <cellStyle name="Normal 75 36" xfId="12809" xr:uid="{00000000-0005-0000-0000-0000A25E0000}"/>
    <cellStyle name="Normal 75 36 2" xfId="24990" xr:uid="{00000000-0005-0000-0000-0000A35E0000}"/>
    <cellStyle name="Normal 75 37" xfId="12810" xr:uid="{00000000-0005-0000-0000-0000A45E0000}"/>
    <cellStyle name="Normal 75 37 2" xfId="24991" xr:uid="{00000000-0005-0000-0000-0000A55E0000}"/>
    <cellStyle name="Normal 75 38" xfId="12811" xr:uid="{00000000-0005-0000-0000-0000A65E0000}"/>
    <cellStyle name="Normal 75 38 2" xfId="24992" xr:uid="{00000000-0005-0000-0000-0000A75E0000}"/>
    <cellStyle name="Normal 75 39" xfId="12812" xr:uid="{00000000-0005-0000-0000-0000A85E0000}"/>
    <cellStyle name="Normal 75 39 2" xfId="24993" xr:uid="{00000000-0005-0000-0000-0000A95E0000}"/>
    <cellStyle name="Normal 75 4" xfId="12813" xr:uid="{00000000-0005-0000-0000-0000AA5E0000}"/>
    <cellStyle name="Normal 75 4 2" xfId="24994" xr:uid="{00000000-0005-0000-0000-0000AB5E0000}"/>
    <cellStyle name="Normal 75 40" xfId="12814" xr:uid="{00000000-0005-0000-0000-0000AC5E0000}"/>
    <cellStyle name="Normal 75 40 2" xfId="24995" xr:uid="{00000000-0005-0000-0000-0000AD5E0000}"/>
    <cellStyle name="Normal 75 41" xfId="12815" xr:uid="{00000000-0005-0000-0000-0000AE5E0000}"/>
    <cellStyle name="Normal 75 41 2" xfId="24996" xr:uid="{00000000-0005-0000-0000-0000AF5E0000}"/>
    <cellStyle name="Normal 75 42" xfId="12816" xr:uid="{00000000-0005-0000-0000-0000B05E0000}"/>
    <cellStyle name="Normal 75 42 2" xfId="24997" xr:uid="{00000000-0005-0000-0000-0000B15E0000}"/>
    <cellStyle name="Normal 75 43" xfId="12817" xr:uid="{00000000-0005-0000-0000-0000B25E0000}"/>
    <cellStyle name="Normal 75 43 2" xfId="24998" xr:uid="{00000000-0005-0000-0000-0000B35E0000}"/>
    <cellStyle name="Normal 75 44" xfId="12818" xr:uid="{00000000-0005-0000-0000-0000B45E0000}"/>
    <cellStyle name="Normal 75 44 2" xfId="24999" xr:uid="{00000000-0005-0000-0000-0000B55E0000}"/>
    <cellStyle name="Normal 75 45" xfId="12819" xr:uid="{00000000-0005-0000-0000-0000B65E0000}"/>
    <cellStyle name="Normal 75 45 2" xfId="25000" xr:uid="{00000000-0005-0000-0000-0000B75E0000}"/>
    <cellStyle name="Normal 75 46" xfId="12820" xr:uid="{00000000-0005-0000-0000-0000B85E0000}"/>
    <cellStyle name="Normal 75 46 2" xfId="25001" xr:uid="{00000000-0005-0000-0000-0000B95E0000}"/>
    <cellStyle name="Normal 75 47" xfId="12821" xr:uid="{00000000-0005-0000-0000-0000BA5E0000}"/>
    <cellStyle name="Normal 75 47 2" xfId="25002" xr:uid="{00000000-0005-0000-0000-0000BB5E0000}"/>
    <cellStyle name="Normal 75 48" xfId="12822" xr:uid="{00000000-0005-0000-0000-0000BC5E0000}"/>
    <cellStyle name="Normal 75 48 2" xfId="25003" xr:uid="{00000000-0005-0000-0000-0000BD5E0000}"/>
    <cellStyle name="Normal 75 49" xfId="12823" xr:uid="{00000000-0005-0000-0000-0000BE5E0000}"/>
    <cellStyle name="Normal 75 49 2" xfId="25004" xr:uid="{00000000-0005-0000-0000-0000BF5E0000}"/>
    <cellStyle name="Normal 75 5" xfId="12824" xr:uid="{00000000-0005-0000-0000-0000C05E0000}"/>
    <cellStyle name="Normal 75 5 2" xfId="25005" xr:uid="{00000000-0005-0000-0000-0000C15E0000}"/>
    <cellStyle name="Normal 75 50" xfId="12825" xr:uid="{00000000-0005-0000-0000-0000C25E0000}"/>
    <cellStyle name="Normal 75 50 2" xfId="25006" xr:uid="{00000000-0005-0000-0000-0000C35E0000}"/>
    <cellStyle name="Normal 75 51" xfId="12826" xr:uid="{00000000-0005-0000-0000-0000C45E0000}"/>
    <cellStyle name="Normal 75 51 2" xfId="25007" xr:uid="{00000000-0005-0000-0000-0000C55E0000}"/>
    <cellStyle name="Normal 75 52" xfId="12827" xr:uid="{00000000-0005-0000-0000-0000C65E0000}"/>
    <cellStyle name="Normal 75 52 2" xfId="25008" xr:uid="{00000000-0005-0000-0000-0000C75E0000}"/>
    <cellStyle name="Normal 75 53" xfId="12828" xr:uid="{00000000-0005-0000-0000-0000C85E0000}"/>
    <cellStyle name="Normal 75 53 2" xfId="25009" xr:uid="{00000000-0005-0000-0000-0000C95E0000}"/>
    <cellStyle name="Normal 75 54" xfId="12829" xr:uid="{00000000-0005-0000-0000-0000CA5E0000}"/>
    <cellStyle name="Normal 75 54 2" xfId="25010" xr:uid="{00000000-0005-0000-0000-0000CB5E0000}"/>
    <cellStyle name="Normal 75 55" xfId="12830" xr:uid="{00000000-0005-0000-0000-0000CC5E0000}"/>
    <cellStyle name="Normal 75 55 2" xfId="25011" xr:uid="{00000000-0005-0000-0000-0000CD5E0000}"/>
    <cellStyle name="Normal 75 56" xfId="12831" xr:uid="{00000000-0005-0000-0000-0000CE5E0000}"/>
    <cellStyle name="Normal 75 56 2" xfId="25012" xr:uid="{00000000-0005-0000-0000-0000CF5E0000}"/>
    <cellStyle name="Normal 75 57" xfId="12832" xr:uid="{00000000-0005-0000-0000-0000D05E0000}"/>
    <cellStyle name="Normal 75 57 2" xfId="25013" xr:uid="{00000000-0005-0000-0000-0000D15E0000}"/>
    <cellStyle name="Normal 75 58" xfId="12833" xr:uid="{00000000-0005-0000-0000-0000D25E0000}"/>
    <cellStyle name="Normal 75 58 2" xfId="25014" xr:uid="{00000000-0005-0000-0000-0000D35E0000}"/>
    <cellStyle name="Normal 75 59" xfId="12834" xr:uid="{00000000-0005-0000-0000-0000D45E0000}"/>
    <cellStyle name="Normal 75 59 2" xfId="25015" xr:uid="{00000000-0005-0000-0000-0000D55E0000}"/>
    <cellStyle name="Normal 75 6" xfId="12835" xr:uid="{00000000-0005-0000-0000-0000D65E0000}"/>
    <cellStyle name="Normal 75 6 2" xfId="25016" xr:uid="{00000000-0005-0000-0000-0000D75E0000}"/>
    <cellStyle name="Normal 75 60" xfId="12836" xr:uid="{00000000-0005-0000-0000-0000D85E0000}"/>
    <cellStyle name="Normal 75 60 2" xfId="25017" xr:uid="{00000000-0005-0000-0000-0000D95E0000}"/>
    <cellStyle name="Normal 75 61" xfId="12837" xr:uid="{00000000-0005-0000-0000-0000DA5E0000}"/>
    <cellStyle name="Normal 75 61 2" xfId="25018" xr:uid="{00000000-0005-0000-0000-0000DB5E0000}"/>
    <cellStyle name="Normal 75 62" xfId="12838" xr:uid="{00000000-0005-0000-0000-0000DC5E0000}"/>
    <cellStyle name="Normal 75 62 2" xfId="25019" xr:uid="{00000000-0005-0000-0000-0000DD5E0000}"/>
    <cellStyle name="Normal 75 63" xfId="12839" xr:uid="{00000000-0005-0000-0000-0000DE5E0000}"/>
    <cellStyle name="Normal 75 63 2" xfId="25020" xr:uid="{00000000-0005-0000-0000-0000DF5E0000}"/>
    <cellStyle name="Normal 75 64" xfId="12840" xr:uid="{00000000-0005-0000-0000-0000E05E0000}"/>
    <cellStyle name="Normal 75 64 2" xfId="25021" xr:uid="{00000000-0005-0000-0000-0000E15E0000}"/>
    <cellStyle name="Normal 75 65" xfId="12841" xr:uid="{00000000-0005-0000-0000-0000E25E0000}"/>
    <cellStyle name="Normal 75 65 2" xfId="25022" xr:uid="{00000000-0005-0000-0000-0000E35E0000}"/>
    <cellStyle name="Normal 75 66" xfId="12842" xr:uid="{00000000-0005-0000-0000-0000E45E0000}"/>
    <cellStyle name="Normal 75 66 2" xfId="25023" xr:uid="{00000000-0005-0000-0000-0000E55E0000}"/>
    <cellStyle name="Normal 75 67" xfId="12843" xr:uid="{00000000-0005-0000-0000-0000E65E0000}"/>
    <cellStyle name="Normal 75 67 2" xfId="25024" xr:uid="{00000000-0005-0000-0000-0000E75E0000}"/>
    <cellStyle name="Normal 75 68" xfId="12844" xr:uid="{00000000-0005-0000-0000-0000E85E0000}"/>
    <cellStyle name="Normal 75 68 2" xfId="25025" xr:uid="{00000000-0005-0000-0000-0000E95E0000}"/>
    <cellStyle name="Normal 75 69" xfId="12845" xr:uid="{00000000-0005-0000-0000-0000EA5E0000}"/>
    <cellStyle name="Normal 75 69 2" xfId="25026" xr:uid="{00000000-0005-0000-0000-0000EB5E0000}"/>
    <cellStyle name="Normal 75 7" xfId="12846" xr:uid="{00000000-0005-0000-0000-0000EC5E0000}"/>
    <cellStyle name="Normal 75 7 2" xfId="25027" xr:uid="{00000000-0005-0000-0000-0000ED5E0000}"/>
    <cellStyle name="Normal 75 70" xfId="12847" xr:uid="{00000000-0005-0000-0000-0000EE5E0000}"/>
    <cellStyle name="Normal 75 70 2" xfId="25028" xr:uid="{00000000-0005-0000-0000-0000EF5E0000}"/>
    <cellStyle name="Normal 75 71" xfId="12848" xr:uid="{00000000-0005-0000-0000-0000F05E0000}"/>
    <cellStyle name="Normal 75 71 2" xfId="25029" xr:uid="{00000000-0005-0000-0000-0000F15E0000}"/>
    <cellStyle name="Normal 75 72" xfId="12849" xr:uid="{00000000-0005-0000-0000-0000F25E0000}"/>
    <cellStyle name="Normal 75 72 2" xfId="25030" xr:uid="{00000000-0005-0000-0000-0000F35E0000}"/>
    <cellStyle name="Normal 75 73" xfId="12850" xr:uid="{00000000-0005-0000-0000-0000F45E0000}"/>
    <cellStyle name="Normal 75 73 2" xfId="25031" xr:uid="{00000000-0005-0000-0000-0000F55E0000}"/>
    <cellStyle name="Normal 75 74" xfId="12851" xr:uid="{00000000-0005-0000-0000-0000F65E0000}"/>
    <cellStyle name="Normal 75 74 2" xfId="25032" xr:uid="{00000000-0005-0000-0000-0000F75E0000}"/>
    <cellStyle name="Normal 75 75" xfId="12852" xr:uid="{00000000-0005-0000-0000-0000F85E0000}"/>
    <cellStyle name="Normal 75 75 2" xfId="25033" xr:uid="{00000000-0005-0000-0000-0000F95E0000}"/>
    <cellStyle name="Normal 75 76" xfId="12853" xr:uid="{00000000-0005-0000-0000-0000FA5E0000}"/>
    <cellStyle name="Normal 75 76 2" xfId="25034" xr:uid="{00000000-0005-0000-0000-0000FB5E0000}"/>
    <cellStyle name="Normal 75 77" xfId="12854" xr:uid="{00000000-0005-0000-0000-0000FC5E0000}"/>
    <cellStyle name="Normal 75 77 2" xfId="25035" xr:uid="{00000000-0005-0000-0000-0000FD5E0000}"/>
    <cellStyle name="Normal 75 78" xfId="12855" xr:uid="{00000000-0005-0000-0000-0000FE5E0000}"/>
    <cellStyle name="Normal 75 78 2" xfId="25036" xr:uid="{00000000-0005-0000-0000-0000FF5E0000}"/>
    <cellStyle name="Normal 75 79" xfId="12856" xr:uid="{00000000-0005-0000-0000-0000005F0000}"/>
    <cellStyle name="Normal 75 79 2" xfId="25037" xr:uid="{00000000-0005-0000-0000-0000015F0000}"/>
    <cellStyle name="Normal 75 8" xfId="12857" xr:uid="{00000000-0005-0000-0000-0000025F0000}"/>
    <cellStyle name="Normal 75 8 2" xfId="25038" xr:uid="{00000000-0005-0000-0000-0000035F0000}"/>
    <cellStyle name="Normal 75 80" xfId="24961" xr:uid="{00000000-0005-0000-0000-0000045F0000}"/>
    <cellStyle name="Normal 75 9" xfId="12858" xr:uid="{00000000-0005-0000-0000-0000055F0000}"/>
    <cellStyle name="Normal 75 9 2" xfId="25039" xr:uid="{00000000-0005-0000-0000-0000065F0000}"/>
    <cellStyle name="Normal 76" xfId="202" xr:uid="{00000000-0005-0000-0000-0000075F0000}"/>
    <cellStyle name="Normal 76 10" xfId="12859" xr:uid="{00000000-0005-0000-0000-0000085F0000}"/>
    <cellStyle name="Normal 76 10 2" xfId="25041" xr:uid="{00000000-0005-0000-0000-0000095F0000}"/>
    <cellStyle name="Normal 76 11" xfId="12860" xr:uid="{00000000-0005-0000-0000-00000A5F0000}"/>
    <cellStyle name="Normal 76 11 2" xfId="25042" xr:uid="{00000000-0005-0000-0000-00000B5F0000}"/>
    <cellStyle name="Normal 76 12" xfId="12861" xr:uid="{00000000-0005-0000-0000-00000C5F0000}"/>
    <cellStyle name="Normal 76 12 2" xfId="25043" xr:uid="{00000000-0005-0000-0000-00000D5F0000}"/>
    <cellStyle name="Normal 76 13" xfId="12862" xr:uid="{00000000-0005-0000-0000-00000E5F0000}"/>
    <cellStyle name="Normal 76 13 2" xfId="25044" xr:uid="{00000000-0005-0000-0000-00000F5F0000}"/>
    <cellStyle name="Normal 76 14" xfId="12863" xr:uid="{00000000-0005-0000-0000-0000105F0000}"/>
    <cellStyle name="Normal 76 14 2" xfId="25045" xr:uid="{00000000-0005-0000-0000-0000115F0000}"/>
    <cellStyle name="Normal 76 15" xfId="12864" xr:uid="{00000000-0005-0000-0000-0000125F0000}"/>
    <cellStyle name="Normal 76 15 2" xfId="25046" xr:uid="{00000000-0005-0000-0000-0000135F0000}"/>
    <cellStyle name="Normal 76 16" xfId="12865" xr:uid="{00000000-0005-0000-0000-0000145F0000}"/>
    <cellStyle name="Normal 76 16 2" xfId="25047" xr:uid="{00000000-0005-0000-0000-0000155F0000}"/>
    <cellStyle name="Normal 76 17" xfId="12866" xr:uid="{00000000-0005-0000-0000-0000165F0000}"/>
    <cellStyle name="Normal 76 17 2" xfId="25048" xr:uid="{00000000-0005-0000-0000-0000175F0000}"/>
    <cellStyle name="Normal 76 18" xfId="12867" xr:uid="{00000000-0005-0000-0000-0000185F0000}"/>
    <cellStyle name="Normal 76 18 2" xfId="25049" xr:uid="{00000000-0005-0000-0000-0000195F0000}"/>
    <cellStyle name="Normal 76 19" xfId="12868" xr:uid="{00000000-0005-0000-0000-00001A5F0000}"/>
    <cellStyle name="Normal 76 19 2" xfId="25050" xr:uid="{00000000-0005-0000-0000-00001B5F0000}"/>
    <cellStyle name="Normal 76 2" xfId="766" xr:uid="{00000000-0005-0000-0000-00001C5F0000}"/>
    <cellStyle name="Normal 76 2 2" xfId="25051" xr:uid="{00000000-0005-0000-0000-00001D5F0000}"/>
    <cellStyle name="Normal 76 2 3" xfId="12869" xr:uid="{00000000-0005-0000-0000-00001E5F0000}"/>
    <cellStyle name="Normal 76 20" xfId="12870" xr:uid="{00000000-0005-0000-0000-00001F5F0000}"/>
    <cellStyle name="Normal 76 20 2" xfId="25052" xr:uid="{00000000-0005-0000-0000-0000205F0000}"/>
    <cellStyle name="Normal 76 21" xfId="12871" xr:uid="{00000000-0005-0000-0000-0000215F0000}"/>
    <cellStyle name="Normal 76 21 2" xfId="25053" xr:uid="{00000000-0005-0000-0000-0000225F0000}"/>
    <cellStyle name="Normal 76 22" xfId="12872" xr:uid="{00000000-0005-0000-0000-0000235F0000}"/>
    <cellStyle name="Normal 76 22 2" xfId="25054" xr:uid="{00000000-0005-0000-0000-0000245F0000}"/>
    <cellStyle name="Normal 76 23" xfId="12873" xr:uid="{00000000-0005-0000-0000-0000255F0000}"/>
    <cellStyle name="Normal 76 23 2" xfId="25055" xr:uid="{00000000-0005-0000-0000-0000265F0000}"/>
    <cellStyle name="Normal 76 24" xfId="12874" xr:uid="{00000000-0005-0000-0000-0000275F0000}"/>
    <cellStyle name="Normal 76 24 2" xfId="25056" xr:uid="{00000000-0005-0000-0000-0000285F0000}"/>
    <cellStyle name="Normal 76 25" xfId="12875" xr:uid="{00000000-0005-0000-0000-0000295F0000}"/>
    <cellStyle name="Normal 76 25 2" xfId="25057" xr:uid="{00000000-0005-0000-0000-00002A5F0000}"/>
    <cellStyle name="Normal 76 26" xfId="12876" xr:uid="{00000000-0005-0000-0000-00002B5F0000}"/>
    <cellStyle name="Normal 76 26 2" xfId="25058" xr:uid="{00000000-0005-0000-0000-00002C5F0000}"/>
    <cellStyle name="Normal 76 27" xfId="12877" xr:uid="{00000000-0005-0000-0000-00002D5F0000}"/>
    <cellStyle name="Normal 76 27 2" xfId="25059" xr:uid="{00000000-0005-0000-0000-00002E5F0000}"/>
    <cellStyle name="Normal 76 28" xfId="12878" xr:uid="{00000000-0005-0000-0000-00002F5F0000}"/>
    <cellStyle name="Normal 76 28 2" xfId="25060" xr:uid="{00000000-0005-0000-0000-0000305F0000}"/>
    <cellStyle name="Normal 76 29" xfId="12879" xr:uid="{00000000-0005-0000-0000-0000315F0000}"/>
    <cellStyle name="Normal 76 29 2" xfId="25061" xr:uid="{00000000-0005-0000-0000-0000325F0000}"/>
    <cellStyle name="Normal 76 3" xfId="417" xr:uid="{00000000-0005-0000-0000-0000335F0000}"/>
    <cellStyle name="Normal 76 3 2" xfId="25062" xr:uid="{00000000-0005-0000-0000-0000345F0000}"/>
    <cellStyle name="Normal 76 30" xfId="12880" xr:uid="{00000000-0005-0000-0000-0000355F0000}"/>
    <cellStyle name="Normal 76 30 2" xfId="25063" xr:uid="{00000000-0005-0000-0000-0000365F0000}"/>
    <cellStyle name="Normal 76 31" xfId="12881" xr:uid="{00000000-0005-0000-0000-0000375F0000}"/>
    <cellStyle name="Normal 76 31 2" xfId="25064" xr:uid="{00000000-0005-0000-0000-0000385F0000}"/>
    <cellStyle name="Normal 76 32" xfId="12882" xr:uid="{00000000-0005-0000-0000-0000395F0000}"/>
    <cellStyle name="Normal 76 32 2" xfId="25065" xr:uid="{00000000-0005-0000-0000-00003A5F0000}"/>
    <cellStyle name="Normal 76 33" xfId="12883" xr:uid="{00000000-0005-0000-0000-00003B5F0000}"/>
    <cellStyle name="Normal 76 33 2" xfId="25066" xr:uid="{00000000-0005-0000-0000-00003C5F0000}"/>
    <cellStyle name="Normal 76 34" xfId="12884" xr:uid="{00000000-0005-0000-0000-00003D5F0000}"/>
    <cellStyle name="Normal 76 34 2" xfId="25067" xr:uid="{00000000-0005-0000-0000-00003E5F0000}"/>
    <cellStyle name="Normal 76 35" xfId="12885" xr:uid="{00000000-0005-0000-0000-00003F5F0000}"/>
    <cellStyle name="Normal 76 35 2" xfId="25068" xr:uid="{00000000-0005-0000-0000-0000405F0000}"/>
    <cellStyle name="Normal 76 36" xfId="12886" xr:uid="{00000000-0005-0000-0000-0000415F0000}"/>
    <cellStyle name="Normal 76 36 2" xfId="25069" xr:uid="{00000000-0005-0000-0000-0000425F0000}"/>
    <cellStyle name="Normal 76 37" xfId="12887" xr:uid="{00000000-0005-0000-0000-0000435F0000}"/>
    <cellStyle name="Normal 76 37 2" xfId="25070" xr:uid="{00000000-0005-0000-0000-0000445F0000}"/>
    <cellStyle name="Normal 76 38" xfId="12888" xr:uid="{00000000-0005-0000-0000-0000455F0000}"/>
    <cellStyle name="Normal 76 38 2" xfId="25071" xr:uid="{00000000-0005-0000-0000-0000465F0000}"/>
    <cellStyle name="Normal 76 39" xfId="12889" xr:uid="{00000000-0005-0000-0000-0000475F0000}"/>
    <cellStyle name="Normal 76 39 2" xfId="25072" xr:uid="{00000000-0005-0000-0000-0000485F0000}"/>
    <cellStyle name="Normal 76 4" xfId="12890" xr:uid="{00000000-0005-0000-0000-0000495F0000}"/>
    <cellStyle name="Normal 76 4 2" xfId="25073" xr:uid="{00000000-0005-0000-0000-00004A5F0000}"/>
    <cellStyle name="Normal 76 40" xfId="12891" xr:uid="{00000000-0005-0000-0000-00004B5F0000}"/>
    <cellStyle name="Normal 76 40 2" xfId="25074" xr:uid="{00000000-0005-0000-0000-00004C5F0000}"/>
    <cellStyle name="Normal 76 41" xfId="12892" xr:uid="{00000000-0005-0000-0000-00004D5F0000}"/>
    <cellStyle name="Normal 76 41 2" xfId="25075" xr:uid="{00000000-0005-0000-0000-00004E5F0000}"/>
    <cellStyle name="Normal 76 42" xfId="12893" xr:uid="{00000000-0005-0000-0000-00004F5F0000}"/>
    <cellStyle name="Normal 76 42 2" xfId="25076" xr:uid="{00000000-0005-0000-0000-0000505F0000}"/>
    <cellStyle name="Normal 76 43" xfId="12894" xr:uid="{00000000-0005-0000-0000-0000515F0000}"/>
    <cellStyle name="Normal 76 43 2" xfId="25077" xr:uid="{00000000-0005-0000-0000-0000525F0000}"/>
    <cellStyle name="Normal 76 44" xfId="12895" xr:uid="{00000000-0005-0000-0000-0000535F0000}"/>
    <cellStyle name="Normal 76 44 2" xfId="25078" xr:uid="{00000000-0005-0000-0000-0000545F0000}"/>
    <cellStyle name="Normal 76 45" xfId="12896" xr:uid="{00000000-0005-0000-0000-0000555F0000}"/>
    <cellStyle name="Normal 76 45 2" xfId="25079" xr:uid="{00000000-0005-0000-0000-0000565F0000}"/>
    <cellStyle name="Normal 76 46" xfId="12897" xr:uid="{00000000-0005-0000-0000-0000575F0000}"/>
    <cellStyle name="Normal 76 46 2" xfId="25080" xr:uid="{00000000-0005-0000-0000-0000585F0000}"/>
    <cellStyle name="Normal 76 47" xfId="12898" xr:uid="{00000000-0005-0000-0000-0000595F0000}"/>
    <cellStyle name="Normal 76 47 2" xfId="25081" xr:uid="{00000000-0005-0000-0000-00005A5F0000}"/>
    <cellStyle name="Normal 76 48" xfId="12899" xr:uid="{00000000-0005-0000-0000-00005B5F0000}"/>
    <cellStyle name="Normal 76 48 2" xfId="25082" xr:uid="{00000000-0005-0000-0000-00005C5F0000}"/>
    <cellStyle name="Normal 76 49" xfId="12900" xr:uid="{00000000-0005-0000-0000-00005D5F0000}"/>
    <cellStyle name="Normal 76 49 2" xfId="25083" xr:uid="{00000000-0005-0000-0000-00005E5F0000}"/>
    <cellStyle name="Normal 76 5" xfId="12901" xr:uid="{00000000-0005-0000-0000-00005F5F0000}"/>
    <cellStyle name="Normal 76 5 2" xfId="25084" xr:uid="{00000000-0005-0000-0000-0000605F0000}"/>
    <cellStyle name="Normal 76 50" xfId="12902" xr:uid="{00000000-0005-0000-0000-0000615F0000}"/>
    <cellStyle name="Normal 76 50 2" xfId="25085" xr:uid="{00000000-0005-0000-0000-0000625F0000}"/>
    <cellStyle name="Normal 76 51" xfId="12903" xr:uid="{00000000-0005-0000-0000-0000635F0000}"/>
    <cellStyle name="Normal 76 51 2" xfId="25086" xr:uid="{00000000-0005-0000-0000-0000645F0000}"/>
    <cellStyle name="Normal 76 52" xfId="12904" xr:uid="{00000000-0005-0000-0000-0000655F0000}"/>
    <cellStyle name="Normal 76 52 2" xfId="25087" xr:uid="{00000000-0005-0000-0000-0000665F0000}"/>
    <cellStyle name="Normal 76 53" xfId="12905" xr:uid="{00000000-0005-0000-0000-0000675F0000}"/>
    <cellStyle name="Normal 76 53 2" xfId="25088" xr:uid="{00000000-0005-0000-0000-0000685F0000}"/>
    <cellStyle name="Normal 76 54" xfId="12906" xr:uid="{00000000-0005-0000-0000-0000695F0000}"/>
    <cellStyle name="Normal 76 54 2" xfId="25089" xr:uid="{00000000-0005-0000-0000-00006A5F0000}"/>
    <cellStyle name="Normal 76 55" xfId="12907" xr:uid="{00000000-0005-0000-0000-00006B5F0000}"/>
    <cellStyle name="Normal 76 55 2" xfId="25090" xr:uid="{00000000-0005-0000-0000-00006C5F0000}"/>
    <cellStyle name="Normal 76 56" xfId="12908" xr:uid="{00000000-0005-0000-0000-00006D5F0000}"/>
    <cellStyle name="Normal 76 56 2" xfId="25091" xr:uid="{00000000-0005-0000-0000-00006E5F0000}"/>
    <cellStyle name="Normal 76 57" xfId="12909" xr:uid="{00000000-0005-0000-0000-00006F5F0000}"/>
    <cellStyle name="Normal 76 57 2" xfId="25092" xr:uid="{00000000-0005-0000-0000-0000705F0000}"/>
    <cellStyle name="Normal 76 58" xfId="12910" xr:uid="{00000000-0005-0000-0000-0000715F0000}"/>
    <cellStyle name="Normal 76 58 2" xfId="25093" xr:uid="{00000000-0005-0000-0000-0000725F0000}"/>
    <cellStyle name="Normal 76 59" xfId="12911" xr:uid="{00000000-0005-0000-0000-0000735F0000}"/>
    <cellStyle name="Normal 76 59 2" xfId="25094" xr:uid="{00000000-0005-0000-0000-0000745F0000}"/>
    <cellStyle name="Normal 76 6" xfId="12912" xr:uid="{00000000-0005-0000-0000-0000755F0000}"/>
    <cellStyle name="Normal 76 6 2" xfId="25095" xr:uid="{00000000-0005-0000-0000-0000765F0000}"/>
    <cellStyle name="Normal 76 60" xfId="12913" xr:uid="{00000000-0005-0000-0000-0000775F0000}"/>
    <cellStyle name="Normal 76 60 2" xfId="25096" xr:uid="{00000000-0005-0000-0000-0000785F0000}"/>
    <cellStyle name="Normal 76 61" xfId="12914" xr:uid="{00000000-0005-0000-0000-0000795F0000}"/>
    <cellStyle name="Normal 76 61 2" xfId="25097" xr:uid="{00000000-0005-0000-0000-00007A5F0000}"/>
    <cellStyle name="Normal 76 62" xfId="12915" xr:uid="{00000000-0005-0000-0000-00007B5F0000}"/>
    <cellStyle name="Normal 76 62 2" xfId="25098" xr:uid="{00000000-0005-0000-0000-00007C5F0000}"/>
    <cellStyle name="Normal 76 63" xfId="12916" xr:uid="{00000000-0005-0000-0000-00007D5F0000}"/>
    <cellStyle name="Normal 76 63 2" xfId="25099" xr:uid="{00000000-0005-0000-0000-00007E5F0000}"/>
    <cellStyle name="Normal 76 64" xfId="12917" xr:uid="{00000000-0005-0000-0000-00007F5F0000}"/>
    <cellStyle name="Normal 76 64 2" xfId="25100" xr:uid="{00000000-0005-0000-0000-0000805F0000}"/>
    <cellStyle name="Normal 76 65" xfId="12918" xr:uid="{00000000-0005-0000-0000-0000815F0000}"/>
    <cellStyle name="Normal 76 65 2" xfId="25101" xr:uid="{00000000-0005-0000-0000-0000825F0000}"/>
    <cellStyle name="Normal 76 66" xfId="12919" xr:uid="{00000000-0005-0000-0000-0000835F0000}"/>
    <cellStyle name="Normal 76 66 2" xfId="25102" xr:uid="{00000000-0005-0000-0000-0000845F0000}"/>
    <cellStyle name="Normal 76 67" xfId="12920" xr:uid="{00000000-0005-0000-0000-0000855F0000}"/>
    <cellStyle name="Normal 76 67 2" xfId="25103" xr:uid="{00000000-0005-0000-0000-0000865F0000}"/>
    <cellStyle name="Normal 76 68" xfId="12921" xr:uid="{00000000-0005-0000-0000-0000875F0000}"/>
    <cellStyle name="Normal 76 68 2" xfId="25104" xr:uid="{00000000-0005-0000-0000-0000885F0000}"/>
    <cellStyle name="Normal 76 69" xfId="12922" xr:uid="{00000000-0005-0000-0000-0000895F0000}"/>
    <cellStyle name="Normal 76 69 2" xfId="25105" xr:uid="{00000000-0005-0000-0000-00008A5F0000}"/>
    <cellStyle name="Normal 76 7" xfId="12923" xr:uid="{00000000-0005-0000-0000-00008B5F0000}"/>
    <cellStyle name="Normal 76 7 2" xfId="25106" xr:uid="{00000000-0005-0000-0000-00008C5F0000}"/>
    <cellStyle name="Normal 76 70" xfId="12924" xr:uid="{00000000-0005-0000-0000-00008D5F0000}"/>
    <cellStyle name="Normal 76 70 2" xfId="25107" xr:uid="{00000000-0005-0000-0000-00008E5F0000}"/>
    <cellStyle name="Normal 76 71" xfId="12925" xr:uid="{00000000-0005-0000-0000-00008F5F0000}"/>
    <cellStyle name="Normal 76 71 2" xfId="25108" xr:uid="{00000000-0005-0000-0000-0000905F0000}"/>
    <cellStyle name="Normal 76 72" xfId="12926" xr:uid="{00000000-0005-0000-0000-0000915F0000}"/>
    <cellStyle name="Normal 76 72 2" xfId="25109" xr:uid="{00000000-0005-0000-0000-0000925F0000}"/>
    <cellStyle name="Normal 76 73" xfId="12927" xr:uid="{00000000-0005-0000-0000-0000935F0000}"/>
    <cellStyle name="Normal 76 73 2" xfId="25110" xr:uid="{00000000-0005-0000-0000-0000945F0000}"/>
    <cellStyle name="Normal 76 74" xfId="12928" xr:uid="{00000000-0005-0000-0000-0000955F0000}"/>
    <cellStyle name="Normal 76 74 2" xfId="25111" xr:uid="{00000000-0005-0000-0000-0000965F0000}"/>
    <cellStyle name="Normal 76 75" xfId="12929" xr:uid="{00000000-0005-0000-0000-0000975F0000}"/>
    <cellStyle name="Normal 76 75 2" xfId="25112" xr:uid="{00000000-0005-0000-0000-0000985F0000}"/>
    <cellStyle name="Normal 76 76" xfId="12930" xr:uid="{00000000-0005-0000-0000-0000995F0000}"/>
    <cellStyle name="Normal 76 76 2" xfId="25113" xr:uid="{00000000-0005-0000-0000-00009A5F0000}"/>
    <cellStyle name="Normal 76 77" xfId="12931" xr:uid="{00000000-0005-0000-0000-00009B5F0000}"/>
    <cellStyle name="Normal 76 77 2" xfId="25114" xr:uid="{00000000-0005-0000-0000-00009C5F0000}"/>
    <cellStyle name="Normal 76 78" xfId="12932" xr:uid="{00000000-0005-0000-0000-00009D5F0000}"/>
    <cellStyle name="Normal 76 78 2" xfId="25115" xr:uid="{00000000-0005-0000-0000-00009E5F0000}"/>
    <cellStyle name="Normal 76 79" xfId="12933" xr:uid="{00000000-0005-0000-0000-00009F5F0000}"/>
    <cellStyle name="Normal 76 79 2" xfId="25116" xr:uid="{00000000-0005-0000-0000-0000A05F0000}"/>
    <cellStyle name="Normal 76 8" xfId="12934" xr:uid="{00000000-0005-0000-0000-0000A15F0000}"/>
    <cellStyle name="Normal 76 8 2" xfId="25117" xr:uid="{00000000-0005-0000-0000-0000A25F0000}"/>
    <cellStyle name="Normal 76 80" xfId="25040" xr:uid="{00000000-0005-0000-0000-0000A35F0000}"/>
    <cellStyle name="Normal 76 9" xfId="12935" xr:uid="{00000000-0005-0000-0000-0000A45F0000}"/>
    <cellStyle name="Normal 76 9 2" xfId="25118" xr:uid="{00000000-0005-0000-0000-0000A55F0000}"/>
    <cellStyle name="Normal 77" xfId="203" xr:uid="{00000000-0005-0000-0000-0000A65F0000}"/>
    <cellStyle name="Normal 77 10" xfId="12936" xr:uid="{00000000-0005-0000-0000-0000A75F0000}"/>
    <cellStyle name="Normal 77 10 2" xfId="25120" xr:uid="{00000000-0005-0000-0000-0000A85F0000}"/>
    <cellStyle name="Normal 77 11" xfId="12937" xr:uid="{00000000-0005-0000-0000-0000A95F0000}"/>
    <cellStyle name="Normal 77 11 2" xfId="25121" xr:uid="{00000000-0005-0000-0000-0000AA5F0000}"/>
    <cellStyle name="Normal 77 12" xfId="12938" xr:uid="{00000000-0005-0000-0000-0000AB5F0000}"/>
    <cellStyle name="Normal 77 12 2" xfId="25122" xr:uid="{00000000-0005-0000-0000-0000AC5F0000}"/>
    <cellStyle name="Normal 77 13" xfId="12939" xr:uid="{00000000-0005-0000-0000-0000AD5F0000}"/>
    <cellStyle name="Normal 77 13 2" xfId="25123" xr:uid="{00000000-0005-0000-0000-0000AE5F0000}"/>
    <cellStyle name="Normal 77 14" xfId="12940" xr:uid="{00000000-0005-0000-0000-0000AF5F0000}"/>
    <cellStyle name="Normal 77 14 2" xfId="25124" xr:uid="{00000000-0005-0000-0000-0000B05F0000}"/>
    <cellStyle name="Normal 77 15" xfId="12941" xr:uid="{00000000-0005-0000-0000-0000B15F0000}"/>
    <cellStyle name="Normal 77 15 2" xfId="25125" xr:uid="{00000000-0005-0000-0000-0000B25F0000}"/>
    <cellStyle name="Normal 77 16" xfId="12942" xr:uid="{00000000-0005-0000-0000-0000B35F0000}"/>
    <cellStyle name="Normal 77 16 2" xfId="25126" xr:uid="{00000000-0005-0000-0000-0000B45F0000}"/>
    <cellStyle name="Normal 77 17" xfId="12943" xr:uid="{00000000-0005-0000-0000-0000B55F0000}"/>
    <cellStyle name="Normal 77 17 2" xfId="25127" xr:uid="{00000000-0005-0000-0000-0000B65F0000}"/>
    <cellStyle name="Normal 77 18" xfId="12944" xr:uid="{00000000-0005-0000-0000-0000B75F0000}"/>
    <cellStyle name="Normal 77 18 2" xfId="25128" xr:uid="{00000000-0005-0000-0000-0000B85F0000}"/>
    <cellStyle name="Normal 77 19" xfId="12945" xr:uid="{00000000-0005-0000-0000-0000B95F0000}"/>
    <cellStyle name="Normal 77 19 2" xfId="25129" xr:uid="{00000000-0005-0000-0000-0000BA5F0000}"/>
    <cellStyle name="Normal 77 2" xfId="767" xr:uid="{00000000-0005-0000-0000-0000BB5F0000}"/>
    <cellStyle name="Normal 77 2 2" xfId="25130" xr:uid="{00000000-0005-0000-0000-0000BC5F0000}"/>
    <cellStyle name="Normal 77 2 3" xfId="12946" xr:uid="{00000000-0005-0000-0000-0000BD5F0000}"/>
    <cellStyle name="Normal 77 20" xfId="12947" xr:uid="{00000000-0005-0000-0000-0000BE5F0000}"/>
    <cellStyle name="Normal 77 20 2" xfId="25131" xr:uid="{00000000-0005-0000-0000-0000BF5F0000}"/>
    <cellStyle name="Normal 77 21" xfId="12948" xr:uid="{00000000-0005-0000-0000-0000C05F0000}"/>
    <cellStyle name="Normal 77 21 2" xfId="25132" xr:uid="{00000000-0005-0000-0000-0000C15F0000}"/>
    <cellStyle name="Normal 77 22" xfId="12949" xr:uid="{00000000-0005-0000-0000-0000C25F0000}"/>
    <cellStyle name="Normal 77 22 2" xfId="25133" xr:uid="{00000000-0005-0000-0000-0000C35F0000}"/>
    <cellStyle name="Normal 77 23" xfId="12950" xr:uid="{00000000-0005-0000-0000-0000C45F0000}"/>
    <cellStyle name="Normal 77 23 2" xfId="25134" xr:uid="{00000000-0005-0000-0000-0000C55F0000}"/>
    <cellStyle name="Normal 77 24" xfId="12951" xr:uid="{00000000-0005-0000-0000-0000C65F0000}"/>
    <cellStyle name="Normal 77 24 2" xfId="25135" xr:uid="{00000000-0005-0000-0000-0000C75F0000}"/>
    <cellStyle name="Normal 77 25" xfId="12952" xr:uid="{00000000-0005-0000-0000-0000C85F0000}"/>
    <cellStyle name="Normal 77 25 2" xfId="25136" xr:uid="{00000000-0005-0000-0000-0000C95F0000}"/>
    <cellStyle name="Normal 77 26" xfId="12953" xr:uid="{00000000-0005-0000-0000-0000CA5F0000}"/>
    <cellStyle name="Normal 77 26 2" xfId="25137" xr:uid="{00000000-0005-0000-0000-0000CB5F0000}"/>
    <cellStyle name="Normal 77 27" xfId="12954" xr:uid="{00000000-0005-0000-0000-0000CC5F0000}"/>
    <cellStyle name="Normal 77 27 2" xfId="25138" xr:uid="{00000000-0005-0000-0000-0000CD5F0000}"/>
    <cellStyle name="Normal 77 28" xfId="12955" xr:uid="{00000000-0005-0000-0000-0000CE5F0000}"/>
    <cellStyle name="Normal 77 28 2" xfId="25139" xr:uid="{00000000-0005-0000-0000-0000CF5F0000}"/>
    <cellStyle name="Normal 77 29" xfId="12956" xr:uid="{00000000-0005-0000-0000-0000D05F0000}"/>
    <cellStyle name="Normal 77 29 2" xfId="25140" xr:uid="{00000000-0005-0000-0000-0000D15F0000}"/>
    <cellStyle name="Normal 77 3" xfId="418" xr:uid="{00000000-0005-0000-0000-0000D25F0000}"/>
    <cellStyle name="Normal 77 3 2" xfId="25141" xr:uid="{00000000-0005-0000-0000-0000D35F0000}"/>
    <cellStyle name="Normal 77 30" xfId="12957" xr:uid="{00000000-0005-0000-0000-0000D45F0000}"/>
    <cellStyle name="Normal 77 30 2" xfId="25142" xr:uid="{00000000-0005-0000-0000-0000D55F0000}"/>
    <cellStyle name="Normal 77 31" xfId="12958" xr:uid="{00000000-0005-0000-0000-0000D65F0000}"/>
    <cellStyle name="Normal 77 31 2" xfId="25143" xr:uid="{00000000-0005-0000-0000-0000D75F0000}"/>
    <cellStyle name="Normal 77 32" xfId="12959" xr:uid="{00000000-0005-0000-0000-0000D85F0000}"/>
    <cellStyle name="Normal 77 32 2" xfId="25144" xr:uid="{00000000-0005-0000-0000-0000D95F0000}"/>
    <cellStyle name="Normal 77 33" xfId="12960" xr:uid="{00000000-0005-0000-0000-0000DA5F0000}"/>
    <cellStyle name="Normal 77 33 2" xfId="25145" xr:uid="{00000000-0005-0000-0000-0000DB5F0000}"/>
    <cellStyle name="Normal 77 34" xfId="12961" xr:uid="{00000000-0005-0000-0000-0000DC5F0000}"/>
    <cellStyle name="Normal 77 34 2" xfId="25146" xr:uid="{00000000-0005-0000-0000-0000DD5F0000}"/>
    <cellStyle name="Normal 77 35" xfId="12962" xr:uid="{00000000-0005-0000-0000-0000DE5F0000}"/>
    <cellStyle name="Normal 77 35 2" xfId="25147" xr:uid="{00000000-0005-0000-0000-0000DF5F0000}"/>
    <cellStyle name="Normal 77 36" xfId="12963" xr:uid="{00000000-0005-0000-0000-0000E05F0000}"/>
    <cellStyle name="Normal 77 36 2" xfId="25148" xr:uid="{00000000-0005-0000-0000-0000E15F0000}"/>
    <cellStyle name="Normal 77 37" xfId="12964" xr:uid="{00000000-0005-0000-0000-0000E25F0000}"/>
    <cellStyle name="Normal 77 37 2" xfId="25149" xr:uid="{00000000-0005-0000-0000-0000E35F0000}"/>
    <cellStyle name="Normal 77 38" xfId="12965" xr:uid="{00000000-0005-0000-0000-0000E45F0000}"/>
    <cellStyle name="Normal 77 38 2" xfId="25150" xr:uid="{00000000-0005-0000-0000-0000E55F0000}"/>
    <cellStyle name="Normal 77 39" xfId="12966" xr:uid="{00000000-0005-0000-0000-0000E65F0000}"/>
    <cellStyle name="Normal 77 39 2" xfId="25151" xr:uid="{00000000-0005-0000-0000-0000E75F0000}"/>
    <cellStyle name="Normal 77 4" xfId="12967" xr:uid="{00000000-0005-0000-0000-0000E85F0000}"/>
    <cellStyle name="Normal 77 4 2" xfId="25152" xr:uid="{00000000-0005-0000-0000-0000E95F0000}"/>
    <cellStyle name="Normal 77 40" xfId="12968" xr:uid="{00000000-0005-0000-0000-0000EA5F0000}"/>
    <cellStyle name="Normal 77 40 2" xfId="25153" xr:uid="{00000000-0005-0000-0000-0000EB5F0000}"/>
    <cellStyle name="Normal 77 41" xfId="12969" xr:uid="{00000000-0005-0000-0000-0000EC5F0000}"/>
    <cellStyle name="Normal 77 41 2" xfId="25154" xr:uid="{00000000-0005-0000-0000-0000ED5F0000}"/>
    <cellStyle name="Normal 77 42" xfId="12970" xr:uid="{00000000-0005-0000-0000-0000EE5F0000}"/>
    <cellStyle name="Normal 77 42 2" xfId="25155" xr:uid="{00000000-0005-0000-0000-0000EF5F0000}"/>
    <cellStyle name="Normal 77 43" xfId="12971" xr:uid="{00000000-0005-0000-0000-0000F05F0000}"/>
    <cellStyle name="Normal 77 43 2" xfId="25156" xr:uid="{00000000-0005-0000-0000-0000F15F0000}"/>
    <cellStyle name="Normal 77 44" xfId="12972" xr:uid="{00000000-0005-0000-0000-0000F25F0000}"/>
    <cellStyle name="Normal 77 44 2" xfId="25157" xr:uid="{00000000-0005-0000-0000-0000F35F0000}"/>
    <cellStyle name="Normal 77 45" xfId="12973" xr:uid="{00000000-0005-0000-0000-0000F45F0000}"/>
    <cellStyle name="Normal 77 45 2" xfId="25158" xr:uid="{00000000-0005-0000-0000-0000F55F0000}"/>
    <cellStyle name="Normal 77 46" xfId="12974" xr:uid="{00000000-0005-0000-0000-0000F65F0000}"/>
    <cellStyle name="Normal 77 46 2" xfId="25159" xr:uid="{00000000-0005-0000-0000-0000F75F0000}"/>
    <cellStyle name="Normal 77 47" xfId="12975" xr:uid="{00000000-0005-0000-0000-0000F85F0000}"/>
    <cellStyle name="Normal 77 47 2" xfId="25160" xr:uid="{00000000-0005-0000-0000-0000F95F0000}"/>
    <cellStyle name="Normal 77 48" xfId="12976" xr:uid="{00000000-0005-0000-0000-0000FA5F0000}"/>
    <cellStyle name="Normal 77 48 2" xfId="25161" xr:uid="{00000000-0005-0000-0000-0000FB5F0000}"/>
    <cellStyle name="Normal 77 49" xfId="12977" xr:uid="{00000000-0005-0000-0000-0000FC5F0000}"/>
    <cellStyle name="Normal 77 49 2" xfId="25162" xr:uid="{00000000-0005-0000-0000-0000FD5F0000}"/>
    <cellStyle name="Normal 77 5" xfId="12978" xr:uid="{00000000-0005-0000-0000-0000FE5F0000}"/>
    <cellStyle name="Normal 77 5 2" xfId="25163" xr:uid="{00000000-0005-0000-0000-0000FF5F0000}"/>
    <cellStyle name="Normal 77 50" xfId="12979" xr:uid="{00000000-0005-0000-0000-000000600000}"/>
    <cellStyle name="Normal 77 50 2" xfId="25164" xr:uid="{00000000-0005-0000-0000-000001600000}"/>
    <cellStyle name="Normal 77 51" xfId="12980" xr:uid="{00000000-0005-0000-0000-000002600000}"/>
    <cellStyle name="Normal 77 51 2" xfId="25165" xr:uid="{00000000-0005-0000-0000-000003600000}"/>
    <cellStyle name="Normal 77 52" xfId="12981" xr:uid="{00000000-0005-0000-0000-000004600000}"/>
    <cellStyle name="Normal 77 52 2" xfId="25166" xr:uid="{00000000-0005-0000-0000-000005600000}"/>
    <cellStyle name="Normal 77 53" xfId="12982" xr:uid="{00000000-0005-0000-0000-000006600000}"/>
    <cellStyle name="Normal 77 53 2" xfId="25167" xr:uid="{00000000-0005-0000-0000-000007600000}"/>
    <cellStyle name="Normal 77 54" xfId="12983" xr:uid="{00000000-0005-0000-0000-000008600000}"/>
    <cellStyle name="Normal 77 54 2" xfId="25168" xr:uid="{00000000-0005-0000-0000-000009600000}"/>
    <cellStyle name="Normal 77 55" xfId="12984" xr:uid="{00000000-0005-0000-0000-00000A600000}"/>
    <cellStyle name="Normal 77 55 2" xfId="25169" xr:uid="{00000000-0005-0000-0000-00000B600000}"/>
    <cellStyle name="Normal 77 56" xfId="12985" xr:uid="{00000000-0005-0000-0000-00000C600000}"/>
    <cellStyle name="Normal 77 56 2" xfId="25170" xr:uid="{00000000-0005-0000-0000-00000D600000}"/>
    <cellStyle name="Normal 77 57" xfId="12986" xr:uid="{00000000-0005-0000-0000-00000E600000}"/>
    <cellStyle name="Normal 77 57 2" xfId="25171" xr:uid="{00000000-0005-0000-0000-00000F600000}"/>
    <cellStyle name="Normal 77 58" xfId="12987" xr:uid="{00000000-0005-0000-0000-000010600000}"/>
    <cellStyle name="Normal 77 58 2" xfId="25172" xr:uid="{00000000-0005-0000-0000-000011600000}"/>
    <cellStyle name="Normal 77 59" xfId="12988" xr:uid="{00000000-0005-0000-0000-000012600000}"/>
    <cellStyle name="Normal 77 59 2" xfId="25173" xr:uid="{00000000-0005-0000-0000-000013600000}"/>
    <cellStyle name="Normal 77 6" xfId="12989" xr:uid="{00000000-0005-0000-0000-000014600000}"/>
    <cellStyle name="Normal 77 6 2" xfId="25174" xr:uid="{00000000-0005-0000-0000-000015600000}"/>
    <cellStyle name="Normal 77 60" xfId="12990" xr:uid="{00000000-0005-0000-0000-000016600000}"/>
    <cellStyle name="Normal 77 60 2" xfId="25175" xr:uid="{00000000-0005-0000-0000-000017600000}"/>
    <cellStyle name="Normal 77 61" xfId="12991" xr:uid="{00000000-0005-0000-0000-000018600000}"/>
    <cellStyle name="Normal 77 61 2" xfId="25176" xr:uid="{00000000-0005-0000-0000-000019600000}"/>
    <cellStyle name="Normal 77 62" xfId="12992" xr:uid="{00000000-0005-0000-0000-00001A600000}"/>
    <cellStyle name="Normal 77 62 2" xfId="25177" xr:uid="{00000000-0005-0000-0000-00001B600000}"/>
    <cellStyle name="Normal 77 63" xfId="12993" xr:uid="{00000000-0005-0000-0000-00001C600000}"/>
    <cellStyle name="Normal 77 63 2" xfId="25178" xr:uid="{00000000-0005-0000-0000-00001D600000}"/>
    <cellStyle name="Normal 77 64" xfId="12994" xr:uid="{00000000-0005-0000-0000-00001E600000}"/>
    <cellStyle name="Normal 77 64 2" xfId="25179" xr:uid="{00000000-0005-0000-0000-00001F600000}"/>
    <cellStyle name="Normal 77 65" xfId="12995" xr:uid="{00000000-0005-0000-0000-000020600000}"/>
    <cellStyle name="Normal 77 65 2" xfId="25180" xr:uid="{00000000-0005-0000-0000-000021600000}"/>
    <cellStyle name="Normal 77 66" xfId="12996" xr:uid="{00000000-0005-0000-0000-000022600000}"/>
    <cellStyle name="Normal 77 66 2" xfId="25181" xr:uid="{00000000-0005-0000-0000-000023600000}"/>
    <cellStyle name="Normal 77 67" xfId="12997" xr:uid="{00000000-0005-0000-0000-000024600000}"/>
    <cellStyle name="Normal 77 67 2" xfId="25182" xr:uid="{00000000-0005-0000-0000-000025600000}"/>
    <cellStyle name="Normal 77 68" xfId="12998" xr:uid="{00000000-0005-0000-0000-000026600000}"/>
    <cellStyle name="Normal 77 68 2" xfId="25183" xr:uid="{00000000-0005-0000-0000-000027600000}"/>
    <cellStyle name="Normal 77 69" xfId="12999" xr:uid="{00000000-0005-0000-0000-000028600000}"/>
    <cellStyle name="Normal 77 69 2" xfId="25184" xr:uid="{00000000-0005-0000-0000-000029600000}"/>
    <cellStyle name="Normal 77 7" xfId="13000" xr:uid="{00000000-0005-0000-0000-00002A600000}"/>
    <cellStyle name="Normal 77 7 2" xfId="25185" xr:uid="{00000000-0005-0000-0000-00002B600000}"/>
    <cellStyle name="Normal 77 70" xfId="13001" xr:uid="{00000000-0005-0000-0000-00002C600000}"/>
    <cellStyle name="Normal 77 70 2" xfId="25186" xr:uid="{00000000-0005-0000-0000-00002D600000}"/>
    <cellStyle name="Normal 77 71" xfId="13002" xr:uid="{00000000-0005-0000-0000-00002E600000}"/>
    <cellStyle name="Normal 77 71 2" xfId="25187" xr:uid="{00000000-0005-0000-0000-00002F600000}"/>
    <cellStyle name="Normal 77 72" xfId="13003" xr:uid="{00000000-0005-0000-0000-000030600000}"/>
    <cellStyle name="Normal 77 72 2" xfId="25188" xr:uid="{00000000-0005-0000-0000-000031600000}"/>
    <cellStyle name="Normal 77 73" xfId="13004" xr:uid="{00000000-0005-0000-0000-000032600000}"/>
    <cellStyle name="Normal 77 73 2" xfId="25189" xr:uid="{00000000-0005-0000-0000-000033600000}"/>
    <cellStyle name="Normal 77 74" xfId="13005" xr:uid="{00000000-0005-0000-0000-000034600000}"/>
    <cellStyle name="Normal 77 74 2" xfId="25190" xr:uid="{00000000-0005-0000-0000-000035600000}"/>
    <cellStyle name="Normal 77 75" xfId="13006" xr:uid="{00000000-0005-0000-0000-000036600000}"/>
    <cellStyle name="Normal 77 75 2" xfId="25191" xr:uid="{00000000-0005-0000-0000-000037600000}"/>
    <cellStyle name="Normal 77 76" xfId="13007" xr:uid="{00000000-0005-0000-0000-000038600000}"/>
    <cellStyle name="Normal 77 76 2" xfId="25192" xr:uid="{00000000-0005-0000-0000-000039600000}"/>
    <cellStyle name="Normal 77 77" xfId="13008" xr:uid="{00000000-0005-0000-0000-00003A600000}"/>
    <cellStyle name="Normal 77 77 2" xfId="25193" xr:uid="{00000000-0005-0000-0000-00003B600000}"/>
    <cellStyle name="Normal 77 78" xfId="13009" xr:uid="{00000000-0005-0000-0000-00003C600000}"/>
    <cellStyle name="Normal 77 78 2" xfId="25194" xr:uid="{00000000-0005-0000-0000-00003D600000}"/>
    <cellStyle name="Normal 77 79" xfId="13010" xr:uid="{00000000-0005-0000-0000-00003E600000}"/>
    <cellStyle name="Normal 77 79 2" xfId="25195" xr:uid="{00000000-0005-0000-0000-00003F600000}"/>
    <cellStyle name="Normal 77 8" xfId="13011" xr:uid="{00000000-0005-0000-0000-000040600000}"/>
    <cellStyle name="Normal 77 8 2" xfId="25196" xr:uid="{00000000-0005-0000-0000-000041600000}"/>
    <cellStyle name="Normal 77 80" xfId="25119" xr:uid="{00000000-0005-0000-0000-000042600000}"/>
    <cellStyle name="Normal 77 9" xfId="13012" xr:uid="{00000000-0005-0000-0000-000043600000}"/>
    <cellStyle name="Normal 77 9 2" xfId="25197" xr:uid="{00000000-0005-0000-0000-000044600000}"/>
    <cellStyle name="Normal 78" xfId="204" xr:uid="{00000000-0005-0000-0000-000045600000}"/>
    <cellStyle name="Normal 78 10" xfId="13013" xr:uid="{00000000-0005-0000-0000-000046600000}"/>
    <cellStyle name="Normal 78 10 2" xfId="25199" xr:uid="{00000000-0005-0000-0000-000047600000}"/>
    <cellStyle name="Normal 78 11" xfId="13014" xr:uid="{00000000-0005-0000-0000-000048600000}"/>
    <cellStyle name="Normal 78 11 2" xfId="25200" xr:uid="{00000000-0005-0000-0000-000049600000}"/>
    <cellStyle name="Normal 78 12" xfId="13015" xr:uid="{00000000-0005-0000-0000-00004A600000}"/>
    <cellStyle name="Normal 78 12 2" xfId="25201" xr:uid="{00000000-0005-0000-0000-00004B600000}"/>
    <cellStyle name="Normal 78 13" xfId="13016" xr:uid="{00000000-0005-0000-0000-00004C600000}"/>
    <cellStyle name="Normal 78 13 2" xfId="25202" xr:uid="{00000000-0005-0000-0000-00004D600000}"/>
    <cellStyle name="Normal 78 14" xfId="13017" xr:uid="{00000000-0005-0000-0000-00004E600000}"/>
    <cellStyle name="Normal 78 14 2" xfId="25203" xr:uid="{00000000-0005-0000-0000-00004F600000}"/>
    <cellStyle name="Normal 78 15" xfId="13018" xr:uid="{00000000-0005-0000-0000-000050600000}"/>
    <cellStyle name="Normal 78 15 2" xfId="25204" xr:uid="{00000000-0005-0000-0000-000051600000}"/>
    <cellStyle name="Normal 78 16" xfId="13019" xr:uid="{00000000-0005-0000-0000-000052600000}"/>
    <cellStyle name="Normal 78 16 2" xfId="25205" xr:uid="{00000000-0005-0000-0000-000053600000}"/>
    <cellStyle name="Normal 78 17" xfId="13020" xr:uid="{00000000-0005-0000-0000-000054600000}"/>
    <cellStyle name="Normal 78 17 2" xfId="25206" xr:uid="{00000000-0005-0000-0000-000055600000}"/>
    <cellStyle name="Normal 78 18" xfId="13021" xr:uid="{00000000-0005-0000-0000-000056600000}"/>
    <cellStyle name="Normal 78 18 2" xfId="25207" xr:uid="{00000000-0005-0000-0000-000057600000}"/>
    <cellStyle name="Normal 78 19" xfId="13022" xr:uid="{00000000-0005-0000-0000-000058600000}"/>
    <cellStyle name="Normal 78 19 2" xfId="25208" xr:uid="{00000000-0005-0000-0000-000059600000}"/>
    <cellStyle name="Normal 78 2" xfId="768" xr:uid="{00000000-0005-0000-0000-00005A600000}"/>
    <cellStyle name="Normal 78 2 2" xfId="25209" xr:uid="{00000000-0005-0000-0000-00005B600000}"/>
    <cellStyle name="Normal 78 2 3" xfId="13023" xr:uid="{00000000-0005-0000-0000-00005C600000}"/>
    <cellStyle name="Normal 78 20" xfId="13024" xr:uid="{00000000-0005-0000-0000-00005D600000}"/>
    <cellStyle name="Normal 78 20 2" xfId="25210" xr:uid="{00000000-0005-0000-0000-00005E600000}"/>
    <cellStyle name="Normal 78 21" xfId="13025" xr:uid="{00000000-0005-0000-0000-00005F600000}"/>
    <cellStyle name="Normal 78 21 2" xfId="25211" xr:uid="{00000000-0005-0000-0000-000060600000}"/>
    <cellStyle name="Normal 78 22" xfId="13026" xr:uid="{00000000-0005-0000-0000-000061600000}"/>
    <cellStyle name="Normal 78 22 2" xfId="25212" xr:uid="{00000000-0005-0000-0000-000062600000}"/>
    <cellStyle name="Normal 78 23" xfId="13027" xr:uid="{00000000-0005-0000-0000-000063600000}"/>
    <cellStyle name="Normal 78 23 2" xfId="25213" xr:uid="{00000000-0005-0000-0000-000064600000}"/>
    <cellStyle name="Normal 78 24" xfId="13028" xr:uid="{00000000-0005-0000-0000-000065600000}"/>
    <cellStyle name="Normal 78 24 2" xfId="25214" xr:uid="{00000000-0005-0000-0000-000066600000}"/>
    <cellStyle name="Normal 78 25" xfId="13029" xr:uid="{00000000-0005-0000-0000-000067600000}"/>
    <cellStyle name="Normal 78 25 2" xfId="25215" xr:uid="{00000000-0005-0000-0000-000068600000}"/>
    <cellStyle name="Normal 78 26" xfId="13030" xr:uid="{00000000-0005-0000-0000-000069600000}"/>
    <cellStyle name="Normal 78 26 2" xfId="25216" xr:uid="{00000000-0005-0000-0000-00006A600000}"/>
    <cellStyle name="Normal 78 27" xfId="13031" xr:uid="{00000000-0005-0000-0000-00006B600000}"/>
    <cellStyle name="Normal 78 27 2" xfId="25217" xr:uid="{00000000-0005-0000-0000-00006C600000}"/>
    <cellStyle name="Normal 78 28" xfId="13032" xr:uid="{00000000-0005-0000-0000-00006D600000}"/>
    <cellStyle name="Normal 78 28 2" xfId="25218" xr:uid="{00000000-0005-0000-0000-00006E600000}"/>
    <cellStyle name="Normal 78 29" xfId="13033" xr:uid="{00000000-0005-0000-0000-00006F600000}"/>
    <cellStyle name="Normal 78 29 2" xfId="25219" xr:uid="{00000000-0005-0000-0000-000070600000}"/>
    <cellStyle name="Normal 78 3" xfId="419" xr:uid="{00000000-0005-0000-0000-000071600000}"/>
    <cellStyle name="Normal 78 3 2" xfId="25220" xr:uid="{00000000-0005-0000-0000-000072600000}"/>
    <cellStyle name="Normal 78 30" xfId="13034" xr:uid="{00000000-0005-0000-0000-000073600000}"/>
    <cellStyle name="Normal 78 30 2" xfId="25221" xr:uid="{00000000-0005-0000-0000-000074600000}"/>
    <cellStyle name="Normal 78 31" xfId="13035" xr:uid="{00000000-0005-0000-0000-000075600000}"/>
    <cellStyle name="Normal 78 31 2" xfId="25222" xr:uid="{00000000-0005-0000-0000-000076600000}"/>
    <cellStyle name="Normal 78 32" xfId="13036" xr:uid="{00000000-0005-0000-0000-000077600000}"/>
    <cellStyle name="Normal 78 32 2" xfId="25223" xr:uid="{00000000-0005-0000-0000-000078600000}"/>
    <cellStyle name="Normal 78 33" xfId="13037" xr:uid="{00000000-0005-0000-0000-000079600000}"/>
    <cellStyle name="Normal 78 33 2" xfId="25224" xr:uid="{00000000-0005-0000-0000-00007A600000}"/>
    <cellStyle name="Normal 78 34" xfId="13038" xr:uid="{00000000-0005-0000-0000-00007B600000}"/>
    <cellStyle name="Normal 78 34 2" xfId="25225" xr:uid="{00000000-0005-0000-0000-00007C600000}"/>
    <cellStyle name="Normal 78 35" xfId="13039" xr:uid="{00000000-0005-0000-0000-00007D600000}"/>
    <cellStyle name="Normal 78 35 2" xfId="25226" xr:uid="{00000000-0005-0000-0000-00007E600000}"/>
    <cellStyle name="Normal 78 36" xfId="13040" xr:uid="{00000000-0005-0000-0000-00007F600000}"/>
    <cellStyle name="Normal 78 36 2" xfId="25227" xr:uid="{00000000-0005-0000-0000-000080600000}"/>
    <cellStyle name="Normal 78 37" xfId="13041" xr:uid="{00000000-0005-0000-0000-000081600000}"/>
    <cellStyle name="Normal 78 37 2" xfId="25228" xr:uid="{00000000-0005-0000-0000-000082600000}"/>
    <cellStyle name="Normal 78 38" xfId="13042" xr:uid="{00000000-0005-0000-0000-000083600000}"/>
    <cellStyle name="Normal 78 38 2" xfId="25229" xr:uid="{00000000-0005-0000-0000-000084600000}"/>
    <cellStyle name="Normal 78 39" xfId="13043" xr:uid="{00000000-0005-0000-0000-000085600000}"/>
    <cellStyle name="Normal 78 39 2" xfId="25230" xr:uid="{00000000-0005-0000-0000-000086600000}"/>
    <cellStyle name="Normal 78 4" xfId="13044" xr:uid="{00000000-0005-0000-0000-000087600000}"/>
    <cellStyle name="Normal 78 4 2" xfId="25231" xr:uid="{00000000-0005-0000-0000-000088600000}"/>
    <cellStyle name="Normal 78 40" xfId="13045" xr:uid="{00000000-0005-0000-0000-000089600000}"/>
    <cellStyle name="Normal 78 40 2" xfId="25232" xr:uid="{00000000-0005-0000-0000-00008A600000}"/>
    <cellStyle name="Normal 78 41" xfId="13046" xr:uid="{00000000-0005-0000-0000-00008B600000}"/>
    <cellStyle name="Normal 78 41 2" xfId="25233" xr:uid="{00000000-0005-0000-0000-00008C600000}"/>
    <cellStyle name="Normal 78 42" xfId="13047" xr:uid="{00000000-0005-0000-0000-00008D600000}"/>
    <cellStyle name="Normal 78 42 2" xfId="25234" xr:uid="{00000000-0005-0000-0000-00008E600000}"/>
    <cellStyle name="Normal 78 43" xfId="13048" xr:uid="{00000000-0005-0000-0000-00008F600000}"/>
    <cellStyle name="Normal 78 43 2" xfId="25235" xr:uid="{00000000-0005-0000-0000-000090600000}"/>
    <cellStyle name="Normal 78 44" xfId="13049" xr:uid="{00000000-0005-0000-0000-000091600000}"/>
    <cellStyle name="Normal 78 44 2" xfId="25236" xr:uid="{00000000-0005-0000-0000-000092600000}"/>
    <cellStyle name="Normal 78 45" xfId="13050" xr:uid="{00000000-0005-0000-0000-000093600000}"/>
    <cellStyle name="Normal 78 45 2" xfId="25237" xr:uid="{00000000-0005-0000-0000-000094600000}"/>
    <cellStyle name="Normal 78 46" xfId="13051" xr:uid="{00000000-0005-0000-0000-000095600000}"/>
    <cellStyle name="Normal 78 46 2" xfId="25238" xr:uid="{00000000-0005-0000-0000-000096600000}"/>
    <cellStyle name="Normal 78 47" xfId="13052" xr:uid="{00000000-0005-0000-0000-000097600000}"/>
    <cellStyle name="Normal 78 47 2" xfId="25239" xr:uid="{00000000-0005-0000-0000-000098600000}"/>
    <cellStyle name="Normal 78 48" xfId="13053" xr:uid="{00000000-0005-0000-0000-000099600000}"/>
    <cellStyle name="Normal 78 48 2" xfId="25240" xr:uid="{00000000-0005-0000-0000-00009A600000}"/>
    <cellStyle name="Normal 78 49" xfId="13054" xr:uid="{00000000-0005-0000-0000-00009B600000}"/>
    <cellStyle name="Normal 78 49 2" xfId="25241" xr:uid="{00000000-0005-0000-0000-00009C600000}"/>
    <cellStyle name="Normal 78 5" xfId="13055" xr:uid="{00000000-0005-0000-0000-00009D600000}"/>
    <cellStyle name="Normal 78 5 2" xfId="25242" xr:uid="{00000000-0005-0000-0000-00009E600000}"/>
    <cellStyle name="Normal 78 50" xfId="13056" xr:uid="{00000000-0005-0000-0000-00009F600000}"/>
    <cellStyle name="Normal 78 50 2" xfId="25243" xr:uid="{00000000-0005-0000-0000-0000A0600000}"/>
    <cellStyle name="Normal 78 51" xfId="13057" xr:uid="{00000000-0005-0000-0000-0000A1600000}"/>
    <cellStyle name="Normal 78 51 2" xfId="25244" xr:uid="{00000000-0005-0000-0000-0000A2600000}"/>
    <cellStyle name="Normal 78 52" xfId="13058" xr:uid="{00000000-0005-0000-0000-0000A3600000}"/>
    <cellStyle name="Normal 78 52 2" xfId="25245" xr:uid="{00000000-0005-0000-0000-0000A4600000}"/>
    <cellStyle name="Normal 78 53" xfId="13059" xr:uid="{00000000-0005-0000-0000-0000A5600000}"/>
    <cellStyle name="Normal 78 53 2" xfId="25246" xr:uid="{00000000-0005-0000-0000-0000A6600000}"/>
    <cellStyle name="Normal 78 54" xfId="13060" xr:uid="{00000000-0005-0000-0000-0000A7600000}"/>
    <cellStyle name="Normal 78 54 2" xfId="25247" xr:uid="{00000000-0005-0000-0000-0000A8600000}"/>
    <cellStyle name="Normal 78 55" xfId="13061" xr:uid="{00000000-0005-0000-0000-0000A9600000}"/>
    <cellStyle name="Normal 78 55 2" xfId="25248" xr:uid="{00000000-0005-0000-0000-0000AA600000}"/>
    <cellStyle name="Normal 78 56" xfId="13062" xr:uid="{00000000-0005-0000-0000-0000AB600000}"/>
    <cellStyle name="Normal 78 56 2" xfId="25249" xr:uid="{00000000-0005-0000-0000-0000AC600000}"/>
    <cellStyle name="Normal 78 57" xfId="13063" xr:uid="{00000000-0005-0000-0000-0000AD600000}"/>
    <cellStyle name="Normal 78 57 2" xfId="25250" xr:uid="{00000000-0005-0000-0000-0000AE600000}"/>
    <cellStyle name="Normal 78 58" xfId="13064" xr:uid="{00000000-0005-0000-0000-0000AF600000}"/>
    <cellStyle name="Normal 78 58 2" xfId="25251" xr:uid="{00000000-0005-0000-0000-0000B0600000}"/>
    <cellStyle name="Normal 78 59" xfId="13065" xr:uid="{00000000-0005-0000-0000-0000B1600000}"/>
    <cellStyle name="Normal 78 59 2" xfId="25252" xr:uid="{00000000-0005-0000-0000-0000B2600000}"/>
    <cellStyle name="Normal 78 6" xfId="13066" xr:uid="{00000000-0005-0000-0000-0000B3600000}"/>
    <cellStyle name="Normal 78 6 2" xfId="25253" xr:uid="{00000000-0005-0000-0000-0000B4600000}"/>
    <cellStyle name="Normal 78 60" xfId="13067" xr:uid="{00000000-0005-0000-0000-0000B5600000}"/>
    <cellStyle name="Normal 78 60 2" xfId="25254" xr:uid="{00000000-0005-0000-0000-0000B6600000}"/>
    <cellStyle name="Normal 78 61" xfId="13068" xr:uid="{00000000-0005-0000-0000-0000B7600000}"/>
    <cellStyle name="Normal 78 61 2" xfId="25255" xr:uid="{00000000-0005-0000-0000-0000B8600000}"/>
    <cellStyle name="Normal 78 62" xfId="13069" xr:uid="{00000000-0005-0000-0000-0000B9600000}"/>
    <cellStyle name="Normal 78 62 2" xfId="25256" xr:uid="{00000000-0005-0000-0000-0000BA600000}"/>
    <cellStyle name="Normal 78 63" xfId="13070" xr:uid="{00000000-0005-0000-0000-0000BB600000}"/>
    <cellStyle name="Normal 78 63 2" xfId="25257" xr:uid="{00000000-0005-0000-0000-0000BC600000}"/>
    <cellStyle name="Normal 78 64" xfId="13071" xr:uid="{00000000-0005-0000-0000-0000BD600000}"/>
    <cellStyle name="Normal 78 64 2" xfId="25258" xr:uid="{00000000-0005-0000-0000-0000BE600000}"/>
    <cellStyle name="Normal 78 65" xfId="13072" xr:uid="{00000000-0005-0000-0000-0000BF600000}"/>
    <cellStyle name="Normal 78 65 2" xfId="25259" xr:uid="{00000000-0005-0000-0000-0000C0600000}"/>
    <cellStyle name="Normal 78 66" xfId="13073" xr:uid="{00000000-0005-0000-0000-0000C1600000}"/>
    <cellStyle name="Normal 78 66 2" xfId="25260" xr:uid="{00000000-0005-0000-0000-0000C2600000}"/>
    <cellStyle name="Normal 78 67" xfId="13074" xr:uid="{00000000-0005-0000-0000-0000C3600000}"/>
    <cellStyle name="Normal 78 67 2" xfId="25261" xr:uid="{00000000-0005-0000-0000-0000C4600000}"/>
    <cellStyle name="Normal 78 68" xfId="13075" xr:uid="{00000000-0005-0000-0000-0000C5600000}"/>
    <cellStyle name="Normal 78 68 2" xfId="25262" xr:uid="{00000000-0005-0000-0000-0000C6600000}"/>
    <cellStyle name="Normal 78 69" xfId="13076" xr:uid="{00000000-0005-0000-0000-0000C7600000}"/>
    <cellStyle name="Normal 78 69 2" xfId="25263" xr:uid="{00000000-0005-0000-0000-0000C8600000}"/>
    <cellStyle name="Normal 78 7" xfId="13077" xr:uid="{00000000-0005-0000-0000-0000C9600000}"/>
    <cellStyle name="Normal 78 7 2" xfId="25264" xr:uid="{00000000-0005-0000-0000-0000CA600000}"/>
    <cellStyle name="Normal 78 70" xfId="13078" xr:uid="{00000000-0005-0000-0000-0000CB600000}"/>
    <cellStyle name="Normal 78 70 2" xfId="25265" xr:uid="{00000000-0005-0000-0000-0000CC600000}"/>
    <cellStyle name="Normal 78 71" xfId="13079" xr:uid="{00000000-0005-0000-0000-0000CD600000}"/>
    <cellStyle name="Normal 78 71 2" xfId="25266" xr:uid="{00000000-0005-0000-0000-0000CE600000}"/>
    <cellStyle name="Normal 78 72" xfId="13080" xr:uid="{00000000-0005-0000-0000-0000CF600000}"/>
    <cellStyle name="Normal 78 72 2" xfId="25267" xr:uid="{00000000-0005-0000-0000-0000D0600000}"/>
    <cellStyle name="Normal 78 73" xfId="13081" xr:uid="{00000000-0005-0000-0000-0000D1600000}"/>
    <cellStyle name="Normal 78 73 2" xfId="25268" xr:uid="{00000000-0005-0000-0000-0000D2600000}"/>
    <cellStyle name="Normal 78 74" xfId="13082" xr:uid="{00000000-0005-0000-0000-0000D3600000}"/>
    <cellStyle name="Normal 78 74 2" xfId="25269" xr:uid="{00000000-0005-0000-0000-0000D4600000}"/>
    <cellStyle name="Normal 78 75" xfId="13083" xr:uid="{00000000-0005-0000-0000-0000D5600000}"/>
    <cellStyle name="Normal 78 75 2" xfId="25270" xr:uid="{00000000-0005-0000-0000-0000D6600000}"/>
    <cellStyle name="Normal 78 76" xfId="13084" xr:uid="{00000000-0005-0000-0000-0000D7600000}"/>
    <cellStyle name="Normal 78 76 2" xfId="25271" xr:uid="{00000000-0005-0000-0000-0000D8600000}"/>
    <cellStyle name="Normal 78 77" xfId="13085" xr:uid="{00000000-0005-0000-0000-0000D9600000}"/>
    <cellStyle name="Normal 78 77 2" xfId="25272" xr:uid="{00000000-0005-0000-0000-0000DA600000}"/>
    <cellStyle name="Normal 78 78" xfId="13086" xr:uid="{00000000-0005-0000-0000-0000DB600000}"/>
    <cellStyle name="Normal 78 78 2" xfId="25273" xr:uid="{00000000-0005-0000-0000-0000DC600000}"/>
    <cellStyle name="Normal 78 79" xfId="13087" xr:uid="{00000000-0005-0000-0000-0000DD600000}"/>
    <cellStyle name="Normal 78 79 2" xfId="25274" xr:uid="{00000000-0005-0000-0000-0000DE600000}"/>
    <cellStyle name="Normal 78 8" xfId="13088" xr:uid="{00000000-0005-0000-0000-0000DF600000}"/>
    <cellStyle name="Normal 78 8 2" xfId="25275" xr:uid="{00000000-0005-0000-0000-0000E0600000}"/>
    <cellStyle name="Normal 78 80" xfId="25198" xr:uid="{00000000-0005-0000-0000-0000E1600000}"/>
    <cellStyle name="Normal 78 9" xfId="13089" xr:uid="{00000000-0005-0000-0000-0000E2600000}"/>
    <cellStyle name="Normal 78 9 2" xfId="25276" xr:uid="{00000000-0005-0000-0000-0000E3600000}"/>
    <cellStyle name="Normal 79" xfId="205" xr:uid="{00000000-0005-0000-0000-0000E4600000}"/>
    <cellStyle name="Normal 79 10" xfId="13090" xr:uid="{00000000-0005-0000-0000-0000E5600000}"/>
    <cellStyle name="Normal 79 10 2" xfId="25278" xr:uid="{00000000-0005-0000-0000-0000E6600000}"/>
    <cellStyle name="Normal 79 11" xfId="13091" xr:uid="{00000000-0005-0000-0000-0000E7600000}"/>
    <cellStyle name="Normal 79 11 2" xfId="25279" xr:uid="{00000000-0005-0000-0000-0000E8600000}"/>
    <cellStyle name="Normal 79 12" xfId="13092" xr:uid="{00000000-0005-0000-0000-0000E9600000}"/>
    <cellStyle name="Normal 79 12 2" xfId="25280" xr:uid="{00000000-0005-0000-0000-0000EA600000}"/>
    <cellStyle name="Normal 79 13" xfId="13093" xr:uid="{00000000-0005-0000-0000-0000EB600000}"/>
    <cellStyle name="Normal 79 13 2" xfId="25281" xr:uid="{00000000-0005-0000-0000-0000EC600000}"/>
    <cellStyle name="Normal 79 14" xfId="13094" xr:uid="{00000000-0005-0000-0000-0000ED600000}"/>
    <cellStyle name="Normal 79 14 2" xfId="25282" xr:uid="{00000000-0005-0000-0000-0000EE600000}"/>
    <cellStyle name="Normal 79 15" xfId="13095" xr:uid="{00000000-0005-0000-0000-0000EF600000}"/>
    <cellStyle name="Normal 79 15 2" xfId="25283" xr:uid="{00000000-0005-0000-0000-0000F0600000}"/>
    <cellStyle name="Normal 79 16" xfId="13096" xr:uid="{00000000-0005-0000-0000-0000F1600000}"/>
    <cellStyle name="Normal 79 16 2" xfId="25284" xr:uid="{00000000-0005-0000-0000-0000F2600000}"/>
    <cellStyle name="Normal 79 17" xfId="13097" xr:uid="{00000000-0005-0000-0000-0000F3600000}"/>
    <cellStyle name="Normal 79 17 2" xfId="25285" xr:uid="{00000000-0005-0000-0000-0000F4600000}"/>
    <cellStyle name="Normal 79 18" xfId="13098" xr:uid="{00000000-0005-0000-0000-0000F5600000}"/>
    <cellStyle name="Normal 79 18 2" xfId="25286" xr:uid="{00000000-0005-0000-0000-0000F6600000}"/>
    <cellStyle name="Normal 79 19" xfId="13099" xr:uid="{00000000-0005-0000-0000-0000F7600000}"/>
    <cellStyle name="Normal 79 19 2" xfId="25287" xr:uid="{00000000-0005-0000-0000-0000F8600000}"/>
    <cellStyle name="Normal 79 2" xfId="769" xr:uid="{00000000-0005-0000-0000-0000F9600000}"/>
    <cellStyle name="Normal 79 2 2" xfId="25288" xr:uid="{00000000-0005-0000-0000-0000FA600000}"/>
    <cellStyle name="Normal 79 2 3" xfId="13100" xr:uid="{00000000-0005-0000-0000-0000FB600000}"/>
    <cellStyle name="Normal 79 20" xfId="13101" xr:uid="{00000000-0005-0000-0000-0000FC600000}"/>
    <cellStyle name="Normal 79 20 2" xfId="25289" xr:uid="{00000000-0005-0000-0000-0000FD600000}"/>
    <cellStyle name="Normal 79 21" xfId="13102" xr:uid="{00000000-0005-0000-0000-0000FE600000}"/>
    <cellStyle name="Normal 79 21 2" xfId="25290" xr:uid="{00000000-0005-0000-0000-0000FF600000}"/>
    <cellStyle name="Normal 79 22" xfId="13103" xr:uid="{00000000-0005-0000-0000-000000610000}"/>
    <cellStyle name="Normal 79 22 2" xfId="25291" xr:uid="{00000000-0005-0000-0000-000001610000}"/>
    <cellStyle name="Normal 79 23" xfId="13104" xr:uid="{00000000-0005-0000-0000-000002610000}"/>
    <cellStyle name="Normal 79 23 2" xfId="25292" xr:uid="{00000000-0005-0000-0000-000003610000}"/>
    <cellStyle name="Normal 79 24" xfId="13105" xr:uid="{00000000-0005-0000-0000-000004610000}"/>
    <cellStyle name="Normal 79 24 2" xfId="25293" xr:uid="{00000000-0005-0000-0000-000005610000}"/>
    <cellStyle name="Normal 79 25" xfId="13106" xr:uid="{00000000-0005-0000-0000-000006610000}"/>
    <cellStyle name="Normal 79 25 2" xfId="25294" xr:uid="{00000000-0005-0000-0000-000007610000}"/>
    <cellStyle name="Normal 79 26" xfId="13107" xr:uid="{00000000-0005-0000-0000-000008610000}"/>
    <cellStyle name="Normal 79 26 2" xfId="25295" xr:uid="{00000000-0005-0000-0000-000009610000}"/>
    <cellStyle name="Normal 79 27" xfId="13108" xr:uid="{00000000-0005-0000-0000-00000A610000}"/>
    <cellStyle name="Normal 79 27 2" xfId="25296" xr:uid="{00000000-0005-0000-0000-00000B610000}"/>
    <cellStyle name="Normal 79 28" xfId="13109" xr:uid="{00000000-0005-0000-0000-00000C610000}"/>
    <cellStyle name="Normal 79 28 2" xfId="25297" xr:uid="{00000000-0005-0000-0000-00000D610000}"/>
    <cellStyle name="Normal 79 29" xfId="13110" xr:uid="{00000000-0005-0000-0000-00000E610000}"/>
    <cellStyle name="Normal 79 29 2" xfId="25298" xr:uid="{00000000-0005-0000-0000-00000F610000}"/>
    <cellStyle name="Normal 79 3" xfId="420" xr:uid="{00000000-0005-0000-0000-000010610000}"/>
    <cellStyle name="Normal 79 3 2" xfId="25299" xr:uid="{00000000-0005-0000-0000-000011610000}"/>
    <cellStyle name="Normal 79 30" xfId="13111" xr:uid="{00000000-0005-0000-0000-000012610000}"/>
    <cellStyle name="Normal 79 30 2" xfId="25300" xr:uid="{00000000-0005-0000-0000-000013610000}"/>
    <cellStyle name="Normal 79 31" xfId="13112" xr:uid="{00000000-0005-0000-0000-000014610000}"/>
    <cellStyle name="Normal 79 31 2" xfId="25301" xr:uid="{00000000-0005-0000-0000-000015610000}"/>
    <cellStyle name="Normal 79 32" xfId="13113" xr:uid="{00000000-0005-0000-0000-000016610000}"/>
    <cellStyle name="Normal 79 32 2" xfId="25302" xr:uid="{00000000-0005-0000-0000-000017610000}"/>
    <cellStyle name="Normal 79 33" xfId="13114" xr:uid="{00000000-0005-0000-0000-000018610000}"/>
    <cellStyle name="Normal 79 33 2" xfId="25303" xr:uid="{00000000-0005-0000-0000-000019610000}"/>
    <cellStyle name="Normal 79 34" xfId="13115" xr:uid="{00000000-0005-0000-0000-00001A610000}"/>
    <cellStyle name="Normal 79 34 2" xfId="25304" xr:uid="{00000000-0005-0000-0000-00001B610000}"/>
    <cellStyle name="Normal 79 35" xfId="13116" xr:uid="{00000000-0005-0000-0000-00001C610000}"/>
    <cellStyle name="Normal 79 35 2" xfId="25305" xr:uid="{00000000-0005-0000-0000-00001D610000}"/>
    <cellStyle name="Normal 79 36" xfId="13117" xr:uid="{00000000-0005-0000-0000-00001E610000}"/>
    <cellStyle name="Normal 79 36 2" xfId="25306" xr:uid="{00000000-0005-0000-0000-00001F610000}"/>
    <cellStyle name="Normal 79 37" xfId="13118" xr:uid="{00000000-0005-0000-0000-000020610000}"/>
    <cellStyle name="Normal 79 37 2" xfId="25307" xr:uid="{00000000-0005-0000-0000-000021610000}"/>
    <cellStyle name="Normal 79 38" xfId="13119" xr:uid="{00000000-0005-0000-0000-000022610000}"/>
    <cellStyle name="Normal 79 38 2" xfId="25308" xr:uid="{00000000-0005-0000-0000-000023610000}"/>
    <cellStyle name="Normal 79 39" xfId="13120" xr:uid="{00000000-0005-0000-0000-000024610000}"/>
    <cellStyle name="Normal 79 39 2" xfId="25309" xr:uid="{00000000-0005-0000-0000-000025610000}"/>
    <cellStyle name="Normal 79 4" xfId="13121" xr:uid="{00000000-0005-0000-0000-000026610000}"/>
    <cellStyle name="Normal 79 4 2" xfId="25310" xr:uid="{00000000-0005-0000-0000-000027610000}"/>
    <cellStyle name="Normal 79 40" xfId="13122" xr:uid="{00000000-0005-0000-0000-000028610000}"/>
    <cellStyle name="Normal 79 40 2" xfId="25311" xr:uid="{00000000-0005-0000-0000-000029610000}"/>
    <cellStyle name="Normal 79 41" xfId="13123" xr:uid="{00000000-0005-0000-0000-00002A610000}"/>
    <cellStyle name="Normal 79 41 2" xfId="25312" xr:uid="{00000000-0005-0000-0000-00002B610000}"/>
    <cellStyle name="Normal 79 42" xfId="13124" xr:uid="{00000000-0005-0000-0000-00002C610000}"/>
    <cellStyle name="Normal 79 42 2" xfId="25313" xr:uid="{00000000-0005-0000-0000-00002D610000}"/>
    <cellStyle name="Normal 79 43" xfId="13125" xr:uid="{00000000-0005-0000-0000-00002E610000}"/>
    <cellStyle name="Normal 79 43 2" xfId="25314" xr:uid="{00000000-0005-0000-0000-00002F610000}"/>
    <cellStyle name="Normal 79 44" xfId="13126" xr:uid="{00000000-0005-0000-0000-000030610000}"/>
    <cellStyle name="Normal 79 44 2" xfId="25315" xr:uid="{00000000-0005-0000-0000-000031610000}"/>
    <cellStyle name="Normal 79 45" xfId="13127" xr:uid="{00000000-0005-0000-0000-000032610000}"/>
    <cellStyle name="Normal 79 45 2" xfId="25316" xr:uid="{00000000-0005-0000-0000-000033610000}"/>
    <cellStyle name="Normal 79 46" xfId="13128" xr:uid="{00000000-0005-0000-0000-000034610000}"/>
    <cellStyle name="Normal 79 46 2" xfId="25317" xr:uid="{00000000-0005-0000-0000-000035610000}"/>
    <cellStyle name="Normal 79 47" xfId="13129" xr:uid="{00000000-0005-0000-0000-000036610000}"/>
    <cellStyle name="Normal 79 47 2" xfId="25318" xr:uid="{00000000-0005-0000-0000-000037610000}"/>
    <cellStyle name="Normal 79 48" xfId="13130" xr:uid="{00000000-0005-0000-0000-000038610000}"/>
    <cellStyle name="Normal 79 48 2" xfId="25319" xr:uid="{00000000-0005-0000-0000-000039610000}"/>
    <cellStyle name="Normal 79 49" xfId="13131" xr:uid="{00000000-0005-0000-0000-00003A610000}"/>
    <cellStyle name="Normal 79 49 2" xfId="25320" xr:uid="{00000000-0005-0000-0000-00003B610000}"/>
    <cellStyle name="Normal 79 5" xfId="13132" xr:uid="{00000000-0005-0000-0000-00003C610000}"/>
    <cellStyle name="Normal 79 5 2" xfId="25321" xr:uid="{00000000-0005-0000-0000-00003D610000}"/>
    <cellStyle name="Normal 79 50" xfId="13133" xr:uid="{00000000-0005-0000-0000-00003E610000}"/>
    <cellStyle name="Normal 79 50 2" xfId="25322" xr:uid="{00000000-0005-0000-0000-00003F610000}"/>
    <cellStyle name="Normal 79 51" xfId="13134" xr:uid="{00000000-0005-0000-0000-000040610000}"/>
    <cellStyle name="Normal 79 51 2" xfId="25323" xr:uid="{00000000-0005-0000-0000-000041610000}"/>
    <cellStyle name="Normal 79 52" xfId="13135" xr:uid="{00000000-0005-0000-0000-000042610000}"/>
    <cellStyle name="Normal 79 52 2" xfId="25324" xr:uid="{00000000-0005-0000-0000-000043610000}"/>
    <cellStyle name="Normal 79 53" xfId="13136" xr:uid="{00000000-0005-0000-0000-000044610000}"/>
    <cellStyle name="Normal 79 53 2" xfId="25325" xr:uid="{00000000-0005-0000-0000-000045610000}"/>
    <cellStyle name="Normal 79 54" xfId="13137" xr:uid="{00000000-0005-0000-0000-000046610000}"/>
    <cellStyle name="Normal 79 54 2" xfId="25326" xr:uid="{00000000-0005-0000-0000-000047610000}"/>
    <cellStyle name="Normal 79 55" xfId="13138" xr:uid="{00000000-0005-0000-0000-000048610000}"/>
    <cellStyle name="Normal 79 55 2" xfId="25327" xr:uid="{00000000-0005-0000-0000-000049610000}"/>
    <cellStyle name="Normal 79 56" xfId="13139" xr:uid="{00000000-0005-0000-0000-00004A610000}"/>
    <cellStyle name="Normal 79 56 2" xfId="25328" xr:uid="{00000000-0005-0000-0000-00004B610000}"/>
    <cellStyle name="Normal 79 57" xfId="13140" xr:uid="{00000000-0005-0000-0000-00004C610000}"/>
    <cellStyle name="Normal 79 57 2" xfId="25329" xr:uid="{00000000-0005-0000-0000-00004D610000}"/>
    <cellStyle name="Normal 79 58" xfId="13141" xr:uid="{00000000-0005-0000-0000-00004E610000}"/>
    <cellStyle name="Normal 79 58 2" xfId="25330" xr:uid="{00000000-0005-0000-0000-00004F610000}"/>
    <cellStyle name="Normal 79 59" xfId="13142" xr:uid="{00000000-0005-0000-0000-000050610000}"/>
    <cellStyle name="Normal 79 59 2" xfId="25331" xr:uid="{00000000-0005-0000-0000-000051610000}"/>
    <cellStyle name="Normal 79 6" xfId="13143" xr:uid="{00000000-0005-0000-0000-000052610000}"/>
    <cellStyle name="Normal 79 6 2" xfId="25332" xr:uid="{00000000-0005-0000-0000-000053610000}"/>
    <cellStyle name="Normal 79 60" xfId="13144" xr:uid="{00000000-0005-0000-0000-000054610000}"/>
    <cellStyle name="Normal 79 60 2" xfId="25333" xr:uid="{00000000-0005-0000-0000-000055610000}"/>
    <cellStyle name="Normal 79 61" xfId="13145" xr:uid="{00000000-0005-0000-0000-000056610000}"/>
    <cellStyle name="Normal 79 61 2" xfId="25334" xr:uid="{00000000-0005-0000-0000-000057610000}"/>
    <cellStyle name="Normal 79 62" xfId="13146" xr:uid="{00000000-0005-0000-0000-000058610000}"/>
    <cellStyle name="Normal 79 62 2" xfId="25335" xr:uid="{00000000-0005-0000-0000-000059610000}"/>
    <cellStyle name="Normal 79 63" xfId="13147" xr:uid="{00000000-0005-0000-0000-00005A610000}"/>
    <cellStyle name="Normal 79 63 2" xfId="25336" xr:uid="{00000000-0005-0000-0000-00005B610000}"/>
    <cellStyle name="Normal 79 64" xfId="13148" xr:uid="{00000000-0005-0000-0000-00005C610000}"/>
    <cellStyle name="Normal 79 64 2" xfId="25337" xr:uid="{00000000-0005-0000-0000-00005D610000}"/>
    <cellStyle name="Normal 79 65" xfId="13149" xr:uid="{00000000-0005-0000-0000-00005E610000}"/>
    <cellStyle name="Normal 79 65 2" xfId="25338" xr:uid="{00000000-0005-0000-0000-00005F610000}"/>
    <cellStyle name="Normal 79 66" xfId="13150" xr:uid="{00000000-0005-0000-0000-000060610000}"/>
    <cellStyle name="Normal 79 66 2" xfId="25339" xr:uid="{00000000-0005-0000-0000-000061610000}"/>
    <cellStyle name="Normal 79 67" xfId="13151" xr:uid="{00000000-0005-0000-0000-000062610000}"/>
    <cellStyle name="Normal 79 67 2" xfId="25340" xr:uid="{00000000-0005-0000-0000-000063610000}"/>
    <cellStyle name="Normal 79 68" xfId="13152" xr:uid="{00000000-0005-0000-0000-000064610000}"/>
    <cellStyle name="Normal 79 68 2" xfId="25341" xr:uid="{00000000-0005-0000-0000-000065610000}"/>
    <cellStyle name="Normal 79 69" xfId="13153" xr:uid="{00000000-0005-0000-0000-000066610000}"/>
    <cellStyle name="Normal 79 69 2" xfId="25342" xr:uid="{00000000-0005-0000-0000-000067610000}"/>
    <cellStyle name="Normal 79 7" xfId="13154" xr:uid="{00000000-0005-0000-0000-000068610000}"/>
    <cellStyle name="Normal 79 7 2" xfId="25343" xr:uid="{00000000-0005-0000-0000-000069610000}"/>
    <cellStyle name="Normal 79 70" xfId="13155" xr:uid="{00000000-0005-0000-0000-00006A610000}"/>
    <cellStyle name="Normal 79 70 2" xfId="25344" xr:uid="{00000000-0005-0000-0000-00006B610000}"/>
    <cellStyle name="Normal 79 71" xfId="13156" xr:uid="{00000000-0005-0000-0000-00006C610000}"/>
    <cellStyle name="Normal 79 71 2" xfId="25345" xr:uid="{00000000-0005-0000-0000-00006D610000}"/>
    <cellStyle name="Normal 79 72" xfId="13157" xr:uid="{00000000-0005-0000-0000-00006E610000}"/>
    <cellStyle name="Normal 79 72 2" xfId="25346" xr:uid="{00000000-0005-0000-0000-00006F610000}"/>
    <cellStyle name="Normal 79 73" xfId="13158" xr:uid="{00000000-0005-0000-0000-000070610000}"/>
    <cellStyle name="Normal 79 73 2" xfId="25347" xr:uid="{00000000-0005-0000-0000-000071610000}"/>
    <cellStyle name="Normal 79 74" xfId="13159" xr:uid="{00000000-0005-0000-0000-000072610000}"/>
    <cellStyle name="Normal 79 74 2" xfId="25348" xr:uid="{00000000-0005-0000-0000-000073610000}"/>
    <cellStyle name="Normal 79 75" xfId="13160" xr:uid="{00000000-0005-0000-0000-000074610000}"/>
    <cellStyle name="Normal 79 75 2" xfId="25349" xr:uid="{00000000-0005-0000-0000-000075610000}"/>
    <cellStyle name="Normal 79 76" xfId="13161" xr:uid="{00000000-0005-0000-0000-000076610000}"/>
    <cellStyle name="Normal 79 76 2" xfId="25350" xr:uid="{00000000-0005-0000-0000-000077610000}"/>
    <cellStyle name="Normal 79 77" xfId="13162" xr:uid="{00000000-0005-0000-0000-000078610000}"/>
    <cellStyle name="Normal 79 77 2" xfId="25351" xr:uid="{00000000-0005-0000-0000-000079610000}"/>
    <cellStyle name="Normal 79 78" xfId="13163" xr:uid="{00000000-0005-0000-0000-00007A610000}"/>
    <cellStyle name="Normal 79 78 2" xfId="25352" xr:uid="{00000000-0005-0000-0000-00007B610000}"/>
    <cellStyle name="Normal 79 79" xfId="13164" xr:uid="{00000000-0005-0000-0000-00007C610000}"/>
    <cellStyle name="Normal 79 79 2" xfId="25353" xr:uid="{00000000-0005-0000-0000-00007D610000}"/>
    <cellStyle name="Normal 79 8" xfId="13165" xr:uid="{00000000-0005-0000-0000-00007E610000}"/>
    <cellStyle name="Normal 79 8 2" xfId="25354" xr:uid="{00000000-0005-0000-0000-00007F610000}"/>
    <cellStyle name="Normal 79 80" xfId="25277" xr:uid="{00000000-0005-0000-0000-000080610000}"/>
    <cellStyle name="Normal 79 9" xfId="13166" xr:uid="{00000000-0005-0000-0000-000081610000}"/>
    <cellStyle name="Normal 79 9 2" xfId="25355" xr:uid="{00000000-0005-0000-0000-000082610000}"/>
    <cellStyle name="Normal 8" xfId="106" xr:uid="{00000000-0005-0000-0000-000083610000}"/>
    <cellStyle name="Normal 8 10" xfId="13167" xr:uid="{00000000-0005-0000-0000-000084610000}"/>
    <cellStyle name="Normal 8 10 2" xfId="25356" xr:uid="{00000000-0005-0000-0000-000085610000}"/>
    <cellStyle name="Normal 8 11" xfId="13168" xr:uid="{00000000-0005-0000-0000-000086610000}"/>
    <cellStyle name="Normal 8 11 2" xfId="25357" xr:uid="{00000000-0005-0000-0000-000087610000}"/>
    <cellStyle name="Normal 8 12" xfId="13169" xr:uid="{00000000-0005-0000-0000-000088610000}"/>
    <cellStyle name="Normal 8 12 2" xfId="25358" xr:uid="{00000000-0005-0000-0000-000089610000}"/>
    <cellStyle name="Normal 8 13" xfId="13170" xr:uid="{00000000-0005-0000-0000-00008A610000}"/>
    <cellStyle name="Normal 8 13 2" xfId="25359" xr:uid="{00000000-0005-0000-0000-00008B610000}"/>
    <cellStyle name="Normal 8 14" xfId="13171" xr:uid="{00000000-0005-0000-0000-00008C610000}"/>
    <cellStyle name="Normal 8 14 2" xfId="25360" xr:uid="{00000000-0005-0000-0000-00008D610000}"/>
    <cellStyle name="Normal 8 15" xfId="13172" xr:uid="{00000000-0005-0000-0000-00008E610000}"/>
    <cellStyle name="Normal 8 15 2" xfId="25361" xr:uid="{00000000-0005-0000-0000-00008F610000}"/>
    <cellStyle name="Normal 8 16" xfId="13173" xr:uid="{00000000-0005-0000-0000-000090610000}"/>
    <cellStyle name="Normal 8 16 2" xfId="25362" xr:uid="{00000000-0005-0000-0000-000091610000}"/>
    <cellStyle name="Normal 8 17" xfId="13174" xr:uid="{00000000-0005-0000-0000-000092610000}"/>
    <cellStyle name="Normal 8 17 2" xfId="25363" xr:uid="{00000000-0005-0000-0000-000093610000}"/>
    <cellStyle name="Normal 8 18" xfId="13175" xr:uid="{00000000-0005-0000-0000-000094610000}"/>
    <cellStyle name="Normal 8 18 2" xfId="25364" xr:uid="{00000000-0005-0000-0000-000095610000}"/>
    <cellStyle name="Normal 8 19" xfId="13176" xr:uid="{00000000-0005-0000-0000-000096610000}"/>
    <cellStyle name="Normal 8 19 2" xfId="25365" xr:uid="{00000000-0005-0000-0000-000097610000}"/>
    <cellStyle name="Normal 8 2" xfId="782" xr:uid="{00000000-0005-0000-0000-000098610000}"/>
    <cellStyle name="Normal 8 2 10" xfId="13177" xr:uid="{00000000-0005-0000-0000-000099610000}"/>
    <cellStyle name="Normal 8 2 10 2" xfId="25367" xr:uid="{00000000-0005-0000-0000-00009A610000}"/>
    <cellStyle name="Normal 8 2 11" xfId="13178" xr:uid="{00000000-0005-0000-0000-00009B610000}"/>
    <cellStyle name="Normal 8 2 11 2" xfId="25368" xr:uid="{00000000-0005-0000-0000-00009C610000}"/>
    <cellStyle name="Normal 8 2 12" xfId="13179" xr:uid="{00000000-0005-0000-0000-00009D610000}"/>
    <cellStyle name="Normal 8 2 12 2" xfId="25369" xr:uid="{00000000-0005-0000-0000-00009E610000}"/>
    <cellStyle name="Normal 8 2 13" xfId="13180" xr:uid="{00000000-0005-0000-0000-00009F610000}"/>
    <cellStyle name="Normal 8 2 13 2" xfId="25370" xr:uid="{00000000-0005-0000-0000-0000A0610000}"/>
    <cellStyle name="Normal 8 2 14" xfId="13181" xr:uid="{00000000-0005-0000-0000-0000A1610000}"/>
    <cellStyle name="Normal 8 2 14 2" xfId="25371" xr:uid="{00000000-0005-0000-0000-0000A2610000}"/>
    <cellStyle name="Normal 8 2 15" xfId="13182" xr:uid="{00000000-0005-0000-0000-0000A3610000}"/>
    <cellStyle name="Normal 8 2 15 2" xfId="25372" xr:uid="{00000000-0005-0000-0000-0000A4610000}"/>
    <cellStyle name="Normal 8 2 16" xfId="13183" xr:uid="{00000000-0005-0000-0000-0000A5610000}"/>
    <cellStyle name="Normal 8 2 16 2" xfId="25373" xr:uid="{00000000-0005-0000-0000-0000A6610000}"/>
    <cellStyle name="Normal 8 2 17" xfId="13184" xr:uid="{00000000-0005-0000-0000-0000A7610000}"/>
    <cellStyle name="Normal 8 2 17 2" xfId="25374" xr:uid="{00000000-0005-0000-0000-0000A8610000}"/>
    <cellStyle name="Normal 8 2 18" xfId="13185" xr:uid="{00000000-0005-0000-0000-0000A9610000}"/>
    <cellStyle name="Normal 8 2 18 2" xfId="25375" xr:uid="{00000000-0005-0000-0000-0000AA610000}"/>
    <cellStyle name="Normal 8 2 19" xfId="13186" xr:uid="{00000000-0005-0000-0000-0000AB610000}"/>
    <cellStyle name="Normal 8 2 19 2" xfId="25376" xr:uid="{00000000-0005-0000-0000-0000AC610000}"/>
    <cellStyle name="Normal 8 2 2" xfId="13187" xr:uid="{00000000-0005-0000-0000-0000AD610000}"/>
    <cellStyle name="Normal 8 2 2 2" xfId="25377" xr:uid="{00000000-0005-0000-0000-0000AE610000}"/>
    <cellStyle name="Normal 8 2 20" xfId="13188" xr:uid="{00000000-0005-0000-0000-0000AF610000}"/>
    <cellStyle name="Normal 8 2 20 2" xfId="25378" xr:uid="{00000000-0005-0000-0000-0000B0610000}"/>
    <cellStyle name="Normal 8 2 21" xfId="13189" xr:uid="{00000000-0005-0000-0000-0000B1610000}"/>
    <cellStyle name="Normal 8 2 21 2" xfId="25379" xr:uid="{00000000-0005-0000-0000-0000B2610000}"/>
    <cellStyle name="Normal 8 2 22" xfId="13190" xr:uid="{00000000-0005-0000-0000-0000B3610000}"/>
    <cellStyle name="Normal 8 2 22 2" xfId="25380" xr:uid="{00000000-0005-0000-0000-0000B4610000}"/>
    <cellStyle name="Normal 8 2 23" xfId="13191" xr:uid="{00000000-0005-0000-0000-0000B5610000}"/>
    <cellStyle name="Normal 8 2 23 2" xfId="25381" xr:uid="{00000000-0005-0000-0000-0000B6610000}"/>
    <cellStyle name="Normal 8 2 24" xfId="13192" xr:uid="{00000000-0005-0000-0000-0000B7610000}"/>
    <cellStyle name="Normal 8 2 24 2" xfId="25382" xr:uid="{00000000-0005-0000-0000-0000B8610000}"/>
    <cellStyle name="Normal 8 2 25" xfId="13193" xr:uid="{00000000-0005-0000-0000-0000B9610000}"/>
    <cellStyle name="Normal 8 2 25 2" xfId="25383" xr:uid="{00000000-0005-0000-0000-0000BA610000}"/>
    <cellStyle name="Normal 8 2 26" xfId="13194" xr:uid="{00000000-0005-0000-0000-0000BB610000}"/>
    <cellStyle name="Normal 8 2 26 2" xfId="25384" xr:uid="{00000000-0005-0000-0000-0000BC610000}"/>
    <cellStyle name="Normal 8 2 27" xfId="13195" xr:uid="{00000000-0005-0000-0000-0000BD610000}"/>
    <cellStyle name="Normal 8 2 27 2" xfId="25385" xr:uid="{00000000-0005-0000-0000-0000BE610000}"/>
    <cellStyle name="Normal 8 2 28" xfId="13196" xr:uid="{00000000-0005-0000-0000-0000BF610000}"/>
    <cellStyle name="Normal 8 2 28 2" xfId="25386" xr:uid="{00000000-0005-0000-0000-0000C0610000}"/>
    <cellStyle name="Normal 8 2 29" xfId="13197" xr:uid="{00000000-0005-0000-0000-0000C1610000}"/>
    <cellStyle name="Normal 8 2 29 2" xfId="25387" xr:uid="{00000000-0005-0000-0000-0000C2610000}"/>
    <cellStyle name="Normal 8 2 3" xfId="13198" xr:uid="{00000000-0005-0000-0000-0000C3610000}"/>
    <cellStyle name="Normal 8 2 3 2" xfId="25388" xr:uid="{00000000-0005-0000-0000-0000C4610000}"/>
    <cellStyle name="Normal 8 2 30" xfId="13199" xr:uid="{00000000-0005-0000-0000-0000C5610000}"/>
    <cellStyle name="Normal 8 2 30 2" xfId="25389" xr:uid="{00000000-0005-0000-0000-0000C6610000}"/>
    <cellStyle name="Normal 8 2 31" xfId="13200" xr:uid="{00000000-0005-0000-0000-0000C7610000}"/>
    <cellStyle name="Normal 8 2 31 2" xfId="25390" xr:uid="{00000000-0005-0000-0000-0000C8610000}"/>
    <cellStyle name="Normal 8 2 32" xfId="13201" xr:uid="{00000000-0005-0000-0000-0000C9610000}"/>
    <cellStyle name="Normal 8 2 32 2" xfId="25391" xr:uid="{00000000-0005-0000-0000-0000CA610000}"/>
    <cellStyle name="Normal 8 2 33" xfId="13202" xr:uid="{00000000-0005-0000-0000-0000CB610000}"/>
    <cellStyle name="Normal 8 2 33 2" xfId="25392" xr:uid="{00000000-0005-0000-0000-0000CC610000}"/>
    <cellStyle name="Normal 8 2 34" xfId="13203" xr:uid="{00000000-0005-0000-0000-0000CD610000}"/>
    <cellStyle name="Normal 8 2 34 2" xfId="25393" xr:uid="{00000000-0005-0000-0000-0000CE610000}"/>
    <cellStyle name="Normal 8 2 35" xfId="13204" xr:uid="{00000000-0005-0000-0000-0000CF610000}"/>
    <cellStyle name="Normal 8 2 35 2" xfId="25394" xr:uid="{00000000-0005-0000-0000-0000D0610000}"/>
    <cellStyle name="Normal 8 2 36" xfId="13205" xr:uid="{00000000-0005-0000-0000-0000D1610000}"/>
    <cellStyle name="Normal 8 2 36 2" xfId="25395" xr:uid="{00000000-0005-0000-0000-0000D2610000}"/>
    <cellStyle name="Normal 8 2 37" xfId="13206" xr:uid="{00000000-0005-0000-0000-0000D3610000}"/>
    <cellStyle name="Normal 8 2 37 2" xfId="25396" xr:uid="{00000000-0005-0000-0000-0000D4610000}"/>
    <cellStyle name="Normal 8 2 38" xfId="13207" xr:uid="{00000000-0005-0000-0000-0000D5610000}"/>
    <cellStyle name="Normal 8 2 38 2" xfId="25397" xr:uid="{00000000-0005-0000-0000-0000D6610000}"/>
    <cellStyle name="Normal 8 2 39" xfId="13208" xr:uid="{00000000-0005-0000-0000-0000D7610000}"/>
    <cellStyle name="Normal 8 2 39 2" xfId="25398" xr:uid="{00000000-0005-0000-0000-0000D8610000}"/>
    <cellStyle name="Normal 8 2 4" xfId="13209" xr:uid="{00000000-0005-0000-0000-0000D9610000}"/>
    <cellStyle name="Normal 8 2 4 2" xfId="25399" xr:uid="{00000000-0005-0000-0000-0000DA610000}"/>
    <cellStyle name="Normal 8 2 40" xfId="13210" xr:uid="{00000000-0005-0000-0000-0000DB610000}"/>
    <cellStyle name="Normal 8 2 40 2" xfId="25400" xr:uid="{00000000-0005-0000-0000-0000DC610000}"/>
    <cellStyle name="Normal 8 2 41" xfId="13211" xr:uid="{00000000-0005-0000-0000-0000DD610000}"/>
    <cellStyle name="Normal 8 2 41 2" xfId="25401" xr:uid="{00000000-0005-0000-0000-0000DE610000}"/>
    <cellStyle name="Normal 8 2 42" xfId="13212" xr:uid="{00000000-0005-0000-0000-0000DF610000}"/>
    <cellStyle name="Normal 8 2 42 2" xfId="25402" xr:uid="{00000000-0005-0000-0000-0000E0610000}"/>
    <cellStyle name="Normal 8 2 43" xfId="13213" xr:uid="{00000000-0005-0000-0000-0000E1610000}"/>
    <cellStyle name="Normal 8 2 43 2" xfId="25403" xr:uid="{00000000-0005-0000-0000-0000E2610000}"/>
    <cellStyle name="Normal 8 2 44" xfId="13214" xr:uid="{00000000-0005-0000-0000-0000E3610000}"/>
    <cellStyle name="Normal 8 2 44 2" xfId="25404" xr:uid="{00000000-0005-0000-0000-0000E4610000}"/>
    <cellStyle name="Normal 8 2 45" xfId="13215" xr:uid="{00000000-0005-0000-0000-0000E5610000}"/>
    <cellStyle name="Normal 8 2 45 2" xfId="25405" xr:uid="{00000000-0005-0000-0000-0000E6610000}"/>
    <cellStyle name="Normal 8 2 46" xfId="13216" xr:uid="{00000000-0005-0000-0000-0000E7610000}"/>
    <cellStyle name="Normal 8 2 46 2" xfId="25406" xr:uid="{00000000-0005-0000-0000-0000E8610000}"/>
    <cellStyle name="Normal 8 2 47" xfId="13217" xr:uid="{00000000-0005-0000-0000-0000E9610000}"/>
    <cellStyle name="Normal 8 2 47 2" xfId="25407" xr:uid="{00000000-0005-0000-0000-0000EA610000}"/>
    <cellStyle name="Normal 8 2 48" xfId="13218" xr:uid="{00000000-0005-0000-0000-0000EB610000}"/>
    <cellStyle name="Normal 8 2 48 2" xfId="25408" xr:uid="{00000000-0005-0000-0000-0000EC610000}"/>
    <cellStyle name="Normal 8 2 49" xfId="13219" xr:uid="{00000000-0005-0000-0000-0000ED610000}"/>
    <cellStyle name="Normal 8 2 49 2" xfId="25409" xr:uid="{00000000-0005-0000-0000-0000EE610000}"/>
    <cellStyle name="Normal 8 2 5" xfId="13220" xr:uid="{00000000-0005-0000-0000-0000EF610000}"/>
    <cellStyle name="Normal 8 2 5 2" xfId="25410" xr:uid="{00000000-0005-0000-0000-0000F0610000}"/>
    <cellStyle name="Normal 8 2 50" xfId="13221" xr:uid="{00000000-0005-0000-0000-0000F1610000}"/>
    <cellStyle name="Normal 8 2 50 2" xfId="25411" xr:uid="{00000000-0005-0000-0000-0000F2610000}"/>
    <cellStyle name="Normal 8 2 51" xfId="13222" xr:uid="{00000000-0005-0000-0000-0000F3610000}"/>
    <cellStyle name="Normal 8 2 51 2" xfId="25412" xr:uid="{00000000-0005-0000-0000-0000F4610000}"/>
    <cellStyle name="Normal 8 2 52" xfId="13223" xr:uid="{00000000-0005-0000-0000-0000F5610000}"/>
    <cellStyle name="Normal 8 2 52 2" xfId="25413" xr:uid="{00000000-0005-0000-0000-0000F6610000}"/>
    <cellStyle name="Normal 8 2 53" xfId="13224" xr:uid="{00000000-0005-0000-0000-0000F7610000}"/>
    <cellStyle name="Normal 8 2 53 2" xfId="25414" xr:uid="{00000000-0005-0000-0000-0000F8610000}"/>
    <cellStyle name="Normal 8 2 54" xfId="13225" xr:uid="{00000000-0005-0000-0000-0000F9610000}"/>
    <cellStyle name="Normal 8 2 54 2" xfId="25415" xr:uid="{00000000-0005-0000-0000-0000FA610000}"/>
    <cellStyle name="Normal 8 2 55" xfId="13226" xr:uid="{00000000-0005-0000-0000-0000FB610000}"/>
    <cellStyle name="Normal 8 2 55 2" xfId="25416" xr:uid="{00000000-0005-0000-0000-0000FC610000}"/>
    <cellStyle name="Normal 8 2 56" xfId="13227" xr:uid="{00000000-0005-0000-0000-0000FD610000}"/>
    <cellStyle name="Normal 8 2 56 2" xfId="25417" xr:uid="{00000000-0005-0000-0000-0000FE610000}"/>
    <cellStyle name="Normal 8 2 57" xfId="13228" xr:uid="{00000000-0005-0000-0000-0000FF610000}"/>
    <cellStyle name="Normal 8 2 57 2" xfId="25418" xr:uid="{00000000-0005-0000-0000-000000620000}"/>
    <cellStyle name="Normal 8 2 58" xfId="13229" xr:uid="{00000000-0005-0000-0000-000001620000}"/>
    <cellStyle name="Normal 8 2 58 2" xfId="25419" xr:uid="{00000000-0005-0000-0000-000002620000}"/>
    <cellStyle name="Normal 8 2 59" xfId="13230" xr:uid="{00000000-0005-0000-0000-000003620000}"/>
    <cellStyle name="Normal 8 2 59 2" xfId="25420" xr:uid="{00000000-0005-0000-0000-000004620000}"/>
    <cellStyle name="Normal 8 2 6" xfId="13231" xr:uid="{00000000-0005-0000-0000-000005620000}"/>
    <cellStyle name="Normal 8 2 6 2" xfId="25421" xr:uid="{00000000-0005-0000-0000-000006620000}"/>
    <cellStyle name="Normal 8 2 60" xfId="13232" xr:uid="{00000000-0005-0000-0000-000007620000}"/>
    <cellStyle name="Normal 8 2 60 2" xfId="25422" xr:uid="{00000000-0005-0000-0000-000008620000}"/>
    <cellStyle name="Normal 8 2 61" xfId="13233" xr:uid="{00000000-0005-0000-0000-000009620000}"/>
    <cellStyle name="Normal 8 2 61 2" xfId="25423" xr:uid="{00000000-0005-0000-0000-00000A620000}"/>
    <cellStyle name="Normal 8 2 62" xfId="13234" xr:uid="{00000000-0005-0000-0000-00000B620000}"/>
    <cellStyle name="Normal 8 2 62 2" xfId="25424" xr:uid="{00000000-0005-0000-0000-00000C620000}"/>
    <cellStyle name="Normal 8 2 63" xfId="13235" xr:uid="{00000000-0005-0000-0000-00000D620000}"/>
    <cellStyle name="Normal 8 2 63 2" xfId="25425" xr:uid="{00000000-0005-0000-0000-00000E620000}"/>
    <cellStyle name="Normal 8 2 64" xfId="13236" xr:uid="{00000000-0005-0000-0000-00000F620000}"/>
    <cellStyle name="Normal 8 2 64 2" xfId="25426" xr:uid="{00000000-0005-0000-0000-000010620000}"/>
    <cellStyle name="Normal 8 2 65" xfId="13237" xr:uid="{00000000-0005-0000-0000-000011620000}"/>
    <cellStyle name="Normal 8 2 65 2" xfId="25427" xr:uid="{00000000-0005-0000-0000-000012620000}"/>
    <cellStyle name="Normal 8 2 66" xfId="13238" xr:uid="{00000000-0005-0000-0000-000013620000}"/>
    <cellStyle name="Normal 8 2 66 2" xfId="25428" xr:uid="{00000000-0005-0000-0000-000014620000}"/>
    <cellStyle name="Normal 8 2 67" xfId="13239" xr:uid="{00000000-0005-0000-0000-000015620000}"/>
    <cellStyle name="Normal 8 2 67 2" xfId="25429" xr:uid="{00000000-0005-0000-0000-000016620000}"/>
    <cellStyle name="Normal 8 2 68" xfId="13240" xr:uid="{00000000-0005-0000-0000-000017620000}"/>
    <cellStyle name="Normal 8 2 68 2" xfId="25430" xr:uid="{00000000-0005-0000-0000-000018620000}"/>
    <cellStyle name="Normal 8 2 69" xfId="13241" xr:uid="{00000000-0005-0000-0000-000019620000}"/>
    <cellStyle name="Normal 8 2 69 2" xfId="25431" xr:uid="{00000000-0005-0000-0000-00001A620000}"/>
    <cellStyle name="Normal 8 2 7" xfId="13242" xr:uid="{00000000-0005-0000-0000-00001B620000}"/>
    <cellStyle name="Normal 8 2 7 2" xfId="25432" xr:uid="{00000000-0005-0000-0000-00001C620000}"/>
    <cellStyle name="Normal 8 2 70" xfId="13243" xr:uid="{00000000-0005-0000-0000-00001D620000}"/>
    <cellStyle name="Normal 8 2 70 2" xfId="25433" xr:uid="{00000000-0005-0000-0000-00001E620000}"/>
    <cellStyle name="Normal 8 2 71" xfId="13244" xr:uid="{00000000-0005-0000-0000-00001F620000}"/>
    <cellStyle name="Normal 8 2 71 2" xfId="25434" xr:uid="{00000000-0005-0000-0000-000020620000}"/>
    <cellStyle name="Normal 8 2 72" xfId="13245" xr:uid="{00000000-0005-0000-0000-000021620000}"/>
    <cellStyle name="Normal 8 2 72 2" xfId="25435" xr:uid="{00000000-0005-0000-0000-000022620000}"/>
    <cellStyle name="Normal 8 2 73" xfId="13246" xr:uid="{00000000-0005-0000-0000-000023620000}"/>
    <cellStyle name="Normal 8 2 73 2" xfId="25436" xr:uid="{00000000-0005-0000-0000-000024620000}"/>
    <cellStyle name="Normal 8 2 74" xfId="13247" xr:uid="{00000000-0005-0000-0000-000025620000}"/>
    <cellStyle name="Normal 8 2 74 2" xfId="25437" xr:uid="{00000000-0005-0000-0000-000026620000}"/>
    <cellStyle name="Normal 8 2 75" xfId="13248" xr:uid="{00000000-0005-0000-0000-000027620000}"/>
    <cellStyle name="Normal 8 2 75 2" xfId="25438" xr:uid="{00000000-0005-0000-0000-000028620000}"/>
    <cellStyle name="Normal 8 2 76" xfId="13249" xr:uid="{00000000-0005-0000-0000-000029620000}"/>
    <cellStyle name="Normal 8 2 76 2" xfId="25439" xr:uid="{00000000-0005-0000-0000-00002A620000}"/>
    <cellStyle name="Normal 8 2 77" xfId="13250" xr:uid="{00000000-0005-0000-0000-00002B620000}"/>
    <cellStyle name="Normal 8 2 77 2" xfId="25440" xr:uid="{00000000-0005-0000-0000-00002C620000}"/>
    <cellStyle name="Normal 8 2 78" xfId="13251" xr:uid="{00000000-0005-0000-0000-00002D620000}"/>
    <cellStyle name="Normal 8 2 78 2" xfId="25441" xr:uid="{00000000-0005-0000-0000-00002E620000}"/>
    <cellStyle name="Normal 8 2 79" xfId="13252" xr:uid="{00000000-0005-0000-0000-00002F620000}"/>
    <cellStyle name="Normal 8 2 79 2" xfId="25442" xr:uid="{00000000-0005-0000-0000-000030620000}"/>
    <cellStyle name="Normal 8 2 8" xfId="13253" xr:uid="{00000000-0005-0000-0000-000031620000}"/>
    <cellStyle name="Normal 8 2 8 2" xfId="25443" xr:uid="{00000000-0005-0000-0000-000032620000}"/>
    <cellStyle name="Normal 8 2 80" xfId="25366" xr:uid="{00000000-0005-0000-0000-000033620000}"/>
    <cellStyle name="Normal 8 2 9" xfId="13254" xr:uid="{00000000-0005-0000-0000-000034620000}"/>
    <cellStyle name="Normal 8 2 9 2" xfId="25444" xr:uid="{00000000-0005-0000-0000-000035620000}"/>
    <cellStyle name="Normal 8 20" xfId="13255" xr:uid="{00000000-0005-0000-0000-000036620000}"/>
    <cellStyle name="Normal 8 20 2" xfId="25445" xr:uid="{00000000-0005-0000-0000-000037620000}"/>
    <cellStyle name="Normal 8 21" xfId="13256" xr:uid="{00000000-0005-0000-0000-000038620000}"/>
    <cellStyle name="Normal 8 21 2" xfId="25446" xr:uid="{00000000-0005-0000-0000-000039620000}"/>
    <cellStyle name="Normal 8 22" xfId="13257" xr:uid="{00000000-0005-0000-0000-00003A620000}"/>
    <cellStyle name="Normal 8 22 2" xfId="25447" xr:uid="{00000000-0005-0000-0000-00003B620000}"/>
    <cellStyle name="Normal 8 23" xfId="13258" xr:uid="{00000000-0005-0000-0000-00003C620000}"/>
    <cellStyle name="Normal 8 23 2" xfId="25448" xr:uid="{00000000-0005-0000-0000-00003D620000}"/>
    <cellStyle name="Normal 8 24" xfId="13259" xr:uid="{00000000-0005-0000-0000-00003E620000}"/>
    <cellStyle name="Normal 8 24 2" xfId="25449" xr:uid="{00000000-0005-0000-0000-00003F620000}"/>
    <cellStyle name="Normal 8 25" xfId="13260" xr:uid="{00000000-0005-0000-0000-000040620000}"/>
    <cellStyle name="Normal 8 25 2" xfId="25450" xr:uid="{00000000-0005-0000-0000-000041620000}"/>
    <cellStyle name="Normal 8 26" xfId="13261" xr:uid="{00000000-0005-0000-0000-000042620000}"/>
    <cellStyle name="Normal 8 26 2" xfId="25451" xr:uid="{00000000-0005-0000-0000-000043620000}"/>
    <cellStyle name="Normal 8 27" xfId="13262" xr:uid="{00000000-0005-0000-0000-000044620000}"/>
    <cellStyle name="Normal 8 27 2" xfId="25452" xr:uid="{00000000-0005-0000-0000-000045620000}"/>
    <cellStyle name="Normal 8 28" xfId="13263" xr:uid="{00000000-0005-0000-0000-000046620000}"/>
    <cellStyle name="Normal 8 28 2" xfId="25453" xr:uid="{00000000-0005-0000-0000-000047620000}"/>
    <cellStyle name="Normal 8 29" xfId="13264" xr:uid="{00000000-0005-0000-0000-000048620000}"/>
    <cellStyle name="Normal 8 29 2" xfId="25454" xr:uid="{00000000-0005-0000-0000-000049620000}"/>
    <cellStyle name="Normal 8 3" xfId="770" xr:uid="{00000000-0005-0000-0000-00004A620000}"/>
    <cellStyle name="Normal 8 3 10" xfId="13266" xr:uid="{00000000-0005-0000-0000-00004B620000}"/>
    <cellStyle name="Normal 8 3 10 2" xfId="25456" xr:uid="{00000000-0005-0000-0000-00004C620000}"/>
    <cellStyle name="Normal 8 3 11" xfId="13267" xr:uid="{00000000-0005-0000-0000-00004D620000}"/>
    <cellStyle name="Normal 8 3 11 2" xfId="25457" xr:uid="{00000000-0005-0000-0000-00004E620000}"/>
    <cellStyle name="Normal 8 3 12" xfId="13268" xr:uid="{00000000-0005-0000-0000-00004F620000}"/>
    <cellStyle name="Normal 8 3 12 2" xfId="25458" xr:uid="{00000000-0005-0000-0000-000050620000}"/>
    <cellStyle name="Normal 8 3 13" xfId="13269" xr:uid="{00000000-0005-0000-0000-000051620000}"/>
    <cellStyle name="Normal 8 3 13 2" xfId="25459" xr:uid="{00000000-0005-0000-0000-000052620000}"/>
    <cellStyle name="Normal 8 3 14" xfId="13270" xr:uid="{00000000-0005-0000-0000-000053620000}"/>
    <cellStyle name="Normal 8 3 14 2" xfId="25460" xr:uid="{00000000-0005-0000-0000-000054620000}"/>
    <cellStyle name="Normal 8 3 15" xfId="13271" xr:uid="{00000000-0005-0000-0000-000055620000}"/>
    <cellStyle name="Normal 8 3 15 2" xfId="25461" xr:uid="{00000000-0005-0000-0000-000056620000}"/>
    <cellStyle name="Normal 8 3 16" xfId="13272" xr:uid="{00000000-0005-0000-0000-000057620000}"/>
    <cellStyle name="Normal 8 3 16 2" xfId="25462" xr:uid="{00000000-0005-0000-0000-000058620000}"/>
    <cellStyle name="Normal 8 3 17" xfId="13273" xr:uid="{00000000-0005-0000-0000-000059620000}"/>
    <cellStyle name="Normal 8 3 17 2" xfId="25463" xr:uid="{00000000-0005-0000-0000-00005A620000}"/>
    <cellStyle name="Normal 8 3 18" xfId="13274" xr:uid="{00000000-0005-0000-0000-00005B620000}"/>
    <cellStyle name="Normal 8 3 18 2" xfId="25464" xr:uid="{00000000-0005-0000-0000-00005C620000}"/>
    <cellStyle name="Normal 8 3 19" xfId="13275" xr:uid="{00000000-0005-0000-0000-00005D620000}"/>
    <cellStyle name="Normal 8 3 19 2" xfId="25465" xr:uid="{00000000-0005-0000-0000-00005E620000}"/>
    <cellStyle name="Normal 8 3 2" xfId="13276" xr:uid="{00000000-0005-0000-0000-00005F620000}"/>
    <cellStyle name="Normal 8 3 2 2" xfId="25466" xr:uid="{00000000-0005-0000-0000-000060620000}"/>
    <cellStyle name="Normal 8 3 20" xfId="13277" xr:uid="{00000000-0005-0000-0000-000061620000}"/>
    <cellStyle name="Normal 8 3 20 2" xfId="25467" xr:uid="{00000000-0005-0000-0000-000062620000}"/>
    <cellStyle name="Normal 8 3 21" xfId="13278" xr:uid="{00000000-0005-0000-0000-000063620000}"/>
    <cellStyle name="Normal 8 3 21 2" xfId="25468" xr:uid="{00000000-0005-0000-0000-000064620000}"/>
    <cellStyle name="Normal 8 3 22" xfId="13279" xr:uid="{00000000-0005-0000-0000-000065620000}"/>
    <cellStyle name="Normal 8 3 22 2" xfId="25469" xr:uid="{00000000-0005-0000-0000-000066620000}"/>
    <cellStyle name="Normal 8 3 23" xfId="13280" xr:uid="{00000000-0005-0000-0000-000067620000}"/>
    <cellStyle name="Normal 8 3 23 2" xfId="25470" xr:uid="{00000000-0005-0000-0000-000068620000}"/>
    <cellStyle name="Normal 8 3 24" xfId="13281" xr:uid="{00000000-0005-0000-0000-000069620000}"/>
    <cellStyle name="Normal 8 3 24 2" xfId="25471" xr:uid="{00000000-0005-0000-0000-00006A620000}"/>
    <cellStyle name="Normal 8 3 25" xfId="13282" xr:uid="{00000000-0005-0000-0000-00006B620000}"/>
    <cellStyle name="Normal 8 3 25 2" xfId="25472" xr:uid="{00000000-0005-0000-0000-00006C620000}"/>
    <cellStyle name="Normal 8 3 26" xfId="13283" xr:uid="{00000000-0005-0000-0000-00006D620000}"/>
    <cellStyle name="Normal 8 3 26 2" xfId="25473" xr:uid="{00000000-0005-0000-0000-00006E620000}"/>
    <cellStyle name="Normal 8 3 27" xfId="13284" xr:uid="{00000000-0005-0000-0000-00006F620000}"/>
    <cellStyle name="Normal 8 3 27 2" xfId="25474" xr:uid="{00000000-0005-0000-0000-000070620000}"/>
    <cellStyle name="Normal 8 3 28" xfId="13285" xr:uid="{00000000-0005-0000-0000-000071620000}"/>
    <cellStyle name="Normal 8 3 28 2" xfId="25475" xr:uid="{00000000-0005-0000-0000-000072620000}"/>
    <cellStyle name="Normal 8 3 29" xfId="13286" xr:uid="{00000000-0005-0000-0000-000073620000}"/>
    <cellStyle name="Normal 8 3 29 2" xfId="25476" xr:uid="{00000000-0005-0000-0000-000074620000}"/>
    <cellStyle name="Normal 8 3 3" xfId="13287" xr:uid="{00000000-0005-0000-0000-000075620000}"/>
    <cellStyle name="Normal 8 3 3 2" xfId="25477" xr:uid="{00000000-0005-0000-0000-000076620000}"/>
    <cellStyle name="Normal 8 3 30" xfId="13288" xr:uid="{00000000-0005-0000-0000-000077620000}"/>
    <cellStyle name="Normal 8 3 30 2" xfId="25478" xr:uid="{00000000-0005-0000-0000-000078620000}"/>
    <cellStyle name="Normal 8 3 31" xfId="13289" xr:uid="{00000000-0005-0000-0000-000079620000}"/>
    <cellStyle name="Normal 8 3 31 2" xfId="25479" xr:uid="{00000000-0005-0000-0000-00007A620000}"/>
    <cellStyle name="Normal 8 3 32" xfId="13290" xr:uid="{00000000-0005-0000-0000-00007B620000}"/>
    <cellStyle name="Normal 8 3 32 2" xfId="25480" xr:uid="{00000000-0005-0000-0000-00007C620000}"/>
    <cellStyle name="Normal 8 3 33" xfId="13291" xr:uid="{00000000-0005-0000-0000-00007D620000}"/>
    <cellStyle name="Normal 8 3 33 2" xfId="25481" xr:uid="{00000000-0005-0000-0000-00007E620000}"/>
    <cellStyle name="Normal 8 3 34" xfId="13292" xr:uid="{00000000-0005-0000-0000-00007F620000}"/>
    <cellStyle name="Normal 8 3 34 2" xfId="25482" xr:uid="{00000000-0005-0000-0000-000080620000}"/>
    <cellStyle name="Normal 8 3 35" xfId="13293" xr:uid="{00000000-0005-0000-0000-000081620000}"/>
    <cellStyle name="Normal 8 3 35 2" xfId="25483" xr:uid="{00000000-0005-0000-0000-000082620000}"/>
    <cellStyle name="Normal 8 3 36" xfId="13294" xr:uid="{00000000-0005-0000-0000-000083620000}"/>
    <cellStyle name="Normal 8 3 36 2" xfId="25484" xr:uid="{00000000-0005-0000-0000-000084620000}"/>
    <cellStyle name="Normal 8 3 37" xfId="13295" xr:uid="{00000000-0005-0000-0000-000085620000}"/>
    <cellStyle name="Normal 8 3 37 2" xfId="25485" xr:uid="{00000000-0005-0000-0000-000086620000}"/>
    <cellStyle name="Normal 8 3 38" xfId="13296" xr:uid="{00000000-0005-0000-0000-000087620000}"/>
    <cellStyle name="Normal 8 3 38 2" xfId="25486" xr:uid="{00000000-0005-0000-0000-000088620000}"/>
    <cellStyle name="Normal 8 3 39" xfId="13297" xr:uid="{00000000-0005-0000-0000-000089620000}"/>
    <cellStyle name="Normal 8 3 39 2" xfId="25487" xr:uid="{00000000-0005-0000-0000-00008A620000}"/>
    <cellStyle name="Normal 8 3 4" xfId="13298" xr:uid="{00000000-0005-0000-0000-00008B620000}"/>
    <cellStyle name="Normal 8 3 4 2" xfId="25488" xr:uid="{00000000-0005-0000-0000-00008C620000}"/>
    <cellStyle name="Normal 8 3 40" xfId="13299" xr:uid="{00000000-0005-0000-0000-00008D620000}"/>
    <cellStyle name="Normal 8 3 40 2" xfId="25489" xr:uid="{00000000-0005-0000-0000-00008E620000}"/>
    <cellStyle name="Normal 8 3 41" xfId="13300" xr:uid="{00000000-0005-0000-0000-00008F620000}"/>
    <cellStyle name="Normal 8 3 41 2" xfId="25490" xr:uid="{00000000-0005-0000-0000-000090620000}"/>
    <cellStyle name="Normal 8 3 42" xfId="13301" xr:uid="{00000000-0005-0000-0000-000091620000}"/>
    <cellStyle name="Normal 8 3 42 2" xfId="25491" xr:uid="{00000000-0005-0000-0000-000092620000}"/>
    <cellStyle name="Normal 8 3 43" xfId="13302" xr:uid="{00000000-0005-0000-0000-000093620000}"/>
    <cellStyle name="Normal 8 3 43 2" xfId="25492" xr:uid="{00000000-0005-0000-0000-000094620000}"/>
    <cellStyle name="Normal 8 3 44" xfId="13303" xr:uid="{00000000-0005-0000-0000-000095620000}"/>
    <cellStyle name="Normal 8 3 44 2" xfId="25493" xr:uid="{00000000-0005-0000-0000-000096620000}"/>
    <cellStyle name="Normal 8 3 45" xfId="13304" xr:uid="{00000000-0005-0000-0000-000097620000}"/>
    <cellStyle name="Normal 8 3 45 2" xfId="25494" xr:uid="{00000000-0005-0000-0000-000098620000}"/>
    <cellStyle name="Normal 8 3 46" xfId="13305" xr:uid="{00000000-0005-0000-0000-000099620000}"/>
    <cellStyle name="Normal 8 3 46 2" xfId="25495" xr:uid="{00000000-0005-0000-0000-00009A620000}"/>
    <cellStyle name="Normal 8 3 47" xfId="13306" xr:uid="{00000000-0005-0000-0000-00009B620000}"/>
    <cellStyle name="Normal 8 3 47 2" xfId="25496" xr:uid="{00000000-0005-0000-0000-00009C620000}"/>
    <cellStyle name="Normal 8 3 48" xfId="13307" xr:uid="{00000000-0005-0000-0000-00009D620000}"/>
    <cellStyle name="Normal 8 3 48 2" xfId="25497" xr:uid="{00000000-0005-0000-0000-00009E620000}"/>
    <cellStyle name="Normal 8 3 49" xfId="13308" xr:uid="{00000000-0005-0000-0000-00009F620000}"/>
    <cellStyle name="Normal 8 3 49 2" xfId="25498" xr:uid="{00000000-0005-0000-0000-0000A0620000}"/>
    <cellStyle name="Normal 8 3 5" xfId="13309" xr:uid="{00000000-0005-0000-0000-0000A1620000}"/>
    <cellStyle name="Normal 8 3 5 2" xfId="25499" xr:uid="{00000000-0005-0000-0000-0000A2620000}"/>
    <cellStyle name="Normal 8 3 50" xfId="13310" xr:uid="{00000000-0005-0000-0000-0000A3620000}"/>
    <cellStyle name="Normal 8 3 50 2" xfId="25500" xr:uid="{00000000-0005-0000-0000-0000A4620000}"/>
    <cellStyle name="Normal 8 3 51" xfId="13311" xr:uid="{00000000-0005-0000-0000-0000A5620000}"/>
    <cellStyle name="Normal 8 3 51 2" xfId="25501" xr:uid="{00000000-0005-0000-0000-0000A6620000}"/>
    <cellStyle name="Normal 8 3 52" xfId="13312" xr:uid="{00000000-0005-0000-0000-0000A7620000}"/>
    <cellStyle name="Normal 8 3 52 2" xfId="25502" xr:uid="{00000000-0005-0000-0000-0000A8620000}"/>
    <cellStyle name="Normal 8 3 53" xfId="13313" xr:uid="{00000000-0005-0000-0000-0000A9620000}"/>
    <cellStyle name="Normal 8 3 53 2" xfId="25503" xr:uid="{00000000-0005-0000-0000-0000AA620000}"/>
    <cellStyle name="Normal 8 3 54" xfId="13314" xr:uid="{00000000-0005-0000-0000-0000AB620000}"/>
    <cellStyle name="Normal 8 3 54 2" xfId="25504" xr:uid="{00000000-0005-0000-0000-0000AC620000}"/>
    <cellStyle name="Normal 8 3 55" xfId="13315" xr:uid="{00000000-0005-0000-0000-0000AD620000}"/>
    <cellStyle name="Normal 8 3 55 2" xfId="25505" xr:uid="{00000000-0005-0000-0000-0000AE620000}"/>
    <cellStyle name="Normal 8 3 56" xfId="13316" xr:uid="{00000000-0005-0000-0000-0000AF620000}"/>
    <cellStyle name="Normal 8 3 56 2" xfId="25506" xr:uid="{00000000-0005-0000-0000-0000B0620000}"/>
    <cellStyle name="Normal 8 3 57" xfId="13317" xr:uid="{00000000-0005-0000-0000-0000B1620000}"/>
    <cellStyle name="Normal 8 3 57 2" xfId="25507" xr:uid="{00000000-0005-0000-0000-0000B2620000}"/>
    <cellStyle name="Normal 8 3 58" xfId="13318" xr:uid="{00000000-0005-0000-0000-0000B3620000}"/>
    <cellStyle name="Normal 8 3 58 2" xfId="25508" xr:uid="{00000000-0005-0000-0000-0000B4620000}"/>
    <cellStyle name="Normal 8 3 59" xfId="13319" xr:uid="{00000000-0005-0000-0000-0000B5620000}"/>
    <cellStyle name="Normal 8 3 59 2" xfId="25509" xr:uid="{00000000-0005-0000-0000-0000B6620000}"/>
    <cellStyle name="Normal 8 3 6" xfId="13320" xr:uid="{00000000-0005-0000-0000-0000B7620000}"/>
    <cellStyle name="Normal 8 3 6 2" xfId="25510" xr:uid="{00000000-0005-0000-0000-0000B8620000}"/>
    <cellStyle name="Normal 8 3 60" xfId="13321" xr:uid="{00000000-0005-0000-0000-0000B9620000}"/>
    <cellStyle name="Normal 8 3 60 2" xfId="25511" xr:uid="{00000000-0005-0000-0000-0000BA620000}"/>
    <cellStyle name="Normal 8 3 61" xfId="13322" xr:uid="{00000000-0005-0000-0000-0000BB620000}"/>
    <cellStyle name="Normal 8 3 61 2" xfId="25512" xr:uid="{00000000-0005-0000-0000-0000BC620000}"/>
    <cellStyle name="Normal 8 3 62" xfId="13323" xr:uid="{00000000-0005-0000-0000-0000BD620000}"/>
    <cellStyle name="Normal 8 3 62 2" xfId="25513" xr:uid="{00000000-0005-0000-0000-0000BE620000}"/>
    <cellStyle name="Normal 8 3 63" xfId="13324" xr:uid="{00000000-0005-0000-0000-0000BF620000}"/>
    <cellStyle name="Normal 8 3 63 2" xfId="25514" xr:uid="{00000000-0005-0000-0000-0000C0620000}"/>
    <cellStyle name="Normal 8 3 64" xfId="13325" xr:uid="{00000000-0005-0000-0000-0000C1620000}"/>
    <cellStyle name="Normal 8 3 64 2" xfId="25515" xr:uid="{00000000-0005-0000-0000-0000C2620000}"/>
    <cellStyle name="Normal 8 3 65" xfId="13326" xr:uid="{00000000-0005-0000-0000-0000C3620000}"/>
    <cellStyle name="Normal 8 3 65 2" xfId="25516" xr:uid="{00000000-0005-0000-0000-0000C4620000}"/>
    <cellStyle name="Normal 8 3 66" xfId="13327" xr:uid="{00000000-0005-0000-0000-0000C5620000}"/>
    <cellStyle name="Normal 8 3 66 2" xfId="25517" xr:uid="{00000000-0005-0000-0000-0000C6620000}"/>
    <cellStyle name="Normal 8 3 67" xfId="13328" xr:uid="{00000000-0005-0000-0000-0000C7620000}"/>
    <cellStyle name="Normal 8 3 67 2" xfId="25518" xr:uid="{00000000-0005-0000-0000-0000C8620000}"/>
    <cellStyle name="Normal 8 3 68" xfId="13329" xr:uid="{00000000-0005-0000-0000-0000C9620000}"/>
    <cellStyle name="Normal 8 3 68 2" xfId="25519" xr:uid="{00000000-0005-0000-0000-0000CA620000}"/>
    <cellStyle name="Normal 8 3 69" xfId="13330" xr:uid="{00000000-0005-0000-0000-0000CB620000}"/>
    <cellStyle name="Normal 8 3 69 2" xfId="25520" xr:uid="{00000000-0005-0000-0000-0000CC620000}"/>
    <cellStyle name="Normal 8 3 7" xfId="13331" xr:uid="{00000000-0005-0000-0000-0000CD620000}"/>
    <cellStyle name="Normal 8 3 7 2" xfId="25521" xr:uid="{00000000-0005-0000-0000-0000CE620000}"/>
    <cellStyle name="Normal 8 3 70" xfId="13332" xr:uid="{00000000-0005-0000-0000-0000CF620000}"/>
    <cellStyle name="Normal 8 3 70 2" xfId="25522" xr:uid="{00000000-0005-0000-0000-0000D0620000}"/>
    <cellStyle name="Normal 8 3 71" xfId="13333" xr:uid="{00000000-0005-0000-0000-0000D1620000}"/>
    <cellStyle name="Normal 8 3 71 2" xfId="25523" xr:uid="{00000000-0005-0000-0000-0000D2620000}"/>
    <cellStyle name="Normal 8 3 72" xfId="13334" xr:uid="{00000000-0005-0000-0000-0000D3620000}"/>
    <cellStyle name="Normal 8 3 72 2" xfId="25524" xr:uid="{00000000-0005-0000-0000-0000D4620000}"/>
    <cellStyle name="Normal 8 3 73" xfId="13335" xr:uid="{00000000-0005-0000-0000-0000D5620000}"/>
    <cellStyle name="Normal 8 3 73 2" xfId="25525" xr:uid="{00000000-0005-0000-0000-0000D6620000}"/>
    <cellStyle name="Normal 8 3 74" xfId="13336" xr:uid="{00000000-0005-0000-0000-0000D7620000}"/>
    <cellStyle name="Normal 8 3 74 2" xfId="25526" xr:uid="{00000000-0005-0000-0000-0000D8620000}"/>
    <cellStyle name="Normal 8 3 75" xfId="13337" xr:uid="{00000000-0005-0000-0000-0000D9620000}"/>
    <cellStyle name="Normal 8 3 75 2" xfId="25527" xr:uid="{00000000-0005-0000-0000-0000DA620000}"/>
    <cellStyle name="Normal 8 3 76" xfId="13338" xr:uid="{00000000-0005-0000-0000-0000DB620000}"/>
    <cellStyle name="Normal 8 3 76 2" xfId="25528" xr:uid="{00000000-0005-0000-0000-0000DC620000}"/>
    <cellStyle name="Normal 8 3 77" xfId="13339" xr:uid="{00000000-0005-0000-0000-0000DD620000}"/>
    <cellStyle name="Normal 8 3 77 2" xfId="25529" xr:uid="{00000000-0005-0000-0000-0000DE620000}"/>
    <cellStyle name="Normal 8 3 78" xfId="13340" xr:uid="{00000000-0005-0000-0000-0000DF620000}"/>
    <cellStyle name="Normal 8 3 78 2" xfId="25530" xr:uid="{00000000-0005-0000-0000-0000E0620000}"/>
    <cellStyle name="Normal 8 3 79" xfId="13341" xr:uid="{00000000-0005-0000-0000-0000E1620000}"/>
    <cellStyle name="Normal 8 3 79 2" xfId="25531" xr:uid="{00000000-0005-0000-0000-0000E2620000}"/>
    <cellStyle name="Normal 8 3 8" xfId="13342" xr:uid="{00000000-0005-0000-0000-0000E3620000}"/>
    <cellStyle name="Normal 8 3 8 2" xfId="25532" xr:uid="{00000000-0005-0000-0000-0000E4620000}"/>
    <cellStyle name="Normal 8 3 80" xfId="25455" xr:uid="{00000000-0005-0000-0000-0000E5620000}"/>
    <cellStyle name="Normal 8 3 81" xfId="13265" xr:uid="{00000000-0005-0000-0000-0000E6620000}"/>
    <cellStyle name="Normal 8 3 9" xfId="13343" xr:uid="{00000000-0005-0000-0000-0000E7620000}"/>
    <cellStyle name="Normal 8 3 9 2" xfId="25533" xr:uid="{00000000-0005-0000-0000-0000E8620000}"/>
    <cellStyle name="Normal 8 30" xfId="13344" xr:uid="{00000000-0005-0000-0000-0000E9620000}"/>
    <cellStyle name="Normal 8 30 2" xfId="25534" xr:uid="{00000000-0005-0000-0000-0000EA620000}"/>
    <cellStyle name="Normal 8 31" xfId="13345" xr:uid="{00000000-0005-0000-0000-0000EB620000}"/>
    <cellStyle name="Normal 8 31 2" xfId="25535" xr:uid="{00000000-0005-0000-0000-0000EC620000}"/>
    <cellStyle name="Normal 8 32" xfId="13346" xr:uid="{00000000-0005-0000-0000-0000ED620000}"/>
    <cellStyle name="Normal 8 32 2" xfId="25536" xr:uid="{00000000-0005-0000-0000-0000EE620000}"/>
    <cellStyle name="Normal 8 33" xfId="13347" xr:uid="{00000000-0005-0000-0000-0000EF620000}"/>
    <cellStyle name="Normal 8 33 2" xfId="25537" xr:uid="{00000000-0005-0000-0000-0000F0620000}"/>
    <cellStyle name="Normal 8 34" xfId="13348" xr:uid="{00000000-0005-0000-0000-0000F1620000}"/>
    <cellStyle name="Normal 8 34 2" xfId="25538" xr:uid="{00000000-0005-0000-0000-0000F2620000}"/>
    <cellStyle name="Normal 8 35" xfId="13349" xr:uid="{00000000-0005-0000-0000-0000F3620000}"/>
    <cellStyle name="Normal 8 35 2" xfId="25539" xr:uid="{00000000-0005-0000-0000-0000F4620000}"/>
    <cellStyle name="Normal 8 36" xfId="13350" xr:uid="{00000000-0005-0000-0000-0000F5620000}"/>
    <cellStyle name="Normal 8 36 2" xfId="25540" xr:uid="{00000000-0005-0000-0000-0000F6620000}"/>
    <cellStyle name="Normal 8 37" xfId="13351" xr:uid="{00000000-0005-0000-0000-0000F7620000}"/>
    <cellStyle name="Normal 8 37 2" xfId="25541" xr:uid="{00000000-0005-0000-0000-0000F8620000}"/>
    <cellStyle name="Normal 8 38" xfId="13352" xr:uid="{00000000-0005-0000-0000-0000F9620000}"/>
    <cellStyle name="Normal 8 38 2" xfId="25542" xr:uid="{00000000-0005-0000-0000-0000FA620000}"/>
    <cellStyle name="Normal 8 39" xfId="13353" xr:uid="{00000000-0005-0000-0000-0000FB620000}"/>
    <cellStyle name="Normal 8 39 2" xfId="25543" xr:uid="{00000000-0005-0000-0000-0000FC620000}"/>
    <cellStyle name="Normal 8 4" xfId="301" xr:uid="{00000000-0005-0000-0000-0000FD620000}"/>
    <cellStyle name="Normal 8 4 10" xfId="13354" xr:uid="{00000000-0005-0000-0000-0000FE620000}"/>
    <cellStyle name="Normal 8 4 10 2" xfId="25545" xr:uid="{00000000-0005-0000-0000-0000FF620000}"/>
    <cellStyle name="Normal 8 4 11" xfId="13355" xr:uid="{00000000-0005-0000-0000-000000630000}"/>
    <cellStyle name="Normal 8 4 11 2" xfId="25546" xr:uid="{00000000-0005-0000-0000-000001630000}"/>
    <cellStyle name="Normal 8 4 12" xfId="13356" xr:uid="{00000000-0005-0000-0000-000002630000}"/>
    <cellStyle name="Normal 8 4 12 2" xfId="25547" xr:uid="{00000000-0005-0000-0000-000003630000}"/>
    <cellStyle name="Normal 8 4 13" xfId="13357" xr:uid="{00000000-0005-0000-0000-000004630000}"/>
    <cellStyle name="Normal 8 4 13 2" xfId="25548" xr:uid="{00000000-0005-0000-0000-000005630000}"/>
    <cellStyle name="Normal 8 4 14" xfId="13358" xr:uid="{00000000-0005-0000-0000-000006630000}"/>
    <cellStyle name="Normal 8 4 14 2" xfId="25549" xr:uid="{00000000-0005-0000-0000-000007630000}"/>
    <cellStyle name="Normal 8 4 15" xfId="13359" xr:uid="{00000000-0005-0000-0000-000008630000}"/>
    <cellStyle name="Normal 8 4 15 2" xfId="25550" xr:uid="{00000000-0005-0000-0000-000009630000}"/>
    <cellStyle name="Normal 8 4 16" xfId="13360" xr:uid="{00000000-0005-0000-0000-00000A630000}"/>
    <cellStyle name="Normal 8 4 16 2" xfId="25551" xr:uid="{00000000-0005-0000-0000-00000B630000}"/>
    <cellStyle name="Normal 8 4 17" xfId="13361" xr:uid="{00000000-0005-0000-0000-00000C630000}"/>
    <cellStyle name="Normal 8 4 17 2" xfId="25552" xr:uid="{00000000-0005-0000-0000-00000D630000}"/>
    <cellStyle name="Normal 8 4 18" xfId="13362" xr:uid="{00000000-0005-0000-0000-00000E630000}"/>
    <cellStyle name="Normal 8 4 18 2" xfId="25553" xr:uid="{00000000-0005-0000-0000-00000F630000}"/>
    <cellStyle name="Normal 8 4 19" xfId="13363" xr:uid="{00000000-0005-0000-0000-000010630000}"/>
    <cellStyle name="Normal 8 4 19 2" xfId="25554" xr:uid="{00000000-0005-0000-0000-000011630000}"/>
    <cellStyle name="Normal 8 4 2" xfId="13364" xr:uid="{00000000-0005-0000-0000-000012630000}"/>
    <cellStyle name="Normal 8 4 2 2" xfId="25555" xr:uid="{00000000-0005-0000-0000-000013630000}"/>
    <cellStyle name="Normal 8 4 20" xfId="13365" xr:uid="{00000000-0005-0000-0000-000014630000}"/>
    <cellStyle name="Normal 8 4 20 2" xfId="25556" xr:uid="{00000000-0005-0000-0000-000015630000}"/>
    <cellStyle name="Normal 8 4 21" xfId="13366" xr:uid="{00000000-0005-0000-0000-000016630000}"/>
    <cellStyle name="Normal 8 4 21 2" xfId="25557" xr:uid="{00000000-0005-0000-0000-000017630000}"/>
    <cellStyle name="Normal 8 4 22" xfId="13367" xr:uid="{00000000-0005-0000-0000-000018630000}"/>
    <cellStyle name="Normal 8 4 22 2" xfId="25558" xr:uid="{00000000-0005-0000-0000-000019630000}"/>
    <cellStyle name="Normal 8 4 23" xfId="13368" xr:uid="{00000000-0005-0000-0000-00001A630000}"/>
    <cellStyle name="Normal 8 4 23 2" xfId="25559" xr:uid="{00000000-0005-0000-0000-00001B630000}"/>
    <cellStyle name="Normal 8 4 24" xfId="13369" xr:uid="{00000000-0005-0000-0000-00001C630000}"/>
    <cellStyle name="Normal 8 4 24 2" xfId="25560" xr:uid="{00000000-0005-0000-0000-00001D630000}"/>
    <cellStyle name="Normal 8 4 25" xfId="13370" xr:uid="{00000000-0005-0000-0000-00001E630000}"/>
    <cellStyle name="Normal 8 4 25 2" xfId="25561" xr:uid="{00000000-0005-0000-0000-00001F630000}"/>
    <cellStyle name="Normal 8 4 26" xfId="13371" xr:uid="{00000000-0005-0000-0000-000020630000}"/>
    <cellStyle name="Normal 8 4 26 2" xfId="25562" xr:uid="{00000000-0005-0000-0000-000021630000}"/>
    <cellStyle name="Normal 8 4 27" xfId="13372" xr:uid="{00000000-0005-0000-0000-000022630000}"/>
    <cellStyle name="Normal 8 4 27 2" xfId="25563" xr:uid="{00000000-0005-0000-0000-000023630000}"/>
    <cellStyle name="Normal 8 4 28" xfId="13373" xr:uid="{00000000-0005-0000-0000-000024630000}"/>
    <cellStyle name="Normal 8 4 28 2" xfId="25564" xr:uid="{00000000-0005-0000-0000-000025630000}"/>
    <cellStyle name="Normal 8 4 29" xfId="13374" xr:uid="{00000000-0005-0000-0000-000026630000}"/>
    <cellStyle name="Normal 8 4 29 2" xfId="25565" xr:uid="{00000000-0005-0000-0000-000027630000}"/>
    <cellStyle name="Normal 8 4 3" xfId="13375" xr:uid="{00000000-0005-0000-0000-000028630000}"/>
    <cellStyle name="Normal 8 4 3 2" xfId="25566" xr:uid="{00000000-0005-0000-0000-000029630000}"/>
    <cellStyle name="Normal 8 4 30" xfId="13376" xr:uid="{00000000-0005-0000-0000-00002A630000}"/>
    <cellStyle name="Normal 8 4 30 2" xfId="25567" xr:uid="{00000000-0005-0000-0000-00002B630000}"/>
    <cellStyle name="Normal 8 4 31" xfId="13377" xr:uid="{00000000-0005-0000-0000-00002C630000}"/>
    <cellStyle name="Normal 8 4 31 2" xfId="25568" xr:uid="{00000000-0005-0000-0000-00002D630000}"/>
    <cellStyle name="Normal 8 4 32" xfId="13378" xr:uid="{00000000-0005-0000-0000-00002E630000}"/>
    <cellStyle name="Normal 8 4 32 2" xfId="25569" xr:uid="{00000000-0005-0000-0000-00002F630000}"/>
    <cellStyle name="Normal 8 4 33" xfId="13379" xr:uid="{00000000-0005-0000-0000-000030630000}"/>
    <cellStyle name="Normal 8 4 33 2" xfId="25570" xr:uid="{00000000-0005-0000-0000-000031630000}"/>
    <cellStyle name="Normal 8 4 34" xfId="13380" xr:uid="{00000000-0005-0000-0000-000032630000}"/>
    <cellStyle name="Normal 8 4 34 2" xfId="25571" xr:uid="{00000000-0005-0000-0000-000033630000}"/>
    <cellStyle name="Normal 8 4 35" xfId="13381" xr:uid="{00000000-0005-0000-0000-000034630000}"/>
    <cellStyle name="Normal 8 4 35 2" xfId="25572" xr:uid="{00000000-0005-0000-0000-000035630000}"/>
    <cellStyle name="Normal 8 4 36" xfId="13382" xr:uid="{00000000-0005-0000-0000-000036630000}"/>
    <cellStyle name="Normal 8 4 36 2" xfId="25573" xr:uid="{00000000-0005-0000-0000-000037630000}"/>
    <cellStyle name="Normal 8 4 37" xfId="13383" xr:uid="{00000000-0005-0000-0000-000038630000}"/>
    <cellStyle name="Normal 8 4 37 2" xfId="25574" xr:uid="{00000000-0005-0000-0000-000039630000}"/>
    <cellStyle name="Normal 8 4 38" xfId="13384" xr:uid="{00000000-0005-0000-0000-00003A630000}"/>
    <cellStyle name="Normal 8 4 38 2" xfId="25575" xr:uid="{00000000-0005-0000-0000-00003B630000}"/>
    <cellStyle name="Normal 8 4 39" xfId="13385" xr:uid="{00000000-0005-0000-0000-00003C630000}"/>
    <cellStyle name="Normal 8 4 39 2" xfId="25576" xr:uid="{00000000-0005-0000-0000-00003D630000}"/>
    <cellStyle name="Normal 8 4 4" xfId="13386" xr:uid="{00000000-0005-0000-0000-00003E630000}"/>
    <cellStyle name="Normal 8 4 4 2" xfId="25577" xr:uid="{00000000-0005-0000-0000-00003F630000}"/>
    <cellStyle name="Normal 8 4 40" xfId="13387" xr:uid="{00000000-0005-0000-0000-000040630000}"/>
    <cellStyle name="Normal 8 4 40 2" xfId="25578" xr:uid="{00000000-0005-0000-0000-000041630000}"/>
    <cellStyle name="Normal 8 4 41" xfId="13388" xr:uid="{00000000-0005-0000-0000-000042630000}"/>
    <cellStyle name="Normal 8 4 41 2" xfId="25579" xr:uid="{00000000-0005-0000-0000-000043630000}"/>
    <cellStyle name="Normal 8 4 42" xfId="13389" xr:uid="{00000000-0005-0000-0000-000044630000}"/>
    <cellStyle name="Normal 8 4 42 2" xfId="25580" xr:uid="{00000000-0005-0000-0000-000045630000}"/>
    <cellStyle name="Normal 8 4 43" xfId="13390" xr:uid="{00000000-0005-0000-0000-000046630000}"/>
    <cellStyle name="Normal 8 4 43 2" xfId="25581" xr:uid="{00000000-0005-0000-0000-000047630000}"/>
    <cellStyle name="Normal 8 4 44" xfId="13391" xr:uid="{00000000-0005-0000-0000-000048630000}"/>
    <cellStyle name="Normal 8 4 44 2" xfId="25582" xr:uid="{00000000-0005-0000-0000-000049630000}"/>
    <cellStyle name="Normal 8 4 45" xfId="13392" xr:uid="{00000000-0005-0000-0000-00004A630000}"/>
    <cellStyle name="Normal 8 4 45 2" xfId="25583" xr:uid="{00000000-0005-0000-0000-00004B630000}"/>
    <cellStyle name="Normal 8 4 46" xfId="13393" xr:uid="{00000000-0005-0000-0000-00004C630000}"/>
    <cellStyle name="Normal 8 4 46 2" xfId="25584" xr:uid="{00000000-0005-0000-0000-00004D630000}"/>
    <cellStyle name="Normal 8 4 47" xfId="13394" xr:uid="{00000000-0005-0000-0000-00004E630000}"/>
    <cellStyle name="Normal 8 4 47 2" xfId="25585" xr:uid="{00000000-0005-0000-0000-00004F630000}"/>
    <cellStyle name="Normal 8 4 48" xfId="13395" xr:uid="{00000000-0005-0000-0000-000050630000}"/>
    <cellStyle name="Normal 8 4 48 2" xfId="25586" xr:uid="{00000000-0005-0000-0000-000051630000}"/>
    <cellStyle name="Normal 8 4 49" xfId="13396" xr:uid="{00000000-0005-0000-0000-000052630000}"/>
    <cellStyle name="Normal 8 4 49 2" xfId="25587" xr:uid="{00000000-0005-0000-0000-000053630000}"/>
    <cellStyle name="Normal 8 4 5" xfId="13397" xr:uid="{00000000-0005-0000-0000-000054630000}"/>
    <cellStyle name="Normal 8 4 5 2" xfId="25588" xr:uid="{00000000-0005-0000-0000-000055630000}"/>
    <cellStyle name="Normal 8 4 50" xfId="13398" xr:uid="{00000000-0005-0000-0000-000056630000}"/>
    <cellStyle name="Normal 8 4 50 2" xfId="25589" xr:uid="{00000000-0005-0000-0000-000057630000}"/>
    <cellStyle name="Normal 8 4 51" xfId="13399" xr:uid="{00000000-0005-0000-0000-000058630000}"/>
    <cellStyle name="Normal 8 4 51 2" xfId="25590" xr:uid="{00000000-0005-0000-0000-000059630000}"/>
    <cellStyle name="Normal 8 4 52" xfId="13400" xr:uid="{00000000-0005-0000-0000-00005A630000}"/>
    <cellStyle name="Normal 8 4 52 2" xfId="25591" xr:uid="{00000000-0005-0000-0000-00005B630000}"/>
    <cellStyle name="Normal 8 4 53" xfId="13401" xr:uid="{00000000-0005-0000-0000-00005C630000}"/>
    <cellStyle name="Normal 8 4 53 2" xfId="25592" xr:uid="{00000000-0005-0000-0000-00005D630000}"/>
    <cellStyle name="Normal 8 4 54" xfId="13402" xr:uid="{00000000-0005-0000-0000-00005E630000}"/>
    <cellStyle name="Normal 8 4 54 2" xfId="25593" xr:uid="{00000000-0005-0000-0000-00005F630000}"/>
    <cellStyle name="Normal 8 4 55" xfId="13403" xr:uid="{00000000-0005-0000-0000-000060630000}"/>
    <cellStyle name="Normal 8 4 55 2" xfId="25594" xr:uid="{00000000-0005-0000-0000-000061630000}"/>
    <cellStyle name="Normal 8 4 56" xfId="13404" xr:uid="{00000000-0005-0000-0000-000062630000}"/>
    <cellStyle name="Normal 8 4 56 2" xfId="25595" xr:uid="{00000000-0005-0000-0000-000063630000}"/>
    <cellStyle name="Normal 8 4 57" xfId="13405" xr:uid="{00000000-0005-0000-0000-000064630000}"/>
    <cellStyle name="Normal 8 4 57 2" xfId="25596" xr:uid="{00000000-0005-0000-0000-000065630000}"/>
    <cellStyle name="Normal 8 4 58" xfId="13406" xr:uid="{00000000-0005-0000-0000-000066630000}"/>
    <cellStyle name="Normal 8 4 58 2" xfId="25597" xr:uid="{00000000-0005-0000-0000-000067630000}"/>
    <cellStyle name="Normal 8 4 59" xfId="13407" xr:uid="{00000000-0005-0000-0000-000068630000}"/>
    <cellStyle name="Normal 8 4 59 2" xfId="25598" xr:uid="{00000000-0005-0000-0000-000069630000}"/>
    <cellStyle name="Normal 8 4 6" xfId="13408" xr:uid="{00000000-0005-0000-0000-00006A630000}"/>
    <cellStyle name="Normal 8 4 6 2" xfId="25599" xr:uid="{00000000-0005-0000-0000-00006B630000}"/>
    <cellStyle name="Normal 8 4 60" xfId="13409" xr:uid="{00000000-0005-0000-0000-00006C630000}"/>
    <cellStyle name="Normal 8 4 60 2" xfId="25600" xr:uid="{00000000-0005-0000-0000-00006D630000}"/>
    <cellStyle name="Normal 8 4 61" xfId="13410" xr:uid="{00000000-0005-0000-0000-00006E630000}"/>
    <cellStyle name="Normal 8 4 61 2" xfId="25601" xr:uid="{00000000-0005-0000-0000-00006F630000}"/>
    <cellStyle name="Normal 8 4 62" xfId="13411" xr:uid="{00000000-0005-0000-0000-000070630000}"/>
    <cellStyle name="Normal 8 4 62 2" xfId="25602" xr:uid="{00000000-0005-0000-0000-000071630000}"/>
    <cellStyle name="Normal 8 4 63" xfId="13412" xr:uid="{00000000-0005-0000-0000-000072630000}"/>
    <cellStyle name="Normal 8 4 63 2" xfId="25603" xr:uid="{00000000-0005-0000-0000-000073630000}"/>
    <cellStyle name="Normal 8 4 64" xfId="13413" xr:uid="{00000000-0005-0000-0000-000074630000}"/>
    <cellStyle name="Normal 8 4 64 2" xfId="25604" xr:uid="{00000000-0005-0000-0000-000075630000}"/>
    <cellStyle name="Normal 8 4 65" xfId="13414" xr:uid="{00000000-0005-0000-0000-000076630000}"/>
    <cellStyle name="Normal 8 4 65 2" xfId="25605" xr:uid="{00000000-0005-0000-0000-000077630000}"/>
    <cellStyle name="Normal 8 4 66" xfId="13415" xr:uid="{00000000-0005-0000-0000-000078630000}"/>
    <cellStyle name="Normal 8 4 66 2" xfId="25606" xr:uid="{00000000-0005-0000-0000-000079630000}"/>
    <cellStyle name="Normal 8 4 67" xfId="13416" xr:uid="{00000000-0005-0000-0000-00007A630000}"/>
    <cellStyle name="Normal 8 4 67 2" xfId="25607" xr:uid="{00000000-0005-0000-0000-00007B630000}"/>
    <cellStyle name="Normal 8 4 68" xfId="13417" xr:uid="{00000000-0005-0000-0000-00007C630000}"/>
    <cellStyle name="Normal 8 4 68 2" xfId="25608" xr:uid="{00000000-0005-0000-0000-00007D630000}"/>
    <cellStyle name="Normal 8 4 69" xfId="13418" xr:uid="{00000000-0005-0000-0000-00007E630000}"/>
    <cellStyle name="Normal 8 4 69 2" xfId="25609" xr:uid="{00000000-0005-0000-0000-00007F630000}"/>
    <cellStyle name="Normal 8 4 7" xfId="13419" xr:uid="{00000000-0005-0000-0000-000080630000}"/>
    <cellStyle name="Normal 8 4 7 2" xfId="25610" xr:uid="{00000000-0005-0000-0000-000081630000}"/>
    <cellStyle name="Normal 8 4 70" xfId="13420" xr:uid="{00000000-0005-0000-0000-000082630000}"/>
    <cellStyle name="Normal 8 4 70 2" xfId="25611" xr:uid="{00000000-0005-0000-0000-000083630000}"/>
    <cellStyle name="Normal 8 4 71" xfId="13421" xr:uid="{00000000-0005-0000-0000-000084630000}"/>
    <cellStyle name="Normal 8 4 71 2" xfId="25612" xr:uid="{00000000-0005-0000-0000-000085630000}"/>
    <cellStyle name="Normal 8 4 72" xfId="13422" xr:uid="{00000000-0005-0000-0000-000086630000}"/>
    <cellStyle name="Normal 8 4 72 2" xfId="25613" xr:uid="{00000000-0005-0000-0000-000087630000}"/>
    <cellStyle name="Normal 8 4 73" xfId="13423" xr:uid="{00000000-0005-0000-0000-000088630000}"/>
    <cellStyle name="Normal 8 4 73 2" xfId="25614" xr:uid="{00000000-0005-0000-0000-000089630000}"/>
    <cellStyle name="Normal 8 4 74" xfId="13424" xr:uid="{00000000-0005-0000-0000-00008A630000}"/>
    <cellStyle name="Normal 8 4 74 2" xfId="25615" xr:uid="{00000000-0005-0000-0000-00008B630000}"/>
    <cellStyle name="Normal 8 4 75" xfId="13425" xr:uid="{00000000-0005-0000-0000-00008C630000}"/>
    <cellStyle name="Normal 8 4 75 2" xfId="25616" xr:uid="{00000000-0005-0000-0000-00008D630000}"/>
    <cellStyle name="Normal 8 4 76" xfId="13426" xr:uid="{00000000-0005-0000-0000-00008E630000}"/>
    <cellStyle name="Normal 8 4 76 2" xfId="25617" xr:uid="{00000000-0005-0000-0000-00008F630000}"/>
    <cellStyle name="Normal 8 4 77" xfId="13427" xr:uid="{00000000-0005-0000-0000-000090630000}"/>
    <cellStyle name="Normal 8 4 77 2" xfId="25618" xr:uid="{00000000-0005-0000-0000-000091630000}"/>
    <cellStyle name="Normal 8 4 78" xfId="13428" xr:uid="{00000000-0005-0000-0000-000092630000}"/>
    <cellStyle name="Normal 8 4 78 2" xfId="25619" xr:uid="{00000000-0005-0000-0000-000093630000}"/>
    <cellStyle name="Normal 8 4 79" xfId="13429" xr:uid="{00000000-0005-0000-0000-000094630000}"/>
    <cellStyle name="Normal 8 4 79 2" xfId="25620" xr:uid="{00000000-0005-0000-0000-000095630000}"/>
    <cellStyle name="Normal 8 4 8" xfId="13430" xr:uid="{00000000-0005-0000-0000-000096630000}"/>
    <cellStyle name="Normal 8 4 8 2" xfId="25621" xr:uid="{00000000-0005-0000-0000-000097630000}"/>
    <cellStyle name="Normal 8 4 80" xfId="25544" xr:uid="{00000000-0005-0000-0000-000098630000}"/>
    <cellStyle name="Normal 8 4 9" xfId="13431" xr:uid="{00000000-0005-0000-0000-000099630000}"/>
    <cellStyle name="Normal 8 4 9 2" xfId="25622" xr:uid="{00000000-0005-0000-0000-00009A630000}"/>
    <cellStyle name="Normal 8 40" xfId="13432" xr:uid="{00000000-0005-0000-0000-00009B630000}"/>
    <cellStyle name="Normal 8 40 2" xfId="25623" xr:uid="{00000000-0005-0000-0000-00009C630000}"/>
    <cellStyle name="Normal 8 41" xfId="13433" xr:uid="{00000000-0005-0000-0000-00009D630000}"/>
    <cellStyle name="Normal 8 41 2" xfId="25624" xr:uid="{00000000-0005-0000-0000-00009E630000}"/>
    <cellStyle name="Normal 8 42" xfId="13434" xr:uid="{00000000-0005-0000-0000-00009F630000}"/>
    <cellStyle name="Normal 8 42 2" xfId="25625" xr:uid="{00000000-0005-0000-0000-0000A0630000}"/>
    <cellStyle name="Normal 8 43" xfId="13435" xr:uid="{00000000-0005-0000-0000-0000A1630000}"/>
    <cellStyle name="Normal 8 43 2" xfId="25626" xr:uid="{00000000-0005-0000-0000-0000A2630000}"/>
    <cellStyle name="Normal 8 44" xfId="13436" xr:uid="{00000000-0005-0000-0000-0000A3630000}"/>
    <cellStyle name="Normal 8 44 2" xfId="25627" xr:uid="{00000000-0005-0000-0000-0000A4630000}"/>
    <cellStyle name="Normal 8 45" xfId="13437" xr:uid="{00000000-0005-0000-0000-0000A5630000}"/>
    <cellStyle name="Normal 8 45 2" xfId="25628" xr:uid="{00000000-0005-0000-0000-0000A6630000}"/>
    <cellStyle name="Normal 8 46" xfId="13438" xr:uid="{00000000-0005-0000-0000-0000A7630000}"/>
    <cellStyle name="Normal 8 46 2" xfId="25629" xr:uid="{00000000-0005-0000-0000-0000A8630000}"/>
    <cellStyle name="Normal 8 47" xfId="13439" xr:uid="{00000000-0005-0000-0000-0000A9630000}"/>
    <cellStyle name="Normal 8 47 2" xfId="25630" xr:uid="{00000000-0005-0000-0000-0000AA630000}"/>
    <cellStyle name="Normal 8 48" xfId="13440" xr:uid="{00000000-0005-0000-0000-0000AB630000}"/>
    <cellStyle name="Normal 8 48 2" xfId="25631" xr:uid="{00000000-0005-0000-0000-0000AC630000}"/>
    <cellStyle name="Normal 8 49" xfId="13441" xr:uid="{00000000-0005-0000-0000-0000AD630000}"/>
    <cellStyle name="Normal 8 49 2" xfId="25632" xr:uid="{00000000-0005-0000-0000-0000AE630000}"/>
    <cellStyle name="Normal 8 5" xfId="13442" xr:uid="{00000000-0005-0000-0000-0000AF630000}"/>
    <cellStyle name="Normal 8 5 2" xfId="25633" xr:uid="{00000000-0005-0000-0000-0000B0630000}"/>
    <cellStyle name="Normal 8 50" xfId="13443" xr:uid="{00000000-0005-0000-0000-0000B1630000}"/>
    <cellStyle name="Normal 8 50 2" xfId="25634" xr:uid="{00000000-0005-0000-0000-0000B2630000}"/>
    <cellStyle name="Normal 8 51" xfId="13444" xr:uid="{00000000-0005-0000-0000-0000B3630000}"/>
    <cellStyle name="Normal 8 51 2" xfId="25635" xr:uid="{00000000-0005-0000-0000-0000B4630000}"/>
    <cellStyle name="Normal 8 52" xfId="13445" xr:uid="{00000000-0005-0000-0000-0000B5630000}"/>
    <cellStyle name="Normal 8 52 2" xfId="25636" xr:uid="{00000000-0005-0000-0000-0000B6630000}"/>
    <cellStyle name="Normal 8 53" xfId="13446" xr:uid="{00000000-0005-0000-0000-0000B7630000}"/>
    <cellStyle name="Normal 8 53 2" xfId="25637" xr:uid="{00000000-0005-0000-0000-0000B8630000}"/>
    <cellStyle name="Normal 8 54" xfId="13447" xr:uid="{00000000-0005-0000-0000-0000B9630000}"/>
    <cellStyle name="Normal 8 54 2" xfId="25638" xr:uid="{00000000-0005-0000-0000-0000BA630000}"/>
    <cellStyle name="Normal 8 55" xfId="13448" xr:uid="{00000000-0005-0000-0000-0000BB630000}"/>
    <cellStyle name="Normal 8 55 2" xfId="25639" xr:uid="{00000000-0005-0000-0000-0000BC630000}"/>
    <cellStyle name="Normal 8 56" xfId="13449" xr:uid="{00000000-0005-0000-0000-0000BD630000}"/>
    <cellStyle name="Normal 8 56 2" xfId="25640" xr:uid="{00000000-0005-0000-0000-0000BE630000}"/>
    <cellStyle name="Normal 8 57" xfId="13450" xr:uid="{00000000-0005-0000-0000-0000BF630000}"/>
    <cellStyle name="Normal 8 57 2" xfId="25641" xr:uid="{00000000-0005-0000-0000-0000C0630000}"/>
    <cellStyle name="Normal 8 58" xfId="13451" xr:uid="{00000000-0005-0000-0000-0000C1630000}"/>
    <cellStyle name="Normal 8 58 2" xfId="25642" xr:uid="{00000000-0005-0000-0000-0000C2630000}"/>
    <cellStyle name="Normal 8 59" xfId="13452" xr:uid="{00000000-0005-0000-0000-0000C3630000}"/>
    <cellStyle name="Normal 8 59 2" xfId="25643" xr:uid="{00000000-0005-0000-0000-0000C4630000}"/>
    <cellStyle name="Normal 8 6" xfId="13453" xr:uid="{00000000-0005-0000-0000-0000C5630000}"/>
    <cellStyle name="Normal 8 6 2" xfId="25644" xr:uid="{00000000-0005-0000-0000-0000C6630000}"/>
    <cellStyle name="Normal 8 60" xfId="13454" xr:uid="{00000000-0005-0000-0000-0000C7630000}"/>
    <cellStyle name="Normal 8 60 2" xfId="25645" xr:uid="{00000000-0005-0000-0000-0000C8630000}"/>
    <cellStyle name="Normal 8 61" xfId="13455" xr:uid="{00000000-0005-0000-0000-0000C9630000}"/>
    <cellStyle name="Normal 8 61 2" xfId="25646" xr:uid="{00000000-0005-0000-0000-0000CA630000}"/>
    <cellStyle name="Normal 8 62" xfId="13456" xr:uid="{00000000-0005-0000-0000-0000CB630000}"/>
    <cellStyle name="Normal 8 62 2" xfId="25647" xr:uid="{00000000-0005-0000-0000-0000CC630000}"/>
    <cellStyle name="Normal 8 63" xfId="13457" xr:uid="{00000000-0005-0000-0000-0000CD630000}"/>
    <cellStyle name="Normal 8 63 2" xfId="25648" xr:uid="{00000000-0005-0000-0000-0000CE630000}"/>
    <cellStyle name="Normal 8 64" xfId="13458" xr:uid="{00000000-0005-0000-0000-0000CF630000}"/>
    <cellStyle name="Normal 8 64 2" xfId="25649" xr:uid="{00000000-0005-0000-0000-0000D0630000}"/>
    <cellStyle name="Normal 8 65" xfId="13459" xr:uid="{00000000-0005-0000-0000-0000D1630000}"/>
    <cellStyle name="Normal 8 65 2" xfId="25650" xr:uid="{00000000-0005-0000-0000-0000D2630000}"/>
    <cellStyle name="Normal 8 66" xfId="13460" xr:uid="{00000000-0005-0000-0000-0000D3630000}"/>
    <cellStyle name="Normal 8 66 2" xfId="25651" xr:uid="{00000000-0005-0000-0000-0000D4630000}"/>
    <cellStyle name="Normal 8 67" xfId="13461" xr:uid="{00000000-0005-0000-0000-0000D5630000}"/>
    <cellStyle name="Normal 8 67 2" xfId="25652" xr:uid="{00000000-0005-0000-0000-0000D6630000}"/>
    <cellStyle name="Normal 8 68" xfId="13462" xr:uid="{00000000-0005-0000-0000-0000D7630000}"/>
    <cellStyle name="Normal 8 68 2" xfId="25653" xr:uid="{00000000-0005-0000-0000-0000D8630000}"/>
    <cellStyle name="Normal 8 69" xfId="13463" xr:uid="{00000000-0005-0000-0000-0000D9630000}"/>
    <cellStyle name="Normal 8 69 2" xfId="25654" xr:uid="{00000000-0005-0000-0000-0000DA630000}"/>
    <cellStyle name="Normal 8 7" xfId="13464" xr:uid="{00000000-0005-0000-0000-0000DB630000}"/>
    <cellStyle name="Normal 8 7 2" xfId="25655" xr:uid="{00000000-0005-0000-0000-0000DC630000}"/>
    <cellStyle name="Normal 8 70" xfId="13465" xr:uid="{00000000-0005-0000-0000-0000DD630000}"/>
    <cellStyle name="Normal 8 70 2" xfId="25656" xr:uid="{00000000-0005-0000-0000-0000DE630000}"/>
    <cellStyle name="Normal 8 71" xfId="13466" xr:uid="{00000000-0005-0000-0000-0000DF630000}"/>
    <cellStyle name="Normal 8 71 2" xfId="25657" xr:uid="{00000000-0005-0000-0000-0000E0630000}"/>
    <cellStyle name="Normal 8 72" xfId="13467" xr:uid="{00000000-0005-0000-0000-0000E1630000}"/>
    <cellStyle name="Normal 8 72 2" xfId="25658" xr:uid="{00000000-0005-0000-0000-0000E2630000}"/>
    <cellStyle name="Normal 8 73" xfId="13468" xr:uid="{00000000-0005-0000-0000-0000E3630000}"/>
    <cellStyle name="Normal 8 73 2" xfId="25659" xr:uid="{00000000-0005-0000-0000-0000E4630000}"/>
    <cellStyle name="Normal 8 74" xfId="13469" xr:uid="{00000000-0005-0000-0000-0000E5630000}"/>
    <cellStyle name="Normal 8 74 2" xfId="25660" xr:uid="{00000000-0005-0000-0000-0000E6630000}"/>
    <cellStyle name="Normal 8 75" xfId="13470" xr:uid="{00000000-0005-0000-0000-0000E7630000}"/>
    <cellStyle name="Normal 8 75 2" xfId="25661" xr:uid="{00000000-0005-0000-0000-0000E8630000}"/>
    <cellStyle name="Normal 8 76" xfId="13471" xr:uid="{00000000-0005-0000-0000-0000E9630000}"/>
    <cellStyle name="Normal 8 76 2" xfId="25662" xr:uid="{00000000-0005-0000-0000-0000EA630000}"/>
    <cellStyle name="Normal 8 77" xfId="13472" xr:uid="{00000000-0005-0000-0000-0000EB630000}"/>
    <cellStyle name="Normal 8 77 2" xfId="25663" xr:uid="{00000000-0005-0000-0000-0000EC630000}"/>
    <cellStyle name="Normal 8 78" xfId="13473" xr:uid="{00000000-0005-0000-0000-0000ED630000}"/>
    <cellStyle name="Normal 8 78 2" xfId="25664" xr:uid="{00000000-0005-0000-0000-0000EE630000}"/>
    <cellStyle name="Normal 8 79" xfId="13474" xr:uid="{00000000-0005-0000-0000-0000EF630000}"/>
    <cellStyle name="Normal 8 79 2" xfId="25665" xr:uid="{00000000-0005-0000-0000-0000F0630000}"/>
    <cellStyle name="Normal 8 8" xfId="13475" xr:uid="{00000000-0005-0000-0000-0000F1630000}"/>
    <cellStyle name="Normal 8 8 2" xfId="25666" xr:uid="{00000000-0005-0000-0000-0000F2630000}"/>
    <cellStyle name="Normal 8 80" xfId="13476" xr:uid="{00000000-0005-0000-0000-0000F3630000}"/>
    <cellStyle name="Normal 8 80 2" xfId="25667" xr:uid="{00000000-0005-0000-0000-0000F4630000}"/>
    <cellStyle name="Normal 8 81" xfId="13477" xr:uid="{00000000-0005-0000-0000-0000F5630000}"/>
    <cellStyle name="Normal 8 81 2" xfId="25668" xr:uid="{00000000-0005-0000-0000-0000F6630000}"/>
    <cellStyle name="Normal 8 82" xfId="13478" xr:uid="{00000000-0005-0000-0000-0000F7630000}"/>
    <cellStyle name="Normal 8 82 2" xfId="25669" xr:uid="{00000000-0005-0000-0000-0000F8630000}"/>
    <cellStyle name="Normal 8 83" xfId="15052" xr:uid="{00000000-0005-0000-0000-0000F9630000}"/>
    <cellStyle name="Normal 8 9" xfId="13479" xr:uid="{00000000-0005-0000-0000-0000FA630000}"/>
    <cellStyle name="Normal 8 9 2" xfId="25670" xr:uid="{00000000-0005-0000-0000-0000FB630000}"/>
    <cellStyle name="Normal 80" xfId="206" xr:uid="{00000000-0005-0000-0000-0000FC630000}"/>
    <cellStyle name="Normal 80 10" xfId="13480" xr:uid="{00000000-0005-0000-0000-0000FD630000}"/>
    <cellStyle name="Normal 80 10 2" xfId="25672" xr:uid="{00000000-0005-0000-0000-0000FE630000}"/>
    <cellStyle name="Normal 80 11" xfId="13481" xr:uid="{00000000-0005-0000-0000-0000FF630000}"/>
    <cellStyle name="Normal 80 11 2" xfId="25673" xr:uid="{00000000-0005-0000-0000-000000640000}"/>
    <cellStyle name="Normal 80 12" xfId="13482" xr:uid="{00000000-0005-0000-0000-000001640000}"/>
    <cellStyle name="Normal 80 12 2" xfId="25674" xr:uid="{00000000-0005-0000-0000-000002640000}"/>
    <cellStyle name="Normal 80 13" xfId="13483" xr:uid="{00000000-0005-0000-0000-000003640000}"/>
    <cellStyle name="Normal 80 13 2" xfId="25675" xr:uid="{00000000-0005-0000-0000-000004640000}"/>
    <cellStyle name="Normal 80 14" xfId="13484" xr:uid="{00000000-0005-0000-0000-000005640000}"/>
    <cellStyle name="Normal 80 14 2" xfId="25676" xr:uid="{00000000-0005-0000-0000-000006640000}"/>
    <cellStyle name="Normal 80 15" xfId="13485" xr:uid="{00000000-0005-0000-0000-000007640000}"/>
    <cellStyle name="Normal 80 15 2" xfId="25677" xr:uid="{00000000-0005-0000-0000-000008640000}"/>
    <cellStyle name="Normal 80 16" xfId="13486" xr:uid="{00000000-0005-0000-0000-000009640000}"/>
    <cellStyle name="Normal 80 16 2" xfId="25678" xr:uid="{00000000-0005-0000-0000-00000A640000}"/>
    <cellStyle name="Normal 80 17" xfId="13487" xr:uid="{00000000-0005-0000-0000-00000B640000}"/>
    <cellStyle name="Normal 80 17 2" xfId="25679" xr:uid="{00000000-0005-0000-0000-00000C640000}"/>
    <cellStyle name="Normal 80 18" xfId="13488" xr:uid="{00000000-0005-0000-0000-00000D640000}"/>
    <cellStyle name="Normal 80 18 2" xfId="25680" xr:uid="{00000000-0005-0000-0000-00000E640000}"/>
    <cellStyle name="Normal 80 19" xfId="13489" xr:uid="{00000000-0005-0000-0000-00000F640000}"/>
    <cellStyle name="Normal 80 19 2" xfId="25681" xr:uid="{00000000-0005-0000-0000-000010640000}"/>
    <cellStyle name="Normal 80 2" xfId="771" xr:uid="{00000000-0005-0000-0000-000011640000}"/>
    <cellStyle name="Normal 80 2 2" xfId="25682" xr:uid="{00000000-0005-0000-0000-000012640000}"/>
    <cellStyle name="Normal 80 2 3" xfId="13490" xr:uid="{00000000-0005-0000-0000-000013640000}"/>
    <cellStyle name="Normal 80 20" xfId="13491" xr:uid="{00000000-0005-0000-0000-000014640000}"/>
    <cellStyle name="Normal 80 20 2" xfId="25683" xr:uid="{00000000-0005-0000-0000-000015640000}"/>
    <cellStyle name="Normal 80 21" xfId="13492" xr:uid="{00000000-0005-0000-0000-000016640000}"/>
    <cellStyle name="Normal 80 21 2" xfId="25684" xr:uid="{00000000-0005-0000-0000-000017640000}"/>
    <cellStyle name="Normal 80 22" xfId="13493" xr:uid="{00000000-0005-0000-0000-000018640000}"/>
    <cellStyle name="Normal 80 22 2" xfId="25685" xr:uid="{00000000-0005-0000-0000-000019640000}"/>
    <cellStyle name="Normal 80 23" xfId="13494" xr:uid="{00000000-0005-0000-0000-00001A640000}"/>
    <cellStyle name="Normal 80 23 2" xfId="25686" xr:uid="{00000000-0005-0000-0000-00001B640000}"/>
    <cellStyle name="Normal 80 24" xfId="13495" xr:uid="{00000000-0005-0000-0000-00001C640000}"/>
    <cellStyle name="Normal 80 24 2" xfId="25687" xr:uid="{00000000-0005-0000-0000-00001D640000}"/>
    <cellStyle name="Normal 80 25" xfId="13496" xr:uid="{00000000-0005-0000-0000-00001E640000}"/>
    <cellStyle name="Normal 80 25 2" xfId="25688" xr:uid="{00000000-0005-0000-0000-00001F640000}"/>
    <cellStyle name="Normal 80 26" xfId="13497" xr:uid="{00000000-0005-0000-0000-000020640000}"/>
    <cellStyle name="Normal 80 26 2" xfId="25689" xr:uid="{00000000-0005-0000-0000-000021640000}"/>
    <cellStyle name="Normal 80 27" xfId="13498" xr:uid="{00000000-0005-0000-0000-000022640000}"/>
    <cellStyle name="Normal 80 27 2" xfId="25690" xr:uid="{00000000-0005-0000-0000-000023640000}"/>
    <cellStyle name="Normal 80 28" xfId="13499" xr:uid="{00000000-0005-0000-0000-000024640000}"/>
    <cellStyle name="Normal 80 28 2" xfId="25691" xr:uid="{00000000-0005-0000-0000-000025640000}"/>
    <cellStyle name="Normal 80 29" xfId="13500" xr:uid="{00000000-0005-0000-0000-000026640000}"/>
    <cellStyle name="Normal 80 29 2" xfId="25692" xr:uid="{00000000-0005-0000-0000-000027640000}"/>
    <cellStyle name="Normal 80 3" xfId="421" xr:uid="{00000000-0005-0000-0000-000028640000}"/>
    <cellStyle name="Normal 80 3 2" xfId="25693" xr:uid="{00000000-0005-0000-0000-000029640000}"/>
    <cellStyle name="Normal 80 30" xfId="13501" xr:uid="{00000000-0005-0000-0000-00002A640000}"/>
    <cellStyle name="Normal 80 30 2" xfId="25694" xr:uid="{00000000-0005-0000-0000-00002B640000}"/>
    <cellStyle name="Normal 80 31" xfId="13502" xr:uid="{00000000-0005-0000-0000-00002C640000}"/>
    <cellStyle name="Normal 80 31 2" xfId="25695" xr:uid="{00000000-0005-0000-0000-00002D640000}"/>
    <cellStyle name="Normal 80 32" xfId="13503" xr:uid="{00000000-0005-0000-0000-00002E640000}"/>
    <cellStyle name="Normal 80 32 2" xfId="25696" xr:uid="{00000000-0005-0000-0000-00002F640000}"/>
    <cellStyle name="Normal 80 33" xfId="13504" xr:uid="{00000000-0005-0000-0000-000030640000}"/>
    <cellStyle name="Normal 80 33 2" xfId="25697" xr:uid="{00000000-0005-0000-0000-000031640000}"/>
    <cellStyle name="Normal 80 34" xfId="13505" xr:uid="{00000000-0005-0000-0000-000032640000}"/>
    <cellStyle name="Normal 80 34 2" xfId="25698" xr:uid="{00000000-0005-0000-0000-000033640000}"/>
    <cellStyle name="Normal 80 35" xfId="13506" xr:uid="{00000000-0005-0000-0000-000034640000}"/>
    <cellStyle name="Normal 80 35 2" xfId="25699" xr:uid="{00000000-0005-0000-0000-000035640000}"/>
    <cellStyle name="Normal 80 36" xfId="13507" xr:uid="{00000000-0005-0000-0000-000036640000}"/>
    <cellStyle name="Normal 80 36 2" xfId="25700" xr:uid="{00000000-0005-0000-0000-000037640000}"/>
    <cellStyle name="Normal 80 37" xfId="13508" xr:uid="{00000000-0005-0000-0000-000038640000}"/>
    <cellStyle name="Normal 80 37 2" xfId="25701" xr:uid="{00000000-0005-0000-0000-000039640000}"/>
    <cellStyle name="Normal 80 38" xfId="13509" xr:uid="{00000000-0005-0000-0000-00003A640000}"/>
    <cellStyle name="Normal 80 38 2" xfId="25702" xr:uid="{00000000-0005-0000-0000-00003B640000}"/>
    <cellStyle name="Normal 80 39" xfId="13510" xr:uid="{00000000-0005-0000-0000-00003C640000}"/>
    <cellStyle name="Normal 80 39 2" xfId="25703" xr:uid="{00000000-0005-0000-0000-00003D640000}"/>
    <cellStyle name="Normal 80 4" xfId="13511" xr:uid="{00000000-0005-0000-0000-00003E640000}"/>
    <cellStyle name="Normal 80 4 2" xfId="25704" xr:uid="{00000000-0005-0000-0000-00003F640000}"/>
    <cellStyle name="Normal 80 40" xfId="13512" xr:uid="{00000000-0005-0000-0000-000040640000}"/>
    <cellStyle name="Normal 80 40 2" xfId="25705" xr:uid="{00000000-0005-0000-0000-000041640000}"/>
    <cellStyle name="Normal 80 41" xfId="13513" xr:uid="{00000000-0005-0000-0000-000042640000}"/>
    <cellStyle name="Normal 80 41 2" xfId="25706" xr:uid="{00000000-0005-0000-0000-000043640000}"/>
    <cellStyle name="Normal 80 42" xfId="13514" xr:uid="{00000000-0005-0000-0000-000044640000}"/>
    <cellStyle name="Normal 80 42 2" xfId="25707" xr:uid="{00000000-0005-0000-0000-000045640000}"/>
    <cellStyle name="Normal 80 43" xfId="13515" xr:uid="{00000000-0005-0000-0000-000046640000}"/>
    <cellStyle name="Normal 80 43 2" xfId="25708" xr:uid="{00000000-0005-0000-0000-000047640000}"/>
    <cellStyle name="Normal 80 44" xfId="13516" xr:uid="{00000000-0005-0000-0000-000048640000}"/>
    <cellStyle name="Normal 80 44 2" xfId="25709" xr:uid="{00000000-0005-0000-0000-000049640000}"/>
    <cellStyle name="Normal 80 45" xfId="13517" xr:uid="{00000000-0005-0000-0000-00004A640000}"/>
    <cellStyle name="Normal 80 45 2" xfId="25710" xr:uid="{00000000-0005-0000-0000-00004B640000}"/>
    <cellStyle name="Normal 80 46" xfId="13518" xr:uid="{00000000-0005-0000-0000-00004C640000}"/>
    <cellStyle name="Normal 80 46 2" xfId="25711" xr:uid="{00000000-0005-0000-0000-00004D640000}"/>
    <cellStyle name="Normal 80 47" xfId="13519" xr:uid="{00000000-0005-0000-0000-00004E640000}"/>
    <cellStyle name="Normal 80 47 2" xfId="25712" xr:uid="{00000000-0005-0000-0000-00004F640000}"/>
    <cellStyle name="Normal 80 48" xfId="13520" xr:uid="{00000000-0005-0000-0000-000050640000}"/>
    <cellStyle name="Normal 80 48 2" xfId="25713" xr:uid="{00000000-0005-0000-0000-000051640000}"/>
    <cellStyle name="Normal 80 49" xfId="13521" xr:uid="{00000000-0005-0000-0000-000052640000}"/>
    <cellStyle name="Normal 80 49 2" xfId="25714" xr:uid="{00000000-0005-0000-0000-000053640000}"/>
    <cellStyle name="Normal 80 5" xfId="13522" xr:uid="{00000000-0005-0000-0000-000054640000}"/>
    <cellStyle name="Normal 80 5 2" xfId="25715" xr:uid="{00000000-0005-0000-0000-000055640000}"/>
    <cellStyle name="Normal 80 50" xfId="13523" xr:uid="{00000000-0005-0000-0000-000056640000}"/>
    <cellStyle name="Normal 80 50 2" xfId="25716" xr:uid="{00000000-0005-0000-0000-000057640000}"/>
    <cellStyle name="Normal 80 51" xfId="13524" xr:uid="{00000000-0005-0000-0000-000058640000}"/>
    <cellStyle name="Normal 80 51 2" xfId="25717" xr:uid="{00000000-0005-0000-0000-000059640000}"/>
    <cellStyle name="Normal 80 52" xfId="13525" xr:uid="{00000000-0005-0000-0000-00005A640000}"/>
    <cellStyle name="Normal 80 52 2" xfId="25718" xr:uid="{00000000-0005-0000-0000-00005B640000}"/>
    <cellStyle name="Normal 80 53" xfId="13526" xr:uid="{00000000-0005-0000-0000-00005C640000}"/>
    <cellStyle name="Normal 80 53 2" xfId="25719" xr:uid="{00000000-0005-0000-0000-00005D640000}"/>
    <cellStyle name="Normal 80 54" xfId="13527" xr:uid="{00000000-0005-0000-0000-00005E640000}"/>
    <cellStyle name="Normal 80 54 2" xfId="25720" xr:uid="{00000000-0005-0000-0000-00005F640000}"/>
    <cellStyle name="Normal 80 55" xfId="13528" xr:uid="{00000000-0005-0000-0000-000060640000}"/>
    <cellStyle name="Normal 80 55 2" xfId="25721" xr:uid="{00000000-0005-0000-0000-000061640000}"/>
    <cellStyle name="Normal 80 56" xfId="13529" xr:uid="{00000000-0005-0000-0000-000062640000}"/>
    <cellStyle name="Normal 80 56 2" xfId="25722" xr:uid="{00000000-0005-0000-0000-000063640000}"/>
    <cellStyle name="Normal 80 57" xfId="13530" xr:uid="{00000000-0005-0000-0000-000064640000}"/>
    <cellStyle name="Normal 80 57 2" xfId="25723" xr:uid="{00000000-0005-0000-0000-000065640000}"/>
    <cellStyle name="Normal 80 58" xfId="13531" xr:uid="{00000000-0005-0000-0000-000066640000}"/>
    <cellStyle name="Normal 80 58 2" xfId="25724" xr:uid="{00000000-0005-0000-0000-000067640000}"/>
    <cellStyle name="Normal 80 59" xfId="13532" xr:uid="{00000000-0005-0000-0000-000068640000}"/>
    <cellStyle name="Normal 80 59 2" xfId="25725" xr:uid="{00000000-0005-0000-0000-000069640000}"/>
    <cellStyle name="Normal 80 6" xfId="13533" xr:uid="{00000000-0005-0000-0000-00006A640000}"/>
    <cellStyle name="Normal 80 6 2" xfId="25726" xr:uid="{00000000-0005-0000-0000-00006B640000}"/>
    <cellStyle name="Normal 80 60" xfId="13534" xr:uid="{00000000-0005-0000-0000-00006C640000}"/>
    <cellStyle name="Normal 80 60 2" xfId="25727" xr:uid="{00000000-0005-0000-0000-00006D640000}"/>
    <cellStyle name="Normal 80 61" xfId="13535" xr:uid="{00000000-0005-0000-0000-00006E640000}"/>
    <cellStyle name="Normal 80 61 2" xfId="25728" xr:uid="{00000000-0005-0000-0000-00006F640000}"/>
    <cellStyle name="Normal 80 62" xfId="13536" xr:uid="{00000000-0005-0000-0000-000070640000}"/>
    <cellStyle name="Normal 80 62 2" xfId="25729" xr:uid="{00000000-0005-0000-0000-000071640000}"/>
    <cellStyle name="Normal 80 63" xfId="13537" xr:uid="{00000000-0005-0000-0000-000072640000}"/>
    <cellStyle name="Normal 80 63 2" xfId="25730" xr:uid="{00000000-0005-0000-0000-000073640000}"/>
    <cellStyle name="Normal 80 64" xfId="13538" xr:uid="{00000000-0005-0000-0000-000074640000}"/>
    <cellStyle name="Normal 80 64 2" xfId="25731" xr:uid="{00000000-0005-0000-0000-000075640000}"/>
    <cellStyle name="Normal 80 65" xfId="13539" xr:uid="{00000000-0005-0000-0000-000076640000}"/>
    <cellStyle name="Normal 80 65 2" xfId="25732" xr:uid="{00000000-0005-0000-0000-000077640000}"/>
    <cellStyle name="Normal 80 66" xfId="13540" xr:uid="{00000000-0005-0000-0000-000078640000}"/>
    <cellStyle name="Normal 80 66 2" xfId="25733" xr:uid="{00000000-0005-0000-0000-000079640000}"/>
    <cellStyle name="Normal 80 67" xfId="13541" xr:uid="{00000000-0005-0000-0000-00007A640000}"/>
    <cellStyle name="Normal 80 67 2" xfId="25734" xr:uid="{00000000-0005-0000-0000-00007B640000}"/>
    <cellStyle name="Normal 80 68" xfId="13542" xr:uid="{00000000-0005-0000-0000-00007C640000}"/>
    <cellStyle name="Normal 80 68 2" xfId="25735" xr:uid="{00000000-0005-0000-0000-00007D640000}"/>
    <cellStyle name="Normal 80 69" xfId="13543" xr:uid="{00000000-0005-0000-0000-00007E640000}"/>
    <cellStyle name="Normal 80 69 2" xfId="25736" xr:uid="{00000000-0005-0000-0000-00007F640000}"/>
    <cellStyle name="Normal 80 7" xfId="13544" xr:uid="{00000000-0005-0000-0000-000080640000}"/>
    <cellStyle name="Normal 80 7 2" xfId="25737" xr:uid="{00000000-0005-0000-0000-000081640000}"/>
    <cellStyle name="Normal 80 70" xfId="13545" xr:uid="{00000000-0005-0000-0000-000082640000}"/>
    <cellStyle name="Normal 80 70 2" xfId="25738" xr:uid="{00000000-0005-0000-0000-000083640000}"/>
    <cellStyle name="Normal 80 71" xfId="13546" xr:uid="{00000000-0005-0000-0000-000084640000}"/>
    <cellStyle name="Normal 80 71 2" xfId="25739" xr:uid="{00000000-0005-0000-0000-000085640000}"/>
    <cellStyle name="Normal 80 72" xfId="13547" xr:uid="{00000000-0005-0000-0000-000086640000}"/>
    <cellStyle name="Normal 80 72 2" xfId="25740" xr:uid="{00000000-0005-0000-0000-000087640000}"/>
    <cellStyle name="Normal 80 73" xfId="13548" xr:uid="{00000000-0005-0000-0000-000088640000}"/>
    <cellStyle name="Normal 80 73 2" xfId="25741" xr:uid="{00000000-0005-0000-0000-000089640000}"/>
    <cellStyle name="Normal 80 74" xfId="13549" xr:uid="{00000000-0005-0000-0000-00008A640000}"/>
    <cellStyle name="Normal 80 74 2" xfId="25742" xr:uid="{00000000-0005-0000-0000-00008B640000}"/>
    <cellStyle name="Normal 80 75" xfId="13550" xr:uid="{00000000-0005-0000-0000-00008C640000}"/>
    <cellStyle name="Normal 80 75 2" xfId="25743" xr:uid="{00000000-0005-0000-0000-00008D640000}"/>
    <cellStyle name="Normal 80 76" xfId="13551" xr:uid="{00000000-0005-0000-0000-00008E640000}"/>
    <cellStyle name="Normal 80 76 2" xfId="25744" xr:uid="{00000000-0005-0000-0000-00008F640000}"/>
    <cellStyle name="Normal 80 77" xfId="13552" xr:uid="{00000000-0005-0000-0000-000090640000}"/>
    <cellStyle name="Normal 80 77 2" xfId="25745" xr:uid="{00000000-0005-0000-0000-000091640000}"/>
    <cellStyle name="Normal 80 78" xfId="13553" xr:uid="{00000000-0005-0000-0000-000092640000}"/>
    <cellStyle name="Normal 80 78 2" xfId="25746" xr:uid="{00000000-0005-0000-0000-000093640000}"/>
    <cellStyle name="Normal 80 79" xfId="13554" xr:uid="{00000000-0005-0000-0000-000094640000}"/>
    <cellStyle name="Normal 80 79 2" xfId="25747" xr:uid="{00000000-0005-0000-0000-000095640000}"/>
    <cellStyle name="Normal 80 8" xfId="13555" xr:uid="{00000000-0005-0000-0000-000096640000}"/>
    <cellStyle name="Normal 80 8 2" xfId="25748" xr:uid="{00000000-0005-0000-0000-000097640000}"/>
    <cellStyle name="Normal 80 80" xfId="25671" xr:uid="{00000000-0005-0000-0000-000098640000}"/>
    <cellStyle name="Normal 80 9" xfId="13556" xr:uid="{00000000-0005-0000-0000-000099640000}"/>
    <cellStyle name="Normal 80 9 2" xfId="25749" xr:uid="{00000000-0005-0000-0000-00009A640000}"/>
    <cellStyle name="Normal 81" xfId="67" xr:uid="{00000000-0005-0000-0000-00009B640000}"/>
    <cellStyle name="Normal 81 10" xfId="13557" xr:uid="{00000000-0005-0000-0000-00009C640000}"/>
    <cellStyle name="Normal 81 10 2" xfId="25751" xr:uid="{00000000-0005-0000-0000-00009D640000}"/>
    <cellStyle name="Normal 81 11" xfId="13558" xr:uid="{00000000-0005-0000-0000-00009E640000}"/>
    <cellStyle name="Normal 81 11 2" xfId="25752" xr:uid="{00000000-0005-0000-0000-00009F640000}"/>
    <cellStyle name="Normal 81 12" xfId="13559" xr:uid="{00000000-0005-0000-0000-0000A0640000}"/>
    <cellStyle name="Normal 81 12 2" xfId="25753" xr:uid="{00000000-0005-0000-0000-0000A1640000}"/>
    <cellStyle name="Normal 81 13" xfId="13560" xr:uid="{00000000-0005-0000-0000-0000A2640000}"/>
    <cellStyle name="Normal 81 13 2" xfId="25754" xr:uid="{00000000-0005-0000-0000-0000A3640000}"/>
    <cellStyle name="Normal 81 14" xfId="13561" xr:uid="{00000000-0005-0000-0000-0000A4640000}"/>
    <cellStyle name="Normal 81 14 2" xfId="25755" xr:uid="{00000000-0005-0000-0000-0000A5640000}"/>
    <cellStyle name="Normal 81 15" xfId="13562" xr:uid="{00000000-0005-0000-0000-0000A6640000}"/>
    <cellStyle name="Normal 81 15 2" xfId="25756" xr:uid="{00000000-0005-0000-0000-0000A7640000}"/>
    <cellStyle name="Normal 81 16" xfId="13563" xr:uid="{00000000-0005-0000-0000-0000A8640000}"/>
    <cellStyle name="Normal 81 16 2" xfId="25757" xr:uid="{00000000-0005-0000-0000-0000A9640000}"/>
    <cellStyle name="Normal 81 17" xfId="13564" xr:uid="{00000000-0005-0000-0000-0000AA640000}"/>
    <cellStyle name="Normal 81 17 2" xfId="25758" xr:uid="{00000000-0005-0000-0000-0000AB640000}"/>
    <cellStyle name="Normal 81 18" xfId="13565" xr:uid="{00000000-0005-0000-0000-0000AC640000}"/>
    <cellStyle name="Normal 81 18 2" xfId="25759" xr:uid="{00000000-0005-0000-0000-0000AD640000}"/>
    <cellStyle name="Normal 81 19" xfId="13566" xr:uid="{00000000-0005-0000-0000-0000AE640000}"/>
    <cellStyle name="Normal 81 19 2" xfId="25760" xr:uid="{00000000-0005-0000-0000-0000AF640000}"/>
    <cellStyle name="Normal 81 2" xfId="772" xr:uid="{00000000-0005-0000-0000-0000B0640000}"/>
    <cellStyle name="Normal 81 2 2" xfId="25761" xr:uid="{00000000-0005-0000-0000-0000B1640000}"/>
    <cellStyle name="Normal 81 2 3" xfId="13567" xr:uid="{00000000-0005-0000-0000-0000B2640000}"/>
    <cellStyle name="Normal 81 20" xfId="13568" xr:uid="{00000000-0005-0000-0000-0000B3640000}"/>
    <cellStyle name="Normal 81 20 2" xfId="25762" xr:uid="{00000000-0005-0000-0000-0000B4640000}"/>
    <cellStyle name="Normal 81 21" xfId="13569" xr:uid="{00000000-0005-0000-0000-0000B5640000}"/>
    <cellStyle name="Normal 81 21 2" xfId="25763" xr:uid="{00000000-0005-0000-0000-0000B6640000}"/>
    <cellStyle name="Normal 81 22" xfId="13570" xr:uid="{00000000-0005-0000-0000-0000B7640000}"/>
    <cellStyle name="Normal 81 22 2" xfId="25764" xr:uid="{00000000-0005-0000-0000-0000B8640000}"/>
    <cellStyle name="Normal 81 23" xfId="13571" xr:uid="{00000000-0005-0000-0000-0000B9640000}"/>
    <cellStyle name="Normal 81 23 2" xfId="25765" xr:uid="{00000000-0005-0000-0000-0000BA640000}"/>
    <cellStyle name="Normal 81 24" xfId="13572" xr:uid="{00000000-0005-0000-0000-0000BB640000}"/>
    <cellStyle name="Normal 81 24 2" xfId="25766" xr:uid="{00000000-0005-0000-0000-0000BC640000}"/>
    <cellStyle name="Normal 81 25" xfId="13573" xr:uid="{00000000-0005-0000-0000-0000BD640000}"/>
    <cellStyle name="Normal 81 25 2" xfId="25767" xr:uid="{00000000-0005-0000-0000-0000BE640000}"/>
    <cellStyle name="Normal 81 26" xfId="13574" xr:uid="{00000000-0005-0000-0000-0000BF640000}"/>
    <cellStyle name="Normal 81 26 2" xfId="25768" xr:uid="{00000000-0005-0000-0000-0000C0640000}"/>
    <cellStyle name="Normal 81 27" xfId="13575" xr:uid="{00000000-0005-0000-0000-0000C1640000}"/>
    <cellStyle name="Normal 81 27 2" xfId="25769" xr:uid="{00000000-0005-0000-0000-0000C2640000}"/>
    <cellStyle name="Normal 81 28" xfId="13576" xr:uid="{00000000-0005-0000-0000-0000C3640000}"/>
    <cellStyle name="Normal 81 28 2" xfId="25770" xr:uid="{00000000-0005-0000-0000-0000C4640000}"/>
    <cellStyle name="Normal 81 29" xfId="13577" xr:uid="{00000000-0005-0000-0000-0000C5640000}"/>
    <cellStyle name="Normal 81 29 2" xfId="25771" xr:uid="{00000000-0005-0000-0000-0000C6640000}"/>
    <cellStyle name="Normal 81 3" xfId="422" xr:uid="{00000000-0005-0000-0000-0000C7640000}"/>
    <cellStyle name="Normal 81 3 2" xfId="25772" xr:uid="{00000000-0005-0000-0000-0000C8640000}"/>
    <cellStyle name="Normal 81 30" xfId="13578" xr:uid="{00000000-0005-0000-0000-0000C9640000}"/>
    <cellStyle name="Normal 81 30 2" xfId="25773" xr:uid="{00000000-0005-0000-0000-0000CA640000}"/>
    <cellStyle name="Normal 81 31" xfId="13579" xr:uid="{00000000-0005-0000-0000-0000CB640000}"/>
    <cellStyle name="Normal 81 31 2" xfId="25774" xr:uid="{00000000-0005-0000-0000-0000CC640000}"/>
    <cellStyle name="Normal 81 32" xfId="13580" xr:uid="{00000000-0005-0000-0000-0000CD640000}"/>
    <cellStyle name="Normal 81 32 2" xfId="25775" xr:uid="{00000000-0005-0000-0000-0000CE640000}"/>
    <cellStyle name="Normal 81 33" xfId="13581" xr:uid="{00000000-0005-0000-0000-0000CF640000}"/>
    <cellStyle name="Normal 81 33 2" xfId="25776" xr:uid="{00000000-0005-0000-0000-0000D0640000}"/>
    <cellStyle name="Normal 81 34" xfId="13582" xr:uid="{00000000-0005-0000-0000-0000D1640000}"/>
    <cellStyle name="Normal 81 34 2" xfId="25777" xr:uid="{00000000-0005-0000-0000-0000D2640000}"/>
    <cellStyle name="Normal 81 35" xfId="13583" xr:uid="{00000000-0005-0000-0000-0000D3640000}"/>
    <cellStyle name="Normal 81 35 2" xfId="25778" xr:uid="{00000000-0005-0000-0000-0000D4640000}"/>
    <cellStyle name="Normal 81 36" xfId="13584" xr:uid="{00000000-0005-0000-0000-0000D5640000}"/>
    <cellStyle name="Normal 81 36 2" xfId="25779" xr:uid="{00000000-0005-0000-0000-0000D6640000}"/>
    <cellStyle name="Normal 81 37" xfId="13585" xr:uid="{00000000-0005-0000-0000-0000D7640000}"/>
    <cellStyle name="Normal 81 37 2" xfId="25780" xr:uid="{00000000-0005-0000-0000-0000D8640000}"/>
    <cellStyle name="Normal 81 38" xfId="13586" xr:uid="{00000000-0005-0000-0000-0000D9640000}"/>
    <cellStyle name="Normal 81 38 2" xfId="25781" xr:uid="{00000000-0005-0000-0000-0000DA640000}"/>
    <cellStyle name="Normal 81 39" xfId="13587" xr:uid="{00000000-0005-0000-0000-0000DB640000}"/>
    <cellStyle name="Normal 81 39 2" xfId="25782" xr:uid="{00000000-0005-0000-0000-0000DC640000}"/>
    <cellStyle name="Normal 81 4" xfId="207" xr:uid="{00000000-0005-0000-0000-0000DD640000}"/>
    <cellStyle name="Normal 81 4 2" xfId="25783" xr:uid="{00000000-0005-0000-0000-0000DE640000}"/>
    <cellStyle name="Normal 81 4 3" xfId="13588" xr:uid="{00000000-0005-0000-0000-0000DF640000}"/>
    <cellStyle name="Normal 81 40" xfId="13589" xr:uid="{00000000-0005-0000-0000-0000E0640000}"/>
    <cellStyle name="Normal 81 40 2" xfId="25784" xr:uid="{00000000-0005-0000-0000-0000E1640000}"/>
    <cellStyle name="Normal 81 41" xfId="13590" xr:uid="{00000000-0005-0000-0000-0000E2640000}"/>
    <cellStyle name="Normal 81 41 2" xfId="25785" xr:uid="{00000000-0005-0000-0000-0000E3640000}"/>
    <cellStyle name="Normal 81 42" xfId="13591" xr:uid="{00000000-0005-0000-0000-0000E4640000}"/>
    <cellStyle name="Normal 81 42 2" xfId="25786" xr:uid="{00000000-0005-0000-0000-0000E5640000}"/>
    <cellStyle name="Normal 81 43" xfId="13592" xr:uid="{00000000-0005-0000-0000-0000E6640000}"/>
    <cellStyle name="Normal 81 43 2" xfId="25787" xr:uid="{00000000-0005-0000-0000-0000E7640000}"/>
    <cellStyle name="Normal 81 44" xfId="13593" xr:uid="{00000000-0005-0000-0000-0000E8640000}"/>
    <cellStyle name="Normal 81 44 2" xfId="25788" xr:uid="{00000000-0005-0000-0000-0000E9640000}"/>
    <cellStyle name="Normal 81 45" xfId="13594" xr:uid="{00000000-0005-0000-0000-0000EA640000}"/>
    <cellStyle name="Normal 81 45 2" xfId="25789" xr:uid="{00000000-0005-0000-0000-0000EB640000}"/>
    <cellStyle name="Normal 81 46" xfId="13595" xr:uid="{00000000-0005-0000-0000-0000EC640000}"/>
    <cellStyle name="Normal 81 46 2" xfId="25790" xr:uid="{00000000-0005-0000-0000-0000ED640000}"/>
    <cellStyle name="Normal 81 47" xfId="13596" xr:uid="{00000000-0005-0000-0000-0000EE640000}"/>
    <cellStyle name="Normal 81 47 2" xfId="25791" xr:uid="{00000000-0005-0000-0000-0000EF640000}"/>
    <cellStyle name="Normal 81 48" xfId="13597" xr:uid="{00000000-0005-0000-0000-0000F0640000}"/>
    <cellStyle name="Normal 81 48 2" xfId="25792" xr:uid="{00000000-0005-0000-0000-0000F1640000}"/>
    <cellStyle name="Normal 81 49" xfId="13598" xr:uid="{00000000-0005-0000-0000-0000F2640000}"/>
    <cellStyle name="Normal 81 49 2" xfId="25793" xr:uid="{00000000-0005-0000-0000-0000F3640000}"/>
    <cellStyle name="Normal 81 5" xfId="13599" xr:uid="{00000000-0005-0000-0000-0000F4640000}"/>
    <cellStyle name="Normal 81 5 2" xfId="25794" xr:uid="{00000000-0005-0000-0000-0000F5640000}"/>
    <cellStyle name="Normal 81 50" xfId="13600" xr:uid="{00000000-0005-0000-0000-0000F6640000}"/>
    <cellStyle name="Normal 81 50 2" xfId="25795" xr:uid="{00000000-0005-0000-0000-0000F7640000}"/>
    <cellStyle name="Normal 81 51" xfId="13601" xr:uid="{00000000-0005-0000-0000-0000F8640000}"/>
    <cellStyle name="Normal 81 51 2" xfId="25796" xr:uid="{00000000-0005-0000-0000-0000F9640000}"/>
    <cellStyle name="Normal 81 52" xfId="13602" xr:uid="{00000000-0005-0000-0000-0000FA640000}"/>
    <cellStyle name="Normal 81 52 2" xfId="25797" xr:uid="{00000000-0005-0000-0000-0000FB640000}"/>
    <cellStyle name="Normal 81 53" xfId="13603" xr:uid="{00000000-0005-0000-0000-0000FC640000}"/>
    <cellStyle name="Normal 81 53 2" xfId="25798" xr:uid="{00000000-0005-0000-0000-0000FD640000}"/>
    <cellStyle name="Normal 81 54" xfId="13604" xr:uid="{00000000-0005-0000-0000-0000FE640000}"/>
    <cellStyle name="Normal 81 54 2" xfId="25799" xr:uid="{00000000-0005-0000-0000-0000FF640000}"/>
    <cellStyle name="Normal 81 55" xfId="13605" xr:uid="{00000000-0005-0000-0000-000000650000}"/>
    <cellStyle name="Normal 81 55 2" xfId="25800" xr:uid="{00000000-0005-0000-0000-000001650000}"/>
    <cellStyle name="Normal 81 56" xfId="13606" xr:uid="{00000000-0005-0000-0000-000002650000}"/>
    <cellStyle name="Normal 81 56 2" xfId="25801" xr:uid="{00000000-0005-0000-0000-000003650000}"/>
    <cellStyle name="Normal 81 57" xfId="13607" xr:uid="{00000000-0005-0000-0000-000004650000}"/>
    <cellStyle name="Normal 81 57 2" xfId="25802" xr:uid="{00000000-0005-0000-0000-000005650000}"/>
    <cellStyle name="Normal 81 58" xfId="13608" xr:uid="{00000000-0005-0000-0000-000006650000}"/>
    <cellStyle name="Normal 81 58 2" xfId="25803" xr:uid="{00000000-0005-0000-0000-000007650000}"/>
    <cellStyle name="Normal 81 59" xfId="13609" xr:uid="{00000000-0005-0000-0000-000008650000}"/>
    <cellStyle name="Normal 81 59 2" xfId="25804" xr:uid="{00000000-0005-0000-0000-000009650000}"/>
    <cellStyle name="Normal 81 6" xfId="13610" xr:uid="{00000000-0005-0000-0000-00000A650000}"/>
    <cellStyle name="Normal 81 6 2" xfId="25805" xr:uid="{00000000-0005-0000-0000-00000B650000}"/>
    <cellStyle name="Normal 81 60" xfId="13611" xr:uid="{00000000-0005-0000-0000-00000C650000}"/>
    <cellStyle name="Normal 81 60 2" xfId="25806" xr:uid="{00000000-0005-0000-0000-00000D650000}"/>
    <cellStyle name="Normal 81 61" xfId="13612" xr:uid="{00000000-0005-0000-0000-00000E650000}"/>
    <cellStyle name="Normal 81 61 2" xfId="25807" xr:uid="{00000000-0005-0000-0000-00000F650000}"/>
    <cellStyle name="Normal 81 62" xfId="13613" xr:uid="{00000000-0005-0000-0000-000010650000}"/>
    <cellStyle name="Normal 81 62 2" xfId="25808" xr:uid="{00000000-0005-0000-0000-000011650000}"/>
    <cellStyle name="Normal 81 63" xfId="13614" xr:uid="{00000000-0005-0000-0000-000012650000}"/>
    <cellStyle name="Normal 81 63 2" xfId="25809" xr:uid="{00000000-0005-0000-0000-000013650000}"/>
    <cellStyle name="Normal 81 64" xfId="13615" xr:uid="{00000000-0005-0000-0000-000014650000}"/>
    <cellStyle name="Normal 81 64 2" xfId="25810" xr:uid="{00000000-0005-0000-0000-000015650000}"/>
    <cellStyle name="Normal 81 65" xfId="13616" xr:uid="{00000000-0005-0000-0000-000016650000}"/>
    <cellStyle name="Normal 81 65 2" xfId="25811" xr:uid="{00000000-0005-0000-0000-000017650000}"/>
    <cellStyle name="Normal 81 66" xfId="13617" xr:uid="{00000000-0005-0000-0000-000018650000}"/>
    <cellStyle name="Normal 81 66 2" xfId="25812" xr:uid="{00000000-0005-0000-0000-000019650000}"/>
    <cellStyle name="Normal 81 67" xfId="13618" xr:uid="{00000000-0005-0000-0000-00001A650000}"/>
    <cellStyle name="Normal 81 67 2" xfId="25813" xr:uid="{00000000-0005-0000-0000-00001B650000}"/>
    <cellStyle name="Normal 81 68" xfId="13619" xr:uid="{00000000-0005-0000-0000-00001C650000}"/>
    <cellStyle name="Normal 81 68 2" xfId="25814" xr:uid="{00000000-0005-0000-0000-00001D650000}"/>
    <cellStyle name="Normal 81 69" xfId="13620" xr:uid="{00000000-0005-0000-0000-00001E650000}"/>
    <cellStyle name="Normal 81 69 2" xfId="25815" xr:uid="{00000000-0005-0000-0000-00001F650000}"/>
    <cellStyle name="Normal 81 7" xfId="13621" xr:uid="{00000000-0005-0000-0000-000020650000}"/>
    <cellStyle name="Normal 81 7 2" xfId="25816" xr:uid="{00000000-0005-0000-0000-000021650000}"/>
    <cellStyle name="Normal 81 70" xfId="13622" xr:uid="{00000000-0005-0000-0000-000022650000}"/>
    <cellStyle name="Normal 81 70 2" xfId="25817" xr:uid="{00000000-0005-0000-0000-000023650000}"/>
    <cellStyle name="Normal 81 71" xfId="13623" xr:uid="{00000000-0005-0000-0000-000024650000}"/>
    <cellStyle name="Normal 81 71 2" xfId="25818" xr:uid="{00000000-0005-0000-0000-000025650000}"/>
    <cellStyle name="Normal 81 72" xfId="13624" xr:uid="{00000000-0005-0000-0000-000026650000}"/>
    <cellStyle name="Normal 81 72 2" xfId="25819" xr:uid="{00000000-0005-0000-0000-000027650000}"/>
    <cellStyle name="Normal 81 73" xfId="13625" xr:uid="{00000000-0005-0000-0000-000028650000}"/>
    <cellStyle name="Normal 81 73 2" xfId="25820" xr:uid="{00000000-0005-0000-0000-000029650000}"/>
    <cellStyle name="Normal 81 74" xfId="13626" xr:uid="{00000000-0005-0000-0000-00002A650000}"/>
    <cellStyle name="Normal 81 74 2" xfId="25821" xr:uid="{00000000-0005-0000-0000-00002B650000}"/>
    <cellStyle name="Normal 81 75" xfId="13627" xr:uid="{00000000-0005-0000-0000-00002C650000}"/>
    <cellStyle name="Normal 81 75 2" xfId="25822" xr:uid="{00000000-0005-0000-0000-00002D650000}"/>
    <cellStyle name="Normal 81 76" xfId="13628" xr:uid="{00000000-0005-0000-0000-00002E650000}"/>
    <cellStyle name="Normal 81 76 2" xfId="25823" xr:uid="{00000000-0005-0000-0000-00002F650000}"/>
    <cellStyle name="Normal 81 77" xfId="13629" xr:uid="{00000000-0005-0000-0000-000030650000}"/>
    <cellStyle name="Normal 81 77 2" xfId="25824" xr:uid="{00000000-0005-0000-0000-000031650000}"/>
    <cellStyle name="Normal 81 78" xfId="13630" xr:uid="{00000000-0005-0000-0000-000032650000}"/>
    <cellStyle name="Normal 81 78 2" xfId="25825" xr:uid="{00000000-0005-0000-0000-000033650000}"/>
    <cellStyle name="Normal 81 79" xfId="13631" xr:uid="{00000000-0005-0000-0000-000034650000}"/>
    <cellStyle name="Normal 81 79 2" xfId="25826" xr:uid="{00000000-0005-0000-0000-000035650000}"/>
    <cellStyle name="Normal 81 8" xfId="13632" xr:uid="{00000000-0005-0000-0000-000036650000}"/>
    <cellStyle name="Normal 81 8 2" xfId="25827" xr:uid="{00000000-0005-0000-0000-000037650000}"/>
    <cellStyle name="Normal 81 80" xfId="25750" xr:uid="{00000000-0005-0000-0000-000038650000}"/>
    <cellStyle name="Normal 81 9" xfId="13633" xr:uid="{00000000-0005-0000-0000-000039650000}"/>
    <cellStyle name="Normal 81 9 2" xfId="25828" xr:uid="{00000000-0005-0000-0000-00003A650000}"/>
    <cellStyle name="Normal 82" xfId="208" xr:uid="{00000000-0005-0000-0000-00003B650000}"/>
    <cellStyle name="Normal 82 10" xfId="13634" xr:uid="{00000000-0005-0000-0000-00003C650000}"/>
    <cellStyle name="Normal 82 10 2" xfId="25830" xr:uid="{00000000-0005-0000-0000-00003D650000}"/>
    <cellStyle name="Normal 82 11" xfId="13635" xr:uid="{00000000-0005-0000-0000-00003E650000}"/>
    <cellStyle name="Normal 82 11 2" xfId="25831" xr:uid="{00000000-0005-0000-0000-00003F650000}"/>
    <cellStyle name="Normal 82 12" xfId="13636" xr:uid="{00000000-0005-0000-0000-000040650000}"/>
    <cellStyle name="Normal 82 12 2" xfId="25832" xr:uid="{00000000-0005-0000-0000-000041650000}"/>
    <cellStyle name="Normal 82 13" xfId="13637" xr:uid="{00000000-0005-0000-0000-000042650000}"/>
    <cellStyle name="Normal 82 13 2" xfId="25833" xr:uid="{00000000-0005-0000-0000-000043650000}"/>
    <cellStyle name="Normal 82 14" xfId="13638" xr:uid="{00000000-0005-0000-0000-000044650000}"/>
    <cellStyle name="Normal 82 14 2" xfId="25834" xr:uid="{00000000-0005-0000-0000-000045650000}"/>
    <cellStyle name="Normal 82 15" xfId="13639" xr:uid="{00000000-0005-0000-0000-000046650000}"/>
    <cellStyle name="Normal 82 15 2" xfId="25835" xr:uid="{00000000-0005-0000-0000-000047650000}"/>
    <cellStyle name="Normal 82 16" xfId="13640" xr:uid="{00000000-0005-0000-0000-000048650000}"/>
    <cellStyle name="Normal 82 16 2" xfId="25836" xr:uid="{00000000-0005-0000-0000-000049650000}"/>
    <cellStyle name="Normal 82 17" xfId="13641" xr:uid="{00000000-0005-0000-0000-00004A650000}"/>
    <cellStyle name="Normal 82 17 2" xfId="25837" xr:uid="{00000000-0005-0000-0000-00004B650000}"/>
    <cellStyle name="Normal 82 18" xfId="13642" xr:uid="{00000000-0005-0000-0000-00004C650000}"/>
    <cellStyle name="Normal 82 18 2" xfId="25838" xr:uid="{00000000-0005-0000-0000-00004D650000}"/>
    <cellStyle name="Normal 82 19" xfId="13643" xr:uid="{00000000-0005-0000-0000-00004E650000}"/>
    <cellStyle name="Normal 82 19 2" xfId="25839" xr:uid="{00000000-0005-0000-0000-00004F650000}"/>
    <cellStyle name="Normal 82 2" xfId="773" xr:uid="{00000000-0005-0000-0000-000050650000}"/>
    <cellStyle name="Normal 82 2 2" xfId="25840" xr:uid="{00000000-0005-0000-0000-000051650000}"/>
    <cellStyle name="Normal 82 2 3" xfId="13644" xr:uid="{00000000-0005-0000-0000-000052650000}"/>
    <cellStyle name="Normal 82 20" xfId="13645" xr:uid="{00000000-0005-0000-0000-000053650000}"/>
    <cellStyle name="Normal 82 20 2" xfId="25841" xr:uid="{00000000-0005-0000-0000-000054650000}"/>
    <cellStyle name="Normal 82 21" xfId="13646" xr:uid="{00000000-0005-0000-0000-000055650000}"/>
    <cellStyle name="Normal 82 21 2" xfId="25842" xr:uid="{00000000-0005-0000-0000-000056650000}"/>
    <cellStyle name="Normal 82 22" xfId="13647" xr:uid="{00000000-0005-0000-0000-000057650000}"/>
    <cellStyle name="Normal 82 22 2" xfId="25843" xr:uid="{00000000-0005-0000-0000-000058650000}"/>
    <cellStyle name="Normal 82 23" xfId="13648" xr:uid="{00000000-0005-0000-0000-000059650000}"/>
    <cellStyle name="Normal 82 23 2" xfId="25844" xr:uid="{00000000-0005-0000-0000-00005A650000}"/>
    <cellStyle name="Normal 82 24" xfId="13649" xr:uid="{00000000-0005-0000-0000-00005B650000}"/>
    <cellStyle name="Normal 82 24 2" xfId="25845" xr:uid="{00000000-0005-0000-0000-00005C650000}"/>
    <cellStyle name="Normal 82 25" xfId="13650" xr:uid="{00000000-0005-0000-0000-00005D650000}"/>
    <cellStyle name="Normal 82 25 2" xfId="25846" xr:uid="{00000000-0005-0000-0000-00005E650000}"/>
    <cellStyle name="Normal 82 26" xfId="13651" xr:uid="{00000000-0005-0000-0000-00005F650000}"/>
    <cellStyle name="Normal 82 26 2" xfId="25847" xr:uid="{00000000-0005-0000-0000-000060650000}"/>
    <cellStyle name="Normal 82 27" xfId="13652" xr:uid="{00000000-0005-0000-0000-000061650000}"/>
    <cellStyle name="Normal 82 27 2" xfId="25848" xr:uid="{00000000-0005-0000-0000-000062650000}"/>
    <cellStyle name="Normal 82 28" xfId="13653" xr:uid="{00000000-0005-0000-0000-000063650000}"/>
    <cellStyle name="Normal 82 28 2" xfId="25849" xr:uid="{00000000-0005-0000-0000-000064650000}"/>
    <cellStyle name="Normal 82 29" xfId="13654" xr:uid="{00000000-0005-0000-0000-000065650000}"/>
    <cellStyle name="Normal 82 29 2" xfId="25850" xr:uid="{00000000-0005-0000-0000-000066650000}"/>
    <cellStyle name="Normal 82 3" xfId="423" xr:uid="{00000000-0005-0000-0000-000067650000}"/>
    <cellStyle name="Normal 82 3 2" xfId="25851" xr:uid="{00000000-0005-0000-0000-000068650000}"/>
    <cellStyle name="Normal 82 30" xfId="13655" xr:uid="{00000000-0005-0000-0000-000069650000}"/>
    <cellStyle name="Normal 82 30 2" xfId="25852" xr:uid="{00000000-0005-0000-0000-00006A650000}"/>
    <cellStyle name="Normal 82 31" xfId="13656" xr:uid="{00000000-0005-0000-0000-00006B650000}"/>
    <cellStyle name="Normal 82 31 2" xfId="25853" xr:uid="{00000000-0005-0000-0000-00006C650000}"/>
    <cellStyle name="Normal 82 32" xfId="13657" xr:uid="{00000000-0005-0000-0000-00006D650000}"/>
    <cellStyle name="Normal 82 32 2" xfId="25854" xr:uid="{00000000-0005-0000-0000-00006E650000}"/>
    <cellStyle name="Normal 82 33" xfId="13658" xr:uid="{00000000-0005-0000-0000-00006F650000}"/>
    <cellStyle name="Normal 82 33 2" xfId="25855" xr:uid="{00000000-0005-0000-0000-000070650000}"/>
    <cellStyle name="Normal 82 34" xfId="13659" xr:uid="{00000000-0005-0000-0000-000071650000}"/>
    <cellStyle name="Normal 82 34 2" xfId="25856" xr:uid="{00000000-0005-0000-0000-000072650000}"/>
    <cellStyle name="Normal 82 35" xfId="13660" xr:uid="{00000000-0005-0000-0000-000073650000}"/>
    <cellStyle name="Normal 82 35 2" xfId="25857" xr:uid="{00000000-0005-0000-0000-000074650000}"/>
    <cellStyle name="Normal 82 36" xfId="13661" xr:uid="{00000000-0005-0000-0000-000075650000}"/>
    <cellStyle name="Normal 82 36 2" xfId="25858" xr:uid="{00000000-0005-0000-0000-000076650000}"/>
    <cellStyle name="Normal 82 37" xfId="13662" xr:uid="{00000000-0005-0000-0000-000077650000}"/>
    <cellStyle name="Normal 82 37 2" xfId="25859" xr:uid="{00000000-0005-0000-0000-000078650000}"/>
    <cellStyle name="Normal 82 38" xfId="13663" xr:uid="{00000000-0005-0000-0000-000079650000}"/>
    <cellStyle name="Normal 82 38 2" xfId="25860" xr:uid="{00000000-0005-0000-0000-00007A650000}"/>
    <cellStyle name="Normal 82 39" xfId="13664" xr:uid="{00000000-0005-0000-0000-00007B650000}"/>
    <cellStyle name="Normal 82 39 2" xfId="25861" xr:uid="{00000000-0005-0000-0000-00007C650000}"/>
    <cellStyle name="Normal 82 4" xfId="13665" xr:uid="{00000000-0005-0000-0000-00007D650000}"/>
    <cellStyle name="Normal 82 4 2" xfId="25862" xr:uid="{00000000-0005-0000-0000-00007E650000}"/>
    <cellStyle name="Normal 82 40" xfId="13666" xr:uid="{00000000-0005-0000-0000-00007F650000}"/>
    <cellStyle name="Normal 82 40 2" xfId="25863" xr:uid="{00000000-0005-0000-0000-000080650000}"/>
    <cellStyle name="Normal 82 41" xfId="13667" xr:uid="{00000000-0005-0000-0000-000081650000}"/>
    <cellStyle name="Normal 82 41 2" xfId="25864" xr:uid="{00000000-0005-0000-0000-000082650000}"/>
    <cellStyle name="Normal 82 42" xfId="13668" xr:uid="{00000000-0005-0000-0000-000083650000}"/>
    <cellStyle name="Normal 82 42 2" xfId="25865" xr:uid="{00000000-0005-0000-0000-000084650000}"/>
    <cellStyle name="Normal 82 43" xfId="13669" xr:uid="{00000000-0005-0000-0000-000085650000}"/>
    <cellStyle name="Normal 82 43 2" xfId="25866" xr:uid="{00000000-0005-0000-0000-000086650000}"/>
    <cellStyle name="Normal 82 44" xfId="13670" xr:uid="{00000000-0005-0000-0000-000087650000}"/>
    <cellStyle name="Normal 82 44 2" xfId="25867" xr:uid="{00000000-0005-0000-0000-000088650000}"/>
    <cellStyle name="Normal 82 45" xfId="13671" xr:uid="{00000000-0005-0000-0000-000089650000}"/>
    <cellStyle name="Normal 82 45 2" xfId="25868" xr:uid="{00000000-0005-0000-0000-00008A650000}"/>
    <cellStyle name="Normal 82 46" xfId="13672" xr:uid="{00000000-0005-0000-0000-00008B650000}"/>
    <cellStyle name="Normal 82 46 2" xfId="25869" xr:uid="{00000000-0005-0000-0000-00008C650000}"/>
    <cellStyle name="Normal 82 47" xfId="13673" xr:uid="{00000000-0005-0000-0000-00008D650000}"/>
    <cellStyle name="Normal 82 47 2" xfId="25870" xr:uid="{00000000-0005-0000-0000-00008E650000}"/>
    <cellStyle name="Normal 82 48" xfId="13674" xr:uid="{00000000-0005-0000-0000-00008F650000}"/>
    <cellStyle name="Normal 82 48 2" xfId="25871" xr:uid="{00000000-0005-0000-0000-000090650000}"/>
    <cellStyle name="Normal 82 49" xfId="13675" xr:uid="{00000000-0005-0000-0000-000091650000}"/>
    <cellStyle name="Normal 82 49 2" xfId="25872" xr:uid="{00000000-0005-0000-0000-000092650000}"/>
    <cellStyle name="Normal 82 5" xfId="13676" xr:uid="{00000000-0005-0000-0000-000093650000}"/>
    <cellStyle name="Normal 82 5 2" xfId="25873" xr:uid="{00000000-0005-0000-0000-000094650000}"/>
    <cellStyle name="Normal 82 50" xfId="13677" xr:uid="{00000000-0005-0000-0000-000095650000}"/>
    <cellStyle name="Normal 82 50 2" xfId="25874" xr:uid="{00000000-0005-0000-0000-000096650000}"/>
    <cellStyle name="Normal 82 51" xfId="13678" xr:uid="{00000000-0005-0000-0000-000097650000}"/>
    <cellStyle name="Normal 82 51 2" xfId="25875" xr:uid="{00000000-0005-0000-0000-000098650000}"/>
    <cellStyle name="Normal 82 52" xfId="13679" xr:uid="{00000000-0005-0000-0000-000099650000}"/>
    <cellStyle name="Normal 82 52 2" xfId="25876" xr:uid="{00000000-0005-0000-0000-00009A650000}"/>
    <cellStyle name="Normal 82 53" xfId="13680" xr:uid="{00000000-0005-0000-0000-00009B650000}"/>
    <cellStyle name="Normal 82 53 2" xfId="25877" xr:uid="{00000000-0005-0000-0000-00009C650000}"/>
    <cellStyle name="Normal 82 54" xfId="13681" xr:uid="{00000000-0005-0000-0000-00009D650000}"/>
    <cellStyle name="Normal 82 54 2" xfId="25878" xr:uid="{00000000-0005-0000-0000-00009E650000}"/>
    <cellStyle name="Normal 82 55" xfId="13682" xr:uid="{00000000-0005-0000-0000-00009F650000}"/>
    <cellStyle name="Normal 82 55 2" xfId="25879" xr:uid="{00000000-0005-0000-0000-0000A0650000}"/>
    <cellStyle name="Normal 82 56" xfId="13683" xr:uid="{00000000-0005-0000-0000-0000A1650000}"/>
    <cellStyle name="Normal 82 56 2" xfId="25880" xr:uid="{00000000-0005-0000-0000-0000A2650000}"/>
    <cellStyle name="Normal 82 57" xfId="13684" xr:uid="{00000000-0005-0000-0000-0000A3650000}"/>
    <cellStyle name="Normal 82 57 2" xfId="25881" xr:uid="{00000000-0005-0000-0000-0000A4650000}"/>
    <cellStyle name="Normal 82 58" xfId="13685" xr:uid="{00000000-0005-0000-0000-0000A5650000}"/>
    <cellStyle name="Normal 82 58 2" xfId="25882" xr:uid="{00000000-0005-0000-0000-0000A6650000}"/>
    <cellStyle name="Normal 82 59" xfId="13686" xr:uid="{00000000-0005-0000-0000-0000A7650000}"/>
    <cellStyle name="Normal 82 59 2" xfId="25883" xr:uid="{00000000-0005-0000-0000-0000A8650000}"/>
    <cellStyle name="Normal 82 6" xfId="13687" xr:uid="{00000000-0005-0000-0000-0000A9650000}"/>
    <cellStyle name="Normal 82 6 2" xfId="25884" xr:uid="{00000000-0005-0000-0000-0000AA650000}"/>
    <cellStyle name="Normal 82 60" xfId="13688" xr:uid="{00000000-0005-0000-0000-0000AB650000}"/>
    <cellStyle name="Normal 82 60 2" xfId="25885" xr:uid="{00000000-0005-0000-0000-0000AC650000}"/>
    <cellStyle name="Normal 82 61" xfId="13689" xr:uid="{00000000-0005-0000-0000-0000AD650000}"/>
    <cellStyle name="Normal 82 61 2" xfId="25886" xr:uid="{00000000-0005-0000-0000-0000AE650000}"/>
    <cellStyle name="Normal 82 62" xfId="13690" xr:uid="{00000000-0005-0000-0000-0000AF650000}"/>
    <cellStyle name="Normal 82 62 2" xfId="25887" xr:uid="{00000000-0005-0000-0000-0000B0650000}"/>
    <cellStyle name="Normal 82 63" xfId="13691" xr:uid="{00000000-0005-0000-0000-0000B1650000}"/>
    <cellStyle name="Normal 82 63 2" xfId="25888" xr:uid="{00000000-0005-0000-0000-0000B2650000}"/>
    <cellStyle name="Normal 82 64" xfId="13692" xr:uid="{00000000-0005-0000-0000-0000B3650000}"/>
    <cellStyle name="Normal 82 64 2" xfId="25889" xr:uid="{00000000-0005-0000-0000-0000B4650000}"/>
    <cellStyle name="Normal 82 65" xfId="13693" xr:uid="{00000000-0005-0000-0000-0000B5650000}"/>
    <cellStyle name="Normal 82 65 2" xfId="25890" xr:uid="{00000000-0005-0000-0000-0000B6650000}"/>
    <cellStyle name="Normal 82 66" xfId="13694" xr:uid="{00000000-0005-0000-0000-0000B7650000}"/>
    <cellStyle name="Normal 82 66 2" xfId="25891" xr:uid="{00000000-0005-0000-0000-0000B8650000}"/>
    <cellStyle name="Normal 82 67" xfId="13695" xr:uid="{00000000-0005-0000-0000-0000B9650000}"/>
    <cellStyle name="Normal 82 67 2" xfId="25892" xr:uid="{00000000-0005-0000-0000-0000BA650000}"/>
    <cellStyle name="Normal 82 68" xfId="13696" xr:uid="{00000000-0005-0000-0000-0000BB650000}"/>
    <cellStyle name="Normal 82 68 2" xfId="25893" xr:uid="{00000000-0005-0000-0000-0000BC650000}"/>
    <cellStyle name="Normal 82 69" xfId="13697" xr:uid="{00000000-0005-0000-0000-0000BD650000}"/>
    <cellStyle name="Normal 82 69 2" xfId="25894" xr:uid="{00000000-0005-0000-0000-0000BE650000}"/>
    <cellStyle name="Normal 82 7" xfId="13698" xr:uid="{00000000-0005-0000-0000-0000BF650000}"/>
    <cellStyle name="Normal 82 7 2" xfId="25895" xr:uid="{00000000-0005-0000-0000-0000C0650000}"/>
    <cellStyle name="Normal 82 70" xfId="13699" xr:uid="{00000000-0005-0000-0000-0000C1650000}"/>
    <cellStyle name="Normal 82 70 2" xfId="25896" xr:uid="{00000000-0005-0000-0000-0000C2650000}"/>
    <cellStyle name="Normal 82 71" xfId="13700" xr:uid="{00000000-0005-0000-0000-0000C3650000}"/>
    <cellStyle name="Normal 82 71 2" xfId="25897" xr:uid="{00000000-0005-0000-0000-0000C4650000}"/>
    <cellStyle name="Normal 82 72" xfId="13701" xr:uid="{00000000-0005-0000-0000-0000C5650000}"/>
    <cellStyle name="Normal 82 72 2" xfId="25898" xr:uid="{00000000-0005-0000-0000-0000C6650000}"/>
    <cellStyle name="Normal 82 73" xfId="13702" xr:uid="{00000000-0005-0000-0000-0000C7650000}"/>
    <cellStyle name="Normal 82 73 2" xfId="25899" xr:uid="{00000000-0005-0000-0000-0000C8650000}"/>
    <cellStyle name="Normal 82 74" xfId="13703" xr:uid="{00000000-0005-0000-0000-0000C9650000}"/>
    <cellStyle name="Normal 82 74 2" xfId="25900" xr:uid="{00000000-0005-0000-0000-0000CA650000}"/>
    <cellStyle name="Normal 82 75" xfId="13704" xr:uid="{00000000-0005-0000-0000-0000CB650000}"/>
    <cellStyle name="Normal 82 75 2" xfId="25901" xr:uid="{00000000-0005-0000-0000-0000CC650000}"/>
    <cellStyle name="Normal 82 76" xfId="13705" xr:uid="{00000000-0005-0000-0000-0000CD650000}"/>
    <cellStyle name="Normal 82 76 2" xfId="25902" xr:uid="{00000000-0005-0000-0000-0000CE650000}"/>
    <cellStyle name="Normal 82 77" xfId="13706" xr:uid="{00000000-0005-0000-0000-0000CF650000}"/>
    <cellStyle name="Normal 82 77 2" xfId="25903" xr:uid="{00000000-0005-0000-0000-0000D0650000}"/>
    <cellStyle name="Normal 82 78" xfId="13707" xr:uid="{00000000-0005-0000-0000-0000D1650000}"/>
    <cellStyle name="Normal 82 78 2" xfId="25904" xr:uid="{00000000-0005-0000-0000-0000D2650000}"/>
    <cellStyle name="Normal 82 79" xfId="13708" xr:uid="{00000000-0005-0000-0000-0000D3650000}"/>
    <cellStyle name="Normal 82 79 2" xfId="25905" xr:uid="{00000000-0005-0000-0000-0000D4650000}"/>
    <cellStyle name="Normal 82 8" xfId="13709" xr:uid="{00000000-0005-0000-0000-0000D5650000}"/>
    <cellStyle name="Normal 82 8 2" xfId="25906" xr:uid="{00000000-0005-0000-0000-0000D6650000}"/>
    <cellStyle name="Normal 82 80" xfId="25829" xr:uid="{00000000-0005-0000-0000-0000D7650000}"/>
    <cellStyle name="Normal 82 9" xfId="13710" xr:uid="{00000000-0005-0000-0000-0000D8650000}"/>
    <cellStyle name="Normal 82 9 2" xfId="25907" xr:uid="{00000000-0005-0000-0000-0000D9650000}"/>
    <cellStyle name="Normal 83" xfId="209" xr:uid="{00000000-0005-0000-0000-0000DA650000}"/>
    <cellStyle name="Normal 83 10" xfId="13711" xr:uid="{00000000-0005-0000-0000-0000DB650000}"/>
    <cellStyle name="Normal 83 10 2" xfId="25909" xr:uid="{00000000-0005-0000-0000-0000DC650000}"/>
    <cellStyle name="Normal 83 11" xfId="13712" xr:uid="{00000000-0005-0000-0000-0000DD650000}"/>
    <cellStyle name="Normal 83 11 2" xfId="25910" xr:uid="{00000000-0005-0000-0000-0000DE650000}"/>
    <cellStyle name="Normal 83 12" xfId="13713" xr:uid="{00000000-0005-0000-0000-0000DF650000}"/>
    <cellStyle name="Normal 83 12 2" xfId="25911" xr:uid="{00000000-0005-0000-0000-0000E0650000}"/>
    <cellStyle name="Normal 83 13" xfId="13714" xr:uid="{00000000-0005-0000-0000-0000E1650000}"/>
    <cellStyle name="Normal 83 13 2" xfId="25912" xr:uid="{00000000-0005-0000-0000-0000E2650000}"/>
    <cellStyle name="Normal 83 14" xfId="13715" xr:uid="{00000000-0005-0000-0000-0000E3650000}"/>
    <cellStyle name="Normal 83 14 2" xfId="25913" xr:uid="{00000000-0005-0000-0000-0000E4650000}"/>
    <cellStyle name="Normal 83 15" xfId="13716" xr:uid="{00000000-0005-0000-0000-0000E5650000}"/>
    <cellStyle name="Normal 83 15 2" xfId="25914" xr:uid="{00000000-0005-0000-0000-0000E6650000}"/>
    <cellStyle name="Normal 83 16" xfId="13717" xr:uid="{00000000-0005-0000-0000-0000E7650000}"/>
    <cellStyle name="Normal 83 16 2" xfId="25915" xr:uid="{00000000-0005-0000-0000-0000E8650000}"/>
    <cellStyle name="Normal 83 17" xfId="13718" xr:uid="{00000000-0005-0000-0000-0000E9650000}"/>
    <cellStyle name="Normal 83 17 2" xfId="25916" xr:uid="{00000000-0005-0000-0000-0000EA650000}"/>
    <cellStyle name="Normal 83 18" xfId="13719" xr:uid="{00000000-0005-0000-0000-0000EB650000}"/>
    <cellStyle name="Normal 83 18 2" xfId="25917" xr:uid="{00000000-0005-0000-0000-0000EC650000}"/>
    <cellStyle name="Normal 83 19" xfId="13720" xr:uid="{00000000-0005-0000-0000-0000ED650000}"/>
    <cellStyle name="Normal 83 19 2" xfId="25918" xr:uid="{00000000-0005-0000-0000-0000EE650000}"/>
    <cellStyle name="Normal 83 2" xfId="774" xr:uid="{00000000-0005-0000-0000-0000EF650000}"/>
    <cellStyle name="Normal 83 2 2" xfId="25919" xr:uid="{00000000-0005-0000-0000-0000F0650000}"/>
    <cellStyle name="Normal 83 2 3" xfId="13721" xr:uid="{00000000-0005-0000-0000-0000F1650000}"/>
    <cellStyle name="Normal 83 20" xfId="13722" xr:uid="{00000000-0005-0000-0000-0000F2650000}"/>
    <cellStyle name="Normal 83 20 2" xfId="25920" xr:uid="{00000000-0005-0000-0000-0000F3650000}"/>
    <cellStyle name="Normal 83 21" xfId="13723" xr:uid="{00000000-0005-0000-0000-0000F4650000}"/>
    <cellStyle name="Normal 83 21 2" xfId="25921" xr:uid="{00000000-0005-0000-0000-0000F5650000}"/>
    <cellStyle name="Normal 83 22" xfId="13724" xr:uid="{00000000-0005-0000-0000-0000F6650000}"/>
    <cellStyle name="Normal 83 22 2" xfId="25922" xr:uid="{00000000-0005-0000-0000-0000F7650000}"/>
    <cellStyle name="Normal 83 23" xfId="13725" xr:uid="{00000000-0005-0000-0000-0000F8650000}"/>
    <cellStyle name="Normal 83 23 2" xfId="25923" xr:uid="{00000000-0005-0000-0000-0000F9650000}"/>
    <cellStyle name="Normal 83 24" xfId="13726" xr:uid="{00000000-0005-0000-0000-0000FA650000}"/>
    <cellStyle name="Normal 83 24 2" xfId="25924" xr:uid="{00000000-0005-0000-0000-0000FB650000}"/>
    <cellStyle name="Normal 83 25" xfId="13727" xr:uid="{00000000-0005-0000-0000-0000FC650000}"/>
    <cellStyle name="Normal 83 25 2" xfId="25925" xr:uid="{00000000-0005-0000-0000-0000FD650000}"/>
    <cellStyle name="Normal 83 26" xfId="13728" xr:uid="{00000000-0005-0000-0000-0000FE650000}"/>
    <cellStyle name="Normal 83 26 2" xfId="25926" xr:uid="{00000000-0005-0000-0000-0000FF650000}"/>
    <cellStyle name="Normal 83 27" xfId="13729" xr:uid="{00000000-0005-0000-0000-000000660000}"/>
    <cellStyle name="Normal 83 27 2" xfId="25927" xr:uid="{00000000-0005-0000-0000-000001660000}"/>
    <cellStyle name="Normal 83 28" xfId="13730" xr:uid="{00000000-0005-0000-0000-000002660000}"/>
    <cellStyle name="Normal 83 28 2" xfId="25928" xr:uid="{00000000-0005-0000-0000-000003660000}"/>
    <cellStyle name="Normal 83 29" xfId="13731" xr:uid="{00000000-0005-0000-0000-000004660000}"/>
    <cellStyle name="Normal 83 29 2" xfId="25929" xr:uid="{00000000-0005-0000-0000-000005660000}"/>
    <cellStyle name="Normal 83 3" xfId="424" xr:uid="{00000000-0005-0000-0000-000006660000}"/>
    <cellStyle name="Normal 83 3 2" xfId="25930" xr:uid="{00000000-0005-0000-0000-000007660000}"/>
    <cellStyle name="Normal 83 30" xfId="13732" xr:uid="{00000000-0005-0000-0000-000008660000}"/>
    <cellStyle name="Normal 83 30 2" xfId="25931" xr:uid="{00000000-0005-0000-0000-000009660000}"/>
    <cellStyle name="Normal 83 31" xfId="13733" xr:uid="{00000000-0005-0000-0000-00000A660000}"/>
    <cellStyle name="Normal 83 31 2" xfId="25932" xr:uid="{00000000-0005-0000-0000-00000B660000}"/>
    <cellStyle name="Normal 83 32" xfId="13734" xr:uid="{00000000-0005-0000-0000-00000C660000}"/>
    <cellStyle name="Normal 83 32 2" xfId="25933" xr:uid="{00000000-0005-0000-0000-00000D660000}"/>
    <cellStyle name="Normal 83 33" xfId="13735" xr:uid="{00000000-0005-0000-0000-00000E660000}"/>
    <cellStyle name="Normal 83 33 2" xfId="25934" xr:uid="{00000000-0005-0000-0000-00000F660000}"/>
    <cellStyle name="Normal 83 34" xfId="13736" xr:uid="{00000000-0005-0000-0000-000010660000}"/>
    <cellStyle name="Normal 83 34 2" xfId="25935" xr:uid="{00000000-0005-0000-0000-000011660000}"/>
    <cellStyle name="Normal 83 35" xfId="13737" xr:uid="{00000000-0005-0000-0000-000012660000}"/>
    <cellStyle name="Normal 83 35 2" xfId="25936" xr:uid="{00000000-0005-0000-0000-000013660000}"/>
    <cellStyle name="Normal 83 36" xfId="13738" xr:uid="{00000000-0005-0000-0000-000014660000}"/>
    <cellStyle name="Normal 83 36 2" xfId="25937" xr:uid="{00000000-0005-0000-0000-000015660000}"/>
    <cellStyle name="Normal 83 37" xfId="13739" xr:uid="{00000000-0005-0000-0000-000016660000}"/>
    <cellStyle name="Normal 83 37 2" xfId="25938" xr:uid="{00000000-0005-0000-0000-000017660000}"/>
    <cellStyle name="Normal 83 38" xfId="13740" xr:uid="{00000000-0005-0000-0000-000018660000}"/>
    <cellStyle name="Normal 83 38 2" xfId="25939" xr:uid="{00000000-0005-0000-0000-000019660000}"/>
    <cellStyle name="Normal 83 39" xfId="13741" xr:uid="{00000000-0005-0000-0000-00001A660000}"/>
    <cellStyle name="Normal 83 39 2" xfId="25940" xr:uid="{00000000-0005-0000-0000-00001B660000}"/>
    <cellStyle name="Normal 83 4" xfId="13742" xr:uid="{00000000-0005-0000-0000-00001C660000}"/>
    <cellStyle name="Normal 83 4 2" xfId="25941" xr:uid="{00000000-0005-0000-0000-00001D660000}"/>
    <cellStyle name="Normal 83 40" xfId="13743" xr:uid="{00000000-0005-0000-0000-00001E660000}"/>
    <cellStyle name="Normal 83 40 2" xfId="25942" xr:uid="{00000000-0005-0000-0000-00001F660000}"/>
    <cellStyle name="Normal 83 41" xfId="13744" xr:uid="{00000000-0005-0000-0000-000020660000}"/>
    <cellStyle name="Normal 83 41 2" xfId="25943" xr:uid="{00000000-0005-0000-0000-000021660000}"/>
    <cellStyle name="Normal 83 42" xfId="13745" xr:uid="{00000000-0005-0000-0000-000022660000}"/>
    <cellStyle name="Normal 83 42 2" xfId="25944" xr:uid="{00000000-0005-0000-0000-000023660000}"/>
    <cellStyle name="Normal 83 43" xfId="13746" xr:uid="{00000000-0005-0000-0000-000024660000}"/>
    <cellStyle name="Normal 83 43 2" xfId="25945" xr:uid="{00000000-0005-0000-0000-000025660000}"/>
    <cellStyle name="Normal 83 44" xfId="13747" xr:uid="{00000000-0005-0000-0000-000026660000}"/>
    <cellStyle name="Normal 83 44 2" xfId="25946" xr:uid="{00000000-0005-0000-0000-000027660000}"/>
    <cellStyle name="Normal 83 45" xfId="13748" xr:uid="{00000000-0005-0000-0000-000028660000}"/>
    <cellStyle name="Normal 83 45 2" xfId="25947" xr:uid="{00000000-0005-0000-0000-000029660000}"/>
    <cellStyle name="Normal 83 46" xfId="13749" xr:uid="{00000000-0005-0000-0000-00002A660000}"/>
    <cellStyle name="Normal 83 46 2" xfId="25948" xr:uid="{00000000-0005-0000-0000-00002B660000}"/>
    <cellStyle name="Normal 83 47" xfId="13750" xr:uid="{00000000-0005-0000-0000-00002C660000}"/>
    <cellStyle name="Normal 83 47 2" xfId="25949" xr:uid="{00000000-0005-0000-0000-00002D660000}"/>
    <cellStyle name="Normal 83 48" xfId="13751" xr:uid="{00000000-0005-0000-0000-00002E660000}"/>
    <cellStyle name="Normal 83 48 2" xfId="25950" xr:uid="{00000000-0005-0000-0000-00002F660000}"/>
    <cellStyle name="Normal 83 49" xfId="13752" xr:uid="{00000000-0005-0000-0000-000030660000}"/>
    <cellStyle name="Normal 83 49 2" xfId="25951" xr:uid="{00000000-0005-0000-0000-000031660000}"/>
    <cellStyle name="Normal 83 5" xfId="13753" xr:uid="{00000000-0005-0000-0000-000032660000}"/>
    <cellStyle name="Normal 83 5 2" xfId="25952" xr:uid="{00000000-0005-0000-0000-000033660000}"/>
    <cellStyle name="Normal 83 50" xfId="13754" xr:uid="{00000000-0005-0000-0000-000034660000}"/>
    <cellStyle name="Normal 83 50 2" xfId="25953" xr:uid="{00000000-0005-0000-0000-000035660000}"/>
    <cellStyle name="Normal 83 51" xfId="13755" xr:uid="{00000000-0005-0000-0000-000036660000}"/>
    <cellStyle name="Normal 83 51 2" xfId="25954" xr:uid="{00000000-0005-0000-0000-000037660000}"/>
    <cellStyle name="Normal 83 52" xfId="13756" xr:uid="{00000000-0005-0000-0000-000038660000}"/>
    <cellStyle name="Normal 83 52 2" xfId="25955" xr:uid="{00000000-0005-0000-0000-000039660000}"/>
    <cellStyle name="Normal 83 53" xfId="13757" xr:uid="{00000000-0005-0000-0000-00003A660000}"/>
    <cellStyle name="Normal 83 53 2" xfId="25956" xr:uid="{00000000-0005-0000-0000-00003B660000}"/>
    <cellStyle name="Normal 83 54" xfId="13758" xr:uid="{00000000-0005-0000-0000-00003C660000}"/>
    <cellStyle name="Normal 83 54 2" xfId="25957" xr:uid="{00000000-0005-0000-0000-00003D660000}"/>
    <cellStyle name="Normal 83 55" xfId="13759" xr:uid="{00000000-0005-0000-0000-00003E660000}"/>
    <cellStyle name="Normal 83 55 2" xfId="25958" xr:uid="{00000000-0005-0000-0000-00003F660000}"/>
    <cellStyle name="Normal 83 56" xfId="13760" xr:uid="{00000000-0005-0000-0000-000040660000}"/>
    <cellStyle name="Normal 83 56 2" xfId="25959" xr:uid="{00000000-0005-0000-0000-000041660000}"/>
    <cellStyle name="Normal 83 57" xfId="13761" xr:uid="{00000000-0005-0000-0000-000042660000}"/>
    <cellStyle name="Normal 83 57 2" xfId="25960" xr:uid="{00000000-0005-0000-0000-000043660000}"/>
    <cellStyle name="Normal 83 58" xfId="13762" xr:uid="{00000000-0005-0000-0000-000044660000}"/>
    <cellStyle name="Normal 83 58 2" xfId="25961" xr:uid="{00000000-0005-0000-0000-000045660000}"/>
    <cellStyle name="Normal 83 59" xfId="13763" xr:uid="{00000000-0005-0000-0000-000046660000}"/>
    <cellStyle name="Normal 83 59 2" xfId="25962" xr:uid="{00000000-0005-0000-0000-000047660000}"/>
    <cellStyle name="Normal 83 6" xfId="13764" xr:uid="{00000000-0005-0000-0000-000048660000}"/>
    <cellStyle name="Normal 83 6 2" xfId="25963" xr:uid="{00000000-0005-0000-0000-000049660000}"/>
    <cellStyle name="Normal 83 60" xfId="13765" xr:uid="{00000000-0005-0000-0000-00004A660000}"/>
    <cellStyle name="Normal 83 60 2" xfId="25964" xr:uid="{00000000-0005-0000-0000-00004B660000}"/>
    <cellStyle name="Normal 83 61" xfId="13766" xr:uid="{00000000-0005-0000-0000-00004C660000}"/>
    <cellStyle name="Normal 83 61 2" xfId="25965" xr:uid="{00000000-0005-0000-0000-00004D660000}"/>
    <cellStyle name="Normal 83 62" xfId="13767" xr:uid="{00000000-0005-0000-0000-00004E660000}"/>
    <cellStyle name="Normal 83 62 2" xfId="25966" xr:uid="{00000000-0005-0000-0000-00004F660000}"/>
    <cellStyle name="Normal 83 63" xfId="13768" xr:uid="{00000000-0005-0000-0000-000050660000}"/>
    <cellStyle name="Normal 83 63 2" xfId="25967" xr:uid="{00000000-0005-0000-0000-000051660000}"/>
    <cellStyle name="Normal 83 64" xfId="13769" xr:uid="{00000000-0005-0000-0000-000052660000}"/>
    <cellStyle name="Normal 83 64 2" xfId="25968" xr:uid="{00000000-0005-0000-0000-000053660000}"/>
    <cellStyle name="Normal 83 65" xfId="13770" xr:uid="{00000000-0005-0000-0000-000054660000}"/>
    <cellStyle name="Normal 83 65 2" xfId="25969" xr:uid="{00000000-0005-0000-0000-000055660000}"/>
    <cellStyle name="Normal 83 66" xfId="13771" xr:uid="{00000000-0005-0000-0000-000056660000}"/>
    <cellStyle name="Normal 83 66 2" xfId="25970" xr:uid="{00000000-0005-0000-0000-000057660000}"/>
    <cellStyle name="Normal 83 67" xfId="13772" xr:uid="{00000000-0005-0000-0000-000058660000}"/>
    <cellStyle name="Normal 83 67 2" xfId="25971" xr:uid="{00000000-0005-0000-0000-000059660000}"/>
    <cellStyle name="Normal 83 68" xfId="13773" xr:uid="{00000000-0005-0000-0000-00005A660000}"/>
    <cellStyle name="Normal 83 68 2" xfId="25972" xr:uid="{00000000-0005-0000-0000-00005B660000}"/>
    <cellStyle name="Normal 83 69" xfId="13774" xr:uid="{00000000-0005-0000-0000-00005C660000}"/>
    <cellStyle name="Normal 83 69 2" xfId="25973" xr:uid="{00000000-0005-0000-0000-00005D660000}"/>
    <cellStyle name="Normal 83 7" xfId="13775" xr:uid="{00000000-0005-0000-0000-00005E660000}"/>
    <cellStyle name="Normal 83 7 2" xfId="25974" xr:uid="{00000000-0005-0000-0000-00005F660000}"/>
    <cellStyle name="Normal 83 70" xfId="13776" xr:uid="{00000000-0005-0000-0000-000060660000}"/>
    <cellStyle name="Normal 83 70 2" xfId="25975" xr:uid="{00000000-0005-0000-0000-000061660000}"/>
    <cellStyle name="Normal 83 71" xfId="13777" xr:uid="{00000000-0005-0000-0000-000062660000}"/>
    <cellStyle name="Normal 83 71 2" xfId="25976" xr:uid="{00000000-0005-0000-0000-000063660000}"/>
    <cellStyle name="Normal 83 72" xfId="13778" xr:uid="{00000000-0005-0000-0000-000064660000}"/>
    <cellStyle name="Normal 83 72 2" xfId="25977" xr:uid="{00000000-0005-0000-0000-000065660000}"/>
    <cellStyle name="Normal 83 73" xfId="13779" xr:uid="{00000000-0005-0000-0000-000066660000}"/>
    <cellStyle name="Normal 83 73 2" xfId="25978" xr:uid="{00000000-0005-0000-0000-000067660000}"/>
    <cellStyle name="Normal 83 74" xfId="13780" xr:uid="{00000000-0005-0000-0000-000068660000}"/>
    <cellStyle name="Normal 83 74 2" xfId="25979" xr:uid="{00000000-0005-0000-0000-000069660000}"/>
    <cellStyle name="Normal 83 75" xfId="13781" xr:uid="{00000000-0005-0000-0000-00006A660000}"/>
    <cellStyle name="Normal 83 75 2" xfId="25980" xr:uid="{00000000-0005-0000-0000-00006B660000}"/>
    <cellStyle name="Normal 83 76" xfId="13782" xr:uid="{00000000-0005-0000-0000-00006C660000}"/>
    <cellStyle name="Normal 83 76 2" xfId="25981" xr:uid="{00000000-0005-0000-0000-00006D660000}"/>
    <cellStyle name="Normal 83 77" xfId="13783" xr:uid="{00000000-0005-0000-0000-00006E660000}"/>
    <cellStyle name="Normal 83 77 2" xfId="25982" xr:uid="{00000000-0005-0000-0000-00006F660000}"/>
    <cellStyle name="Normal 83 78" xfId="13784" xr:uid="{00000000-0005-0000-0000-000070660000}"/>
    <cellStyle name="Normal 83 78 2" xfId="25983" xr:uid="{00000000-0005-0000-0000-000071660000}"/>
    <cellStyle name="Normal 83 79" xfId="13785" xr:uid="{00000000-0005-0000-0000-000072660000}"/>
    <cellStyle name="Normal 83 79 2" xfId="25984" xr:uid="{00000000-0005-0000-0000-000073660000}"/>
    <cellStyle name="Normal 83 8" xfId="13786" xr:uid="{00000000-0005-0000-0000-000074660000}"/>
    <cellStyle name="Normal 83 8 2" xfId="25985" xr:uid="{00000000-0005-0000-0000-000075660000}"/>
    <cellStyle name="Normal 83 80" xfId="25908" xr:uid="{00000000-0005-0000-0000-000076660000}"/>
    <cellStyle name="Normal 83 9" xfId="13787" xr:uid="{00000000-0005-0000-0000-000077660000}"/>
    <cellStyle name="Normal 83 9 2" xfId="25986" xr:uid="{00000000-0005-0000-0000-000078660000}"/>
    <cellStyle name="Normal 84" xfId="210" xr:uid="{00000000-0005-0000-0000-000079660000}"/>
    <cellStyle name="Normal 84 10" xfId="13788" xr:uid="{00000000-0005-0000-0000-00007A660000}"/>
    <cellStyle name="Normal 84 10 2" xfId="25988" xr:uid="{00000000-0005-0000-0000-00007B660000}"/>
    <cellStyle name="Normal 84 11" xfId="13789" xr:uid="{00000000-0005-0000-0000-00007C660000}"/>
    <cellStyle name="Normal 84 11 2" xfId="25989" xr:uid="{00000000-0005-0000-0000-00007D660000}"/>
    <cellStyle name="Normal 84 12" xfId="13790" xr:uid="{00000000-0005-0000-0000-00007E660000}"/>
    <cellStyle name="Normal 84 12 2" xfId="25990" xr:uid="{00000000-0005-0000-0000-00007F660000}"/>
    <cellStyle name="Normal 84 13" xfId="13791" xr:uid="{00000000-0005-0000-0000-000080660000}"/>
    <cellStyle name="Normal 84 13 2" xfId="25991" xr:uid="{00000000-0005-0000-0000-000081660000}"/>
    <cellStyle name="Normal 84 14" xfId="13792" xr:uid="{00000000-0005-0000-0000-000082660000}"/>
    <cellStyle name="Normal 84 14 2" xfId="25992" xr:uid="{00000000-0005-0000-0000-000083660000}"/>
    <cellStyle name="Normal 84 15" xfId="13793" xr:uid="{00000000-0005-0000-0000-000084660000}"/>
    <cellStyle name="Normal 84 15 2" xfId="25993" xr:uid="{00000000-0005-0000-0000-000085660000}"/>
    <cellStyle name="Normal 84 16" xfId="13794" xr:uid="{00000000-0005-0000-0000-000086660000}"/>
    <cellStyle name="Normal 84 16 2" xfId="25994" xr:uid="{00000000-0005-0000-0000-000087660000}"/>
    <cellStyle name="Normal 84 17" xfId="13795" xr:uid="{00000000-0005-0000-0000-000088660000}"/>
    <cellStyle name="Normal 84 17 2" xfId="25995" xr:uid="{00000000-0005-0000-0000-000089660000}"/>
    <cellStyle name="Normal 84 18" xfId="13796" xr:uid="{00000000-0005-0000-0000-00008A660000}"/>
    <cellStyle name="Normal 84 18 2" xfId="25996" xr:uid="{00000000-0005-0000-0000-00008B660000}"/>
    <cellStyle name="Normal 84 19" xfId="13797" xr:uid="{00000000-0005-0000-0000-00008C660000}"/>
    <cellStyle name="Normal 84 19 2" xfId="25997" xr:uid="{00000000-0005-0000-0000-00008D660000}"/>
    <cellStyle name="Normal 84 2" xfId="775" xr:uid="{00000000-0005-0000-0000-00008E660000}"/>
    <cellStyle name="Normal 84 2 2" xfId="25998" xr:uid="{00000000-0005-0000-0000-00008F660000}"/>
    <cellStyle name="Normal 84 2 3" xfId="13798" xr:uid="{00000000-0005-0000-0000-000090660000}"/>
    <cellStyle name="Normal 84 20" xfId="13799" xr:uid="{00000000-0005-0000-0000-000091660000}"/>
    <cellStyle name="Normal 84 20 2" xfId="25999" xr:uid="{00000000-0005-0000-0000-000092660000}"/>
    <cellStyle name="Normal 84 21" xfId="13800" xr:uid="{00000000-0005-0000-0000-000093660000}"/>
    <cellStyle name="Normal 84 21 2" xfId="26000" xr:uid="{00000000-0005-0000-0000-000094660000}"/>
    <cellStyle name="Normal 84 22" xfId="13801" xr:uid="{00000000-0005-0000-0000-000095660000}"/>
    <cellStyle name="Normal 84 22 2" xfId="26001" xr:uid="{00000000-0005-0000-0000-000096660000}"/>
    <cellStyle name="Normal 84 23" xfId="13802" xr:uid="{00000000-0005-0000-0000-000097660000}"/>
    <cellStyle name="Normal 84 23 2" xfId="26002" xr:uid="{00000000-0005-0000-0000-000098660000}"/>
    <cellStyle name="Normal 84 24" xfId="13803" xr:uid="{00000000-0005-0000-0000-000099660000}"/>
    <cellStyle name="Normal 84 24 2" xfId="26003" xr:uid="{00000000-0005-0000-0000-00009A660000}"/>
    <cellStyle name="Normal 84 25" xfId="13804" xr:uid="{00000000-0005-0000-0000-00009B660000}"/>
    <cellStyle name="Normal 84 25 2" xfId="26004" xr:uid="{00000000-0005-0000-0000-00009C660000}"/>
    <cellStyle name="Normal 84 26" xfId="13805" xr:uid="{00000000-0005-0000-0000-00009D660000}"/>
    <cellStyle name="Normal 84 26 2" xfId="26005" xr:uid="{00000000-0005-0000-0000-00009E660000}"/>
    <cellStyle name="Normal 84 27" xfId="13806" xr:uid="{00000000-0005-0000-0000-00009F660000}"/>
    <cellStyle name="Normal 84 27 2" xfId="26006" xr:uid="{00000000-0005-0000-0000-0000A0660000}"/>
    <cellStyle name="Normal 84 28" xfId="13807" xr:uid="{00000000-0005-0000-0000-0000A1660000}"/>
    <cellStyle name="Normal 84 28 2" xfId="26007" xr:uid="{00000000-0005-0000-0000-0000A2660000}"/>
    <cellStyle name="Normal 84 29" xfId="13808" xr:uid="{00000000-0005-0000-0000-0000A3660000}"/>
    <cellStyle name="Normal 84 29 2" xfId="26008" xr:uid="{00000000-0005-0000-0000-0000A4660000}"/>
    <cellStyle name="Normal 84 3" xfId="425" xr:uid="{00000000-0005-0000-0000-0000A5660000}"/>
    <cellStyle name="Normal 84 3 2" xfId="26009" xr:uid="{00000000-0005-0000-0000-0000A6660000}"/>
    <cellStyle name="Normal 84 30" xfId="13809" xr:uid="{00000000-0005-0000-0000-0000A7660000}"/>
    <cellStyle name="Normal 84 30 2" xfId="26010" xr:uid="{00000000-0005-0000-0000-0000A8660000}"/>
    <cellStyle name="Normal 84 31" xfId="13810" xr:uid="{00000000-0005-0000-0000-0000A9660000}"/>
    <cellStyle name="Normal 84 31 2" xfId="26011" xr:uid="{00000000-0005-0000-0000-0000AA660000}"/>
    <cellStyle name="Normal 84 32" xfId="13811" xr:uid="{00000000-0005-0000-0000-0000AB660000}"/>
    <cellStyle name="Normal 84 32 2" xfId="26012" xr:uid="{00000000-0005-0000-0000-0000AC660000}"/>
    <cellStyle name="Normal 84 33" xfId="13812" xr:uid="{00000000-0005-0000-0000-0000AD660000}"/>
    <cellStyle name="Normal 84 33 2" xfId="26013" xr:uid="{00000000-0005-0000-0000-0000AE660000}"/>
    <cellStyle name="Normal 84 34" xfId="13813" xr:uid="{00000000-0005-0000-0000-0000AF660000}"/>
    <cellStyle name="Normal 84 34 2" xfId="26014" xr:uid="{00000000-0005-0000-0000-0000B0660000}"/>
    <cellStyle name="Normal 84 35" xfId="13814" xr:uid="{00000000-0005-0000-0000-0000B1660000}"/>
    <cellStyle name="Normal 84 35 2" xfId="26015" xr:uid="{00000000-0005-0000-0000-0000B2660000}"/>
    <cellStyle name="Normal 84 36" xfId="13815" xr:uid="{00000000-0005-0000-0000-0000B3660000}"/>
    <cellStyle name="Normal 84 36 2" xfId="26016" xr:uid="{00000000-0005-0000-0000-0000B4660000}"/>
    <cellStyle name="Normal 84 37" xfId="13816" xr:uid="{00000000-0005-0000-0000-0000B5660000}"/>
    <cellStyle name="Normal 84 37 2" xfId="26017" xr:uid="{00000000-0005-0000-0000-0000B6660000}"/>
    <cellStyle name="Normal 84 38" xfId="13817" xr:uid="{00000000-0005-0000-0000-0000B7660000}"/>
    <cellStyle name="Normal 84 38 2" xfId="26018" xr:uid="{00000000-0005-0000-0000-0000B8660000}"/>
    <cellStyle name="Normal 84 39" xfId="13818" xr:uid="{00000000-0005-0000-0000-0000B9660000}"/>
    <cellStyle name="Normal 84 39 2" xfId="26019" xr:uid="{00000000-0005-0000-0000-0000BA660000}"/>
    <cellStyle name="Normal 84 4" xfId="13819" xr:uid="{00000000-0005-0000-0000-0000BB660000}"/>
    <cellStyle name="Normal 84 4 2" xfId="26020" xr:uid="{00000000-0005-0000-0000-0000BC660000}"/>
    <cellStyle name="Normal 84 40" xfId="13820" xr:uid="{00000000-0005-0000-0000-0000BD660000}"/>
    <cellStyle name="Normal 84 40 2" xfId="26021" xr:uid="{00000000-0005-0000-0000-0000BE660000}"/>
    <cellStyle name="Normal 84 41" xfId="13821" xr:uid="{00000000-0005-0000-0000-0000BF660000}"/>
    <cellStyle name="Normal 84 41 2" xfId="26022" xr:uid="{00000000-0005-0000-0000-0000C0660000}"/>
    <cellStyle name="Normal 84 42" xfId="13822" xr:uid="{00000000-0005-0000-0000-0000C1660000}"/>
    <cellStyle name="Normal 84 42 2" xfId="26023" xr:uid="{00000000-0005-0000-0000-0000C2660000}"/>
    <cellStyle name="Normal 84 43" xfId="13823" xr:uid="{00000000-0005-0000-0000-0000C3660000}"/>
    <cellStyle name="Normal 84 43 2" xfId="26024" xr:uid="{00000000-0005-0000-0000-0000C4660000}"/>
    <cellStyle name="Normal 84 44" xfId="13824" xr:uid="{00000000-0005-0000-0000-0000C5660000}"/>
    <cellStyle name="Normal 84 44 2" xfId="26025" xr:uid="{00000000-0005-0000-0000-0000C6660000}"/>
    <cellStyle name="Normal 84 45" xfId="13825" xr:uid="{00000000-0005-0000-0000-0000C7660000}"/>
    <cellStyle name="Normal 84 45 2" xfId="26026" xr:uid="{00000000-0005-0000-0000-0000C8660000}"/>
    <cellStyle name="Normal 84 46" xfId="13826" xr:uid="{00000000-0005-0000-0000-0000C9660000}"/>
    <cellStyle name="Normal 84 46 2" xfId="26027" xr:uid="{00000000-0005-0000-0000-0000CA660000}"/>
    <cellStyle name="Normal 84 47" xfId="13827" xr:uid="{00000000-0005-0000-0000-0000CB660000}"/>
    <cellStyle name="Normal 84 47 2" xfId="26028" xr:uid="{00000000-0005-0000-0000-0000CC660000}"/>
    <cellStyle name="Normal 84 48" xfId="13828" xr:uid="{00000000-0005-0000-0000-0000CD660000}"/>
    <cellStyle name="Normal 84 48 2" xfId="26029" xr:uid="{00000000-0005-0000-0000-0000CE660000}"/>
    <cellStyle name="Normal 84 49" xfId="13829" xr:uid="{00000000-0005-0000-0000-0000CF660000}"/>
    <cellStyle name="Normal 84 49 2" xfId="26030" xr:uid="{00000000-0005-0000-0000-0000D0660000}"/>
    <cellStyle name="Normal 84 5" xfId="13830" xr:uid="{00000000-0005-0000-0000-0000D1660000}"/>
    <cellStyle name="Normal 84 5 2" xfId="26031" xr:uid="{00000000-0005-0000-0000-0000D2660000}"/>
    <cellStyle name="Normal 84 50" xfId="13831" xr:uid="{00000000-0005-0000-0000-0000D3660000}"/>
    <cellStyle name="Normal 84 50 2" xfId="26032" xr:uid="{00000000-0005-0000-0000-0000D4660000}"/>
    <cellStyle name="Normal 84 51" xfId="13832" xr:uid="{00000000-0005-0000-0000-0000D5660000}"/>
    <cellStyle name="Normal 84 51 2" xfId="26033" xr:uid="{00000000-0005-0000-0000-0000D6660000}"/>
    <cellStyle name="Normal 84 52" xfId="13833" xr:uid="{00000000-0005-0000-0000-0000D7660000}"/>
    <cellStyle name="Normal 84 52 2" xfId="26034" xr:uid="{00000000-0005-0000-0000-0000D8660000}"/>
    <cellStyle name="Normal 84 53" xfId="13834" xr:uid="{00000000-0005-0000-0000-0000D9660000}"/>
    <cellStyle name="Normal 84 53 2" xfId="26035" xr:uid="{00000000-0005-0000-0000-0000DA660000}"/>
    <cellStyle name="Normal 84 54" xfId="13835" xr:uid="{00000000-0005-0000-0000-0000DB660000}"/>
    <cellStyle name="Normal 84 54 2" xfId="26036" xr:uid="{00000000-0005-0000-0000-0000DC660000}"/>
    <cellStyle name="Normal 84 55" xfId="13836" xr:uid="{00000000-0005-0000-0000-0000DD660000}"/>
    <cellStyle name="Normal 84 55 2" xfId="26037" xr:uid="{00000000-0005-0000-0000-0000DE660000}"/>
    <cellStyle name="Normal 84 56" xfId="13837" xr:uid="{00000000-0005-0000-0000-0000DF660000}"/>
    <cellStyle name="Normal 84 56 2" xfId="26038" xr:uid="{00000000-0005-0000-0000-0000E0660000}"/>
    <cellStyle name="Normal 84 57" xfId="13838" xr:uid="{00000000-0005-0000-0000-0000E1660000}"/>
    <cellStyle name="Normal 84 57 2" xfId="26039" xr:uid="{00000000-0005-0000-0000-0000E2660000}"/>
    <cellStyle name="Normal 84 58" xfId="13839" xr:uid="{00000000-0005-0000-0000-0000E3660000}"/>
    <cellStyle name="Normal 84 58 2" xfId="26040" xr:uid="{00000000-0005-0000-0000-0000E4660000}"/>
    <cellStyle name="Normal 84 59" xfId="13840" xr:uid="{00000000-0005-0000-0000-0000E5660000}"/>
    <cellStyle name="Normal 84 59 2" xfId="26041" xr:uid="{00000000-0005-0000-0000-0000E6660000}"/>
    <cellStyle name="Normal 84 6" xfId="13841" xr:uid="{00000000-0005-0000-0000-0000E7660000}"/>
    <cellStyle name="Normal 84 6 2" xfId="26042" xr:uid="{00000000-0005-0000-0000-0000E8660000}"/>
    <cellStyle name="Normal 84 60" xfId="13842" xr:uid="{00000000-0005-0000-0000-0000E9660000}"/>
    <cellStyle name="Normal 84 60 2" xfId="26043" xr:uid="{00000000-0005-0000-0000-0000EA660000}"/>
    <cellStyle name="Normal 84 61" xfId="13843" xr:uid="{00000000-0005-0000-0000-0000EB660000}"/>
    <cellStyle name="Normal 84 61 2" xfId="26044" xr:uid="{00000000-0005-0000-0000-0000EC660000}"/>
    <cellStyle name="Normal 84 62" xfId="13844" xr:uid="{00000000-0005-0000-0000-0000ED660000}"/>
    <cellStyle name="Normal 84 62 2" xfId="26045" xr:uid="{00000000-0005-0000-0000-0000EE660000}"/>
    <cellStyle name="Normal 84 63" xfId="13845" xr:uid="{00000000-0005-0000-0000-0000EF660000}"/>
    <cellStyle name="Normal 84 63 2" xfId="26046" xr:uid="{00000000-0005-0000-0000-0000F0660000}"/>
    <cellStyle name="Normal 84 64" xfId="13846" xr:uid="{00000000-0005-0000-0000-0000F1660000}"/>
    <cellStyle name="Normal 84 64 2" xfId="26047" xr:uid="{00000000-0005-0000-0000-0000F2660000}"/>
    <cellStyle name="Normal 84 65" xfId="13847" xr:uid="{00000000-0005-0000-0000-0000F3660000}"/>
    <cellStyle name="Normal 84 65 2" xfId="26048" xr:uid="{00000000-0005-0000-0000-0000F4660000}"/>
    <cellStyle name="Normal 84 66" xfId="13848" xr:uid="{00000000-0005-0000-0000-0000F5660000}"/>
    <cellStyle name="Normal 84 66 2" xfId="26049" xr:uid="{00000000-0005-0000-0000-0000F6660000}"/>
    <cellStyle name="Normal 84 67" xfId="13849" xr:uid="{00000000-0005-0000-0000-0000F7660000}"/>
    <cellStyle name="Normal 84 67 2" xfId="26050" xr:uid="{00000000-0005-0000-0000-0000F8660000}"/>
    <cellStyle name="Normal 84 68" xfId="13850" xr:uid="{00000000-0005-0000-0000-0000F9660000}"/>
    <cellStyle name="Normal 84 68 2" xfId="26051" xr:uid="{00000000-0005-0000-0000-0000FA660000}"/>
    <cellStyle name="Normal 84 69" xfId="13851" xr:uid="{00000000-0005-0000-0000-0000FB660000}"/>
    <cellStyle name="Normal 84 69 2" xfId="26052" xr:uid="{00000000-0005-0000-0000-0000FC660000}"/>
    <cellStyle name="Normal 84 7" xfId="13852" xr:uid="{00000000-0005-0000-0000-0000FD660000}"/>
    <cellStyle name="Normal 84 7 2" xfId="26053" xr:uid="{00000000-0005-0000-0000-0000FE660000}"/>
    <cellStyle name="Normal 84 70" xfId="13853" xr:uid="{00000000-0005-0000-0000-0000FF660000}"/>
    <cellStyle name="Normal 84 70 2" xfId="26054" xr:uid="{00000000-0005-0000-0000-000000670000}"/>
    <cellStyle name="Normal 84 71" xfId="13854" xr:uid="{00000000-0005-0000-0000-000001670000}"/>
    <cellStyle name="Normal 84 71 2" xfId="26055" xr:uid="{00000000-0005-0000-0000-000002670000}"/>
    <cellStyle name="Normal 84 72" xfId="13855" xr:uid="{00000000-0005-0000-0000-000003670000}"/>
    <cellStyle name="Normal 84 72 2" xfId="26056" xr:uid="{00000000-0005-0000-0000-000004670000}"/>
    <cellStyle name="Normal 84 73" xfId="13856" xr:uid="{00000000-0005-0000-0000-000005670000}"/>
    <cellStyle name="Normal 84 73 2" xfId="26057" xr:uid="{00000000-0005-0000-0000-000006670000}"/>
    <cellStyle name="Normal 84 74" xfId="13857" xr:uid="{00000000-0005-0000-0000-000007670000}"/>
    <cellStyle name="Normal 84 74 2" xfId="26058" xr:uid="{00000000-0005-0000-0000-000008670000}"/>
    <cellStyle name="Normal 84 75" xfId="13858" xr:uid="{00000000-0005-0000-0000-000009670000}"/>
    <cellStyle name="Normal 84 75 2" xfId="26059" xr:uid="{00000000-0005-0000-0000-00000A670000}"/>
    <cellStyle name="Normal 84 76" xfId="13859" xr:uid="{00000000-0005-0000-0000-00000B670000}"/>
    <cellStyle name="Normal 84 76 2" xfId="26060" xr:uid="{00000000-0005-0000-0000-00000C670000}"/>
    <cellStyle name="Normal 84 77" xfId="13860" xr:uid="{00000000-0005-0000-0000-00000D670000}"/>
    <cellStyle name="Normal 84 77 2" xfId="26061" xr:uid="{00000000-0005-0000-0000-00000E670000}"/>
    <cellStyle name="Normal 84 78" xfId="13861" xr:uid="{00000000-0005-0000-0000-00000F670000}"/>
    <cellStyle name="Normal 84 78 2" xfId="26062" xr:uid="{00000000-0005-0000-0000-000010670000}"/>
    <cellStyle name="Normal 84 79" xfId="13862" xr:uid="{00000000-0005-0000-0000-000011670000}"/>
    <cellStyle name="Normal 84 79 2" xfId="26063" xr:uid="{00000000-0005-0000-0000-000012670000}"/>
    <cellStyle name="Normal 84 8" xfId="13863" xr:uid="{00000000-0005-0000-0000-000013670000}"/>
    <cellStyle name="Normal 84 8 2" xfId="26064" xr:uid="{00000000-0005-0000-0000-000014670000}"/>
    <cellStyle name="Normal 84 80" xfId="25987" xr:uid="{00000000-0005-0000-0000-000015670000}"/>
    <cellStyle name="Normal 84 9" xfId="13864" xr:uid="{00000000-0005-0000-0000-000016670000}"/>
    <cellStyle name="Normal 84 9 2" xfId="26065" xr:uid="{00000000-0005-0000-0000-000017670000}"/>
    <cellStyle name="Normal 85" xfId="211" xr:uid="{00000000-0005-0000-0000-000018670000}"/>
    <cellStyle name="Normal 85 10" xfId="13865" xr:uid="{00000000-0005-0000-0000-000019670000}"/>
    <cellStyle name="Normal 85 10 2" xfId="26067" xr:uid="{00000000-0005-0000-0000-00001A670000}"/>
    <cellStyle name="Normal 85 11" xfId="13866" xr:uid="{00000000-0005-0000-0000-00001B670000}"/>
    <cellStyle name="Normal 85 11 2" xfId="26068" xr:uid="{00000000-0005-0000-0000-00001C670000}"/>
    <cellStyle name="Normal 85 12" xfId="13867" xr:uid="{00000000-0005-0000-0000-00001D670000}"/>
    <cellStyle name="Normal 85 12 2" xfId="26069" xr:uid="{00000000-0005-0000-0000-00001E670000}"/>
    <cellStyle name="Normal 85 13" xfId="13868" xr:uid="{00000000-0005-0000-0000-00001F670000}"/>
    <cellStyle name="Normal 85 13 2" xfId="26070" xr:uid="{00000000-0005-0000-0000-000020670000}"/>
    <cellStyle name="Normal 85 14" xfId="13869" xr:uid="{00000000-0005-0000-0000-000021670000}"/>
    <cellStyle name="Normal 85 14 2" xfId="26071" xr:uid="{00000000-0005-0000-0000-000022670000}"/>
    <cellStyle name="Normal 85 15" xfId="13870" xr:uid="{00000000-0005-0000-0000-000023670000}"/>
    <cellStyle name="Normal 85 15 2" xfId="26072" xr:uid="{00000000-0005-0000-0000-000024670000}"/>
    <cellStyle name="Normal 85 16" xfId="13871" xr:uid="{00000000-0005-0000-0000-000025670000}"/>
    <cellStyle name="Normal 85 16 2" xfId="26073" xr:uid="{00000000-0005-0000-0000-000026670000}"/>
    <cellStyle name="Normal 85 17" xfId="13872" xr:uid="{00000000-0005-0000-0000-000027670000}"/>
    <cellStyle name="Normal 85 17 2" xfId="26074" xr:uid="{00000000-0005-0000-0000-000028670000}"/>
    <cellStyle name="Normal 85 18" xfId="13873" xr:uid="{00000000-0005-0000-0000-000029670000}"/>
    <cellStyle name="Normal 85 18 2" xfId="26075" xr:uid="{00000000-0005-0000-0000-00002A670000}"/>
    <cellStyle name="Normal 85 19" xfId="13874" xr:uid="{00000000-0005-0000-0000-00002B670000}"/>
    <cellStyle name="Normal 85 19 2" xfId="26076" xr:uid="{00000000-0005-0000-0000-00002C670000}"/>
    <cellStyle name="Normal 85 2" xfId="776" xr:uid="{00000000-0005-0000-0000-00002D670000}"/>
    <cellStyle name="Normal 85 2 2" xfId="26077" xr:uid="{00000000-0005-0000-0000-00002E670000}"/>
    <cellStyle name="Normal 85 2 3" xfId="13875" xr:uid="{00000000-0005-0000-0000-00002F670000}"/>
    <cellStyle name="Normal 85 20" xfId="13876" xr:uid="{00000000-0005-0000-0000-000030670000}"/>
    <cellStyle name="Normal 85 20 2" xfId="26078" xr:uid="{00000000-0005-0000-0000-000031670000}"/>
    <cellStyle name="Normal 85 21" xfId="13877" xr:uid="{00000000-0005-0000-0000-000032670000}"/>
    <cellStyle name="Normal 85 21 2" xfId="26079" xr:uid="{00000000-0005-0000-0000-000033670000}"/>
    <cellStyle name="Normal 85 22" xfId="13878" xr:uid="{00000000-0005-0000-0000-000034670000}"/>
    <cellStyle name="Normal 85 22 2" xfId="26080" xr:uid="{00000000-0005-0000-0000-000035670000}"/>
    <cellStyle name="Normal 85 23" xfId="13879" xr:uid="{00000000-0005-0000-0000-000036670000}"/>
    <cellStyle name="Normal 85 23 2" xfId="26081" xr:uid="{00000000-0005-0000-0000-000037670000}"/>
    <cellStyle name="Normal 85 24" xfId="13880" xr:uid="{00000000-0005-0000-0000-000038670000}"/>
    <cellStyle name="Normal 85 24 2" xfId="26082" xr:uid="{00000000-0005-0000-0000-000039670000}"/>
    <cellStyle name="Normal 85 25" xfId="13881" xr:uid="{00000000-0005-0000-0000-00003A670000}"/>
    <cellStyle name="Normal 85 25 2" xfId="26083" xr:uid="{00000000-0005-0000-0000-00003B670000}"/>
    <cellStyle name="Normal 85 26" xfId="13882" xr:uid="{00000000-0005-0000-0000-00003C670000}"/>
    <cellStyle name="Normal 85 26 2" xfId="26084" xr:uid="{00000000-0005-0000-0000-00003D670000}"/>
    <cellStyle name="Normal 85 27" xfId="13883" xr:uid="{00000000-0005-0000-0000-00003E670000}"/>
    <cellStyle name="Normal 85 27 2" xfId="26085" xr:uid="{00000000-0005-0000-0000-00003F670000}"/>
    <cellStyle name="Normal 85 28" xfId="13884" xr:uid="{00000000-0005-0000-0000-000040670000}"/>
    <cellStyle name="Normal 85 28 2" xfId="26086" xr:uid="{00000000-0005-0000-0000-000041670000}"/>
    <cellStyle name="Normal 85 29" xfId="13885" xr:uid="{00000000-0005-0000-0000-000042670000}"/>
    <cellStyle name="Normal 85 29 2" xfId="26087" xr:uid="{00000000-0005-0000-0000-000043670000}"/>
    <cellStyle name="Normal 85 3" xfId="426" xr:uid="{00000000-0005-0000-0000-000044670000}"/>
    <cellStyle name="Normal 85 3 2" xfId="26088" xr:uid="{00000000-0005-0000-0000-000045670000}"/>
    <cellStyle name="Normal 85 30" xfId="13886" xr:uid="{00000000-0005-0000-0000-000046670000}"/>
    <cellStyle name="Normal 85 30 2" xfId="26089" xr:uid="{00000000-0005-0000-0000-000047670000}"/>
    <cellStyle name="Normal 85 31" xfId="13887" xr:uid="{00000000-0005-0000-0000-000048670000}"/>
    <cellStyle name="Normal 85 31 2" xfId="26090" xr:uid="{00000000-0005-0000-0000-000049670000}"/>
    <cellStyle name="Normal 85 32" xfId="13888" xr:uid="{00000000-0005-0000-0000-00004A670000}"/>
    <cellStyle name="Normal 85 32 2" xfId="26091" xr:uid="{00000000-0005-0000-0000-00004B670000}"/>
    <cellStyle name="Normal 85 33" xfId="13889" xr:uid="{00000000-0005-0000-0000-00004C670000}"/>
    <cellStyle name="Normal 85 33 2" xfId="26092" xr:uid="{00000000-0005-0000-0000-00004D670000}"/>
    <cellStyle name="Normal 85 34" xfId="13890" xr:uid="{00000000-0005-0000-0000-00004E670000}"/>
    <cellStyle name="Normal 85 34 2" xfId="26093" xr:uid="{00000000-0005-0000-0000-00004F670000}"/>
    <cellStyle name="Normal 85 35" xfId="13891" xr:uid="{00000000-0005-0000-0000-000050670000}"/>
    <cellStyle name="Normal 85 35 2" xfId="26094" xr:uid="{00000000-0005-0000-0000-000051670000}"/>
    <cellStyle name="Normal 85 36" xfId="13892" xr:uid="{00000000-0005-0000-0000-000052670000}"/>
    <cellStyle name="Normal 85 36 2" xfId="26095" xr:uid="{00000000-0005-0000-0000-000053670000}"/>
    <cellStyle name="Normal 85 37" xfId="13893" xr:uid="{00000000-0005-0000-0000-000054670000}"/>
    <cellStyle name="Normal 85 37 2" xfId="26096" xr:uid="{00000000-0005-0000-0000-000055670000}"/>
    <cellStyle name="Normal 85 38" xfId="13894" xr:uid="{00000000-0005-0000-0000-000056670000}"/>
    <cellStyle name="Normal 85 38 2" xfId="26097" xr:uid="{00000000-0005-0000-0000-000057670000}"/>
    <cellStyle name="Normal 85 39" xfId="13895" xr:uid="{00000000-0005-0000-0000-000058670000}"/>
    <cellStyle name="Normal 85 39 2" xfId="26098" xr:uid="{00000000-0005-0000-0000-000059670000}"/>
    <cellStyle name="Normal 85 4" xfId="13896" xr:uid="{00000000-0005-0000-0000-00005A670000}"/>
    <cellStyle name="Normal 85 4 2" xfId="26099" xr:uid="{00000000-0005-0000-0000-00005B670000}"/>
    <cellStyle name="Normal 85 40" xfId="13897" xr:uid="{00000000-0005-0000-0000-00005C670000}"/>
    <cellStyle name="Normal 85 40 2" xfId="26100" xr:uid="{00000000-0005-0000-0000-00005D670000}"/>
    <cellStyle name="Normal 85 41" xfId="13898" xr:uid="{00000000-0005-0000-0000-00005E670000}"/>
    <cellStyle name="Normal 85 41 2" xfId="26101" xr:uid="{00000000-0005-0000-0000-00005F670000}"/>
    <cellStyle name="Normal 85 42" xfId="13899" xr:uid="{00000000-0005-0000-0000-000060670000}"/>
    <cellStyle name="Normal 85 42 2" xfId="26102" xr:uid="{00000000-0005-0000-0000-000061670000}"/>
    <cellStyle name="Normal 85 43" xfId="13900" xr:uid="{00000000-0005-0000-0000-000062670000}"/>
    <cellStyle name="Normal 85 43 2" xfId="26103" xr:uid="{00000000-0005-0000-0000-000063670000}"/>
    <cellStyle name="Normal 85 44" xfId="13901" xr:uid="{00000000-0005-0000-0000-000064670000}"/>
    <cellStyle name="Normal 85 44 2" xfId="26104" xr:uid="{00000000-0005-0000-0000-000065670000}"/>
    <cellStyle name="Normal 85 45" xfId="13902" xr:uid="{00000000-0005-0000-0000-000066670000}"/>
    <cellStyle name="Normal 85 45 2" xfId="26105" xr:uid="{00000000-0005-0000-0000-000067670000}"/>
    <cellStyle name="Normal 85 46" xfId="13903" xr:uid="{00000000-0005-0000-0000-000068670000}"/>
    <cellStyle name="Normal 85 46 2" xfId="26106" xr:uid="{00000000-0005-0000-0000-000069670000}"/>
    <cellStyle name="Normal 85 47" xfId="13904" xr:uid="{00000000-0005-0000-0000-00006A670000}"/>
    <cellStyle name="Normal 85 47 2" xfId="26107" xr:uid="{00000000-0005-0000-0000-00006B670000}"/>
    <cellStyle name="Normal 85 48" xfId="13905" xr:uid="{00000000-0005-0000-0000-00006C670000}"/>
    <cellStyle name="Normal 85 48 2" xfId="26108" xr:uid="{00000000-0005-0000-0000-00006D670000}"/>
    <cellStyle name="Normal 85 49" xfId="13906" xr:uid="{00000000-0005-0000-0000-00006E670000}"/>
    <cellStyle name="Normal 85 49 2" xfId="26109" xr:uid="{00000000-0005-0000-0000-00006F670000}"/>
    <cellStyle name="Normal 85 5" xfId="13907" xr:uid="{00000000-0005-0000-0000-000070670000}"/>
    <cellStyle name="Normal 85 5 2" xfId="26110" xr:uid="{00000000-0005-0000-0000-000071670000}"/>
    <cellStyle name="Normal 85 50" xfId="13908" xr:uid="{00000000-0005-0000-0000-000072670000}"/>
    <cellStyle name="Normal 85 50 2" xfId="26111" xr:uid="{00000000-0005-0000-0000-000073670000}"/>
    <cellStyle name="Normal 85 51" xfId="13909" xr:uid="{00000000-0005-0000-0000-000074670000}"/>
    <cellStyle name="Normal 85 51 2" xfId="26112" xr:uid="{00000000-0005-0000-0000-000075670000}"/>
    <cellStyle name="Normal 85 52" xfId="13910" xr:uid="{00000000-0005-0000-0000-000076670000}"/>
    <cellStyle name="Normal 85 52 2" xfId="26113" xr:uid="{00000000-0005-0000-0000-000077670000}"/>
    <cellStyle name="Normal 85 53" xfId="13911" xr:uid="{00000000-0005-0000-0000-000078670000}"/>
    <cellStyle name="Normal 85 53 2" xfId="26114" xr:uid="{00000000-0005-0000-0000-000079670000}"/>
    <cellStyle name="Normal 85 54" xfId="13912" xr:uid="{00000000-0005-0000-0000-00007A670000}"/>
    <cellStyle name="Normal 85 54 2" xfId="26115" xr:uid="{00000000-0005-0000-0000-00007B670000}"/>
    <cellStyle name="Normal 85 55" xfId="13913" xr:uid="{00000000-0005-0000-0000-00007C670000}"/>
    <cellStyle name="Normal 85 55 2" xfId="26116" xr:uid="{00000000-0005-0000-0000-00007D670000}"/>
    <cellStyle name="Normal 85 56" xfId="13914" xr:uid="{00000000-0005-0000-0000-00007E670000}"/>
    <cellStyle name="Normal 85 56 2" xfId="26117" xr:uid="{00000000-0005-0000-0000-00007F670000}"/>
    <cellStyle name="Normal 85 57" xfId="13915" xr:uid="{00000000-0005-0000-0000-000080670000}"/>
    <cellStyle name="Normal 85 57 2" xfId="26118" xr:uid="{00000000-0005-0000-0000-000081670000}"/>
    <cellStyle name="Normal 85 58" xfId="13916" xr:uid="{00000000-0005-0000-0000-000082670000}"/>
    <cellStyle name="Normal 85 58 2" xfId="26119" xr:uid="{00000000-0005-0000-0000-000083670000}"/>
    <cellStyle name="Normal 85 59" xfId="13917" xr:uid="{00000000-0005-0000-0000-000084670000}"/>
    <cellStyle name="Normal 85 59 2" xfId="26120" xr:uid="{00000000-0005-0000-0000-000085670000}"/>
    <cellStyle name="Normal 85 6" xfId="13918" xr:uid="{00000000-0005-0000-0000-000086670000}"/>
    <cellStyle name="Normal 85 6 2" xfId="26121" xr:uid="{00000000-0005-0000-0000-000087670000}"/>
    <cellStyle name="Normal 85 60" xfId="13919" xr:uid="{00000000-0005-0000-0000-000088670000}"/>
    <cellStyle name="Normal 85 60 2" xfId="26122" xr:uid="{00000000-0005-0000-0000-000089670000}"/>
    <cellStyle name="Normal 85 61" xfId="13920" xr:uid="{00000000-0005-0000-0000-00008A670000}"/>
    <cellStyle name="Normal 85 61 2" xfId="26123" xr:uid="{00000000-0005-0000-0000-00008B670000}"/>
    <cellStyle name="Normal 85 62" xfId="13921" xr:uid="{00000000-0005-0000-0000-00008C670000}"/>
    <cellStyle name="Normal 85 62 2" xfId="26124" xr:uid="{00000000-0005-0000-0000-00008D670000}"/>
    <cellStyle name="Normal 85 63" xfId="13922" xr:uid="{00000000-0005-0000-0000-00008E670000}"/>
    <cellStyle name="Normal 85 63 2" xfId="26125" xr:uid="{00000000-0005-0000-0000-00008F670000}"/>
    <cellStyle name="Normal 85 64" xfId="13923" xr:uid="{00000000-0005-0000-0000-000090670000}"/>
    <cellStyle name="Normal 85 64 2" xfId="26126" xr:uid="{00000000-0005-0000-0000-000091670000}"/>
    <cellStyle name="Normal 85 65" xfId="13924" xr:uid="{00000000-0005-0000-0000-000092670000}"/>
    <cellStyle name="Normal 85 65 2" xfId="26127" xr:uid="{00000000-0005-0000-0000-000093670000}"/>
    <cellStyle name="Normal 85 66" xfId="13925" xr:uid="{00000000-0005-0000-0000-000094670000}"/>
    <cellStyle name="Normal 85 66 2" xfId="26128" xr:uid="{00000000-0005-0000-0000-000095670000}"/>
    <cellStyle name="Normal 85 67" xfId="13926" xr:uid="{00000000-0005-0000-0000-000096670000}"/>
    <cellStyle name="Normal 85 67 2" xfId="26129" xr:uid="{00000000-0005-0000-0000-000097670000}"/>
    <cellStyle name="Normal 85 68" xfId="13927" xr:uid="{00000000-0005-0000-0000-000098670000}"/>
    <cellStyle name="Normal 85 68 2" xfId="26130" xr:uid="{00000000-0005-0000-0000-000099670000}"/>
    <cellStyle name="Normal 85 69" xfId="13928" xr:uid="{00000000-0005-0000-0000-00009A670000}"/>
    <cellStyle name="Normal 85 69 2" xfId="26131" xr:uid="{00000000-0005-0000-0000-00009B670000}"/>
    <cellStyle name="Normal 85 7" xfId="13929" xr:uid="{00000000-0005-0000-0000-00009C670000}"/>
    <cellStyle name="Normal 85 7 2" xfId="26132" xr:uid="{00000000-0005-0000-0000-00009D670000}"/>
    <cellStyle name="Normal 85 70" xfId="13930" xr:uid="{00000000-0005-0000-0000-00009E670000}"/>
    <cellStyle name="Normal 85 70 2" xfId="26133" xr:uid="{00000000-0005-0000-0000-00009F670000}"/>
    <cellStyle name="Normal 85 71" xfId="13931" xr:uid="{00000000-0005-0000-0000-0000A0670000}"/>
    <cellStyle name="Normal 85 71 2" xfId="26134" xr:uid="{00000000-0005-0000-0000-0000A1670000}"/>
    <cellStyle name="Normal 85 72" xfId="13932" xr:uid="{00000000-0005-0000-0000-0000A2670000}"/>
    <cellStyle name="Normal 85 72 2" xfId="26135" xr:uid="{00000000-0005-0000-0000-0000A3670000}"/>
    <cellStyle name="Normal 85 73" xfId="13933" xr:uid="{00000000-0005-0000-0000-0000A4670000}"/>
    <cellStyle name="Normal 85 73 2" xfId="26136" xr:uid="{00000000-0005-0000-0000-0000A5670000}"/>
    <cellStyle name="Normal 85 74" xfId="13934" xr:uid="{00000000-0005-0000-0000-0000A6670000}"/>
    <cellStyle name="Normal 85 74 2" xfId="26137" xr:uid="{00000000-0005-0000-0000-0000A7670000}"/>
    <cellStyle name="Normal 85 75" xfId="13935" xr:uid="{00000000-0005-0000-0000-0000A8670000}"/>
    <cellStyle name="Normal 85 75 2" xfId="26138" xr:uid="{00000000-0005-0000-0000-0000A9670000}"/>
    <cellStyle name="Normal 85 76" xfId="13936" xr:uid="{00000000-0005-0000-0000-0000AA670000}"/>
    <cellStyle name="Normal 85 76 2" xfId="26139" xr:uid="{00000000-0005-0000-0000-0000AB670000}"/>
    <cellStyle name="Normal 85 77" xfId="13937" xr:uid="{00000000-0005-0000-0000-0000AC670000}"/>
    <cellStyle name="Normal 85 77 2" xfId="26140" xr:uid="{00000000-0005-0000-0000-0000AD670000}"/>
    <cellStyle name="Normal 85 78" xfId="13938" xr:uid="{00000000-0005-0000-0000-0000AE670000}"/>
    <cellStyle name="Normal 85 78 2" xfId="26141" xr:uid="{00000000-0005-0000-0000-0000AF670000}"/>
    <cellStyle name="Normal 85 79" xfId="13939" xr:uid="{00000000-0005-0000-0000-0000B0670000}"/>
    <cellStyle name="Normal 85 79 2" xfId="26142" xr:uid="{00000000-0005-0000-0000-0000B1670000}"/>
    <cellStyle name="Normal 85 8" xfId="13940" xr:uid="{00000000-0005-0000-0000-0000B2670000}"/>
    <cellStyle name="Normal 85 8 2" xfId="26143" xr:uid="{00000000-0005-0000-0000-0000B3670000}"/>
    <cellStyle name="Normal 85 80" xfId="26066" xr:uid="{00000000-0005-0000-0000-0000B4670000}"/>
    <cellStyle name="Normal 85 9" xfId="13941" xr:uid="{00000000-0005-0000-0000-0000B5670000}"/>
    <cellStyle name="Normal 85 9 2" xfId="26144" xr:uid="{00000000-0005-0000-0000-0000B6670000}"/>
    <cellStyle name="Normal 86" xfId="212" xr:uid="{00000000-0005-0000-0000-0000B7670000}"/>
    <cellStyle name="Normal 86 10" xfId="13942" xr:uid="{00000000-0005-0000-0000-0000B8670000}"/>
    <cellStyle name="Normal 86 10 2" xfId="26146" xr:uid="{00000000-0005-0000-0000-0000B9670000}"/>
    <cellStyle name="Normal 86 11" xfId="13943" xr:uid="{00000000-0005-0000-0000-0000BA670000}"/>
    <cellStyle name="Normal 86 11 2" xfId="26147" xr:uid="{00000000-0005-0000-0000-0000BB670000}"/>
    <cellStyle name="Normal 86 12" xfId="13944" xr:uid="{00000000-0005-0000-0000-0000BC670000}"/>
    <cellStyle name="Normal 86 12 2" xfId="26148" xr:uid="{00000000-0005-0000-0000-0000BD670000}"/>
    <cellStyle name="Normal 86 13" xfId="13945" xr:uid="{00000000-0005-0000-0000-0000BE670000}"/>
    <cellStyle name="Normal 86 13 2" xfId="26149" xr:uid="{00000000-0005-0000-0000-0000BF670000}"/>
    <cellStyle name="Normal 86 14" xfId="13946" xr:uid="{00000000-0005-0000-0000-0000C0670000}"/>
    <cellStyle name="Normal 86 14 2" xfId="26150" xr:uid="{00000000-0005-0000-0000-0000C1670000}"/>
    <cellStyle name="Normal 86 15" xfId="13947" xr:uid="{00000000-0005-0000-0000-0000C2670000}"/>
    <cellStyle name="Normal 86 15 2" xfId="26151" xr:uid="{00000000-0005-0000-0000-0000C3670000}"/>
    <cellStyle name="Normal 86 16" xfId="13948" xr:uid="{00000000-0005-0000-0000-0000C4670000}"/>
    <cellStyle name="Normal 86 16 2" xfId="26152" xr:uid="{00000000-0005-0000-0000-0000C5670000}"/>
    <cellStyle name="Normal 86 17" xfId="13949" xr:uid="{00000000-0005-0000-0000-0000C6670000}"/>
    <cellStyle name="Normal 86 17 2" xfId="26153" xr:uid="{00000000-0005-0000-0000-0000C7670000}"/>
    <cellStyle name="Normal 86 18" xfId="13950" xr:uid="{00000000-0005-0000-0000-0000C8670000}"/>
    <cellStyle name="Normal 86 18 2" xfId="26154" xr:uid="{00000000-0005-0000-0000-0000C9670000}"/>
    <cellStyle name="Normal 86 19" xfId="13951" xr:uid="{00000000-0005-0000-0000-0000CA670000}"/>
    <cellStyle name="Normal 86 19 2" xfId="26155" xr:uid="{00000000-0005-0000-0000-0000CB670000}"/>
    <cellStyle name="Normal 86 2" xfId="777" xr:uid="{00000000-0005-0000-0000-0000CC670000}"/>
    <cellStyle name="Normal 86 2 2" xfId="26156" xr:uid="{00000000-0005-0000-0000-0000CD670000}"/>
    <cellStyle name="Normal 86 2 3" xfId="13952" xr:uid="{00000000-0005-0000-0000-0000CE670000}"/>
    <cellStyle name="Normal 86 20" xfId="13953" xr:uid="{00000000-0005-0000-0000-0000CF670000}"/>
    <cellStyle name="Normal 86 20 2" xfId="26157" xr:uid="{00000000-0005-0000-0000-0000D0670000}"/>
    <cellStyle name="Normal 86 21" xfId="13954" xr:uid="{00000000-0005-0000-0000-0000D1670000}"/>
    <cellStyle name="Normal 86 21 2" xfId="26158" xr:uid="{00000000-0005-0000-0000-0000D2670000}"/>
    <cellStyle name="Normal 86 22" xfId="13955" xr:uid="{00000000-0005-0000-0000-0000D3670000}"/>
    <cellStyle name="Normal 86 22 2" xfId="26159" xr:uid="{00000000-0005-0000-0000-0000D4670000}"/>
    <cellStyle name="Normal 86 23" xfId="13956" xr:uid="{00000000-0005-0000-0000-0000D5670000}"/>
    <cellStyle name="Normal 86 23 2" xfId="26160" xr:uid="{00000000-0005-0000-0000-0000D6670000}"/>
    <cellStyle name="Normal 86 24" xfId="13957" xr:uid="{00000000-0005-0000-0000-0000D7670000}"/>
    <cellStyle name="Normal 86 24 2" xfId="26161" xr:uid="{00000000-0005-0000-0000-0000D8670000}"/>
    <cellStyle name="Normal 86 25" xfId="13958" xr:uid="{00000000-0005-0000-0000-0000D9670000}"/>
    <cellStyle name="Normal 86 25 2" xfId="26162" xr:uid="{00000000-0005-0000-0000-0000DA670000}"/>
    <cellStyle name="Normal 86 26" xfId="13959" xr:uid="{00000000-0005-0000-0000-0000DB670000}"/>
    <cellStyle name="Normal 86 26 2" xfId="26163" xr:uid="{00000000-0005-0000-0000-0000DC670000}"/>
    <cellStyle name="Normal 86 27" xfId="13960" xr:uid="{00000000-0005-0000-0000-0000DD670000}"/>
    <cellStyle name="Normal 86 27 2" xfId="26164" xr:uid="{00000000-0005-0000-0000-0000DE670000}"/>
    <cellStyle name="Normal 86 28" xfId="13961" xr:uid="{00000000-0005-0000-0000-0000DF670000}"/>
    <cellStyle name="Normal 86 28 2" xfId="26165" xr:uid="{00000000-0005-0000-0000-0000E0670000}"/>
    <cellStyle name="Normal 86 29" xfId="13962" xr:uid="{00000000-0005-0000-0000-0000E1670000}"/>
    <cellStyle name="Normal 86 29 2" xfId="26166" xr:uid="{00000000-0005-0000-0000-0000E2670000}"/>
    <cellStyle name="Normal 86 3" xfId="427" xr:uid="{00000000-0005-0000-0000-0000E3670000}"/>
    <cellStyle name="Normal 86 3 2" xfId="26167" xr:uid="{00000000-0005-0000-0000-0000E4670000}"/>
    <cellStyle name="Normal 86 30" xfId="13963" xr:uid="{00000000-0005-0000-0000-0000E5670000}"/>
    <cellStyle name="Normal 86 30 2" xfId="26168" xr:uid="{00000000-0005-0000-0000-0000E6670000}"/>
    <cellStyle name="Normal 86 31" xfId="13964" xr:uid="{00000000-0005-0000-0000-0000E7670000}"/>
    <cellStyle name="Normal 86 31 2" xfId="26169" xr:uid="{00000000-0005-0000-0000-0000E8670000}"/>
    <cellStyle name="Normal 86 32" xfId="13965" xr:uid="{00000000-0005-0000-0000-0000E9670000}"/>
    <cellStyle name="Normal 86 32 2" xfId="26170" xr:uid="{00000000-0005-0000-0000-0000EA670000}"/>
    <cellStyle name="Normal 86 33" xfId="13966" xr:uid="{00000000-0005-0000-0000-0000EB670000}"/>
    <cellStyle name="Normal 86 33 2" xfId="26171" xr:uid="{00000000-0005-0000-0000-0000EC670000}"/>
    <cellStyle name="Normal 86 34" xfId="13967" xr:uid="{00000000-0005-0000-0000-0000ED670000}"/>
    <cellStyle name="Normal 86 34 2" xfId="26172" xr:uid="{00000000-0005-0000-0000-0000EE670000}"/>
    <cellStyle name="Normal 86 35" xfId="13968" xr:uid="{00000000-0005-0000-0000-0000EF670000}"/>
    <cellStyle name="Normal 86 35 2" xfId="26173" xr:uid="{00000000-0005-0000-0000-0000F0670000}"/>
    <cellStyle name="Normal 86 36" xfId="13969" xr:uid="{00000000-0005-0000-0000-0000F1670000}"/>
    <cellStyle name="Normal 86 36 2" xfId="26174" xr:uid="{00000000-0005-0000-0000-0000F2670000}"/>
    <cellStyle name="Normal 86 37" xfId="13970" xr:uid="{00000000-0005-0000-0000-0000F3670000}"/>
    <cellStyle name="Normal 86 37 2" xfId="26175" xr:uid="{00000000-0005-0000-0000-0000F4670000}"/>
    <cellStyle name="Normal 86 38" xfId="13971" xr:uid="{00000000-0005-0000-0000-0000F5670000}"/>
    <cellStyle name="Normal 86 38 2" xfId="26176" xr:uid="{00000000-0005-0000-0000-0000F6670000}"/>
    <cellStyle name="Normal 86 39" xfId="13972" xr:uid="{00000000-0005-0000-0000-0000F7670000}"/>
    <cellStyle name="Normal 86 39 2" xfId="26177" xr:uid="{00000000-0005-0000-0000-0000F8670000}"/>
    <cellStyle name="Normal 86 4" xfId="13973" xr:uid="{00000000-0005-0000-0000-0000F9670000}"/>
    <cellStyle name="Normal 86 4 2" xfId="26178" xr:uid="{00000000-0005-0000-0000-0000FA670000}"/>
    <cellStyle name="Normal 86 40" xfId="13974" xr:uid="{00000000-0005-0000-0000-0000FB670000}"/>
    <cellStyle name="Normal 86 40 2" xfId="26179" xr:uid="{00000000-0005-0000-0000-0000FC670000}"/>
    <cellStyle name="Normal 86 41" xfId="13975" xr:uid="{00000000-0005-0000-0000-0000FD670000}"/>
    <cellStyle name="Normal 86 41 2" xfId="26180" xr:uid="{00000000-0005-0000-0000-0000FE670000}"/>
    <cellStyle name="Normal 86 42" xfId="13976" xr:uid="{00000000-0005-0000-0000-0000FF670000}"/>
    <cellStyle name="Normal 86 42 2" xfId="26181" xr:uid="{00000000-0005-0000-0000-000000680000}"/>
    <cellStyle name="Normal 86 43" xfId="13977" xr:uid="{00000000-0005-0000-0000-000001680000}"/>
    <cellStyle name="Normal 86 43 2" xfId="26182" xr:uid="{00000000-0005-0000-0000-000002680000}"/>
    <cellStyle name="Normal 86 44" xfId="13978" xr:uid="{00000000-0005-0000-0000-000003680000}"/>
    <cellStyle name="Normal 86 44 2" xfId="26183" xr:uid="{00000000-0005-0000-0000-000004680000}"/>
    <cellStyle name="Normal 86 45" xfId="13979" xr:uid="{00000000-0005-0000-0000-000005680000}"/>
    <cellStyle name="Normal 86 45 2" xfId="26184" xr:uid="{00000000-0005-0000-0000-000006680000}"/>
    <cellStyle name="Normal 86 46" xfId="13980" xr:uid="{00000000-0005-0000-0000-000007680000}"/>
    <cellStyle name="Normal 86 46 2" xfId="26185" xr:uid="{00000000-0005-0000-0000-000008680000}"/>
    <cellStyle name="Normal 86 47" xfId="13981" xr:uid="{00000000-0005-0000-0000-000009680000}"/>
    <cellStyle name="Normal 86 47 2" xfId="26186" xr:uid="{00000000-0005-0000-0000-00000A680000}"/>
    <cellStyle name="Normal 86 48" xfId="13982" xr:uid="{00000000-0005-0000-0000-00000B680000}"/>
    <cellStyle name="Normal 86 48 2" xfId="26187" xr:uid="{00000000-0005-0000-0000-00000C680000}"/>
    <cellStyle name="Normal 86 49" xfId="13983" xr:uid="{00000000-0005-0000-0000-00000D680000}"/>
    <cellStyle name="Normal 86 49 2" xfId="26188" xr:uid="{00000000-0005-0000-0000-00000E680000}"/>
    <cellStyle name="Normal 86 5" xfId="13984" xr:uid="{00000000-0005-0000-0000-00000F680000}"/>
    <cellStyle name="Normal 86 5 2" xfId="26189" xr:uid="{00000000-0005-0000-0000-000010680000}"/>
    <cellStyle name="Normal 86 50" xfId="13985" xr:uid="{00000000-0005-0000-0000-000011680000}"/>
    <cellStyle name="Normal 86 50 2" xfId="26190" xr:uid="{00000000-0005-0000-0000-000012680000}"/>
    <cellStyle name="Normal 86 51" xfId="13986" xr:uid="{00000000-0005-0000-0000-000013680000}"/>
    <cellStyle name="Normal 86 51 2" xfId="26191" xr:uid="{00000000-0005-0000-0000-000014680000}"/>
    <cellStyle name="Normal 86 52" xfId="13987" xr:uid="{00000000-0005-0000-0000-000015680000}"/>
    <cellStyle name="Normal 86 52 2" xfId="26192" xr:uid="{00000000-0005-0000-0000-000016680000}"/>
    <cellStyle name="Normal 86 53" xfId="13988" xr:uid="{00000000-0005-0000-0000-000017680000}"/>
    <cellStyle name="Normal 86 53 2" xfId="26193" xr:uid="{00000000-0005-0000-0000-000018680000}"/>
    <cellStyle name="Normal 86 54" xfId="13989" xr:uid="{00000000-0005-0000-0000-000019680000}"/>
    <cellStyle name="Normal 86 54 2" xfId="26194" xr:uid="{00000000-0005-0000-0000-00001A680000}"/>
    <cellStyle name="Normal 86 55" xfId="13990" xr:uid="{00000000-0005-0000-0000-00001B680000}"/>
    <cellStyle name="Normal 86 55 2" xfId="26195" xr:uid="{00000000-0005-0000-0000-00001C680000}"/>
    <cellStyle name="Normal 86 56" xfId="13991" xr:uid="{00000000-0005-0000-0000-00001D680000}"/>
    <cellStyle name="Normal 86 56 2" xfId="26196" xr:uid="{00000000-0005-0000-0000-00001E680000}"/>
    <cellStyle name="Normal 86 57" xfId="13992" xr:uid="{00000000-0005-0000-0000-00001F680000}"/>
    <cellStyle name="Normal 86 57 2" xfId="26197" xr:uid="{00000000-0005-0000-0000-000020680000}"/>
    <cellStyle name="Normal 86 58" xfId="13993" xr:uid="{00000000-0005-0000-0000-000021680000}"/>
    <cellStyle name="Normal 86 58 2" xfId="26198" xr:uid="{00000000-0005-0000-0000-000022680000}"/>
    <cellStyle name="Normal 86 59" xfId="13994" xr:uid="{00000000-0005-0000-0000-000023680000}"/>
    <cellStyle name="Normal 86 59 2" xfId="26199" xr:uid="{00000000-0005-0000-0000-000024680000}"/>
    <cellStyle name="Normal 86 6" xfId="13995" xr:uid="{00000000-0005-0000-0000-000025680000}"/>
    <cellStyle name="Normal 86 6 2" xfId="26200" xr:uid="{00000000-0005-0000-0000-000026680000}"/>
    <cellStyle name="Normal 86 60" xfId="13996" xr:uid="{00000000-0005-0000-0000-000027680000}"/>
    <cellStyle name="Normal 86 60 2" xfId="26201" xr:uid="{00000000-0005-0000-0000-000028680000}"/>
    <cellStyle name="Normal 86 61" xfId="13997" xr:uid="{00000000-0005-0000-0000-000029680000}"/>
    <cellStyle name="Normal 86 61 2" xfId="26202" xr:uid="{00000000-0005-0000-0000-00002A680000}"/>
    <cellStyle name="Normal 86 62" xfId="13998" xr:uid="{00000000-0005-0000-0000-00002B680000}"/>
    <cellStyle name="Normal 86 62 2" xfId="26203" xr:uid="{00000000-0005-0000-0000-00002C680000}"/>
    <cellStyle name="Normal 86 63" xfId="13999" xr:uid="{00000000-0005-0000-0000-00002D680000}"/>
    <cellStyle name="Normal 86 63 2" xfId="26204" xr:uid="{00000000-0005-0000-0000-00002E680000}"/>
    <cellStyle name="Normal 86 64" xfId="14000" xr:uid="{00000000-0005-0000-0000-00002F680000}"/>
    <cellStyle name="Normal 86 64 2" xfId="26205" xr:uid="{00000000-0005-0000-0000-000030680000}"/>
    <cellStyle name="Normal 86 65" xfId="14001" xr:uid="{00000000-0005-0000-0000-000031680000}"/>
    <cellStyle name="Normal 86 65 2" xfId="26206" xr:uid="{00000000-0005-0000-0000-000032680000}"/>
    <cellStyle name="Normal 86 66" xfId="14002" xr:uid="{00000000-0005-0000-0000-000033680000}"/>
    <cellStyle name="Normal 86 66 2" xfId="26207" xr:uid="{00000000-0005-0000-0000-000034680000}"/>
    <cellStyle name="Normal 86 67" xfId="14003" xr:uid="{00000000-0005-0000-0000-000035680000}"/>
    <cellStyle name="Normal 86 67 2" xfId="26208" xr:uid="{00000000-0005-0000-0000-000036680000}"/>
    <cellStyle name="Normal 86 68" xfId="14004" xr:uid="{00000000-0005-0000-0000-000037680000}"/>
    <cellStyle name="Normal 86 68 2" xfId="26209" xr:uid="{00000000-0005-0000-0000-000038680000}"/>
    <cellStyle name="Normal 86 69" xfId="14005" xr:uid="{00000000-0005-0000-0000-000039680000}"/>
    <cellStyle name="Normal 86 69 2" xfId="26210" xr:uid="{00000000-0005-0000-0000-00003A680000}"/>
    <cellStyle name="Normal 86 7" xfId="14006" xr:uid="{00000000-0005-0000-0000-00003B680000}"/>
    <cellStyle name="Normal 86 7 2" xfId="26211" xr:uid="{00000000-0005-0000-0000-00003C680000}"/>
    <cellStyle name="Normal 86 70" xfId="14007" xr:uid="{00000000-0005-0000-0000-00003D680000}"/>
    <cellStyle name="Normal 86 70 2" xfId="26212" xr:uid="{00000000-0005-0000-0000-00003E680000}"/>
    <cellStyle name="Normal 86 71" xfId="14008" xr:uid="{00000000-0005-0000-0000-00003F680000}"/>
    <cellStyle name="Normal 86 71 2" xfId="26213" xr:uid="{00000000-0005-0000-0000-000040680000}"/>
    <cellStyle name="Normal 86 72" xfId="14009" xr:uid="{00000000-0005-0000-0000-000041680000}"/>
    <cellStyle name="Normal 86 72 2" xfId="26214" xr:uid="{00000000-0005-0000-0000-000042680000}"/>
    <cellStyle name="Normal 86 73" xfId="14010" xr:uid="{00000000-0005-0000-0000-000043680000}"/>
    <cellStyle name="Normal 86 73 2" xfId="26215" xr:uid="{00000000-0005-0000-0000-000044680000}"/>
    <cellStyle name="Normal 86 74" xfId="14011" xr:uid="{00000000-0005-0000-0000-000045680000}"/>
    <cellStyle name="Normal 86 74 2" xfId="26216" xr:uid="{00000000-0005-0000-0000-000046680000}"/>
    <cellStyle name="Normal 86 75" xfId="14012" xr:uid="{00000000-0005-0000-0000-000047680000}"/>
    <cellStyle name="Normal 86 75 2" xfId="26217" xr:uid="{00000000-0005-0000-0000-000048680000}"/>
    <cellStyle name="Normal 86 76" xfId="14013" xr:uid="{00000000-0005-0000-0000-000049680000}"/>
    <cellStyle name="Normal 86 76 2" xfId="26218" xr:uid="{00000000-0005-0000-0000-00004A680000}"/>
    <cellStyle name="Normal 86 77" xfId="14014" xr:uid="{00000000-0005-0000-0000-00004B680000}"/>
    <cellStyle name="Normal 86 77 2" xfId="26219" xr:uid="{00000000-0005-0000-0000-00004C680000}"/>
    <cellStyle name="Normal 86 78" xfId="14015" xr:uid="{00000000-0005-0000-0000-00004D680000}"/>
    <cellStyle name="Normal 86 78 2" xfId="26220" xr:uid="{00000000-0005-0000-0000-00004E680000}"/>
    <cellStyle name="Normal 86 79" xfId="14016" xr:uid="{00000000-0005-0000-0000-00004F680000}"/>
    <cellStyle name="Normal 86 79 2" xfId="26221" xr:uid="{00000000-0005-0000-0000-000050680000}"/>
    <cellStyle name="Normal 86 8" xfId="14017" xr:uid="{00000000-0005-0000-0000-000051680000}"/>
    <cellStyle name="Normal 86 8 2" xfId="26222" xr:uid="{00000000-0005-0000-0000-000052680000}"/>
    <cellStyle name="Normal 86 80" xfId="26145" xr:uid="{00000000-0005-0000-0000-000053680000}"/>
    <cellStyle name="Normal 86 9" xfId="14018" xr:uid="{00000000-0005-0000-0000-000054680000}"/>
    <cellStyle name="Normal 86 9 2" xfId="26223" xr:uid="{00000000-0005-0000-0000-000055680000}"/>
    <cellStyle name="Normal 87" xfId="65" xr:uid="{00000000-0005-0000-0000-000056680000}"/>
    <cellStyle name="Normal 87 10" xfId="14019" xr:uid="{00000000-0005-0000-0000-000057680000}"/>
    <cellStyle name="Normal 87 10 2" xfId="26225" xr:uid="{00000000-0005-0000-0000-000058680000}"/>
    <cellStyle name="Normal 87 11" xfId="14020" xr:uid="{00000000-0005-0000-0000-000059680000}"/>
    <cellStyle name="Normal 87 11 2" xfId="26226" xr:uid="{00000000-0005-0000-0000-00005A680000}"/>
    <cellStyle name="Normal 87 12" xfId="14021" xr:uid="{00000000-0005-0000-0000-00005B680000}"/>
    <cellStyle name="Normal 87 12 2" xfId="26227" xr:uid="{00000000-0005-0000-0000-00005C680000}"/>
    <cellStyle name="Normal 87 13" xfId="14022" xr:uid="{00000000-0005-0000-0000-00005D680000}"/>
    <cellStyle name="Normal 87 13 2" xfId="26228" xr:uid="{00000000-0005-0000-0000-00005E680000}"/>
    <cellStyle name="Normal 87 14" xfId="14023" xr:uid="{00000000-0005-0000-0000-00005F680000}"/>
    <cellStyle name="Normal 87 14 2" xfId="26229" xr:uid="{00000000-0005-0000-0000-000060680000}"/>
    <cellStyle name="Normal 87 15" xfId="14024" xr:uid="{00000000-0005-0000-0000-000061680000}"/>
    <cellStyle name="Normal 87 15 2" xfId="26230" xr:uid="{00000000-0005-0000-0000-000062680000}"/>
    <cellStyle name="Normal 87 16" xfId="14025" xr:uid="{00000000-0005-0000-0000-000063680000}"/>
    <cellStyle name="Normal 87 16 2" xfId="26231" xr:uid="{00000000-0005-0000-0000-000064680000}"/>
    <cellStyle name="Normal 87 17" xfId="14026" xr:uid="{00000000-0005-0000-0000-000065680000}"/>
    <cellStyle name="Normal 87 17 2" xfId="26232" xr:uid="{00000000-0005-0000-0000-000066680000}"/>
    <cellStyle name="Normal 87 18" xfId="14027" xr:uid="{00000000-0005-0000-0000-000067680000}"/>
    <cellStyle name="Normal 87 18 2" xfId="26233" xr:uid="{00000000-0005-0000-0000-000068680000}"/>
    <cellStyle name="Normal 87 19" xfId="14028" xr:uid="{00000000-0005-0000-0000-000069680000}"/>
    <cellStyle name="Normal 87 19 2" xfId="26234" xr:uid="{00000000-0005-0000-0000-00006A680000}"/>
    <cellStyle name="Normal 87 2" xfId="778" xr:uid="{00000000-0005-0000-0000-00006B680000}"/>
    <cellStyle name="Normal 87 2 2" xfId="26235" xr:uid="{00000000-0005-0000-0000-00006C680000}"/>
    <cellStyle name="Normal 87 2 3" xfId="14029" xr:uid="{00000000-0005-0000-0000-00006D680000}"/>
    <cellStyle name="Normal 87 20" xfId="14030" xr:uid="{00000000-0005-0000-0000-00006E680000}"/>
    <cellStyle name="Normal 87 20 2" xfId="26236" xr:uid="{00000000-0005-0000-0000-00006F680000}"/>
    <cellStyle name="Normal 87 21" xfId="14031" xr:uid="{00000000-0005-0000-0000-000070680000}"/>
    <cellStyle name="Normal 87 21 2" xfId="26237" xr:uid="{00000000-0005-0000-0000-000071680000}"/>
    <cellStyle name="Normal 87 22" xfId="14032" xr:uid="{00000000-0005-0000-0000-000072680000}"/>
    <cellStyle name="Normal 87 22 2" xfId="26238" xr:uid="{00000000-0005-0000-0000-000073680000}"/>
    <cellStyle name="Normal 87 23" xfId="14033" xr:uid="{00000000-0005-0000-0000-000074680000}"/>
    <cellStyle name="Normal 87 23 2" xfId="26239" xr:uid="{00000000-0005-0000-0000-000075680000}"/>
    <cellStyle name="Normal 87 24" xfId="14034" xr:uid="{00000000-0005-0000-0000-000076680000}"/>
    <cellStyle name="Normal 87 24 2" xfId="26240" xr:uid="{00000000-0005-0000-0000-000077680000}"/>
    <cellStyle name="Normal 87 25" xfId="14035" xr:uid="{00000000-0005-0000-0000-000078680000}"/>
    <cellStyle name="Normal 87 25 2" xfId="26241" xr:uid="{00000000-0005-0000-0000-000079680000}"/>
    <cellStyle name="Normal 87 26" xfId="14036" xr:uid="{00000000-0005-0000-0000-00007A680000}"/>
    <cellStyle name="Normal 87 26 2" xfId="26242" xr:uid="{00000000-0005-0000-0000-00007B680000}"/>
    <cellStyle name="Normal 87 27" xfId="14037" xr:uid="{00000000-0005-0000-0000-00007C680000}"/>
    <cellStyle name="Normal 87 27 2" xfId="26243" xr:uid="{00000000-0005-0000-0000-00007D680000}"/>
    <cellStyle name="Normal 87 28" xfId="14038" xr:uid="{00000000-0005-0000-0000-00007E680000}"/>
    <cellStyle name="Normal 87 28 2" xfId="26244" xr:uid="{00000000-0005-0000-0000-00007F680000}"/>
    <cellStyle name="Normal 87 29" xfId="14039" xr:uid="{00000000-0005-0000-0000-000080680000}"/>
    <cellStyle name="Normal 87 29 2" xfId="26245" xr:uid="{00000000-0005-0000-0000-000081680000}"/>
    <cellStyle name="Normal 87 3" xfId="428" xr:uid="{00000000-0005-0000-0000-000082680000}"/>
    <cellStyle name="Normal 87 3 2" xfId="26246" xr:uid="{00000000-0005-0000-0000-000083680000}"/>
    <cellStyle name="Normal 87 30" xfId="14040" xr:uid="{00000000-0005-0000-0000-000084680000}"/>
    <cellStyle name="Normal 87 30 2" xfId="26247" xr:uid="{00000000-0005-0000-0000-000085680000}"/>
    <cellStyle name="Normal 87 31" xfId="14041" xr:uid="{00000000-0005-0000-0000-000086680000}"/>
    <cellStyle name="Normal 87 31 2" xfId="26248" xr:uid="{00000000-0005-0000-0000-000087680000}"/>
    <cellStyle name="Normal 87 32" xfId="14042" xr:uid="{00000000-0005-0000-0000-000088680000}"/>
    <cellStyle name="Normal 87 32 2" xfId="26249" xr:uid="{00000000-0005-0000-0000-000089680000}"/>
    <cellStyle name="Normal 87 33" xfId="14043" xr:uid="{00000000-0005-0000-0000-00008A680000}"/>
    <cellStyle name="Normal 87 33 2" xfId="26250" xr:uid="{00000000-0005-0000-0000-00008B680000}"/>
    <cellStyle name="Normal 87 34" xfId="14044" xr:uid="{00000000-0005-0000-0000-00008C680000}"/>
    <cellStyle name="Normal 87 34 2" xfId="26251" xr:uid="{00000000-0005-0000-0000-00008D680000}"/>
    <cellStyle name="Normal 87 35" xfId="14045" xr:uid="{00000000-0005-0000-0000-00008E680000}"/>
    <cellStyle name="Normal 87 35 2" xfId="26252" xr:uid="{00000000-0005-0000-0000-00008F680000}"/>
    <cellStyle name="Normal 87 36" xfId="14046" xr:uid="{00000000-0005-0000-0000-000090680000}"/>
    <cellStyle name="Normal 87 36 2" xfId="26253" xr:uid="{00000000-0005-0000-0000-000091680000}"/>
    <cellStyle name="Normal 87 37" xfId="14047" xr:uid="{00000000-0005-0000-0000-000092680000}"/>
    <cellStyle name="Normal 87 37 2" xfId="26254" xr:uid="{00000000-0005-0000-0000-000093680000}"/>
    <cellStyle name="Normal 87 38" xfId="14048" xr:uid="{00000000-0005-0000-0000-000094680000}"/>
    <cellStyle name="Normal 87 38 2" xfId="26255" xr:uid="{00000000-0005-0000-0000-000095680000}"/>
    <cellStyle name="Normal 87 39" xfId="14049" xr:uid="{00000000-0005-0000-0000-000096680000}"/>
    <cellStyle name="Normal 87 39 2" xfId="26256" xr:uid="{00000000-0005-0000-0000-000097680000}"/>
    <cellStyle name="Normal 87 4" xfId="213" xr:uid="{00000000-0005-0000-0000-000098680000}"/>
    <cellStyle name="Normal 87 4 2" xfId="26257" xr:uid="{00000000-0005-0000-0000-000099680000}"/>
    <cellStyle name="Normal 87 4 3" xfId="14050" xr:uid="{00000000-0005-0000-0000-00009A680000}"/>
    <cellStyle name="Normal 87 40" xfId="14051" xr:uid="{00000000-0005-0000-0000-00009B680000}"/>
    <cellStyle name="Normal 87 40 2" xfId="26258" xr:uid="{00000000-0005-0000-0000-00009C680000}"/>
    <cellStyle name="Normal 87 41" xfId="14052" xr:uid="{00000000-0005-0000-0000-00009D680000}"/>
    <cellStyle name="Normal 87 41 2" xfId="26259" xr:uid="{00000000-0005-0000-0000-00009E680000}"/>
    <cellStyle name="Normal 87 42" xfId="14053" xr:uid="{00000000-0005-0000-0000-00009F680000}"/>
    <cellStyle name="Normal 87 42 2" xfId="26260" xr:uid="{00000000-0005-0000-0000-0000A0680000}"/>
    <cellStyle name="Normal 87 43" xfId="14054" xr:uid="{00000000-0005-0000-0000-0000A1680000}"/>
    <cellStyle name="Normal 87 43 2" xfId="26261" xr:uid="{00000000-0005-0000-0000-0000A2680000}"/>
    <cellStyle name="Normal 87 44" xfId="14055" xr:uid="{00000000-0005-0000-0000-0000A3680000}"/>
    <cellStyle name="Normal 87 44 2" xfId="26262" xr:uid="{00000000-0005-0000-0000-0000A4680000}"/>
    <cellStyle name="Normal 87 45" xfId="14056" xr:uid="{00000000-0005-0000-0000-0000A5680000}"/>
    <cellStyle name="Normal 87 45 2" xfId="26263" xr:uid="{00000000-0005-0000-0000-0000A6680000}"/>
    <cellStyle name="Normal 87 46" xfId="14057" xr:uid="{00000000-0005-0000-0000-0000A7680000}"/>
    <cellStyle name="Normal 87 46 2" xfId="26264" xr:uid="{00000000-0005-0000-0000-0000A8680000}"/>
    <cellStyle name="Normal 87 47" xfId="14058" xr:uid="{00000000-0005-0000-0000-0000A9680000}"/>
    <cellStyle name="Normal 87 47 2" xfId="26265" xr:uid="{00000000-0005-0000-0000-0000AA680000}"/>
    <cellStyle name="Normal 87 48" xfId="14059" xr:uid="{00000000-0005-0000-0000-0000AB680000}"/>
    <cellStyle name="Normal 87 48 2" xfId="26266" xr:uid="{00000000-0005-0000-0000-0000AC680000}"/>
    <cellStyle name="Normal 87 49" xfId="14060" xr:uid="{00000000-0005-0000-0000-0000AD680000}"/>
    <cellStyle name="Normal 87 49 2" xfId="26267" xr:uid="{00000000-0005-0000-0000-0000AE680000}"/>
    <cellStyle name="Normal 87 5" xfId="14061" xr:uid="{00000000-0005-0000-0000-0000AF680000}"/>
    <cellStyle name="Normal 87 5 2" xfId="26268" xr:uid="{00000000-0005-0000-0000-0000B0680000}"/>
    <cellStyle name="Normal 87 50" xfId="14062" xr:uid="{00000000-0005-0000-0000-0000B1680000}"/>
    <cellStyle name="Normal 87 50 2" xfId="26269" xr:uid="{00000000-0005-0000-0000-0000B2680000}"/>
    <cellStyle name="Normal 87 51" xfId="14063" xr:uid="{00000000-0005-0000-0000-0000B3680000}"/>
    <cellStyle name="Normal 87 51 2" xfId="26270" xr:uid="{00000000-0005-0000-0000-0000B4680000}"/>
    <cellStyle name="Normal 87 52" xfId="14064" xr:uid="{00000000-0005-0000-0000-0000B5680000}"/>
    <cellStyle name="Normal 87 52 2" xfId="26271" xr:uid="{00000000-0005-0000-0000-0000B6680000}"/>
    <cellStyle name="Normal 87 53" xfId="14065" xr:uid="{00000000-0005-0000-0000-0000B7680000}"/>
    <cellStyle name="Normal 87 53 2" xfId="26272" xr:uid="{00000000-0005-0000-0000-0000B8680000}"/>
    <cellStyle name="Normal 87 54" xfId="14066" xr:uid="{00000000-0005-0000-0000-0000B9680000}"/>
    <cellStyle name="Normal 87 54 2" xfId="26273" xr:uid="{00000000-0005-0000-0000-0000BA680000}"/>
    <cellStyle name="Normal 87 55" xfId="14067" xr:uid="{00000000-0005-0000-0000-0000BB680000}"/>
    <cellStyle name="Normal 87 55 2" xfId="26274" xr:uid="{00000000-0005-0000-0000-0000BC680000}"/>
    <cellStyle name="Normal 87 56" xfId="14068" xr:uid="{00000000-0005-0000-0000-0000BD680000}"/>
    <cellStyle name="Normal 87 56 2" xfId="26275" xr:uid="{00000000-0005-0000-0000-0000BE680000}"/>
    <cellStyle name="Normal 87 57" xfId="14069" xr:uid="{00000000-0005-0000-0000-0000BF680000}"/>
    <cellStyle name="Normal 87 57 2" xfId="26276" xr:uid="{00000000-0005-0000-0000-0000C0680000}"/>
    <cellStyle name="Normal 87 58" xfId="14070" xr:uid="{00000000-0005-0000-0000-0000C1680000}"/>
    <cellStyle name="Normal 87 58 2" xfId="26277" xr:uid="{00000000-0005-0000-0000-0000C2680000}"/>
    <cellStyle name="Normal 87 59" xfId="14071" xr:uid="{00000000-0005-0000-0000-0000C3680000}"/>
    <cellStyle name="Normal 87 59 2" xfId="26278" xr:uid="{00000000-0005-0000-0000-0000C4680000}"/>
    <cellStyle name="Normal 87 6" xfId="14072" xr:uid="{00000000-0005-0000-0000-0000C5680000}"/>
    <cellStyle name="Normal 87 6 2" xfId="26279" xr:uid="{00000000-0005-0000-0000-0000C6680000}"/>
    <cellStyle name="Normal 87 60" xfId="14073" xr:uid="{00000000-0005-0000-0000-0000C7680000}"/>
    <cellStyle name="Normal 87 60 2" xfId="26280" xr:uid="{00000000-0005-0000-0000-0000C8680000}"/>
    <cellStyle name="Normal 87 61" xfId="14074" xr:uid="{00000000-0005-0000-0000-0000C9680000}"/>
    <cellStyle name="Normal 87 61 2" xfId="26281" xr:uid="{00000000-0005-0000-0000-0000CA680000}"/>
    <cellStyle name="Normal 87 62" xfId="14075" xr:uid="{00000000-0005-0000-0000-0000CB680000}"/>
    <cellStyle name="Normal 87 62 2" xfId="26282" xr:uid="{00000000-0005-0000-0000-0000CC680000}"/>
    <cellStyle name="Normal 87 63" xfId="14076" xr:uid="{00000000-0005-0000-0000-0000CD680000}"/>
    <cellStyle name="Normal 87 63 2" xfId="26283" xr:uid="{00000000-0005-0000-0000-0000CE680000}"/>
    <cellStyle name="Normal 87 64" xfId="14077" xr:uid="{00000000-0005-0000-0000-0000CF680000}"/>
    <cellStyle name="Normal 87 64 2" xfId="26284" xr:uid="{00000000-0005-0000-0000-0000D0680000}"/>
    <cellStyle name="Normal 87 65" xfId="14078" xr:uid="{00000000-0005-0000-0000-0000D1680000}"/>
    <cellStyle name="Normal 87 65 2" xfId="26285" xr:uid="{00000000-0005-0000-0000-0000D2680000}"/>
    <cellStyle name="Normal 87 66" xfId="14079" xr:uid="{00000000-0005-0000-0000-0000D3680000}"/>
    <cellStyle name="Normal 87 66 2" xfId="26286" xr:uid="{00000000-0005-0000-0000-0000D4680000}"/>
    <cellStyle name="Normal 87 67" xfId="14080" xr:uid="{00000000-0005-0000-0000-0000D5680000}"/>
    <cellStyle name="Normal 87 67 2" xfId="26287" xr:uid="{00000000-0005-0000-0000-0000D6680000}"/>
    <cellStyle name="Normal 87 68" xfId="14081" xr:uid="{00000000-0005-0000-0000-0000D7680000}"/>
    <cellStyle name="Normal 87 68 2" xfId="26288" xr:uid="{00000000-0005-0000-0000-0000D8680000}"/>
    <cellStyle name="Normal 87 69" xfId="14082" xr:uid="{00000000-0005-0000-0000-0000D9680000}"/>
    <cellStyle name="Normal 87 69 2" xfId="26289" xr:uid="{00000000-0005-0000-0000-0000DA680000}"/>
    <cellStyle name="Normal 87 7" xfId="14083" xr:uid="{00000000-0005-0000-0000-0000DB680000}"/>
    <cellStyle name="Normal 87 7 2" xfId="26290" xr:uid="{00000000-0005-0000-0000-0000DC680000}"/>
    <cellStyle name="Normal 87 70" xfId="14084" xr:uid="{00000000-0005-0000-0000-0000DD680000}"/>
    <cellStyle name="Normal 87 70 2" xfId="26291" xr:uid="{00000000-0005-0000-0000-0000DE680000}"/>
    <cellStyle name="Normal 87 71" xfId="14085" xr:uid="{00000000-0005-0000-0000-0000DF680000}"/>
    <cellStyle name="Normal 87 71 2" xfId="26292" xr:uid="{00000000-0005-0000-0000-0000E0680000}"/>
    <cellStyle name="Normal 87 72" xfId="14086" xr:uid="{00000000-0005-0000-0000-0000E1680000}"/>
    <cellStyle name="Normal 87 72 2" xfId="26293" xr:uid="{00000000-0005-0000-0000-0000E2680000}"/>
    <cellStyle name="Normal 87 73" xfId="14087" xr:uid="{00000000-0005-0000-0000-0000E3680000}"/>
    <cellStyle name="Normal 87 73 2" xfId="26294" xr:uid="{00000000-0005-0000-0000-0000E4680000}"/>
    <cellStyle name="Normal 87 74" xfId="14088" xr:uid="{00000000-0005-0000-0000-0000E5680000}"/>
    <cellStyle name="Normal 87 74 2" xfId="26295" xr:uid="{00000000-0005-0000-0000-0000E6680000}"/>
    <cellStyle name="Normal 87 75" xfId="14089" xr:uid="{00000000-0005-0000-0000-0000E7680000}"/>
    <cellStyle name="Normal 87 75 2" xfId="26296" xr:uid="{00000000-0005-0000-0000-0000E8680000}"/>
    <cellStyle name="Normal 87 76" xfId="14090" xr:uid="{00000000-0005-0000-0000-0000E9680000}"/>
    <cellStyle name="Normal 87 76 2" xfId="26297" xr:uid="{00000000-0005-0000-0000-0000EA680000}"/>
    <cellStyle name="Normal 87 77" xfId="14091" xr:uid="{00000000-0005-0000-0000-0000EB680000}"/>
    <cellStyle name="Normal 87 77 2" xfId="26298" xr:uid="{00000000-0005-0000-0000-0000EC680000}"/>
    <cellStyle name="Normal 87 78" xfId="14092" xr:uid="{00000000-0005-0000-0000-0000ED680000}"/>
    <cellStyle name="Normal 87 78 2" xfId="26299" xr:uid="{00000000-0005-0000-0000-0000EE680000}"/>
    <cellStyle name="Normal 87 79" xfId="14093" xr:uid="{00000000-0005-0000-0000-0000EF680000}"/>
    <cellStyle name="Normal 87 79 2" xfId="26300" xr:uid="{00000000-0005-0000-0000-0000F0680000}"/>
    <cellStyle name="Normal 87 8" xfId="14094" xr:uid="{00000000-0005-0000-0000-0000F1680000}"/>
    <cellStyle name="Normal 87 8 2" xfId="26301" xr:uid="{00000000-0005-0000-0000-0000F2680000}"/>
    <cellStyle name="Normal 87 80" xfId="26224" xr:uid="{00000000-0005-0000-0000-0000F3680000}"/>
    <cellStyle name="Normal 87 9" xfId="14095" xr:uid="{00000000-0005-0000-0000-0000F4680000}"/>
    <cellStyle name="Normal 87 9 2" xfId="26302" xr:uid="{00000000-0005-0000-0000-0000F5680000}"/>
    <cellStyle name="Normal 88" xfId="66" xr:uid="{00000000-0005-0000-0000-0000F6680000}"/>
    <cellStyle name="Normal 88 10" xfId="14096" xr:uid="{00000000-0005-0000-0000-0000F7680000}"/>
    <cellStyle name="Normal 88 10 2" xfId="26304" xr:uid="{00000000-0005-0000-0000-0000F8680000}"/>
    <cellStyle name="Normal 88 11" xfId="14097" xr:uid="{00000000-0005-0000-0000-0000F9680000}"/>
    <cellStyle name="Normal 88 11 2" xfId="26305" xr:uid="{00000000-0005-0000-0000-0000FA680000}"/>
    <cellStyle name="Normal 88 12" xfId="14098" xr:uid="{00000000-0005-0000-0000-0000FB680000}"/>
    <cellStyle name="Normal 88 12 2" xfId="26306" xr:uid="{00000000-0005-0000-0000-0000FC680000}"/>
    <cellStyle name="Normal 88 13" xfId="14099" xr:uid="{00000000-0005-0000-0000-0000FD680000}"/>
    <cellStyle name="Normal 88 13 2" xfId="26307" xr:uid="{00000000-0005-0000-0000-0000FE680000}"/>
    <cellStyle name="Normal 88 14" xfId="14100" xr:uid="{00000000-0005-0000-0000-0000FF680000}"/>
    <cellStyle name="Normal 88 14 2" xfId="26308" xr:uid="{00000000-0005-0000-0000-000000690000}"/>
    <cellStyle name="Normal 88 15" xfId="14101" xr:uid="{00000000-0005-0000-0000-000001690000}"/>
    <cellStyle name="Normal 88 15 2" xfId="26309" xr:uid="{00000000-0005-0000-0000-000002690000}"/>
    <cellStyle name="Normal 88 16" xfId="14102" xr:uid="{00000000-0005-0000-0000-000003690000}"/>
    <cellStyle name="Normal 88 16 2" xfId="26310" xr:uid="{00000000-0005-0000-0000-000004690000}"/>
    <cellStyle name="Normal 88 17" xfId="14103" xr:uid="{00000000-0005-0000-0000-000005690000}"/>
    <cellStyle name="Normal 88 17 2" xfId="26311" xr:uid="{00000000-0005-0000-0000-000006690000}"/>
    <cellStyle name="Normal 88 18" xfId="14104" xr:uid="{00000000-0005-0000-0000-000007690000}"/>
    <cellStyle name="Normal 88 18 2" xfId="26312" xr:uid="{00000000-0005-0000-0000-000008690000}"/>
    <cellStyle name="Normal 88 19" xfId="14105" xr:uid="{00000000-0005-0000-0000-000009690000}"/>
    <cellStyle name="Normal 88 19 2" xfId="26313" xr:uid="{00000000-0005-0000-0000-00000A690000}"/>
    <cellStyle name="Normal 88 2" xfId="268" xr:uid="{00000000-0005-0000-0000-00000B690000}"/>
    <cellStyle name="Normal 88 2 2" xfId="26314" xr:uid="{00000000-0005-0000-0000-00000C690000}"/>
    <cellStyle name="Normal 88 2 3" xfId="14106" xr:uid="{00000000-0005-0000-0000-00000D690000}"/>
    <cellStyle name="Normal 88 20" xfId="14107" xr:uid="{00000000-0005-0000-0000-00000E690000}"/>
    <cellStyle name="Normal 88 20 2" xfId="26315" xr:uid="{00000000-0005-0000-0000-00000F690000}"/>
    <cellStyle name="Normal 88 21" xfId="14108" xr:uid="{00000000-0005-0000-0000-000010690000}"/>
    <cellStyle name="Normal 88 21 2" xfId="26316" xr:uid="{00000000-0005-0000-0000-000011690000}"/>
    <cellStyle name="Normal 88 22" xfId="14109" xr:uid="{00000000-0005-0000-0000-000012690000}"/>
    <cellStyle name="Normal 88 22 2" xfId="26317" xr:uid="{00000000-0005-0000-0000-000013690000}"/>
    <cellStyle name="Normal 88 23" xfId="14110" xr:uid="{00000000-0005-0000-0000-000014690000}"/>
    <cellStyle name="Normal 88 23 2" xfId="26318" xr:uid="{00000000-0005-0000-0000-000015690000}"/>
    <cellStyle name="Normal 88 24" xfId="14111" xr:uid="{00000000-0005-0000-0000-000016690000}"/>
    <cellStyle name="Normal 88 24 2" xfId="26319" xr:uid="{00000000-0005-0000-0000-000017690000}"/>
    <cellStyle name="Normal 88 25" xfId="14112" xr:uid="{00000000-0005-0000-0000-000018690000}"/>
    <cellStyle name="Normal 88 25 2" xfId="26320" xr:uid="{00000000-0005-0000-0000-000019690000}"/>
    <cellStyle name="Normal 88 26" xfId="14113" xr:uid="{00000000-0005-0000-0000-00001A690000}"/>
    <cellStyle name="Normal 88 26 2" xfId="26321" xr:uid="{00000000-0005-0000-0000-00001B690000}"/>
    <cellStyle name="Normal 88 27" xfId="14114" xr:uid="{00000000-0005-0000-0000-00001C690000}"/>
    <cellStyle name="Normal 88 27 2" xfId="26322" xr:uid="{00000000-0005-0000-0000-00001D690000}"/>
    <cellStyle name="Normal 88 28" xfId="14115" xr:uid="{00000000-0005-0000-0000-00001E690000}"/>
    <cellStyle name="Normal 88 28 2" xfId="26323" xr:uid="{00000000-0005-0000-0000-00001F690000}"/>
    <cellStyle name="Normal 88 29" xfId="14116" xr:uid="{00000000-0005-0000-0000-000020690000}"/>
    <cellStyle name="Normal 88 29 2" xfId="26324" xr:uid="{00000000-0005-0000-0000-000021690000}"/>
    <cellStyle name="Normal 88 3" xfId="429" xr:uid="{00000000-0005-0000-0000-000022690000}"/>
    <cellStyle name="Normal 88 3 2" xfId="26325" xr:uid="{00000000-0005-0000-0000-000023690000}"/>
    <cellStyle name="Normal 88 30" xfId="14117" xr:uid="{00000000-0005-0000-0000-000024690000}"/>
    <cellStyle name="Normal 88 30 2" xfId="26326" xr:uid="{00000000-0005-0000-0000-000025690000}"/>
    <cellStyle name="Normal 88 31" xfId="14118" xr:uid="{00000000-0005-0000-0000-000026690000}"/>
    <cellStyle name="Normal 88 31 2" xfId="26327" xr:uid="{00000000-0005-0000-0000-000027690000}"/>
    <cellStyle name="Normal 88 32" xfId="14119" xr:uid="{00000000-0005-0000-0000-000028690000}"/>
    <cellStyle name="Normal 88 32 2" xfId="26328" xr:uid="{00000000-0005-0000-0000-000029690000}"/>
    <cellStyle name="Normal 88 33" xfId="14120" xr:uid="{00000000-0005-0000-0000-00002A690000}"/>
    <cellStyle name="Normal 88 33 2" xfId="26329" xr:uid="{00000000-0005-0000-0000-00002B690000}"/>
    <cellStyle name="Normal 88 34" xfId="14121" xr:uid="{00000000-0005-0000-0000-00002C690000}"/>
    <cellStyle name="Normal 88 34 2" xfId="26330" xr:uid="{00000000-0005-0000-0000-00002D690000}"/>
    <cellStyle name="Normal 88 35" xfId="14122" xr:uid="{00000000-0005-0000-0000-00002E690000}"/>
    <cellStyle name="Normal 88 35 2" xfId="26331" xr:uid="{00000000-0005-0000-0000-00002F690000}"/>
    <cellStyle name="Normal 88 36" xfId="14123" xr:uid="{00000000-0005-0000-0000-000030690000}"/>
    <cellStyle name="Normal 88 36 2" xfId="26332" xr:uid="{00000000-0005-0000-0000-000031690000}"/>
    <cellStyle name="Normal 88 37" xfId="14124" xr:uid="{00000000-0005-0000-0000-000032690000}"/>
    <cellStyle name="Normal 88 37 2" xfId="26333" xr:uid="{00000000-0005-0000-0000-000033690000}"/>
    <cellStyle name="Normal 88 38" xfId="14125" xr:uid="{00000000-0005-0000-0000-000034690000}"/>
    <cellStyle name="Normal 88 38 2" xfId="26334" xr:uid="{00000000-0005-0000-0000-000035690000}"/>
    <cellStyle name="Normal 88 39" xfId="14126" xr:uid="{00000000-0005-0000-0000-000036690000}"/>
    <cellStyle name="Normal 88 39 2" xfId="26335" xr:uid="{00000000-0005-0000-0000-000037690000}"/>
    <cellStyle name="Normal 88 4" xfId="214" xr:uid="{00000000-0005-0000-0000-000038690000}"/>
    <cellStyle name="Normal 88 4 2" xfId="26336" xr:uid="{00000000-0005-0000-0000-000039690000}"/>
    <cellStyle name="Normal 88 4 3" xfId="14127" xr:uid="{00000000-0005-0000-0000-00003A690000}"/>
    <cellStyle name="Normal 88 40" xfId="14128" xr:uid="{00000000-0005-0000-0000-00003B690000}"/>
    <cellStyle name="Normal 88 40 2" xfId="26337" xr:uid="{00000000-0005-0000-0000-00003C690000}"/>
    <cellStyle name="Normal 88 41" xfId="14129" xr:uid="{00000000-0005-0000-0000-00003D690000}"/>
    <cellStyle name="Normal 88 41 2" xfId="26338" xr:uid="{00000000-0005-0000-0000-00003E690000}"/>
    <cellStyle name="Normal 88 42" xfId="14130" xr:uid="{00000000-0005-0000-0000-00003F690000}"/>
    <cellStyle name="Normal 88 42 2" xfId="26339" xr:uid="{00000000-0005-0000-0000-000040690000}"/>
    <cellStyle name="Normal 88 43" xfId="14131" xr:uid="{00000000-0005-0000-0000-000041690000}"/>
    <cellStyle name="Normal 88 43 2" xfId="26340" xr:uid="{00000000-0005-0000-0000-000042690000}"/>
    <cellStyle name="Normal 88 44" xfId="14132" xr:uid="{00000000-0005-0000-0000-000043690000}"/>
    <cellStyle name="Normal 88 44 2" xfId="26341" xr:uid="{00000000-0005-0000-0000-000044690000}"/>
    <cellStyle name="Normal 88 45" xfId="14133" xr:uid="{00000000-0005-0000-0000-000045690000}"/>
    <cellStyle name="Normal 88 45 2" xfId="26342" xr:uid="{00000000-0005-0000-0000-000046690000}"/>
    <cellStyle name="Normal 88 46" xfId="14134" xr:uid="{00000000-0005-0000-0000-000047690000}"/>
    <cellStyle name="Normal 88 46 2" xfId="26343" xr:uid="{00000000-0005-0000-0000-000048690000}"/>
    <cellStyle name="Normal 88 47" xfId="14135" xr:uid="{00000000-0005-0000-0000-000049690000}"/>
    <cellStyle name="Normal 88 47 2" xfId="26344" xr:uid="{00000000-0005-0000-0000-00004A690000}"/>
    <cellStyle name="Normal 88 48" xfId="14136" xr:uid="{00000000-0005-0000-0000-00004B690000}"/>
    <cellStyle name="Normal 88 48 2" xfId="26345" xr:uid="{00000000-0005-0000-0000-00004C690000}"/>
    <cellStyle name="Normal 88 49" xfId="14137" xr:uid="{00000000-0005-0000-0000-00004D690000}"/>
    <cellStyle name="Normal 88 49 2" xfId="26346" xr:uid="{00000000-0005-0000-0000-00004E690000}"/>
    <cellStyle name="Normal 88 5" xfId="14138" xr:uid="{00000000-0005-0000-0000-00004F690000}"/>
    <cellStyle name="Normal 88 5 2" xfId="26347" xr:uid="{00000000-0005-0000-0000-000050690000}"/>
    <cellStyle name="Normal 88 50" xfId="14139" xr:uid="{00000000-0005-0000-0000-000051690000}"/>
    <cellStyle name="Normal 88 50 2" xfId="26348" xr:uid="{00000000-0005-0000-0000-000052690000}"/>
    <cellStyle name="Normal 88 51" xfId="14140" xr:uid="{00000000-0005-0000-0000-000053690000}"/>
    <cellStyle name="Normal 88 51 2" xfId="26349" xr:uid="{00000000-0005-0000-0000-000054690000}"/>
    <cellStyle name="Normal 88 52" xfId="14141" xr:uid="{00000000-0005-0000-0000-000055690000}"/>
    <cellStyle name="Normal 88 52 2" xfId="26350" xr:uid="{00000000-0005-0000-0000-000056690000}"/>
    <cellStyle name="Normal 88 53" xfId="14142" xr:uid="{00000000-0005-0000-0000-000057690000}"/>
    <cellStyle name="Normal 88 53 2" xfId="26351" xr:uid="{00000000-0005-0000-0000-000058690000}"/>
    <cellStyle name="Normal 88 54" xfId="14143" xr:uid="{00000000-0005-0000-0000-000059690000}"/>
    <cellStyle name="Normal 88 54 2" xfId="26352" xr:uid="{00000000-0005-0000-0000-00005A690000}"/>
    <cellStyle name="Normal 88 55" xfId="14144" xr:uid="{00000000-0005-0000-0000-00005B690000}"/>
    <cellStyle name="Normal 88 55 2" xfId="26353" xr:uid="{00000000-0005-0000-0000-00005C690000}"/>
    <cellStyle name="Normal 88 56" xfId="14145" xr:uid="{00000000-0005-0000-0000-00005D690000}"/>
    <cellStyle name="Normal 88 56 2" xfId="26354" xr:uid="{00000000-0005-0000-0000-00005E690000}"/>
    <cellStyle name="Normal 88 57" xfId="14146" xr:uid="{00000000-0005-0000-0000-00005F690000}"/>
    <cellStyle name="Normal 88 57 2" xfId="26355" xr:uid="{00000000-0005-0000-0000-000060690000}"/>
    <cellStyle name="Normal 88 58" xfId="14147" xr:uid="{00000000-0005-0000-0000-000061690000}"/>
    <cellStyle name="Normal 88 58 2" xfId="26356" xr:uid="{00000000-0005-0000-0000-000062690000}"/>
    <cellStyle name="Normal 88 59" xfId="14148" xr:uid="{00000000-0005-0000-0000-000063690000}"/>
    <cellStyle name="Normal 88 59 2" xfId="26357" xr:uid="{00000000-0005-0000-0000-000064690000}"/>
    <cellStyle name="Normal 88 6" xfId="14149" xr:uid="{00000000-0005-0000-0000-000065690000}"/>
    <cellStyle name="Normal 88 6 2" xfId="26358" xr:uid="{00000000-0005-0000-0000-000066690000}"/>
    <cellStyle name="Normal 88 60" xfId="14150" xr:uid="{00000000-0005-0000-0000-000067690000}"/>
    <cellStyle name="Normal 88 60 2" xfId="26359" xr:uid="{00000000-0005-0000-0000-000068690000}"/>
    <cellStyle name="Normal 88 61" xfId="14151" xr:uid="{00000000-0005-0000-0000-000069690000}"/>
    <cellStyle name="Normal 88 61 2" xfId="26360" xr:uid="{00000000-0005-0000-0000-00006A690000}"/>
    <cellStyle name="Normal 88 62" xfId="14152" xr:uid="{00000000-0005-0000-0000-00006B690000}"/>
    <cellStyle name="Normal 88 62 2" xfId="26361" xr:uid="{00000000-0005-0000-0000-00006C690000}"/>
    <cellStyle name="Normal 88 63" xfId="14153" xr:uid="{00000000-0005-0000-0000-00006D690000}"/>
    <cellStyle name="Normal 88 63 2" xfId="26362" xr:uid="{00000000-0005-0000-0000-00006E690000}"/>
    <cellStyle name="Normal 88 64" xfId="14154" xr:uid="{00000000-0005-0000-0000-00006F690000}"/>
    <cellStyle name="Normal 88 64 2" xfId="26363" xr:uid="{00000000-0005-0000-0000-000070690000}"/>
    <cellStyle name="Normal 88 65" xfId="14155" xr:uid="{00000000-0005-0000-0000-000071690000}"/>
    <cellStyle name="Normal 88 65 2" xfId="26364" xr:uid="{00000000-0005-0000-0000-000072690000}"/>
    <cellStyle name="Normal 88 66" xfId="14156" xr:uid="{00000000-0005-0000-0000-000073690000}"/>
    <cellStyle name="Normal 88 66 2" xfId="26365" xr:uid="{00000000-0005-0000-0000-000074690000}"/>
    <cellStyle name="Normal 88 67" xfId="14157" xr:uid="{00000000-0005-0000-0000-000075690000}"/>
    <cellStyle name="Normal 88 67 2" xfId="26366" xr:uid="{00000000-0005-0000-0000-000076690000}"/>
    <cellStyle name="Normal 88 68" xfId="14158" xr:uid="{00000000-0005-0000-0000-000077690000}"/>
    <cellStyle name="Normal 88 68 2" xfId="26367" xr:uid="{00000000-0005-0000-0000-000078690000}"/>
    <cellStyle name="Normal 88 69" xfId="14159" xr:uid="{00000000-0005-0000-0000-000079690000}"/>
    <cellStyle name="Normal 88 69 2" xfId="26368" xr:uid="{00000000-0005-0000-0000-00007A690000}"/>
    <cellStyle name="Normal 88 7" xfId="14160" xr:uid="{00000000-0005-0000-0000-00007B690000}"/>
    <cellStyle name="Normal 88 7 2" xfId="26369" xr:uid="{00000000-0005-0000-0000-00007C690000}"/>
    <cellStyle name="Normal 88 70" xfId="14161" xr:uid="{00000000-0005-0000-0000-00007D690000}"/>
    <cellStyle name="Normal 88 70 2" xfId="26370" xr:uid="{00000000-0005-0000-0000-00007E690000}"/>
    <cellStyle name="Normal 88 71" xfId="14162" xr:uid="{00000000-0005-0000-0000-00007F690000}"/>
    <cellStyle name="Normal 88 71 2" xfId="26371" xr:uid="{00000000-0005-0000-0000-000080690000}"/>
    <cellStyle name="Normal 88 72" xfId="14163" xr:uid="{00000000-0005-0000-0000-000081690000}"/>
    <cellStyle name="Normal 88 72 2" xfId="26372" xr:uid="{00000000-0005-0000-0000-000082690000}"/>
    <cellStyle name="Normal 88 73" xfId="14164" xr:uid="{00000000-0005-0000-0000-000083690000}"/>
    <cellStyle name="Normal 88 73 2" xfId="26373" xr:uid="{00000000-0005-0000-0000-000084690000}"/>
    <cellStyle name="Normal 88 74" xfId="14165" xr:uid="{00000000-0005-0000-0000-000085690000}"/>
    <cellStyle name="Normal 88 74 2" xfId="26374" xr:uid="{00000000-0005-0000-0000-000086690000}"/>
    <cellStyle name="Normal 88 75" xfId="14166" xr:uid="{00000000-0005-0000-0000-000087690000}"/>
    <cellStyle name="Normal 88 75 2" xfId="26375" xr:uid="{00000000-0005-0000-0000-000088690000}"/>
    <cellStyle name="Normal 88 76" xfId="14167" xr:uid="{00000000-0005-0000-0000-000089690000}"/>
    <cellStyle name="Normal 88 76 2" xfId="26376" xr:uid="{00000000-0005-0000-0000-00008A690000}"/>
    <cellStyle name="Normal 88 77" xfId="14168" xr:uid="{00000000-0005-0000-0000-00008B690000}"/>
    <cellStyle name="Normal 88 77 2" xfId="26377" xr:uid="{00000000-0005-0000-0000-00008C690000}"/>
    <cellStyle name="Normal 88 78" xfId="14169" xr:uid="{00000000-0005-0000-0000-00008D690000}"/>
    <cellStyle name="Normal 88 78 2" xfId="26378" xr:uid="{00000000-0005-0000-0000-00008E690000}"/>
    <cellStyle name="Normal 88 79" xfId="14170" xr:uid="{00000000-0005-0000-0000-00008F690000}"/>
    <cellStyle name="Normal 88 79 2" xfId="26379" xr:uid="{00000000-0005-0000-0000-000090690000}"/>
    <cellStyle name="Normal 88 8" xfId="14171" xr:uid="{00000000-0005-0000-0000-000091690000}"/>
    <cellStyle name="Normal 88 8 2" xfId="26380" xr:uid="{00000000-0005-0000-0000-000092690000}"/>
    <cellStyle name="Normal 88 80" xfId="26303" xr:uid="{00000000-0005-0000-0000-000093690000}"/>
    <cellStyle name="Normal 88 9" xfId="14172" xr:uid="{00000000-0005-0000-0000-000094690000}"/>
    <cellStyle name="Normal 88 9 2" xfId="26381" xr:uid="{00000000-0005-0000-0000-000095690000}"/>
    <cellStyle name="Normal 89" xfId="215" xr:uid="{00000000-0005-0000-0000-000096690000}"/>
    <cellStyle name="Normal 89 10" xfId="14173" xr:uid="{00000000-0005-0000-0000-000097690000}"/>
    <cellStyle name="Normal 89 10 2" xfId="26383" xr:uid="{00000000-0005-0000-0000-000098690000}"/>
    <cellStyle name="Normal 89 11" xfId="14174" xr:uid="{00000000-0005-0000-0000-000099690000}"/>
    <cellStyle name="Normal 89 11 2" xfId="26384" xr:uid="{00000000-0005-0000-0000-00009A690000}"/>
    <cellStyle name="Normal 89 12" xfId="14175" xr:uid="{00000000-0005-0000-0000-00009B690000}"/>
    <cellStyle name="Normal 89 12 2" xfId="26385" xr:uid="{00000000-0005-0000-0000-00009C690000}"/>
    <cellStyle name="Normal 89 13" xfId="14176" xr:uid="{00000000-0005-0000-0000-00009D690000}"/>
    <cellStyle name="Normal 89 13 2" xfId="26386" xr:uid="{00000000-0005-0000-0000-00009E690000}"/>
    <cellStyle name="Normal 89 14" xfId="14177" xr:uid="{00000000-0005-0000-0000-00009F690000}"/>
    <cellStyle name="Normal 89 14 2" xfId="26387" xr:uid="{00000000-0005-0000-0000-0000A0690000}"/>
    <cellStyle name="Normal 89 15" xfId="14178" xr:uid="{00000000-0005-0000-0000-0000A1690000}"/>
    <cellStyle name="Normal 89 15 2" xfId="26388" xr:uid="{00000000-0005-0000-0000-0000A2690000}"/>
    <cellStyle name="Normal 89 16" xfId="14179" xr:uid="{00000000-0005-0000-0000-0000A3690000}"/>
    <cellStyle name="Normal 89 16 2" xfId="26389" xr:uid="{00000000-0005-0000-0000-0000A4690000}"/>
    <cellStyle name="Normal 89 17" xfId="14180" xr:uid="{00000000-0005-0000-0000-0000A5690000}"/>
    <cellStyle name="Normal 89 17 2" xfId="26390" xr:uid="{00000000-0005-0000-0000-0000A6690000}"/>
    <cellStyle name="Normal 89 18" xfId="14181" xr:uid="{00000000-0005-0000-0000-0000A7690000}"/>
    <cellStyle name="Normal 89 18 2" xfId="26391" xr:uid="{00000000-0005-0000-0000-0000A8690000}"/>
    <cellStyle name="Normal 89 19" xfId="14182" xr:uid="{00000000-0005-0000-0000-0000A9690000}"/>
    <cellStyle name="Normal 89 19 2" xfId="26392" xr:uid="{00000000-0005-0000-0000-0000AA690000}"/>
    <cellStyle name="Normal 89 2" xfId="269" xr:uid="{00000000-0005-0000-0000-0000AB690000}"/>
    <cellStyle name="Normal 89 2 2" xfId="26393" xr:uid="{00000000-0005-0000-0000-0000AC690000}"/>
    <cellStyle name="Normal 89 2 3" xfId="14183" xr:uid="{00000000-0005-0000-0000-0000AD690000}"/>
    <cellStyle name="Normal 89 20" xfId="14184" xr:uid="{00000000-0005-0000-0000-0000AE690000}"/>
    <cellStyle name="Normal 89 20 2" xfId="26394" xr:uid="{00000000-0005-0000-0000-0000AF690000}"/>
    <cellStyle name="Normal 89 21" xfId="14185" xr:uid="{00000000-0005-0000-0000-0000B0690000}"/>
    <cellStyle name="Normal 89 21 2" xfId="26395" xr:uid="{00000000-0005-0000-0000-0000B1690000}"/>
    <cellStyle name="Normal 89 22" xfId="14186" xr:uid="{00000000-0005-0000-0000-0000B2690000}"/>
    <cellStyle name="Normal 89 22 2" xfId="26396" xr:uid="{00000000-0005-0000-0000-0000B3690000}"/>
    <cellStyle name="Normal 89 23" xfId="14187" xr:uid="{00000000-0005-0000-0000-0000B4690000}"/>
    <cellStyle name="Normal 89 23 2" xfId="26397" xr:uid="{00000000-0005-0000-0000-0000B5690000}"/>
    <cellStyle name="Normal 89 24" xfId="14188" xr:uid="{00000000-0005-0000-0000-0000B6690000}"/>
    <cellStyle name="Normal 89 24 2" xfId="26398" xr:uid="{00000000-0005-0000-0000-0000B7690000}"/>
    <cellStyle name="Normal 89 25" xfId="14189" xr:uid="{00000000-0005-0000-0000-0000B8690000}"/>
    <cellStyle name="Normal 89 25 2" xfId="26399" xr:uid="{00000000-0005-0000-0000-0000B9690000}"/>
    <cellStyle name="Normal 89 26" xfId="14190" xr:uid="{00000000-0005-0000-0000-0000BA690000}"/>
    <cellStyle name="Normal 89 26 2" xfId="26400" xr:uid="{00000000-0005-0000-0000-0000BB690000}"/>
    <cellStyle name="Normal 89 27" xfId="14191" xr:uid="{00000000-0005-0000-0000-0000BC690000}"/>
    <cellStyle name="Normal 89 27 2" xfId="26401" xr:uid="{00000000-0005-0000-0000-0000BD690000}"/>
    <cellStyle name="Normal 89 28" xfId="14192" xr:uid="{00000000-0005-0000-0000-0000BE690000}"/>
    <cellStyle name="Normal 89 28 2" xfId="26402" xr:uid="{00000000-0005-0000-0000-0000BF690000}"/>
    <cellStyle name="Normal 89 29" xfId="14193" xr:uid="{00000000-0005-0000-0000-0000C0690000}"/>
    <cellStyle name="Normal 89 29 2" xfId="26403" xr:uid="{00000000-0005-0000-0000-0000C1690000}"/>
    <cellStyle name="Normal 89 3" xfId="430" xr:uid="{00000000-0005-0000-0000-0000C2690000}"/>
    <cellStyle name="Normal 89 3 2" xfId="26404" xr:uid="{00000000-0005-0000-0000-0000C3690000}"/>
    <cellStyle name="Normal 89 30" xfId="14194" xr:uid="{00000000-0005-0000-0000-0000C4690000}"/>
    <cellStyle name="Normal 89 30 2" xfId="26405" xr:uid="{00000000-0005-0000-0000-0000C5690000}"/>
    <cellStyle name="Normal 89 31" xfId="14195" xr:uid="{00000000-0005-0000-0000-0000C6690000}"/>
    <cellStyle name="Normal 89 31 2" xfId="26406" xr:uid="{00000000-0005-0000-0000-0000C7690000}"/>
    <cellStyle name="Normal 89 32" xfId="14196" xr:uid="{00000000-0005-0000-0000-0000C8690000}"/>
    <cellStyle name="Normal 89 32 2" xfId="26407" xr:uid="{00000000-0005-0000-0000-0000C9690000}"/>
    <cellStyle name="Normal 89 33" xfId="14197" xr:uid="{00000000-0005-0000-0000-0000CA690000}"/>
    <cellStyle name="Normal 89 33 2" xfId="26408" xr:uid="{00000000-0005-0000-0000-0000CB690000}"/>
    <cellStyle name="Normal 89 34" xfId="14198" xr:uid="{00000000-0005-0000-0000-0000CC690000}"/>
    <cellStyle name="Normal 89 34 2" xfId="26409" xr:uid="{00000000-0005-0000-0000-0000CD690000}"/>
    <cellStyle name="Normal 89 35" xfId="14199" xr:uid="{00000000-0005-0000-0000-0000CE690000}"/>
    <cellStyle name="Normal 89 35 2" xfId="26410" xr:uid="{00000000-0005-0000-0000-0000CF690000}"/>
    <cellStyle name="Normal 89 36" xfId="14200" xr:uid="{00000000-0005-0000-0000-0000D0690000}"/>
    <cellStyle name="Normal 89 36 2" xfId="26411" xr:uid="{00000000-0005-0000-0000-0000D1690000}"/>
    <cellStyle name="Normal 89 37" xfId="14201" xr:uid="{00000000-0005-0000-0000-0000D2690000}"/>
    <cellStyle name="Normal 89 37 2" xfId="26412" xr:uid="{00000000-0005-0000-0000-0000D3690000}"/>
    <cellStyle name="Normal 89 38" xfId="14202" xr:uid="{00000000-0005-0000-0000-0000D4690000}"/>
    <cellStyle name="Normal 89 38 2" xfId="26413" xr:uid="{00000000-0005-0000-0000-0000D5690000}"/>
    <cellStyle name="Normal 89 39" xfId="14203" xr:uid="{00000000-0005-0000-0000-0000D6690000}"/>
    <cellStyle name="Normal 89 39 2" xfId="26414" xr:uid="{00000000-0005-0000-0000-0000D7690000}"/>
    <cellStyle name="Normal 89 4" xfId="14204" xr:uid="{00000000-0005-0000-0000-0000D8690000}"/>
    <cellStyle name="Normal 89 4 2" xfId="26415" xr:uid="{00000000-0005-0000-0000-0000D9690000}"/>
    <cellStyle name="Normal 89 40" xfId="14205" xr:uid="{00000000-0005-0000-0000-0000DA690000}"/>
    <cellStyle name="Normal 89 40 2" xfId="26416" xr:uid="{00000000-0005-0000-0000-0000DB690000}"/>
    <cellStyle name="Normal 89 41" xfId="14206" xr:uid="{00000000-0005-0000-0000-0000DC690000}"/>
    <cellStyle name="Normal 89 41 2" xfId="26417" xr:uid="{00000000-0005-0000-0000-0000DD690000}"/>
    <cellStyle name="Normal 89 42" xfId="14207" xr:uid="{00000000-0005-0000-0000-0000DE690000}"/>
    <cellStyle name="Normal 89 42 2" xfId="26418" xr:uid="{00000000-0005-0000-0000-0000DF690000}"/>
    <cellStyle name="Normal 89 43" xfId="14208" xr:uid="{00000000-0005-0000-0000-0000E0690000}"/>
    <cellStyle name="Normal 89 43 2" xfId="26419" xr:uid="{00000000-0005-0000-0000-0000E1690000}"/>
    <cellStyle name="Normal 89 44" xfId="14209" xr:uid="{00000000-0005-0000-0000-0000E2690000}"/>
    <cellStyle name="Normal 89 44 2" xfId="26420" xr:uid="{00000000-0005-0000-0000-0000E3690000}"/>
    <cellStyle name="Normal 89 45" xfId="14210" xr:uid="{00000000-0005-0000-0000-0000E4690000}"/>
    <cellStyle name="Normal 89 45 2" xfId="26421" xr:uid="{00000000-0005-0000-0000-0000E5690000}"/>
    <cellStyle name="Normal 89 46" xfId="14211" xr:uid="{00000000-0005-0000-0000-0000E6690000}"/>
    <cellStyle name="Normal 89 46 2" xfId="26422" xr:uid="{00000000-0005-0000-0000-0000E7690000}"/>
    <cellStyle name="Normal 89 47" xfId="14212" xr:uid="{00000000-0005-0000-0000-0000E8690000}"/>
    <cellStyle name="Normal 89 47 2" xfId="26423" xr:uid="{00000000-0005-0000-0000-0000E9690000}"/>
    <cellStyle name="Normal 89 48" xfId="14213" xr:uid="{00000000-0005-0000-0000-0000EA690000}"/>
    <cellStyle name="Normal 89 48 2" xfId="26424" xr:uid="{00000000-0005-0000-0000-0000EB690000}"/>
    <cellStyle name="Normal 89 49" xfId="14214" xr:uid="{00000000-0005-0000-0000-0000EC690000}"/>
    <cellStyle name="Normal 89 49 2" xfId="26425" xr:uid="{00000000-0005-0000-0000-0000ED690000}"/>
    <cellStyle name="Normal 89 5" xfId="14215" xr:uid="{00000000-0005-0000-0000-0000EE690000}"/>
    <cellStyle name="Normal 89 5 2" xfId="26426" xr:uid="{00000000-0005-0000-0000-0000EF690000}"/>
    <cellStyle name="Normal 89 50" xfId="14216" xr:uid="{00000000-0005-0000-0000-0000F0690000}"/>
    <cellStyle name="Normal 89 50 2" xfId="26427" xr:uid="{00000000-0005-0000-0000-0000F1690000}"/>
    <cellStyle name="Normal 89 51" xfId="14217" xr:uid="{00000000-0005-0000-0000-0000F2690000}"/>
    <cellStyle name="Normal 89 51 2" xfId="26428" xr:uid="{00000000-0005-0000-0000-0000F3690000}"/>
    <cellStyle name="Normal 89 52" xfId="14218" xr:uid="{00000000-0005-0000-0000-0000F4690000}"/>
    <cellStyle name="Normal 89 52 2" xfId="26429" xr:uid="{00000000-0005-0000-0000-0000F5690000}"/>
    <cellStyle name="Normal 89 53" xfId="14219" xr:uid="{00000000-0005-0000-0000-0000F6690000}"/>
    <cellStyle name="Normal 89 53 2" xfId="26430" xr:uid="{00000000-0005-0000-0000-0000F7690000}"/>
    <cellStyle name="Normal 89 54" xfId="14220" xr:uid="{00000000-0005-0000-0000-0000F8690000}"/>
    <cellStyle name="Normal 89 54 2" xfId="26431" xr:uid="{00000000-0005-0000-0000-0000F9690000}"/>
    <cellStyle name="Normal 89 55" xfId="14221" xr:uid="{00000000-0005-0000-0000-0000FA690000}"/>
    <cellStyle name="Normal 89 55 2" xfId="26432" xr:uid="{00000000-0005-0000-0000-0000FB690000}"/>
    <cellStyle name="Normal 89 56" xfId="14222" xr:uid="{00000000-0005-0000-0000-0000FC690000}"/>
    <cellStyle name="Normal 89 56 2" xfId="26433" xr:uid="{00000000-0005-0000-0000-0000FD690000}"/>
    <cellStyle name="Normal 89 57" xfId="14223" xr:uid="{00000000-0005-0000-0000-0000FE690000}"/>
    <cellStyle name="Normal 89 57 2" xfId="26434" xr:uid="{00000000-0005-0000-0000-0000FF690000}"/>
    <cellStyle name="Normal 89 58" xfId="14224" xr:uid="{00000000-0005-0000-0000-0000006A0000}"/>
    <cellStyle name="Normal 89 58 2" xfId="26435" xr:uid="{00000000-0005-0000-0000-0000016A0000}"/>
    <cellStyle name="Normal 89 59" xfId="14225" xr:uid="{00000000-0005-0000-0000-0000026A0000}"/>
    <cellStyle name="Normal 89 59 2" xfId="26436" xr:uid="{00000000-0005-0000-0000-0000036A0000}"/>
    <cellStyle name="Normal 89 6" xfId="14226" xr:uid="{00000000-0005-0000-0000-0000046A0000}"/>
    <cellStyle name="Normal 89 6 2" xfId="26437" xr:uid="{00000000-0005-0000-0000-0000056A0000}"/>
    <cellStyle name="Normal 89 60" xfId="14227" xr:uid="{00000000-0005-0000-0000-0000066A0000}"/>
    <cellStyle name="Normal 89 60 2" xfId="26438" xr:uid="{00000000-0005-0000-0000-0000076A0000}"/>
    <cellStyle name="Normal 89 61" xfId="14228" xr:uid="{00000000-0005-0000-0000-0000086A0000}"/>
    <cellStyle name="Normal 89 61 2" xfId="26439" xr:uid="{00000000-0005-0000-0000-0000096A0000}"/>
    <cellStyle name="Normal 89 62" xfId="14229" xr:uid="{00000000-0005-0000-0000-00000A6A0000}"/>
    <cellStyle name="Normal 89 62 2" xfId="26440" xr:uid="{00000000-0005-0000-0000-00000B6A0000}"/>
    <cellStyle name="Normal 89 63" xfId="14230" xr:uid="{00000000-0005-0000-0000-00000C6A0000}"/>
    <cellStyle name="Normal 89 63 2" xfId="26441" xr:uid="{00000000-0005-0000-0000-00000D6A0000}"/>
    <cellStyle name="Normal 89 64" xfId="14231" xr:uid="{00000000-0005-0000-0000-00000E6A0000}"/>
    <cellStyle name="Normal 89 64 2" xfId="26442" xr:uid="{00000000-0005-0000-0000-00000F6A0000}"/>
    <cellStyle name="Normal 89 65" xfId="14232" xr:uid="{00000000-0005-0000-0000-0000106A0000}"/>
    <cellStyle name="Normal 89 65 2" xfId="26443" xr:uid="{00000000-0005-0000-0000-0000116A0000}"/>
    <cellStyle name="Normal 89 66" xfId="14233" xr:uid="{00000000-0005-0000-0000-0000126A0000}"/>
    <cellStyle name="Normal 89 66 2" xfId="26444" xr:uid="{00000000-0005-0000-0000-0000136A0000}"/>
    <cellStyle name="Normal 89 67" xfId="14234" xr:uid="{00000000-0005-0000-0000-0000146A0000}"/>
    <cellStyle name="Normal 89 67 2" xfId="26445" xr:uid="{00000000-0005-0000-0000-0000156A0000}"/>
    <cellStyle name="Normal 89 68" xfId="14235" xr:uid="{00000000-0005-0000-0000-0000166A0000}"/>
    <cellStyle name="Normal 89 68 2" xfId="26446" xr:uid="{00000000-0005-0000-0000-0000176A0000}"/>
    <cellStyle name="Normal 89 69" xfId="14236" xr:uid="{00000000-0005-0000-0000-0000186A0000}"/>
    <cellStyle name="Normal 89 69 2" xfId="26447" xr:uid="{00000000-0005-0000-0000-0000196A0000}"/>
    <cellStyle name="Normal 89 7" xfId="14237" xr:uid="{00000000-0005-0000-0000-00001A6A0000}"/>
    <cellStyle name="Normal 89 7 2" xfId="26448" xr:uid="{00000000-0005-0000-0000-00001B6A0000}"/>
    <cellStyle name="Normal 89 70" xfId="14238" xr:uid="{00000000-0005-0000-0000-00001C6A0000}"/>
    <cellStyle name="Normal 89 70 2" xfId="26449" xr:uid="{00000000-0005-0000-0000-00001D6A0000}"/>
    <cellStyle name="Normal 89 71" xfId="14239" xr:uid="{00000000-0005-0000-0000-00001E6A0000}"/>
    <cellStyle name="Normal 89 71 2" xfId="26450" xr:uid="{00000000-0005-0000-0000-00001F6A0000}"/>
    <cellStyle name="Normal 89 72" xfId="14240" xr:uid="{00000000-0005-0000-0000-0000206A0000}"/>
    <cellStyle name="Normal 89 72 2" xfId="26451" xr:uid="{00000000-0005-0000-0000-0000216A0000}"/>
    <cellStyle name="Normal 89 73" xfId="14241" xr:uid="{00000000-0005-0000-0000-0000226A0000}"/>
    <cellStyle name="Normal 89 73 2" xfId="26452" xr:uid="{00000000-0005-0000-0000-0000236A0000}"/>
    <cellStyle name="Normal 89 74" xfId="14242" xr:uid="{00000000-0005-0000-0000-0000246A0000}"/>
    <cellStyle name="Normal 89 74 2" xfId="26453" xr:uid="{00000000-0005-0000-0000-0000256A0000}"/>
    <cellStyle name="Normal 89 75" xfId="14243" xr:uid="{00000000-0005-0000-0000-0000266A0000}"/>
    <cellStyle name="Normal 89 75 2" xfId="26454" xr:uid="{00000000-0005-0000-0000-0000276A0000}"/>
    <cellStyle name="Normal 89 76" xfId="14244" xr:uid="{00000000-0005-0000-0000-0000286A0000}"/>
    <cellStyle name="Normal 89 76 2" xfId="26455" xr:uid="{00000000-0005-0000-0000-0000296A0000}"/>
    <cellStyle name="Normal 89 77" xfId="14245" xr:uid="{00000000-0005-0000-0000-00002A6A0000}"/>
    <cellStyle name="Normal 89 77 2" xfId="26456" xr:uid="{00000000-0005-0000-0000-00002B6A0000}"/>
    <cellStyle name="Normal 89 78" xfId="14246" xr:uid="{00000000-0005-0000-0000-00002C6A0000}"/>
    <cellStyle name="Normal 89 78 2" xfId="26457" xr:uid="{00000000-0005-0000-0000-00002D6A0000}"/>
    <cellStyle name="Normal 89 79" xfId="14247" xr:uid="{00000000-0005-0000-0000-00002E6A0000}"/>
    <cellStyle name="Normal 89 79 2" xfId="26458" xr:uid="{00000000-0005-0000-0000-00002F6A0000}"/>
    <cellStyle name="Normal 89 8" xfId="14248" xr:uid="{00000000-0005-0000-0000-0000306A0000}"/>
    <cellStyle name="Normal 89 8 2" xfId="26459" xr:uid="{00000000-0005-0000-0000-0000316A0000}"/>
    <cellStyle name="Normal 89 80" xfId="26382" xr:uid="{00000000-0005-0000-0000-0000326A0000}"/>
    <cellStyle name="Normal 89 9" xfId="14249" xr:uid="{00000000-0005-0000-0000-0000336A0000}"/>
    <cellStyle name="Normal 89 9 2" xfId="26460" xr:uid="{00000000-0005-0000-0000-0000346A0000}"/>
    <cellStyle name="Normal 9" xfId="115" xr:uid="{00000000-0005-0000-0000-0000356A0000}"/>
    <cellStyle name="Normal 9 2" xfId="779" xr:uid="{00000000-0005-0000-0000-0000366A0000}"/>
    <cellStyle name="Normal 9 2 2" xfId="15053" xr:uid="{00000000-0005-0000-0000-0000376A0000}"/>
    <cellStyle name="Normal 9 3" xfId="302" xr:uid="{00000000-0005-0000-0000-0000386A0000}"/>
    <cellStyle name="Normal 90" xfId="216" xr:uid="{00000000-0005-0000-0000-0000396A0000}"/>
    <cellStyle name="Normal 90 10" xfId="14250" xr:uid="{00000000-0005-0000-0000-00003A6A0000}"/>
    <cellStyle name="Normal 90 10 2" xfId="26462" xr:uid="{00000000-0005-0000-0000-00003B6A0000}"/>
    <cellStyle name="Normal 90 11" xfId="14251" xr:uid="{00000000-0005-0000-0000-00003C6A0000}"/>
    <cellStyle name="Normal 90 11 2" xfId="26463" xr:uid="{00000000-0005-0000-0000-00003D6A0000}"/>
    <cellStyle name="Normal 90 12" xfId="14252" xr:uid="{00000000-0005-0000-0000-00003E6A0000}"/>
    <cellStyle name="Normal 90 12 2" xfId="26464" xr:uid="{00000000-0005-0000-0000-00003F6A0000}"/>
    <cellStyle name="Normal 90 13" xfId="14253" xr:uid="{00000000-0005-0000-0000-0000406A0000}"/>
    <cellStyle name="Normal 90 13 2" xfId="26465" xr:uid="{00000000-0005-0000-0000-0000416A0000}"/>
    <cellStyle name="Normal 90 14" xfId="14254" xr:uid="{00000000-0005-0000-0000-0000426A0000}"/>
    <cellStyle name="Normal 90 14 2" xfId="26466" xr:uid="{00000000-0005-0000-0000-0000436A0000}"/>
    <cellStyle name="Normal 90 15" xfId="14255" xr:uid="{00000000-0005-0000-0000-0000446A0000}"/>
    <cellStyle name="Normal 90 15 2" xfId="26467" xr:uid="{00000000-0005-0000-0000-0000456A0000}"/>
    <cellStyle name="Normal 90 16" xfId="14256" xr:uid="{00000000-0005-0000-0000-0000466A0000}"/>
    <cellStyle name="Normal 90 16 2" xfId="26468" xr:uid="{00000000-0005-0000-0000-0000476A0000}"/>
    <cellStyle name="Normal 90 17" xfId="14257" xr:uid="{00000000-0005-0000-0000-0000486A0000}"/>
    <cellStyle name="Normal 90 17 2" xfId="26469" xr:uid="{00000000-0005-0000-0000-0000496A0000}"/>
    <cellStyle name="Normal 90 18" xfId="14258" xr:uid="{00000000-0005-0000-0000-00004A6A0000}"/>
    <cellStyle name="Normal 90 18 2" xfId="26470" xr:uid="{00000000-0005-0000-0000-00004B6A0000}"/>
    <cellStyle name="Normal 90 19" xfId="14259" xr:uid="{00000000-0005-0000-0000-00004C6A0000}"/>
    <cellStyle name="Normal 90 19 2" xfId="26471" xr:uid="{00000000-0005-0000-0000-00004D6A0000}"/>
    <cellStyle name="Normal 90 2" xfId="270" xr:uid="{00000000-0005-0000-0000-00004E6A0000}"/>
    <cellStyle name="Normal 90 2 2" xfId="1501" xr:uid="{00000000-0005-0000-0000-00004F6A0000}"/>
    <cellStyle name="Normal 90 2 2 2" xfId="1504" xr:uid="{00000000-0005-0000-0000-0000506A0000}"/>
    <cellStyle name="Normal 90 2 3" xfId="808" xr:uid="{00000000-0005-0000-0000-0000516A0000}"/>
    <cellStyle name="Normal 90 2 4" xfId="1519" xr:uid="{00000000-0005-0000-0000-0000526A0000}"/>
    <cellStyle name="Normal 90 20" xfId="14260" xr:uid="{00000000-0005-0000-0000-0000536A0000}"/>
    <cellStyle name="Normal 90 20 2" xfId="26472" xr:uid="{00000000-0005-0000-0000-0000546A0000}"/>
    <cellStyle name="Normal 90 21" xfId="14261" xr:uid="{00000000-0005-0000-0000-0000556A0000}"/>
    <cellStyle name="Normal 90 21 2" xfId="26473" xr:uid="{00000000-0005-0000-0000-0000566A0000}"/>
    <cellStyle name="Normal 90 22" xfId="14262" xr:uid="{00000000-0005-0000-0000-0000576A0000}"/>
    <cellStyle name="Normal 90 22 2" xfId="26474" xr:uid="{00000000-0005-0000-0000-0000586A0000}"/>
    <cellStyle name="Normal 90 23" xfId="14263" xr:uid="{00000000-0005-0000-0000-0000596A0000}"/>
    <cellStyle name="Normal 90 23 2" xfId="26475" xr:uid="{00000000-0005-0000-0000-00005A6A0000}"/>
    <cellStyle name="Normal 90 24" xfId="14264" xr:uid="{00000000-0005-0000-0000-00005B6A0000}"/>
    <cellStyle name="Normal 90 24 2" xfId="26476" xr:uid="{00000000-0005-0000-0000-00005C6A0000}"/>
    <cellStyle name="Normal 90 25" xfId="14265" xr:uid="{00000000-0005-0000-0000-00005D6A0000}"/>
    <cellStyle name="Normal 90 25 2" xfId="26477" xr:uid="{00000000-0005-0000-0000-00005E6A0000}"/>
    <cellStyle name="Normal 90 26" xfId="14266" xr:uid="{00000000-0005-0000-0000-00005F6A0000}"/>
    <cellStyle name="Normal 90 26 2" xfId="26478" xr:uid="{00000000-0005-0000-0000-0000606A0000}"/>
    <cellStyle name="Normal 90 27" xfId="14267" xr:uid="{00000000-0005-0000-0000-0000616A0000}"/>
    <cellStyle name="Normal 90 27 2" xfId="26479" xr:uid="{00000000-0005-0000-0000-0000626A0000}"/>
    <cellStyle name="Normal 90 28" xfId="14268" xr:uid="{00000000-0005-0000-0000-0000636A0000}"/>
    <cellStyle name="Normal 90 28 2" xfId="26480" xr:uid="{00000000-0005-0000-0000-0000646A0000}"/>
    <cellStyle name="Normal 90 29" xfId="14269" xr:uid="{00000000-0005-0000-0000-0000656A0000}"/>
    <cellStyle name="Normal 90 29 2" xfId="26481" xr:uid="{00000000-0005-0000-0000-0000666A0000}"/>
    <cellStyle name="Normal 90 3" xfId="780" xr:uid="{00000000-0005-0000-0000-0000676A0000}"/>
    <cellStyle name="Normal 90 3 2" xfId="26482" xr:uid="{00000000-0005-0000-0000-0000686A0000}"/>
    <cellStyle name="Normal 90 3 3" xfId="14270" xr:uid="{00000000-0005-0000-0000-0000696A0000}"/>
    <cellStyle name="Normal 90 30" xfId="14271" xr:uid="{00000000-0005-0000-0000-00006A6A0000}"/>
    <cellStyle name="Normal 90 30 2" xfId="26483" xr:uid="{00000000-0005-0000-0000-00006B6A0000}"/>
    <cellStyle name="Normal 90 31" xfId="14272" xr:uid="{00000000-0005-0000-0000-00006C6A0000}"/>
    <cellStyle name="Normal 90 31 2" xfId="26484" xr:uid="{00000000-0005-0000-0000-00006D6A0000}"/>
    <cellStyle name="Normal 90 32" xfId="14273" xr:uid="{00000000-0005-0000-0000-00006E6A0000}"/>
    <cellStyle name="Normal 90 32 2" xfId="26485" xr:uid="{00000000-0005-0000-0000-00006F6A0000}"/>
    <cellStyle name="Normal 90 33" xfId="14274" xr:uid="{00000000-0005-0000-0000-0000706A0000}"/>
    <cellStyle name="Normal 90 33 2" xfId="26486" xr:uid="{00000000-0005-0000-0000-0000716A0000}"/>
    <cellStyle name="Normal 90 34" xfId="14275" xr:uid="{00000000-0005-0000-0000-0000726A0000}"/>
    <cellStyle name="Normal 90 34 2" xfId="26487" xr:uid="{00000000-0005-0000-0000-0000736A0000}"/>
    <cellStyle name="Normal 90 35" xfId="14276" xr:uid="{00000000-0005-0000-0000-0000746A0000}"/>
    <cellStyle name="Normal 90 35 2" xfId="26488" xr:uid="{00000000-0005-0000-0000-0000756A0000}"/>
    <cellStyle name="Normal 90 36" xfId="14277" xr:uid="{00000000-0005-0000-0000-0000766A0000}"/>
    <cellStyle name="Normal 90 36 2" xfId="26489" xr:uid="{00000000-0005-0000-0000-0000776A0000}"/>
    <cellStyle name="Normal 90 37" xfId="14278" xr:uid="{00000000-0005-0000-0000-0000786A0000}"/>
    <cellStyle name="Normal 90 37 2" xfId="26490" xr:uid="{00000000-0005-0000-0000-0000796A0000}"/>
    <cellStyle name="Normal 90 38" xfId="14279" xr:uid="{00000000-0005-0000-0000-00007A6A0000}"/>
    <cellStyle name="Normal 90 38 2" xfId="26491" xr:uid="{00000000-0005-0000-0000-00007B6A0000}"/>
    <cellStyle name="Normal 90 39" xfId="14280" xr:uid="{00000000-0005-0000-0000-00007C6A0000}"/>
    <cellStyle name="Normal 90 39 2" xfId="26492" xr:uid="{00000000-0005-0000-0000-00007D6A0000}"/>
    <cellStyle name="Normal 90 4" xfId="431" xr:uid="{00000000-0005-0000-0000-00007E6A0000}"/>
    <cellStyle name="Normal 90 4 2" xfId="26493" xr:uid="{00000000-0005-0000-0000-00007F6A0000}"/>
    <cellStyle name="Normal 90 40" xfId="14281" xr:uid="{00000000-0005-0000-0000-0000806A0000}"/>
    <cellStyle name="Normal 90 40 2" xfId="26494" xr:uid="{00000000-0005-0000-0000-0000816A0000}"/>
    <cellStyle name="Normal 90 41" xfId="14282" xr:uid="{00000000-0005-0000-0000-0000826A0000}"/>
    <cellStyle name="Normal 90 41 2" xfId="26495" xr:uid="{00000000-0005-0000-0000-0000836A0000}"/>
    <cellStyle name="Normal 90 42" xfId="14283" xr:uid="{00000000-0005-0000-0000-0000846A0000}"/>
    <cellStyle name="Normal 90 42 2" xfId="26496" xr:uid="{00000000-0005-0000-0000-0000856A0000}"/>
    <cellStyle name="Normal 90 43" xfId="14284" xr:uid="{00000000-0005-0000-0000-0000866A0000}"/>
    <cellStyle name="Normal 90 43 2" xfId="26497" xr:uid="{00000000-0005-0000-0000-0000876A0000}"/>
    <cellStyle name="Normal 90 44" xfId="14285" xr:uid="{00000000-0005-0000-0000-0000886A0000}"/>
    <cellStyle name="Normal 90 44 2" xfId="26498" xr:uid="{00000000-0005-0000-0000-0000896A0000}"/>
    <cellStyle name="Normal 90 45" xfId="14286" xr:uid="{00000000-0005-0000-0000-00008A6A0000}"/>
    <cellStyle name="Normal 90 45 2" xfId="26499" xr:uid="{00000000-0005-0000-0000-00008B6A0000}"/>
    <cellStyle name="Normal 90 46" xfId="14287" xr:uid="{00000000-0005-0000-0000-00008C6A0000}"/>
    <cellStyle name="Normal 90 46 2" xfId="26500" xr:uid="{00000000-0005-0000-0000-00008D6A0000}"/>
    <cellStyle name="Normal 90 47" xfId="14288" xr:uid="{00000000-0005-0000-0000-00008E6A0000}"/>
    <cellStyle name="Normal 90 47 2" xfId="26501" xr:uid="{00000000-0005-0000-0000-00008F6A0000}"/>
    <cellStyle name="Normal 90 48" xfId="14289" xr:uid="{00000000-0005-0000-0000-0000906A0000}"/>
    <cellStyle name="Normal 90 48 2" xfId="26502" xr:uid="{00000000-0005-0000-0000-0000916A0000}"/>
    <cellStyle name="Normal 90 49" xfId="14290" xr:uid="{00000000-0005-0000-0000-0000926A0000}"/>
    <cellStyle name="Normal 90 49 2" xfId="26503" xr:uid="{00000000-0005-0000-0000-0000936A0000}"/>
    <cellStyle name="Normal 90 5" xfId="14291" xr:uid="{00000000-0005-0000-0000-0000946A0000}"/>
    <cellStyle name="Normal 90 5 2" xfId="26504" xr:uid="{00000000-0005-0000-0000-0000956A0000}"/>
    <cellStyle name="Normal 90 50" xfId="14292" xr:uid="{00000000-0005-0000-0000-0000966A0000}"/>
    <cellStyle name="Normal 90 50 2" xfId="26505" xr:uid="{00000000-0005-0000-0000-0000976A0000}"/>
    <cellStyle name="Normal 90 51" xfId="14293" xr:uid="{00000000-0005-0000-0000-0000986A0000}"/>
    <cellStyle name="Normal 90 51 2" xfId="26506" xr:uid="{00000000-0005-0000-0000-0000996A0000}"/>
    <cellStyle name="Normal 90 52" xfId="14294" xr:uid="{00000000-0005-0000-0000-00009A6A0000}"/>
    <cellStyle name="Normal 90 52 2" xfId="26507" xr:uid="{00000000-0005-0000-0000-00009B6A0000}"/>
    <cellStyle name="Normal 90 53" xfId="14295" xr:uid="{00000000-0005-0000-0000-00009C6A0000}"/>
    <cellStyle name="Normal 90 53 2" xfId="26508" xr:uid="{00000000-0005-0000-0000-00009D6A0000}"/>
    <cellStyle name="Normal 90 54" xfId="14296" xr:uid="{00000000-0005-0000-0000-00009E6A0000}"/>
    <cellStyle name="Normal 90 54 2" xfId="26509" xr:uid="{00000000-0005-0000-0000-00009F6A0000}"/>
    <cellStyle name="Normal 90 55" xfId="14297" xr:uid="{00000000-0005-0000-0000-0000A06A0000}"/>
    <cellStyle name="Normal 90 55 2" xfId="26510" xr:uid="{00000000-0005-0000-0000-0000A16A0000}"/>
    <cellStyle name="Normal 90 56" xfId="14298" xr:uid="{00000000-0005-0000-0000-0000A26A0000}"/>
    <cellStyle name="Normal 90 56 2" xfId="26511" xr:uid="{00000000-0005-0000-0000-0000A36A0000}"/>
    <cellStyle name="Normal 90 57" xfId="14299" xr:uid="{00000000-0005-0000-0000-0000A46A0000}"/>
    <cellStyle name="Normal 90 57 2" xfId="26512" xr:uid="{00000000-0005-0000-0000-0000A56A0000}"/>
    <cellStyle name="Normal 90 58" xfId="14300" xr:uid="{00000000-0005-0000-0000-0000A66A0000}"/>
    <cellStyle name="Normal 90 58 2" xfId="26513" xr:uid="{00000000-0005-0000-0000-0000A76A0000}"/>
    <cellStyle name="Normal 90 59" xfId="14301" xr:uid="{00000000-0005-0000-0000-0000A86A0000}"/>
    <cellStyle name="Normal 90 59 2" xfId="26514" xr:uid="{00000000-0005-0000-0000-0000A96A0000}"/>
    <cellStyle name="Normal 90 6" xfId="14302" xr:uid="{00000000-0005-0000-0000-0000AA6A0000}"/>
    <cellStyle name="Normal 90 6 2" xfId="26515" xr:uid="{00000000-0005-0000-0000-0000AB6A0000}"/>
    <cellStyle name="Normal 90 60" xfId="14303" xr:uid="{00000000-0005-0000-0000-0000AC6A0000}"/>
    <cellStyle name="Normal 90 60 2" xfId="26516" xr:uid="{00000000-0005-0000-0000-0000AD6A0000}"/>
    <cellStyle name="Normal 90 61" xfId="14304" xr:uid="{00000000-0005-0000-0000-0000AE6A0000}"/>
    <cellStyle name="Normal 90 61 2" xfId="26517" xr:uid="{00000000-0005-0000-0000-0000AF6A0000}"/>
    <cellStyle name="Normal 90 62" xfId="14305" xr:uid="{00000000-0005-0000-0000-0000B06A0000}"/>
    <cellStyle name="Normal 90 62 2" xfId="26518" xr:uid="{00000000-0005-0000-0000-0000B16A0000}"/>
    <cellStyle name="Normal 90 63" xfId="14306" xr:uid="{00000000-0005-0000-0000-0000B26A0000}"/>
    <cellStyle name="Normal 90 63 2" xfId="26519" xr:uid="{00000000-0005-0000-0000-0000B36A0000}"/>
    <cellStyle name="Normal 90 64" xfId="14307" xr:uid="{00000000-0005-0000-0000-0000B46A0000}"/>
    <cellStyle name="Normal 90 64 2" xfId="26520" xr:uid="{00000000-0005-0000-0000-0000B56A0000}"/>
    <cellStyle name="Normal 90 65" xfId="14308" xr:uid="{00000000-0005-0000-0000-0000B66A0000}"/>
    <cellStyle name="Normal 90 65 2" xfId="26521" xr:uid="{00000000-0005-0000-0000-0000B76A0000}"/>
    <cellStyle name="Normal 90 66" xfId="14309" xr:uid="{00000000-0005-0000-0000-0000B86A0000}"/>
    <cellStyle name="Normal 90 66 2" xfId="26522" xr:uid="{00000000-0005-0000-0000-0000B96A0000}"/>
    <cellStyle name="Normal 90 67" xfId="14310" xr:uid="{00000000-0005-0000-0000-0000BA6A0000}"/>
    <cellStyle name="Normal 90 67 2" xfId="26523" xr:uid="{00000000-0005-0000-0000-0000BB6A0000}"/>
    <cellStyle name="Normal 90 68" xfId="14311" xr:uid="{00000000-0005-0000-0000-0000BC6A0000}"/>
    <cellStyle name="Normal 90 68 2" xfId="26524" xr:uid="{00000000-0005-0000-0000-0000BD6A0000}"/>
    <cellStyle name="Normal 90 69" xfId="14312" xr:uid="{00000000-0005-0000-0000-0000BE6A0000}"/>
    <cellStyle name="Normal 90 69 2" xfId="26525" xr:uid="{00000000-0005-0000-0000-0000BF6A0000}"/>
    <cellStyle name="Normal 90 7" xfId="14313" xr:uid="{00000000-0005-0000-0000-0000C06A0000}"/>
    <cellStyle name="Normal 90 7 2" xfId="26526" xr:uid="{00000000-0005-0000-0000-0000C16A0000}"/>
    <cellStyle name="Normal 90 70" xfId="14314" xr:uid="{00000000-0005-0000-0000-0000C26A0000}"/>
    <cellStyle name="Normal 90 70 2" xfId="26527" xr:uid="{00000000-0005-0000-0000-0000C36A0000}"/>
    <cellStyle name="Normal 90 71" xfId="14315" xr:uid="{00000000-0005-0000-0000-0000C46A0000}"/>
    <cellStyle name="Normal 90 71 2" xfId="26528" xr:uid="{00000000-0005-0000-0000-0000C56A0000}"/>
    <cellStyle name="Normal 90 72" xfId="14316" xr:uid="{00000000-0005-0000-0000-0000C66A0000}"/>
    <cellStyle name="Normal 90 72 2" xfId="26529" xr:uid="{00000000-0005-0000-0000-0000C76A0000}"/>
    <cellStyle name="Normal 90 73" xfId="14317" xr:uid="{00000000-0005-0000-0000-0000C86A0000}"/>
    <cellStyle name="Normal 90 73 2" xfId="26530" xr:uid="{00000000-0005-0000-0000-0000C96A0000}"/>
    <cellStyle name="Normal 90 74" xfId="14318" xr:uid="{00000000-0005-0000-0000-0000CA6A0000}"/>
    <cellStyle name="Normal 90 74 2" xfId="26531" xr:uid="{00000000-0005-0000-0000-0000CB6A0000}"/>
    <cellStyle name="Normal 90 75" xfId="14319" xr:uid="{00000000-0005-0000-0000-0000CC6A0000}"/>
    <cellStyle name="Normal 90 75 2" xfId="26532" xr:uid="{00000000-0005-0000-0000-0000CD6A0000}"/>
    <cellStyle name="Normal 90 76" xfId="14320" xr:uid="{00000000-0005-0000-0000-0000CE6A0000}"/>
    <cellStyle name="Normal 90 76 2" xfId="26533" xr:uid="{00000000-0005-0000-0000-0000CF6A0000}"/>
    <cellStyle name="Normal 90 77" xfId="14321" xr:uid="{00000000-0005-0000-0000-0000D06A0000}"/>
    <cellStyle name="Normal 90 77 2" xfId="26534" xr:uid="{00000000-0005-0000-0000-0000D16A0000}"/>
    <cellStyle name="Normal 90 78" xfId="14322" xr:uid="{00000000-0005-0000-0000-0000D26A0000}"/>
    <cellStyle name="Normal 90 78 2" xfId="26535" xr:uid="{00000000-0005-0000-0000-0000D36A0000}"/>
    <cellStyle name="Normal 90 79" xfId="14323" xr:uid="{00000000-0005-0000-0000-0000D46A0000}"/>
    <cellStyle name="Normal 90 79 2" xfId="26536" xr:uid="{00000000-0005-0000-0000-0000D56A0000}"/>
    <cellStyle name="Normal 90 8" xfId="14324" xr:uid="{00000000-0005-0000-0000-0000D66A0000}"/>
    <cellStyle name="Normal 90 8 2" xfId="26537" xr:uid="{00000000-0005-0000-0000-0000D76A0000}"/>
    <cellStyle name="Normal 90 80" xfId="26461" xr:uid="{00000000-0005-0000-0000-0000D86A0000}"/>
    <cellStyle name="Normal 90 9" xfId="14325" xr:uid="{00000000-0005-0000-0000-0000D96A0000}"/>
    <cellStyle name="Normal 90 9 2" xfId="26538" xr:uid="{00000000-0005-0000-0000-0000DA6A0000}"/>
    <cellStyle name="Normal 91" xfId="217" xr:uid="{00000000-0005-0000-0000-0000DB6A0000}"/>
    <cellStyle name="Normal 91 10" xfId="14326" xr:uid="{00000000-0005-0000-0000-0000DC6A0000}"/>
    <cellStyle name="Normal 91 10 2" xfId="26540" xr:uid="{00000000-0005-0000-0000-0000DD6A0000}"/>
    <cellStyle name="Normal 91 11" xfId="14327" xr:uid="{00000000-0005-0000-0000-0000DE6A0000}"/>
    <cellStyle name="Normal 91 11 2" xfId="26541" xr:uid="{00000000-0005-0000-0000-0000DF6A0000}"/>
    <cellStyle name="Normal 91 12" xfId="14328" xr:uid="{00000000-0005-0000-0000-0000E06A0000}"/>
    <cellStyle name="Normal 91 12 2" xfId="26542" xr:uid="{00000000-0005-0000-0000-0000E16A0000}"/>
    <cellStyle name="Normal 91 13" xfId="14329" xr:uid="{00000000-0005-0000-0000-0000E26A0000}"/>
    <cellStyle name="Normal 91 13 2" xfId="26543" xr:uid="{00000000-0005-0000-0000-0000E36A0000}"/>
    <cellStyle name="Normal 91 14" xfId="14330" xr:uid="{00000000-0005-0000-0000-0000E46A0000}"/>
    <cellStyle name="Normal 91 14 2" xfId="26544" xr:uid="{00000000-0005-0000-0000-0000E56A0000}"/>
    <cellStyle name="Normal 91 15" xfId="14331" xr:uid="{00000000-0005-0000-0000-0000E66A0000}"/>
    <cellStyle name="Normal 91 15 2" xfId="26545" xr:uid="{00000000-0005-0000-0000-0000E76A0000}"/>
    <cellStyle name="Normal 91 16" xfId="14332" xr:uid="{00000000-0005-0000-0000-0000E86A0000}"/>
    <cellStyle name="Normal 91 16 2" xfId="26546" xr:uid="{00000000-0005-0000-0000-0000E96A0000}"/>
    <cellStyle name="Normal 91 17" xfId="14333" xr:uid="{00000000-0005-0000-0000-0000EA6A0000}"/>
    <cellStyle name="Normal 91 17 2" xfId="26547" xr:uid="{00000000-0005-0000-0000-0000EB6A0000}"/>
    <cellStyle name="Normal 91 18" xfId="14334" xr:uid="{00000000-0005-0000-0000-0000EC6A0000}"/>
    <cellStyle name="Normal 91 18 2" xfId="26548" xr:uid="{00000000-0005-0000-0000-0000ED6A0000}"/>
    <cellStyle name="Normal 91 19" xfId="14335" xr:uid="{00000000-0005-0000-0000-0000EE6A0000}"/>
    <cellStyle name="Normal 91 19 2" xfId="26549" xr:uid="{00000000-0005-0000-0000-0000EF6A0000}"/>
    <cellStyle name="Normal 91 2" xfId="271" xr:uid="{00000000-0005-0000-0000-0000F06A0000}"/>
    <cellStyle name="Normal 91 2 2" xfId="26550" xr:uid="{00000000-0005-0000-0000-0000F16A0000}"/>
    <cellStyle name="Normal 91 2 3" xfId="14336" xr:uid="{00000000-0005-0000-0000-0000F26A0000}"/>
    <cellStyle name="Normal 91 20" xfId="14337" xr:uid="{00000000-0005-0000-0000-0000F36A0000}"/>
    <cellStyle name="Normal 91 20 2" xfId="26551" xr:uid="{00000000-0005-0000-0000-0000F46A0000}"/>
    <cellStyle name="Normal 91 21" xfId="14338" xr:uid="{00000000-0005-0000-0000-0000F56A0000}"/>
    <cellStyle name="Normal 91 21 2" xfId="26552" xr:uid="{00000000-0005-0000-0000-0000F66A0000}"/>
    <cellStyle name="Normal 91 22" xfId="14339" xr:uid="{00000000-0005-0000-0000-0000F76A0000}"/>
    <cellStyle name="Normal 91 22 2" xfId="26553" xr:uid="{00000000-0005-0000-0000-0000F86A0000}"/>
    <cellStyle name="Normal 91 23" xfId="14340" xr:uid="{00000000-0005-0000-0000-0000F96A0000}"/>
    <cellStyle name="Normal 91 23 2" xfId="26554" xr:uid="{00000000-0005-0000-0000-0000FA6A0000}"/>
    <cellStyle name="Normal 91 24" xfId="14341" xr:uid="{00000000-0005-0000-0000-0000FB6A0000}"/>
    <cellStyle name="Normal 91 24 2" xfId="26555" xr:uid="{00000000-0005-0000-0000-0000FC6A0000}"/>
    <cellStyle name="Normal 91 25" xfId="14342" xr:uid="{00000000-0005-0000-0000-0000FD6A0000}"/>
    <cellStyle name="Normal 91 25 2" xfId="26556" xr:uid="{00000000-0005-0000-0000-0000FE6A0000}"/>
    <cellStyle name="Normal 91 26" xfId="14343" xr:uid="{00000000-0005-0000-0000-0000FF6A0000}"/>
    <cellStyle name="Normal 91 26 2" xfId="26557" xr:uid="{00000000-0005-0000-0000-0000006B0000}"/>
    <cellStyle name="Normal 91 27" xfId="14344" xr:uid="{00000000-0005-0000-0000-0000016B0000}"/>
    <cellStyle name="Normal 91 27 2" xfId="26558" xr:uid="{00000000-0005-0000-0000-0000026B0000}"/>
    <cellStyle name="Normal 91 28" xfId="14345" xr:uid="{00000000-0005-0000-0000-0000036B0000}"/>
    <cellStyle name="Normal 91 28 2" xfId="26559" xr:uid="{00000000-0005-0000-0000-0000046B0000}"/>
    <cellStyle name="Normal 91 29" xfId="14346" xr:uid="{00000000-0005-0000-0000-0000056B0000}"/>
    <cellStyle name="Normal 91 29 2" xfId="26560" xr:uid="{00000000-0005-0000-0000-0000066B0000}"/>
    <cellStyle name="Normal 91 3" xfId="432" xr:uid="{00000000-0005-0000-0000-0000076B0000}"/>
    <cellStyle name="Normal 91 3 2" xfId="26561" xr:uid="{00000000-0005-0000-0000-0000086B0000}"/>
    <cellStyle name="Normal 91 30" xfId="14347" xr:uid="{00000000-0005-0000-0000-0000096B0000}"/>
    <cellStyle name="Normal 91 30 2" xfId="26562" xr:uid="{00000000-0005-0000-0000-00000A6B0000}"/>
    <cellStyle name="Normal 91 31" xfId="14348" xr:uid="{00000000-0005-0000-0000-00000B6B0000}"/>
    <cellStyle name="Normal 91 31 2" xfId="26563" xr:uid="{00000000-0005-0000-0000-00000C6B0000}"/>
    <cellStyle name="Normal 91 32" xfId="14349" xr:uid="{00000000-0005-0000-0000-00000D6B0000}"/>
    <cellStyle name="Normal 91 32 2" xfId="26564" xr:uid="{00000000-0005-0000-0000-00000E6B0000}"/>
    <cellStyle name="Normal 91 33" xfId="14350" xr:uid="{00000000-0005-0000-0000-00000F6B0000}"/>
    <cellStyle name="Normal 91 33 2" xfId="26565" xr:uid="{00000000-0005-0000-0000-0000106B0000}"/>
    <cellStyle name="Normal 91 34" xfId="14351" xr:uid="{00000000-0005-0000-0000-0000116B0000}"/>
    <cellStyle name="Normal 91 34 2" xfId="26566" xr:uid="{00000000-0005-0000-0000-0000126B0000}"/>
    <cellStyle name="Normal 91 35" xfId="14352" xr:uid="{00000000-0005-0000-0000-0000136B0000}"/>
    <cellStyle name="Normal 91 35 2" xfId="26567" xr:uid="{00000000-0005-0000-0000-0000146B0000}"/>
    <cellStyle name="Normal 91 36" xfId="14353" xr:uid="{00000000-0005-0000-0000-0000156B0000}"/>
    <cellStyle name="Normal 91 36 2" xfId="26568" xr:uid="{00000000-0005-0000-0000-0000166B0000}"/>
    <cellStyle name="Normal 91 37" xfId="14354" xr:uid="{00000000-0005-0000-0000-0000176B0000}"/>
    <cellStyle name="Normal 91 37 2" xfId="26569" xr:uid="{00000000-0005-0000-0000-0000186B0000}"/>
    <cellStyle name="Normal 91 38" xfId="14355" xr:uid="{00000000-0005-0000-0000-0000196B0000}"/>
    <cellStyle name="Normal 91 38 2" xfId="26570" xr:uid="{00000000-0005-0000-0000-00001A6B0000}"/>
    <cellStyle name="Normal 91 39" xfId="14356" xr:uid="{00000000-0005-0000-0000-00001B6B0000}"/>
    <cellStyle name="Normal 91 39 2" xfId="26571" xr:uid="{00000000-0005-0000-0000-00001C6B0000}"/>
    <cellStyle name="Normal 91 4" xfId="14357" xr:uid="{00000000-0005-0000-0000-00001D6B0000}"/>
    <cellStyle name="Normal 91 4 2" xfId="26572" xr:uid="{00000000-0005-0000-0000-00001E6B0000}"/>
    <cellStyle name="Normal 91 40" xfId="14358" xr:uid="{00000000-0005-0000-0000-00001F6B0000}"/>
    <cellStyle name="Normal 91 40 2" xfId="26573" xr:uid="{00000000-0005-0000-0000-0000206B0000}"/>
    <cellStyle name="Normal 91 41" xfId="14359" xr:uid="{00000000-0005-0000-0000-0000216B0000}"/>
    <cellStyle name="Normal 91 41 2" xfId="26574" xr:uid="{00000000-0005-0000-0000-0000226B0000}"/>
    <cellStyle name="Normal 91 42" xfId="14360" xr:uid="{00000000-0005-0000-0000-0000236B0000}"/>
    <cellStyle name="Normal 91 42 2" xfId="26575" xr:uid="{00000000-0005-0000-0000-0000246B0000}"/>
    <cellStyle name="Normal 91 43" xfId="14361" xr:uid="{00000000-0005-0000-0000-0000256B0000}"/>
    <cellStyle name="Normal 91 43 2" xfId="26576" xr:uid="{00000000-0005-0000-0000-0000266B0000}"/>
    <cellStyle name="Normal 91 44" xfId="14362" xr:uid="{00000000-0005-0000-0000-0000276B0000}"/>
    <cellStyle name="Normal 91 44 2" xfId="26577" xr:uid="{00000000-0005-0000-0000-0000286B0000}"/>
    <cellStyle name="Normal 91 45" xfId="14363" xr:uid="{00000000-0005-0000-0000-0000296B0000}"/>
    <cellStyle name="Normal 91 45 2" xfId="26578" xr:uid="{00000000-0005-0000-0000-00002A6B0000}"/>
    <cellStyle name="Normal 91 46" xfId="14364" xr:uid="{00000000-0005-0000-0000-00002B6B0000}"/>
    <cellStyle name="Normal 91 46 2" xfId="26579" xr:uid="{00000000-0005-0000-0000-00002C6B0000}"/>
    <cellStyle name="Normal 91 47" xfId="14365" xr:uid="{00000000-0005-0000-0000-00002D6B0000}"/>
    <cellStyle name="Normal 91 47 2" xfId="26580" xr:uid="{00000000-0005-0000-0000-00002E6B0000}"/>
    <cellStyle name="Normal 91 48" xfId="14366" xr:uid="{00000000-0005-0000-0000-00002F6B0000}"/>
    <cellStyle name="Normal 91 48 2" xfId="26581" xr:uid="{00000000-0005-0000-0000-0000306B0000}"/>
    <cellStyle name="Normal 91 49" xfId="14367" xr:uid="{00000000-0005-0000-0000-0000316B0000}"/>
    <cellStyle name="Normal 91 49 2" xfId="26582" xr:uid="{00000000-0005-0000-0000-0000326B0000}"/>
    <cellStyle name="Normal 91 5" xfId="14368" xr:uid="{00000000-0005-0000-0000-0000336B0000}"/>
    <cellStyle name="Normal 91 5 2" xfId="26583" xr:uid="{00000000-0005-0000-0000-0000346B0000}"/>
    <cellStyle name="Normal 91 50" xfId="14369" xr:uid="{00000000-0005-0000-0000-0000356B0000}"/>
    <cellStyle name="Normal 91 50 2" xfId="26584" xr:uid="{00000000-0005-0000-0000-0000366B0000}"/>
    <cellStyle name="Normal 91 51" xfId="14370" xr:uid="{00000000-0005-0000-0000-0000376B0000}"/>
    <cellStyle name="Normal 91 51 2" xfId="26585" xr:uid="{00000000-0005-0000-0000-0000386B0000}"/>
    <cellStyle name="Normal 91 52" xfId="14371" xr:uid="{00000000-0005-0000-0000-0000396B0000}"/>
    <cellStyle name="Normal 91 52 2" xfId="26586" xr:uid="{00000000-0005-0000-0000-00003A6B0000}"/>
    <cellStyle name="Normal 91 53" xfId="14372" xr:uid="{00000000-0005-0000-0000-00003B6B0000}"/>
    <cellStyle name="Normal 91 53 2" xfId="26587" xr:uid="{00000000-0005-0000-0000-00003C6B0000}"/>
    <cellStyle name="Normal 91 54" xfId="14373" xr:uid="{00000000-0005-0000-0000-00003D6B0000}"/>
    <cellStyle name="Normal 91 54 2" xfId="26588" xr:uid="{00000000-0005-0000-0000-00003E6B0000}"/>
    <cellStyle name="Normal 91 55" xfId="14374" xr:uid="{00000000-0005-0000-0000-00003F6B0000}"/>
    <cellStyle name="Normal 91 55 2" xfId="26589" xr:uid="{00000000-0005-0000-0000-0000406B0000}"/>
    <cellStyle name="Normal 91 56" xfId="14375" xr:uid="{00000000-0005-0000-0000-0000416B0000}"/>
    <cellStyle name="Normal 91 56 2" xfId="26590" xr:uid="{00000000-0005-0000-0000-0000426B0000}"/>
    <cellStyle name="Normal 91 57" xfId="14376" xr:uid="{00000000-0005-0000-0000-0000436B0000}"/>
    <cellStyle name="Normal 91 57 2" xfId="26591" xr:uid="{00000000-0005-0000-0000-0000446B0000}"/>
    <cellStyle name="Normal 91 58" xfId="14377" xr:uid="{00000000-0005-0000-0000-0000456B0000}"/>
    <cellStyle name="Normal 91 58 2" xfId="26592" xr:uid="{00000000-0005-0000-0000-0000466B0000}"/>
    <cellStyle name="Normal 91 59" xfId="14378" xr:uid="{00000000-0005-0000-0000-0000476B0000}"/>
    <cellStyle name="Normal 91 59 2" xfId="26593" xr:uid="{00000000-0005-0000-0000-0000486B0000}"/>
    <cellStyle name="Normal 91 6" xfId="14379" xr:uid="{00000000-0005-0000-0000-0000496B0000}"/>
    <cellStyle name="Normal 91 6 2" xfId="26594" xr:uid="{00000000-0005-0000-0000-00004A6B0000}"/>
    <cellStyle name="Normal 91 60" xfId="14380" xr:uid="{00000000-0005-0000-0000-00004B6B0000}"/>
    <cellStyle name="Normal 91 60 2" xfId="26595" xr:uid="{00000000-0005-0000-0000-00004C6B0000}"/>
    <cellStyle name="Normal 91 61" xfId="14381" xr:uid="{00000000-0005-0000-0000-00004D6B0000}"/>
    <cellStyle name="Normal 91 61 2" xfId="26596" xr:uid="{00000000-0005-0000-0000-00004E6B0000}"/>
    <cellStyle name="Normal 91 62" xfId="14382" xr:uid="{00000000-0005-0000-0000-00004F6B0000}"/>
    <cellStyle name="Normal 91 62 2" xfId="26597" xr:uid="{00000000-0005-0000-0000-0000506B0000}"/>
    <cellStyle name="Normal 91 63" xfId="14383" xr:uid="{00000000-0005-0000-0000-0000516B0000}"/>
    <cellStyle name="Normal 91 63 2" xfId="26598" xr:uid="{00000000-0005-0000-0000-0000526B0000}"/>
    <cellStyle name="Normal 91 64" xfId="14384" xr:uid="{00000000-0005-0000-0000-0000536B0000}"/>
    <cellStyle name="Normal 91 64 2" xfId="26599" xr:uid="{00000000-0005-0000-0000-0000546B0000}"/>
    <cellStyle name="Normal 91 65" xfId="14385" xr:uid="{00000000-0005-0000-0000-0000556B0000}"/>
    <cellStyle name="Normal 91 65 2" xfId="26600" xr:uid="{00000000-0005-0000-0000-0000566B0000}"/>
    <cellStyle name="Normal 91 66" xfId="14386" xr:uid="{00000000-0005-0000-0000-0000576B0000}"/>
    <cellStyle name="Normal 91 66 2" xfId="26601" xr:uid="{00000000-0005-0000-0000-0000586B0000}"/>
    <cellStyle name="Normal 91 67" xfId="14387" xr:uid="{00000000-0005-0000-0000-0000596B0000}"/>
    <cellStyle name="Normal 91 67 2" xfId="26602" xr:uid="{00000000-0005-0000-0000-00005A6B0000}"/>
    <cellStyle name="Normal 91 68" xfId="14388" xr:uid="{00000000-0005-0000-0000-00005B6B0000}"/>
    <cellStyle name="Normal 91 68 2" xfId="26603" xr:uid="{00000000-0005-0000-0000-00005C6B0000}"/>
    <cellStyle name="Normal 91 69" xfId="14389" xr:uid="{00000000-0005-0000-0000-00005D6B0000}"/>
    <cellStyle name="Normal 91 69 2" xfId="26604" xr:uid="{00000000-0005-0000-0000-00005E6B0000}"/>
    <cellStyle name="Normal 91 7" xfId="14390" xr:uid="{00000000-0005-0000-0000-00005F6B0000}"/>
    <cellStyle name="Normal 91 7 2" xfId="26605" xr:uid="{00000000-0005-0000-0000-0000606B0000}"/>
    <cellStyle name="Normal 91 70" xfId="14391" xr:uid="{00000000-0005-0000-0000-0000616B0000}"/>
    <cellStyle name="Normal 91 70 2" xfId="26606" xr:uid="{00000000-0005-0000-0000-0000626B0000}"/>
    <cellStyle name="Normal 91 71" xfId="14392" xr:uid="{00000000-0005-0000-0000-0000636B0000}"/>
    <cellStyle name="Normal 91 71 2" xfId="26607" xr:uid="{00000000-0005-0000-0000-0000646B0000}"/>
    <cellStyle name="Normal 91 72" xfId="14393" xr:uid="{00000000-0005-0000-0000-0000656B0000}"/>
    <cellStyle name="Normal 91 72 2" xfId="26608" xr:uid="{00000000-0005-0000-0000-0000666B0000}"/>
    <cellStyle name="Normal 91 73" xfId="14394" xr:uid="{00000000-0005-0000-0000-0000676B0000}"/>
    <cellStyle name="Normal 91 73 2" xfId="26609" xr:uid="{00000000-0005-0000-0000-0000686B0000}"/>
    <cellStyle name="Normal 91 74" xfId="14395" xr:uid="{00000000-0005-0000-0000-0000696B0000}"/>
    <cellStyle name="Normal 91 74 2" xfId="26610" xr:uid="{00000000-0005-0000-0000-00006A6B0000}"/>
    <cellStyle name="Normal 91 75" xfId="14396" xr:uid="{00000000-0005-0000-0000-00006B6B0000}"/>
    <cellStyle name="Normal 91 75 2" xfId="26611" xr:uid="{00000000-0005-0000-0000-00006C6B0000}"/>
    <cellStyle name="Normal 91 76" xfId="14397" xr:uid="{00000000-0005-0000-0000-00006D6B0000}"/>
    <cellStyle name="Normal 91 76 2" xfId="26612" xr:uid="{00000000-0005-0000-0000-00006E6B0000}"/>
    <cellStyle name="Normal 91 77" xfId="14398" xr:uid="{00000000-0005-0000-0000-00006F6B0000}"/>
    <cellStyle name="Normal 91 77 2" xfId="26613" xr:uid="{00000000-0005-0000-0000-0000706B0000}"/>
    <cellStyle name="Normal 91 78" xfId="14399" xr:uid="{00000000-0005-0000-0000-0000716B0000}"/>
    <cellStyle name="Normal 91 78 2" xfId="26614" xr:uid="{00000000-0005-0000-0000-0000726B0000}"/>
    <cellStyle name="Normal 91 79" xfId="14400" xr:uid="{00000000-0005-0000-0000-0000736B0000}"/>
    <cellStyle name="Normal 91 79 2" xfId="26615" xr:uid="{00000000-0005-0000-0000-0000746B0000}"/>
    <cellStyle name="Normal 91 8" xfId="14401" xr:uid="{00000000-0005-0000-0000-0000756B0000}"/>
    <cellStyle name="Normal 91 8 2" xfId="26616" xr:uid="{00000000-0005-0000-0000-0000766B0000}"/>
    <cellStyle name="Normal 91 80" xfId="26539" xr:uid="{00000000-0005-0000-0000-0000776B0000}"/>
    <cellStyle name="Normal 91 9" xfId="14402" xr:uid="{00000000-0005-0000-0000-0000786B0000}"/>
    <cellStyle name="Normal 91 9 2" xfId="26617" xr:uid="{00000000-0005-0000-0000-0000796B0000}"/>
    <cellStyle name="Normal 92" xfId="218" xr:uid="{00000000-0005-0000-0000-00007A6B0000}"/>
    <cellStyle name="Normal 92 10" xfId="14403" xr:uid="{00000000-0005-0000-0000-00007B6B0000}"/>
    <cellStyle name="Normal 92 10 2" xfId="26619" xr:uid="{00000000-0005-0000-0000-00007C6B0000}"/>
    <cellStyle name="Normal 92 11" xfId="14404" xr:uid="{00000000-0005-0000-0000-00007D6B0000}"/>
    <cellStyle name="Normal 92 11 2" xfId="26620" xr:uid="{00000000-0005-0000-0000-00007E6B0000}"/>
    <cellStyle name="Normal 92 12" xfId="14405" xr:uid="{00000000-0005-0000-0000-00007F6B0000}"/>
    <cellStyle name="Normal 92 12 2" xfId="26621" xr:uid="{00000000-0005-0000-0000-0000806B0000}"/>
    <cellStyle name="Normal 92 13" xfId="14406" xr:uid="{00000000-0005-0000-0000-0000816B0000}"/>
    <cellStyle name="Normal 92 13 2" xfId="26622" xr:uid="{00000000-0005-0000-0000-0000826B0000}"/>
    <cellStyle name="Normal 92 14" xfId="14407" xr:uid="{00000000-0005-0000-0000-0000836B0000}"/>
    <cellStyle name="Normal 92 14 2" xfId="26623" xr:uid="{00000000-0005-0000-0000-0000846B0000}"/>
    <cellStyle name="Normal 92 15" xfId="14408" xr:uid="{00000000-0005-0000-0000-0000856B0000}"/>
    <cellStyle name="Normal 92 15 2" xfId="26624" xr:uid="{00000000-0005-0000-0000-0000866B0000}"/>
    <cellStyle name="Normal 92 16" xfId="14409" xr:uid="{00000000-0005-0000-0000-0000876B0000}"/>
    <cellStyle name="Normal 92 16 2" xfId="26625" xr:uid="{00000000-0005-0000-0000-0000886B0000}"/>
    <cellStyle name="Normal 92 17" xfId="14410" xr:uid="{00000000-0005-0000-0000-0000896B0000}"/>
    <cellStyle name="Normal 92 17 2" xfId="26626" xr:uid="{00000000-0005-0000-0000-00008A6B0000}"/>
    <cellStyle name="Normal 92 18" xfId="14411" xr:uid="{00000000-0005-0000-0000-00008B6B0000}"/>
    <cellStyle name="Normal 92 18 2" xfId="26627" xr:uid="{00000000-0005-0000-0000-00008C6B0000}"/>
    <cellStyle name="Normal 92 19" xfId="14412" xr:uid="{00000000-0005-0000-0000-00008D6B0000}"/>
    <cellStyle name="Normal 92 19 2" xfId="26628" xr:uid="{00000000-0005-0000-0000-00008E6B0000}"/>
    <cellStyle name="Normal 92 2" xfId="272" xr:uid="{00000000-0005-0000-0000-00008F6B0000}"/>
    <cellStyle name="Normal 92 2 2" xfId="26629" xr:uid="{00000000-0005-0000-0000-0000906B0000}"/>
    <cellStyle name="Normal 92 2 3" xfId="14413" xr:uid="{00000000-0005-0000-0000-0000916B0000}"/>
    <cellStyle name="Normal 92 20" xfId="14414" xr:uid="{00000000-0005-0000-0000-0000926B0000}"/>
    <cellStyle name="Normal 92 20 2" xfId="26630" xr:uid="{00000000-0005-0000-0000-0000936B0000}"/>
    <cellStyle name="Normal 92 21" xfId="14415" xr:uid="{00000000-0005-0000-0000-0000946B0000}"/>
    <cellStyle name="Normal 92 21 2" xfId="26631" xr:uid="{00000000-0005-0000-0000-0000956B0000}"/>
    <cellStyle name="Normal 92 22" xfId="14416" xr:uid="{00000000-0005-0000-0000-0000966B0000}"/>
    <cellStyle name="Normal 92 22 2" xfId="26632" xr:uid="{00000000-0005-0000-0000-0000976B0000}"/>
    <cellStyle name="Normal 92 23" xfId="14417" xr:uid="{00000000-0005-0000-0000-0000986B0000}"/>
    <cellStyle name="Normal 92 23 2" xfId="26633" xr:uid="{00000000-0005-0000-0000-0000996B0000}"/>
    <cellStyle name="Normal 92 24" xfId="14418" xr:uid="{00000000-0005-0000-0000-00009A6B0000}"/>
    <cellStyle name="Normal 92 24 2" xfId="26634" xr:uid="{00000000-0005-0000-0000-00009B6B0000}"/>
    <cellStyle name="Normal 92 25" xfId="14419" xr:uid="{00000000-0005-0000-0000-00009C6B0000}"/>
    <cellStyle name="Normal 92 25 2" xfId="26635" xr:uid="{00000000-0005-0000-0000-00009D6B0000}"/>
    <cellStyle name="Normal 92 26" xfId="14420" xr:uid="{00000000-0005-0000-0000-00009E6B0000}"/>
    <cellStyle name="Normal 92 26 2" xfId="26636" xr:uid="{00000000-0005-0000-0000-00009F6B0000}"/>
    <cellStyle name="Normal 92 27" xfId="14421" xr:uid="{00000000-0005-0000-0000-0000A06B0000}"/>
    <cellStyle name="Normal 92 27 2" xfId="26637" xr:uid="{00000000-0005-0000-0000-0000A16B0000}"/>
    <cellStyle name="Normal 92 28" xfId="14422" xr:uid="{00000000-0005-0000-0000-0000A26B0000}"/>
    <cellStyle name="Normal 92 28 2" xfId="26638" xr:uid="{00000000-0005-0000-0000-0000A36B0000}"/>
    <cellStyle name="Normal 92 29" xfId="14423" xr:uid="{00000000-0005-0000-0000-0000A46B0000}"/>
    <cellStyle name="Normal 92 29 2" xfId="26639" xr:uid="{00000000-0005-0000-0000-0000A56B0000}"/>
    <cellStyle name="Normal 92 3" xfId="433" xr:uid="{00000000-0005-0000-0000-0000A66B0000}"/>
    <cellStyle name="Normal 92 3 2" xfId="26640" xr:uid="{00000000-0005-0000-0000-0000A76B0000}"/>
    <cellStyle name="Normal 92 30" xfId="14424" xr:uid="{00000000-0005-0000-0000-0000A86B0000}"/>
    <cellStyle name="Normal 92 30 2" xfId="26641" xr:uid="{00000000-0005-0000-0000-0000A96B0000}"/>
    <cellStyle name="Normal 92 31" xfId="14425" xr:uid="{00000000-0005-0000-0000-0000AA6B0000}"/>
    <cellStyle name="Normal 92 31 2" xfId="26642" xr:uid="{00000000-0005-0000-0000-0000AB6B0000}"/>
    <cellStyle name="Normal 92 32" xfId="14426" xr:uid="{00000000-0005-0000-0000-0000AC6B0000}"/>
    <cellStyle name="Normal 92 32 2" xfId="26643" xr:uid="{00000000-0005-0000-0000-0000AD6B0000}"/>
    <cellStyle name="Normal 92 33" xfId="14427" xr:uid="{00000000-0005-0000-0000-0000AE6B0000}"/>
    <cellStyle name="Normal 92 33 2" xfId="26644" xr:uid="{00000000-0005-0000-0000-0000AF6B0000}"/>
    <cellStyle name="Normal 92 34" xfId="14428" xr:uid="{00000000-0005-0000-0000-0000B06B0000}"/>
    <cellStyle name="Normal 92 34 2" xfId="26645" xr:uid="{00000000-0005-0000-0000-0000B16B0000}"/>
    <cellStyle name="Normal 92 35" xfId="14429" xr:uid="{00000000-0005-0000-0000-0000B26B0000}"/>
    <cellStyle name="Normal 92 35 2" xfId="26646" xr:uid="{00000000-0005-0000-0000-0000B36B0000}"/>
    <cellStyle name="Normal 92 36" xfId="14430" xr:uid="{00000000-0005-0000-0000-0000B46B0000}"/>
    <cellStyle name="Normal 92 36 2" xfId="26647" xr:uid="{00000000-0005-0000-0000-0000B56B0000}"/>
    <cellStyle name="Normal 92 37" xfId="14431" xr:uid="{00000000-0005-0000-0000-0000B66B0000}"/>
    <cellStyle name="Normal 92 37 2" xfId="26648" xr:uid="{00000000-0005-0000-0000-0000B76B0000}"/>
    <cellStyle name="Normal 92 38" xfId="14432" xr:uid="{00000000-0005-0000-0000-0000B86B0000}"/>
    <cellStyle name="Normal 92 38 2" xfId="26649" xr:uid="{00000000-0005-0000-0000-0000B96B0000}"/>
    <cellStyle name="Normal 92 39" xfId="14433" xr:uid="{00000000-0005-0000-0000-0000BA6B0000}"/>
    <cellStyle name="Normal 92 39 2" xfId="26650" xr:uid="{00000000-0005-0000-0000-0000BB6B0000}"/>
    <cellStyle name="Normal 92 4" xfId="14434" xr:uid="{00000000-0005-0000-0000-0000BC6B0000}"/>
    <cellStyle name="Normal 92 4 2" xfId="26651" xr:uid="{00000000-0005-0000-0000-0000BD6B0000}"/>
    <cellStyle name="Normal 92 40" xfId="14435" xr:uid="{00000000-0005-0000-0000-0000BE6B0000}"/>
    <cellStyle name="Normal 92 40 2" xfId="26652" xr:uid="{00000000-0005-0000-0000-0000BF6B0000}"/>
    <cellStyle name="Normal 92 41" xfId="14436" xr:uid="{00000000-0005-0000-0000-0000C06B0000}"/>
    <cellStyle name="Normal 92 41 2" xfId="26653" xr:uid="{00000000-0005-0000-0000-0000C16B0000}"/>
    <cellStyle name="Normal 92 42" xfId="14437" xr:uid="{00000000-0005-0000-0000-0000C26B0000}"/>
    <cellStyle name="Normal 92 42 2" xfId="26654" xr:uid="{00000000-0005-0000-0000-0000C36B0000}"/>
    <cellStyle name="Normal 92 43" xfId="14438" xr:uid="{00000000-0005-0000-0000-0000C46B0000}"/>
    <cellStyle name="Normal 92 43 2" xfId="26655" xr:uid="{00000000-0005-0000-0000-0000C56B0000}"/>
    <cellStyle name="Normal 92 44" xfId="14439" xr:uid="{00000000-0005-0000-0000-0000C66B0000}"/>
    <cellStyle name="Normal 92 44 2" xfId="26656" xr:uid="{00000000-0005-0000-0000-0000C76B0000}"/>
    <cellStyle name="Normal 92 45" xfId="14440" xr:uid="{00000000-0005-0000-0000-0000C86B0000}"/>
    <cellStyle name="Normal 92 45 2" xfId="26657" xr:uid="{00000000-0005-0000-0000-0000C96B0000}"/>
    <cellStyle name="Normal 92 46" xfId="14441" xr:uid="{00000000-0005-0000-0000-0000CA6B0000}"/>
    <cellStyle name="Normal 92 46 2" xfId="26658" xr:uid="{00000000-0005-0000-0000-0000CB6B0000}"/>
    <cellStyle name="Normal 92 47" xfId="14442" xr:uid="{00000000-0005-0000-0000-0000CC6B0000}"/>
    <cellStyle name="Normal 92 47 2" xfId="26659" xr:uid="{00000000-0005-0000-0000-0000CD6B0000}"/>
    <cellStyle name="Normal 92 48" xfId="14443" xr:uid="{00000000-0005-0000-0000-0000CE6B0000}"/>
    <cellStyle name="Normal 92 48 2" xfId="26660" xr:uid="{00000000-0005-0000-0000-0000CF6B0000}"/>
    <cellStyle name="Normal 92 49" xfId="14444" xr:uid="{00000000-0005-0000-0000-0000D06B0000}"/>
    <cellStyle name="Normal 92 49 2" xfId="26661" xr:uid="{00000000-0005-0000-0000-0000D16B0000}"/>
    <cellStyle name="Normal 92 5" xfId="14445" xr:uid="{00000000-0005-0000-0000-0000D26B0000}"/>
    <cellStyle name="Normal 92 5 2" xfId="26662" xr:uid="{00000000-0005-0000-0000-0000D36B0000}"/>
    <cellStyle name="Normal 92 50" xfId="14446" xr:uid="{00000000-0005-0000-0000-0000D46B0000}"/>
    <cellStyle name="Normal 92 50 2" xfId="26663" xr:uid="{00000000-0005-0000-0000-0000D56B0000}"/>
    <cellStyle name="Normal 92 51" xfId="14447" xr:uid="{00000000-0005-0000-0000-0000D66B0000}"/>
    <cellStyle name="Normal 92 51 2" xfId="26664" xr:uid="{00000000-0005-0000-0000-0000D76B0000}"/>
    <cellStyle name="Normal 92 52" xfId="14448" xr:uid="{00000000-0005-0000-0000-0000D86B0000}"/>
    <cellStyle name="Normal 92 52 2" xfId="26665" xr:uid="{00000000-0005-0000-0000-0000D96B0000}"/>
    <cellStyle name="Normal 92 53" xfId="14449" xr:uid="{00000000-0005-0000-0000-0000DA6B0000}"/>
    <cellStyle name="Normal 92 53 2" xfId="26666" xr:uid="{00000000-0005-0000-0000-0000DB6B0000}"/>
    <cellStyle name="Normal 92 54" xfId="14450" xr:uid="{00000000-0005-0000-0000-0000DC6B0000}"/>
    <cellStyle name="Normal 92 54 2" xfId="26667" xr:uid="{00000000-0005-0000-0000-0000DD6B0000}"/>
    <cellStyle name="Normal 92 55" xfId="14451" xr:uid="{00000000-0005-0000-0000-0000DE6B0000}"/>
    <cellStyle name="Normal 92 55 2" xfId="26668" xr:uid="{00000000-0005-0000-0000-0000DF6B0000}"/>
    <cellStyle name="Normal 92 56" xfId="14452" xr:uid="{00000000-0005-0000-0000-0000E06B0000}"/>
    <cellStyle name="Normal 92 56 2" xfId="26669" xr:uid="{00000000-0005-0000-0000-0000E16B0000}"/>
    <cellStyle name="Normal 92 57" xfId="14453" xr:uid="{00000000-0005-0000-0000-0000E26B0000}"/>
    <cellStyle name="Normal 92 57 2" xfId="26670" xr:uid="{00000000-0005-0000-0000-0000E36B0000}"/>
    <cellStyle name="Normal 92 58" xfId="14454" xr:uid="{00000000-0005-0000-0000-0000E46B0000}"/>
    <cellStyle name="Normal 92 58 2" xfId="26671" xr:uid="{00000000-0005-0000-0000-0000E56B0000}"/>
    <cellStyle name="Normal 92 59" xfId="14455" xr:uid="{00000000-0005-0000-0000-0000E66B0000}"/>
    <cellStyle name="Normal 92 59 2" xfId="26672" xr:uid="{00000000-0005-0000-0000-0000E76B0000}"/>
    <cellStyle name="Normal 92 6" xfId="14456" xr:uid="{00000000-0005-0000-0000-0000E86B0000}"/>
    <cellStyle name="Normal 92 6 2" xfId="26673" xr:uid="{00000000-0005-0000-0000-0000E96B0000}"/>
    <cellStyle name="Normal 92 60" xfId="14457" xr:uid="{00000000-0005-0000-0000-0000EA6B0000}"/>
    <cellStyle name="Normal 92 60 2" xfId="26674" xr:uid="{00000000-0005-0000-0000-0000EB6B0000}"/>
    <cellStyle name="Normal 92 61" xfId="14458" xr:uid="{00000000-0005-0000-0000-0000EC6B0000}"/>
    <cellStyle name="Normal 92 61 2" xfId="26675" xr:uid="{00000000-0005-0000-0000-0000ED6B0000}"/>
    <cellStyle name="Normal 92 62" xfId="14459" xr:uid="{00000000-0005-0000-0000-0000EE6B0000}"/>
    <cellStyle name="Normal 92 62 2" xfId="26676" xr:uid="{00000000-0005-0000-0000-0000EF6B0000}"/>
    <cellStyle name="Normal 92 63" xfId="14460" xr:uid="{00000000-0005-0000-0000-0000F06B0000}"/>
    <cellStyle name="Normal 92 63 2" xfId="26677" xr:uid="{00000000-0005-0000-0000-0000F16B0000}"/>
    <cellStyle name="Normal 92 64" xfId="14461" xr:uid="{00000000-0005-0000-0000-0000F26B0000}"/>
    <cellStyle name="Normal 92 64 2" xfId="26678" xr:uid="{00000000-0005-0000-0000-0000F36B0000}"/>
    <cellStyle name="Normal 92 65" xfId="14462" xr:uid="{00000000-0005-0000-0000-0000F46B0000}"/>
    <cellStyle name="Normal 92 65 2" xfId="26679" xr:uid="{00000000-0005-0000-0000-0000F56B0000}"/>
    <cellStyle name="Normal 92 66" xfId="14463" xr:uid="{00000000-0005-0000-0000-0000F66B0000}"/>
    <cellStyle name="Normal 92 66 2" xfId="26680" xr:uid="{00000000-0005-0000-0000-0000F76B0000}"/>
    <cellStyle name="Normal 92 67" xfId="14464" xr:uid="{00000000-0005-0000-0000-0000F86B0000}"/>
    <cellStyle name="Normal 92 67 2" xfId="26681" xr:uid="{00000000-0005-0000-0000-0000F96B0000}"/>
    <cellStyle name="Normal 92 68" xfId="14465" xr:uid="{00000000-0005-0000-0000-0000FA6B0000}"/>
    <cellStyle name="Normal 92 68 2" xfId="26682" xr:uid="{00000000-0005-0000-0000-0000FB6B0000}"/>
    <cellStyle name="Normal 92 69" xfId="14466" xr:uid="{00000000-0005-0000-0000-0000FC6B0000}"/>
    <cellStyle name="Normal 92 69 2" xfId="26683" xr:uid="{00000000-0005-0000-0000-0000FD6B0000}"/>
    <cellStyle name="Normal 92 7" xfId="14467" xr:uid="{00000000-0005-0000-0000-0000FE6B0000}"/>
    <cellStyle name="Normal 92 7 2" xfId="26684" xr:uid="{00000000-0005-0000-0000-0000FF6B0000}"/>
    <cellStyle name="Normal 92 70" xfId="14468" xr:uid="{00000000-0005-0000-0000-0000006C0000}"/>
    <cellStyle name="Normal 92 70 2" xfId="26685" xr:uid="{00000000-0005-0000-0000-0000016C0000}"/>
    <cellStyle name="Normal 92 71" xfId="14469" xr:uid="{00000000-0005-0000-0000-0000026C0000}"/>
    <cellStyle name="Normal 92 71 2" xfId="26686" xr:uid="{00000000-0005-0000-0000-0000036C0000}"/>
    <cellStyle name="Normal 92 72" xfId="14470" xr:uid="{00000000-0005-0000-0000-0000046C0000}"/>
    <cellStyle name="Normal 92 72 2" xfId="26687" xr:uid="{00000000-0005-0000-0000-0000056C0000}"/>
    <cellStyle name="Normal 92 73" xfId="14471" xr:uid="{00000000-0005-0000-0000-0000066C0000}"/>
    <cellStyle name="Normal 92 73 2" xfId="26688" xr:uid="{00000000-0005-0000-0000-0000076C0000}"/>
    <cellStyle name="Normal 92 74" xfId="14472" xr:uid="{00000000-0005-0000-0000-0000086C0000}"/>
    <cellStyle name="Normal 92 74 2" xfId="26689" xr:uid="{00000000-0005-0000-0000-0000096C0000}"/>
    <cellStyle name="Normal 92 75" xfId="14473" xr:uid="{00000000-0005-0000-0000-00000A6C0000}"/>
    <cellStyle name="Normal 92 75 2" xfId="26690" xr:uid="{00000000-0005-0000-0000-00000B6C0000}"/>
    <cellStyle name="Normal 92 76" xfId="14474" xr:uid="{00000000-0005-0000-0000-00000C6C0000}"/>
    <cellStyle name="Normal 92 76 2" xfId="26691" xr:uid="{00000000-0005-0000-0000-00000D6C0000}"/>
    <cellStyle name="Normal 92 77" xfId="14475" xr:uid="{00000000-0005-0000-0000-00000E6C0000}"/>
    <cellStyle name="Normal 92 77 2" xfId="26692" xr:uid="{00000000-0005-0000-0000-00000F6C0000}"/>
    <cellStyle name="Normal 92 78" xfId="14476" xr:uid="{00000000-0005-0000-0000-0000106C0000}"/>
    <cellStyle name="Normal 92 78 2" xfId="26693" xr:uid="{00000000-0005-0000-0000-0000116C0000}"/>
    <cellStyle name="Normal 92 79" xfId="14477" xr:uid="{00000000-0005-0000-0000-0000126C0000}"/>
    <cellStyle name="Normal 92 79 2" xfId="26694" xr:uid="{00000000-0005-0000-0000-0000136C0000}"/>
    <cellStyle name="Normal 92 8" xfId="14478" xr:uid="{00000000-0005-0000-0000-0000146C0000}"/>
    <cellStyle name="Normal 92 8 2" xfId="26695" xr:uid="{00000000-0005-0000-0000-0000156C0000}"/>
    <cellStyle name="Normal 92 80" xfId="26618" xr:uid="{00000000-0005-0000-0000-0000166C0000}"/>
    <cellStyle name="Normal 92 9" xfId="14479" xr:uid="{00000000-0005-0000-0000-0000176C0000}"/>
    <cellStyle name="Normal 92 9 2" xfId="26696" xr:uid="{00000000-0005-0000-0000-0000186C0000}"/>
    <cellStyle name="Normal 93" xfId="219" xr:uid="{00000000-0005-0000-0000-0000196C0000}"/>
    <cellStyle name="Normal 93 10" xfId="14480" xr:uid="{00000000-0005-0000-0000-00001A6C0000}"/>
    <cellStyle name="Normal 93 10 2" xfId="26698" xr:uid="{00000000-0005-0000-0000-00001B6C0000}"/>
    <cellStyle name="Normal 93 11" xfId="14481" xr:uid="{00000000-0005-0000-0000-00001C6C0000}"/>
    <cellStyle name="Normal 93 11 2" xfId="26699" xr:uid="{00000000-0005-0000-0000-00001D6C0000}"/>
    <cellStyle name="Normal 93 12" xfId="14482" xr:uid="{00000000-0005-0000-0000-00001E6C0000}"/>
    <cellStyle name="Normal 93 12 2" xfId="26700" xr:uid="{00000000-0005-0000-0000-00001F6C0000}"/>
    <cellStyle name="Normal 93 13" xfId="14483" xr:uid="{00000000-0005-0000-0000-0000206C0000}"/>
    <cellStyle name="Normal 93 13 2" xfId="26701" xr:uid="{00000000-0005-0000-0000-0000216C0000}"/>
    <cellStyle name="Normal 93 14" xfId="14484" xr:uid="{00000000-0005-0000-0000-0000226C0000}"/>
    <cellStyle name="Normal 93 14 2" xfId="26702" xr:uid="{00000000-0005-0000-0000-0000236C0000}"/>
    <cellStyle name="Normal 93 15" xfId="14485" xr:uid="{00000000-0005-0000-0000-0000246C0000}"/>
    <cellStyle name="Normal 93 15 2" xfId="26703" xr:uid="{00000000-0005-0000-0000-0000256C0000}"/>
    <cellStyle name="Normal 93 16" xfId="14486" xr:uid="{00000000-0005-0000-0000-0000266C0000}"/>
    <cellStyle name="Normal 93 16 2" xfId="26704" xr:uid="{00000000-0005-0000-0000-0000276C0000}"/>
    <cellStyle name="Normal 93 17" xfId="14487" xr:uid="{00000000-0005-0000-0000-0000286C0000}"/>
    <cellStyle name="Normal 93 17 2" xfId="26705" xr:uid="{00000000-0005-0000-0000-0000296C0000}"/>
    <cellStyle name="Normal 93 18" xfId="14488" xr:uid="{00000000-0005-0000-0000-00002A6C0000}"/>
    <cellStyle name="Normal 93 18 2" xfId="26706" xr:uid="{00000000-0005-0000-0000-00002B6C0000}"/>
    <cellStyle name="Normal 93 19" xfId="14489" xr:uid="{00000000-0005-0000-0000-00002C6C0000}"/>
    <cellStyle name="Normal 93 19 2" xfId="26707" xr:uid="{00000000-0005-0000-0000-00002D6C0000}"/>
    <cellStyle name="Normal 93 2" xfId="273" xr:uid="{00000000-0005-0000-0000-00002E6C0000}"/>
    <cellStyle name="Normal 93 2 2" xfId="26708" xr:uid="{00000000-0005-0000-0000-00002F6C0000}"/>
    <cellStyle name="Normal 93 2 3" xfId="14490" xr:uid="{00000000-0005-0000-0000-0000306C0000}"/>
    <cellStyle name="Normal 93 20" xfId="14491" xr:uid="{00000000-0005-0000-0000-0000316C0000}"/>
    <cellStyle name="Normal 93 20 2" xfId="26709" xr:uid="{00000000-0005-0000-0000-0000326C0000}"/>
    <cellStyle name="Normal 93 21" xfId="14492" xr:uid="{00000000-0005-0000-0000-0000336C0000}"/>
    <cellStyle name="Normal 93 21 2" xfId="26710" xr:uid="{00000000-0005-0000-0000-0000346C0000}"/>
    <cellStyle name="Normal 93 22" xfId="14493" xr:uid="{00000000-0005-0000-0000-0000356C0000}"/>
    <cellStyle name="Normal 93 22 2" xfId="26711" xr:uid="{00000000-0005-0000-0000-0000366C0000}"/>
    <cellStyle name="Normal 93 23" xfId="14494" xr:uid="{00000000-0005-0000-0000-0000376C0000}"/>
    <cellStyle name="Normal 93 23 2" xfId="26712" xr:uid="{00000000-0005-0000-0000-0000386C0000}"/>
    <cellStyle name="Normal 93 24" xfId="14495" xr:uid="{00000000-0005-0000-0000-0000396C0000}"/>
    <cellStyle name="Normal 93 24 2" xfId="26713" xr:uid="{00000000-0005-0000-0000-00003A6C0000}"/>
    <cellStyle name="Normal 93 25" xfId="14496" xr:uid="{00000000-0005-0000-0000-00003B6C0000}"/>
    <cellStyle name="Normal 93 25 2" xfId="26714" xr:uid="{00000000-0005-0000-0000-00003C6C0000}"/>
    <cellStyle name="Normal 93 26" xfId="14497" xr:uid="{00000000-0005-0000-0000-00003D6C0000}"/>
    <cellStyle name="Normal 93 26 2" xfId="26715" xr:uid="{00000000-0005-0000-0000-00003E6C0000}"/>
    <cellStyle name="Normal 93 27" xfId="14498" xr:uid="{00000000-0005-0000-0000-00003F6C0000}"/>
    <cellStyle name="Normal 93 27 2" xfId="26716" xr:uid="{00000000-0005-0000-0000-0000406C0000}"/>
    <cellStyle name="Normal 93 28" xfId="14499" xr:uid="{00000000-0005-0000-0000-0000416C0000}"/>
    <cellStyle name="Normal 93 28 2" xfId="26717" xr:uid="{00000000-0005-0000-0000-0000426C0000}"/>
    <cellStyle name="Normal 93 29" xfId="14500" xr:uid="{00000000-0005-0000-0000-0000436C0000}"/>
    <cellStyle name="Normal 93 29 2" xfId="26718" xr:uid="{00000000-0005-0000-0000-0000446C0000}"/>
    <cellStyle name="Normal 93 3" xfId="434" xr:uid="{00000000-0005-0000-0000-0000456C0000}"/>
    <cellStyle name="Normal 93 3 2" xfId="26719" xr:uid="{00000000-0005-0000-0000-0000466C0000}"/>
    <cellStyle name="Normal 93 30" xfId="14501" xr:uid="{00000000-0005-0000-0000-0000476C0000}"/>
    <cellStyle name="Normal 93 30 2" xfId="26720" xr:uid="{00000000-0005-0000-0000-0000486C0000}"/>
    <cellStyle name="Normal 93 31" xfId="14502" xr:uid="{00000000-0005-0000-0000-0000496C0000}"/>
    <cellStyle name="Normal 93 31 2" xfId="26721" xr:uid="{00000000-0005-0000-0000-00004A6C0000}"/>
    <cellStyle name="Normal 93 32" xfId="14503" xr:uid="{00000000-0005-0000-0000-00004B6C0000}"/>
    <cellStyle name="Normal 93 32 2" xfId="26722" xr:uid="{00000000-0005-0000-0000-00004C6C0000}"/>
    <cellStyle name="Normal 93 33" xfId="14504" xr:uid="{00000000-0005-0000-0000-00004D6C0000}"/>
    <cellStyle name="Normal 93 33 2" xfId="26723" xr:uid="{00000000-0005-0000-0000-00004E6C0000}"/>
    <cellStyle name="Normal 93 34" xfId="14505" xr:uid="{00000000-0005-0000-0000-00004F6C0000}"/>
    <cellStyle name="Normal 93 34 2" xfId="26724" xr:uid="{00000000-0005-0000-0000-0000506C0000}"/>
    <cellStyle name="Normal 93 35" xfId="14506" xr:uid="{00000000-0005-0000-0000-0000516C0000}"/>
    <cellStyle name="Normal 93 35 2" xfId="26725" xr:uid="{00000000-0005-0000-0000-0000526C0000}"/>
    <cellStyle name="Normal 93 36" xfId="14507" xr:uid="{00000000-0005-0000-0000-0000536C0000}"/>
    <cellStyle name="Normal 93 36 2" xfId="26726" xr:uid="{00000000-0005-0000-0000-0000546C0000}"/>
    <cellStyle name="Normal 93 37" xfId="14508" xr:uid="{00000000-0005-0000-0000-0000556C0000}"/>
    <cellStyle name="Normal 93 37 2" xfId="26727" xr:uid="{00000000-0005-0000-0000-0000566C0000}"/>
    <cellStyle name="Normal 93 38" xfId="14509" xr:uid="{00000000-0005-0000-0000-0000576C0000}"/>
    <cellStyle name="Normal 93 38 2" xfId="26728" xr:uid="{00000000-0005-0000-0000-0000586C0000}"/>
    <cellStyle name="Normal 93 39" xfId="14510" xr:uid="{00000000-0005-0000-0000-0000596C0000}"/>
    <cellStyle name="Normal 93 39 2" xfId="26729" xr:uid="{00000000-0005-0000-0000-00005A6C0000}"/>
    <cellStyle name="Normal 93 4" xfId="14511" xr:uid="{00000000-0005-0000-0000-00005B6C0000}"/>
    <cellStyle name="Normal 93 4 2" xfId="26730" xr:uid="{00000000-0005-0000-0000-00005C6C0000}"/>
    <cellStyle name="Normal 93 40" xfId="14512" xr:uid="{00000000-0005-0000-0000-00005D6C0000}"/>
    <cellStyle name="Normal 93 40 2" xfId="26731" xr:uid="{00000000-0005-0000-0000-00005E6C0000}"/>
    <cellStyle name="Normal 93 41" xfId="14513" xr:uid="{00000000-0005-0000-0000-00005F6C0000}"/>
    <cellStyle name="Normal 93 41 2" xfId="26732" xr:uid="{00000000-0005-0000-0000-0000606C0000}"/>
    <cellStyle name="Normal 93 42" xfId="14514" xr:uid="{00000000-0005-0000-0000-0000616C0000}"/>
    <cellStyle name="Normal 93 42 2" xfId="26733" xr:uid="{00000000-0005-0000-0000-0000626C0000}"/>
    <cellStyle name="Normal 93 43" xfId="14515" xr:uid="{00000000-0005-0000-0000-0000636C0000}"/>
    <cellStyle name="Normal 93 43 2" xfId="26734" xr:uid="{00000000-0005-0000-0000-0000646C0000}"/>
    <cellStyle name="Normal 93 44" xfId="14516" xr:uid="{00000000-0005-0000-0000-0000656C0000}"/>
    <cellStyle name="Normal 93 44 2" xfId="26735" xr:uid="{00000000-0005-0000-0000-0000666C0000}"/>
    <cellStyle name="Normal 93 45" xfId="14517" xr:uid="{00000000-0005-0000-0000-0000676C0000}"/>
    <cellStyle name="Normal 93 45 2" xfId="26736" xr:uid="{00000000-0005-0000-0000-0000686C0000}"/>
    <cellStyle name="Normal 93 46" xfId="14518" xr:uid="{00000000-0005-0000-0000-0000696C0000}"/>
    <cellStyle name="Normal 93 46 2" xfId="26737" xr:uid="{00000000-0005-0000-0000-00006A6C0000}"/>
    <cellStyle name="Normal 93 47" xfId="14519" xr:uid="{00000000-0005-0000-0000-00006B6C0000}"/>
    <cellStyle name="Normal 93 47 2" xfId="26738" xr:uid="{00000000-0005-0000-0000-00006C6C0000}"/>
    <cellStyle name="Normal 93 48" xfId="14520" xr:uid="{00000000-0005-0000-0000-00006D6C0000}"/>
    <cellStyle name="Normal 93 48 2" xfId="26739" xr:uid="{00000000-0005-0000-0000-00006E6C0000}"/>
    <cellStyle name="Normal 93 49" xfId="14521" xr:uid="{00000000-0005-0000-0000-00006F6C0000}"/>
    <cellStyle name="Normal 93 49 2" xfId="26740" xr:uid="{00000000-0005-0000-0000-0000706C0000}"/>
    <cellStyle name="Normal 93 5" xfId="14522" xr:uid="{00000000-0005-0000-0000-0000716C0000}"/>
    <cellStyle name="Normal 93 5 2" xfId="26741" xr:uid="{00000000-0005-0000-0000-0000726C0000}"/>
    <cellStyle name="Normal 93 50" xfId="14523" xr:uid="{00000000-0005-0000-0000-0000736C0000}"/>
    <cellStyle name="Normal 93 50 2" xfId="26742" xr:uid="{00000000-0005-0000-0000-0000746C0000}"/>
    <cellStyle name="Normal 93 51" xfId="14524" xr:uid="{00000000-0005-0000-0000-0000756C0000}"/>
    <cellStyle name="Normal 93 51 2" xfId="26743" xr:uid="{00000000-0005-0000-0000-0000766C0000}"/>
    <cellStyle name="Normal 93 52" xfId="14525" xr:uid="{00000000-0005-0000-0000-0000776C0000}"/>
    <cellStyle name="Normal 93 52 2" xfId="26744" xr:uid="{00000000-0005-0000-0000-0000786C0000}"/>
    <cellStyle name="Normal 93 53" xfId="14526" xr:uid="{00000000-0005-0000-0000-0000796C0000}"/>
    <cellStyle name="Normal 93 53 2" xfId="26745" xr:uid="{00000000-0005-0000-0000-00007A6C0000}"/>
    <cellStyle name="Normal 93 54" xfId="14527" xr:uid="{00000000-0005-0000-0000-00007B6C0000}"/>
    <cellStyle name="Normal 93 54 2" xfId="26746" xr:uid="{00000000-0005-0000-0000-00007C6C0000}"/>
    <cellStyle name="Normal 93 55" xfId="14528" xr:uid="{00000000-0005-0000-0000-00007D6C0000}"/>
    <cellStyle name="Normal 93 55 2" xfId="26747" xr:uid="{00000000-0005-0000-0000-00007E6C0000}"/>
    <cellStyle name="Normal 93 56" xfId="14529" xr:uid="{00000000-0005-0000-0000-00007F6C0000}"/>
    <cellStyle name="Normal 93 56 2" xfId="26748" xr:uid="{00000000-0005-0000-0000-0000806C0000}"/>
    <cellStyle name="Normal 93 57" xfId="14530" xr:uid="{00000000-0005-0000-0000-0000816C0000}"/>
    <cellStyle name="Normal 93 57 2" xfId="26749" xr:uid="{00000000-0005-0000-0000-0000826C0000}"/>
    <cellStyle name="Normal 93 58" xfId="14531" xr:uid="{00000000-0005-0000-0000-0000836C0000}"/>
    <cellStyle name="Normal 93 58 2" xfId="26750" xr:uid="{00000000-0005-0000-0000-0000846C0000}"/>
    <cellStyle name="Normal 93 59" xfId="14532" xr:uid="{00000000-0005-0000-0000-0000856C0000}"/>
    <cellStyle name="Normal 93 59 2" xfId="26751" xr:uid="{00000000-0005-0000-0000-0000866C0000}"/>
    <cellStyle name="Normal 93 6" xfId="14533" xr:uid="{00000000-0005-0000-0000-0000876C0000}"/>
    <cellStyle name="Normal 93 6 2" xfId="26752" xr:uid="{00000000-0005-0000-0000-0000886C0000}"/>
    <cellStyle name="Normal 93 60" xfId="14534" xr:uid="{00000000-0005-0000-0000-0000896C0000}"/>
    <cellStyle name="Normal 93 60 2" xfId="26753" xr:uid="{00000000-0005-0000-0000-00008A6C0000}"/>
    <cellStyle name="Normal 93 61" xfId="14535" xr:uid="{00000000-0005-0000-0000-00008B6C0000}"/>
    <cellStyle name="Normal 93 61 2" xfId="26754" xr:uid="{00000000-0005-0000-0000-00008C6C0000}"/>
    <cellStyle name="Normal 93 62" xfId="14536" xr:uid="{00000000-0005-0000-0000-00008D6C0000}"/>
    <cellStyle name="Normal 93 62 2" xfId="26755" xr:uid="{00000000-0005-0000-0000-00008E6C0000}"/>
    <cellStyle name="Normal 93 63" xfId="14537" xr:uid="{00000000-0005-0000-0000-00008F6C0000}"/>
    <cellStyle name="Normal 93 63 2" xfId="26756" xr:uid="{00000000-0005-0000-0000-0000906C0000}"/>
    <cellStyle name="Normal 93 64" xfId="14538" xr:uid="{00000000-0005-0000-0000-0000916C0000}"/>
    <cellStyle name="Normal 93 64 2" xfId="26757" xr:uid="{00000000-0005-0000-0000-0000926C0000}"/>
    <cellStyle name="Normal 93 65" xfId="14539" xr:uid="{00000000-0005-0000-0000-0000936C0000}"/>
    <cellStyle name="Normal 93 65 2" xfId="26758" xr:uid="{00000000-0005-0000-0000-0000946C0000}"/>
    <cellStyle name="Normal 93 66" xfId="14540" xr:uid="{00000000-0005-0000-0000-0000956C0000}"/>
    <cellStyle name="Normal 93 66 2" xfId="26759" xr:uid="{00000000-0005-0000-0000-0000966C0000}"/>
    <cellStyle name="Normal 93 67" xfId="14541" xr:uid="{00000000-0005-0000-0000-0000976C0000}"/>
    <cellStyle name="Normal 93 67 2" xfId="26760" xr:uid="{00000000-0005-0000-0000-0000986C0000}"/>
    <cellStyle name="Normal 93 68" xfId="14542" xr:uid="{00000000-0005-0000-0000-0000996C0000}"/>
    <cellStyle name="Normal 93 68 2" xfId="26761" xr:uid="{00000000-0005-0000-0000-00009A6C0000}"/>
    <cellStyle name="Normal 93 69" xfId="14543" xr:uid="{00000000-0005-0000-0000-00009B6C0000}"/>
    <cellStyle name="Normal 93 69 2" xfId="26762" xr:uid="{00000000-0005-0000-0000-00009C6C0000}"/>
    <cellStyle name="Normal 93 7" xfId="14544" xr:uid="{00000000-0005-0000-0000-00009D6C0000}"/>
    <cellStyle name="Normal 93 7 2" xfId="26763" xr:uid="{00000000-0005-0000-0000-00009E6C0000}"/>
    <cellStyle name="Normal 93 70" xfId="14545" xr:uid="{00000000-0005-0000-0000-00009F6C0000}"/>
    <cellStyle name="Normal 93 70 2" xfId="26764" xr:uid="{00000000-0005-0000-0000-0000A06C0000}"/>
    <cellStyle name="Normal 93 71" xfId="14546" xr:uid="{00000000-0005-0000-0000-0000A16C0000}"/>
    <cellStyle name="Normal 93 71 2" xfId="26765" xr:uid="{00000000-0005-0000-0000-0000A26C0000}"/>
    <cellStyle name="Normal 93 72" xfId="14547" xr:uid="{00000000-0005-0000-0000-0000A36C0000}"/>
    <cellStyle name="Normal 93 72 2" xfId="26766" xr:uid="{00000000-0005-0000-0000-0000A46C0000}"/>
    <cellStyle name="Normal 93 73" xfId="14548" xr:uid="{00000000-0005-0000-0000-0000A56C0000}"/>
    <cellStyle name="Normal 93 73 2" xfId="26767" xr:uid="{00000000-0005-0000-0000-0000A66C0000}"/>
    <cellStyle name="Normal 93 74" xfId="14549" xr:uid="{00000000-0005-0000-0000-0000A76C0000}"/>
    <cellStyle name="Normal 93 74 2" xfId="26768" xr:uid="{00000000-0005-0000-0000-0000A86C0000}"/>
    <cellStyle name="Normal 93 75" xfId="14550" xr:uid="{00000000-0005-0000-0000-0000A96C0000}"/>
    <cellStyle name="Normal 93 75 2" xfId="26769" xr:uid="{00000000-0005-0000-0000-0000AA6C0000}"/>
    <cellStyle name="Normal 93 76" xfId="14551" xr:uid="{00000000-0005-0000-0000-0000AB6C0000}"/>
    <cellStyle name="Normal 93 76 2" xfId="26770" xr:uid="{00000000-0005-0000-0000-0000AC6C0000}"/>
    <cellStyle name="Normal 93 77" xfId="14552" xr:uid="{00000000-0005-0000-0000-0000AD6C0000}"/>
    <cellStyle name="Normal 93 77 2" xfId="26771" xr:uid="{00000000-0005-0000-0000-0000AE6C0000}"/>
    <cellStyle name="Normal 93 78" xfId="14553" xr:uid="{00000000-0005-0000-0000-0000AF6C0000}"/>
    <cellStyle name="Normal 93 78 2" xfId="26772" xr:uid="{00000000-0005-0000-0000-0000B06C0000}"/>
    <cellStyle name="Normal 93 79" xfId="14554" xr:uid="{00000000-0005-0000-0000-0000B16C0000}"/>
    <cellStyle name="Normal 93 79 2" xfId="26773" xr:uid="{00000000-0005-0000-0000-0000B26C0000}"/>
    <cellStyle name="Normal 93 8" xfId="14555" xr:uid="{00000000-0005-0000-0000-0000B36C0000}"/>
    <cellStyle name="Normal 93 8 2" xfId="26774" xr:uid="{00000000-0005-0000-0000-0000B46C0000}"/>
    <cellStyle name="Normal 93 80" xfId="26697" xr:uid="{00000000-0005-0000-0000-0000B56C0000}"/>
    <cellStyle name="Normal 93 9" xfId="14556" xr:uid="{00000000-0005-0000-0000-0000B66C0000}"/>
    <cellStyle name="Normal 93 9 2" xfId="26775" xr:uid="{00000000-0005-0000-0000-0000B76C0000}"/>
    <cellStyle name="Normal 94" xfId="220" xr:uid="{00000000-0005-0000-0000-0000B86C0000}"/>
    <cellStyle name="Normal 94 10" xfId="14557" xr:uid="{00000000-0005-0000-0000-0000B96C0000}"/>
    <cellStyle name="Normal 94 10 2" xfId="26777" xr:uid="{00000000-0005-0000-0000-0000BA6C0000}"/>
    <cellStyle name="Normal 94 11" xfId="14558" xr:uid="{00000000-0005-0000-0000-0000BB6C0000}"/>
    <cellStyle name="Normal 94 11 2" xfId="26778" xr:uid="{00000000-0005-0000-0000-0000BC6C0000}"/>
    <cellStyle name="Normal 94 12" xfId="14559" xr:uid="{00000000-0005-0000-0000-0000BD6C0000}"/>
    <cellStyle name="Normal 94 12 2" xfId="26779" xr:uid="{00000000-0005-0000-0000-0000BE6C0000}"/>
    <cellStyle name="Normal 94 13" xfId="14560" xr:uid="{00000000-0005-0000-0000-0000BF6C0000}"/>
    <cellStyle name="Normal 94 13 2" xfId="26780" xr:uid="{00000000-0005-0000-0000-0000C06C0000}"/>
    <cellStyle name="Normal 94 14" xfId="14561" xr:uid="{00000000-0005-0000-0000-0000C16C0000}"/>
    <cellStyle name="Normal 94 14 2" xfId="26781" xr:uid="{00000000-0005-0000-0000-0000C26C0000}"/>
    <cellStyle name="Normal 94 15" xfId="14562" xr:uid="{00000000-0005-0000-0000-0000C36C0000}"/>
    <cellStyle name="Normal 94 15 2" xfId="26782" xr:uid="{00000000-0005-0000-0000-0000C46C0000}"/>
    <cellStyle name="Normal 94 16" xfId="14563" xr:uid="{00000000-0005-0000-0000-0000C56C0000}"/>
    <cellStyle name="Normal 94 16 2" xfId="26783" xr:uid="{00000000-0005-0000-0000-0000C66C0000}"/>
    <cellStyle name="Normal 94 17" xfId="14564" xr:uid="{00000000-0005-0000-0000-0000C76C0000}"/>
    <cellStyle name="Normal 94 17 2" xfId="26784" xr:uid="{00000000-0005-0000-0000-0000C86C0000}"/>
    <cellStyle name="Normal 94 18" xfId="14565" xr:uid="{00000000-0005-0000-0000-0000C96C0000}"/>
    <cellStyle name="Normal 94 18 2" xfId="26785" xr:uid="{00000000-0005-0000-0000-0000CA6C0000}"/>
    <cellStyle name="Normal 94 19" xfId="14566" xr:uid="{00000000-0005-0000-0000-0000CB6C0000}"/>
    <cellStyle name="Normal 94 19 2" xfId="26786" xr:uid="{00000000-0005-0000-0000-0000CC6C0000}"/>
    <cellStyle name="Normal 94 2" xfId="274" xr:uid="{00000000-0005-0000-0000-0000CD6C0000}"/>
    <cellStyle name="Normal 94 2 2" xfId="26787" xr:uid="{00000000-0005-0000-0000-0000CE6C0000}"/>
    <cellStyle name="Normal 94 2 3" xfId="14567" xr:uid="{00000000-0005-0000-0000-0000CF6C0000}"/>
    <cellStyle name="Normal 94 20" xfId="14568" xr:uid="{00000000-0005-0000-0000-0000D06C0000}"/>
    <cellStyle name="Normal 94 20 2" xfId="26788" xr:uid="{00000000-0005-0000-0000-0000D16C0000}"/>
    <cellStyle name="Normal 94 21" xfId="14569" xr:uid="{00000000-0005-0000-0000-0000D26C0000}"/>
    <cellStyle name="Normal 94 21 2" xfId="26789" xr:uid="{00000000-0005-0000-0000-0000D36C0000}"/>
    <cellStyle name="Normal 94 22" xfId="14570" xr:uid="{00000000-0005-0000-0000-0000D46C0000}"/>
    <cellStyle name="Normal 94 22 2" xfId="26790" xr:uid="{00000000-0005-0000-0000-0000D56C0000}"/>
    <cellStyle name="Normal 94 23" xfId="14571" xr:uid="{00000000-0005-0000-0000-0000D66C0000}"/>
    <cellStyle name="Normal 94 23 2" xfId="26791" xr:uid="{00000000-0005-0000-0000-0000D76C0000}"/>
    <cellStyle name="Normal 94 24" xfId="14572" xr:uid="{00000000-0005-0000-0000-0000D86C0000}"/>
    <cellStyle name="Normal 94 24 2" xfId="26792" xr:uid="{00000000-0005-0000-0000-0000D96C0000}"/>
    <cellStyle name="Normal 94 25" xfId="14573" xr:uid="{00000000-0005-0000-0000-0000DA6C0000}"/>
    <cellStyle name="Normal 94 25 2" xfId="26793" xr:uid="{00000000-0005-0000-0000-0000DB6C0000}"/>
    <cellStyle name="Normal 94 26" xfId="14574" xr:uid="{00000000-0005-0000-0000-0000DC6C0000}"/>
    <cellStyle name="Normal 94 26 2" xfId="26794" xr:uid="{00000000-0005-0000-0000-0000DD6C0000}"/>
    <cellStyle name="Normal 94 27" xfId="14575" xr:uid="{00000000-0005-0000-0000-0000DE6C0000}"/>
    <cellStyle name="Normal 94 27 2" xfId="26795" xr:uid="{00000000-0005-0000-0000-0000DF6C0000}"/>
    <cellStyle name="Normal 94 28" xfId="14576" xr:uid="{00000000-0005-0000-0000-0000E06C0000}"/>
    <cellStyle name="Normal 94 28 2" xfId="26796" xr:uid="{00000000-0005-0000-0000-0000E16C0000}"/>
    <cellStyle name="Normal 94 29" xfId="14577" xr:uid="{00000000-0005-0000-0000-0000E26C0000}"/>
    <cellStyle name="Normal 94 29 2" xfId="26797" xr:uid="{00000000-0005-0000-0000-0000E36C0000}"/>
    <cellStyle name="Normal 94 3" xfId="435" xr:uid="{00000000-0005-0000-0000-0000E46C0000}"/>
    <cellStyle name="Normal 94 3 2" xfId="26798" xr:uid="{00000000-0005-0000-0000-0000E56C0000}"/>
    <cellStyle name="Normal 94 30" xfId="14578" xr:uid="{00000000-0005-0000-0000-0000E66C0000}"/>
    <cellStyle name="Normal 94 30 2" xfId="26799" xr:uid="{00000000-0005-0000-0000-0000E76C0000}"/>
    <cellStyle name="Normal 94 31" xfId="14579" xr:uid="{00000000-0005-0000-0000-0000E86C0000}"/>
    <cellStyle name="Normal 94 31 2" xfId="26800" xr:uid="{00000000-0005-0000-0000-0000E96C0000}"/>
    <cellStyle name="Normal 94 32" xfId="14580" xr:uid="{00000000-0005-0000-0000-0000EA6C0000}"/>
    <cellStyle name="Normal 94 32 2" xfId="26801" xr:uid="{00000000-0005-0000-0000-0000EB6C0000}"/>
    <cellStyle name="Normal 94 33" xfId="14581" xr:uid="{00000000-0005-0000-0000-0000EC6C0000}"/>
    <cellStyle name="Normal 94 33 2" xfId="26802" xr:uid="{00000000-0005-0000-0000-0000ED6C0000}"/>
    <cellStyle name="Normal 94 34" xfId="14582" xr:uid="{00000000-0005-0000-0000-0000EE6C0000}"/>
    <cellStyle name="Normal 94 34 2" xfId="26803" xr:uid="{00000000-0005-0000-0000-0000EF6C0000}"/>
    <cellStyle name="Normal 94 35" xfId="14583" xr:uid="{00000000-0005-0000-0000-0000F06C0000}"/>
    <cellStyle name="Normal 94 35 2" xfId="26804" xr:uid="{00000000-0005-0000-0000-0000F16C0000}"/>
    <cellStyle name="Normal 94 36" xfId="14584" xr:uid="{00000000-0005-0000-0000-0000F26C0000}"/>
    <cellStyle name="Normal 94 36 2" xfId="26805" xr:uid="{00000000-0005-0000-0000-0000F36C0000}"/>
    <cellStyle name="Normal 94 37" xfId="14585" xr:uid="{00000000-0005-0000-0000-0000F46C0000}"/>
    <cellStyle name="Normal 94 37 2" xfId="26806" xr:uid="{00000000-0005-0000-0000-0000F56C0000}"/>
    <cellStyle name="Normal 94 38" xfId="14586" xr:uid="{00000000-0005-0000-0000-0000F66C0000}"/>
    <cellStyle name="Normal 94 38 2" xfId="26807" xr:uid="{00000000-0005-0000-0000-0000F76C0000}"/>
    <cellStyle name="Normal 94 39" xfId="14587" xr:uid="{00000000-0005-0000-0000-0000F86C0000}"/>
    <cellStyle name="Normal 94 39 2" xfId="26808" xr:uid="{00000000-0005-0000-0000-0000F96C0000}"/>
    <cellStyle name="Normal 94 4" xfId="14588" xr:uid="{00000000-0005-0000-0000-0000FA6C0000}"/>
    <cellStyle name="Normal 94 4 2" xfId="26809" xr:uid="{00000000-0005-0000-0000-0000FB6C0000}"/>
    <cellStyle name="Normal 94 40" xfId="14589" xr:uid="{00000000-0005-0000-0000-0000FC6C0000}"/>
    <cellStyle name="Normal 94 40 2" xfId="26810" xr:uid="{00000000-0005-0000-0000-0000FD6C0000}"/>
    <cellStyle name="Normal 94 41" xfId="14590" xr:uid="{00000000-0005-0000-0000-0000FE6C0000}"/>
    <cellStyle name="Normal 94 41 2" xfId="26811" xr:uid="{00000000-0005-0000-0000-0000FF6C0000}"/>
    <cellStyle name="Normal 94 42" xfId="14591" xr:uid="{00000000-0005-0000-0000-0000006D0000}"/>
    <cellStyle name="Normal 94 42 2" xfId="26812" xr:uid="{00000000-0005-0000-0000-0000016D0000}"/>
    <cellStyle name="Normal 94 43" xfId="14592" xr:uid="{00000000-0005-0000-0000-0000026D0000}"/>
    <cellStyle name="Normal 94 43 2" xfId="26813" xr:uid="{00000000-0005-0000-0000-0000036D0000}"/>
    <cellStyle name="Normal 94 44" xfId="14593" xr:uid="{00000000-0005-0000-0000-0000046D0000}"/>
    <cellStyle name="Normal 94 44 2" xfId="26814" xr:uid="{00000000-0005-0000-0000-0000056D0000}"/>
    <cellStyle name="Normal 94 45" xfId="14594" xr:uid="{00000000-0005-0000-0000-0000066D0000}"/>
    <cellStyle name="Normal 94 45 2" xfId="26815" xr:uid="{00000000-0005-0000-0000-0000076D0000}"/>
    <cellStyle name="Normal 94 46" xfId="14595" xr:uid="{00000000-0005-0000-0000-0000086D0000}"/>
    <cellStyle name="Normal 94 46 2" xfId="26816" xr:uid="{00000000-0005-0000-0000-0000096D0000}"/>
    <cellStyle name="Normal 94 47" xfId="14596" xr:uid="{00000000-0005-0000-0000-00000A6D0000}"/>
    <cellStyle name="Normal 94 47 2" xfId="26817" xr:uid="{00000000-0005-0000-0000-00000B6D0000}"/>
    <cellStyle name="Normal 94 48" xfId="14597" xr:uid="{00000000-0005-0000-0000-00000C6D0000}"/>
    <cellStyle name="Normal 94 48 2" xfId="26818" xr:uid="{00000000-0005-0000-0000-00000D6D0000}"/>
    <cellStyle name="Normal 94 49" xfId="14598" xr:uid="{00000000-0005-0000-0000-00000E6D0000}"/>
    <cellStyle name="Normal 94 49 2" xfId="26819" xr:uid="{00000000-0005-0000-0000-00000F6D0000}"/>
    <cellStyle name="Normal 94 5" xfId="14599" xr:uid="{00000000-0005-0000-0000-0000106D0000}"/>
    <cellStyle name="Normal 94 5 2" xfId="26820" xr:uid="{00000000-0005-0000-0000-0000116D0000}"/>
    <cellStyle name="Normal 94 50" xfId="14600" xr:uid="{00000000-0005-0000-0000-0000126D0000}"/>
    <cellStyle name="Normal 94 50 2" xfId="26821" xr:uid="{00000000-0005-0000-0000-0000136D0000}"/>
    <cellStyle name="Normal 94 51" xfId="14601" xr:uid="{00000000-0005-0000-0000-0000146D0000}"/>
    <cellStyle name="Normal 94 51 2" xfId="26822" xr:uid="{00000000-0005-0000-0000-0000156D0000}"/>
    <cellStyle name="Normal 94 52" xfId="14602" xr:uid="{00000000-0005-0000-0000-0000166D0000}"/>
    <cellStyle name="Normal 94 52 2" xfId="26823" xr:uid="{00000000-0005-0000-0000-0000176D0000}"/>
    <cellStyle name="Normal 94 53" xfId="14603" xr:uid="{00000000-0005-0000-0000-0000186D0000}"/>
    <cellStyle name="Normal 94 53 2" xfId="26824" xr:uid="{00000000-0005-0000-0000-0000196D0000}"/>
    <cellStyle name="Normal 94 54" xfId="14604" xr:uid="{00000000-0005-0000-0000-00001A6D0000}"/>
    <cellStyle name="Normal 94 54 2" xfId="26825" xr:uid="{00000000-0005-0000-0000-00001B6D0000}"/>
    <cellStyle name="Normal 94 55" xfId="14605" xr:uid="{00000000-0005-0000-0000-00001C6D0000}"/>
    <cellStyle name="Normal 94 55 2" xfId="26826" xr:uid="{00000000-0005-0000-0000-00001D6D0000}"/>
    <cellStyle name="Normal 94 56" xfId="14606" xr:uid="{00000000-0005-0000-0000-00001E6D0000}"/>
    <cellStyle name="Normal 94 56 2" xfId="26827" xr:uid="{00000000-0005-0000-0000-00001F6D0000}"/>
    <cellStyle name="Normal 94 57" xfId="14607" xr:uid="{00000000-0005-0000-0000-0000206D0000}"/>
    <cellStyle name="Normal 94 57 2" xfId="26828" xr:uid="{00000000-0005-0000-0000-0000216D0000}"/>
    <cellStyle name="Normal 94 58" xfId="14608" xr:uid="{00000000-0005-0000-0000-0000226D0000}"/>
    <cellStyle name="Normal 94 58 2" xfId="26829" xr:uid="{00000000-0005-0000-0000-0000236D0000}"/>
    <cellStyle name="Normal 94 59" xfId="14609" xr:uid="{00000000-0005-0000-0000-0000246D0000}"/>
    <cellStyle name="Normal 94 59 2" xfId="26830" xr:uid="{00000000-0005-0000-0000-0000256D0000}"/>
    <cellStyle name="Normal 94 6" xfId="14610" xr:uid="{00000000-0005-0000-0000-0000266D0000}"/>
    <cellStyle name="Normal 94 6 2" xfId="26831" xr:uid="{00000000-0005-0000-0000-0000276D0000}"/>
    <cellStyle name="Normal 94 60" xfId="14611" xr:uid="{00000000-0005-0000-0000-0000286D0000}"/>
    <cellStyle name="Normal 94 60 2" xfId="26832" xr:uid="{00000000-0005-0000-0000-0000296D0000}"/>
    <cellStyle name="Normal 94 61" xfId="14612" xr:uid="{00000000-0005-0000-0000-00002A6D0000}"/>
    <cellStyle name="Normal 94 61 2" xfId="26833" xr:uid="{00000000-0005-0000-0000-00002B6D0000}"/>
    <cellStyle name="Normal 94 62" xfId="14613" xr:uid="{00000000-0005-0000-0000-00002C6D0000}"/>
    <cellStyle name="Normal 94 62 2" xfId="26834" xr:uid="{00000000-0005-0000-0000-00002D6D0000}"/>
    <cellStyle name="Normal 94 63" xfId="14614" xr:uid="{00000000-0005-0000-0000-00002E6D0000}"/>
    <cellStyle name="Normal 94 63 2" xfId="26835" xr:uid="{00000000-0005-0000-0000-00002F6D0000}"/>
    <cellStyle name="Normal 94 64" xfId="14615" xr:uid="{00000000-0005-0000-0000-0000306D0000}"/>
    <cellStyle name="Normal 94 64 2" xfId="26836" xr:uid="{00000000-0005-0000-0000-0000316D0000}"/>
    <cellStyle name="Normal 94 65" xfId="14616" xr:uid="{00000000-0005-0000-0000-0000326D0000}"/>
    <cellStyle name="Normal 94 65 2" xfId="26837" xr:uid="{00000000-0005-0000-0000-0000336D0000}"/>
    <cellStyle name="Normal 94 66" xfId="14617" xr:uid="{00000000-0005-0000-0000-0000346D0000}"/>
    <cellStyle name="Normal 94 66 2" xfId="26838" xr:uid="{00000000-0005-0000-0000-0000356D0000}"/>
    <cellStyle name="Normal 94 67" xfId="14618" xr:uid="{00000000-0005-0000-0000-0000366D0000}"/>
    <cellStyle name="Normal 94 67 2" xfId="26839" xr:uid="{00000000-0005-0000-0000-0000376D0000}"/>
    <cellStyle name="Normal 94 68" xfId="14619" xr:uid="{00000000-0005-0000-0000-0000386D0000}"/>
    <cellStyle name="Normal 94 68 2" xfId="26840" xr:uid="{00000000-0005-0000-0000-0000396D0000}"/>
    <cellStyle name="Normal 94 69" xfId="14620" xr:uid="{00000000-0005-0000-0000-00003A6D0000}"/>
    <cellStyle name="Normal 94 69 2" xfId="26841" xr:uid="{00000000-0005-0000-0000-00003B6D0000}"/>
    <cellStyle name="Normal 94 7" xfId="14621" xr:uid="{00000000-0005-0000-0000-00003C6D0000}"/>
    <cellStyle name="Normal 94 7 2" xfId="26842" xr:uid="{00000000-0005-0000-0000-00003D6D0000}"/>
    <cellStyle name="Normal 94 70" xfId="14622" xr:uid="{00000000-0005-0000-0000-00003E6D0000}"/>
    <cellStyle name="Normal 94 70 2" xfId="26843" xr:uid="{00000000-0005-0000-0000-00003F6D0000}"/>
    <cellStyle name="Normal 94 71" xfId="14623" xr:uid="{00000000-0005-0000-0000-0000406D0000}"/>
    <cellStyle name="Normal 94 71 2" xfId="26844" xr:uid="{00000000-0005-0000-0000-0000416D0000}"/>
    <cellStyle name="Normal 94 72" xfId="14624" xr:uid="{00000000-0005-0000-0000-0000426D0000}"/>
    <cellStyle name="Normal 94 72 2" xfId="26845" xr:uid="{00000000-0005-0000-0000-0000436D0000}"/>
    <cellStyle name="Normal 94 73" xfId="14625" xr:uid="{00000000-0005-0000-0000-0000446D0000}"/>
    <cellStyle name="Normal 94 73 2" xfId="26846" xr:uid="{00000000-0005-0000-0000-0000456D0000}"/>
    <cellStyle name="Normal 94 74" xfId="14626" xr:uid="{00000000-0005-0000-0000-0000466D0000}"/>
    <cellStyle name="Normal 94 74 2" xfId="26847" xr:uid="{00000000-0005-0000-0000-0000476D0000}"/>
    <cellStyle name="Normal 94 75" xfId="14627" xr:uid="{00000000-0005-0000-0000-0000486D0000}"/>
    <cellStyle name="Normal 94 75 2" xfId="26848" xr:uid="{00000000-0005-0000-0000-0000496D0000}"/>
    <cellStyle name="Normal 94 76" xfId="14628" xr:uid="{00000000-0005-0000-0000-00004A6D0000}"/>
    <cellStyle name="Normal 94 76 2" xfId="26849" xr:uid="{00000000-0005-0000-0000-00004B6D0000}"/>
    <cellStyle name="Normal 94 77" xfId="14629" xr:uid="{00000000-0005-0000-0000-00004C6D0000}"/>
    <cellStyle name="Normal 94 77 2" xfId="26850" xr:uid="{00000000-0005-0000-0000-00004D6D0000}"/>
    <cellStyle name="Normal 94 78" xfId="14630" xr:uid="{00000000-0005-0000-0000-00004E6D0000}"/>
    <cellStyle name="Normal 94 78 2" xfId="26851" xr:uid="{00000000-0005-0000-0000-00004F6D0000}"/>
    <cellStyle name="Normal 94 79" xfId="14631" xr:uid="{00000000-0005-0000-0000-0000506D0000}"/>
    <cellStyle name="Normal 94 79 2" xfId="26852" xr:uid="{00000000-0005-0000-0000-0000516D0000}"/>
    <cellStyle name="Normal 94 8" xfId="14632" xr:uid="{00000000-0005-0000-0000-0000526D0000}"/>
    <cellStyle name="Normal 94 8 2" xfId="26853" xr:uid="{00000000-0005-0000-0000-0000536D0000}"/>
    <cellStyle name="Normal 94 80" xfId="26776" xr:uid="{00000000-0005-0000-0000-0000546D0000}"/>
    <cellStyle name="Normal 94 9" xfId="14633" xr:uid="{00000000-0005-0000-0000-0000556D0000}"/>
    <cellStyle name="Normal 94 9 2" xfId="26854" xr:uid="{00000000-0005-0000-0000-0000566D0000}"/>
    <cellStyle name="Normal 95" xfId="221" xr:uid="{00000000-0005-0000-0000-0000576D0000}"/>
    <cellStyle name="Normal 95 10" xfId="14634" xr:uid="{00000000-0005-0000-0000-0000586D0000}"/>
    <cellStyle name="Normal 95 10 2" xfId="26856" xr:uid="{00000000-0005-0000-0000-0000596D0000}"/>
    <cellStyle name="Normal 95 11" xfId="14635" xr:uid="{00000000-0005-0000-0000-00005A6D0000}"/>
    <cellStyle name="Normal 95 11 2" xfId="26857" xr:uid="{00000000-0005-0000-0000-00005B6D0000}"/>
    <cellStyle name="Normal 95 12" xfId="14636" xr:uid="{00000000-0005-0000-0000-00005C6D0000}"/>
    <cellStyle name="Normal 95 12 2" xfId="26858" xr:uid="{00000000-0005-0000-0000-00005D6D0000}"/>
    <cellStyle name="Normal 95 13" xfId="14637" xr:uid="{00000000-0005-0000-0000-00005E6D0000}"/>
    <cellStyle name="Normal 95 13 2" xfId="26859" xr:uid="{00000000-0005-0000-0000-00005F6D0000}"/>
    <cellStyle name="Normal 95 14" xfId="14638" xr:uid="{00000000-0005-0000-0000-0000606D0000}"/>
    <cellStyle name="Normal 95 14 2" xfId="26860" xr:uid="{00000000-0005-0000-0000-0000616D0000}"/>
    <cellStyle name="Normal 95 15" xfId="14639" xr:uid="{00000000-0005-0000-0000-0000626D0000}"/>
    <cellStyle name="Normal 95 15 2" xfId="26861" xr:uid="{00000000-0005-0000-0000-0000636D0000}"/>
    <cellStyle name="Normal 95 16" xfId="14640" xr:uid="{00000000-0005-0000-0000-0000646D0000}"/>
    <cellStyle name="Normal 95 16 2" xfId="26862" xr:uid="{00000000-0005-0000-0000-0000656D0000}"/>
    <cellStyle name="Normal 95 17" xfId="14641" xr:uid="{00000000-0005-0000-0000-0000666D0000}"/>
    <cellStyle name="Normal 95 17 2" xfId="26863" xr:uid="{00000000-0005-0000-0000-0000676D0000}"/>
    <cellStyle name="Normal 95 18" xfId="14642" xr:uid="{00000000-0005-0000-0000-0000686D0000}"/>
    <cellStyle name="Normal 95 18 2" xfId="26864" xr:uid="{00000000-0005-0000-0000-0000696D0000}"/>
    <cellStyle name="Normal 95 19" xfId="14643" xr:uid="{00000000-0005-0000-0000-00006A6D0000}"/>
    <cellStyle name="Normal 95 19 2" xfId="26865" xr:uid="{00000000-0005-0000-0000-00006B6D0000}"/>
    <cellStyle name="Normal 95 2" xfId="275" xr:uid="{00000000-0005-0000-0000-00006C6D0000}"/>
    <cellStyle name="Normal 95 2 2" xfId="1502" xr:uid="{00000000-0005-0000-0000-00006D6D0000}"/>
    <cellStyle name="Normal 95 2 2 2" xfId="1505" xr:uid="{00000000-0005-0000-0000-00006E6D0000}"/>
    <cellStyle name="Normal 95 2 3" xfId="809" xr:uid="{00000000-0005-0000-0000-00006F6D0000}"/>
    <cellStyle name="Normal 95 2 4" xfId="1520" xr:uid="{00000000-0005-0000-0000-0000706D0000}"/>
    <cellStyle name="Normal 95 20" xfId="14644" xr:uid="{00000000-0005-0000-0000-0000716D0000}"/>
    <cellStyle name="Normal 95 20 2" xfId="26866" xr:uid="{00000000-0005-0000-0000-0000726D0000}"/>
    <cellStyle name="Normal 95 21" xfId="14645" xr:uid="{00000000-0005-0000-0000-0000736D0000}"/>
    <cellStyle name="Normal 95 21 2" xfId="26867" xr:uid="{00000000-0005-0000-0000-0000746D0000}"/>
    <cellStyle name="Normal 95 22" xfId="14646" xr:uid="{00000000-0005-0000-0000-0000756D0000}"/>
    <cellStyle name="Normal 95 22 2" xfId="26868" xr:uid="{00000000-0005-0000-0000-0000766D0000}"/>
    <cellStyle name="Normal 95 23" xfId="14647" xr:uid="{00000000-0005-0000-0000-0000776D0000}"/>
    <cellStyle name="Normal 95 23 2" xfId="26869" xr:uid="{00000000-0005-0000-0000-0000786D0000}"/>
    <cellStyle name="Normal 95 24" xfId="14648" xr:uid="{00000000-0005-0000-0000-0000796D0000}"/>
    <cellStyle name="Normal 95 24 2" xfId="26870" xr:uid="{00000000-0005-0000-0000-00007A6D0000}"/>
    <cellStyle name="Normal 95 25" xfId="14649" xr:uid="{00000000-0005-0000-0000-00007B6D0000}"/>
    <cellStyle name="Normal 95 25 2" xfId="26871" xr:uid="{00000000-0005-0000-0000-00007C6D0000}"/>
    <cellStyle name="Normal 95 26" xfId="14650" xr:uid="{00000000-0005-0000-0000-00007D6D0000}"/>
    <cellStyle name="Normal 95 26 2" xfId="26872" xr:uid="{00000000-0005-0000-0000-00007E6D0000}"/>
    <cellStyle name="Normal 95 27" xfId="14651" xr:uid="{00000000-0005-0000-0000-00007F6D0000}"/>
    <cellStyle name="Normal 95 27 2" xfId="26873" xr:uid="{00000000-0005-0000-0000-0000806D0000}"/>
    <cellStyle name="Normal 95 28" xfId="14652" xr:uid="{00000000-0005-0000-0000-0000816D0000}"/>
    <cellStyle name="Normal 95 28 2" xfId="26874" xr:uid="{00000000-0005-0000-0000-0000826D0000}"/>
    <cellStyle name="Normal 95 29" xfId="14653" xr:uid="{00000000-0005-0000-0000-0000836D0000}"/>
    <cellStyle name="Normal 95 29 2" xfId="26875" xr:uid="{00000000-0005-0000-0000-0000846D0000}"/>
    <cellStyle name="Normal 95 3" xfId="781" xr:uid="{00000000-0005-0000-0000-0000856D0000}"/>
    <cellStyle name="Normal 95 3 2" xfId="26876" xr:uid="{00000000-0005-0000-0000-0000866D0000}"/>
    <cellStyle name="Normal 95 3 3" xfId="14654" xr:uid="{00000000-0005-0000-0000-0000876D0000}"/>
    <cellStyle name="Normal 95 30" xfId="14655" xr:uid="{00000000-0005-0000-0000-0000886D0000}"/>
    <cellStyle name="Normal 95 30 2" xfId="26877" xr:uid="{00000000-0005-0000-0000-0000896D0000}"/>
    <cellStyle name="Normal 95 31" xfId="14656" xr:uid="{00000000-0005-0000-0000-00008A6D0000}"/>
    <cellStyle name="Normal 95 31 2" xfId="26878" xr:uid="{00000000-0005-0000-0000-00008B6D0000}"/>
    <cellStyle name="Normal 95 32" xfId="14657" xr:uid="{00000000-0005-0000-0000-00008C6D0000}"/>
    <cellStyle name="Normal 95 32 2" xfId="26879" xr:uid="{00000000-0005-0000-0000-00008D6D0000}"/>
    <cellStyle name="Normal 95 33" xfId="14658" xr:uid="{00000000-0005-0000-0000-00008E6D0000}"/>
    <cellStyle name="Normal 95 33 2" xfId="26880" xr:uid="{00000000-0005-0000-0000-00008F6D0000}"/>
    <cellStyle name="Normal 95 34" xfId="14659" xr:uid="{00000000-0005-0000-0000-0000906D0000}"/>
    <cellStyle name="Normal 95 34 2" xfId="26881" xr:uid="{00000000-0005-0000-0000-0000916D0000}"/>
    <cellStyle name="Normal 95 35" xfId="14660" xr:uid="{00000000-0005-0000-0000-0000926D0000}"/>
    <cellStyle name="Normal 95 35 2" xfId="26882" xr:uid="{00000000-0005-0000-0000-0000936D0000}"/>
    <cellStyle name="Normal 95 36" xfId="14661" xr:uid="{00000000-0005-0000-0000-0000946D0000}"/>
    <cellStyle name="Normal 95 36 2" xfId="26883" xr:uid="{00000000-0005-0000-0000-0000956D0000}"/>
    <cellStyle name="Normal 95 37" xfId="14662" xr:uid="{00000000-0005-0000-0000-0000966D0000}"/>
    <cellStyle name="Normal 95 37 2" xfId="26884" xr:uid="{00000000-0005-0000-0000-0000976D0000}"/>
    <cellStyle name="Normal 95 38" xfId="14663" xr:uid="{00000000-0005-0000-0000-0000986D0000}"/>
    <cellStyle name="Normal 95 38 2" xfId="26885" xr:uid="{00000000-0005-0000-0000-0000996D0000}"/>
    <cellStyle name="Normal 95 39" xfId="14664" xr:uid="{00000000-0005-0000-0000-00009A6D0000}"/>
    <cellStyle name="Normal 95 39 2" xfId="26886" xr:uid="{00000000-0005-0000-0000-00009B6D0000}"/>
    <cellStyle name="Normal 95 4" xfId="436" xr:uid="{00000000-0005-0000-0000-00009C6D0000}"/>
    <cellStyle name="Normal 95 4 2" xfId="26887" xr:uid="{00000000-0005-0000-0000-00009D6D0000}"/>
    <cellStyle name="Normal 95 40" xfId="14665" xr:uid="{00000000-0005-0000-0000-00009E6D0000}"/>
    <cellStyle name="Normal 95 40 2" xfId="26888" xr:uid="{00000000-0005-0000-0000-00009F6D0000}"/>
    <cellStyle name="Normal 95 41" xfId="14666" xr:uid="{00000000-0005-0000-0000-0000A06D0000}"/>
    <cellStyle name="Normal 95 41 2" xfId="26889" xr:uid="{00000000-0005-0000-0000-0000A16D0000}"/>
    <cellStyle name="Normal 95 42" xfId="14667" xr:uid="{00000000-0005-0000-0000-0000A26D0000}"/>
    <cellStyle name="Normal 95 42 2" xfId="26890" xr:uid="{00000000-0005-0000-0000-0000A36D0000}"/>
    <cellStyle name="Normal 95 43" xfId="14668" xr:uid="{00000000-0005-0000-0000-0000A46D0000}"/>
    <cellStyle name="Normal 95 43 2" xfId="26891" xr:uid="{00000000-0005-0000-0000-0000A56D0000}"/>
    <cellStyle name="Normal 95 44" xfId="14669" xr:uid="{00000000-0005-0000-0000-0000A66D0000}"/>
    <cellStyle name="Normal 95 44 2" xfId="26892" xr:uid="{00000000-0005-0000-0000-0000A76D0000}"/>
    <cellStyle name="Normal 95 45" xfId="14670" xr:uid="{00000000-0005-0000-0000-0000A86D0000}"/>
    <cellStyle name="Normal 95 45 2" xfId="26893" xr:uid="{00000000-0005-0000-0000-0000A96D0000}"/>
    <cellStyle name="Normal 95 46" xfId="14671" xr:uid="{00000000-0005-0000-0000-0000AA6D0000}"/>
    <cellStyle name="Normal 95 46 2" xfId="26894" xr:uid="{00000000-0005-0000-0000-0000AB6D0000}"/>
    <cellStyle name="Normal 95 47" xfId="14672" xr:uid="{00000000-0005-0000-0000-0000AC6D0000}"/>
    <cellStyle name="Normal 95 47 2" xfId="26895" xr:uid="{00000000-0005-0000-0000-0000AD6D0000}"/>
    <cellStyle name="Normal 95 48" xfId="14673" xr:uid="{00000000-0005-0000-0000-0000AE6D0000}"/>
    <cellStyle name="Normal 95 48 2" xfId="26896" xr:uid="{00000000-0005-0000-0000-0000AF6D0000}"/>
    <cellStyle name="Normal 95 49" xfId="14674" xr:uid="{00000000-0005-0000-0000-0000B06D0000}"/>
    <cellStyle name="Normal 95 49 2" xfId="26897" xr:uid="{00000000-0005-0000-0000-0000B16D0000}"/>
    <cellStyle name="Normal 95 5" xfId="14675" xr:uid="{00000000-0005-0000-0000-0000B26D0000}"/>
    <cellStyle name="Normal 95 5 2" xfId="26898" xr:uid="{00000000-0005-0000-0000-0000B36D0000}"/>
    <cellStyle name="Normal 95 50" xfId="14676" xr:uid="{00000000-0005-0000-0000-0000B46D0000}"/>
    <cellStyle name="Normal 95 50 2" xfId="26899" xr:uid="{00000000-0005-0000-0000-0000B56D0000}"/>
    <cellStyle name="Normal 95 51" xfId="14677" xr:uid="{00000000-0005-0000-0000-0000B66D0000}"/>
    <cellStyle name="Normal 95 51 2" xfId="26900" xr:uid="{00000000-0005-0000-0000-0000B76D0000}"/>
    <cellStyle name="Normal 95 52" xfId="14678" xr:uid="{00000000-0005-0000-0000-0000B86D0000}"/>
    <cellStyle name="Normal 95 52 2" xfId="26901" xr:uid="{00000000-0005-0000-0000-0000B96D0000}"/>
    <cellStyle name="Normal 95 53" xfId="14679" xr:uid="{00000000-0005-0000-0000-0000BA6D0000}"/>
    <cellStyle name="Normal 95 53 2" xfId="26902" xr:uid="{00000000-0005-0000-0000-0000BB6D0000}"/>
    <cellStyle name="Normal 95 54" xfId="14680" xr:uid="{00000000-0005-0000-0000-0000BC6D0000}"/>
    <cellStyle name="Normal 95 54 2" xfId="26903" xr:uid="{00000000-0005-0000-0000-0000BD6D0000}"/>
    <cellStyle name="Normal 95 55" xfId="14681" xr:uid="{00000000-0005-0000-0000-0000BE6D0000}"/>
    <cellStyle name="Normal 95 55 2" xfId="26904" xr:uid="{00000000-0005-0000-0000-0000BF6D0000}"/>
    <cellStyle name="Normal 95 56" xfId="14682" xr:uid="{00000000-0005-0000-0000-0000C06D0000}"/>
    <cellStyle name="Normal 95 56 2" xfId="26905" xr:uid="{00000000-0005-0000-0000-0000C16D0000}"/>
    <cellStyle name="Normal 95 57" xfId="14683" xr:uid="{00000000-0005-0000-0000-0000C26D0000}"/>
    <cellStyle name="Normal 95 57 2" xfId="26906" xr:uid="{00000000-0005-0000-0000-0000C36D0000}"/>
    <cellStyle name="Normal 95 58" xfId="14684" xr:uid="{00000000-0005-0000-0000-0000C46D0000}"/>
    <cellStyle name="Normal 95 58 2" xfId="26907" xr:uid="{00000000-0005-0000-0000-0000C56D0000}"/>
    <cellStyle name="Normal 95 59" xfId="14685" xr:uid="{00000000-0005-0000-0000-0000C66D0000}"/>
    <cellStyle name="Normal 95 59 2" xfId="26908" xr:uid="{00000000-0005-0000-0000-0000C76D0000}"/>
    <cellStyle name="Normal 95 6" xfId="14686" xr:uid="{00000000-0005-0000-0000-0000C86D0000}"/>
    <cellStyle name="Normal 95 6 2" xfId="26909" xr:uid="{00000000-0005-0000-0000-0000C96D0000}"/>
    <cellStyle name="Normal 95 60" xfId="14687" xr:uid="{00000000-0005-0000-0000-0000CA6D0000}"/>
    <cellStyle name="Normal 95 60 2" xfId="26910" xr:uid="{00000000-0005-0000-0000-0000CB6D0000}"/>
    <cellStyle name="Normal 95 61" xfId="14688" xr:uid="{00000000-0005-0000-0000-0000CC6D0000}"/>
    <cellStyle name="Normal 95 61 2" xfId="26911" xr:uid="{00000000-0005-0000-0000-0000CD6D0000}"/>
    <cellStyle name="Normal 95 62" xfId="14689" xr:uid="{00000000-0005-0000-0000-0000CE6D0000}"/>
    <cellStyle name="Normal 95 62 2" xfId="26912" xr:uid="{00000000-0005-0000-0000-0000CF6D0000}"/>
    <cellStyle name="Normal 95 63" xfId="14690" xr:uid="{00000000-0005-0000-0000-0000D06D0000}"/>
    <cellStyle name="Normal 95 63 2" xfId="26913" xr:uid="{00000000-0005-0000-0000-0000D16D0000}"/>
    <cellStyle name="Normal 95 64" xfId="14691" xr:uid="{00000000-0005-0000-0000-0000D26D0000}"/>
    <cellStyle name="Normal 95 64 2" xfId="26914" xr:uid="{00000000-0005-0000-0000-0000D36D0000}"/>
    <cellStyle name="Normal 95 65" xfId="14692" xr:uid="{00000000-0005-0000-0000-0000D46D0000}"/>
    <cellStyle name="Normal 95 65 2" xfId="26915" xr:uid="{00000000-0005-0000-0000-0000D56D0000}"/>
    <cellStyle name="Normal 95 66" xfId="14693" xr:uid="{00000000-0005-0000-0000-0000D66D0000}"/>
    <cellStyle name="Normal 95 66 2" xfId="26916" xr:uid="{00000000-0005-0000-0000-0000D76D0000}"/>
    <cellStyle name="Normal 95 67" xfId="14694" xr:uid="{00000000-0005-0000-0000-0000D86D0000}"/>
    <cellStyle name="Normal 95 67 2" xfId="26917" xr:uid="{00000000-0005-0000-0000-0000D96D0000}"/>
    <cellStyle name="Normal 95 68" xfId="14695" xr:uid="{00000000-0005-0000-0000-0000DA6D0000}"/>
    <cellStyle name="Normal 95 68 2" xfId="26918" xr:uid="{00000000-0005-0000-0000-0000DB6D0000}"/>
    <cellStyle name="Normal 95 69" xfId="14696" xr:uid="{00000000-0005-0000-0000-0000DC6D0000}"/>
    <cellStyle name="Normal 95 69 2" xfId="26919" xr:uid="{00000000-0005-0000-0000-0000DD6D0000}"/>
    <cellStyle name="Normal 95 7" xfId="14697" xr:uid="{00000000-0005-0000-0000-0000DE6D0000}"/>
    <cellStyle name="Normal 95 7 2" xfId="26920" xr:uid="{00000000-0005-0000-0000-0000DF6D0000}"/>
    <cellStyle name="Normal 95 70" xfId="14698" xr:uid="{00000000-0005-0000-0000-0000E06D0000}"/>
    <cellStyle name="Normal 95 70 2" xfId="26921" xr:uid="{00000000-0005-0000-0000-0000E16D0000}"/>
    <cellStyle name="Normal 95 71" xfId="14699" xr:uid="{00000000-0005-0000-0000-0000E26D0000}"/>
    <cellStyle name="Normal 95 71 2" xfId="26922" xr:uid="{00000000-0005-0000-0000-0000E36D0000}"/>
    <cellStyle name="Normal 95 72" xfId="14700" xr:uid="{00000000-0005-0000-0000-0000E46D0000}"/>
    <cellStyle name="Normal 95 72 2" xfId="26923" xr:uid="{00000000-0005-0000-0000-0000E56D0000}"/>
    <cellStyle name="Normal 95 73" xfId="14701" xr:uid="{00000000-0005-0000-0000-0000E66D0000}"/>
    <cellStyle name="Normal 95 73 2" xfId="26924" xr:uid="{00000000-0005-0000-0000-0000E76D0000}"/>
    <cellStyle name="Normal 95 74" xfId="14702" xr:uid="{00000000-0005-0000-0000-0000E86D0000}"/>
    <cellStyle name="Normal 95 74 2" xfId="26925" xr:uid="{00000000-0005-0000-0000-0000E96D0000}"/>
    <cellStyle name="Normal 95 75" xfId="14703" xr:uid="{00000000-0005-0000-0000-0000EA6D0000}"/>
    <cellStyle name="Normal 95 75 2" xfId="26926" xr:uid="{00000000-0005-0000-0000-0000EB6D0000}"/>
    <cellStyle name="Normal 95 76" xfId="14704" xr:uid="{00000000-0005-0000-0000-0000EC6D0000}"/>
    <cellStyle name="Normal 95 76 2" xfId="26927" xr:uid="{00000000-0005-0000-0000-0000ED6D0000}"/>
    <cellStyle name="Normal 95 77" xfId="14705" xr:uid="{00000000-0005-0000-0000-0000EE6D0000}"/>
    <cellStyle name="Normal 95 77 2" xfId="26928" xr:uid="{00000000-0005-0000-0000-0000EF6D0000}"/>
    <cellStyle name="Normal 95 78" xfId="14706" xr:uid="{00000000-0005-0000-0000-0000F06D0000}"/>
    <cellStyle name="Normal 95 78 2" xfId="26929" xr:uid="{00000000-0005-0000-0000-0000F16D0000}"/>
    <cellStyle name="Normal 95 79" xfId="14707" xr:uid="{00000000-0005-0000-0000-0000F26D0000}"/>
    <cellStyle name="Normal 95 79 2" xfId="26930" xr:uid="{00000000-0005-0000-0000-0000F36D0000}"/>
    <cellStyle name="Normal 95 8" xfId="14708" xr:uid="{00000000-0005-0000-0000-0000F46D0000}"/>
    <cellStyle name="Normal 95 8 2" xfId="26931" xr:uid="{00000000-0005-0000-0000-0000F56D0000}"/>
    <cellStyle name="Normal 95 80" xfId="26855" xr:uid="{00000000-0005-0000-0000-0000F66D0000}"/>
    <cellStyle name="Normal 95 9" xfId="14709" xr:uid="{00000000-0005-0000-0000-0000F76D0000}"/>
    <cellStyle name="Normal 95 9 2" xfId="26932" xr:uid="{00000000-0005-0000-0000-0000F86D0000}"/>
    <cellStyle name="Normal 96" xfId="222" xr:uid="{00000000-0005-0000-0000-0000F96D0000}"/>
    <cellStyle name="Normal 96 10" xfId="14710" xr:uid="{00000000-0005-0000-0000-0000FA6D0000}"/>
    <cellStyle name="Normal 96 10 2" xfId="26934" xr:uid="{00000000-0005-0000-0000-0000FB6D0000}"/>
    <cellStyle name="Normal 96 11" xfId="14711" xr:uid="{00000000-0005-0000-0000-0000FC6D0000}"/>
    <cellStyle name="Normal 96 11 2" xfId="26935" xr:uid="{00000000-0005-0000-0000-0000FD6D0000}"/>
    <cellStyle name="Normal 96 12" xfId="14712" xr:uid="{00000000-0005-0000-0000-0000FE6D0000}"/>
    <cellStyle name="Normal 96 12 2" xfId="26936" xr:uid="{00000000-0005-0000-0000-0000FF6D0000}"/>
    <cellStyle name="Normal 96 13" xfId="14713" xr:uid="{00000000-0005-0000-0000-0000006E0000}"/>
    <cellStyle name="Normal 96 13 2" xfId="26937" xr:uid="{00000000-0005-0000-0000-0000016E0000}"/>
    <cellStyle name="Normal 96 14" xfId="14714" xr:uid="{00000000-0005-0000-0000-0000026E0000}"/>
    <cellStyle name="Normal 96 14 2" xfId="26938" xr:uid="{00000000-0005-0000-0000-0000036E0000}"/>
    <cellStyle name="Normal 96 15" xfId="14715" xr:uid="{00000000-0005-0000-0000-0000046E0000}"/>
    <cellStyle name="Normal 96 15 2" xfId="26939" xr:uid="{00000000-0005-0000-0000-0000056E0000}"/>
    <cellStyle name="Normal 96 16" xfId="14716" xr:uid="{00000000-0005-0000-0000-0000066E0000}"/>
    <cellStyle name="Normal 96 16 2" xfId="26940" xr:uid="{00000000-0005-0000-0000-0000076E0000}"/>
    <cellStyle name="Normal 96 17" xfId="14717" xr:uid="{00000000-0005-0000-0000-0000086E0000}"/>
    <cellStyle name="Normal 96 17 2" xfId="26941" xr:uid="{00000000-0005-0000-0000-0000096E0000}"/>
    <cellStyle name="Normal 96 18" xfId="14718" xr:uid="{00000000-0005-0000-0000-00000A6E0000}"/>
    <cellStyle name="Normal 96 18 2" xfId="26942" xr:uid="{00000000-0005-0000-0000-00000B6E0000}"/>
    <cellStyle name="Normal 96 19" xfId="14719" xr:uid="{00000000-0005-0000-0000-00000C6E0000}"/>
    <cellStyle name="Normal 96 19 2" xfId="26943" xr:uid="{00000000-0005-0000-0000-00000D6E0000}"/>
    <cellStyle name="Normal 96 2" xfId="276" xr:uid="{00000000-0005-0000-0000-00000E6E0000}"/>
    <cellStyle name="Normal 96 2 2" xfId="26944" xr:uid="{00000000-0005-0000-0000-00000F6E0000}"/>
    <cellStyle name="Normal 96 2 3" xfId="14720" xr:uid="{00000000-0005-0000-0000-0000106E0000}"/>
    <cellStyle name="Normal 96 20" xfId="14721" xr:uid="{00000000-0005-0000-0000-0000116E0000}"/>
    <cellStyle name="Normal 96 20 2" xfId="26945" xr:uid="{00000000-0005-0000-0000-0000126E0000}"/>
    <cellStyle name="Normal 96 21" xfId="14722" xr:uid="{00000000-0005-0000-0000-0000136E0000}"/>
    <cellStyle name="Normal 96 21 2" xfId="26946" xr:uid="{00000000-0005-0000-0000-0000146E0000}"/>
    <cellStyle name="Normal 96 22" xfId="14723" xr:uid="{00000000-0005-0000-0000-0000156E0000}"/>
    <cellStyle name="Normal 96 22 2" xfId="26947" xr:uid="{00000000-0005-0000-0000-0000166E0000}"/>
    <cellStyle name="Normal 96 23" xfId="14724" xr:uid="{00000000-0005-0000-0000-0000176E0000}"/>
    <cellStyle name="Normal 96 23 2" xfId="26948" xr:uid="{00000000-0005-0000-0000-0000186E0000}"/>
    <cellStyle name="Normal 96 24" xfId="14725" xr:uid="{00000000-0005-0000-0000-0000196E0000}"/>
    <cellStyle name="Normal 96 24 2" xfId="26949" xr:uid="{00000000-0005-0000-0000-00001A6E0000}"/>
    <cellStyle name="Normal 96 25" xfId="14726" xr:uid="{00000000-0005-0000-0000-00001B6E0000}"/>
    <cellStyle name="Normal 96 25 2" xfId="26950" xr:uid="{00000000-0005-0000-0000-00001C6E0000}"/>
    <cellStyle name="Normal 96 26" xfId="14727" xr:uid="{00000000-0005-0000-0000-00001D6E0000}"/>
    <cellStyle name="Normal 96 26 2" xfId="26951" xr:uid="{00000000-0005-0000-0000-00001E6E0000}"/>
    <cellStyle name="Normal 96 27" xfId="14728" xr:uid="{00000000-0005-0000-0000-00001F6E0000}"/>
    <cellStyle name="Normal 96 27 2" xfId="26952" xr:uid="{00000000-0005-0000-0000-0000206E0000}"/>
    <cellStyle name="Normal 96 28" xfId="14729" xr:uid="{00000000-0005-0000-0000-0000216E0000}"/>
    <cellStyle name="Normal 96 28 2" xfId="26953" xr:uid="{00000000-0005-0000-0000-0000226E0000}"/>
    <cellStyle name="Normal 96 29" xfId="14730" xr:uid="{00000000-0005-0000-0000-0000236E0000}"/>
    <cellStyle name="Normal 96 29 2" xfId="26954" xr:uid="{00000000-0005-0000-0000-0000246E0000}"/>
    <cellStyle name="Normal 96 3" xfId="437" xr:uid="{00000000-0005-0000-0000-0000256E0000}"/>
    <cellStyle name="Normal 96 3 2" xfId="26955" xr:uid="{00000000-0005-0000-0000-0000266E0000}"/>
    <cellStyle name="Normal 96 30" xfId="14731" xr:uid="{00000000-0005-0000-0000-0000276E0000}"/>
    <cellStyle name="Normal 96 30 2" xfId="26956" xr:uid="{00000000-0005-0000-0000-0000286E0000}"/>
    <cellStyle name="Normal 96 31" xfId="14732" xr:uid="{00000000-0005-0000-0000-0000296E0000}"/>
    <cellStyle name="Normal 96 31 2" xfId="26957" xr:uid="{00000000-0005-0000-0000-00002A6E0000}"/>
    <cellStyle name="Normal 96 32" xfId="14733" xr:uid="{00000000-0005-0000-0000-00002B6E0000}"/>
    <cellStyle name="Normal 96 32 2" xfId="26958" xr:uid="{00000000-0005-0000-0000-00002C6E0000}"/>
    <cellStyle name="Normal 96 33" xfId="14734" xr:uid="{00000000-0005-0000-0000-00002D6E0000}"/>
    <cellStyle name="Normal 96 33 2" xfId="26959" xr:uid="{00000000-0005-0000-0000-00002E6E0000}"/>
    <cellStyle name="Normal 96 34" xfId="14735" xr:uid="{00000000-0005-0000-0000-00002F6E0000}"/>
    <cellStyle name="Normal 96 34 2" xfId="26960" xr:uid="{00000000-0005-0000-0000-0000306E0000}"/>
    <cellStyle name="Normal 96 35" xfId="14736" xr:uid="{00000000-0005-0000-0000-0000316E0000}"/>
    <cellStyle name="Normal 96 35 2" xfId="26961" xr:uid="{00000000-0005-0000-0000-0000326E0000}"/>
    <cellStyle name="Normal 96 36" xfId="14737" xr:uid="{00000000-0005-0000-0000-0000336E0000}"/>
    <cellStyle name="Normal 96 36 2" xfId="26962" xr:uid="{00000000-0005-0000-0000-0000346E0000}"/>
    <cellStyle name="Normal 96 37" xfId="14738" xr:uid="{00000000-0005-0000-0000-0000356E0000}"/>
    <cellStyle name="Normal 96 37 2" xfId="26963" xr:uid="{00000000-0005-0000-0000-0000366E0000}"/>
    <cellStyle name="Normal 96 38" xfId="14739" xr:uid="{00000000-0005-0000-0000-0000376E0000}"/>
    <cellStyle name="Normal 96 38 2" xfId="26964" xr:uid="{00000000-0005-0000-0000-0000386E0000}"/>
    <cellStyle name="Normal 96 39" xfId="14740" xr:uid="{00000000-0005-0000-0000-0000396E0000}"/>
    <cellStyle name="Normal 96 39 2" xfId="26965" xr:uid="{00000000-0005-0000-0000-00003A6E0000}"/>
    <cellStyle name="Normal 96 4" xfId="14741" xr:uid="{00000000-0005-0000-0000-00003B6E0000}"/>
    <cellStyle name="Normal 96 4 2" xfId="26966" xr:uid="{00000000-0005-0000-0000-00003C6E0000}"/>
    <cellStyle name="Normal 96 40" xfId="14742" xr:uid="{00000000-0005-0000-0000-00003D6E0000}"/>
    <cellStyle name="Normal 96 40 2" xfId="26967" xr:uid="{00000000-0005-0000-0000-00003E6E0000}"/>
    <cellStyle name="Normal 96 41" xfId="14743" xr:uid="{00000000-0005-0000-0000-00003F6E0000}"/>
    <cellStyle name="Normal 96 41 2" xfId="26968" xr:uid="{00000000-0005-0000-0000-0000406E0000}"/>
    <cellStyle name="Normal 96 42" xfId="14744" xr:uid="{00000000-0005-0000-0000-0000416E0000}"/>
    <cellStyle name="Normal 96 42 2" xfId="26969" xr:uid="{00000000-0005-0000-0000-0000426E0000}"/>
    <cellStyle name="Normal 96 43" xfId="14745" xr:uid="{00000000-0005-0000-0000-0000436E0000}"/>
    <cellStyle name="Normal 96 43 2" xfId="26970" xr:uid="{00000000-0005-0000-0000-0000446E0000}"/>
    <cellStyle name="Normal 96 44" xfId="14746" xr:uid="{00000000-0005-0000-0000-0000456E0000}"/>
    <cellStyle name="Normal 96 44 2" xfId="26971" xr:uid="{00000000-0005-0000-0000-0000466E0000}"/>
    <cellStyle name="Normal 96 45" xfId="14747" xr:uid="{00000000-0005-0000-0000-0000476E0000}"/>
    <cellStyle name="Normal 96 45 2" xfId="26972" xr:uid="{00000000-0005-0000-0000-0000486E0000}"/>
    <cellStyle name="Normal 96 46" xfId="14748" xr:uid="{00000000-0005-0000-0000-0000496E0000}"/>
    <cellStyle name="Normal 96 46 2" xfId="26973" xr:uid="{00000000-0005-0000-0000-00004A6E0000}"/>
    <cellStyle name="Normal 96 47" xfId="14749" xr:uid="{00000000-0005-0000-0000-00004B6E0000}"/>
    <cellStyle name="Normal 96 47 2" xfId="26974" xr:uid="{00000000-0005-0000-0000-00004C6E0000}"/>
    <cellStyle name="Normal 96 48" xfId="14750" xr:uid="{00000000-0005-0000-0000-00004D6E0000}"/>
    <cellStyle name="Normal 96 48 2" xfId="26975" xr:uid="{00000000-0005-0000-0000-00004E6E0000}"/>
    <cellStyle name="Normal 96 49" xfId="14751" xr:uid="{00000000-0005-0000-0000-00004F6E0000}"/>
    <cellStyle name="Normal 96 49 2" xfId="26976" xr:uid="{00000000-0005-0000-0000-0000506E0000}"/>
    <cellStyle name="Normal 96 5" xfId="14752" xr:uid="{00000000-0005-0000-0000-0000516E0000}"/>
    <cellStyle name="Normal 96 5 2" xfId="26977" xr:uid="{00000000-0005-0000-0000-0000526E0000}"/>
    <cellStyle name="Normal 96 50" xfId="14753" xr:uid="{00000000-0005-0000-0000-0000536E0000}"/>
    <cellStyle name="Normal 96 50 2" xfId="26978" xr:uid="{00000000-0005-0000-0000-0000546E0000}"/>
    <cellStyle name="Normal 96 51" xfId="14754" xr:uid="{00000000-0005-0000-0000-0000556E0000}"/>
    <cellStyle name="Normal 96 51 2" xfId="26979" xr:uid="{00000000-0005-0000-0000-0000566E0000}"/>
    <cellStyle name="Normal 96 52" xfId="14755" xr:uid="{00000000-0005-0000-0000-0000576E0000}"/>
    <cellStyle name="Normal 96 52 2" xfId="26980" xr:uid="{00000000-0005-0000-0000-0000586E0000}"/>
    <cellStyle name="Normal 96 53" xfId="14756" xr:uid="{00000000-0005-0000-0000-0000596E0000}"/>
    <cellStyle name="Normal 96 53 2" xfId="26981" xr:uid="{00000000-0005-0000-0000-00005A6E0000}"/>
    <cellStyle name="Normal 96 54" xfId="14757" xr:uid="{00000000-0005-0000-0000-00005B6E0000}"/>
    <cellStyle name="Normal 96 54 2" xfId="26982" xr:uid="{00000000-0005-0000-0000-00005C6E0000}"/>
    <cellStyle name="Normal 96 55" xfId="14758" xr:uid="{00000000-0005-0000-0000-00005D6E0000}"/>
    <cellStyle name="Normal 96 55 2" xfId="26983" xr:uid="{00000000-0005-0000-0000-00005E6E0000}"/>
    <cellStyle name="Normal 96 56" xfId="14759" xr:uid="{00000000-0005-0000-0000-00005F6E0000}"/>
    <cellStyle name="Normal 96 56 2" xfId="26984" xr:uid="{00000000-0005-0000-0000-0000606E0000}"/>
    <cellStyle name="Normal 96 57" xfId="14760" xr:uid="{00000000-0005-0000-0000-0000616E0000}"/>
    <cellStyle name="Normal 96 57 2" xfId="26985" xr:uid="{00000000-0005-0000-0000-0000626E0000}"/>
    <cellStyle name="Normal 96 58" xfId="14761" xr:uid="{00000000-0005-0000-0000-0000636E0000}"/>
    <cellStyle name="Normal 96 58 2" xfId="26986" xr:uid="{00000000-0005-0000-0000-0000646E0000}"/>
    <cellStyle name="Normal 96 59" xfId="14762" xr:uid="{00000000-0005-0000-0000-0000656E0000}"/>
    <cellStyle name="Normal 96 59 2" xfId="26987" xr:uid="{00000000-0005-0000-0000-0000666E0000}"/>
    <cellStyle name="Normal 96 6" xfId="14763" xr:uid="{00000000-0005-0000-0000-0000676E0000}"/>
    <cellStyle name="Normal 96 6 2" xfId="26988" xr:uid="{00000000-0005-0000-0000-0000686E0000}"/>
    <cellStyle name="Normal 96 60" xfId="14764" xr:uid="{00000000-0005-0000-0000-0000696E0000}"/>
    <cellStyle name="Normal 96 60 2" xfId="26989" xr:uid="{00000000-0005-0000-0000-00006A6E0000}"/>
    <cellStyle name="Normal 96 61" xfId="14765" xr:uid="{00000000-0005-0000-0000-00006B6E0000}"/>
    <cellStyle name="Normal 96 61 2" xfId="26990" xr:uid="{00000000-0005-0000-0000-00006C6E0000}"/>
    <cellStyle name="Normal 96 62" xfId="14766" xr:uid="{00000000-0005-0000-0000-00006D6E0000}"/>
    <cellStyle name="Normal 96 62 2" xfId="26991" xr:uid="{00000000-0005-0000-0000-00006E6E0000}"/>
    <cellStyle name="Normal 96 63" xfId="14767" xr:uid="{00000000-0005-0000-0000-00006F6E0000}"/>
    <cellStyle name="Normal 96 63 2" xfId="26992" xr:uid="{00000000-0005-0000-0000-0000706E0000}"/>
    <cellStyle name="Normal 96 64" xfId="14768" xr:uid="{00000000-0005-0000-0000-0000716E0000}"/>
    <cellStyle name="Normal 96 64 2" xfId="26993" xr:uid="{00000000-0005-0000-0000-0000726E0000}"/>
    <cellStyle name="Normal 96 65" xfId="14769" xr:uid="{00000000-0005-0000-0000-0000736E0000}"/>
    <cellStyle name="Normal 96 65 2" xfId="26994" xr:uid="{00000000-0005-0000-0000-0000746E0000}"/>
    <cellStyle name="Normal 96 66" xfId="14770" xr:uid="{00000000-0005-0000-0000-0000756E0000}"/>
    <cellStyle name="Normal 96 66 2" xfId="26995" xr:uid="{00000000-0005-0000-0000-0000766E0000}"/>
    <cellStyle name="Normal 96 67" xfId="14771" xr:uid="{00000000-0005-0000-0000-0000776E0000}"/>
    <cellStyle name="Normal 96 67 2" xfId="26996" xr:uid="{00000000-0005-0000-0000-0000786E0000}"/>
    <cellStyle name="Normal 96 68" xfId="14772" xr:uid="{00000000-0005-0000-0000-0000796E0000}"/>
    <cellStyle name="Normal 96 68 2" xfId="26997" xr:uid="{00000000-0005-0000-0000-00007A6E0000}"/>
    <cellStyle name="Normal 96 69" xfId="14773" xr:uid="{00000000-0005-0000-0000-00007B6E0000}"/>
    <cellStyle name="Normal 96 69 2" xfId="26998" xr:uid="{00000000-0005-0000-0000-00007C6E0000}"/>
    <cellStyle name="Normal 96 7" xfId="14774" xr:uid="{00000000-0005-0000-0000-00007D6E0000}"/>
    <cellStyle name="Normal 96 7 2" xfId="26999" xr:uid="{00000000-0005-0000-0000-00007E6E0000}"/>
    <cellStyle name="Normal 96 70" xfId="14775" xr:uid="{00000000-0005-0000-0000-00007F6E0000}"/>
    <cellStyle name="Normal 96 70 2" xfId="27000" xr:uid="{00000000-0005-0000-0000-0000806E0000}"/>
    <cellStyle name="Normal 96 71" xfId="14776" xr:uid="{00000000-0005-0000-0000-0000816E0000}"/>
    <cellStyle name="Normal 96 71 2" xfId="27001" xr:uid="{00000000-0005-0000-0000-0000826E0000}"/>
    <cellStyle name="Normal 96 72" xfId="14777" xr:uid="{00000000-0005-0000-0000-0000836E0000}"/>
    <cellStyle name="Normal 96 72 2" xfId="27002" xr:uid="{00000000-0005-0000-0000-0000846E0000}"/>
    <cellStyle name="Normal 96 73" xfId="14778" xr:uid="{00000000-0005-0000-0000-0000856E0000}"/>
    <cellStyle name="Normal 96 73 2" xfId="27003" xr:uid="{00000000-0005-0000-0000-0000866E0000}"/>
    <cellStyle name="Normal 96 74" xfId="14779" xr:uid="{00000000-0005-0000-0000-0000876E0000}"/>
    <cellStyle name="Normal 96 74 2" xfId="27004" xr:uid="{00000000-0005-0000-0000-0000886E0000}"/>
    <cellStyle name="Normal 96 75" xfId="14780" xr:uid="{00000000-0005-0000-0000-0000896E0000}"/>
    <cellStyle name="Normal 96 75 2" xfId="27005" xr:uid="{00000000-0005-0000-0000-00008A6E0000}"/>
    <cellStyle name="Normal 96 76" xfId="14781" xr:uid="{00000000-0005-0000-0000-00008B6E0000}"/>
    <cellStyle name="Normal 96 76 2" xfId="27006" xr:uid="{00000000-0005-0000-0000-00008C6E0000}"/>
    <cellStyle name="Normal 96 77" xfId="14782" xr:uid="{00000000-0005-0000-0000-00008D6E0000}"/>
    <cellStyle name="Normal 96 77 2" xfId="27007" xr:uid="{00000000-0005-0000-0000-00008E6E0000}"/>
    <cellStyle name="Normal 96 78" xfId="14783" xr:uid="{00000000-0005-0000-0000-00008F6E0000}"/>
    <cellStyle name="Normal 96 78 2" xfId="27008" xr:uid="{00000000-0005-0000-0000-0000906E0000}"/>
    <cellStyle name="Normal 96 79" xfId="14784" xr:uid="{00000000-0005-0000-0000-0000916E0000}"/>
    <cellStyle name="Normal 96 79 2" xfId="27009" xr:uid="{00000000-0005-0000-0000-0000926E0000}"/>
    <cellStyle name="Normal 96 8" xfId="14785" xr:uid="{00000000-0005-0000-0000-0000936E0000}"/>
    <cellStyle name="Normal 96 8 2" xfId="27010" xr:uid="{00000000-0005-0000-0000-0000946E0000}"/>
    <cellStyle name="Normal 96 80" xfId="26933" xr:uid="{00000000-0005-0000-0000-0000956E0000}"/>
    <cellStyle name="Normal 96 9" xfId="14786" xr:uid="{00000000-0005-0000-0000-0000966E0000}"/>
    <cellStyle name="Normal 96 9 2" xfId="27011" xr:uid="{00000000-0005-0000-0000-0000976E0000}"/>
    <cellStyle name="Normal 97" xfId="223" xr:uid="{00000000-0005-0000-0000-0000986E0000}"/>
    <cellStyle name="Normal 97 10" xfId="14787" xr:uid="{00000000-0005-0000-0000-0000996E0000}"/>
    <cellStyle name="Normal 97 10 2" xfId="27013" xr:uid="{00000000-0005-0000-0000-00009A6E0000}"/>
    <cellStyle name="Normal 97 11" xfId="14788" xr:uid="{00000000-0005-0000-0000-00009B6E0000}"/>
    <cellStyle name="Normal 97 11 2" xfId="27014" xr:uid="{00000000-0005-0000-0000-00009C6E0000}"/>
    <cellStyle name="Normal 97 12" xfId="14789" xr:uid="{00000000-0005-0000-0000-00009D6E0000}"/>
    <cellStyle name="Normal 97 12 2" xfId="27015" xr:uid="{00000000-0005-0000-0000-00009E6E0000}"/>
    <cellStyle name="Normal 97 13" xfId="14790" xr:uid="{00000000-0005-0000-0000-00009F6E0000}"/>
    <cellStyle name="Normal 97 13 2" xfId="27016" xr:uid="{00000000-0005-0000-0000-0000A06E0000}"/>
    <cellStyle name="Normal 97 14" xfId="14791" xr:uid="{00000000-0005-0000-0000-0000A16E0000}"/>
    <cellStyle name="Normal 97 14 2" xfId="27017" xr:uid="{00000000-0005-0000-0000-0000A26E0000}"/>
    <cellStyle name="Normal 97 15" xfId="14792" xr:uid="{00000000-0005-0000-0000-0000A36E0000}"/>
    <cellStyle name="Normal 97 15 2" xfId="27018" xr:uid="{00000000-0005-0000-0000-0000A46E0000}"/>
    <cellStyle name="Normal 97 16" xfId="14793" xr:uid="{00000000-0005-0000-0000-0000A56E0000}"/>
    <cellStyle name="Normal 97 16 2" xfId="27019" xr:uid="{00000000-0005-0000-0000-0000A66E0000}"/>
    <cellStyle name="Normal 97 17" xfId="14794" xr:uid="{00000000-0005-0000-0000-0000A76E0000}"/>
    <cellStyle name="Normal 97 17 2" xfId="27020" xr:uid="{00000000-0005-0000-0000-0000A86E0000}"/>
    <cellStyle name="Normal 97 18" xfId="14795" xr:uid="{00000000-0005-0000-0000-0000A96E0000}"/>
    <cellStyle name="Normal 97 18 2" xfId="27021" xr:uid="{00000000-0005-0000-0000-0000AA6E0000}"/>
    <cellStyle name="Normal 97 19" xfId="14796" xr:uid="{00000000-0005-0000-0000-0000AB6E0000}"/>
    <cellStyle name="Normal 97 19 2" xfId="27022" xr:uid="{00000000-0005-0000-0000-0000AC6E0000}"/>
    <cellStyle name="Normal 97 2" xfId="277" xr:uid="{00000000-0005-0000-0000-0000AD6E0000}"/>
    <cellStyle name="Normal 97 2 2" xfId="27023" xr:uid="{00000000-0005-0000-0000-0000AE6E0000}"/>
    <cellStyle name="Normal 97 2 3" xfId="14797" xr:uid="{00000000-0005-0000-0000-0000AF6E0000}"/>
    <cellStyle name="Normal 97 20" xfId="14798" xr:uid="{00000000-0005-0000-0000-0000B06E0000}"/>
    <cellStyle name="Normal 97 20 2" xfId="27024" xr:uid="{00000000-0005-0000-0000-0000B16E0000}"/>
    <cellStyle name="Normal 97 21" xfId="14799" xr:uid="{00000000-0005-0000-0000-0000B26E0000}"/>
    <cellStyle name="Normal 97 21 2" xfId="27025" xr:uid="{00000000-0005-0000-0000-0000B36E0000}"/>
    <cellStyle name="Normal 97 22" xfId="14800" xr:uid="{00000000-0005-0000-0000-0000B46E0000}"/>
    <cellStyle name="Normal 97 22 2" xfId="27026" xr:uid="{00000000-0005-0000-0000-0000B56E0000}"/>
    <cellStyle name="Normal 97 23" xfId="14801" xr:uid="{00000000-0005-0000-0000-0000B66E0000}"/>
    <cellStyle name="Normal 97 23 2" xfId="27027" xr:uid="{00000000-0005-0000-0000-0000B76E0000}"/>
    <cellStyle name="Normal 97 24" xfId="14802" xr:uid="{00000000-0005-0000-0000-0000B86E0000}"/>
    <cellStyle name="Normal 97 24 2" xfId="27028" xr:uid="{00000000-0005-0000-0000-0000B96E0000}"/>
    <cellStyle name="Normal 97 25" xfId="14803" xr:uid="{00000000-0005-0000-0000-0000BA6E0000}"/>
    <cellStyle name="Normal 97 25 2" xfId="27029" xr:uid="{00000000-0005-0000-0000-0000BB6E0000}"/>
    <cellStyle name="Normal 97 26" xfId="14804" xr:uid="{00000000-0005-0000-0000-0000BC6E0000}"/>
    <cellStyle name="Normal 97 26 2" xfId="27030" xr:uid="{00000000-0005-0000-0000-0000BD6E0000}"/>
    <cellStyle name="Normal 97 27" xfId="14805" xr:uid="{00000000-0005-0000-0000-0000BE6E0000}"/>
    <cellStyle name="Normal 97 27 2" xfId="27031" xr:uid="{00000000-0005-0000-0000-0000BF6E0000}"/>
    <cellStyle name="Normal 97 28" xfId="14806" xr:uid="{00000000-0005-0000-0000-0000C06E0000}"/>
    <cellStyle name="Normal 97 28 2" xfId="27032" xr:uid="{00000000-0005-0000-0000-0000C16E0000}"/>
    <cellStyle name="Normal 97 29" xfId="14807" xr:uid="{00000000-0005-0000-0000-0000C26E0000}"/>
    <cellStyle name="Normal 97 29 2" xfId="27033" xr:uid="{00000000-0005-0000-0000-0000C36E0000}"/>
    <cellStyle name="Normal 97 3" xfId="438" xr:uid="{00000000-0005-0000-0000-0000C46E0000}"/>
    <cellStyle name="Normal 97 3 2" xfId="27034" xr:uid="{00000000-0005-0000-0000-0000C56E0000}"/>
    <cellStyle name="Normal 97 30" xfId="14808" xr:uid="{00000000-0005-0000-0000-0000C66E0000}"/>
    <cellStyle name="Normal 97 30 2" xfId="27035" xr:uid="{00000000-0005-0000-0000-0000C76E0000}"/>
    <cellStyle name="Normal 97 31" xfId="14809" xr:uid="{00000000-0005-0000-0000-0000C86E0000}"/>
    <cellStyle name="Normal 97 31 2" xfId="27036" xr:uid="{00000000-0005-0000-0000-0000C96E0000}"/>
    <cellStyle name="Normal 97 32" xfId="14810" xr:uid="{00000000-0005-0000-0000-0000CA6E0000}"/>
    <cellStyle name="Normal 97 32 2" xfId="27037" xr:uid="{00000000-0005-0000-0000-0000CB6E0000}"/>
    <cellStyle name="Normal 97 33" xfId="14811" xr:uid="{00000000-0005-0000-0000-0000CC6E0000}"/>
    <cellStyle name="Normal 97 33 2" xfId="27038" xr:uid="{00000000-0005-0000-0000-0000CD6E0000}"/>
    <cellStyle name="Normal 97 34" xfId="14812" xr:uid="{00000000-0005-0000-0000-0000CE6E0000}"/>
    <cellStyle name="Normal 97 34 2" xfId="27039" xr:uid="{00000000-0005-0000-0000-0000CF6E0000}"/>
    <cellStyle name="Normal 97 35" xfId="14813" xr:uid="{00000000-0005-0000-0000-0000D06E0000}"/>
    <cellStyle name="Normal 97 35 2" xfId="27040" xr:uid="{00000000-0005-0000-0000-0000D16E0000}"/>
    <cellStyle name="Normal 97 36" xfId="14814" xr:uid="{00000000-0005-0000-0000-0000D26E0000}"/>
    <cellStyle name="Normal 97 36 2" xfId="27041" xr:uid="{00000000-0005-0000-0000-0000D36E0000}"/>
    <cellStyle name="Normal 97 37" xfId="14815" xr:uid="{00000000-0005-0000-0000-0000D46E0000}"/>
    <cellStyle name="Normal 97 37 2" xfId="27042" xr:uid="{00000000-0005-0000-0000-0000D56E0000}"/>
    <cellStyle name="Normal 97 38" xfId="14816" xr:uid="{00000000-0005-0000-0000-0000D66E0000}"/>
    <cellStyle name="Normal 97 38 2" xfId="27043" xr:uid="{00000000-0005-0000-0000-0000D76E0000}"/>
    <cellStyle name="Normal 97 39" xfId="14817" xr:uid="{00000000-0005-0000-0000-0000D86E0000}"/>
    <cellStyle name="Normal 97 39 2" xfId="27044" xr:uid="{00000000-0005-0000-0000-0000D96E0000}"/>
    <cellStyle name="Normal 97 4" xfId="14818" xr:uid="{00000000-0005-0000-0000-0000DA6E0000}"/>
    <cellStyle name="Normal 97 4 2" xfId="27045" xr:uid="{00000000-0005-0000-0000-0000DB6E0000}"/>
    <cellStyle name="Normal 97 40" xfId="14819" xr:uid="{00000000-0005-0000-0000-0000DC6E0000}"/>
    <cellStyle name="Normal 97 40 2" xfId="27046" xr:uid="{00000000-0005-0000-0000-0000DD6E0000}"/>
    <cellStyle name="Normal 97 41" xfId="14820" xr:uid="{00000000-0005-0000-0000-0000DE6E0000}"/>
    <cellStyle name="Normal 97 41 2" xfId="27047" xr:uid="{00000000-0005-0000-0000-0000DF6E0000}"/>
    <cellStyle name="Normal 97 42" xfId="14821" xr:uid="{00000000-0005-0000-0000-0000E06E0000}"/>
    <cellStyle name="Normal 97 42 2" xfId="27048" xr:uid="{00000000-0005-0000-0000-0000E16E0000}"/>
    <cellStyle name="Normal 97 43" xfId="14822" xr:uid="{00000000-0005-0000-0000-0000E26E0000}"/>
    <cellStyle name="Normal 97 43 2" xfId="27049" xr:uid="{00000000-0005-0000-0000-0000E36E0000}"/>
    <cellStyle name="Normal 97 44" xfId="14823" xr:uid="{00000000-0005-0000-0000-0000E46E0000}"/>
    <cellStyle name="Normal 97 44 2" xfId="27050" xr:uid="{00000000-0005-0000-0000-0000E56E0000}"/>
    <cellStyle name="Normal 97 45" xfId="14824" xr:uid="{00000000-0005-0000-0000-0000E66E0000}"/>
    <cellStyle name="Normal 97 45 2" xfId="27051" xr:uid="{00000000-0005-0000-0000-0000E76E0000}"/>
    <cellStyle name="Normal 97 46" xfId="14825" xr:uid="{00000000-0005-0000-0000-0000E86E0000}"/>
    <cellStyle name="Normal 97 46 2" xfId="27052" xr:uid="{00000000-0005-0000-0000-0000E96E0000}"/>
    <cellStyle name="Normal 97 47" xfId="14826" xr:uid="{00000000-0005-0000-0000-0000EA6E0000}"/>
    <cellStyle name="Normal 97 47 2" xfId="27053" xr:uid="{00000000-0005-0000-0000-0000EB6E0000}"/>
    <cellStyle name="Normal 97 48" xfId="14827" xr:uid="{00000000-0005-0000-0000-0000EC6E0000}"/>
    <cellStyle name="Normal 97 48 2" xfId="27054" xr:uid="{00000000-0005-0000-0000-0000ED6E0000}"/>
    <cellStyle name="Normal 97 49" xfId="14828" xr:uid="{00000000-0005-0000-0000-0000EE6E0000}"/>
    <cellStyle name="Normal 97 49 2" xfId="27055" xr:uid="{00000000-0005-0000-0000-0000EF6E0000}"/>
    <cellStyle name="Normal 97 5" xfId="14829" xr:uid="{00000000-0005-0000-0000-0000F06E0000}"/>
    <cellStyle name="Normal 97 5 2" xfId="27056" xr:uid="{00000000-0005-0000-0000-0000F16E0000}"/>
    <cellStyle name="Normal 97 50" xfId="14830" xr:uid="{00000000-0005-0000-0000-0000F26E0000}"/>
    <cellStyle name="Normal 97 50 2" xfId="27057" xr:uid="{00000000-0005-0000-0000-0000F36E0000}"/>
    <cellStyle name="Normal 97 51" xfId="14831" xr:uid="{00000000-0005-0000-0000-0000F46E0000}"/>
    <cellStyle name="Normal 97 51 2" xfId="27058" xr:uid="{00000000-0005-0000-0000-0000F56E0000}"/>
    <cellStyle name="Normal 97 52" xfId="14832" xr:uid="{00000000-0005-0000-0000-0000F66E0000}"/>
    <cellStyle name="Normal 97 52 2" xfId="27059" xr:uid="{00000000-0005-0000-0000-0000F76E0000}"/>
    <cellStyle name="Normal 97 53" xfId="14833" xr:uid="{00000000-0005-0000-0000-0000F86E0000}"/>
    <cellStyle name="Normal 97 53 2" xfId="27060" xr:uid="{00000000-0005-0000-0000-0000F96E0000}"/>
    <cellStyle name="Normal 97 54" xfId="14834" xr:uid="{00000000-0005-0000-0000-0000FA6E0000}"/>
    <cellStyle name="Normal 97 54 2" xfId="27061" xr:uid="{00000000-0005-0000-0000-0000FB6E0000}"/>
    <cellStyle name="Normal 97 55" xfId="14835" xr:uid="{00000000-0005-0000-0000-0000FC6E0000}"/>
    <cellStyle name="Normal 97 55 2" xfId="27062" xr:uid="{00000000-0005-0000-0000-0000FD6E0000}"/>
    <cellStyle name="Normal 97 56" xfId="14836" xr:uid="{00000000-0005-0000-0000-0000FE6E0000}"/>
    <cellStyle name="Normal 97 56 2" xfId="27063" xr:uid="{00000000-0005-0000-0000-0000FF6E0000}"/>
    <cellStyle name="Normal 97 57" xfId="14837" xr:uid="{00000000-0005-0000-0000-0000006F0000}"/>
    <cellStyle name="Normal 97 57 2" xfId="27064" xr:uid="{00000000-0005-0000-0000-0000016F0000}"/>
    <cellStyle name="Normal 97 58" xfId="14838" xr:uid="{00000000-0005-0000-0000-0000026F0000}"/>
    <cellStyle name="Normal 97 58 2" xfId="27065" xr:uid="{00000000-0005-0000-0000-0000036F0000}"/>
    <cellStyle name="Normal 97 59" xfId="14839" xr:uid="{00000000-0005-0000-0000-0000046F0000}"/>
    <cellStyle name="Normal 97 59 2" xfId="27066" xr:uid="{00000000-0005-0000-0000-0000056F0000}"/>
    <cellStyle name="Normal 97 6" xfId="14840" xr:uid="{00000000-0005-0000-0000-0000066F0000}"/>
    <cellStyle name="Normal 97 6 2" xfId="27067" xr:uid="{00000000-0005-0000-0000-0000076F0000}"/>
    <cellStyle name="Normal 97 60" xfId="14841" xr:uid="{00000000-0005-0000-0000-0000086F0000}"/>
    <cellStyle name="Normal 97 60 2" xfId="27068" xr:uid="{00000000-0005-0000-0000-0000096F0000}"/>
    <cellStyle name="Normal 97 61" xfId="14842" xr:uid="{00000000-0005-0000-0000-00000A6F0000}"/>
    <cellStyle name="Normal 97 61 2" xfId="27069" xr:uid="{00000000-0005-0000-0000-00000B6F0000}"/>
    <cellStyle name="Normal 97 62" xfId="14843" xr:uid="{00000000-0005-0000-0000-00000C6F0000}"/>
    <cellStyle name="Normal 97 62 2" xfId="27070" xr:uid="{00000000-0005-0000-0000-00000D6F0000}"/>
    <cellStyle name="Normal 97 63" xfId="14844" xr:uid="{00000000-0005-0000-0000-00000E6F0000}"/>
    <cellStyle name="Normal 97 63 2" xfId="27071" xr:uid="{00000000-0005-0000-0000-00000F6F0000}"/>
    <cellStyle name="Normal 97 64" xfId="14845" xr:uid="{00000000-0005-0000-0000-0000106F0000}"/>
    <cellStyle name="Normal 97 64 2" xfId="27072" xr:uid="{00000000-0005-0000-0000-0000116F0000}"/>
    <cellStyle name="Normal 97 65" xfId="14846" xr:uid="{00000000-0005-0000-0000-0000126F0000}"/>
    <cellStyle name="Normal 97 65 2" xfId="27073" xr:uid="{00000000-0005-0000-0000-0000136F0000}"/>
    <cellStyle name="Normal 97 66" xfId="14847" xr:uid="{00000000-0005-0000-0000-0000146F0000}"/>
    <cellStyle name="Normal 97 66 2" xfId="27074" xr:uid="{00000000-0005-0000-0000-0000156F0000}"/>
    <cellStyle name="Normal 97 67" xfId="14848" xr:uid="{00000000-0005-0000-0000-0000166F0000}"/>
    <cellStyle name="Normal 97 67 2" xfId="27075" xr:uid="{00000000-0005-0000-0000-0000176F0000}"/>
    <cellStyle name="Normal 97 68" xfId="14849" xr:uid="{00000000-0005-0000-0000-0000186F0000}"/>
    <cellStyle name="Normal 97 68 2" xfId="27076" xr:uid="{00000000-0005-0000-0000-0000196F0000}"/>
    <cellStyle name="Normal 97 69" xfId="14850" xr:uid="{00000000-0005-0000-0000-00001A6F0000}"/>
    <cellStyle name="Normal 97 69 2" xfId="27077" xr:uid="{00000000-0005-0000-0000-00001B6F0000}"/>
    <cellStyle name="Normal 97 7" xfId="14851" xr:uid="{00000000-0005-0000-0000-00001C6F0000}"/>
    <cellStyle name="Normal 97 7 2" xfId="27078" xr:uid="{00000000-0005-0000-0000-00001D6F0000}"/>
    <cellStyle name="Normal 97 70" xfId="14852" xr:uid="{00000000-0005-0000-0000-00001E6F0000}"/>
    <cellStyle name="Normal 97 70 2" xfId="27079" xr:uid="{00000000-0005-0000-0000-00001F6F0000}"/>
    <cellStyle name="Normal 97 71" xfId="14853" xr:uid="{00000000-0005-0000-0000-0000206F0000}"/>
    <cellStyle name="Normal 97 71 2" xfId="27080" xr:uid="{00000000-0005-0000-0000-0000216F0000}"/>
    <cellStyle name="Normal 97 72" xfId="14854" xr:uid="{00000000-0005-0000-0000-0000226F0000}"/>
    <cellStyle name="Normal 97 72 2" xfId="27081" xr:uid="{00000000-0005-0000-0000-0000236F0000}"/>
    <cellStyle name="Normal 97 73" xfId="14855" xr:uid="{00000000-0005-0000-0000-0000246F0000}"/>
    <cellStyle name="Normal 97 73 2" xfId="27082" xr:uid="{00000000-0005-0000-0000-0000256F0000}"/>
    <cellStyle name="Normal 97 74" xfId="14856" xr:uid="{00000000-0005-0000-0000-0000266F0000}"/>
    <cellStyle name="Normal 97 74 2" xfId="27083" xr:uid="{00000000-0005-0000-0000-0000276F0000}"/>
    <cellStyle name="Normal 97 75" xfId="14857" xr:uid="{00000000-0005-0000-0000-0000286F0000}"/>
    <cellStyle name="Normal 97 75 2" xfId="27084" xr:uid="{00000000-0005-0000-0000-0000296F0000}"/>
    <cellStyle name="Normal 97 76" xfId="14858" xr:uid="{00000000-0005-0000-0000-00002A6F0000}"/>
    <cellStyle name="Normal 97 76 2" xfId="27085" xr:uid="{00000000-0005-0000-0000-00002B6F0000}"/>
    <cellStyle name="Normal 97 77" xfId="14859" xr:uid="{00000000-0005-0000-0000-00002C6F0000}"/>
    <cellStyle name="Normal 97 77 2" xfId="27086" xr:uid="{00000000-0005-0000-0000-00002D6F0000}"/>
    <cellStyle name="Normal 97 78" xfId="14860" xr:uid="{00000000-0005-0000-0000-00002E6F0000}"/>
    <cellStyle name="Normal 97 78 2" xfId="27087" xr:uid="{00000000-0005-0000-0000-00002F6F0000}"/>
    <cellStyle name="Normal 97 79" xfId="14861" xr:uid="{00000000-0005-0000-0000-0000306F0000}"/>
    <cellStyle name="Normal 97 79 2" xfId="27088" xr:uid="{00000000-0005-0000-0000-0000316F0000}"/>
    <cellStyle name="Normal 97 8" xfId="14862" xr:uid="{00000000-0005-0000-0000-0000326F0000}"/>
    <cellStyle name="Normal 97 8 2" xfId="27089" xr:uid="{00000000-0005-0000-0000-0000336F0000}"/>
    <cellStyle name="Normal 97 80" xfId="27012" xr:uid="{00000000-0005-0000-0000-0000346F0000}"/>
    <cellStyle name="Normal 97 9" xfId="14863" xr:uid="{00000000-0005-0000-0000-0000356F0000}"/>
    <cellStyle name="Normal 97 9 2" xfId="27090" xr:uid="{00000000-0005-0000-0000-0000366F0000}"/>
    <cellStyle name="Normal 98" xfId="224" xr:uid="{00000000-0005-0000-0000-0000376F0000}"/>
    <cellStyle name="Normal 98 10" xfId="14864" xr:uid="{00000000-0005-0000-0000-0000386F0000}"/>
    <cellStyle name="Normal 98 10 2" xfId="27092" xr:uid="{00000000-0005-0000-0000-0000396F0000}"/>
    <cellStyle name="Normal 98 11" xfId="14865" xr:uid="{00000000-0005-0000-0000-00003A6F0000}"/>
    <cellStyle name="Normal 98 11 2" xfId="27093" xr:uid="{00000000-0005-0000-0000-00003B6F0000}"/>
    <cellStyle name="Normal 98 12" xfId="14866" xr:uid="{00000000-0005-0000-0000-00003C6F0000}"/>
    <cellStyle name="Normal 98 12 2" xfId="27094" xr:uid="{00000000-0005-0000-0000-00003D6F0000}"/>
    <cellStyle name="Normal 98 13" xfId="14867" xr:uid="{00000000-0005-0000-0000-00003E6F0000}"/>
    <cellStyle name="Normal 98 13 2" xfId="27095" xr:uid="{00000000-0005-0000-0000-00003F6F0000}"/>
    <cellStyle name="Normal 98 14" xfId="14868" xr:uid="{00000000-0005-0000-0000-0000406F0000}"/>
    <cellStyle name="Normal 98 14 2" xfId="27096" xr:uid="{00000000-0005-0000-0000-0000416F0000}"/>
    <cellStyle name="Normal 98 15" xfId="14869" xr:uid="{00000000-0005-0000-0000-0000426F0000}"/>
    <cellStyle name="Normal 98 15 2" xfId="27097" xr:uid="{00000000-0005-0000-0000-0000436F0000}"/>
    <cellStyle name="Normal 98 16" xfId="14870" xr:uid="{00000000-0005-0000-0000-0000446F0000}"/>
    <cellStyle name="Normal 98 16 2" xfId="27098" xr:uid="{00000000-0005-0000-0000-0000456F0000}"/>
    <cellStyle name="Normal 98 17" xfId="14871" xr:uid="{00000000-0005-0000-0000-0000466F0000}"/>
    <cellStyle name="Normal 98 17 2" xfId="27099" xr:uid="{00000000-0005-0000-0000-0000476F0000}"/>
    <cellStyle name="Normal 98 18" xfId="14872" xr:uid="{00000000-0005-0000-0000-0000486F0000}"/>
    <cellStyle name="Normal 98 18 2" xfId="27100" xr:uid="{00000000-0005-0000-0000-0000496F0000}"/>
    <cellStyle name="Normal 98 19" xfId="14873" xr:uid="{00000000-0005-0000-0000-00004A6F0000}"/>
    <cellStyle name="Normal 98 19 2" xfId="27101" xr:uid="{00000000-0005-0000-0000-00004B6F0000}"/>
    <cellStyle name="Normal 98 2" xfId="278" xr:uid="{00000000-0005-0000-0000-00004C6F0000}"/>
    <cellStyle name="Normal 98 2 2" xfId="27102" xr:uid="{00000000-0005-0000-0000-00004D6F0000}"/>
    <cellStyle name="Normal 98 2 3" xfId="14874" xr:uid="{00000000-0005-0000-0000-00004E6F0000}"/>
    <cellStyle name="Normal 98 20" xfId="14875" xr:uid="{00000000-0005-0000-0000-00004F6F0000}"/>
    <cellStyle name="Normal 98 20 2" xfId="27103" xr:uid="{00000000-0005-0000-0000-0000506F0000}"/>
    <cellStyle name="Normal 98 21" xfId="14876" xr:uid="{00000000-0005-0000-0000-0000516F0000}"/>
    <cellStyle name="Normal 98 21 2" xfId="27104" xr:uid="{00000000-0005-0000-0000-0000526F0000}"/>
    <cellStyle name="Normal 98 22" xfId="14877" xr:uid="{00000000-0005-0000-0000-0000536F0000}"/>
    <cellStyle name="Normal 98 22 2" xfId="27105" xr:uid="{00000000-0005-0000-0000-0000546F0000}"/>
    <cellStyle name="Normal 98 23" xfId="14878" xr:uid="{00000000-0005-0000-0000-0000556F0000}"/>
    <cellStyle name="Normal 98 23 2" xfId="27106" xr:uid="{00000000-0005-0000-0000-0000566F0000}"/>
    <cellStyle name="Normal 98 24" xfId="14879" xr:uid="{00000000-0005-0000-0000-0000576F0000}"/>
    <cellStyle name="Normal 98 24 2" xfId="27107" xr:uid="{00000000-0005-0000-0000-0000586F0000}"/>
    <cellStyle name="Normal 98 25" xfId="14880" xr:uid="{00000000-0005-0000-0000-0000596F0000}"/>
    <cellStyle name="Normal 98 25 2" xfId="27108" xr:uid="{00000000-0005-0000-0000-00005A6F0000}"/>
    <cellStyle name="Normal 98 26" xfId="14881" xr:uid="{00000000-0005-0000-0000-00005B6F0000}"/>
    <cellStyle name="Normal 98 26 2" xfId="27109" xr:uid="{00000000-0005-0000-0000-00005C6F0000}"/>
    <cellStyle name="Normal 98 27" xfId="14882" xr:uid="{00000000-0005-0000-0000-00005D6F0000}"/>
    <cellStyle name="Normal 98 27 2" xfId="27110" xr:uid="{00000000-0005-0000-0000-00005E6F0000}"/>
    <cellStyle name="Normal 98 28" xfId="14883" xr:uid="{00000000-0005-0000-0000-00005F6F0000}"/>
    <cellStyle name="Normal 98 28 2" xfId="27111" xr:uid="{00000000-0005-0000-0000-0000606F0000}"/>
    <cellStyle name="Normal 98 29" xfId="14884" xr:uid="{00000000-0005-0000-0000-0000616F0000}"/>
    <cellStyle name="Normal 98 29 2" xfId="27112" xr:uid="{00000000-0005-0000-0000-0000626F0000}"/>
    <cellStyle name="Normal 98 3" xfId="439" xr:uid="{00000000-0005-0000-0000-0000636F0000}"/>
    <cellStyle name="Normal 98 3 2" xfId="27113" xr:uid="{00000000-0005-0000-0000-0000646F0000}"/>
    <cellStyle name="Normal 98 30" xfId="14885" xr:uid="{00000000-0005-0000-0000-0000656F0000}"/>
    <cellStyle name="Normal 98 30 2" xfId="27114" xr:uid="{00000000-0005-0000-0000-0000666F0000}"/>
    <cellStyle name="Normal 98 31" xfId="14886" xr:uid="{00000000-0005-0000-0000-0000676F0000}"/>
    <cellStyle name="Normal 98 31 2" xfId="27115" xr:uid="{00000000-0005-0000-0000-0000686F0000}"/>
    <cellStyle name="Normal 98 32" xfId="14887" xr:uid="{00000000-0005-0000-0000-0000696F0000}"/>
    <cellStyle name="Normal 98 32 2" xfId="27116" xr:uid="{00000000-0005-0000-0000-00006A6F0000}"/>
    <cellStyle name="Normal 98 33" xfId="14888" xr:uid="{00000000-0005-0000-0000-00006B6F0000}"/>
    <cellStyle name="Normal 98 33 2" xfId="27117" xr:uid="{00000000-0005-0000-0000-00006C6F0000}"/>
    <cellStyle name="Normal 98 34" xfId="14889" xr:uid="{00000000-0005-0000-0000-00006D6F0000}"/>
    <cellStyle name="Normal 98 34 2" xfId="27118" xr:uid="{00000000-0005-0000-0000-00006E6F0000}"/>
    <cellStyle name="Normal 98 35" xfId="14890" xr:uid="{00000000-0005-0000-0000-00006F6F0000}"/>
    <cellStyle name="Normal 98 35 2" xfId="27119" xr:uid="{00000000-0005-0000-0000-0000706F0000}"/>
    <cellStyle name="Normal 98 36" xfId="14891" xr:uid="{00000000-0005-0000-0000-0000716F0000}"/>
    <cellStyle name="Normal 98 36 2" xfId="27120" xr:uid="{00000000-0005-0000-0000-0000726F0000}"/>
    <cellStyle name="Normal 98 37" xfId="14892" xr:uid="{00000000-0005-0000-0000-0000736F0000}"/>
    <cellStyle name="Normal 98 37 2" xfId="27121" xr:uid="{00000000-0005-0000-0000-0000746F0000}"/>
    <cellStyle name="Normal 98 38" xfId="14893" xr:uid="{00000000-0005-0000-0000-0000756F0000}"/>
    <cellStyle name="Normal 98 38 2" xfId="27122" xr:uid="{00000000-0005-0000-0000-0000766F0000}"/>
    <cellStyle name="Normal 98 39" xfId="14894" xr:uid="{00000000-0005-0000-0000-0000776F0000}"/>
    <cellStyle name="Normal 98 39 2" xfId="27123" xr:uid="{00000000-0005-0000-0000-0000786F0000}"/>
    <cellStyle name="Normal 98 4" xfId="14895" xr:uid="{00000000-0005-0000-0000-0000796F0000}"/>
    <cellStyle name="Normal 98 4 2" xfId="27124" xr:uid="{00000000-0005-0000-0000-00007A6F0000}"/>
    <cellStyle name="Normal 98 40" xfId="14896" xr:uid="{00000000-0005-0000-0000-00007B6F0000}"/>
    <cellStyle name="Normal 98 40 2" xfId="27125" xr:uid="{00000000-0005-0000-0000-00007C6F0000}"/>
    <cellStyle name="Normal 98 41" xfId="14897" xr:uid="{00000000-0005-0000-0000-00007D6F0000}"/>
    <cellStyle name="Normal 98 41 2" xfId="27126" xr:uid="{00000000-0005-0000-0000-00007E6F0000}"/>
    <cellStyle name="Normal 98 42" xfId="14898" xr:uid="{00000000-0005-0000-0000-00007F6F0000}"/>
    <cellStyle name="Normal 98 42 2" xfId="27127" xr:uid="{00000000-0005-0000-0000-0000806F0000}"/>
    <cellStyle name="Normal 98 43" xfId="14899" xr:uid="{00000000-0005-0000-0000-0000816F0000}"/>
    <cellStyle name="Normal 98 43 2" xfId="27128" xr:uid="{00000000-0005-0000-0000-0000826F0000}"/>
    <cellStyle name="Normal 98 44" xfId="14900" xr:uid="{00000000-0005-0000-0000-0000836F0000}"/>
    <cellStyle name="Normal 98 44 2" xfId="27129" xr:uid="{00000000-0005-0000-0000-0000846F0000}"/>
    <cellStyle name="Normal 98 45" xfId="14901" xr:uid="{00000000-0005-0000-0000-0000856F0000}"/>
    <cellStyle name="Normal 98 45 2" xfId="27130" xr:uid="{00000000-0005-0000-0000-0000866F0000}"/>
    <cellStyle name="Normal 98 46" xfId="14902" xr:uid="{00000000-0005-0000-0000-0000876F0000}"/>
    <cellStyle name="Normal 98 46 2" xfId="27131" xr:uid="{00000000-0005-0000-0000-0000886F0000}"/>
    <cellStyle name="Normal 98 47" xfId="14903" xr:uid="{00000000-0005-0000-0000-0000896F0000}"/>
    <cellStyle name="Normal 98 47 2" xfId="27132" xr:uid="{00000000-0005-0000-0000-00008A6F0000}"/>
    <cellStyle name="Normal 98 48" xfId="14904" xr:uid="{00000000-0005-0000-0000-00008B6F0000}"/>
    <cellStyle name="Normal 98 48 2" xfId="27133" xr:uid="{00000000-0005-0000-0000-00008C6F0000}"/>
    <cellStyle name="Normal 98 49" xfId="14905" xr:uid="{00000000-0005-0000-0000-00008D6F0000}"/>
    <cellStyle name="Normal 98 49 2" xfId="27134" xr:uid="{00000000-0005-0000-0000-00008E6F0000}"/>
    <cellStyle name="Normal 98 5" xfId="14906" xr:uid="{00000000-0005-0000-0000-00008F6F0000}"/>
    <cellStyle name="Normal 98 5 2" xfId="27135" xr:uid="{00000000-0005-0000-0000-0000906F0000}"/>
    <cellStyle name="Normal 98 50" xfId="14907" xr:uid="{00000000-0005-0000-0000-0000916F0000}"/>
    <cellStyle name="Normal 98 50 2" xfId="27136" xr:uid="{00000000-0005-0000-0000-0000926F0000}"/>
    <cellStyle name="Normal 98 51" xfId="14908" xr:uid="{00000000-0005-0000-0000-0000936F0000}"/>
    <cellStyle name="Normal 98 51 2" xfId="27137" xr:uid="{00000000-0005-0000-0000-0000946F0000}"/>
    <cellStyle name="Normal 98 52" xfId="14909" xr:uid="{00000000-0005-0000-0000-0000956F0000}"/>
    <cellStyle name="Normal 98 52 2" xfId="27138" xr:uid="{00000000-0005-0000-0000-0000966F0000}"/>
    <cellStyle name="Normal 98 53" xfId="14910" xr:uid="{00000000-0005-0000-0000-0000976F0000}"/>
    <cellStyle name="Normal 98 53 2" xfId="27139" xr:uid="{00000000-0005-0000-0000-0000986F0000}"/>
    <cellStyle name="Normal 98 54" xfId="14911" xr:uid="{00000000-0005-0000-0000-0000996F0000}"/>
    <cellStyle name="Normal 98 54 2" xfId="27140" xr:uid="{00000000-0005-0000-0000-00009A6F0000}"/>
    <cellStyle name="Normal 98 55" xfId="14912" xr:uid="{00000000-0005-0000-0000-00009B6F0000}"/>
    <cellStyle name="Normal 98 55 2" xfId="27141" xr:uid="{00000000-0005-0000-0000-00009C6F0000}"/>
    <cellStyle name="Normal 98 56" xfId="14913" xr:uid="{00000000-0005-0000-0000-00009D6F0000}"/>
    <cellStyle name="Normal 98 56 2" xfId="27142" xr:uid="{00000000-0005-0000-0000-00009E6F0000}"/>
    <cellStyle name="Normal 98 57" xfId="14914" xr:uid="{00000000-0005-0000-0000-00009F6F0000}"/>
    <cellStyle name="Normal 98 57 2" xfId="27143" xr:uid="{00000000-0005-0000-0000-0000A06F0000}"/>
    <cellStyle name="Normal 98 58" xfId="14915" xr:uid="{00000000-0005-0000-0000-0000A16F0000}"/>
    <cellStyle name="Normal 98 58 2" xfId="27144" xr:uid="{00000000-0005-0000-0000-0000A26F0000}"/>
    <cellStyle name="Normal 98 59" xfId="14916" xr:uid="{00000000-0005-0000-0000-0000A36F0000}"/>
    <cellStyle name="Normal 98 59 2" xfId="27145" xr:uid="{00000000-0005-0000-0000-0000A46F0000}"/>
    <cellStyle name="Normal 98 6" xfId="14917" xr:uid="{00000000-0005-0000-0000-0000A56F0000}"/>
    <cellStyle name="Normal 98 6 2" xfId="27146" xr:uid="{00000000-0005-0000-0000-0000A66F0000}"/>
    <cellStyle name="Normal 98 60" xfId="14918" xr:uid="{00000000-0005-0000-0000-0000A76F0000}"/>
    <cellStyle name="Normal 98 60 2" xfId="27147" xr:uid="{00000000-0005-0000-0000-0000A86F0000}"/>
    <cellStyle name="Normal 98 61" xfId="14919" xr:uid="{00000000-0005-0000-0000-0000A96F0000}"/>
    <cellStyle name="Normal 98 61 2" xfId="27148" xr:uid="{00000000-0005-0000-0000-0000AA6F0000}"/>
    <cellStyle name="Normal 98 62" xfId="14920" xr:uid="{00000000-0005-0000-0000-0000AB6F0000}"/>
    <cellStyle name="Normal 98 62 2" xfId="27149" xr:uid="{00000000-0005-0000-0000-0000AC6F0000}"/>
    <cellStyle name="Normal 98 63" xfId="14921" xr:uid="{00000000-0005-0000-0000-0000AD6F0000}"/>
    <cellStyle name="Normal 98 63 2" xfId="27150" xr:uid="{00000000-0005-0000-0000-0000AE6F0000}"/>
    <cellStyle name="Normal 98 64" xfId="14922" xr:uid="{00000000-0005-0000-0000-0000AF6F0000}"/>
    <cellStyle name="Normal 98 64 2" xfId="27151" xr:uid="{00000000-0005-0000-0000-0000B06F0000}"/>
    <cellStyle name="Normal 98 65" xfId="14923" xr:uid="{00000000-0005-0000-0000-0000B16F0000}"/>
    <cellStyle name="Normal 98 65 2" xfId="27152" xr:uid="{00000000-0005-0000-0000-0000B26F0000}"/>
    <cellStyle name="Normal 98 66" xfId="14924" xr:uid="{00000000-0005-0000-0000-0000B36F0000}"/>
    <cellStyle name="Normal 98 66 2" xfId="27153" xr:uid="{00000000-0005-0000-0000-0000B46F0000}"/>
    <cellStyle name="Normal 98 67" xfId="14925" xr:uid="{00000000-0005-0000-0000-0000B56F0000}"/>
    <cellStyle name="Normal 98 67 2" xfId="27154" xr:uid="{00000000-0005-0000-0000-0000B66F0000}"/>
    <cellStyle name="Normal 98 68" xfId="14926" xr:uid="{00000000-0005-0000-0000-0000B76F0000}"/>
    <cellStyle name="Normal 98 68 2" xfId="27155" xr:uid="{00000000-0005-0000-0000-0000B86F0000}"/>
    <cellStyle name="Normal 98 69" xfId="14927" xr:uid="{00000000-0005-0000-0000-0000B96F0000}"/>
    <cellStyle name="Normal 98 69 2" xfId="27156" xr:uid="{00000000-0005-0000-0000-0000BA6F0000}"/>
    <cellStyle name="Normal 98 7" xfId="14928" xr:uid="{00000000-0005-0000-0000-0000BB6F0000}"/>
    <cellStyle name="Normal 98 7 2" xfId="27157" xr:uid="{00000000-0005-0000-0000-0000BC6F0000}"/>
    <cellStyle name="Normal 98 70" xfId="14929" xr:uid="{00000000-0005-0000-0000-0000BD6F0000}"/>
    <cellStyle name="Normal 98 70 2" xfId="27158" xr:uid="{00000000-0005-0000-0000-0000BE6F0000}"/>
    <cellStyle name="Normal 98 71" xfId="14930" xr:uid="{00000000-0005-0000-0000-0000BF6F0000}"/>
    <cellStyle name="Normal 98 71 2" xfId="27159" xr:uid="{00000000-0005-0000-0000-0000C06F0000}"/>
    <cellStyle name="Normal 98 72" xfId="14931" xr:uid="{00000000-0005-0000-0000-0000C16F0000}"/>
    <cellStyle name="Normal 98 72 2" xfId="27160" xr:uid="{00000000-0005-0000-0000-0000C26F0000}"/>
    <cellStyle name="Normal 98 73" xfId="14932" xr:uid="{00000000-0005-0000-0000-0000C36F0000}"/>
    <cellStyle name="Normal 98 73 2" xfId="27161" xr:uid="{00000000-0005-0000-0000-0000C46F0000}"/>
    <cellStyle name="Normal 98 74" xfId="14933" xr:uid="{00000000-0005-0000-0000-0000C56F0000}"/>
    <cellStyle name="Normal 98 74 2" xfId="27162" xr:uid="{00000000-0005-0000-0000-0000C66F0000}"/>
    <cellStyle name="Normal 98 75" xfId="14934" xr:uid="{00000000-0005-0000-0000-0000C76F0000}"/>
    <cellStyle name="Normal 98 75 2" xfId="27163" xr:uid="{00000000-0005-0000-0000-0000C86F0000}"/>
    <cellStyle name="Normal 98 76" xfId="14935" xr:uid="{00000000-0005-0000-0000-0000C96F0000}"/>
    <cellStyle name="Normal 98 76 2" xfId="27164" xr:uid="{00000000-0005-0000-0000-0000CA6F0000}"/>
    <cellStyle name="Normal 98 77" xfId="14936" xr:uid="{00000000-0005-0000-0000-0000CB6F0000}"/>
    <cellStyle name="Normal 98 77 2" xfId="27165" xr:uid="{00000000-0005-0000-0000-0000CC6F0000}"/>
    <cellStyle name="Normal 98 78" xfId="14937" xr:uid="{00000000-0005-0000-0000-0000CD6F0000}"/>
    <cellStyle name="Normal 98 78 2" xfId="27166" xr:uid="{00000000-0005-0000-0000-0000CE6F0000}"/>
    <cellStyle name="Normal 98 79" xfId="14938" xr:uid="{00000000-0005-0000-0000-0000CF6F0000}"/>
    <cellStyle name="Normal 98 79 2" xfId="27167" xr:uid="{00000000-0005-0000-0000-0000D06F0000}"/>
    <cellStyle name="Normal 98 8" xfId="14939" xr:uid="{00000000-0005-0000-0000-0000D16F0000}"/>
    <cellStyle name="Normal 98 8 2" xfId="27168" xr:uid="{00000000-0005-0000-0000-0000D26F0000}"/>
    <cellStyle name="Normal 98 80" xfId="27091" xr:uid="{00000000-0005-0000-0000-0000D36F0000}"/>
    <cellStyle name="Normal 98 9" xfId="14940" xr:uid="{00000000-0005-0000-0000-0000D46F0000}"/>
    <cellStyle name="Normal 98 9 2" xfId="27169" xr:uid="{00000000-0005-0000-0000-0000D56F0000}"/>
    <cellStyle name="Normal 99" xfId="225" xr:uid="{00000000-0005-0000-0000-0000D66F0000}"/>
    <cellStyle name="Normal 99 2" xfId="279" xr:uid="{00000000-0005-0000-0000-0000D76F0000}"/>
    <cellStyle name="Normal 99 3" xfId="440" xr:uid="{00000000-0005-0000-0000-0000D86F0000}"/>
    <cellStyle name="Note" xfId="20" builtinId="10" customBuiltin="1"/>
    <cellStyle name="Note 10" xfId="3186" xr:uid="{00000000-0005-0000-0000-0000DC6F0000}"/>
    <cellStyle name="Note 11" xfId="3187" xr:uid="{00000000-0005-0000-0000-0000DD6F0000}"/>
    <cellStyle name="Note 12" xfId="3188" xr:uid="{00000000-0005-0000-0000-0000DE6F0000}"/>
    <cellStyle name="Note 12 2" xfId="27348" xr:uid="{00000000-0005-0000-0000-0000DF6F0000}"/>
    <cellStyle name="Note 13" xfId="3189" xr:uid="{00000000-0005-0000-0000-0000E06F0000}"/>
    <cellStyle name="Note 13 2" xfId="27349" xr:uid="{00000000-0005-0000-0000-0000E16F0000}"/>
    <cellStyle name="Note 14" xfId="3190" xr:uid="{00000000-0005-0000-0000-0000E26F0000}"/>
    <cellStyle name="Note 14 2" xfId="27350" xr:uid="{00000000-0005-0000-0000-0000E36F0000}"/>
    <cellStyle name="Note 15" xfId="3191" xr:uid="{00000000-0005-0000-0000-0000E46F0000}"/>
    <cellStyle name="Note 15 2" xfId="27351" xr:uid="{00000000-0005-0000-0000-0000E56F0000}"/>
    <cellStyle name="Note 16" xfId="3192" xr:uid="{00000000-0005-0000-0000-0000E66F0000}"/>
    <cellStyle name="Note 16 2" xfId="27352" xr:uid="{00000000-0005-0000-0000-0000E76F0000}"/>
    <cellStyle name="Note 17" xfId="3193" xr:uid="{00000000-0005-0000-0000-0000E86F0000}"/>
    <cellStyle name="Note 17 2" xfId="27353" xr:uid="{00000000-0005-0000-0000-0000E96F0000}"/>
    <cellStyle name="Note 18" xfId="3194" xr:uid="{00000000-0005-0000-0000-0000EA6F0000}"/>
    <cellStyle name="Note 18 2" xfId="27354" xr:uid="{00000000-0005-0000-0000-0000EB6F0000}"/>
    <cellStyle name="Note 19" xfId="3195" xr:uid="{00000000-0005-0000-0000-0000EC6F0000}"/>
    <cellStyle name="Note 19 2" xfId="27355" xr:uid="{00000000-0005-0000-0000-0000ED6F0000}"/>
    <cellStyle name="Note 2" xfId="1620" xr:uid="{00000000-0005-0000-0000-0000EE6F0000}"/>
    <cellStyle name="Note 2 10" xfId="3196" xr:uid="{00000000-0005-0000-0000-0000EF6F0000}"/>
    <cellStyle name="Note 2 11" xfId="3197" xr:uid="{00000000-0005-0000-0000-0000F06F0000}"/>
    <cellStyle name="Note 2 12" xfId="3198" xr:uid="{00000000-0005-0000-0000-0000F16F0000}"/>
    <cellStyle name="Note 2 13" xfId="3199" xr:uid="{00000000-0005-0000-0000-0000F26F0000}"/>
    <cellStyle name="Note 2 14" xfId="3200" xr:uid="{00000000-0005-0000-0000-0000F36F0000}"/>
    <cellStyle name="Note 2 15" xfId="3201" xr:uid="{00000000-0005-0000-0000-0000F46F0000}"/>
    <cellStyle name="Note 2 16" xfId="14963" xr:uid="{00000000-0005-0000-0000-0000F56F0000}"/>
    <cellStyle name="Note 2 16 10" xfId="31273" xr:uid="{00000000-0005-0000-0000-0000F66F0000}"/>
    <cellStyle name="Note 2 16 2" xfId="15007" xr:uid="{00000000-0005-0000-0000-0000F76F0000}"/>
    <cellStyle name="Note 2 16 2 2" xfId="27392" xr:uid="{00000000-0005-0000-0000-0000F86F0000}"/>
    <cellStyle name="Note 2 16 2 2 2" xfId="27503" xr:uid="{00000000-0005-0000-0000-0000F96F0000}"/>
    <cellStyle name="Note 2 16 2 2 2 2" xfId="27969" xr:uid="{00000000-0005-0000-0000-0000FA6F0000}"/>
    <cellStyle name="Note 2 16 2 2 2 2 2" xfId="28956" xr:uid="{00000000-0005-0000-0000-0000FB6F0000}"/>
    <cellStyle name="Note 2 16 2 2 2 2 2 2" xfId="30916" xr:uid="{00000000-0005-0000-0000-0000FC6F0000}"/>
    <cellStyle name="Note 2 16 2 2 2 2 3" xfId="29936" xr:uid="{00000000-0005-0000-0000-0000FD6F0000}"/>
    <cellStyle name="Note 2 16 2 2 2 3" xfId="28491" xr:uid="{00000000-0005-0000-0000-0000FE6F0000}"/>
    <cellStyle name="Note 2 16 2 2 2 3 2" xfId="30451" xr:uid="{00000000-0005-0000-0000-0000FF6F0000}"/>
    <cellStyle name="Note 2 16 2 2 2 4" xfId="29471" xr:uid="{00000000-0005-0000-0000-000000700000}"/>
    <cellStyle name="Note 2 16 2 2 3" xfId="27601" xr:uid="{00000000-0005-0000-0000-000001700000}"/>
    <cellStyle name="Note 2 16 2 2 3 2" xfId="28067" xr:uid="{00000000-0005-0000-0000-000002700000}"/>
    <cellStyle name="Note 2 16 2 2 3 2 2" xfId="29054" xr:uid="{00000000-0005-0000-0000-000003700000}"/>
    <cellStyle name="Note 2 16 2 2 3 2 2 2" xfId="31014" xr:uid="{00000000-0005-0000-0000-000004700000}"/>
    <cellStyle name="Note 2 16 2 2 3 2 3" xfId="30034" xr:uid="{00000000-0005-0000-0000-000005700000}"/>
    <cellStyle name="Note 2 16 2 2 3 3" xfId="27757" xr:uid="{00000000-0005-0000-0000-000006700000}"/>
    <cellStyle name="Note 2 16 2 2 3 3 2" xfId="28745" xr:uid="{00000000-0005-0000-0000-000007700000}"/>
    <cellStyle name="Note 2 16 2 2 3 3 2 2" xfId="30705" xr:uid="{00000000-0005-0000-0000-000008700000}"/>
    <cellStyle name="Note 2 16 2 2 3 3 3" xfId="29725" xr:uid="{00000000-0005-0000-0000-000009700000}"/>
    <cellStyle name="Note 2 16 2 2 3 4" xfId="28589" xr:uid="{00000000-0005-0000-0000-00000A700000}"/>
    <cellStyle name="Note 2 16 2 2 3 4 2" xfId="30549" xr:uid="{00000000-0005-0000-0000-00000B700000}"/>
    <cellStyle name="Note 2 16 2 2 3 5" xfId="29569" xr:uid="{00000000-0005-0000-0000-00000C700000}"/>
    <cellStyle name="Note 2 16 2 2 4" xfId="27699" xr:uid="{00000000-0005-0000-0000-00000D700000}"/>
    <cellStyle name="Note 2 16 2 2 4 2" xfId="28165" xr:uid="{00000000-0005-0000-0000-00000E700000}"/>
    <cellStyle name="Note 2 16 2 2 4 2 2" xfId="29152" xr:uid="{00000000-0005-0000-0000-00000F700000}"/>
    <cellStyle name="Note 2 16 2 2 4 2 2 2" xfId="31112" xr:uid="{00000000-0005-0000-0000-000010700000}"/>
    <cellStyle name="Note 2 16 2 2 4 2 3" xfId="30132" xr:uid="{00000000-0005-0000-0000-000011700000}"/>
    <cellStyle name="Note 2 16 2 2 4 3" xfId="28292" xr:uid="{00000000-0005-0000-0000-000012700000}"/>
    <cellStyle name="Note 2 16 2 2 4 3 2" xfId="29279" xr:uid="{00000000-0005-0000-0000-000013700000}"/>
    <cellStyle name="Note 2 16 2 2 4 3 2 2" xfId="31239" xr:uid="{00000000-0005-0000-0000-000014700000}"/>
    <cellStyle name="Note 2 16 2 2 4 3 3" xfId="30259" xr:uid="{00000000-0005-0000-0000-000015700000}"/>
    <cellStyle name="Note 2 16 2 2 4 4" xfId="28687" xr:uid="{00000000-0005-0000-0000-000016700000}"/>
    <cellStyle name="Note 2 16 2 2 4 4 2" xfId="30647" xr:uid="{00000000-0005-0000-0000-000017700000}"/>
    <cellStyle name="Note 2 16 2 2 4 5" xfId="29667" xr:uid="{00000000-0005-0000-0000-000018700000}"/>
    <cellStyle name="Note 2 16 2 2 5" xfId="27871" xr:uid="{00000000-0005-0000-0000-000019700000}"/>
    <cellStyle name="Note 2 16 2 2 5 2" xfId="28858" xr:uid="{00000000-0005-0000-0000-00001A700000}"/>
    <cellStyle name="Note 2 16 2 2 5 2 2" xfId="30818" xr:uid="{00000000-0005-0000-0000-00001B700000}"/>
    <cellStyle name="Note 2 16 2 2 5 3" xfId="29838" xr:uid="{00000000-0005-0000-0000-00001C700000}"/>
    <cellStyle name="Note 2 16 2 2 6" xfId="28393" xr:uid="{00000000-0005-0000-0000-00001D700000}"/>
    <cellStyle name="Note 2 16 2 2 6 2" xfId="30353" xr:uid="{00000000-0005-0000-0000-00001E700000}"/>
    <cellStyle name="Note 2 16 2 2 7" xfId="29373" xr:uid="{00000000-0005-0000-0000-00001F700000}"/>
    <cellStyle name="Note 2 16 2 2 8" xfId="31333" xr:uid="{00000000-0005-0000-0000-000020700000}"/>
    <cellStyle name="Note 2 16 2 3" xfId="27459" xr:uid="{00000000-0005-0000-0000-000021700000}"/>
    <cellStyle name="Note 2 16 2 3 2" xfId="27925" xr:uid="{00000000-0005-0000-0000-000022700000}"/>
    <cellStyle name="Note 2 16 2 3 2 2" xfId="28912" xr:uid="{00000000-0005-0000-0000-000023700000}"/>
    <cellStyle name="Note 2 16 2 3 2 2 2" xfId="30872" xr:uid="{00000000-0005-0000-0000-000024700000}"/>
    <cellStyle name="Note 2 16 2 3 2 3" xfId="29892" xr:uid="{00000000-0005-0000-0000-000025700000}"/>
    <cellStyle name="Note 2 16 2 3 3" xfId="28447" xr:uid="{00000000-0005-0000-0000-000026700000}"/>
    <cellStyle name="Note 2 16 2 3 3 2" xfId="30407" xr:uid="{00000000-0005-0000-0000-000027700000}"/>
    <cellStyle name="Note 2 16 2 3 4" xfId="29427" xr:uid="{00000000-0005-0000-0000-000028700000}"/>
    <cellStyle name="Note 2 16 2 4" xfId="27557" xr:uid="{00000000-0005-0000-0000-000029700000}"/>
    <cellStyle name="Note 2 16 2 4 2" xfId="28023" xr:uid="{00000000-0005-0000-0000-00002A700000}"/>
    <cellStyle name="Note 2 16 2 4 2 2" xfId="29010" xr:uid="{00000000-0005-0000-0000-00002B700000}"/>
    <cellStyle name="Note 2 16 2 4 2 2 2" xfId="30970" xr:uid="{00000000-0005-0000-0000-00002C700000}"/>
    <cellStyle name="Note 2 16 2 4 2 3" xfId="29990" xr:uid="{00000000-0005-0000-0000-00002D700000}"/>
    <cellStyle name="Note 2 16 2 4 3" xfId="27748" xr:uid="{00000000-0005-0000-0000-00002E700000}"/>
    <cellStyle name="Note 2 16 2 4 3 2" xfId="28736" xr:uid="{00000000-0005-0000-0000-00002F700000}"/>
    <cellStyle name="Note 2 16 2 4 3 2 2" xfId="30696" xr:uid="{00000000-0005-0000-0000-000030700000}"/>
    <cellStyle name="Note 2 16 2 4 3 3" xfId="29716" xr:uid="{00000000-0005-0000-0000-000031700000}"/>
    <cellStyle name="Note 2 16 2 4 4" xfId="28545" xr:uid="{00000000-0005-0000-0000-000032700000}"/>
    <cellStyle name="Note 2 16 2 4 4 2" xfId="30505" xr:uid="{00000000-0005-0000-0000-000033700000}"/>
    <cellStyle name="Note 2 16 2 4 5" xfId="29525" xr:uid="{00000000-0005-0000-0000-000034700000}"/>
    <cellStyle name="Note 2 16 2 5" xfId="27655" xr:uid="{00000000-0005-0000-0000-000035700000}"/>
    <cellStyle name="Note 2 16 2 5 2" xfId="28121" xr:uid="{00000000-0005-0000-0000-000036700000}"/>
    <cellStyle name="Note 2 16 2 5 2 2" xfId="29108" xr:uid="{00000000-0005-0000-0000-000037700000}"/>
    <cellStyle name="Note 2 16 2 5 2 2 2" xfId="31068" xr:uid="{00000000-0005-0000-0000-000038700000}"/>
    <cellStyle name="Note 2 16 2 5 2 3" xfId="30088" xr:uid="{00000000-0005-0000-0000-000039700000}"/>
    <cellStyle name="Note 2 16 2 5 3" xfId="28264" xr:uid="{00000000-0005-0000-0000-00003A700000}"/>
    <cellStyle name="Note 2 16 2 5 3 2" xfId="29251" xr:uid="{00000000-0005-0000-0000-00003B700000}"/>
    <cellStyle name="Note 2 16 2 5 3 2 2" xfId="31211" xr:uid="{00000000-0005-0000-0000-00003C700000}"/>
    <cellStyle name="Note 2 16 2 5 3 3" xfId="30231" xr:uid="{00000000-0005-0000-0000-00003D700000}"/>
    <cellStyle name="Note 2 16 2 5 4" xfId="28643" xr:uid="{00000000-0005-0000-0000-00003E700000}"/>
    <cellStyle name="Note 2 16 2 5 4 2" xfId="30603" xr:uid="{00000000-0005-0000-0000-00003F700000}"/>
    <cellStyle name="Note 2 16 2 5 5" xfId="29623" xr:uid="{00000000-0005-0000-0000-000040700000}"/>
    <cellStyle name="Note 2 16 2 6" xfId="27795" xr:uid="{00000000-0005-0000-0000-000041700000}"/>
    <cellStyle name="Note 2 16 2 6 2" xfId="28783" xr:uid="{00000000-0005-0000-0000-000042700000}"/>
    <cellStyle name="Note 2 16 2 6 2 2" xfId="30743" xr:uid="{00000000-0005-0000-0000-000043700000}"/>
    <cellStyle name="Note 2 16 2 6 3" xfId="29763" xr:uid="{00000000-0005-0000-0000-000044700000}"/>
    <cellStyle name="Note 2 16 2 7" xfId="28349" xr:uid="{00000000-0005-0000-0000-000045700000}"/>
    <cellStyle name="Note 2 16 2 7 2" xfId="30309" xr:uid="{00000000-0005-0000-0000-000046700000}"/>
    <cellStyle name="Note 2 16 2 8" xfId="29329" xr:uid="{00000000-0005-0000-0000-000047700000}"/>
    <cellStyle name="Note 2 16 2 9" xfId="31289" xr:uid="{00000000-0005-0000-0000-000048700000}"/>
    <cellStyle name="Note 2 16 3" xfId="27376" xr:uid="{00000000-0005-0000-0000-000049700000}"/>
    <cellStyle name="Note 2 16 3 2" xfId="27487" xr:uid="{00000000-0005-0000-0000-00004A700000}"/>
    <cellStyle name="Note 2 16 3 2 2" xfId="27953" xr:uid="{00000000-0005-0000-0000-00004B700000}"/>
    <cellStyle name="Note 2 16 3 2 2 2" xfId="28940" xr:uid="{00000000-0005-0000-0000-00004C700000}"/>
    <cellStyle name="Note 2 16 3 2 2 2 2" xfId="30900" xr:uid="{00000000-0005-0000-0000-00004D700000}"/>
    <cellStyle name="Note 2 16 3 2 2 3" xfId="29920" xr:uid="{00000000-0005-0000-0000-00004E700000}"/>
    <cellStyle name="Note 2 16 3 2 3" xfId="28475" xr:uid="{00000000-0005-0000-0000-00004F700000}"/>
    <cellStyle name="Note 2 16 3 2 3 2" xfId="30435" xr:uid="{00000000-0005-0000-0000-000050700000}"/>
    <cellStyle name="Note 2 16 3 2 4" xfId="29455" xr:uid="{00000000-0005-0000-0000-000051700000}"/>
    <cellStyle name="Note 2 16 3 3" xfId="27585" xr:uid="{00000000-0005-0000-0000-000052700000}"/>
    <cellStyle name="Note 2 16 3 3 2" xfId="28051" xr:uid="{00000000-0005-0000-0000-000053700000}"/>
    <cellStyle name="Note 2 16 3 3 2 2" xfId="29038" xr:uid="{00000000-0005-0000-0000-000054700000}"/>
    <cellStyle name="Note 2 16 3 3 2 2 2" xfId="30998" xr:uid="{00000000-0005-0000-0000-000055700000}"/>
    <cellStyle name="Note 2 16 3 3 2 3" xfId="30018" xr:uid="{00000000-0005-0000-0000-000056700000}"/>
    <cellStyle name="Note 2 16 3 3 3" xfId="27764" xr:uid="{00000000-0005-0000-0000-000057700000}"/>
    <cellStyle name="Note 2 16 3 3 3 2" xfId="28752" xr:uid="{00000000-0005-0000-0000-000058700000}"/>
    <cellStyle name="Note 2 16 3 3 3 2 2" xfId="30712" xr:uid="{00000000-0005-0000-0000-000059700000}"/>
    <cellStyle name="Note 2 16 3 3 3 3" xfId="29732" xr:uid="{00000000-0005-0000-0000-00005A700000}"/>
    <cellStyle name="Note 2 16 3 3 4" xfId="28573" xr:uid="{00000000-0005-0000-0000-00005B700000}"/>
    <cellStyle name="Note 2 16 3 3 4 2" xfId="30533" xr:uid="{00000000-0005-0000-0000-00005C700000}"/>
    <cellStyle name="Note 2 16 3 3 5" xfId="29553" xr:uid="{00000000-0005-0000-0000-00005D700000}"/>
    <cellStyle name="Note 2 16 3 4" xfId="27683" xr:uid="{00000000-0005-0000-0000-00005E700000}"/>
    <cellStyle name="Note 2 16 3 4 2" xfId="28149" xr:uid="{00000000-0005-0000-0000-00005F700000}"/>
    <cellStyle name="Note 2 16 3 4 2 2" xfId="29136" xr:uid="{00000000-0005-0000-0000-000060700000}"/>
    <cellStyle name="Note 2 16 3 4 2 2 2" xfId="31096" xr:uid="{00000000-0005-0000-0000-000061700000}"/>
    <cellStyle name="Note 2 16 3 4 2 3" xfId="30116" xr:uid="{00000000-0005-0000-0000-000062700000}"/>
    <cellStyle name="Note 2 16 3 4 3" xfId="28284" xr:uid="{00000000-0005-0000-0000-000063700000}"/>
    <cellStyle name="Note 2 16 3 4 3 2" xfId="29271" xr:uid="{00000000-0005-0000-0000-000064700000}"/>
    <cellStyle name="Note 2 16 3 4 3 2 2" xfId="31231" xr:uid="{00000000-0005-0000-0000-000065700000}"/>
    <cellStyle name="Note 2 16 3 4 3 3" xfId="30251" xr:uid="{00000000-0005-0000-0000-000066700000}"/>
    <cellStyle name="Note 2 16 3 4 4" xfId="28671" xr:uid="{00000000-0005-0000-0000-000067700000}"/>
    <cellStyle name="Note 2 16 3 4 4 2" xfId="30631" xr:uid="{00000000-0005-0000-0000-000068700000}"/>
    <cellStyle name="Note 2 16 3 4 5" xfId="29651" xr:uid="{00000000-0005-0000-0000-000069700000}"/>
    <cellStyle name="Note 2 16 3 5" xfId="27855" xr:uid="{00000000-0005-0000-0000-00006A700000}"/>
    <cellStyle name="Note 2 16 3 5 2" xfId="28842" xr:uid="{00000000-0005-0000-0000-00006B700000}"/>
    <cellStyle name="Note 2 16 3 5 2 2" xfId="30802" xr:uid="{00000000-0005-0000-0000-00006C700000}"/>
    <cellStyle name="Note 2 16 3 5 3" xfId="29822" xr:uid="{00000000-0005-0000-0000-00006D700000}"/>
    <cellStyle name="Note 2 16 3 6" xfId="28377" xr:uid="{00000000-0005-0000-0000-00006E700000}"/>
    <cellStyle name="Note 2 16 3 6 2" xfId="30337" xr:uid="{00000000-0005-0000-0000-00006F700000}"/>
    <cellStyle name="Note 2 16 3 7" xfId="29357" xr:uid="{00000000-0005-0000-0000-000070700000}"/>
    <cellStyle name="Note 2 16 3 8" xfId="31317" xr:uid="{00000000-0005-0000-0000-000071700000}"/>
    <cellStyle name="Note 2 16 4" xfId="27443" xr:uid="{00000000-0005-0000-0000-000072700000}"/>
    <cellStyle name="Note 2 16 4 2" xfId="27909" xr:uid="{00000000-0005-0000-0000-000073700000}"/>
    <cellStyle name="Note 2 16 4 2 2" xfId="28896" xr:uid="{00000000-0005-0000-0000-000074700000}"/>
    <cellStyle name="Note 2 16 4 2 2 2" xfId="30856" xr:uid="{00000000-0005-0000-0000-000075700000}"/>
    <cellStyle name="Note 2 16 4 2 3" xfId="29876" xr:uid="{00000000-0005-0000-0000-000076700000}"/>
    <cellStyle name="Note 2 16 4 3" xfId="28431" xr:uid="{00000000-0005-0000-0000-000077700000}"/>
    <cellStyle name="Note 2 16 4 3 2" xfId="30391" xr:uid="{00000000-0005-0000-0000-000078700000}"/>
    <cellStyle name="Note 2 16 4 4" xfId="29411" xr:uid="{00000000-0005-0000-0000-000079700000}"/>
    <cellStyle name="Note 2 16 5" xfId="27541" xr:uid="{00000000-0005-0000-0000-00007A700000}"/>
    <cellStyle name="Note 2 16 5 2" xfId="28007" xr:uid="{00000000-0005-0000-0000-00007B700000}"/>
    <cellStyle name="Note 2 16 5 2 2" xfId="28994" xr:uid="{00000000-0005-0000-0000-00007C700000}"/>
    <cellStyle name="Note 2 16 5 2 2 2" xfId="30954" xr:uid="{00000000-0005-0000-0000-00007D700000}"/>
    <cellStyle name="Note 2 16 5 2 3" xfId="29974" xr:uid="{00000000-0005-0000-0000-00007E700000}"/>
    <cellStyle name="Note 2 16 5 3" xfId="27835" xr:uid="{00000000-0005-0000-0000-00007F700000}"/>
    <cellStyle name="Note 2 16 5 3 2" xfId="28822" xr:uid="{00000000-0005-0000-0000-000080700000}"/>
    <cellStyle name="Note 2 16 5 3 2 2" xfId="30782" xr:uid="{00000000-0005-0000-0000-000081700000}"/>
    <cellStyle name="Note 2 16 5 3 3" xfId="29802" xr:uid="{00000000-0005-0000-0000-000082700000}"/>
    <cellStyle name="Note 2 16 5 4" xfId="28529" xr:uid="{00000000-0005-0000-0000-000083700000}"/>
    <cellStyle name="Note 2 16 5 4 2" xfId="30489" xr:uid="{00000000-0005-0000-0000-000084700000}"/>
    <cellStyle name="Note 2 16 5 5" xfId="29509" xr:uid="{00000000-0005-0000-0000-000085700000}"/>
    <cellStyle name="Note 2 16 6" xfId="27639" xr:uid="{00000000-0005-0000-0000-000086700000}"/>
    <cellStyle name="Note 2 16 6 2" xfId="28105" xr:uid="{00000000-0005-0000-0000-000087700000}"/>
    <cellStyle name="Note 2 16 6 2 2" xfId="29092" xr:uid="{00000000-0005-0000-0000-000088700000}"/>
    <cellStyle name="Note 2 16 6 2 2 2" xfId="31052" xr:uid="{00000000-0005-0000-0000-000089700000}"/>
    <cellStyle name="Note 2 16 6 2 3" xfId="30072" xr:uid="{00000000-0005-0000-0000-00008A700000}"/>
    <cellStyle name="Note 2 16 6 3" xfId="28256" xr:uid="{00000000-0005-0000-0000-00008B700000}"/>
    <cellStyle name="Note 2 16 6 3 2" xfId="29243" xr:uid="{00000000-0005-0000-0000-00008C700000}"/>
    <cellStyle name="Note 2 16 6 3 2 2" xfId="31203" xr:uid="{00000000-0005-0000-0000-00008D700000}"/>
    <cellStyle name="Note 2 16 6 3 3" xfId="30223" xr:uid="{00000000-0005-0000-0000-00008E700000}"/>
    <cellStyle name="Note 2 16 6 4" xfId="28627" xr:uid="{00000000-0005-0000-0000-00008F700000}"/>
    <cellStyle name="Note 2 16 6 4 2" xfId="30587" xr:uid="{00000000-0005-0000-0000-000090700000}"/>
    <cellStyle name="Note 2 16 6 5" xfId="29607" xr:uid="{00000000-0005-0000-0000-000091700000}"/>
    <cellStyle name="Note 2 16 7" xfId="27779" xr:uid="{00000000-0005-0000-0000-000092700000}"/>
    <cellStyle name="Note 2 16 7 2" xfId="28767" xr:uid="{00000000-0005-0000-0000-000093700000}"/>
    <cellStyle name="Note 2 16 7 2 2" xfId="30727" xr:uid="{00000000-0005-0000-0000-000094700000}"/>
    <cellStyle name="Note 2 16 7 3" xfId="29747" xr:uid="{00000000-0005-0000-0000-000095700000}"/>
    <cellStyle name="Note 2 16 8" xfId="28333" xr:uid="{00000000-0005-0000-0000-000096700000}"/>
    <cellStyle name="Note 2 16 8 2" xfId="30293" xr:uid="{00000000-0005-0000-0000-000097700000}"/>
    <cellStyle name="Note 2 16 9" xfId="29313" xr:uid="{00000000-0005-0000-0000-000098700000}"/>
    <cellStyle name="Note 2 17" xfId="15054" xr:uid="{00000000-0005-0000-0000-000099700000}"/>
    <cellStyle name="Note 2 17 10" xfId="31299" xr:uid="{00000000-0005-0000-0000-00009A700000}"/>
    <cellStyle name="Note 2 17 2" xfId="27170" xr:uid="{00000000-0005-0000-0000-00009B700000}"/>
    <cellStyle name="Note 2 17 2 2" xfId="27404" xr:uid="{00000000-0005-0000-0000-00009C700000}"/>
    <cellStyle name="Note 2 17 2 2 2" xfId="27515" xr:uid="{00000000-0005-0000-0000-00009D700000}"/>
    <cellStyle name="Note 2 17 2 2 2 2" xfId="27981" xr:uid="{00000000-0005-0000-0000-00009E700000}"/>
    <cellStyle name="Note 2 17 2 2 2 2 2" xfId="28968" xr:uid="{00000000-0005-0000-0000-00009F700000}"/>
    <cellStyle name="Note 2 17 2 2 2 2 2 2" xfId="30928" xr:uid="{00000000-0005-0000-0000-0000A0700000}"/>
    <cellStyle name="Note 2 17 2 2 2 2 3" xfId="29948" xr:uid="{00000000-0005-0000-0000-0000A1700000}"/>
    <cellStyle name="Note 2 17 2 2 2 3" xfId="28503" xr:uid="{00000000-0005-0000-0000-0000A2700000}"/>
    <cellStyle name="Note 2 17 2 2 2 3 2" xfId="30463" xr:uid="{00000000-0005-0000-0000-0000A3700000}"/>
    <cellStyle name="Note 2 17 2 2 2 4" xfId="29483" xr:uid="{00000000-0005-0000-0000-0000A4700000}"/>
    <cellStyle name="Note 2 17 2 2 3" xfId="27613" xr:uid="{00000000-0005-0000-0000-0000A5700000}"/>
    <cellStyle name="Note 2 17 2 2 3 2" xfId="28079" xr:uid="{00000000-0005-0000-0000-0000A6700000}"/>
    <cellStyle name="Note 2 17 2 2 3 2 2" xfId="29066" xr:uid="{00000000-0005-0000-0000-0000A7700000}"/>
    <cellStyle name="Note 2 17 2 2 3 2 2 2" xfId="31026" xr:uid="{00000000-0005-0000-0000-0000A8700000}"/>
    <cellStyle name="Note 2 17 2 2 3 2 3" xfId="30046" xr:uid="{00000000-0005-0000-0000-0000A9700000}"/>
    <cellStyle name="Note 2 17 2 2 3 3" xfId="27733" xr:uid="{00000000-0005-0000-0000-0000AA700000}"/>
    <cellStyle name="Note 2 17 2 2 3 3 2" xfId="28721" xr:uid="{00000000-0005-0000-0000-0000AB700000}"/>
    <cellStyle name="Note 2 17 2 2 3 3 2 2" xfId="30681" xr:uid="{00000000-0005-0000-0000-0000AC700000}"/>
    <cellStyle name="Note 2 17 2 2 3 3 3" xfId="29701" xr:uid="{00000000-0005-0000-0000-0000AD700000}"/>
    <cellStyle name="Note 2 17 2 2 3 4" xfId="28601" xr:uid="{00000000-0005-0000-0000-0000AE700000}"/>
    <cellStyle name="Note 2 17 2 2 3 4 2" xfId="30561" xr:uid="{00000000-0005-0000-0000-0000AF700000}"/>
    <cellStyle name="Note 2 17 2 2 3 5" xfId="29581" xr:uid="{00000000-0005-0000-0000-0000B0700000}"/>
    <cellStyle name="Note 2 17 2 2 4" xfId="27711" xr:uid="{00000000-0005-0000-0000-0000B1700000}"/>
    <cellStyle name="Note 2 17 2 2 4 2" xfId="28177" xr:uid="{00000000-0005-0000-0000-0000B2700000}"/>
    <cellStyle name="Note 2 17 2 2 4 2 2" xfId="29164" xr:uid="{00000000-0005-0000-0000-0000B3700000}"/>
    <cellStyle name="Note 2 17 2 2 4 2 2 2" xfId="31124" xr:uid="{00000000-0005-0000-0000-0000B4700000}"/>
    <cellStyle name="Note 2 17 2 2 4 2 3" xfId="30144" xr:uid="{00000000-0005-0000-0000-0000B5700000}"/>
    <cellStyle name="Note 2 17 2 2 4 3" xfId="28300" xr:uid="{00000000-0005-0000-0000-0000B6700000}"/>
    <cellStyle name="Note 2 17 2 2 4 3 2" xfId="29287" xr:uid="{00000000-0005-0000-0000-0000B7700000}"/>
    <cellStyle name="Note 2 17 2 2 4 3 2 2" xfId="31247" xr:uid="{00000000-0005-0000-0000-0000B8700000}"/>
    <cellStyle name="Note 2 17 2 2 4 3 3" xfId="30267" xr:uid="{00000000-0005-0000-0000-0000B9700000}"/>
    <cellStyle name="Note 2 17 2 2 4 4" xfId="28699" xr:uid="{00000000-0005-0000-0000-0000BA700000}"/>
    <cellStyle name="Note 2 17 2 2 4 4 2" xfId="30659" xr:uid="{00000000-0005-0000-0000-0000BB700000}"/>
    <cellStyle name="Note 2 17 2 2 4 5" xfId="29679" xr:uid="{00000000-0005-0000-0000-0000BC700000}"/>
    <cellStyle name="Note 2 17 2 2 5" xfId="27883" xr:uid="{00000000-0005-0000-0000-0000BD700000}"/>
    <cellStyle name="Note 2 17 2 2 5 2" xfId="28870" xr:uid="{00000000-0005-0000-0000-0000BE700000}"/>
    <cellStyle name="Note 2 17 2 2 5 2 2" xfId="30830" xr:uid="{00000000-0005-0000-0000-0000BF700000}"/>
    <cellStyle name="Note 2 17 2 2 5 3" xfId="29850" xr:uid="{00000000-0005-0000-0000-0000C0700000}"/>
    <cellStyle name="Note 2 17 2 2 6" xfId="28405" xr:uid="{00000000-0005-0000-0000-0000C1700000}"/>
    <cellStyle name="Note 2 17 2 2 6 2" xfId="30365" xr:uid="{00000000-0005-0000-0000-0000C2700000}"/>
    <cellStyle name="Note 2 17 2 2 7" xfId="29385" xr:uid="{00000000-0005-0000-0000-0000C3700000}"/>
    <cellStyle name="Note 2 17 2 2 8" xfId="31345" xr:uid="{00000000-0005-0000-0000-0000C4700000}"/>
    <cellStyle name="Note 2 17 2 3" xfId="27471" xr:uid="{00000000-0005-0000-0000-0000C5700000}"/>
    <cellStyle name="Note 2 17 2 3 2" xfId="27937" xr:uid="{00000000-0005-0000-0000-0000C6700000}"/>
    <cellStyle name="Note 2 17 2 3 2 2" xfId="28924" xr:uid="{00000000-0005-0000-0000-0000C7700000}"/>
    <cellStyle name="Note 2 17 2 3 2 2 2" xfId="30884" xr:uid="{00000000-0005-0000-0000-0000C8700000}"/>
    <cellStyle name="Note 2 17 2 3 2 3" xfId="29904" xr:uid="{00000000-0005-0000-0000-0000C9700000}"/>
    <cellStyle name="Note 2 17 2 3 3" xfId="28459" xr:uid="{00000000-0005-0000-0000-0000CA700000}"/>
    <cellStyle name="Note 2 17 2 3 3 2" xfId="30419" xr:uid="{00000000-0005-0000-0000-0000CB700000}"/>
    <cellStyle name="Note 2 17 2 3 4" xfId="29439" xr:uid="{00000000-0005-0000-0000-0000CC700000}"/>
    <cellStyle name="Note 2 17 2 4" xfId="27569" xr:uid="{00000000-0005-0000-0000-0000CD700000}"/>
    <cellStyle name="Note 2 17 2 4 2" xfId="28035" xr:uid="{00000000-0005-0000-0000-0000CE700000}"/>
    <cellStyle name="Note 2 17 2 4 2 2" xfId="29022" xr:uid="{00000000-0005-0000-0000-0000CF700000}"/>
    <cellStyle name="Note 2 17 2 4 2 2 2" xfId="30982" xr:uid="{00000000-0005-0000-0000-0000D0700000}"/>
    <cellStyle name="Note 2 17 2 4 2 3" xfId="30002" xr:uid="{00000000-0005-0000-0000-0000D1700000}"/>
    <cellStyle name="Note 2 17 2 4 3" xfId="27750" xr:uid="{00000000-0005-0000-0000-0000D2700000}"/>
    <cellStyle name="Note 2 17 2 4 3 2" xfId="28738" xr:uid="{00000000-0005-0000-0000-0000D3700000}"/>
    <cellStyle name="Note 2 17 2 4 3 2 2" xfId="30698" xr:uid="{00000000-0005-0000-0000-0000D4700000}"/>
    <cellStyle name="Note 2 17 2 4 3 3" xfId="29718" xr:uid="{00000000-0005-0000-0000-0000D5700000}"/>
    <cellStyle name="Note 2 17 2 4 4" xfId="28557" xr:uid="{00000000-0005-0000-0000-0000D6700000}"/>
    <cellStyle name="Note 2 17 2 4 4 2" xfId="30517" xr:uid="{00000000-0005-0000-0000-0000D7700000}"/>
    <cellStyle name="Note 2 17 2 4 5" xfId="29537" xr:uid="{00000000-0005-0000-0000-0000D8700000}"/>
    <cellStyle name="Note 2 17 2 5" xfId="27667" xr:uid="{00000000-0005-0000-0000-0000D9700000}"/>
    <cellStyle name="Note 2 17 2 5 2" xfId="28133" xr:uid="{00000000-0005-0000-0000-0000DA700000}"/>
    <cellStyle name="Note 2 17 2 5 2 2" xfId="29120" xr:uid="{00000000-0005-0000-0000-0000DB700000}"/>
    <cellStyle name="Note 2 17 2 5 2 2 2" xfId="31080" xr:uid="{00000000-0005-0000-0000-0000DC700000}"/>
    <cellStyle name="Note 2 17 2 5 2 3" xfId="30100" xr:uid="{00000000-0005-0000-0000-0000DD700000}"/>
    <cellStyle name="Note 2 17 2 5 3" xfId="28272" xr:uid="{00000000-0005-0000-0000-0000DE700000}"/>
    <cellStyle name="Note 2 17 2 5 3 2" xfId="29259" xr:uid="{00000000-0005-0000-0000-0000DF700000}"/>
    <cellStyle name="Note 2 17 2 5 3 2 2" xfId="31219" xr:uid="{00000000-0005-0000-0000-0000E0700000}"/>
    <cellStyle name="Note 2 17 2 5 3 3" xfId="30239" xr:uid="{00000000-0005-0000-0000-0000E1700000}"/>
    <cellStyle name="Note 2 17 2 5 4" xfId="28655" xr:uid="{00000000-0005-0000-0000-0000E2700000}"/>
    <cellStyle name="Note 2 17 2 5 4 2" xfId="30615" xr:uid="{00000000-0005-0000-0000-0000E3700000}"/>
    <cellStyle name="Note 2 17 2 5 5" xfId="29635" xr:uid="{00000000-0005-0000-0000-0000E4700000}"/>
    <cellStyle name="Note 2 17 2 6" xfId="27833" xr:uid="{00000000-0005-0000-0000-0000E5700000}"/>
    <cellStyle name="Note 2 17 2 6 2" xfId="28820" xr:uid="{00000000-0005-0000-0000-0000E6700000}"/>
    <cellStyle name="Note 2 17 2 6 2 2" xfId="30780" xr:uid="{00000000-0005-0000-0000-0000E7700000}"/>
    <cellStyle name="Note 2 17 2 6 3" xfId="29800" xr:uid="{00000000-0005-0000-0000-0000E8700000}"/>
    <cellStyle name="Note 2 17 2 7" xfId="28361" xr:uid="{00000000-0005-0000-0000-0000E9700000}"/>
    <cellStyle name="Note 2 17 2 7 2" xfId="30321" xr:uid="{00000000-0005-0000-0000-0000EA700000}"/>
    <cellStyle name="Note 2 17 2 8" xfId="29341" xr:uid="{00000000-0005-0000-0000-0000EB700000}"/>
    <cellStyle name="Note 2 17 2 9" xfId="31301" xr:uid="{00000000-0005-0000-0000-0000EC700000}"/>
    <cellStyle name="Note 2 17 3" xfId="27402" xr:uid="{00000000-0005-0000-0000-0000ED700000}"/>
    <cellStyle name="Note 2 17 3 2" xfId="27513" xr:uid="{00000000-0005-0000-0000-0000EE700000}"/>
    <cellStyle name="Note 2 17 3 2 2" xfId="27979" xr:uid="{00000000-0005-0000-0000-0000EF700000}"/>
    <cellStyle name="Note 2 17 3 2 2 2" xfId="28966" xr:uid="{00000000-0005-0000-0000-0000F0700000}"/>
    <cellStyle name="Note 2 17 3 2 2 2 2" xfId="30926" xr:uid="{00000000-0005-0000-0000-0000F1700000}"/>
    <cellStyle name="Note 2 17 3 2 2 3" xfId="29946" xr:uid="{00000000-0005-0000-0000-0000F2700000}"/>
    <cellStyle name="Note 2 17 3 2 3" xfId="28501" xr:uid="{00000000-0005-0000-0000-0000F3700000}"/>
    <cellStyle name="Note 2 17 3 2 3 2" xfId="30461" xr:uid="{00000000-0005-0000-0000-0000F4700000}"/>
    <cellStyle name="Note 2 17 3 2 4" xfId="29481" xr:uid="{00000000-0005-0000-0000-0000F5700000}"/>
    <cellStyle name="Note 2 17 3 3" xfId="27611" xr:uid="{00000000-0005-0000-0000-0000F6700000}"/>
    <cellStyle name="Note 2 17 3 3 2" xfId="28077" xr:uid="{00000000-0005-0000-0000-0000F7700000}"/>
    <cellStyle name="Note 2 17 3 3 2 2" xfId="29064" xr:uid="{00000000-0005-0000-0000-0000F8700000}"/>
    <cellStyle name="Note 2 17 3 3 2 2 2" xfId="31024" xr:uid="{00000000-0005-0000-0000-0000F9700000}"/>
    <cellStyle name="Note 2 17 3 3 2 3" xfId="30044" xr:uid="{00000000-0005-0000-0000-0000FA700000}"/>
    <cellStyle name="Note 2 17 3 3 3" xfId="27713" xr:uid="{00000000-0005-0000-0000-0000FB700000}"/>
    <cellStyle name="Note 2 17 3 3 3 2" xfId="28701" xr:uid="{00000000-0005-0000-0000-0000FC700000}"/>
    <cellStyle name="Note 2 17 3 3 3 2 2" xfId="30661" xr:uid="{00000000-0005-0000-0000-0000FD700000}"/>
    <cellStyle name="Note 2 17 3 3 3 3" xfId="29681" xr:uid="{00000000-0005-0000-0000-0000FE700000}"/>
    <cellStyle name="Note 2 17 3 3 4" xfId="28599" xr:uid="{00000000-0005-0000-0000-0000FF700000}"/>
    <cellStyle name="Note 2 17 3 3 4 2" xfId="30559" xr:uid="{00000000-0005-0000-0000-000000710000}"/>
    <cellStyle name="Note 2 17 3 3 5" xfId="29579" xr:uid="{00000000-0005-0000-0000-000001710000}"/>
    <cellStyle name="Note 2 17 3 4" xfId="27709" xr:uid="{00000000-0005-0000-0000-000002710000}"/>
    <cellStyle name="Note 2 17 3 4 2" xfId="28175" xr:uid="{00000000-0005-0000-0000-000003710000}"/>
    <cellStyle name="Note 2 17 3 4 2 2" xfId="29162" xr:uid="{00000000-0005-0000-0000-000004710000}"/>
    <cellStyle name="Note 2 17 3 4 2 2 2" xfId="31122" xr:uid="{00000000-0005-0000-0000-000005710000}"/>
    <cellStyle name="Note 2 17 3 4 2 3" xfId="30142" xr:uid="{00000000-0005-0000-0000-000006710000}"/>
    <cellStyle name="Note 2 17 3 4 3" xfId="28298" xr:uid="{00000000-0005-0000-0000-000007710000}"/>
    <cellStyle name="Note 2 17 3 4 3 2" xfId="29285" xr:uid="{00000000-0005-0000-0000-000008710000}"/>
    <cellStyle name="Note 2 17 3 4 3 2 2" xfId="31245" xr:uid="{00000000-0005-0000-0000-000009710000}"/>
    <cellStyle name="Note 2 17 3 4 3 3" xfId="30265" xr:uid="{00000000-0005-0000-0000-00000A710000}"/>
    <cellStyle name="Note 2 17 3 4 4" xfId="28697" xr:uid="{00000000-0005-0000-0000-00000B710000}"/>
    <cellStyle name="Note 2 17 3 4 4 2" xfId="30657" xr:uid="{00000000-0005-0000-0000-00000C710000}"/>
    <cellStyle name="Note 2 17 3 4 5" xfId="29677" xr:uid="{00000000-0005-0000-0000-00000D710000}"/>
    <cellStyle name="Note 2 17 3 5" xfId="27881" xr:uid="{00000000-0005-0000-0000-00000E710000}"/>
    <cellStyle name="Note 2 17 3 5 2" xfId="28868" xr:uid="{00000000-0005-0000-0000-00000F710000}"/>
    <cellStyle name="Note 2 17 3 5 2 2" xfId="30828" xr:uid="{00000000-0005-0000-0000-000010710000}"/>
    <cellStyle name="Note 2 17 3 5 3" xfId="29848" xr:uid="{00000000-0005-0000-0000-000011710000}"/>
    <cellStyle name="Note 2 17 3 6" xfId="28403" xr:uid="{00000000-0005-0000-0000-000012710000}"/>
    <cellStyle name="Note 2 17 3 6 2" xfId="30363" xr:uid="{00000000-0005-0000-0000-000013710000}"/>
    <cellStyle name="Note 2 17 3 7" xfId="29383" xr:uid="{00000000-0005-0000-0000-000014710000}"/>
    <cellStyle name="Note 2 17 3 8" xfId="31343" xr:uid="{00000000-0005-0000-0000-000015710000}"/>
    <cellStyle name="Note 2 17 4" xfId="27469" xr:uid="{00000000-0005-0000-0000-000016710000}"/>
    <cellStyle name="Note 2 17 4 2" xfId="27935" xr:uid="{00000000-0005-0000-0000-000017710000}"/>
    <cellStyle name="Note 2 17 4 2 2" xfId="28922" xr:uid="{00000000-0005-0000-0000-000018710000}"/>
    <cellStyle name="Note 2 17 4 2 2 2" xfId="30882" xr:uid="{00000000-0005-0000-0000-000019710000}"/>
    <cellStyle name="Note 2 17 4 2 3" xfId="29902" xr:uid="{00000000-0005-0000-0000-00001A710000}"/>
    <cellStyle name="Note 2 17 4 3" xfId="28457" xr:uid="{00000000-0005-0000-0000-00001B710000}"/>
    <cellStyle name="Note 2 17 4 3 2" xfId="30417" xr:uid="{00000000-0005-0000-0000-00001C710000}"/>
    <cellStyle name="Note 2 17 4 4" xfId="29437" xr:uid="{00000000-0005-0000-0000-00001D710000}"/>
    <cellStyle name="Note 2 17 5" xfId="27567" xr:uid="{00000000-0005-0000-0000-00001E710000}"/>
    <cellStyle name="Note 2 17 5 2" xfId="28033" xr:uid="{00000000-0005-0000-0000-00001F710000}"/>
    <cellStyle name="Note 2 17 5 2 2" xfId="29020" xr:uid="{00000000-0005-0000-0000-000020710000}"/>
    <cellStyle name="Note 2 17 5 2 2 2" xfId="30980" xr:uid="{00000000-0005-0000-0000-000021710000}"/>
    <cellStyle name="Note 2 17 5 2 3" xfId="30000" xr:uid="{00000000-0005-0000-0000-000022710000}"/>
    <cellStyle name="Note 2 17 5 3" xfId="27818" xr:uid="{00000000-0005-0000-0000-000023710000}"/>
    <cellStyle name="Note 2 17 5 3 2" xfId="28805" xr:uid="{00000000-0005-0000-0000-000024710000}"/>
    <cellStyle name="Note 2 17 5 3 2 2" xfId="30765" xr:uid="{00000000-0005-0000-0000-000025710000}"/>
    <cellStyle name="Note 2 17 5 3 3" xfId="29785" xr:uid="{00000000-0005-0000-0000-000026710000}"/>
    <cellStyle name="Note 2 17 5 4" xfId="28555" xr:uid="{00000000-0005-0000-0000-000027710000}"/>
    <cellStyle name="Note 2 17 5 4 2" xfId="30515" xr:uid="{00000000-0005-0000-0000-000028710000}"/>
    <cellStyle name="Note 2 17 5 5" xfId="29535" xr:uid="{00000000-0005-0000-0000-000029710000}"/>
    <cellStyle name="Note 2 17 6" xfId="27665" xr:uid="{00000000-0005-0000-0000-00002A710000}"/>
    <cellStyle name="Note 2 17 6 2" xfId="28131" xr:uid="{00000000-0005-0000-0000-00002B710000}"/>
    <cellStyle name="Note 2 17 6 2 2" xfId="29118" xr:uid="{00000000-0005-0000-0000-00002C710000}"/>
    <cellStyle name="Note 2 17 6 2 2 2" xfId="31078" xr:uid="{00000000-0005-0000-0000-00002D710000}"/>
    <cellStyle name="Note 2 17 6 2 3" xfId="30098" xr:uid="{00000000-0005-0000-0000-00002E710000}"/>
    <cellStyle name="Note 2 17 6 3" xfId="28270" xr:uid="{00000000-0005-0000-0000-00002F710000}"/>
    <cellStyle name="Note 2 17 6 3 2" xfId="29257" xr:uid="{00000000-0005-0000-0000-000030710000}"/>
    <cellStyle name="Note 2 17 6 3 2 2" xfId="31217" xr:uid="{00000000-0005-0000-0000-000031710000}"/>
    <cellStyle name="Note 2 17 6 3 3" xfId="30237" xr:uid="{00000000-0005-0000-0000-000032710000}"/>
    <cellStyle name="Note 2 17 6 4" xfId="28653" xr:uid="{00000000-0005-0000-0000-000033710000}"/>
    <cellStyle name="Note 2 17 6 4 2" xfId="30613" xr:uid="{00000000-0005-0000-0000-000034710000}"/>
    <cellStyle name="Note 2 17 6 5" xfId="29633" xr:uid="{00000000-0005-0000-0000-000035710000}"/>
    <cellStyle name="Note 2 17 7" xfId="27805" xr:uid="{00000000-0005-0000-0000-000036710000}"/>
    <cellStyle name="Note 2 17 7 2" xfId="28793" xr:uid="{00000000-0005-0000-0000-000037710000}"/>
    <cellStyle name="Note 2 17 7 2 2" xfId="30753" xr:uid="{00000000-0005-0000-0000-000038710000}"/>
    <cellStyle name="Note 2 17 7 3" xfId="29773" xr:uid="{00000000-0005-0000-0000-000039710000}"/>
    <cellStyle name="Note 2 17 8" xfId="28359" xr:uid="{00000000-0005-0000-0000-00003A710000}"/>
    <cellStyle name="Note 2 17 8 2" xfId="30319" xr:uid="{00000000-0005-0000-0000-00003B710000}"/>
    <cellStyle name="Note 2 17 9" xfId="29339" xr:uid="{00000000-0005-0000-0000-00003C710000}"/>
    <cellStyle name="Note 2 18" xfId="14946" xr:uid="{00000000-0005-0000-0000-00003D710000}"/>
    <cellStyle name="Note 2 18 2" xfId="27366" xr:uid="{00000000-0005-0000-0000-00003E710000}"/>
    <cellStyle name="Note 2 18 2 2" xfId="27477" xr:uid="{00000000-0005-0000-0000-00003F710000}"/>
    <cellStyle name="Note 2 18 2 2 2" xfId="27943" xr:uid="{00000000-0005-0000-0000-000040710000}"/>
    <cellStyle name="Note 2 18 2 2 2 2" xfId="28930" xr:uid="{00000000-0005-0000-0000-000041710000}"/>
    <cellStyle name="Note 2 18 2 2 2 2 2" xfId="30890" xr:uid="{00000000-0005-0000-0000-000042710000}"/>
    <cellStyle name="Note 2 18 2 2 2 3" xfId="29910" xr:uid="{00000000-0005-0000-0000-000043710000}"/>
    <cellStyle name="Note 2 18 2 2 3" xfId="28465" xr:uid="{00000000-0005-0000-0000-000044710000}"/>
    <cellStyle name="Note 2 18 2 2 3 2" xfId="30425" xr:uid="{00000000-0005-0000-0000-000045710000}"/>
    <cellStyle name="Note 2 18 2 2 4" xfId="29445" xr:uid="{00000000-0005-0000-0000-000046710000}"/>
    <cellStyle name="Note 2 18 2 3" xfId="27575" xr:uid="{00000000-0005-0000-0000-000047710000}"/>
    <cellStyle name="Note 2 18 2 3 2" xfId="28041" xr:uid="{00000000-0005-0000-0000-000048710000}"/>
    <cellStyle name="Note 2 18 2 3 2 2" xfId="29028" xr:uid="{00000000-0005-0000-0000-000049710000}"/>
    <cellStyle name="Note 2 18 2 3 2 2 2" xfId="30988" xr:uid="{00000000-0005-0000-0000-00004A710000}"/>
    <cellStyle name="Note 2 18 2 3 2 3" xfId="30008" xr:uid="{00000000-0005-0000-0000-00004B710000}"/>
    <cellStyle name="Note 2 18 2 3 3" xfId="27820" xr:uid="{00000000-0005-0000-0000-00004C710000}"/>
    <cellStyle name="Note 2 18 2 3 3 2" xfId="28807" xr:uid="{00000000-0005-0000-0000-00004D710000}"/>
    <cellStyle name="Note 2 18 2 3 3 2 2" xfId="30767" xr:uid="{00000000-0005-0000-0000-00004E710000}"/>
    <cellStyle name="Note 2 18 2 3 3 3" xfId="29787" xr:uid="{00000000-0005-0000-0000-00004F710000}"/>
    <cellStyle name="Note 2 18 2 3 4" xfId="28563" xr:uid="{00000000-0005-0000-0000-000050710000}"/>
    <cellStyle name="Note 2 18 2 3 4 2" xfId="30523" xr:uid="{00000000-0005-0000-0000-000051710000}"/>
    <cellStyle name="Note 2 18 2 3 5" xfId="29543" xr:uid="{00000000-0005-0000-0000-000052710000}"/>
    <cellStyle name="Note 2 18 2 4" xfId="27673" xr:uid="{00000000-0005-0000-0000-000053710000}"/>
    <cellStyle name="Note 2 18 2 4 2" xfId="28139" xr:uid="{00000000-0005-0000-0000-000054710000}"/>
    <cellStyle name="Note 2 18 2 4 2 2" xfId="29126" xr:uid="{00000000-0005-0000-0000-000055710000}"/>
    <cellStyle name="Note 2 18 2 4 2 2 2" xfId="31086" xr:uid="{00000000-0005-0000-0000-000056710000}"/>
    <cellStyle name="Note 2 18 2 4 2 3" xfId="30106" xr:uid="{00000000-0005-0000-0000-000057710000}"/>
    <cellStyle name="Note 2 18 2 4 3" xfId="28278" xr:uid="{00000000-0005-0000-0000-000058710000}"/>
    <cellStyle name="Note 2 18 2 4 3 2" xfId="29265" xr:uid="{00000000-0005-0000-0000-000059710000}"/>
    <cellStyle name="Note 2 18 2 4 3 2 2" xfId="31225" xr:uid="{00000000-0005-0000-0000-00005A710000}"/>
    <cellStyle name="Note 2 18 2 4 3 3" xfId="30245" xr:uid="{00000000-0005-0000-0000-00005B710000}"/>
    <cellStyle name="Note 2 18 2 4 4" xfId="28661" xr:uid="{00000000-0005-0000-0000-00005C710000}"/>
    <cellStyle name="Note 2 18 2 4 4 2" xfId="30621" xr:uid="{00000000-0005-0000-0000-00005D710000}"/>
    <cellStyle name="Note 2 18 2 4 5" xfId="29641" xr:uid="{00000000-0005-0000-0000-00005E710000}"/>
    <cellStyle name="Note 2 18 2 5" xfId="27845" xr:uid="{00000000-0005-0000-0000-00005F710000}"/>
    <cellStyle name="Note 2 18 2 5 2" xfId="28832" xr:uid="{00000000-0005-0000-0000-000060710000}"/>
    <cellStyle name="Note 2 18 2 5 2 2" xfId="30792" xr:uid="{00000000-0005-0000-0000-000061710000}"/>
    <cellStyle name="Note 2 18 2 5 3" xfId="29812" xr:uid="{00000000-0005-0000-0000-000062710000}"/>
    <cellStyle name="Note 2 18 2 6" xfId="28367" xr:uid="{00000000-0005-0000-0000-000063710000}"/>
    <cellStyle name="Note 2 18 2 6 2" xfId="30327" xr:uid="{00000000-0005-0000-0000-000064710000}"/>
    <cellStyle name="Note 2 18 2 7" xfId="29347" xr:uid="{00000000-0005-0000-0000-000065710000}"/>
    <cellStyle name="Note 2 18 2 8" xfId="31307" xr:uid="{00000000-0005-0000-0000-000066710000}"/>
    <cellStyle name="Note 2 18 3" xfId="27433" xr:uid="{00000000-0005-0000-0000-000067710000}"/>
    <cellStyle name="Note 2 18 3 2" xfId="27899" xr:uid="{00000000-0005-0000-0000-000068710000}"/>
    <cellStyle name="Note 2 18 3 2 2" xfId="28886" xr:uid="{00000000-0005-0000-0000-000069710000}"/>
    <cellStyle name="Note 2 18 3 2 2 2" xfId="30846" xr:uid="{00000000-0005-0000-0000-00006A710000}"/>
    <cellStyle name="Note 2 18 3 2 3" xfId="29866" xr:uid="{00000000-0005-0000-0000-00006B710000}"/>
    <cellStyle name="Note 2 18 3 3" xfId="28421" xr:uid="{00000000-0005-0000-0000-00006C710000}"/>
    <cellStyle name="Note 2 18 3 3 2" xfId="30381" xr:uid="{00000000-0005-0000-0000-00006D710000}"/>
    <cellStyle name="Note 2 18 3 4" xfId="29401" xr:uid="{00000000-0005-0000-0000-00006E710000}"/>
    <cellStyle name="Note 2 18 4" xfId="27531" xr:uid="{00000000-0005-0000-0000-00006F710000}"/>
    <cellStyle name="Note 2 18 4 2" xfId="27997" xr:uid="{00000000-0005-0000-0000-000070710000}"/>
    <cellStyle name="Note 2 18 4 2 2" xfId="28984" xr:uid="{00000000-0005-0000-0000-000071710000}"/>
    <cellStyle name="Note 2 18 4 2 2 2" xfId="30944" xr:uid="{00000000-0005-0000-0000-000072710000}"/>
    <cellStyle name="Note 2 18 4 2 3" xfId="29964" xr:uid="{00000000-0005-0000-0000-000073710000}"/>
    <cellStyle name="Note 2 18 4 3" xfId="27742" xr:uid="{00000000-0005-0000-0000-000074710000}"/>
    <cellStyle name="Note 2 18 4 3 2" xfId="28730" xr:uid="{00000000-0005-0000-0000-000075710000}"/>
    <cellStyle name="Note 2 18 4 3 2 2" xfId="30690" xr:uid="{00000000-0005-0000-0000-000076710000}"/>
    <cellStyle name="Note 2 18 4 3 3" xfId="29710" xr:uid="{00000000-0005-0000-0000-000077710000}"/>
    <cellStyle name="Note 2 18 4 4" xfId="28519" xr:uid="{00000000-0005-0000-0000-000078710000}"/>
    <cellStyle name="Note 2 18 4 4 2" xfId="30479" xr:uid="{00000000-0005-0000-0000-000079710000}"/>
    <cellStyle name="Note 2 18 4 5" xfId="29499" xr:uid="{00000000-0005-0000-0000-00007A710000}"/>
    <cellStyle name="Note 2 18 5" xfId="27629" xr:uid="{00000000-0005-0000-0000-00007B710000}"/>
    <cellStyle name="Note 2 18 5 2" xfId="28095" xr:uid="{00000000-0005-0000-0000-00007C710000}"/>
    <cellStyle name="Note 2 18 5 2 2" xfId="29082" xr:uid="{00000000-0005-0000-0000-00007D710000}"/>
    <cellStyle name="Note 2 18 5 2 2 2" xfId="31042" xr:uid="{00000000-0005-0000-0000-00007E710000}"/>
    <cellStyle name="Note 2 18 5 2 3" xfId="30062" xr:uid="{00000000-0005-0000-0000-00007F710000}"/>
    <cellStyle name="Note 2 18 5 3" xfId="27739" xr:uid="{00000000-0005-0000-0000-000080710000}"/>
    <cellStyle name="Note 2 18 5 3 2" xfId="28727" xr:uid="{00000000-0005-0000-0000-000081710000}"/>
    <cellStyle name="Note 2 18 5 3 2 2" xfId="30687" xr:uid="{00000000-0005-0000-0000-000082710000}"/>
    <cellStyle name="Note 2 18 5 3 3" xfId="29707" xr:uid="{00000000-0005-0000-0000-000083710000}"/>
    <cellStyle name="Note 2 18 5 4" xfId="28617" xr:uid="{00000000-0005-0000-0000-000084710000}"/>
    <cellStyle name="Note 2 18 5 4 2" xfId="30577" xr:uid="{00000000-0005-0000-0000-000085710000}"/>
    <cellStyle name="Note 2 18 5 5" xfId="29597" xr:uid="{00000000-0005-0000-0000-000086710000}"/>
    <cellStyle name="Note 2 18 6" xfId="27769" xr:uid="{00000000-0005-0000-0000-000087710000}"/>
    <cellStyle name="Note 2 18 6 2" xfId="28757" xr:uid="{00000000-0005-0000-0000-000088710000}"/>
    <cellStyle name="Note 2 18 6 2 2" xfId="30717" xr:uid="{00000000-0005-0000-0000-000089710000}"/>
    <cellStyle name="Note 2 18 6 3" xfId="29737" xr:uid="{00000000-0005-0000-0000-00008A710000}"/>
    <cellStyle name="Note 2 18 7" xfId="28323" xr:uid="{00000000-0005-0000-0000-00008B710000}"/>
    <cellStyle name="Note 2 18 7 2" xfId="30283" xr:uid="{00000000-0005-0000-0000-00008C710000}"/>
    <cellStyle name="Note 2 18 8" xfId="29303" xr:uid="{00000000-0005-0000-0000-00008D710000}"/>
    <cellStyle name="Note 2 18 9" xfId="31263" xr:uid="{00000000-0005-0000-0000-00008E710000}"/>
    <cellStyle name="Note 2 19" xfId="14997" xr:uid="{00000000-0005-0000-0000-00008F710000}"/>
    <cellStyle name="Note 2 19 2" xfId="27382" xr:uid="{00000000-0005-0000-0000-000090710000}"/>
    <cellStyle name="Note 2 19 2 2" xfId="27493" xr:uid="{00000000-0005-0000-0000-000091710000}"/>
    <cellStyle name="Note 2 19 2 2 2" xfId="27959" xr:uid="{00000000-0005-0000-0000-000092710000}"/>
    <cellStyle name="Note 2 19 2 2 2 2" xfId="28946" xr:uid="{00000000-0005-0000-0000-000093710000}"/>
    <cellStyle name="Note 2 19 2 2 2 2 2" xfId="30906" xr:uid="{00000000-0005-0000-0000-000094710000}"/>
    <cellStyle name="Note 2 19 2 2 2 3" xfId="29926" xr:uid="{00000000-0005-0000-0000-000095710000}"/>
    <cellStyle name="Note 2 19 2 2 3" xfId="28481" xr:uid="{00000000-0005-0000-0000-000096710000}"/>
    <cellStyle name="Note 2 19 2 2 3 2" xfId="30441" xr:uid="{00000000-0005-0000-0000-000097710000}"/>
    <cellStyle name="Note 2 19 2 2 4" xfId="29461" xr:uid="{00000000-0005-0000-0000-000098710000}"/>
    <cellStyle name="Note 2 19 2 3" xfId="27591" xr:uid="{00000000-0005-0000-0000-000099710000}"/>
    <cellStyle name="Note 2 19 2 3 2" xfId="28057" xr:uid="{00000000-0005-0000-0000-00009A710000}"/>
    <cellStyle name="Note 2 19 2 3 2 2" xfId="29044" xr:uid="{00000000-0005-0000-0000-00009B710000}"/>
    <cellStyle name="Note 2 19 2 3 2 2 2" xfId="31004" xr:uid="{00000000-0005-0000-0000-00009C710000}"/>
    <cellStyle name="Note 2 19 2 3 2 3" xfId="30024" xr:uid="{00000000-0005-0000-0000-00009D710000}"/>
    <cellStyle name="Note 2 19 2 3 3" xfId="27755" xr:uid="{00000000-0005-0000-0000-00009E710000}"/>
    <cellStyle name="Note 2 19 2 3 3 2" xfId="28743" xr:uid="{00000000-0005-0000-0000-00009F710000}"/>
    <cellStyle name="Note 2 19 2 3 3 2 2" xfId="30703" xr:uid="{00000000-0005-0000-0000-0000A0710000}"/>
    <cellStyle name="Note 2 19 2 3 3 3" xfId="29723" xr:uid="{00000000-0005-0000-0000-0000A1710000}"/>
    <cellStyle name="Note 2 19 2 3 4" xfId="28579" xr:uid="{00000000-0005-0000-0000-0000A2710000}"/>
    <cellStyle name="Note 2 19 2 3 4 2" xfId="30539" xr:uid="{00000000-0005-0000-0000-0000A3710000}"/>
    <cellStyle name="Note 2 19 2 3 5" xfId="29559" xr:uid="{00000000-0005-0000-0000-0000A4710000}"/>
    <cellStyle name="Note 2 19 2 4" xfId="27689" xr:uid="{00000000-0005-0000-0000-0000A5710000}"/>
    <cellStyle name="Note 2 19 2 4 2" xfId="28155" xr:uid="{00000000-0005-0000-0000-0000A6710000}"/>
    <cellStyle name="Note 2 19 2 4 2 2" xfId="29142" xr:uid="{00000000-0005-0000-0000-0000A7710000}"/>
    <cellStyle name="Note 2 19 2 4 2 2 2" xfId="31102" xr:uid="{00000000-0005-0000-0000-0000A8710000}"/>
    <cellStyle name="Note 2 19 2 4 2 3" xfId="30122" xr:uid="{00000000-0005-0000-0000-0000A9710000}"/>
    <cellStyle name="Note 2 19 2 4 3" xfId="28286" xr:uid="{00000000-0005-0000-0000-0000AA710000}"/>
    <cellStyle name="Note 2 19 2 4 3 2" xfId="29273" xr:uid="{00000000-0005-0000-0000-0000AB710000}"/>
    <cellStyle name="Note 2 19 2 4 3 2 2" xfId="31233" xr:uid="{00000000-0005-0000-0000-0000AC710000}"/>
    <cellStyle name="Note 2 19 2 4 3 3" xfId="30253" xr:uid="{00000000-0005-0000-0000-0000AD710000}"/>
    <cellStyle name="Note 2 19 2 4 4" xfId="28677" xr:uid="{00000000-0005-0000-0000-0000AE710000}"/>
    <cellStyle name="Note 2 19 2 4 4 2" xfId="30637" xr:uid="{00000000-0005-0000-0000-0000AF710000}"/>
    <cellStyle name="Note 2 19 2 4 5" xfId="29657" xr:uid="{00000000-0005-0000-0000-0000B0710000}"/>
    <cellStyle name="Note 2 19 2 5" xfId="27861" xr:uid="{00000000-0005-0000-0000-0000B1710000}"/>
    <cellStyle name="Note 2 19 2 5 2" xfId="28848" xr:uid="{00000000-0005-0000-0000-0000B2710000}"/>
    <cellStyle name="Note 2 19 2 5 2 2" xfId="30808" xr:uid="{00000000-0005-0000-0000-0000B3710000}"/>
    <cellStyle name="Note 2 19 2 5 3" xfId="29828" xr:uid="{00000000-0005-0000-0000-0000B4710000}"/>
    <cellStyle name="Note 2 19 2 6" xfId="28383" xr:uid="{00000000-0005-0000-0000-0000B5710000}"/>
    <cellStyle name="Note 2 19 2 6 2" xfId="30343" xr:uid="{00000000-0005-0000-0000-0000B6710000}"/>
    <cellStyle name="Note 2 19 2 7" xfId="29363" xr:uid="{00000000-0005-0000-0000-0000B7710000}"/>
    <cellStyle name="Note 2 19 2 8" xfId="31323" xr:uid="{00000000-0005-0000-0000-0000B8710000}"/>
    <cellStyle name="Note 2 19 3" xfId="27449" xr:uid="{00000000-0005-0000-0000-0000B9710000}"/>
    <cellStyle name="Note 2 19 3 2" xfId="27915" xr:uid="{00000000-0005-0000-0000-0000BA710000}"/>
    <cellStyle name="Note 2 19 3 2 2" xfId="28902" xr:uid="{00000000-0005-0000-0000-0000BB710000}"/>
    <cellStyle name="Note 2 19 3 2 2 2" xfId="30862" xr:uid="{00000000-0005-0000-0000-0000BC710000}"/>
    <cellStyle name="Note 2 19 3 2 3" xfId="29882" xr:uid="{00000000-0005-0000-0000-0000BD710000}"/>
    <cellStyle name="Note 2 19 3 3" xfId="28437" xr:uid="{00000000-0005-0000-0000-0000BE710000}"/>
    <cellStyle name="Note 2 19 3 3 2" xfId="30397" xr:uid="{00000000-0005-0000-0000-0000BF710000}"/>
    <cellStyle name="Note 2 19 3 4" xfId="29417" xr:uid="{00000000-0005-0000-0000-0000C0710000}"/>
    <cellStyle name="Note 2 19 4" xfId="27547" xr:uid="{00000000-0005-0000-0000-0000C1710000}"/>
    <cellStyle name="Note 2 19 4 2" xfId="28013" xr:uid="{00000000-0005-0000-0000-0000C2710000}"/>
    <cellStyle name="Note 2 19 4 2 2" xfId="29000" xr:uid="{00000000-0005-0000-0000-0000C3710000}"/>
    <cellStyle name="Note 2 19 4 2 2 2" xfId="30960" xr:uid="{00000000-0005-0000-0000-0000C4710000}"/>
    <cellStyle name="Note 2 19 4 2 3" xfId="29980" xr:uid="{00000000-0005-0000-0000-0000C5710000}"/>
    <cellStyle name="Note 2 19 4 3" xfId="27745" xr:uid="{00000000-0005-0000-0000-0000C6710000}"/>
    <cellStyle name="Note 2 19 4 3 2" xfId="28733" xr:uid="{00000000-0005-0000-0000-0000C7710000}"/>
    <cellStyle name="Note 2 19 4 3 2 2" xfId="30693" xr:uid="{00000000-0005-0000-0000-0000C8710000}"/>
    <cellStyle name="Note 2 19 4 3 3" xfId="29713" xr:uid="{00000000-0005-0000-0000-0000C9710000}"/>
    <cellStyle name="Note 2 19 4 4" xfId="28535" xr:uid="{00000000-0005-0000-0000-0000CA710000}"/>
    <cellStyle name="Note 2 19 4 4 2" xfId="30495" xr:uid="{00000000-0005-0000-0000-0000CB710000}"/>
    <cellStyle name="Note 2 19 4 5" xfId="29515" xr:uid="{00000000-0005-0000-0000-0000CC710000}"/>
    <cellStyle name="Note 2 19 5" xfId="27645" xr:uid="{00000000-0005-0000-0000-0000CD710000}"/>
    <cellStyle name="Note 2 19 5 2" xfId="28111" xr:uid="{00000000-0005-0000-0000-0000CE710000}"/>
    <cellStyle name="Note 2 19 5 2 2" xfId="29098" xr:uid="{00000000-0005-0000-0000-0000CF710000}"/>
    <cellStyle name="Note 2 19 5 2 2 2" xfId="31058" xr:uid="{00000000-0005-0000-0000-0000D0710000}"/>
    <cellStyle name="Note 2 19 5 2 3" xfId="30078" xr:uid="{00000000-0005-0000-0000-0000D1710000}"/>
    <cellStyle name="Note 2 19 5 3" xfId="28258" xr:uid="{00000000-0005-0000-0000-0000D2710000}"/>
    <cellStyle name="Note 2 19 5 3 2" xfId="29245" xr:uid="{00000000-0005-0000-0000-0000D3710000}"/>
    <cellStyle name="Note 2 19 5 3 2 2" xfId="31205" xr:uid="{00000000-0005-0000-0000-0000D4710000}"/>
    <cellStyle name="Note 2 19 5 3 3" xfId="30225" xr:uid="{00000000-0005-0000-0000-0000D5710000}"/>
    <cellStyle name="Note 2 19 5 4" xfId="28633" xr:uid="{00000000-0005-0000-0000-0000D6710000}"/>
    <cellStyle name="Note 2 19 5 4 2" xfId="30593" xr:uid="{00000000-0005-0000-0000-0000D7710000}"/>
    <cellStyle name="Note 2 19 5 5" xfId="29613" xr:uid="{00000000-0005-0000-0000-0000D8710000}"/>
    <cellStyle name="Note 2 19 6" xfId="27785" xr:uid="{00000000-0005-0000-0000-0000D9710000}"/>
    <cellStyle name="Note 2 19 6 2" xfId="28773" xr:uid="{00000000-0005-0000-0000-0000DA710000}"/>
    <cellStyle name="Note 2 19 6 2 2" xfId="30733" xr:uid="{00000000-0005-0000-0000-0000DB710000}"/>
    <cellStyle name="Note 2 19 6 3" xfId="29753" xr:uid="{00000000-0005-0000-0000-0000DC710000}"/>
    <cellStyle name="Note 2 19 7" xfId="28339" xr:uid="{00000000-0005-0000-0000-0000DD710000}"/>
    <cellStyle name="Note 2 19 7 2" xfId="30299" xr:uid="{00000000-0005-0000-0000-0000DE710000}"/>
    <cellStyle name="Note 2 19 8" xfId="29319" xr:uid="{00000000-0005-0000-0000-0000DF710000}"/>
    <cellStyle name="Note 2 19 9" xfId="31279" xr:uid="{00000000-0005-0000-0000-0000E0710000}"/>
    <cellStyle name="Note 2 2" xfId="1621" xr:uid="{00000000-0005-0000-0000-0000E1710000}"/>
    <cellStyle name="Note 2 2 2" xfId="27179" xr:uid="{00000000-0005-0000-0000-0000E2710000}"/>
    <cellStyle name="Note 2 20" xfId="27423" xr:uid="{00000000-0005-0000-0000-0000E3710000}"/>
    <cellStyle name="Note 2 20 2" xfId="27889" xr:uid="{00000000-0005-0000-0000-0000E4710000}"/>
    <cellStyle name="Note 2 20 2 2" xfId="28876" xr:uid="{00000000-0005-0000-0000-0000E5710000}"/>
    <cellStyle name="Note 2 20 2 2 2" xfId="30836" xr:uid="{00000000-0005-0000-0000-0000E6710000}"/>
    <cellStyle name="Note 2 20 2 3" xfId="29856" xr:uid="{00000000-0005-0000-0000-0000E7710000}"/>
    <cellStyle name="Note 2 20 3" xfId="28411" xr:uid="{00000000-0005-0000-0000-0000E8710000}"/>
    <cellStyle name="Note 2 20 3 2" xfId="30371" xr:uid="{00000000-0005-0000-0000-0000E9710000}"/>
    <cellStyle name="Note 2 20 4" xfId="29391" xr:uid="{00000000-0005-0000-0000-0000EA710000}"/>
    <cellStyle name="Note 2 21" xfId="27521" xr:uid="{00000000-0005-0000-0000-0000EB710000}"/>
    <cellStyle name="Note 2 21 2" xfId="27987" xr:uid="{00000000-0005-0000-0000-0000EC710000}"/>
    <cellStyle name="Note 2 21 2 2" xfId="28974" xr:uid="{00000000-0005-0000-0000-0000ED710000}"/>
    <cellStyle name="Note 2 21 2 2 2" xfId="30934" xr:uid="{00000000-0005-0000-0000-0000EE710000}"/>
    <cellStyle name="Note 2 21 2 3" xfId="29954" xr:uid="{00000000-0005-0000-0000-0000EF710000}"/>
    <cellStyle name="Note 2 21 3" xfId="27726" xr:uid="{00000000-0005-0000-0000-0000F0710000}"/>
    <cellStyle name="Note 2 21 3 2" xfId="28714" xr:uid="{00000000-0005-0000-0000-0000F1710000}"/>
    <cellStyle name="Note 2 21 3 2 2" xfId="30674" xr:uid="{00000000-0005-0000-0000-0000F2710000}"/>
    <cellStyle name="Note 2 21 3 3" xfId="29694" xr:uid="{00000000-0005-0000-0000-0000F3710000}"/>
    <cellStyle name="Note 2 21 4" xfId="28509" xr:uid="{00000000-0005-0000-0000-0000F4710000}"/>
    <cellStyle name="Note 2 21 4 2" xfId="30469" xr:uid="{00000000-0005-0000-0000-0000F5710000}"/>
    <cellStyle name="Note 2 21 5" xfId="29489" xr:uid="{00000000-0005-0000-0000-0000F6710000}"/>
    <cellStyle name="Note 2 22" xfId="27619" xr:uid="{00000000-0005-0000-0000-0000F7710000}"/>
    <cellStyle name="Note 2 22 2" xfId="28085" xr:uid="{00000000-0005-0000-0000-0000F8710000}"/>
    <cellStyle name="Note 2 22 2 2" xfId="29072" xr:uid="{00000000-0005-0000-0000-0000F9710000}"/>
    <cellStyle name="Note 2 22 2 2 2" xfId="31032" xr:uid="{00000000-0005-0000-0000-0000FA710000}"/>
    <cellStyle name="Note 2 22 2 3" xfId="30052" xr:uid="{00000000-0005-0000-0000-0000FB710000}"/>
    <cellStyle name="Note 2 22 3" xfId="27736" xr:uid="{00000000-0005-0000-0000-0000FC710000}"/>
    <cellStyle name="Note 2 22 3 2" xfId="28724" xr:uid="{00000000-0005-0000-0000-0000FD710000}"/>
    <cellStyle name="Note 2 22 3 2 2" xfId="30684" xr:uid="{00000000-0005-0000-0000-0000FE710000}"/>
    <cellStyle name="Note 2 22 3 3" xfId="29704" xr:uid="{00000000-0005-0000-0000-0000FF710000}"/>
    <cellStyle name="Note 2 22 4" xfId="28607" xr:uid="{00000000-0005-0000-0000-000000720000}"/>
    <cellStyle name="Note 2 22 4 2" xfId="30567" xr:uid="{00000000-0005-0000-0000-000001720000}"/>
    <cellStyle name="Note 2 22 5" xfId="29587" xr:uid="{00000000-0005-0000-0000-000002720000}"/>
    <cellStyle name="Note 2 23" xfId="27718" xr:uid="{00000000-0005-0000-0000-000003720000}"/>
    <cellStyle name="Note 2 23 2" xfId="28706" xr:uid="{00000000-0005-0000-0000-000004720000}"/>
    <cellStyle name="Note 2 23 2 2" xfId="30666" xr:uid="{00000000-0005-0000-0000-000005720000}"/>
    <cellStyle name="Note 2 23 3" xfId="29686" xr:uid="{00000000-0005-0000-0000-000006720000}"/>
    <cellStyle name="Note 2 24" xfId="28313" xr:uid="{00000000-0005-0000-0000-000007720000}"/>
    <cellStyle name="Note 2 24 2" xfId="30273" xr:uid="{00000000-0005-0000-0000-000008720000}"/>
    <cellStyle name="Note 2 25" xfId="29293" xr:uid="{00000000-0005-0000-0000-000009720000}"/>
    <cellStyle name="Note 2 26" xfId="31253" xr:uid="{00000000-0005-0000-0000-00000A720000}"/>
    <cellStyle name="Note 2 3" xfId="1622" xr:uid="{00000000-0005-0000-0000-00000B720000}"/>
    <cellStyle name="Note 2 3 2" xfId="27180" xr:uid="{00000000-0005-0000-0000-00000C720000}"/>
    <cellStyle name="Note 2 4" xfId="1623" xr:uid="{00000000-0005-0000-0000-00000D720000}"/>
    <cellStyle name="Note 2 4 2" xfId="27181" xr:uid="{00000000-0005-0000-0000-00000E720000}"/>
    <cellStyle name="Note 2 5" xfId="1624" xr:uid="{00000000-0005-0000-0000-00000F720000}"/>
    <cellStyle name="Note 2 5 2" xfId="27182" xr:uid="{00000000-0005-0000-0000-000010720000}"/>
    <cellStyle name="Note 2 6" xfId="1625" xr:uid="{00000000-0005-0000-0000-000011720000}"/>
    <cellStyle name="Note 2 6 2" xfId="27183" xr:uid="{00000000-0005-0000-0000-000012720000}"/>
    <cellStyle name="Note 2 7" xfId="1626" xr:uid="{00000000-0005-0000-0000-000013720000}"/>
    <cellStyle name="Note 2 7 2" xfId="27184" xr:uid="{00000000-0005-0000-0000-000014720000}"/>
    <cellStyle name="Note 2 8" xfId="3202" xr:uid="{00000000-0005-0000-0000-000015720000}"/>
    <cellStyle name="Note 2 9" xfId="3203" xr:uid="{00000000-0005-0000-0000-000016720000}"/>
    <cellStyle name="Note 20" xfId="3204" xr:uid="{00000000-0005-0000-0000-000017720000}"/>
    <cellStyle name="Note 20 2" xfId="27356" xr:uid="{00000000-0005-0000-0000-000018720000}"/>
    <cellStyle name="Note 21" xfId="3205" xr:uid="{00000000-0005-0000-0000-000019720000}"/>
    <cellStyle name="Note 21 2" xfId="27357" xr:uid="{00000000-0005-0000-0000-00001A720000}"/>
    <cellStyle name="Note 22" xfId="3206" xr:uid="{00000000-0005-0000-0000-00001B720000}"/>
    <cellStyle name="Note 22 2" xfId="27358" xr:uid="{00000000-0005-0000-0000-00001C720000}"/>
    <cellStyle name="Note 23" xfId="3207" xr:uid="{00000000-0005-0000-0000-00001D720000}"/>
    <cellStyle name="Note 23 2" xfId="27359" xr:uid="{00000000-0005-0000-0000-00001E720000}"/>
    <cellStyle name="Note 24" xfId="3208" xr:uid="{00000000-0005-0000-0000-00001F720000}"/>
    <cellStyle name="Note 24 2" xfId="27360" xr:uid="{00000000-0005-0000-0000-000020720000}"/>
    <cellStyle name="Note 25" xfId="27178" xr:uid="{00000000-0005-0000-0000-000021720000}"/>
    <cellStyle name="Note 26" xfId="28307" xr:uid="{00000000-0005-0000-0000-000022720000}"/>
    <cellStyle name="Note 3" xfId="1627" xr:uid="{00000000-0005-0000-0000-000023720000}"/>
    <cellStyle name="Note 3 10" xfId="14947" xr:uid="{00000000-0005-0000-0000-000024720000}"/>
    <cellStyle name="Note 3 10 2" xfId="27367" xr:uid="{00000000-0005-0000-0000-000025720000}"/>
    <cellStyle name="Note 3 10 2 2" xfId="27478" xr:uid="{00000000-0005-0000-0000-000026720000}"/>
    <cellStyle name="Note 3 10 2 2 2" xfId="27944" xr:uid="{00000000-0005-0000-0000-000027720000}"/>
    <cellStyle name="Note 3 10 2 2 2 2" xfId="28931" xr:uid="{00000000-0005-0000-0000-000028720000}"/>
    <cellStyle name="Note 3 10 2 2 2 2 2" xfId="30891" xr:uid="{00000000-0005-0000-0000-000029720000}"/>
    <cellStyle name="Note 3 10 2 2 2 3" xfId="29911" xr:uid="{00000000-0005-0000-0000-00002A720000}"/>
    <cellStyle name="Note 3 10 2 2 3" xfId="28466" xr:uid="{00000000-0005-0000-0000-00002B720000}"/>
    <cellStyle name="Note 3 10 2 2 3 2" xfId="30426" xr:uid="{00000000-0005-0000-0000-00002C720000}"/>
    <cellStyle name="Note 3 10 2 2 4" xfId="29446" xr:uid="{00000000-0005-0000-0000-00002D720000}"/>
    <cellStyle name="Note 3 10 2 3" xfId="27576" xr:uid="{00000000-0005-0000-0000-00002E720000}"/>
    <cellStyle name="Note 3 10 2 3 2" xfId="28042" xr:uid="{00000000-0005-0000-0000-00002F720000}"/>
    <cellStyle name="Note 3 10 2 3 2 2" xfId="29029" xr:uid="{00000000-0005-0000-0000-000030720000}"/>
    <cellStyle name="Note 3 10 2 3 2 2 2" xfId="30989" xr:uid="{00000000-0005-0000-0000-000031720000}"/>
    <cellStyle name="Note 3 10 2 3 2 3" xfId="30009" xr:uid="{00000000-0005-0000-0000-000032720000}"/>
    <cellStyle name="Note 3 10 2 3 3" xfId="27752" xr:uid="{00000000-0005-0000-0000-000033720000}"/>
    <cellStyle name="Note 3 10 2 3 3 2" xfId="28740" xr:uid="{00000000-0005-0000-0000-000034720000}"/>
    <cellStyle name="Note 3 10 2 3 3 2 2" xfId="30700" xr:uid="{00000000-0005-0000-0000-000035720000}"/>
    <cellStyle name="Note 3 10 2 3 3 3" xfId="29720" xr:uid="{00000000-0005-0000-0000-000036720000}"/>
    <cellStyle name="Note 3 10 2 3 4" xfId="28564" xr:uid="{00000000-0005-0000-0000-000037720000}"/>
    <cellStyle name="Note 3 10 2 3 4 2" xfId="30524" xr:uid="{00000000-0005-0000-0000-000038720000}"/>
    <cellStyle name="Note 3 10 2 3 5" xfId="29544" xr:uid="{00000000-0005-0000-0000-000039720000}"/>
    <cellStyle name="Note 3 10 2 4" xfId="27674" xr:uid="{00000000-0005-0000-0000-00003A720000}"/>
    <cellStyle name="Note 3 10 2 4 2" xfId="28140" xr:uid="{00000000-0005-0000-0000-00003B720000}"/>
    <cellStyle name="Note 3 10 2 4 2 2" xfId="29127" xr:uid="{00000000-0005-0000-0000-00003C720000}"/>
    <cellStyle name="Note 3 10 2 4 2 2 2" xfId="31087" xr:uid="{00000000-0005-0000-0000-00003D720000}"/>
    <cellStyle name="Note 3 10 2 4 2 3" xfId="30107" xr:uid="{00000000-0005-0000-0000-00003E720000}"/>
    <cellStyle name="Note 3 10 2 4 3" xfId="28279" xr:uid="{00000000-0005-0000-0000-00003F720000}"/>
    <cellStyle name="Note 3 10 2 4 3 2" xfId="29266" xr:uid="{00000000-0005-0000-0000-000040720000}"/>
    <cellStyle name="Note 3 10 2 4 3 2 2" xfId="31226" xr:uid="{00000000-0005-0000-0000-000041720000}"/>
    <cellStyle name="Note 3 10 2 4 3 3" xfId="30246" xr:uid="{00000000-0005-0000-0000-000042720000}"/>
    <cellStyle name="Note 3 10 2 4 4" xfId="28662" xr:uid="{00000000-0005-0000-0000-000043720000}"/>
    <cellStyle name="Note 3 10 2 4 4 2" xfId="30622" xr:uid="{00000000-0005-0000-0000-000044720000}"/>
    <cellStyle name="Note 3 10 2 4 5" xfId="29642" xr:uid="{00000000-0005-0000-0000-000045720000}"/>
    <cellStyle name="Note 3 10 2 5" xfId="27846" xr:uid="{00000000-0005-0000-0000-000046720000}"/>
    <cellStyle name="Note 3 10 2 5 2" xfId="28833" xr:uid="{00000000-0005-0000-0000-000047720000}"/>
    <cellStyle name="Note 3 10 2 5 2 2" xfId="30793" xr:uid="{00000000-0005-0000-0000-000048720000}"/>
    <cellStyle name="Note 3 10 2 5 3" xfId="29813" xr:uid="{00000000-0005-0000-0000-000049720000}"/>
    <cellStyle name="Note 3 10 2 6" xfId="28368" xr:uid="{00000000-0005-0000-0000-00004A720000}"/>
    <cellStyle name="Note 3 10 2 6 2" xfId="30328" xr:uid="{00000000-0005-0000-0000-00004B720000}"/>
    <cellStyle name="Note 3 10 2 7" xfId="29348" xr:uid="{00000000-0005-0000-0000-00004C720000}"/>
    <cellStyle name="Note 3 10 2 8" xfId="31308" xr:uid="{00000000-0005-0000-0000-00004D720000}"/>
    <cellStyle name="Note 3 10 3" xfId="27434" xr:uid="{00000000-0005-0000-0000-00004E720000}"/>
    <cellStyle name="Note 3 10 3 2" xfId="27900" xr:uid="{00000000-0005-0000-0000-00004F720000}"/>
    <cellStyle name="Note 3 10 3 2 2" xfId="28887" xr:uid="{00000000-0005-0000-0000-000050720000}"/>
    <cellStyle name="Note 3 10 3 2 2 2" xfId="30847" xr:uid="{00000000-0005-0000-0000-000051720000}"/>
    <cellStyle name="Note 3 10 3 2 3" xfId="29867" xr:uid="{00000000-0005-0000-0000-000052720000}"/>
    <cellStyle name="Note 3 10 3 3" xfId="28422" xr:uid="{00000000-0005-0000-0000-000053720000}"/>
    <cellStyle name="Note 3 10 3 3 2" xfId="30382" xr:uid="{00000000-0005-0000-0000-000054720000}"/>
    <cellStyle name="Note 3 10 3 4" xfId="29402" xr:uid="{00000000-0005-0000-0000-000055720000}"/>
    <cellStyle name="Note 3 10 4" xfId="27532" xr:uid="{00000000-0005-0000-0000-000056720000}"/>
    <cellStyle name="Note 3 10 4 2" xfId="27998" xr:uid="{00000000-0005-0000-0000-000057720000}"/>
    <cellStyle name="Note 3 10 4 2 2" xfId="28985" xr:uid="{00000000-0005-0000-0000-000058720000}"/>
    <cellStyle name="Note 3 10 4 2 2 2" xfId="30945" xr:uid="{00000000-0005-0000-0000-000059720000}"/>
    <cellStyle name="Note 3 10 4 2 3" xfId="29965" xr:uid="{00000000-0005-0000-0000-00005A720000}"/>
    <cellStyle name="Note 3 10 4 3" xfId="27812" xr:uid="{00000000-0005-0000-0000-00005B720000}"/>
    <cellStyle name="Note 3 10 4 3 2" xfId="28799" xr:uid="{00000000-0005-0000-0000-00005C720000}"/>
    <cellStyle name="Note 3 10 4 3 2 2" xfId="30759" xr:uid="{00000000-0005-0000-0000-00005D720000}"/>
    <cellStyle name="Note 3 10 4 3 3" xfId="29779" xr:uid="{00000000-0005-0000-0000-00005E720000}"/>
    <cellStyle name="Note 3 10 4 4" xfId="28520" xr:uid="{00000000-0005-0000-0000-00005F720000}"/>
    <cellStyle name="Note 3 10 4 4 2" xfId="30480" xr:uid="{00000000-0005-0000-0000-000060720000}"/>
    <cellStyle name="Note 3 10 4 5" xfId="29500" xr:uid="{00000000-0005-0000-0000-000061720000}"/>
    <cellStyle name="Note 3 10 5" xfId="27630" xr:uid="{00000000-0005-0000-0000-000062720000}"/>
    <cellStyle name="Note 3 10 5 2" xfId="28096" xr:uid="{00000000-0005-0000-0000-000063720000}"/>
    <cellStyle name="Note 3 10 5 2 2" xfId="29083" xr:uid="{00000000-0005-0000-0000-000064720000}"/>
    <cellStyle name="Note 3 10 5 2 2 2" xfId="31043" xr:uid="{00000000-0005-0000-0000-000065720000}"/>
    <cellStyle name="Note 3 10 5 2 3" xfId="30063" xr:uid="{00000000-0005-0000-0000-000066720000}"/>
    <cellStyle name="Note 3 10 5 3" xfId="28251" xr:uid="{00000000-0005-0000-0000-000067720000}"/>
    <cellStyle name="Note 3 10 5 3 2" xfId="29238" xr:uid="{00000000-0005-0000-0000-000068720000}"/>
    <cellStyle name="Note 3 10 5 3 2 2" xfId="31198" xr:uid="{00000000-0005-0000-0000-000069720000}"/>
    <cellStyle name="Note 3 10 5 3 3" xfId="30218" xr:uid="{00000000-0005-0000-0000-00006A720000}"/>
    <cellStyle name="Note 3 10 5 4" xfId="28618" xr:uid="{00000000-0005-0000-0000-00006B720000}"/>
    <cellStyle name="Note 3 10 5 4 2" xfId="30578" xr:uid="{00000000-0005-0000-0000-00006C720000}"/>
    <cellStyle name="Note 3 10 5 5" xfId="29598" xr:uid="{00000000-0005-0000-0000-00006D720000}"/>
    <cellStyle name="Note 3 10 6" xfId="27770" xr:uid="{00000000-0005-0000-0000-00006E720000}"/>
    <cellStyle name="Note 3 10 6 2" xfId="28758" xr:uid="{00000000-0005-0000-0000-00006F720000}"/>
    <cellStyle name="Note 3 10 6 2 2" xfId="30718" xr:uid="{00000000-0005-0000-0000-000070720000}"/>
    <cellStyle name="Note 3 10 6 3" xfId="29738" xr:uid="{00000000-0005-0000-0000-000071720000}"/>
    <cellStyle name="Note 3 10 7" xfId="28324" xr:uid="{00000000-0005-0000-0000-000072720000}"/>
    <cellStyle name="Note 3 10 7 2" xfId="30284" xr:uid="{00000000-0005-0000-0000-000073720000}"/>
    <cellStyle name="Note 3 10 8" xfId="29304" xr:uid="{00000000-0005-0000-0000-000074720000}"/>
    <cellStyle name="Note 3 10 9" xfId="31264" xr:uid="{00000000-0005-0000-0000-000075720000}"/>
    <cellStyle name="Note 3 11" xfId="15016" xr:uid="{00000000-0005-0000-0000-000076720000}"/>
    <cellStyle name="Note 3 11 2" xfId="27401" xr:uid="{00000000-0005-0000-0000-000077720000}"/>
    <cellStyle name="Note 3 11 2 2" xfId="27512" xr:uid="{00000000-0005-0000-0000-000078720000}"/>
    <cellStyle name="Note 3 11 2 2 2" xfId="27978" xr:uid="{00000000-0005-0000-0000-000079720000}"/>
    <cellStyle name="Note 3 11 2 2 2 2" xfId="28965" xr:uid="{00000000-0005-0000-0000-00007A720000}"/>
    <cellStyle name="Note 3 11 2 2 2 2 2" xfId="30925" xr:uid="{00000000-0005-0000-0000-00007B720000}"/>
    <cellStyle name="Note 3 11 2 2 2 3" xfId="29945" xr:uid="{00000000-0005-0000-0000-00007C720000}"/>
    <cellStyle name="Note 3 11 2 2 3" xfId="28500" xr:uid="{00000000-0005-0000-0000-00007D720000}"/>
    <cellStyle name="Note 3 11 2 2 3 2" xfId="30460" xr:uid="{00000000-0005-0000-0000-00007E720000}"/>
    <cellStyle name="Note 3 11 2 2 4" xfId="29480" xr:uid="{00000000-0005-0000-0000-00007F720000}"/>
    <cellStyle name="Note 3 11 2 3" xfId="27610" xr:uid="{00000000-0005-0000-0000-000080720000}"/>
    <cellStyle name="Note 3 11 2 3 2" xfId="28076" xr:uid="{00000000-0005-0000-0000-000081720000}"/>
    <cellStyle name="Note 3 11 2 3 2 2" xfId="29063" xr:uid="{00000000-0005-0000-0000-000082720000}"/>
    <cellStyle name="Note 3 11 2 3 2 2 2" xfId="31023" xr:uid="{00000000-0005-0000-0000-000083720000}"/>
    <cellStyle name="Note 3 11 2 3 2 3" xfId="30043" xr:uid="{00000000-0005-0000-0000-000084720000}"/>
    <cellStyle name="Note 3 11 2 3 3" xfId="27832" xr:uid="{00000000-0005-0000-0000-000085720000}"/>
    <cellStyle name="Note 3 11 2 3 3 2" xfId="28819" xr:uid="{00000000-0005-0000-0000-000086720000}"/>
    <cellStyle name="Note 3 11 2 3 3 2 2" xfId="30779" xr:uid="{00000000-0005-0000-0000-000087720000}"/>
    <cellStyle name="Note 3 11 2 3 3 3" xfId="29799" xr:uid="{00000000-0005-0000-0000-000088720000}"/>
    <cellStyle name="Note 3 11 2 3 4" xfId="28598" xr:uid="{00000000-0005-0000-0000-000089720000}"/>
    <cellStyle name="Note 3 11 2 3 4 2" xfId="30558" xr:uid="{00000000-0005-0000-0000-00008A720000}"/>
    <cellStyle name="Note 3 11 2 3 5" xfId="29578" xr:uid="{00000000-0005-0000-0000-00008B720000}"/>
    <cellStyle name="Note 3 11 2 4" xfId="27708" xr:uid="{00000000-0005-0000-0000-00008C720000}"/>
    <cellStyle name="Note 3 11 2 4 2" xfId="28174" xr:uid="{00000000-0005-0000-0000-00008D720000}"/>
    <cellStyle name="Note 3 11 2 4 2 2" xfId="29161" xr:uid="{00000000-0005-0000-0000-00008E720000}"/>
    <cellStyle name="Note 3 11 2 4 2 2 2" xfId="31121" xr:uid="{00000000-0005-0000-0000-00008F720000}"/>
    <cellStyle name="Note 3 11 2 4 2 3" xfId="30141" xr:uid="{00000000-0005-0000-0000-000090720000}"/>
    <cellStyle name="Note 3 11 2 4 3" xfId="28297" xr:uid="{00000000-0005-0000-0000-000091720000}"/>
    <cellStyle name="Note 3 11 2 4 3 2" xfId="29284" xr:uid="{00000000-0005-0000-0000-000092720000}"/>
    <cellStyle name="Note 3 11 2 4 3 2 2" xfId="31244" xr:uid="{00000000-0005-0000-0000-000093720000}"/>
    <cellStyle name="Note 3 11 2 4 3 3" xfId="30264" xr:uid="{00000000-0005-0000-0000-000094720000}"/>
    <cellStyle name="Note 3 11 2 4 4" xfId="28696" xr:uid="{00000000-0005-0000-0000-000095720000}"/>
    <cellStyle name="Note 3 11 2 4 4 2" xfId="30656" xr:uid="{00000000-0005-0000-0000-000096720000}"/>
    <cellStyle name="Note 3 11 2 4 5" xfId="29676" xr:uid="{00000000-0005-0000-0000-000097720000}"/>
    <cellStyle name="Note 3 11 2 5" xfId="27880" xr:uid="{00000000-0005-0000-0000-000098720000}"/>
    <cellStyle name="Note 3 11 2 5 2" xfId="28867" xr:uid="{00000000-0005-0000-0000-000099720000}"/>
    <cellStyle name="Note 3 11 2 5 2 2" xfId="30827" xr:uid="{00000000-0005-0000-0000-00009A720000}"/>
    <cellStyle name="Note 3 11 2 5 3" xfId="29847" xr:uid="{00000000-0005-0000-0000-00009B720000}"/>
    <cellStyle name="Note 3 11 2 6" xfId="28402" xr:uid="{00000000-0005-0000-0000-00009C720000}"/>
    <cellStyle name="Note 3 11 2 6 2" xfId="30362" xr:uid="{00000000-0005-0000-0000-00009D720000}"/>
    <cellStyle name="Note 3 11 2 7" xfId="29382" xr:uid="{00000000-0005-0000-0000-00009E720000}"/>
    <cellStyle name="Note 3 11 2 8" xfId="31342" xr:uid="{00000000-0005-0000-0000-00009F720000}"/>
    <cellStyle name="Note 3 11 3" xfId="27468" xr:uid="{00000000-0005-0000-0000-0000A0720000}"/>
    <cellStyle name="Note 3 11 3 2" xfId="27934" xr:uid="{00000000-0005-0000-0000-0000A1720000}"/>
    <cellStyle name="Note 3 11 3 2 2" xfId="28921" xr:uid="{00000000-0005-0000-0000-0000A2720000}"/>
    <cellStyle name="Note 3 11 3 2 2 2" xfId="30881" xr:uid="{00000000-0005-0000-0000-0000A3720000}"/>
    <cellStyle name="Note 3 11 3 2 3" xfId="29901" xr:uid="{00000000-0005-0000-0000-0000A4720000}"/>
    <cellStyle name="Note 3 11 3 3" xfId="28456" xr:uid="{00000000-0005-0000-0000-0000A5720000}"/>
    <cellStyle name="Note 3 11 3 3 2" xfId="30416" xr:uid="{00000000-0005-0000-0000-0000A6720000}"/>
    <cellStyle name="Note 3 11 3 4" xfId="29436" xr:uid="{00000000-0005-0000-0000-0000A7720000}"/>
    <cellStyle name="Note 3 11 4" xfId="27566" xr:uid="{00000000-0005-0000-0000-0000A8720000}"/>
    <cellStyle name="Note 3 11 4 2" xfId="28032" xr:uid="{00000000-0005-0000-0000-0000A9720000}"/>
    <cellStyle name="Note 3 11 4 2 2" xfId="29019" xr:uid="{00000000-0005-0000-0000-0000AA720000}"/>
    <cellStyle name="Note 3 11 4 2 2 2" xfId="30979" xr:uid="{00000000-0005-0000-0000-0000AB720000}"/>
    <cellStyle name="Note 3 11 4 2 3" xfId="29999" xr:uid="{00000000-0005-0000-0000-0000AC720000}"/>
    <cellStyle name="Note 3 11 4 3" xfId="27729" xr:uid="{00000000-0005-0000-0000-0000AD720000}"/>
    <cellStyle name="Note 3 11 4 3 2" xfId="28717" xr:uid="{00000000-0005-0000-0000-0000AE720000}"/>
    <cellStyle name="Note 3 11 4 3 2 2" xfId="30677" xr:uid="{00000000-0005-0000-0000-0000AF720000}"/>
    <cellStyle name="Note 3 11 4 3 3" xfId="29697" xr:uid="{00000000-0005-0000-0000-0000B0720000}"/>
    <cellStyle name="Note 3 11 4 4" xfId="28554" xr:uid="{00000000-0005-0000-0000-0000B1720000}"/>
    <cellStyle name="Note 3 11 4 4 2" xfId="30514" xr:uid="{00000000-0005-0000-0000-0000B2720000}"/>
    <cellStyle name="Note 3 11 4 5" xfId="29534" xr:uid="{00000000-0005-0000-0000-0000B3720000}"/>
    <cellStyle name="Note 3 11 5" xfId="27664" xr:uid="{00000000-0005-0000-0000-0000B4720000}"/>
    <cellStyle name="Note 3 11 5 2" xfId="28130" xr:uid="{00000000-0005-0000-0000-0000B5720000}"/>
    <cellStyle name="Note 3 11 5 2 2" xfId="29117" xr:uid="{00000000-0005-0000-0000-0000B6720000}"/>
    <cellStyle name="Note 3 11 5 2 2 2" xfId="31077" xr:uid="{00000000-0005-0000-0000-0000B7720000}"/>
    <cellStyle name="Note 3 11 5 2 3" xfId="30097" xr:uid="{00000000-0005-0000-0000-0000B8720000}"/>
    <cellStyle name="Note 3 11 5 3" xfId="28269" xr:uid="{00000000-0005-0000-0000-0000B9720000}"/>
    <cellStyle name="Note 3 11 5 3 2" xfId="29256" xr:uid="{00000000-0005-0000-0000-0000BA720000}"/>
    <cellStyle name="Note 3 11 5 3 2 2" xfId="31216" xr:uid="{00000000-0005-0000-0000-0000BB720000}"/>
    <cellStyle name="Note 3 11 5 3 3" xfId="30236" xr:uid="{00000000-0005-0000-0000-0000BC720000}"/>
    <cellStyle name="Note 3 11 5 4" xfId="28652" xr:uid="{00000000-0005-0000-0000-0000BD720000}"/>
    <cellStyle name="Note 3 11 5 4 2" xfId="30612" xr:uid="{00000000-0005-0000-0000-0000BE720000}"/>
    <cellStyle name="Note 3 11 5 5" xfId="29632" xr:uid="{00000000-0005-0000-0000-0000BF720000}"/>
    <cellStyle name="Note 3 11 6" xfId="27804" xr:uid="{00000000-0005-0000-0000-0000C0720000}"/>
    <cellStyle name="Note 3 11 6 2" xfId="28792" xr:uid="{00000000-0005-0000-0000-0000C1720000}"/>
    <cellStyle name="Note 3 11 6 2 2" xfId="30752" xr:uid="{00000000-0005-0000-0000-0000C2720000}"/>
    <cellStyle name="Note 3 11 6 3" xfId="29772" xr:uid="{00000000-0005-0000-0000-0000C3720000}"/>
    <cellStyle name="Note 3 11 7" xfId="28358" xr:uid="{00000000-0005-0000-0000-0000C4720000}"/>
    <cellStyle name="Note 3 11 7 2" xfId="30318" xr:uid="{00000000-0005-0000-0000-0000C5720000}"/>
    <cellStyle name="Note 3 11 8" xfId="29338" xr:uid="{00000000-0005-0000-0000-0000C6720000}"/>
    <cellStyle name="Note 3 11 9" xfId="31298" xr:uid="{00000000-0005-0000-0000-0000C7720000}"/>
    <cellStyle name="Note 3 12" xfId="27424" xr:uid="{00000000-0005-0000-0000-0000C8720000}"/>
    <cellStyle name="Note 3 12 2" xfId="27890" xr:uid="{00000000-0005-0000-0000-0000C9720000}"/>
    <cellStyle name="Note 3 12 2 2" xfId="28877" xr:uid="{00000000-0005-0000-0000-0000CA720000}"/>
    <cellStyle name="Note 3 12 2 2 2" xfId="30837" xr:uid="{00000000-0005-0000-0000-0000CB720000}"/>
    <cellStyle name="Note 3 12 2 3" xfId="29857" xr:uid="{00000000-0005-0000-0000-0000CC720000}"/>
    <cellStyle name="Note 3 12 3" xfId="28412" xr:uid="{00000000-0005-0000-0000-0000CD720000}"/>
    <cellStyle name="Note 3 12 3 2" xfId="30372" xr:uid="{00000000-0005-0000-0000-0000CE720000}"/>
    <cellStyle name="Note 3 12 4" xfId="29392" xr:uid="{00000000-0005-0000-0000-0000CF720000}"/>
    <cellStyle name="Note 3 13" xfId="27522" xr:uid="{00000000-0005-0000-0000-0000D0720000}"/>
    <cellStyle name="Note 3 13 2" xfId="27988" xr:uid="{00000000-0005-0000-0000-0000D1720000}"/>
    <cellStyle name="Note 3 13 2 2" xfId="28975" xr:uid="{00000000-0005-0000-0000-0000D2720000}"/>
    <cellStyle name="Note 3 13 2 2 2" xfId="30935" xr:uid="{00000000-0005-0000-0000-0000D3720000}"/>
    <cellStyle name="Note 3 13 2 3" xfId="29955" xr:uid="{00000000-0005-0000-0000-0000D4720000}"/>
    <cellStyle name="Note 3 13 3" xfId="27809" xr:uid="{00000000-0005-0000-0000-0000D5720000}"/>
    <cellStyle name="Note 3 13 3 2" xfId="28796" xr:uid="{00000000-0005-0000-0000-0000D6720000}"/>
    <cellStyle name="Note 3 13 3 2 2" xfId="30756" xr:uid="{00000000-0005-0000-0000-0000D7720000}"/>
    <cellStyle name="Note 3 13 3 3" xfId="29776" xr:uid="{00000000-0005-0000-0000-0000D8720000}"/>
    <cellStyle name="Note 3 13 4" xfId="28510" xr:uid="{00000000-0005-0000-0000-0000D9720000}"/>
    <cellStyle name="Note 3 13 4 2" xfId="30470" xr:uid="{00000000-0005-0000-0000-0000DA720000}"/>
    <cellStyle name="Note 3 13 5" xfId="29490" xr:uid="{00000000-0005-0000-0000-0000DB720000}"/>
    <cellStyle name="Note 3 14" xfId="27620" xr:uid="{00000000-0005-0000-0000-0000DC720000}"/>
    <cellStyle name="Note 3 14 2" xfId="28086" xr:uid="{00000000-0005-0000-0000-0000DD720000}"/>
    <cellStyle name="Note 3 14 2 2" xfId="29073" xr:uid="{00000000-0005-0000-0000-0000DE720000}"/>
    <cellStyle name="Note 3 14 2 2 2" xfId="31033" xr:uid="{00000000-0005-0000-0000-0000DF720000}"/>
    <cellStyle name="Note 3 14 2 3" xfId="30053" xr:uid="{00000000-0005-0000-0000-0000E0720000}"/>
    <cellStyle name="Note 3 14 3" xfId="27829" xr:uid="{00000000-0005-0000-0000-0000E1720000}"/>
    <cellStyle name="Note 3 14 3 2" xfId="28816" xr:uid="{00000000-0005-0000-0000-0000E2720000}"/>
    <cellStyle name="Note 3 14 3 2 2" xfId="30776" xr:uid="{00000000-0005-0000-0000-0000E3720000}"/>
    <cellStyle name="Note 3 14 3 3" xfId="29796" xr:uid="{00000000-0005-0000-0000-0000E4720000}"/>
    <cellStyle name="Note 3 14 4" xfId="28608" xr:uid="{00000000-0005-0000-0000-0000E5720000}"/>
    <cellStyle name="Note 3 14 4 2" xfId="30568" xr:uid="{00000000-0005-0000-0000-0000E6720000}"/>
    <cellStyle name="Note 3 14 5" xfId="29588" xr:uid="{00000000-0005-0000-0000-0000E7720000}"/>
    <cellStyle name="Note 3 15" xfId="27719" xr:uid="{00000000-0005-0000-0000-0000E8720000}"/>
    <cellStyle name="Note 3 15 2" xfId="28707" xr:uid="{00000000-0005-0000-0000-0000E9720000}"/>
    <cellStyle name="Note 3 15 2 2" xfId="30667" xr:uid="{00000000-0005-0000-0000-0000EA720000}"/>
    <cellStyle name="Note 3 15 3" xfId="29687" xr:uid="{00000000-0005-0000-0000-0000EB720000}"/>
    <cellStyle name="Note 3 16" xfId="28314" xr:uid="{00000000-0005-0000-0000-0000EC720000}"/>
    <cellStyle name="Note 3 16 2" xfId="30274" xr:uid="{00000000-0005-0000-0000-0000ED720000}"/>
    <cellStyle name="Note 3 17" xfId="29294" xr:uid="{00000000-0005-0000-0000-0000EE720000}"/>
    <cellStyle name="Note 3 18" xfId="31254" xr:uid="{00000000-0005-0000-0000-0000EF720000}"/>
    <cellStyle name="Note 3 2" xfId="1628" xr:uid="{00000000-0005-0000-0000-0000F0720000}"/>
    <cellStyle name="Note 3 2 2" xfId="27185" xr:uid="{00000000-0005-0000-0000-0000F1720000}"/>
    <cellStyle name="Note 3 3" xfId="1629" xr:uid="{00000000-0005-0000-0000-0000F2720000}"/>
    <cellStyle name="Note 3 3 2" xfId="27186" xr:uid="{00000000-0005-0000-0000-0000F3720000}"/>
    <cellStyle name="Note 3 4" xfId="1630" xr:uid="{00000000-0005-0000-0000-0000F4720000}"/>
    <cellStyle name="Note 3 4 2" xfId="27187" xr:uid="{00000000-0005-0000-0000-0000F5720000}"/>
    <cellStyle name="Note 3 5" xfId="1631" xr:uid="{00000000-0005-0000-0000-0000F6720000}"/>
    <cellStyle name="Note 3 5 2" xfId="27188" xr:uid="{00000000-0005-0000-0000-0000F7720000}"/>
    <cellStyle name="Note 3 6" xfId="1632" xr:uid="{00000000-0005-0000-0000-0000F8720000}"/>
    <cellStyle name="Note 3 6 2" xfId="27189" xr:uid="{00000000-0005-0000-0000-0000F9720000}"/>
    <cellStyle name="Note 3 7" xfId="1633" xr:uid="{00000000-0005-0000-0000-0000FA720000}"/>
    <cellStyle name="Note 3 7 2" xfId="27190" xr:uid="{00000000-0005-0000-0000-0000FB720000}"/>
    <cellStyle name="Note 3 8" xfId="14964" xr:uid="{00000000-0005-0000-0000-0000FC720000}"/>
    <cellStyle name="Note 3 8 10" xfId="31274" xr:uid="{00000000-0005-0000-0000-0000FD720000}"/>
    <cellStyle name="Note 3 8 2" xfId="15006" xr:uid="{00000000-0005-0000-0000-0000FE720000}"/>
    <cellStyle name="Note 3 8 2 2" xfId="27391" xr:uid="{00000000-0005-0000-0000-0000FF720000}"/>
    <cellStyle name="Note 3 8 2 2 2" xfId="27502" xr:uid="{00000000-0005-0000-0000-000000730000}"/>
    <cellStyle name="Note 3 8 2 2 2 2" xfId="27968" xr:uid="{00000000-0005-0000-0000-000001730000}"/>
    <cellStyle name="Note 3 8 2 2 2 2 2" xfId="28955" xr:uid="{00000000-0005-0000-0000-000002730000}"/>
    <cellStyle name="Note 3 8 2 2 2 2 2 2" xfId="30915" xr:uid="{00000000-0005-0000-0000-000003730000}"/>
    <cellStyle name="Note 3 8 2 2 2 2 3" xfId="29935" xr:uid="{00000000-0005-0000-0000-000004730000}"/>
    <cellStyle name="Note 3 8 2 2 2 3" xfId="28490" xr:uid="{00000000-0005-0000-0000-000005730000}"/>
    <cellStyle name="Note 3 8 2 2 2 3 2" xfId="30450" xr:uid="{00000000-0005-0000-0000-000006730000}"/>
    <cellStyle name="Note 3 8 2 2 2 4" xfId="29470" xr:uid="{00000000-0005-0000-0000-000007730000}"/>
    <cellStyle name="Note 3 8 2 2 3" xfId="27600" xr:uid="{00000000-0005-0000-0000-000008730000}"/>
    <cellStyle name="Note 3 8 2 2 3 2" xfId="28066" xr:uid="{00000000-0005-0000-0000-000009730000}"/>
    <cellStyle name="Note 3 8 2 2 3 2 2" xfId="29053" xr:uid="{00000000-0005-0000-0000-00000A730000}"/>
    <cellStyle name="Note 3 8 2 2 3 2 2 2" xfId="31013" xr:uid="{00000000-0005-0000-0000-00000B730000}"/>
    <cellStyle name="Note 3 8 2 2 3 2 3" xfId="30033" xr:uid="{00000000-0005-0000-0000-00000C730000}"/>
    <cellStyle name="Note 3 8 2 2 3 3" xfId="27824" xr:uid="{00000000-0005-0000-0000-00000D730000}"/>
    <cellStyle name="Note 3 8 2 2 3 3 2" xfId="28811" xr:uid="{00000000-0005-0000-0000-00000E730000}"/>
    <cellStyle name="Note 3 8 2 2 3 3 2 2" xfId="30771" xr:uid="{00000000-0005-0000-0000-00000F730000}"/>
    <cellStyle name="Note 3 8 2 2 3 3 3" xfId="29791" xr:uid="{00000000-0005-0000-0000-000010730000}"/>
    <cellStyle name="Note 3 8 2 2 3 4" xfId="28588" xr:uid="{00000000-0005-0000-0000-000011730000}"/>
    <cellStyle name="Note 3 8 2 2 3 4 2" xfId="30548" xr:uid="{00000000-0005-0000-0000-000012730000}"/>
    <cellStyle name="Note 3 8 2 2 3 5" xfId="29568" xr:uid="{00000000-0005-0000-0000-000013730000}"/>
    <cellStyle name="Note 3 8 2 2 4" xfId="27698" xr:uid="{00000000-0005-0000-0000-000014730000}"/>
    <cellStyle name="Note 3 8 2 2 4 2" xfId="28164" xr:uid="{00000000-0005-0000-0000-000015730000}"/>
    <cellStyle name="Note 3 8 2 2 4 2 2" xfId="29151" xr:uid="{00000000-0005-0000-0000-000016730000}"/>
    <cellStyle name="Note 3 8 2 2 4 2 2 2" xfId="31111" xr:uid="{00000000-0005-0000-0000-000017730000}"/>
    <cellStyle name="Note 3 8 2 2 4 2 3" xfId="30131" xr:uid="{00000000-0005-0000-0000-000018730000}"/>
    <cellStyle name="Note 3 8 2 2 4 3" xfId="28291" xr:uid="{00000000-0005-0000-0000-000019730000}"/>
    <cellStyle name="Note 3 8 2 2 4 3 2" xfId="29278" xr:uid="{00000000-0005-0000-0000-00001A730000}"/>
    <cellStyle name="Note 3 8 2 2 4 3 2 2" xfId="31238" xr:uid="{00000000-0005-0000-0000-00001B730000}"/>
    <cellStyle name="Note 3 8 2 2 4 3 3" xfId="30258" xr:uid="{00000000-0005-0000-0000-00001C730000}"/>
    <cellStyle name="Note 3 8 2 2 4 4" xfId="28686" xr:uid="{00000000-0005-0000-0000-00001D730000}"/>
    <cellStyle name="Note 3 8 2 2 4 4 2" xfId="30646" xr:uid="{00000000-0005-0000-0000-00001E730000}"/>
    <cellStyle name="Note 3 8 2 2 4 5" xfId="29666" xr:uid="{00000000-0005-0000-0000-00001F730000}"/>
    <cellStyle name="Note 3 8 2 2 5" xfId="27870" xr:uid="{00000000-0005-0000-0000-000020730000}"/>
    <cellStyle name="Note 3 8 2 2 5 2" xfId="28857" xr:uid="{00000000-0005-0000-0000-000021730000}"/>
    <cellStyle name="Note 3 8 2 2 5 2 2" xfId="30817" xr:uid="{00000000-0005-0000-0000-000022730000}"/>
    <cellStyle name="Note 3 8 2 2 5 3" xfId="29837" xr:uid="{00000000-0005-0000-0000-000023730000}"/>
    <cellStyle name="Note 3 8 2 2 6" xfId="28392" xr:uid="{00000000-0005-0000-0000-000024730000}"/>
    <cellStyle name="Note 3 8 2 2 6 2" xfId="30352" xr:uid="{00000000-0005-0000-0000-000025730000}"/>
    <cellStyle name="Note 3 8 2 2 7" xfId="29372" xr:uid="{00000000-0005-0000-0000-000026730000}"/>
    <cellStyle name="Note 3 8 2 2 8" xfId="31332" xr:uid="{00000000-0005-0000-0000-000027730000}"/>
    <cellStyle name="Note 3 8 2 3" xfId="27458" xr:uid="{00000000-0005-0000-0000-000028730000}"/>
    <cellStyle name="Note 3 8 2 3 2" xfId="27924" xr:uid="{00000000-0005-0000-0000-000029730000}"/>
    <cellStyle name="Note 3 8 2 3 2 2" xfId="28911" xr:uid="{00000000-0005-0000-0000-00002A730000}"/>
    <cellStyle name="Note 3 8 2 3 2 2 2" xfId="30871" xr:uid="{00000000-0005-0000-0000-00002B730000}"/>
    <cellStyle name="Note 3 8 2 3 2 3" xfId="29891" xr:uid="{00000000-0005-0000-0000-00002C730000}"/>
    <cellStyle name="Note 3 8 2 3 3" xfId="28446" xr:uid="{00000000-0005-0000-0000-00002D730000}"/>
    <cellStyle name="Note 3 8 2 3 3 2" xfId="30406" xr:uid="{00000000-0005-0000-0000-00002E730000}"/>
    <cellStyle name="Note 3 8 2 3 4" xfId="29426" xr:uid="{00000000-0005-0000-0000-00002F730000}"/>
    <cellStyle name="Note 3 8 2 4" xfId="27556" xr:uid="{00000000-0005-0000-0000-000030730000}"/>
    <cellStyle name="Note 3 8 2 4 2" xfId="28022" xr:uid="{00000000-0005-0000-0000-000031730000}"/>
    <cellStyle name="Note 3 8 2 4 2 2" xfId="29009" xr:uid="{00000000-0005-0000-0000-000032730000}"/>
    <cellStyle name="Note 3 8 2 4 2 2 2" xfId="30969" xr:uid="{00000000-0005-0000-0000-000033730000}"/>
    <cellStyle name="Note 3 8 2 4 2 3" xfId="29989" xr:uid="{00000000-0005-0000-0000-000034730000}"/>
    <cellStyle name="Note 3 8 2 4 3" xfId="27816" xr:uid="{00000000-0005-0000-0000-000035730000}"/>
    <cellStyle name="Note 3 8 2 4 3 2" xfId="28803" xr:uid="{00000000-0005-0000-0000-000036730000}"/>
    <cellStyle name="Note 3 8 2 4 3 2 2" xfId="30763" xr:uid="{00000000-0005-0000-0000-000037730000}"/>
    <cellStyle name="Note 3 8 2 4 3 3" xfId="29783" xr:uid="{00000000-0005-0000-0000-000038730000}"/>
    <cellStyle name="Note 3 8 2 4 4" xfId="28544" xr:uid="{00000000-0005-0000-0000-000039730000}"/>
    <cellStyle name="Note 3 8 2 4 4 2" xfId="30504" xr:uid="{00000000-0005-0000-0000-00003A730000}"/>
    <cellStyle name="Note 3 8 2 4 5" xfId="29524" xr:uid="{00000000-0005-0000-0000-00003B730000}"/>
    <cellStyle name="Note 3 8 2 5" xfId="27654" xr:uid="{00000000-0005-0000-0000-00003C730000}"/>
    <cellStyle name="Note 3 8 2 5 2" xfId="28120" xr:uid="{00000000-0005-0000-0000-00003D730000}"/>
    <cellStyle name="Note 3 8 2 5 2 2" xfId="29107" xr:uid="{00000000-0005-0000-0000-00003E730000}"/>
    <cellStyle name="Note 3 8 2 5 2 2 2" xfId="31067" xr:uid="{00000000-0005-0000-0000-00003F730000}"/>
    <cellStyle name="Note 3 8 2 5 2 3" xfId="30087" xr:uid="{00000000-0005-0000-0000-000040730000}"/>
    <cellStyle name="Note 3 8 2 5 3" xfId="28263" xr:uid="{00000000-0005-0000-0000-000041730000}"/>
    <cellStyle name="Note 3 8 2 5 3 2" xfId="29250" xr:uid="{00000000-0005-0000-0000-000042730000}"/>
    <cellStyle name="Note 3 8 2 5 3 2 2" xfId="31210" xr:uid="{00000000-0005-0000-0000-000043730000}"/>
    <cellStyle name="Note 3 8 2 5 3 3" xfId="30230" xr:uid="{00000000-0005-0000-0000-000044730000}"/>
    <cellStyle name="Note 3 8 2 5 4" xfId="28642" xr:uid="{00000000-0005-0000-0000-000045730000}"/>
    <cellStyle name="Note 3 8 2 5 4 2" xfId="30602" xr:uid="{00000000-0005-0000-0000-000046730000}"/>
    <cellStyle name="Note 3 8 2 5 5" xfId="29622" xr:uid="{00000000-0005-0000-0000-000047730000}"/>
    <cellStyle name="Note 3 8 2 6" xfId="27794" xr:uid="{00000000-0005-0000-0000-000048730000}"/>
    <cellStyle name="Note 3 8 2 6 2" xfId="28782" xr:uid="{00000000-0005-0000-0000-000049730000}"/>
    <cellStyle name="Note 3 8 2 6 2 2" xfId="30742" xr:uid="{00000000-0005-0000-0000-00004A730000}"/>
    <cellStyle name="Note 3 8 2 6 3" xfId="29762" xr:uid="{00000000-0005-0000-0000-00004B730000}"/>
    <cellStyle name="Note 3 8 2 7" xfId="28348" xr:uid="{00000000-0005-0000-0000-00004C730000}"/>
    <cellStyle name="Note 3 8 2 7 2" xfId="30308" xr:uid="{00000000-0005-0000-0000-00004D730000}"/>
    <cellStyle name="Note 3 8 2 8" xfId="29328" xr:uid="{00000000-0005-0000-0000-00004E730000}"/>
    <cellStyle name="Note 3 8 2 9" xfId="31288" xr:uid="{00000000-0005-0000-0000-00004F730000}"/>
    <cellStyle name="Note 3 8 3" xfId="27377" xr:uid="{00000000-0005-0000-0000-000050730000}"/>
    <cellStyle name="Note 3 8 3 2" xfId="27488" xr:uid="{00000000-0005-0000-0000-000051730000}"/>
    <cellStyle name="Note 3 8 3 2 2" xfId="27954" xr:uid="{00000000-0005-0000-0000-000052730000}"/>
    <cellStyle name="Note 3 8 3 2 2 2" xfId="28941" xr:uid="{00000000-0005-0000-0000-000053730000}"/>
    <cellStyle name="Note 3 8 3 2 2 2 2" xfId="30901" xr:uid="{00000000-0005-0000-0000-000054730000}"/>
    <cellStyle name="Note 3 8 3 2 2 3" xfId="29921" xr:uid="{00000000-0005-0000-0000-000055730000}"/>
    <cellStyle name="Note 3 8 3 2 3" xfId="28476" xr:uid="{00000000-0005-0000-0000-000056730000}"/>
    <cellStyle name="Note 3 8 3 2 3 2" xfId="30436" xr:uid="{00000000-0005-0000-0000-000057730000}"/>
    <cellStyle name="Note 3 8 3 2 4" xfId="29456" xr:uid="{00000000-0005-0000-0000-000058730000}"/>
    <cellStyle name="Note 3 8 3 3" xfId="27586" xr:uid="{00000000-0005-0000-0000-000059730000}"/>
    <cellStyle name="Note 3 8 3 3 2" xfId="28052" xr:uid="{00000000-0005-0000-0000-00005A730000}"/>
    <cellStyle name="Note 3 8 3 3 2 2" xfId="29039" xr:uid="{00000000-0005-0000-0000-00005B730000}"/>
    <cellStyle name="Note 3 8 3 3 2 2 2" xfId="30999" xr:uid="{00000000-0005-0000-0000-00005C730000}"/>
    <cellStyle name="Note 3 8 3 3 2 3" xfId="30019" xr:uid="{00000000-0005-0000-0000-00005D730000}"/>
    <cellStyle name="Note 3 8 3 3 3" xfId="27839" xr:uid="{00000000-0005-0000-0000-00005E730000}"/>
    <cellStyle name="Note 3 8 3 3 3 2" xfId="28826" xr:uid="{00000000-0005-0000-0000-00005F730000}"/>
    <cellStyle name="Note 3 8 3 3 3 2 2" xfId="30786" xr:uid="{00000000-0005-0000-0000-000060730000}"/>
    <cellStyle name="Note 3 8 3 3 3 3" xfId="29806" xr:uid="{00000000-0005-0000-0000-000061730000}"/>
    <cellStyle name="Note 3 8 3 3 4" xfId="28574" xr:uid="{00000000-0005-0000-0000-000062730000}"/>
    <cellStyle name="Note 3 8 3 3 4 2" xfId="30534" xr:uid="{00000000-0005-0000-0000-000063730000}"/>
    <cellStyle name="Note 3 8 3 3 5" xfId="29554" xr:uid="{00000000-0005-0000-0000-000064730000}"/>
    <cellStyle name="Note 3 8 3 4" xfId="27684" xr:uid="{00000000-0005-0000-0000-000065730000}"/>
    <cellStyle name="Note 3 8 3 4 2" xfId="28150" xr:uid="{00000000-0005-0000-0000-000066730000}"/>
    <cellStyle name="Note 3 8 3 4 2 2" xfId="29137" xr:uid="{00000000-0005-0000-0000-000067730000}"/>
    <cellStyle name="Note 3 8 3 4 2 2 2" xfId="31097" xr:uid="{00000000-0005-0000-0000-000068730000}"/>
    <cellStyle name="Note 3 8 3 4 2 3" xfId="30117" xr:uid="{00000000-0005-0000-0000-000069730000}"/>
    <cellStyle name="Note 3 8 3 4 3" xfId="28285" xr:uid="{00000000-0005-0000-0000-00006A730000}"/>
    <cellStyle name="Note 3 8 3 4 3 2" xfId="29272" xr:uid="{00000000-0005-0000-0000-00006B730000}"/>
    <cellStyle name="Note 3 8 3 4 3 2 2" xfId="31232" xr:uid="{00000000-0005-0000-0000-00006C730000}"/>
    <cellStyle name="Note 3 8 3 4 3 3" xfId="30252" xr:uid="{00000000-0005-0000-0000-00006D730000}"/>
    <cellStyle name="Note 3 8 3 4 4" xfId="28672" xr:uid="{00000000-0005-0000-0000-00006E730000}"/>
    <cellStyle name="Note 3 8 3 4 4 2" xfId="30632" xr:uid="{00000000-0005-0000-0000-00006F730000}"/>
    <cellStyle name="Note 3 8 3 4 5" xfId="29652" xr:uid="{00000000-0005-0000-0000-000070730000}"/>
    <cellStyle name="Note 3 8 3 5" xfId="27856" xr:uid="{00000000-0005-0000-0000-000071730000}"/>
    <cellStyle name="Note 3 8 3 5 2" xfId="28843" xr:uid="{00000000-0005-0000-0000-000072730000}"/>
    <cellStyle name="Note 3 8 3 5 2 2" xfId="30803" xr:uid="{00000000-0005-0000-0000-000073730000}"/>
    <cellStyle name="Note 3 8 3 5 3" xfId="29823" xr:uid="{00000000-0005-0000-0000-000074730000}"/>
    <cellStyle name="Note 3 8 3 6" xfId="28378" xr:uid="{00000000-0005-0000-0000-000075730000}"/>
    <cellStyle name="Note 3 8 3 6 2" xfId="30338" xr:uid="{00000000-0005-0000-0000-000076730000}"/>
    <cellStyle name="Note 3 8 3 7" xfId="29358" xr:uid="{00000000-0005-0000-0000-000077730000}"/>
    <cellStyle name="Note 3 8 3 8" xfId="31318" xr:uid="{00000000-0005-0000-0000-000078730000}"/>
    <cellStyle name="Note 3 8 4" xfId="27444" xr:uid="{00000000-0005-0000-0000-000079730000}"/>
    <cellStyle name="Note 3 8 4 2" xfId="27910" xr:uid="{00000000-0005-0000-0000-00007A730000}"/>
    <cellStyle name="Note 3 8 4 2 2" xfId="28897" xr:uid="{00000000-0005-0000-0000-00007B730000}"/>
    <cellStyle name="Note 3 8 4 2 2 2" xfId="30857" xr:uid="{00000000-0005-0000-0000-00007C730000}"/>
    <cellStyle name="Note 3 8 4 2 3" xfId="29877" xr:uid="{00000000-0005-0000-0000-00007D730000}"/>
    <cellStyle name="Note 3 8 4 3" xfId="28432" xr:uid="{00000000-0005-0000-0000-00007E730000}"/>
    <cellStyle name="Note 3 8 4 3 2" xfId="30392" xr:uid="{00000000-0005-0000-0000-00007F730000}"/>
    <cellStyle name="Note 3 8 4 4" xfId="29412" xr:uid="{00000000-0005-0000-0000-000080730000}"/>
    <cellStyle name="Note 3 8 5" xfId="27542" xr:uid="{00000000-0005-0000-0000-000081730000}"/>
    <cellStyle name="Note 3 8 5 2" xfId="28008" xr:uid="{00000000-0005-0000-0000-000082730000}"/>
    <cellStyle name="Note 3 8 5 2 2" xfId="28995" xr:uid="{00000000-0005-0000-0000-000083730000}"/>
    <cellStyle name="Note 3 8 5 2 2 2" xfId="30955" xr:uid="{00000000-0005-0000-0000-000084730000}"/>
    <cellStyle name="Note 3 8 5 2 3" xfId="29975" xr:uid="{00000000-0005-0000-0000-000085730000}"/>
    <cellStyle name="Note 3 8 5 3" xfId="27744" xr:uid="{00000000-0005-0000-0000-000086730000}"/>
    <cellStyle name="Note 3 8 5 3 2" xfId="28732" xr:uid="{00000000-0005-0000-0000-000087730000}"/>
    <cellStyle name="Note 3 8 5 3 2 2" xfId="30692" xr:uid="{00000000-0005-0000-0000-000088730000}"/>
    <cellStyle name="Note 3 8 5 3 3" xfId="29712" xr:uid="{00000000-0005-0000-0000-000089730000}"/>
    <cellStyle name="Note 3 8 5 4" xfId="28530" xr:uid="{00000000-0005-0000-0000-00008A730000}"/>
    <cellStyle name="Note 3 8 5 4 2" xfId="30490" xr:uid="{00000000-0005-0000-0000-00008B730000}"/>
    <cellStyle name="Note 3 8 5 5" xfId="29510" xr:uid="{00000000-0005-0000-0000-00008C730000}"/>
    <cellStyle name="Note 3 8 6" xfId="27640" xr:uid="{00000000-0005-0000-0000-00008D730000}"/>
    <cellStyle name="Note 3 8 6 2" xfId="28106" xr:uid="{00000000-0005-0000-0000-00008E730000}"/>
    <cellStyle name="Note 3 8 6 2 2" xfId="29093" xr:uid="{00000000-0005-0000-0000-00008F730000}"/>
    <cellStyle name="Note 3 8 6 2 2 2" xfId="31053" xr:uid="{00000000-0005-0000-0000-000090730000}"/>
    <cellStyle name="Note 3 8 6 2 3" xfId="30073" xr:uid="{00000000-0005-0000-0000-000091730000}"/>
    <cellStyle name="Note 3 8 6 3" xfId="28257" xr:uid="{00000000-0005-0000-0000-000092730000}"/>
    <cellStyle name="Note 3 8 6 3 2" xfId="29244" xr:uid="{00000000-0005-0000-0000-000093730000}"/>
    <cellStyle name="Note 3 8 6 3 2 2" xfId="31204" xr:uid="{00000000-0005-0000-0000-000094730000}"/>
    <cellStyle name="Note 3 8 6 3 3" xfId="30224" xr:uid="{00000000-0005-0000-0000-000095730000}"/>
    <cellStyle name="Note 3 8 6 4" xfId="28628" xr:uid="{00000000-0005-0000-0000-000096730000}"/>
    <cellStyle name="Note 3 8 6 4 2" xfId="30588" xr:uid="{00000000-0005-0000-0000-000097730000}"/>
    <cellStyle name="Note 3 8 6 5" xfId="29608" xr:uid="{00000000-0005-0000-0000-000098730000}"/>
    <cellStyle name="Note 3 8 7" xfId="27780" xr:uid="{00000000-0005-0000-0000-000099730000}"/>
    <cellStyle name="Note 3 8 7 2" xfId="28768" xr:uid="{00000000-0005-0000-0000-00009A730000}"/>
    <cellStyle name="Note 3 8 7 2 2" xfId="30728" xr:uid="{00000000-0005-0000-0000-00009B730000}"/>
    <cellStyle name="Note 3 8 7 3" xfId="29748" xr:uid="{00000000-0005-0000-0000-00009C730000}"/>
    <cellStyle name="Note 3 8 8" xfId="28334" xr:uid="{00000000-0005-0000-0000-00009D730000}"/>
    <cellStyle name="Note 3 8 8 2" xfId="30294" xr:uid="{00000000-0005-0000-0000-00009E730000}"/>
    <cellStyle name="Note 3 8 9" xfId="29314" xr:uid="{00000000-0005-0000-0000-00009F730000}"/>
    <cellStyle name="Note 3 9" xfId="15055" xr:uid="{00000000-0005-0000-0000-0000A0730000}"/>
    <cellStyle name="Note 3 9 10" xfId="31300" xr:uid="{00000000-0005-0000-0000-0000A1730000}"/>
    <cellStyle name="Note 3 9 2" xfId="27171" xr:uid="{00000000-0005-0000-0000-0000A2730000}"/>
    <cellStyle name="Note 3 9 2 2" xfId="27405" xr:uid="{00000000-0005-0000-0000-0000A3730000}"/>
    <cellStyle name="Note 3 9 2 2 2" xfId="27516" xr:uid="{00000000-0005-0000-0000-0000A4730000}"/>
    <cellStyle name="Note 3 9 2 2 2 2" xfId="27982" xr:uid="{00000000-0005-0000-0000-0000A5730000}"/>
    <cellStyle name="Note 3 9 2 2 2 2 2" xfId="28969" xr:uid="{00000000-0005-0000-0000-0000A6730000}"/>
    <cellStyle name="Note 3 9 2 2 2 2 2 2" xfId="30929" xr:uid="{00000000-0005-0000-0000-0000A7730000}"/>
    <cellStyle name="Note 3 9 2 2 2 2 3" xfId="29949" xr:uid="{00000000-0005-0000-0000-0000A8730000}"/>
    <cellStyle name="Note 3 9 2 2 2 3" xfId="28504" xr:uid="{00000000-0005-0000-0000-0000A9730000}"/>
    <cellStyle name="Note 3 9 2 2 2 3 2" xfId="30464" xr:uid="{00000000-0005-0000-0000-0000AA730000}"/>
    <cellStyle name="Note 3 9 2 2 2 4" xfId="29484" xr:uid="{00000000-0005-0000-0000-0000AB730000}"/>
    <cellStyle name="Note 3 9 2 2 3" xfId="27614" xr:uid="{00000000-0005-0000-0000-0000AC730000}"/>
    <cellStyle name="Note 3 9 2 2 3 2" xfId="28080" xr:uid="{00000000-0005-0000-0000-0000AD730000}"/>
    <cellStyle name="Note 3 9 2 2 3 2 2" xfId="29067" xr:uid="{00000000-0005-0000-0000-0000AE730000}"/>
    <cellStyle name="Note 3 9 2 2 3 2 2 2" xfId="31027" xr:uid="{00000000-0005-0000-0000-0000AF730000}"/>
    <cellStyle name="Note 3 9 2 2 3 2 3" xfId="30047" xr:uid="{00000000-0005-0000-0000-0000B0730000}"/>
    <cellStyle name="Note 3 9 2 2 3 3" xfId="27760" xr:uid="{00000000-0005-0000-0000-0000B1730000}"/>
    <cellStyle name="Note 3 9 2 2 3 3 2" xfId="28748" xr:uid="{00000000-0005-0000-0000-0000B2730000}"/>
    <cellStyle name="Note 3 9 2 2 3 3 2 2" xfId="30708" xr:uid="{00000000-0005-0000-0000-0000B3730000}"/>
    <cellStyle name="Note 3 9 2 2 3 3 3" xfId="29728" xr:uid="{00000000-0005-0000-0000-0000B4730000}"/>
    <cellStyle name="Note 3 9 2 2 3 4" xfId="28602" xr:uid="{00000000-0005-0000-0000-0000B5730000}"/>
    <cellStyle name="Note 3 9 2 2 3 4 2" xfId="30562" xr:uid="{00000000-0005-0000-0000-0000B6730000}"/>
    <cellStyle name="Note 3 9 2 2 3 5" xfId="29582" xr:uid="{00000000-0005-0000-0000-0000B7730000}"/>
    <cellStyle name="Note 3 9 2 2 4" xfId="27712" xr:uid="{00000000-0005-0000-0000-0000B8730000}"/>
    <cellStyle name="Note 3 9 2 2 4 2" xfId="28178" xr:uid="{00000000-0005-0000-0000-0000B9730000}"/>
    <cellStyle name="Note 3 9 2 2 4 2 2" xfId="29165" xr:uid="{00000000-0005-0000-0000-0000BA730000}"/>
    <cellStyle name="Note 3 9 2 2 4 2 2 2" xfId="31125" xr:uid="{00000000-0005-0000-0000-0000BB730000}"/>
    <cellStyle name="Note 3 9 2 2 4 2 3" xfId="30145" xr:uid="{00000000-0005-0000-0000-0000BC730000}"/>
    <cellStyle name="Note 3 9 2 2 4 3" xfId="28301" xr:uid="{00000000-0005-0000-0000-0000BD730000}"/>
    <cellStyle name="Note 3 9 2 2 4 3 2" xfId="29288" xr:uid="{00000000-0005-0000-0000-0000BE730000}"/>
    <cellStyle name="Note 3 9 2 2 4 3 2 2" xfId="31248" xr:uid="{00000000-0005-0000-0000-0000BF730000}"/>
    <cellStyle name="Note 3 9 2 2 4 3 3" xfId="30268" xr:uid="{00000000-0005-0000-0000-0000C0730000}"/>
    <cellStyle name="Note 3 9 2 2 4 4" xfId="28700" xr:uid="{00000000-0005-0000-0000-0000C1730000}"/>
    <cellStyle name="Note 3 9 2 2 4 4 2" xfId="30660" xr:uid="{00000000-0005-0000-0000-0000C2730000}"/>
    <cellStyle name="Note 3 9 2 2 4 5" xfId="29680" xr:uid="{00000000-0005-0000-0000-0000C3730000}"/>
    <cellStyle name="Note 3 9 2 2 5" xfId="27884" xr:uid="{00000000-0005-0000-0000-0000C4730000}"/>
    <cellStyle name="Note 3 9 2 2 5 2" xfId="28871" xr:uid="{00000000-0005-0000-0000-0000C5730000}"/>
    <cellStyle name="Note 3 9 2 2 5 2 2" xfId="30831" xr:uid="{00000000-0005-0000-0000-0000C6730000}"/>
    <cellStyle name="Note 3 9 2 2 5 3" xfId="29851" xr:uid="{00000000-0005-0000-0000-0000C7730000}"/>
    <cellStyle name="Note 3 9 2 2 6" xfId="28406" xr:uid="{00000000-0005-0000-0000-0000C8730000}"/>
    <cellStyle name="Note 3 9 2 2 6 2" xfId="30366" xr:uid="{00000000-0005-0000-0000-0000C9730000}"/>
    <cellStyle name="Note 3 9 2 2 7" xfId="29386" xr:uid="{00000000-0005-0000-0000-0000CA730000}"/>
    <cellStyle name="Note 3 9 2 2 8" xfId="31346" xr:uid="{00000000-0005-0000-0000-0000CB730000}"/>
    <cellStyle name="Note 3 9 2 3" xfId="27472" xr:uid="{00000000-0005-0000-0000-0000CC730000}"/>
    <cellStyle name="Note 3 9 2 3 2" xfId="27938" xr:uid="{00000000-0005-0000-0000-0000CD730000}"/>
    <cellStyle name="Note 3 9 2 3 2 2" xfId="28925" xr:uid="{00000000-0005-0000-0000-0000CE730000}"/>
    <cellStyle name="Note 3 9 2 3 2 2 2" xfId="30885" xr:uid="{00000000-0005-0000-0000-0000CF730000}"/>
    <cellStyle name="Note 3 9 2 3 2 3" xfId="29905" xr:uid="{00000000-0005-0000-0000-0000D0730000}"/>
    <cellStyle name="Note 3 9 2 3 3" xfId="28460" xr:uid="{00000000-0005-0000-0000-0000D1730000}"/>
    <cellStyle name="Note 3 9 2 3 3 2" xfId="30420" xr:uid="{00000000-0005-0000-0000-0000D2730000}"/>
    <cellStyle name="Note 3 9 2 3 4" xfId="29440" xr:uid="{00000000-0005-0000-0000-0000D3730000}"/>
    <cellStyle name="Note 3 9 2 4" xfId="27570" xr:uid="{00000000-0005-0000-0000-0000D4730000}"/>
    <cellStyle name="Note 3 9 2 4 2" xfId="28036" xr:uid="{00000000-0005-0000-0000-0000D5730000}"/>
    <cellStyle name="Note 3 9 2 4 2 2" xfId="29023" xr:uid="{00000000-0005-0000-0000-0000D6730000}"/>
    <cellStyle name="Note 3 9 2 4 2 2 2" xfId="30983" xr:uid="{00000000-0005-0000-0000-0000D7730000}"/>
    <cellStyle name="Note 3 9 2 4 2 3" xfId="30003" xr:uid="{00000000-0005-0000-0000-0000D8730000}"/>
    <cellStyle name="Note 3 9 2 4 3" xfId="27730" xr:uid="{00000000-0005-0000-0000-0000D9730000}"/>
    <cellStyle name="Note 3 9 2 4 3 2" xfId="28718" xr:uid="{00000000-0005-0000-0000-0000DA730000}"/>
    <cellStyle name="Note 3 9 2 4 3 2 2" xfId="30678" xr:uid="{00000000-0005-0000-0000-0000DB730000}"/>
    <cellStyle name="Note 3 9 2 4 3 3" xfId="29698" xr:uid="{00000000-0005-0000-0000-0000DC730000}"/>
    <cellStyle name="Note 3 9 2 4 4" xfId="28558" xr:uid="{00000000-0005-0000-0000-0000DD730000}"/>
    <cellStyle name="Note 3 9 2 4 4 2" xfId="30518" xr:uid="{00000000-0005-0000-0000-0000DE730000}"/>
    <cellStyle name="Note 3 9 2 4 5" xfId="29538" xr:uid="{00000000-0005-0000-0000-0000DF730000}"/>
    <cellStyle name="Note 3 9 2 5" xfId="27668" xr:uid="{00000000-0005-0000-0000-0000E0730000}"/>
    <cellStyle name="Note 3 9 2 5 2" xfId="28134" xr:uid="{00000000-0005-0000-0000-0000E1730000}"/>
    <cellStyle name="Note 3 9 2 5 2 2" xfId="29121" xr:uid="{00000000-0005-0000-0000-0000E2730000}"/>
    <cellStyle name="Note 3 9 2 5 2 2 2" xfId="31081" xr:uid="{00000000-0005-0000-0000-0000E3730000}"/>
    <cellStyle name="Note 3 9 2 5 2 3" xfId="30101" xr:uid="{00000000-0005-0000-0000-0000E4730000}"/>
    <cellStyle name="Note 3 9 2 5 3" xfId="28273" xr:uid="{00000000-0005-0000-0000-0000E5730000}"/>
    <cellStyle name="Note 3 9 2 5 3 2" xfId="29260" xr:uid="{00000000-0005-0000-0000-0000E6730000}"/>
    <cellStyle name="Note 3 9 2 5 3 2 2" xfId="31220" xr:uid="{00000000-0005-0000-0000-0000E7730000}"/>
    <cellStyle name="Note 3 9 2 5 3 3" xfId="30240" xr:uid="{00000000-0005-0000-0000-0000E8730000}"/>
    <cellStyle name="Note 3 9 2 5 4" xfId="28656" xr:uid="{00000000-0005-0000-0000-0000E9730000}"/>
    <cellStyle name="Note 3 9 2 5 4 2" xfId="30616" xr:uid="{00000000-0005-0000-0000-0000EA730000}"/>
    <cellStyle name="Note 3 9 2 5 5" xfId="29636" xr:uid="{00000000-0005-0000-0000-0000EB730000}"/>
    <cellStyle name="Note 3 9 2 6" xfId="27834" xr:uid="{00000000-0005-0000-0000-0000EC730000}"/>
    <cellStyle name="Note 3 9 2 6 2" xfId="28821" xr:uid="{00000000-0005-0000-0000-0000ED730000}"/>
    <cellStyle name="Note 3 9 2 6 2 2" xfId="30781" xr:uid="{00000000-0005-0000-0000-0000EE730000}"/>
    <cellStyle name="Note 3 9 2 6 3" xfId="29801" xr:uid="{00000000-0005-0000-0000-0000EF730000}"/>
    <cellStyle name="Note 3 9 2 7" xfId="28362" xr:uid="{00000000-0005-0000-0000-0000F0730000}"/>
    <cellStyle name="Note 3 9 2 7 2" xfId="30322" xr:uid="{00000000-0005-0000-0000-0000F1730000}"/>
    <cellStyle name="Note 3 9 2 8" xfId="29342" xr:uid="{00000000-0005-0000-0000-0000F2730000}"/>
    <cellStyle name="Note 3 9 2 9" xfId="31302" xr:uid="{00000000-0005-0000-0000-0000F3730000}"/>
    <cellStyle name="Note 3 9 3" xfId="27403" xr:uid="{00000000-0005-0000-0000-0000F4730000}"/>
    <cellStyle name="Note 3 9 3 2" xfId="27514" xr:uid="{00000000-0005-0000-0000-0000F5730000}"/>
    <cellStyle name="Note 3 9 3 2 2" xfId="27980" xr:uid="{00000000-0005-0000-0000-0000F6730000}"/>
    <cellStyle name="Note 3 9 3 2 2 2" xfId="28967" xr:uid="{00000000-0005-0000-0000-0000F7730000}"/>
    <cellStyle name="Note 3 9 3 2 2 2 2" xfId="30927" xr:uid="{00000000-0005-0000-0000-0000F8730000}"/>
    <cellStyle name="Note 3 9 3 2 2 3" xfId="29947" xr:uid="{00000000-0005-0000-0000-0000F9730000}"/>
    <cellStyle name="Note 3 9 3 2 3" xfId="28502" xr:uid="{00000000-0005-0000-0000-0000FA730000}"/>
    <cellStyle name="Note 3 9 3 2 3 2" xfId="30462" xr:uid="{00000000-0005-0000-0000-0000FB730000}"/>
    <cellStyle name="Note 3 9 3 2 4" xfId="29482" xr:uid="{00000000-0005-0000-0000-0000FC730000}"/>
    <cellStyle name="Note 3 9 3 3" xfId="27612" xr:uid="{00000000-0005-0000-0000-0000FD730000}"/>
    <cellStyle name="Note 3 9 3 3 2" xfId="28078" xr:uid="{00000000-0005-0000-0000-0000FE730000}"/>
    <cellStyle name="Note 3 9 3 3 2 2" xfId="29065" xr:uid="{00000000-0005-0000-0000-0000FF730000}"/>
    <cellStyle name="Note 3 9 3 3 2 2 2" xfId="31025" xr:uid="{00000000-0005-0000-0000-000000740000}"/>
    <cellStyle name="Note 3 9 3 3 2 3" xfId="30045" xr:uid="{00000000-0005-0000-0000-000001740000}"/>
    <cellStyle name="Note 3 9 3 3 3" xfId="27827" xr:uid="{00000000-0005-0000-0000-000002740000}"/>
    <cellStyle name="Note 3 9 3 3 3 2" xfId="28814" xr:uid="{00000000-0005-0000-0000-000003740000}"/>
    <cellStyle name="Note 3 9 3 3 3 2 2" xfId="30774" xr:uid="{00000000-0005-0000-0000-000004740000}"/>
    <cellStyle name="Note 3 9 3 3 3 3" xfId="29794" xr:uid="{00000000-0005-0000-0000-000005740000}"/>
    <cellStyle name="Note 3 9 3 3 4" xfId="28600" xr:uid="{00000000-0005-0000-0000-000006740000}"/>
    <cellStyle name="Note 3 9 3 3 4 2" xfId="30560" xr:uid="{00000000-0005-0000-0000-000007740000}"/>
    <cellStyle name="Note 3 9 3 3 5" xfId="29580" xr:uid="{00000000-0005-0000-0000-000008740000}"/>
    <cellStyle name="Note 3 9 3 4" xfId="27710" xr:uid="{00000000-0005-0000-0000-000009740000}"/>
    <cellStyle name="Note 3 9 3 4 2" xfId="28176" xr:uid="{00000000-0005-0000-0000-00000A740000}"/>
    <cellStyle name="Note 3 9 3 4 2 2" xfId="29163" xr:uid="{00000000-0005-0000-0000-00000B740000}"/>
    <cellStyle name="Note 3 9 3 4 2 2 2" xfId="31123" xr:uid="{00000000-0005-0000-0000-00000C740000}"/>
    <cellStyle name="Note 3 9 3 4 2 3" xfId="30143" xr:uid="{00000000-0005-0000-0000-00000D740000}"/>
    <cellStyle name="Note 3 9 3 4 3" xfId="28299" xr:uid="{00000000-0005-0000-0000-00000E740000}"/>
    <cellStyle name="Note 3 9 3 4 3 2" xfId="29286" xr:uid="{00000000-0005-0000-0000-00000F740000}"/>
    <cellStyle name="Note 3 9 3 4 3 2 2" xfId="31246" xr:uid="{00000000-0005-0000-0000-000010740000}"/>
    <cellStyle name="Note 3 9 3 4 3 3" xfId="30266" xr:uid="{00000000-0005-0000-0000-000011740000}"/>
    <cellStyle name="Note 3 9 3 4 4" xfId="28698" xr:uid="{00000000-0005-0000-0000-000012740000}"/>
    <cellStyle name="Note 3 9 3 4 4 2" xfId="30658" xr:uid="{00000000-0005-0000-0000-000013740000}"/>
    <cellStyle name="Note 3 9 3 4 5" xfId="29678" xr:uid="{00000000-0005-0000-0000-000014740000}"/>
    <cellStyle name="Note 3 9 3 5" xfId="27882" xr:uid="{00000000-0005-0000-0000-000015740000}"/>
    <cellStyle name="Note 3 9 3 5 2" xfId="28869" xr:uid="{00000000-0005-0000-0000-000016740000}"/>
    <cellStyle name="Note 3 9 3 5 2 2" xfId="30829" xr:uid="{00000000-0005-0000-0000-000017740000}"/>
    <cellStyle name="Note 3 9 3 5 3" xfId="29849" xr:uid="{00000000-0005-0000-0000-000018740000}"/>
    <cellStyle name="Note 3 9 3 6" xfId="28404" xr:uid="{00000000-0005-0000-0000-000019740000}"/>
    <cellStyle name="Note 3 9 3 6 2" xfId="30364" xr:uid="{00000000-0005-0000-0000-00001A740000}"/>
    <cellStyle name="Note 3 9 3 7" xfId="29384" xr:uid="{00000000-0005-0000-0000-00001B740000}"/>
    <cellStyle name="Note 3 9 3 8" xfId="31344" xr:uid="{00000000-0005-0000-0000-00001C740000}"/>
    <cellStyle name="Note 3 9 4" xfId="27470" xr:uid="{00000000-0005-0000-0000-00001D740000}"/>
    <cellStyle name="Note 3 9 4 2" xfId="27936" xr:uid="{00000000-0005-0000-0000-00001E740000}"/>
    <cellStyle name="Note 3 9 4 2 2" xfId="28923" xr:uid="{00000000-0005-0000-0000-00001F740000}"/>
    <cellStyle name="Note 3 9 4 2 2 2" xfId="30883" xr:uid="{00000000-0005-0000-0000-000020740000}"/>
    <cellStyle name="Note 3 9 4 2 3" xfId="29903" xr:uid="{00000000-0005-0000-0000-000021740000}"/>
    <cellStyle name="Note 3 9 4 3" xfId="28458" xr:uid="{00000000-0005-0000-0000-000022740000}"/>
    <cellStyle name="Note 3 9 4 3 2" xfId="30418" xr:uid="{00000000-0005-0000-0000-000023740000}"/>
    <cellStyle name="Note 3 9 4 4" xfId="29438" xr:uid="{00000000-0005-0000-0000-000024740000}"/>
    <cellStyle name="Note 3 9 5" xfId="27568" xr:uid="{00000000-0005-0000-0000-000025740000}"/>
    <cellStyle name="Note 3 9 5 2" xfId="28034" xr:uid="{00000000-0005-0000-0000-000026740000}"/>
    <cellStyle name="Note 3 9 5 2 2" xfId="29021" xr:uid="{00000000-0005-0000-0000-000027740000}"/>
    <cellStyle name="Note 3 9 5 2 2 2" xfId="30981" xr:uid="{00000000-0005-0000-0000-000028740000}"/>
    <cellStyle name="Note 3 9 5 2 3" xfId="30001" xr:uid="{00000000-0005-0000-0000-000029740000}"/>
    <cellStyle name="Note 3 9 5 3" xfId="27837" xr:uid="{00000000-0005-0000-0000-00002A740000}"/>
    <cellStyle name="Note 3 9 5 3 2" xfId="28824" xr:uid="{00000000-0005-0000-0000-00002B740000}"/>
    <cellStyle name="Note 3 9 5 3 2 2" xfId="30784" xr:uid="{00000000-0005-0000-0000-00002C740000}"/>
    <cellStyle name="Note 3 9 5 3 3" xfId="29804" xr:uid="{00000000-0005-0000-0000-00002D740000}"/>
    <cellStyle name="Note 3 9 5 4" xfId="28556" xr:uid="{00000000-0005-0000-0000-00002E740000}"/>
    <cellStyle name="Note 3 9 5 4 2" xfId="30516" xr:uid="{00000000-0005-0000-0000-00002F740000}"/>
    <cellStyle name="Note 3 9 5 5" xfId="29536" xr:uid="{00000000-0005-0000-0000-000030740000}"/>
    <cellStyle name="Note 3 9 6" xfId="27666" xr:uid="{00000000-0005-0000-0000-000031740000}"/>
    <cellStyle name="Note 3 9 6 2" xfId="28132" xr:uid="{00000000-0005-0000-0000-000032740000}"/>
    <cellStyle name="Note 3 9 6 2 2" xfId="29119" xr:uid="{00000000-0005-0000-0000-000033740000}"/>
    <cellStyle name="Note 3 9 6 2 2 2" xfId="31079" xr:uid="{00000000-0005-0000-0000-000034740000}"/>
    <cellStyle name="Note 3 9 6 2 3" xfId="30099" xr:uid="{00000000-0005-0000-0000-000035740000}"/>
    <cellStyle name="Note 3 9 6 3" xfId="28271" xr:uid="{00000000-0005-0000-0000-000036740000}"/>
    <cellStyle name="Note 3 9 6 3 2" xfId="29258" xr:uid="{00000000-0005-0000-0000-000037740000}"/>
    <cellStyle name="Note 3 9 6 3 2 2" xfId="31218" xr:uid="{00000000-0005-0000-0000-000038740000}"/>
    <cellStyle name="Note 3 9 6 3 3" xfId="30238" xr:uid="{00000000-0005-0000-0000-000039740000}"/>
    <cellStyle name="Note 3 9 6 4" xfId="28654" xr:uid="{00000000-0005-0000-0000-00003A740000}"/>
    <cellStyle name="Note 3 9 6 4 2" xfId="30614" xr:uid="{00000000-0005-0000-0000-00003B740000}"/>
    <cellStyle name="Note 3 9 6 5" xfId="29634" xr:uid="{00000000-0005-0000-0000-00003C740000}"/>
    <cellStyle name="Note 3 9 7" xfId="27806" xr:uid="{00000000-0005-0000-0000-00003D740000}"/>
    <cellStyle name="Note 3 9 7 2" xfId="28794" xr:uid="{00000000-0005-0000-0000-00003E740000}"/>
    <cellStyle name="Note 3 9 7 2 2" xfId="30754" xr:uid="{00000000-0005-0000-0000-00003F740000}"/>
    <cellStyle name="Note 3 9 7 3" xfId="29774" xr:uid="{00000000-0005-0000-0000-000040740000}"/>
    <cellStyle name="Note 3 9 8" xfId="28360" xr:uid="{00000000-0005-0000-0000-000041740000}"/>
    <cellStyle name="Note 3 9 8 2" xfId="30320" xr:uid="{00000000-0005-0000-0000-000042740000}"/>
    <cellStyle name="Note 3 9 9" xfId="29340" xr:uid="{00000000-0005-0000-0000-000043740000}"/>
    <cellStyle name="Note 4" xfId="1634" xr:uid="{00000000-0005-0000-0000-000044740000}"/>
    <cellStyle name="Note 4 2" xfId="27191" xr:uid="{00000000-0005-0000-0000-000045740000}"/>
    <cellStyle name="Note 5" xfId="3209" xr:uid="{00000000-0005-0000-0000-000046740000}"/>
    <cellStyle name="Note 6" xfId="3210" xr:uid="{00000000-0005-0000-0000-000047740000}"/>
    <cellStyle name="Note 7" xfId="3211" xr:uid="{00000000-0005-0000-0000-000048740000}"/>
    <cellStyle name="Note 8" xfId="3212" xr:uid="{00000000-0005-0000-0000-000049740000}"/>
    <cellStyle name="Note 9" xfId="3213" xr:uid="{00000000-0005-0000-0000-00004A740000}"/>
    <cellStyle name="Output" xfId="15" builtinId="21" customBuiltin="1"/>
    <cellStyle name="Output 10" xfId="3214" xr:uid="{00000000-0005-0000-0000-00004C740000}"/>
    <cellStyle name="Output 11" xfId="3215" xr:uid="{00000000-0005-0000-0000-00004D740000}"/>
    <cellStyle name="Output 12" xfId="3216" xr:uid="{00000000-0005-0000-0000-00004E740000}"/>
    <cellStyle name="Output 13" xfId="3217" xr:uid="{00000000-0005-0000-0000-00004F740000}"/>
    <cellStyle name="Output 14" xfId="3218" xr:uid="{00000000-0005-0000-0000-000050740000}"/>
    <cellStyle name="Output 15" xfId="3219" xr:uid="{00000000-0005-0000-0000-000051740000}"/>
    <cellStyle name="Output 16" xfId="3220" xr:uid="{00000000-0005-0000-0000-000052740000}"/>
    <cellStyle name="Output 17" xfId="3221" xr:uid="{00000000-0005-0000-0000-000053740000}"/>
    <cellStyle name="Output 18" xfId="3222" xr:uid="{00000000-0005-0000-0000-000054740000}"/>
    <cellStyle name="Output 19" xfId="3223" xr:uid="{00000000-0005-0000-0000-000055740000}"/>
    <cellStyle name="Output 2" xfId="1635" xr:uid="{00000000-0005-0000-0000-000056740000}"/>
    <cellStyle name="Output 2 10" xfId="3224" xr:uid="{00000000-0005-0000-0000-000057740000}"/>
    <cellStyle name="Output 2 11" xfId="3225" xr:uid="{00000000-0005-0000-0000-000058740000}"/>
    <cellStyle name="Output 2 12" xfId="3226" xr:uid="{00000000-0005-0000-0000-000059740000}"/>
    <cellStyle name="Output 2 13" xfId="3227" xr:uid="{00000000-0005-0000-0000-00005A740000}"/>
    <cellStyle name="Output 2 14" xfId="3228" xr:uid="{00000000-0005-0000-0000-00005B740000}"/>
    <cellStyle name="Output 2 15" xfId="3229" xr:uid="{00000000-0005-0000-0000-00005C740000}"/>
    <cellStyle name="Output 2 16" xfId="14965" xr:uid="{00000000-0005-0000-0000-00005D740000}"/>
    <cellStyle name="Output 2 16 10" xfId="31275" xr:uid="{00000000-0005-0000-0000-00005E740000}"/>
    <cellStyle name="Output 2 16 2" xfId="15005" xr:uid="{00000000-0005-0000-0000-00005F740000}"/>
    <cellStyle name="Output 2 16 2 2" xfId="27390" xr:uid="{00000000-0005-0000-0000-000060740000}"/>
    <cellStyle name="Output 2 16 2 2 2" xfId="27501" xr:uid="{00000000-0005-0000-0000-000061740000}"/>
    <cellStyle name="Output 2 16 2 2 2 2" xfId="27967" xr:uid="{00000000-0005-0000-0000-000062740000}"/>
    <cellStyle name="Output 2 16 2 2 2 2 2" xfId="28954" xr:uid="{00000000-0005-0000-0000-000063740000}"/>
    <cellStyle name="Output 2 16 2 2 2 2 2 2" xfId="30914" xr:uid="{00000000-0005-0000-0000-000064740000}"/>
    <cellStyle name="Output 2 16 2 2 2 2 3" xfId="29934" xr:uid="{00000000-0005-0000-0000-000065740000}"/>
    <cellStyle name="Output 2 16 2 2 2 3" xfId="28489" xr:uid="{00000000-0005-0000-0000-000066740000}"/>
    <cellStyle name="Output 2 16 2 2 2 3 2" xfId="30449" xr:uid="{00000000-0005-0000-0000-000067740000}"/>
    <cellStyle name="Output 2 16 2 2 2 4" xfId="29469" xr:uid="{00000000-0005-0000-0000-000068740000}"/>
    <cellStyle name="Output 2 16 2 2 3" xfId="27599" xr:uid="{00000000-0005-0000-0000-000069740000}"/>
    <cellStyle name="Output 2 16 2 2 3 2" xfId="28065" xr:uid="{00000000-0005-0000-0000-00006A740000}"/>
    <cellStyle name="Output 2 16 2 2 3 2 2" xfId="29052" xr:uid="{00000000-0005-0000-0000-00006B740000}"/>
    <cellStyle name="Output 2 16 2 2 3 2 2 2" xfId="31012" xr:uid="{00000000-0005-0000-0000-00006C740000}"/>
    <cellStyle name="Output 2 16 2 2 3 2 3" xfId="30032" xr:uid="{00000000-0005-0000-0000-00006D740000}"/>
    <cellStyle name="Output 2 16 2 2 3 3" xfId="28210" xr:uid="{00000000-0005-0000-0000-00006E740000}"/>
    <cellStyle name="Output 2 16 2 2 3 3 2" xfId="29197" xr:uid="{00000000-0005-0000-0000-00006F740000}"/>
    <cellStyle name="Output 2 16 2 2 3 3 2 2" xfId="31157" xr:uid="{00000000-0005-0000-0000-000070740000}"/>
    <cellStyle name="Output 2 16 2 2 3 3 3" xfId="30177" xr:uid="{00000000-0005-0000-0000-000071740000}"/>
    <cellStyle name="Output 2 16 2 2 3 4" xfId="28587" xr:uid="{00000000-0005-0000-0000-000072740000}"/>
    <cellStyle name="Output 2 16 2 2 3 4 2" xfId="30547" xr:uid="{00000000-0005-0000-0000-000073740000}"/>
    <cellStyle name="Output 2 16 2 2 3 5" xfId="29567" xr:uid="{00000000-0005-0000-0000-000074740000}"/>
    <cellStyle name="Output 2 16 2 2 4" xfId="27697" xr:uid="{00000000-0005-0000-0000-000075740000}"/>
    <cellStyle name="Output 2 16 2 2 4 2" xfId="28163" xr:uid="{00000000-0005-0000-0000-000076740000}"/>
    <cellStyle name="Output 2 16 2 2 4 2 2" xfId="29150" xr:uid="{00000000-0005-0000-0000-000077740000}"/>
    <cellStyle name="Output 2 16 2 2 4 2 2 2" xfId="31110" xr:uid="{00000000-0005-0000-0000-000078740000}"/>
    <cellStyle name="Output 2 16 2 2 4 2 3" xfId="30130" xr:uid="{00000000-0005-0000-0000-000079740000}"/>
    <cellStyle name="Output 2 16 2 2 4 3" xfId="28246" xr:uid="{00000000-0005-0000-0000-00007A740000}"/>
    <cellStyle name="Output 2 16 2 2 4 3 2" xfId="29233" xr:uid="{00000000-0005-0000-0000-00007B740000}"/>
    <cellStyle name="Output 2 16 2 2 4 3 2 2" xfId="31193" xr:uid="{00000000-0005-0000-0000-00007C740000}"/>
    <cellStyle name="Output 2 16 2 2 4 3 3" xfId="30213" xr:uid="{00000000-0005-0000-0000-00007D740000}"/>
    <cellStyle name="Output 2 16 2 2 4 4" xfId="28685" xr:uid="{00000000-0005-0000-0000-00007E740000}"/>
    <cellStyle name="Output 2 16 2 2 4 4 2" xfId="30645" xr:uid="{00000000-0005-0000-0000-00007F740000}"/>
    <cellStyle name="Output 2 16 2 2 4 5" xfId="29665" xr:uid="{00000000-0005-0000-0000-000080740000}"/>
    <cellStyle name="Output 2 16 2 2 5" xfId="27869" xr:uid="{00000000-0005-0000-0000-000081740000}"/>
    <cellStyle name="Output 2 16 2 2 5 2" xfId="28856" xr:uid="{00000000-0005-0000-0000-000082740000}"/>
    <cellStyle name="Output 2 16 2 2 5 2 2" xfId="30816" xr:uid="{00000000-0005-0000-0000-000083740000}"/>
    <cellStyle name="Output 2 16 2 2 5 3" xfId="29836" xr:uid="{00000000-0005-0000-0000-000084740000}"/>
    <cellStyle name="Output 2 16 2 2 6" xfId="28391" xr:uid="{00000000-0005-0000-0000-000085740000}"/>
    <cellStyle name="Output 2 16 2 2 6 2" xfId="30351" xr:uid="{00000000-0005-0000-0000-000086740000}"/>
    <cellStyle name="Output 2 16 2 2 7" xfId="29371" xr:uid="{00000000-0005-0000-0000-000087740000}"/>
    <cellStyle name="Output 2 16 2 2 8" xfId="31331" xr:uid="{00000000-0005-0000-0000-000088740000}"/>
    <cellStyle name="Output 2 16 2 3" xfId="27457" xr:uid="{00000000-0005-0000-0000-000089740000}"/>
    <cellStyle name="Output 2 16 2 3 2" xfId="27923" xr:uid="{00000000-0005-0000-0000-00008A740000}"/>
    <cellStyle name="Output 2 16 2 3 2 2" xfId="28910" xr:uid="{00000000-0005-0000-0000-00008B740000}"/>
    <cellStyle name="Output 2 16 2 3 2 2 2" xfId="30870" xr:uid="{00000000-0005-0000-0000-00008C740000}"/>
    <cellStyle name="Output 2 16 2 3 2 3" xfId="29890" xr:uid="{00000000-0005-0000-0000-00008D740000}"/>
    <cellStyle name="Output 2 16 2 3 3" xfId="28445" xr:uid="{00000000-0005-0000-0000-00008E740000}"/>
    <cellStyle name="Output 2 16 2 3 3 2" xfId="30405" xr:uid="{00000000-0005-0000-0000-00008F740000}"/>
    <cellStyle name="Output 2 16 2 3 4" xfId="29425" xr:uid="{00000000-0005-0000-0000-000090740000}"/>
    <cellStyle name="Output 2 16 2 4" xfId="27555" xr:uid="{00000000-0005-0000-0000-000091740000}"/>
    <cellStyle name="Output 2 16 2 4 2" xfId="28021" xr:uid="{00000000-0005-0000-0000-000092740000}"/>
    <cellStyle name="Output 2 16 2 4 2 2" xfId="29008" xr:uid="{00000000-0005-0000-0000-000093740000}"/>
    <cellStyle name="Output 2 16 2 4 2 2 2" xfId="30968" xr:uid="{00000000-0005-0000-0000-000094740000}"/>
    <cellStyle name="Output 2 16 2 4 2 3" xfId="29988" xr:uid="{00000000-0005-0000-0000-000095740000}"/>
    <cellStyle name="Output 2 16 2 4 3" xfId="28194" xr:uid="{00000000-0005-0000-0000-000096740000}"/>
    <cellStyle name="Output 2 16 2 4 3 2" xfId="29181" xr:uid="{00000000-0005-0000-0000-000097740000}"/>
    <cellStyle name="Output 2 16 2 4 3 2 2" xfId="31141" xr:uid="{00000000-0005-0000-0000-000098740000}"/>
    <cellStyle name="Output 2 16 2 4 3 3" xfId="30161" xr:uid="{00000000-0005-0000-0000-000099740000}"/>
    <cellStyle name="Output 2 16 2 4 4" xfId="28543" xr:uid="{00000000-0005-0000-0000-00009A740000}"/>
    <cellStyle name="Output 2 16 2 4 4 2" xfId="30503" xr:uid="{00000000-0005-0000-0000-00009B740000}"/>
    <cellStyle name="Output 2 16 2 4 5" xfId="29523" xr:uid="{00000000-0005-0000-0000-00009C740000}"/>
    <cellStyle name="Output 2 16 2 5" xfId="27653" xr:uid="{00000000-0005-0000-0000-00009D740000}"/>
    <cellStyle name="Output 2 16 2 5 2" xfId="28119" xr:uid="{00000000-0005-0000-0000-00009E740000}"/>
    <cellStyle name="Output 2 16 2 5 2 2" xfId="29106" xr:uid="{00000000-0005-0000-0000-00009F740000}"/>
    <cellStyle name="Output 2 16 2 5 2 2 2" xfId="31066" xr:uid="{00000000-0005-0000-0000-0000A0740000}"/>
    <cellStyle name="Output 2 16 2 5 2 3" xfId="30086" xr:uid="{00000000-0005-0000-0000-0000A1740000}"/>
    <cellStyle name="Output 2 16 2 5 3" xfId="28230" xr:uid="{00000000-0005-0000-0000-0000A2740000}"/>
    <cellStyle name="Output 2 16 2 5 3 2" xfId="29217" xr:uid="{00000000-0005-0000-0000-0000A3740000}"/>
    <cellStyle name="Output 2 16 2 5 3 2 2" xfId="31177" xr:uid="{00000000-0005-0000-0000-0000A4740000}"/>
    <cellStyle name="Output 2 16 2 5 3 3" xfId="30197" xr:uid="{00000000-0005-0000-0000-0000A5740000}"/>
    <cellStyle name="Output 2 16 2 5 4" xfId="28641" xr:uid="{00000000-0005-0000-0000-0000A6740000}"/>
    <cellStyle name="Output 2 16 2 5 4 2" xfId="30601" xr:uid="{00000000-0005-0000-0000-0000A7740000}"/>
    <cellStyle name="Output 2 16 2 5 5" xfId="29621" xr:uid="{00000000-0005-0000-0000-0000A8740000}"/>
    <cellStyle name="Output 2 16 2 6" xfId="27793" xr:uid="{00000000-0005-0000-0000-0000A9740000}"/>
    <cellStyle name="Output 2 16 2 6 2" xfId="28781" xr:uid="{00000000-0005-0000-0000-0000AA740000}"/>
    <cellStyle name="Output 2 16 2 6 2 2" xfId="30741" xr:uid="{00000000-0005-0000-0000-0000AB740000}"/>
    <cellStyle name="Output 2 16 2 6 3" xfId="29761" xr:uid="{00000000-0005-0000-0000-0000AC740000}"/>
    <cellStyle name="Output 2 16 2 7" xfId="28347" xr:uid="{00000000-0005-0000-0000-0000AD740000}"/>
    <cellStyle name="Output 2 16 2 7 2" xfId="30307" xr:uid="{00000000-0005-0000-0000-0000AE740000}"/>
    <cellStyle name="Output 2 16 2 8" xfId="29327" xr:uid="{00000000-0005-0000-0000-0000AF740000}"/>
    <cellStyle name="Output 2 16 2 9" xfId="31287" xr:uid="{00000000-0005-0000-0000-0000B0740000}"/>
    <cellStyle name="Output 2 16 3" xfId="27378" xr:uid="{00000000-0005-0000-0000-0000B1740000}"/>
    <cellStyle name="Output 2 16 3 2" xfId="27489" xr:uid="{00000000-0005-0000-0000-0000B2740000}"/>
    <cellStyle name="Output 2 16 3 2 2" xfId="27955" xr:uid="{00000000-0005-0000-0000-0000B3740000}"/>
    <cellStyle name="Output 2 16 3 2 2 2" xfId="28942" xr:uid="{00000000-0005-0000-0000-0000B4740000}"/>
    <cellStyle name="Output 2 16 3 2 2 2 2" xfId="30902" xr:uid="{00000000-0005-0000-0000-0000B5740000}"/>
    <cellStyle name="Output 2 16 3 2 2 3" xfId="29922" xr:uid="{00000000-0005-0000-0000-0000B6740000}"/>
    <cellStyle name="Output 2 16 3 2 3" xfId="28477" xr:uid="{00000000-0005-0000-0000-0000B7740000}"/>
    <cellStyle name="Output 2 16 3 2 3 2" xfId="30437" xr:uid="{00000000-0005-0000-0000-0000B8740000}"/>
    <cellStyle name="Output 2 16 3 2 4" xfId="29457" xr:uid="{00000000-0005-0000-0000-0000B9740000}"/>
    <cellStyle name="Output 2 16 3 3" xfId="27587" xr:uid="{00000000-0005-0000-0000-0000BA740000}"/>
    <cellStyle name="Output 2 16 3 3 2" xfId="28053" xr:uid="{00000000-0005-0000-0000-0000BB740000}"/>
    <cellStyle name="Output 2 16 3 3 2 2" xfId="29040" xr:uid="{00000000-0005-0000-0000-0000BC740000}"/>
    <cellStyle name="Output 2 16 3 3 2 2 2" xfId="31000" xr:uid="{00000000-0005-0000-0000-0000BD740000}"/>
    <cellStyle name="Output 2 16 3 3 2 3" xfId="30020" xr:uid="{00000000-0005-0000-0000-0000BE740000}"/>
    <cellStyle name="Output 2 16 3 3 3" xfId="28203" xr:uid="{00000000-0005-0000-0000-0000BF740000}"/>
    <cellStyle name="Output 2 16 3 3 3 2" xfId="29190" xr:uid="{00000000-0005-0000-0000-0000C0740000}"/>
    <cellStyle name="Output 2 16 3 3 3 2 2" xfId="31150" xr:uid="{00000000-0005-0000-0000-0000C1740000}"/>
    <cellStyle name="Output 2 16 3 3 3 3" xfId="30170" xr:uid="{00000000-0005-0000-0000-0000C2740000}"/>
    <cellStyle name="Output 2 16 3 3 4" xfId="28575" xr:uid="{00000000-0005-0000-0000-0000C3740000}"/>
    <cellStyle name="Output 2 16 3 3 4 2" xfId="30535" xr:uid="{00000000-0005-0000-0000-0000C4740000}"/>
    <cellStyle name="Output 2 16 3 3 5" xfId="29555" xr:uid="{00000000-0005-0000-0000-0000C5740000}"/>
    <cellStyle name="Output 2 16 3 4" xfId="27685" xr:uid="{00000000-0005-0000-0000-0000C6740000}"/>
    <cellStyle name="Output 2 16 3 4 2" xfId="28151" xr:uid="{00000000-0005-0000-0000-0000C7740000}"/>
    <cellStyle name="Output 2 16 3 4 2 2" xfId="29138" xr:uid="{00000000-0005-0000-0000-0000C8740000}"/>
    <cellStyle name="Output 2 16 3 4 2 2 2" xfId="31098" xr:uid="{00000000-0005-0000-0000-0000C9740000}"/>
    <cellStyle name="Output 2 16 3 4 2 3" xfId="30118" xr:uid="{00000000-0005-0000-0000-0000CA740000}"/>
    <cellStyle name="Output 2 16 3 4 3" xfId="28239" xr:uid="{00000000-0005-0000-0000-0000CB740000}"/>
    <cellStyle name="Output 2 16 3 4 3 2" xfId="29226" xr:uid="{00000000-0005-0000-0000-0000CC740000}"/>
    <cellStyle name="Output 2 16 3 4 3 2 2" xfId="31186" xr:uid="{00000000-0005-0000-0000-0000CD740000}"/>
    <cellStyle name="Output 2 16 3 4 3 3" xfId="30206" xr:uid="{00000000-0005-0000-0000-0000CE740000}"/>
    <cellStyle name="Output 2 16 3 4 4" xfId="28673" xr:uid="{00000000-0005-0000-0000-0000CF740000}"/>
    <cellStyle name="Output 2 16 3 4 4 2" xfId="30633" xr:uid="{00000000-0005-0000-0000-0000D0740000}"/>
    <cellStyle name="Output 2 16 3 4 5" xfId="29653" xr:uid="{00000000-0005-0000-0000-0000D1740000}"/>
    <cellStyle name="Output 2 16 3 5" xfId="27857" xr:uid="{00000000-0005-0000-0000-0000D2740000}"/>
    <cellStyle name="Output 2 16 3 5 2" xfId="28844" xr:uid="{00000000-0005-0000-0000-0000D3740000}"/>
    <cellStyle name="Output 2 16 3 5 2 2" xfId="30804" xr:uid="{00000000-0005-0000-0000-0000D4740000}"/>
    <cellStyle name="Output 2 16 3 5 3" xfId="29824" xr:uid="{00000000-0005-0000-0000-0000D5740000}"/>
    <cellStyle name="Output 2 16 3 6" xfId="28379" xr:uid="{00000000-0005-0000-0000-0000D6740000}"/>
    <cellStyle name="Output 2 16 3 6 2" xfId="30339" xr:uid="{00000000-0005-0000-0000-0000D7740000}"/>
    <cellStyle name="Output 2 16 3 7" xfId="29359" xr:uid="{00000000-0005-0000-0000-0000D8740000}"/>
    <cellStyle name="Output 2 16 3 8" xfId="31319" xr:uid="{00000000-0005-0000-0000-0000D9740000}"/>
    <cellStyle name="Output 2 16 4" xfId="27445" xr:uid="{00000000-0005-0000-0000-0000DA740000}"/>
    <cellStyle name="Output 2 16 4 2" xfId="27911" xr:uid="{00000000-0005-0000-0000-0000DB740000}"/>
    <cellStyle name="Output 2 16 4 2 2" xfId="28898" xr:uid="{00000000-0005-0000-0000-0000DC740000}"/>
    <cellStyle name="Output 2 16 4 2 2 2" xfId="30858" xr:uid="{00000000-0005-0000-0000-0000DD740000}"/>
    <cellStyle name="Output 2 16 4 2 3" xfId="29878" xr:uid="{00000000-0005-0000-0000-0000DE740000}"/>
    <cellStyle name="Output 2 16 4 3" xfId="28433" xr:uid="{00000000-0005-0000-0000-0000DF740000}"/>
    <cellStyle name="Output 2 16 4 3 2" xfId="30393" xr:uid="{00000000-0005-0000-0000-0000E0740000}"/>
    <cellStyle name="Output 2 16 4 4" xfId="29413" xr:uid="{00000000-0005-0000-0000-0000E1740000}"/>
    <cellStyle name="Output 2 16 5" xfId="27543" xr:uid="{00000000-0005-0000-0000-0000E2740000}"/>
    <cellStyle name="Output 2 16 5 2" xfId="28009" xr:uid="{00000000-0005-0000-0000-0000E3740000}"/>
    <cellStyle name="Output 2 16 5 2 2" xfId="28996" xr:uid="{00000000-0005-0000-0000-0000E4740000}"/>
    <cellStyle name="Output 2 16 5 2 2 2" xfId="30956" xr:uid="{00000000-0005-0000-0000-0000E5740000}"/>
    <cellStyle name="Output 2 16 5 2 3" xfId="29976" xr:uid="{00000000-0005-0000-0000-0000E6740000}"/>
    <cellStyle name="Output 2 16 5 3" xfId="28187" xr:uid="{00000000-0005-0000-0000-0000E7740000}"/>
    <cellStyle name="Output 2 16 5 3 2" xfId="29174" xr:uid="{00000000-0005-0000-0000-0000E8740000}"/>
    <cellStyle name="Output 2 16 5 3 2 2" xfId="31134" xr:uid="{00000000-0005-0000-0000-0000E9740000}"/>
    <cellStyle name="Output 2 16 5 3 3" xfId="30154" xr:uid="{00000000-0005-0000-0000-0000EA740000}"/>
    <cellStyle name="Output 2 16 5 4" xfId="28531" xr:uid="{00000000-0005-0000-0000-0000EB740000}"/>
    <cellStyle name="Output 2 16 5 4 2" xfId="30491" xr:uid="{00000000-0005-0000-0000-0000EC740000}"/>
    <cellStyle name="Output 2 16 5 5" xfId="29511" xr:uid="{00000000-0005-0000-0000-0000ED740000}"/>
    <cellStyle name="Output 2 16 6" xfId="27641" xr:uid="{00000000-0005-0000-0000-0000EE740000}"/>
    <cellStyle name="Output 2 16 6 2" xfId="28107" xr:uid="{00000000-0005-0000-0000-0000EF740000}"/>
    <cellStyle name="Output 2 16 6 2 2" xfId="29094" xr:uid="{00000000-0005-0000-0000-0000F0740000}"/>
    <cellStyle name="Output 2 16 6 2 2 2" xfId="31054" xr:uid="{00000000-0005-0000-0000-0000F1740000}"/>
    <cellStyle name="Output 2 16 6 2 3" xfId="30074" xr:uid="{00000000-0005-0000-0000-0000F2740000}"/>
    <cellStyle name="Output 2 16 6 3" xfId="28223" xr:uid="{00000000-0005-0000-0000-0000F3740000}"/>
    <cellStyle name="Output 2 16 6 3 2" xfId="29210" xr:uid="{00000000-0005-0000-0000-0000F4740000}"/>
    <cellStyle name="Output 2 16 6 3 2 2" xfId="31170" xr:uid="{00000000-0005-0000-0000-0000F5740000}"/>
    <cellStyle name="Output 2 16 6 3 3" xfId="30190" xr:uid="{00000000-0005-0000-0000-0000F6740000}"/>
    <cellStyle name="Output 2 16 6 4" xfId="28629" xr:uid="{00000000-0005-0000-0000-0000F7740000}"/>
    <cellStyle name="Output 2 16 6 4 2" xfId="30589" xr:uid="{00000000-0005-0000-0000-0000F8740000}"/>
    <cellStyle name="Output 2 16 6 5" xfId="29609" xr:uid="{00000000-0005-0000-0000-0000F9740000}"/>
    <cellStyle name="Output 2 16 7" xfId="27781" xr:uid="{00000000-0005-0000-0000-0000FA740000}"/>
    <cellStyle name="Output 2 16 7 2" xfId="28769" xr:uid="{00000000-0005-0000-0000-0000FB740000}"/>
    <cellStyle name="Output 2 16 7 2 2" xfId="30729" xr:uid="{00000000-0005-0000-0000-0000FC740000}"/>
    <cellStyle name="Output 2 16 7 3" xfId="29749" xr:uid="{00000000-0005-0000-0000-0000FD740000}"/>
    <cellStyle name="Output 2 16 8" xfId="28335" xr:uid="{00000000-0005-0000-0000-0000FE740000}"/>
    <cellStyle name="Output 2 16 8 2" xfId="30295" xr:uid="{00000000-0005-0000-0000-0000FF740000}"/>
    <cellStyle name="Output 2 16 9" xfId="29315" xr:uid="{00000000-0005-0000-0000-000000750000}"/>
    <cellStyle name="Output 2 17" xfId="14948" xr:uid="{00000000-0005-0000-0000-000001750000}"/>
    <cellStyle name="Output 2 17 2" xfId="27368" xr:uid="{00000000-0005-0000-0000-000002750000}"/>
    <cellStyle name="Output 2 17 2 2" xfId="27479" xr:uid="{00000000-0005-0000-0000-000003750000}"/>
    <cellStyle name="Output 2 17 2 2 2" xfId="27945" xr:uid="{00000000-0005-0000-0000-000004750000}"/>
    <cellStyle name="Output 2 17 2 2 2 2" xfId="28932" xr:uid="{00000000-0005-0000-0000-000005750000}"/>
    <cellStyle name="Output 2 17 2 2 2 2 2" xfId="30892" xr:uid="{00000000-0005-0000-0000-000006750000}"/>
    <cellStyle name="Output 2 17 2 2 2 3" xfId="29912" xr:uid="{00000000-0005-0000-0000-000007750000}"/>
    <cellStyle name="Output 2 17 2 2 3" xfId="28467" xr:uid="{00000000-0005-0000-0000-000008750000}"/>
    <cellStyle name="Output 2 17 2 2 3 2" xfId="30427" xr:uid="{00000000-0005-0000-0000-000009750000}"/>
    <cellStyle name="Output 2 17 2 2 4" xfId="29447" xr:uid="{00000000-0005-0000-0000-00000A750000}"/>
    <cellStyle name="Output 2 17 2 3" xfId="27577" xr:uid="{00000000-0005-0000-0000-00000B750000}"/>
    <cellStyle name="Output 2 17 2 3 2" xfId="28043" xr:uid="{00000000-0005-0000-0000-00000C750000}"/>
    <cellStyle name="Output 2 17 2 3 2 2" xfId="29030" xr:uid="{00000000-0005-0000-0000-00000D750000}"/>
    <cellStyle name="Output 2 17 2 3 2 2 2" xfId="30990" xr:uid="{00000000-0005-0000-0000-00000E750000}"/>
    <cellStyle name="Output 2 17 2 3 2 3" xfId="30010" xr:uid="{00000000-0005-0000-0000-00000F750000}"/>
    <cellStyle name="Output 2 17 2 3 3" xfId="28199" xr:uid="{00000000-0005-0000-0000-000010750000}"/>
    <cellStyle name="Output 2 17 2 3 3 2" xfId="29186" xr:uid="{00000000-0005-0000-0000-000011750000}"/>
    <cellStyle name="Output 2 17 2 3 3 2 2" xfId="31146" xr:uid="{00000000-0005-0000-0000-000012750000}"/>
    <cellStyle name="Output 2 17 2 3 3 3" xfId="30166" xr:uid="{00000000-0005-0000-0000-000013750000}"/>
    <cellStyle name="Output 2 17 2 3 4" xfId="28565" xr:uid="{00000000-0005-0000-0000-000014750000}"/>
    <cellStyle name="Output 2 17 2 3 4 2" xfId="30525" xr:uid="{00000000-0005-0000-0000-000015750000}"/>
    <cellStyle name="Output 2 17 2 3 5" xfId="29545" xr:uid="{00000000-0005-0000-0000-000016750000}"/>
    <cellStyle name="Output 2 17 2 4" xfId="27675" xr:uid="{00000000-0005-0000-0000-000017750000}"/>
    <cellStyle name="Output 2 17 2 4 2" xfId="28141" xr:uid="{00000000-0005-0000-0000-000018750000}"/>
    <cellStyle name="Output 2 17 2 4 2 2" xfId="29128" xr:uid="{00000000-0005-0000-0000-000019750000}"/>
    <cellStyle name="Output 2 17 2 4 2 2 2" xfId="31088" xr:uid="{00000000-0005-0000-0000-00001A750000}"/>
    <cellStyle name="Output 2 17 2 4 2 3" xfId="30108" xr:uid="{00000000-0005-0000-0000-00001B750000}"/>
    <cellStyle name="Output 2 17 2 4 3" xfId="28235" xr:uid="{00000000-0005-0000-0000-00001C750000}"/>
    <cellStyle name="Output 2 17 2 4 3 2" xfId="29222" xr:uid="{00000000-0005-0000-0000-00001D750000}"/>
    <cellStyle name="Output 2 17 2 4 3 2 2" xfId="31182" xr:uid="{00000000-0005-0000-0000-00001E750000}"/>
    <cellStyle name="Output 2 17 2 4 3 3" xfId="30202" xr:uid="{00000000-0005-0000-0000-00001F750000}"/>
    <cellStyle name="Output 2 17 2 4 4" xfId="28663" xr:uid="{00000000-0005-0000-0000-000020750000}"/>
    <cellStyle name="Output 2 17 2 4 4 2" xfId="30623" xr:uid="{00000000-0005-0000-0000-000021750000}"/>
    <cellStyle name="Output 2 17 2 4 5" xfId="29643" xr:uid="{00000000-0005-0000-0000-000022750000}"/>
    <cellStyle name="Output 2 17 2 5" xfId="27847" xr:uid="{00000000-0005-0000-0000-000023750000}"/>
    <cellStyle name="Output 2 17 2 5 2" xfId="28834" xr:uid="{00000000-0005-0000-0000-000024750000}"/>
    <cellStyle name="Output 2 17 2 5 2 2" xfId="30794" xr:uid="{00000000-0005-0000-0000-000025750000}"/>
    <cellStyle name="Output 2 17 2 5 3" xfId="29814" xr:uid="{00000000-0005-0000-0000-000026750000}"/>
    <cellStyle name="Output 2 17 2 6" xfId="28369" xr:uid="{00000000-0005-0000-0000-000027750000}"/>
    <cellStyle name="Output 2 17 2 6 2" xfId="30329" xr:uid="{00000000-0005-0000-0000-000028750000}"/>
    <cellStyle name="Output 2 17 2 7" xfId="29349" xr:uid="{00000000-0005-0000-0000-000029750000}"/>
    <cellStyle name="Output 2 17 2 8" xfId="31309" xr:uid="{00000000-0005-0000-0000-00002A750000}"/>
    <cellStyle name="Output 2 17 3" xfId="27435" xr:uid="{00000000-0005-0000-0000-00002B750000}"/>
    <cellStyle name="Output 2 17 3 2" xfId="27901" xr:uid="{00000000-0005-0000-0000-00002C750000}"/>
    <cellStyle name="Output 2 17 3 2 2" xfId="28888" xr:uid="{00000000-0005-0000-0000-00002D750000}"/>
    <cellStyle name="Output 2 17 3 2 2 2" xfId="30848" xr:uid="{00000000-0005-0000-0000-00002E750000}"/>
    <cellStyle name="Output 2 17 3 2 3" xfId="29868" xr:uid="{00000000-0005-0000-0000-00002F750000}"/>
    <cellStyle name="Output 2 17 3 3" xfId="28423" xr:uid="{00000000-0005-0000-0000-000030750000}"/>
    <cellStyle name="Output 2 17 3 3 2" xfId="30383" xr:uid="{00000000-0005-0000-0000-000031750000}"/>
    <cellStyle name="Output 2 17 3 4" xfId="29403" xr:uid="{00000000-0005-0000-0000-000032750000}"/>
    <cellStyle name="Output 2 17 4" xfId="27533" xr:uid="{00000000-0005-0000-0000-000033750000}"/>
    <cellStyle name="Output 2 17 4 2" xfId="27999" xr:uid="{00000000-0005-0000-0000-000034750000}"/>
    <cellStyle name="Output 2 17 4 2 2" xfId="28986" xr:uid="{00000000-0005-0000-0000-000035750000}"/>
    <cellStyle name="Output 2 17 4 2 2 2" xfId="30946" xr:uid="{00000000-0005-0000-0000-000036750000}"/>
    <cellStyle name="Output 2 17 4 2 3" xfId="29966" xr:uid="{00000000-0005-0000-0000-000037750000}"/>
    <cellStyle name="Output 2 17 4 3" xfId="28183" xr:uid="{00000000-0005-0000-0000-000038750000}"/>
    <cellStyle name="Output 2 17 4 3 2" xfId="29170" xr:uid="{00000000-0005-0000-0000-000039750000}"/>
    <cellStyle name="Output 2 17 4 3 2 2" xfId="31130" xr:uid="{00000000-0005-0000-0000-00003A750000}"/>
    <cellStyle name="Output 2 17 4 3 3" xfId="30150" xr:uid="{00000000-0005-0000-0000-00003B750000}"/>
    <cellStyle name="Output 2 17 4 4" xfId="28521" xr:uid="{00000000-0005-0000-0000-00003C750000}"/>
    <cellStyle name="Output 2 17 4 4 2" xfId="30481" xr:uid="{00000000-0005-0000-0000-00003D750000}"/>
    <cellStyle name="Output 2 17 4 5" xfId="29501" xr:uid="{00000000-0005-0000-0000-00003E750000}"/>
    <cellStyle name="Output 2 17 5" xfId="27631" xr:uid="{00000000-0005-0000-0000-00003F750000}"/>
    <cellStyle name="Output 2 17 5 2" xfId="28097" xr:uid="{00000000-0005-0000-0000-000040750000}"/>
    <cellStyle name="Output 2 17 5 2 2" xfId="29084" xr:uid="{00000000-0005-0000-0000-000041750000}"/>
    <cellStyle name="Output 2 17 5 2 2 2" xfId="31044" xr:uid="{00000000-0005-0000-0000-000042750000}"/>
    <cellStyle name="Output 2 17 5 2 3" xfId="30064" xr:uid="{00000000-0005-0000-0000-000043750000}"/>
    <cellStyle name="Output 2 17 5 3" xfId="28219" xr:uid="{00000000-0005-0000-0000-000044750000}"/>
    <cellStyle name="Output 2 17 5 3 2" xfId="29206" xr:uid="{00000000-0005-0000-0000-000045750000}"/>
    <cellStyle name="Output 2 17 5 3 2 2" xfId="31166" xr:uid="{00000000-0005-0000-0000-000046750000}"/>
    <cellStyle name="Output 2 17 5 3 3" xfId="30186" xr:uid="{00000000-0005-0000-0000-000047750000}"/>
    <cellStyle name="Output 2 17 5 4" xfId="28619" xr:uid="{00000000-0005-0000-0000-000048750000}"/>
    <cellStyle name="Output 2 17 5 4 2" xfId="30579" xr:uid="{00000000-0005-0000-0000-000049750000}"/>
    <cellStyle name="Output 2 17 5 5" xfId="29599" xr:uid="{00000000-0005-0000-0000-00004A750000}"/>
    <cellStyle name="Output 2 17 6" xfId="27771" xr:uid="{00000000-0005-0000-0000-00004B750000}"/>
    <cellStyle name="Output 2 17 6 2" xfId="28759" xr:uid="{00000000-0005-0000-0000-00004C750000}"/>
    <cellStyle name="Output 2 17 6 2 2" xfId="30719" xr:uid="{00000000-0005-0000-0000-00004D750000}"/>
    <cellStyle name="Output 2 17 6 3" xfId="29739" xr:uid="{00000000-0005-0000-0000-00004E750000}"/>
    <cellStyle name="Output 2 17 7" xfId="28325" xr:uid="{00000000-0005-0000-0000-00004F750000}"/>
    <cellStyle name="Output 2 17 7 2" xfId="30285" xr:uid="{00000000-0005-0000-0000-000050750000}"/>
    <cellStyle name="Output 2 17 8" xfId="29305" xr:uid="{00000000-0005-0000-0000-000051750000}"/>
    <cellStyle name="Output 2 17 9" xfId="31265" xr:uid="{00000000-0005-0000-0000-000052750000}"/>
    <cellStyle name="Output 2 18" xfId="15015" xr:uid="{00000000-0005-0000-0000-000053750000}"/>
    <cellStyle name="Output 2 18 2" xfId="27400" xr:uid="{00000000-0005-0000-0000-000054750000}"/>
    <cellStyle name="Output 2 18 2 2" xfId="27511" xr:uid="{00000000-0005-0000-0000-000055750000}"/>
    <cellStyle name="Output 2 18 2 2 2" xfId="27977" xr:uid="{00000000-0005-0000-0000-000056750000}"/>
    <cellStyle name="Output 2 18 2 2 2 2" xfId="28964" xr:uid="{00000000-0005-0000-0000-000057750000}"/>
    <cellStyle name="Output 2 18 2 2 2 2 2" xfId="30924" xr:uid="{00000000-0005-0000-0000-000058750000}"/>
    <cellStyle name="Output 2 18 2 2 2 3" xfId="29944" xr:uid="{00000000-0005-0000-0000-000059750000}"/>
    <cellStyle name="Output 2 18 2 2 3" xfId="28499" xr:uid="{00000000-0005-0000-0000-00005A750000}"/>
    <cellStyle name="Output 2 18 2 2 3 2" xfId="30459" xr:uid="{00000000-0005-0000-0000-00005B750000}"/>
    <cellStyle name="Output 2 18 2 2 4" xfId="29479" xr:uid="{00000000-0005-0000-0000-00005C750000}"/>
    <cellStyle name="Output 2 18 2 3" xfId="27609" xr:uid="{00000000-0005-0000-0000-00005D750000}"/>
    <cellStyle name="Output 2 18 2 3 2" xfId="28075" xr:uid="{00000000-0005-0000-0000-00005E750000}"/>
    <cellStyle name="Output 2 18 2 3 2 2" xfId="29062" xr:uid="{00000000-0005-0000-0000-00005F750000}"/>
    <cellStyle name="Output 2 18 2 3 2 2 2" xfId="31022" xr:uid="{00000000-0005-0000-0000-000060750000}"/>
    <cellStyle name="Output 2 18 2 3 2 3" xfId="30042" xr:uid="{00000000-0005-0000-0000-000061750000}"/>
    <cellStyle name="Output 2 18 2 3 3" xfId="28214" xr:uid="{00000000-0005-0000-0000-000062750000}"/>
    <cellStyle name="Output 2 18 2 3 3 2" xfId="29201" xr:uid="{00000000-0005-0000-0000-000063750000}"/>
    <cellStyle name="Output 2 18 2 3 3 2 2" xfId="31161" xr:uid="{00000000-0005-0000-0000-000064750000}"/>
    <cellStyle name="Output 2 18 2 3 3 3" xfId="30181" xr:uid="{00000000-0005-0000-0000-000065750000}"/>
    <cellStyle name="Output 2 18 2 3 4" xfId="28597" xr:uid="{00000000-0005-0000-0000-000066750000}"/>
    <cellStyle name="Output 2 18 2 3 4 2" xfId="30557" xr:uid="{00000000-0005-0000-0000-000067750000}"/>
    <cellStyle name="Output 2 18 2 3 5" xfId="29577" xr:uid="{00000000-0005-0000-0000-000068750000}"/>
    <cellStyle name="Output 2 18 2 4" xfId="27707" xr:uid="{00000000-0005-0000-0000-000069750000}"/>
    <cellStyle name="Output 2 18 2 4 2" xfId="28173" xr:uid="{00000000-0005-0000-0000-00006A750000}"/>
    <cellStyle name="Output 2 18 2 4 2 2" xfId="29160" xr:uid="{00000000-0005-0000-0000-00006B750000}"/>
    <cellStyle name="Output 2 18 2 4 2 2 2" xfId="31120" xr:uid="{00000000-0005-0000-0000-00006C750000}"/>
    <cellStyle name="Output 2 18 2 4 2 3" xfId="30140" xr:uid="{00000000-0005-0000-0000-00006D750000}"/>
    <cellStyle name="Output 2 18 2 4 3" xfId="28250" xr:uid="{00000000-0005-0000-0000-00006E750000}"/>
    <cellStyle name="Output 2 18 2 4 3 2" xfId="29237" xr:uid="{00000000-0005-0000-0000-00006F750000}"/>
    <cellStyle name="Output 2 18 2 4 3 2 2" xfId="31197" xr:uid="{00000000-0005-0000-0000-000070750000}"/>
    <cellStyle name="Output 2 18 2 4 3 3" xfId="30217" xr:uid="{00000000-0005-0000-0000-000071750000}"/>
    <cellStyle name="Output 2 18 2 4 4" xfId="28695" xr:uid="{00000000-0005-0000-0000-000072750000}"/>
    <cellStyle name="Output 2 18 2 4 4 2" xfId="30655" xr:uid="{00000000-0005-0000-0000-000073750000}"/>
    <cellStyle name="Output 2 18 2 4 5" xfId="29675" xr:uid="{00000000-0005-0000-0000-000074750000}"/>
    <cellStyle name="Output 2 18 2 5" xfId="27879" xr:uid="{00000000-0005-0000-0000-000075750000}"/>
    <cellStyle name="Output 2 18 2 5 2" xfId="28866" xr:uid="{00000000-0005-0000-0000-000076750000}"/>
    <cellStyle name="Output 2 18 2 5 2 2" xfId="30826" xr:uid="{00000000-0005-0000-0000-000077750000}"/>
    <cellStyle name="Output 2 18 2 5 3" xfId="29846" xr:uid="{00000000-0005-0000-0000-000078750000}"/>
    <cellStyle name="Output 2 18 2 6" xfId="28401" xr:uid="{00000000-0005-0000-0000-000079750000}"/>
    <cellStyle name="Output 2 18 2 6 2" xfId="30361" xr:uid="{00000000-0005-0000-0000-00007A750000}"/>
    <cellStyle name="Output 2 18 2 7" xfId="29381" xr:uid="{00000000-0005-0000-0000-00007B750000}"/>
    <cellStyle name="Output 2 18 2 8" xfId="31341" xr:uid="{00000000-0005-0000-0000-00007C750000}"/>
    <cellStyle name="Output 2 18 3" xfId="27467" xr:uid="{00000000-0005-0000-0000-00007D750000}"/>
    <cellStyle name="Output 2 18 3 2" xfId="27933" xr:uid="{00000000-0005-0000-0000-00007E750000}"/>
    <cellStyle name="Output 2 18 3 2 2" xfId="28920" xr:uid="{00000000-0005-0000-0000-00007F750000}"/>
    <cellStyle name="Output 2 18 3 2 2 2" xfId="30880" xr:uid="{00000000-0005-0000-0000-000080750000}"/>
    <cellStyle name="Output 2 18 3 2 3" xfId="29900" xr:uid="{00000000-0005-0000-0000-000081750000}"/>
    <cellStyle name="Output 2 18 3 3" xfId="28455" xr:uid="{00000000-0005-0000-0000-000082750000}"/>
    <cellStyle name="Output 2 18 3 3 2" xfId="30415" xr:uid="{00000000-0005-0000-0000-000083750000}"/>
    <cellStyle name="Output 2 18 3 4" xfId="29435" xr:uid="{00000000-0005-0000-0000-000084750000}"/>
    <cellStyle name="Output 2 18 4" xfId="27565" xr:uid="{00000000-0005-0000-0000-000085750000}"/>
    <cellStyle name="Output 2 18 4 2" xfId="28031" xr:uid="{00000000-0005-0000-0000-000086750000}"/>
    <cellStyle name="Output 2 18 4 2 2" xfId="29018" xr:uid="{00000000-0005-0000-0000-000087750000}"/>
    <cellStyle name="Output 2 18 4 2 2 2" xfId="30978" xr:uid="{00000000-0005-0000-0000-000088750000}"/>
    <cellStyle name="Output 2 18 4 2 3" xfId="29998" xr:uid="{00000000-0005-0000-0000-000089750000}"/>
    <cellStyle name="Output 2 18 4 3" xfId="28198" xr:uid="{00000000-0005-0000-0000-00008A750000}"/>
    <cellStyle name="Output 2 18 4 3 2" xfId="29185" xr:uid="{00000000-0005-0000-0000-00008B750000}"/>
    <cellStyle name="Output 2 18 4 3 2 2" xfId="31145" xr:uid="{00000000-0005-0000-0000-00008C750000}"/>
    <cellStyle name="Output 2 18 4 3 3" xfId="30165" xr:uid="{00000000-0005-0000-0000-00008D750000}"/>
    <cellStyle name="Output 2 18 4 4" xfId="28553" xr:uid="{00000000-0005-0000-0000-00008E750000}"/>
    <cellStyle name="Output 2 18 4 4 2" xfId="30513" xr:uid="{00000000-0005-0000-0000-00008F750000}"/>
    <cellStyle name="Output 2 18 4 5" xfId="29533" xr:uid="{00000000-0005-0000-0000-000090750000}"/>
    <cellStyle name="Output 2 18 5" xfId="27663" xr:uid="{00000000-0005-0000-0000-000091750000}"/>
    <cellStyle name="Output 2 18 5 2" xfId="28129" xr:uid="{00000000-0005-0000-0000-000092750000}"/>
    <cellStyle name="Output 2 18 5 2 2" xfId="29116" xr:uid="{00000000-0005-0000-0000-000093750000}"/>
    <cellStyle name="Output 2 18 5 2 2 2" xfId="31076" xr:uid="{00000000-0005-0000-0000-000094750000}"/>
    <cellStyle name="Output 2 18 5 2 3" xfId="30096" xr:uid="{00000000-0005-0000-0000-000095750000}"/>
    <cellStyle name="Output 2 18 5 3" xfId="28234" xr:uid="{00000000-0005-0000-0000-000096750000}"/>
    <cellStyle name="Output 2 18 5 3 2" xfId="29221" xr:uid="{00000000-0005-0000-0000-000097750000}"/>
    <cellStyle name="Output 2 18 5 3 2 2" xfId="31181" xr:uid="{00000000-0005-0000-0000-000098750000}"/>
    <cellStyle name="Output 2 18 5 3 3" xfId="30201" xr:uid="{00000000-0005-0000-0000-000099750000}"/>
    <cellStyle name="Output 2 18 5 4" xfId="28651" xr:uid="{00000000-0005-0000-0000-00009A750000}"/>
    <cellStyle name="Output 2 18 5 4 2" xfId="30611" xr:uid="{00000000-0005-0000-0000-00009B750000}"/>
    <cellStyle name="Output 2 18 5 5" xfId="29631" xr:uid="{00000000-0005-0000-0000-00009C750000}"/>
    <cellStyle name="Output 2 18 6" xfId="27803" xr:uid="{00000000-0005-0000-0000-00009D750000}"/>
    <cellStyle name="Output 2 18 6 2" xfId="28791" xr:uid="{00000000-0005-0000-0000-00009E750000}"/>
    <cellStyle name="Output 2 18 6 2 2" xfId="30751" xr:uid="{00000000-0005-0000-0000-00009F750000}"/>
    <cellStyle name="Output 2 18 6 3" xfId="29771" xr:uid="{00000000-0005-0000-0000-0000A0750000}"/>
    <cellStyle name="Output 2 18 7" xfId="28357" xr:uid="{00000000-0005-0000-0000-0000A1750000}"/>
    <cellStyle name="Output 2 18 7 2" xfId="30317" xr:uid="{00000000-0005-0000-0000-0000A2750000}"/>
    <cellStyle name="Output 2 18 8" xfId="29337" xr:uid="{00000000-0005-0000-0000-0000A3750000}"/>
    <cellStyle name="Output 2 18 9" xfId="31297" xr:uid="{00000000-0005-0000-0000-0000A4750000}"/>
    <cellStyle name="Output 2 19" xfId="27425" xr:uid="{00000000-0005-0000-0000-0000A5750000}"/>
    <cellStyle name="Output 2 19 2" xfId="27891" xr:uid="{00000000-0005-0000-0000-0000A6750000}"/>
    <cellStyle name="Output 2 19 2 2" xfId="28878" xr:uid="{00000000-0005-0000-0000-0000A7750000}"/>
    <cellStyle name="Output 2 19 2 2 2" xfId="30838" xr:uid="{00000000-0005-0000-0000-0000A8750000}"/>
    <cellStyle name="Output 2 19 2 3" xfId="29858" xr:uid="{00000000-0005-0000-0000-0000A9750000}"/>
    <cellStyle name="Output 2 19 3" xfId="28413" xr:uid="{00000000-0005-0000-0000-0000AA750000}"/>
    <cellStyle name="Output 2 19 3 2" xfId="30373" xr:uid="{00000000-0005-0000-0000-0000AB750000}"/>
    <cellStyle name="Output 2 19 4" xfId="29393" xr:uid="{00000000-0005-0000-0000-0000AC750000}"/>
    <cellStyle name="Output 2 2" xfId="3230" xr:uid="{00000000-0005-0000-0000-0000AD750000}"/>
    <cellStyle name="Output 2 20" xfId="27523" xr:uid="{00000000-0005-0000-0000-0000AE750000}"/>
    <cellStyle name="Output 2 20 2" xfId="27989" xr:uid="{00000000-0005-0000-0000-0000AF750000}"/>
    <cellStyle name="Output 2 20 2 2" xfId="28976" xr:uid="{00000000-0005-0000-0000-0000B0750000}"/>
    <cellStyle name="Output 2 20 2 2 2" xfId="30936" xr:uid="{00000000-0005-0000-0000-0000B1750000}"/>
    <cellStyle name="Output 2 20 2 3" xfId="29956" xr:uid="{00000000-0005-0000-0000-0000B2750000}"/>
    <cellStyle name="Output 2 20 3" xfId="28179" xr:uid="{00000000-0005-0000-0000-0000B3750000}"/>
    <cellStyle name="Output 2 20 3 2" xfId="29166" xr:uid="{00000000-0005-0000-0000-0000B4750000}"/>
    <cellStyle name="Output 2 20 3 2 2" xfId="31126" xr:uid="{00000000-0005-0000-0000-0000B5750000}"/>
    <cellStyle name="Output 2 20 3 3" xfId="30146" xr:uid="{00000000-0005-0000-0000-0000B6750000}"/>
    <cellStyle name="Output 2 20 4" xfId="28511" xr:uid="{00000000-0005-0000-0000-0000B7750000}"/>
    <cellStyle name="Output 2 20 4 2" xfId="30471" xr:uid="{00000000-0005-0000-0000-0000B8750000}"/>
    <cellStyle name="Output 2 20 5" xfId="29491" xr:uid="{00000000-0005-0000-0000-0000B9750000}"/>
    <cellStyle name="Output 2 21" xfId="27621" xr:uid="{00000000-0005-0000-0000-0000BA750000}"/>
    <cellStyle name="Output 2 21 2" xfId="28087" xr:uid="{00000000-0005-0000-0000-0000BB750000}"/>
    <cellStyle name="Output 2 21 2 2" xfId="29074" xr:uid="{00000000-0005-0000-0000-0000BC750000}"/>
    <cellStyle name="Output 2 21 2 2 2" xfId="31034" xr:uid="{00000000-0005-0000-0000-0000BD750000}"/>
    <cellStyle name="Output 2 21 2 3" xfId="30054" xr:uid="{00000000-0005-0000-0000-0000BE750000}"/>
    <cellStyle name="Output 2 21 3" xfId="28215" xr:uid="{00000000-0005-0000-0000-0000BF750000}"/>
    <cellStyle name="Output 2 21 3 2" xfId="29202" xr:uid="{00000000-0005-0000-0000-0000C0750000}"/>
    <cellStyle name="Output 2 21 3 2 2" xfId="31162" xr:uid="{00000000-0005-0000-0000-0000C1750000}"/>
    <cellStyle name="Output 2 21 3 3" xfId="30182" xr:uid="{00000000-0005-0000-0000-0000C2750000}"/>
    <cellStyle name="Output 2 21 4" xfId="28609" xr:uid="{00000000-0005-0000-0000-0000C3750000}"/>
    <cellStyle name="Output 2 21 4 2" xfId="30569" xr:uid="{00000000-0005-0000-0000-0000C4750000}"/>
    <cellStyle name="Output 2 21 5" xfId="29589" xr:uid="{00000000-0005-0000-0000-0000C5750000}"/>
    <cellStyle name="Output 2 22" xfId="27720" xr:uid="{00000000-0005-0000-0000-0000C6750000}"/>
    <cellStyle name="Output 2 22 2" xfId="28708" xr:uid="{00000000-0005-0000-0000-0000C7750000}"/>
    <cellStyle name="Output 2 22 2 2" xfId="30668" xr:uid="{00000000-0005-0000-0000-0000C8750000}"/>
    <cellStyle name="Output 2 22 3" xfId="29688" xr:uid="{00000000-0005-0000-0000-0000C9750000}"/>
    <cellStyle name="Output 2 23" xfId="28315" xr:uid="{00000000-0005-0000-0000-0000CA750000}"/>
    <cellStyle name="Output 2 23 2" xfId="30275" xr:uid="{00000000-0005-0000-0000-0000CB750000}"/>
    <cellStyle name="Output 2 24" xfId="29295" xr:uid="{00000000-0005-0000-0000-0000CC750000}"/>
    <cellStyle name="Output 2 25" xfId="31255" xr:uid="{00000000-0005-0000-0000-0000CD750000}"/>
    <cellStyle name="Output 2 3" xfId="3231" xr:uid="{00000000-0005-0000-0000-0000CE750000}"/>
    <cellStyle name="Output 2 4" xfId="3232" xr:uid="{00000000-0005-0000-0000-0000CF750000}"/>
    <cellStyle name="Output 2 5" xfId="3233" xr:uid="{00000000-0005-0000-0000-0000D0750000}"/>
    <cellStyle name="Output 2 6" xfId="3234" xr:uid="{00000000-0005-0000-0000-0000D1750000}"/>
    <cellStyle name="Output 2 7" xfId="3235" xr:uid="{00000000-0005-0000-0000-0000D2750000}"/>
    <cellStyle name="Output 2 8" xfId="3236" xr:uid="{00000000-0005-0000-0000-0000D3750000}"/>
    <cellStyle name="Output 2 9" xfId="3237" xr:uid="{00000000-0005-0000-0000-0000D4750000}"/>
    <cellStyle name="Output 20" xfId="3238" xr:uid="{00000000-0005-0000-0000-0000D5750000}"/>
    <cellStyle name="Output 21" xfId="3239" xr:uid="{00000000-0005-0000-0000-0000D6750000}"/>
    <cellStyle name="Output 22" xfId="3240" xr:uid="{00000000-0005-0000-0000-0000D7750000}"/>
    <cellStyle name="Output 23" xfId="3241" xr:uid="{00000000-0005-0000-0000-0000D8750000}"/>
    <cellStyle name="Output 24" xfId="3242" xr:uid="{00000000-0005-0000-0000-0000D9750000}"/>
    <cellStyle name="Output 3" xfId="1636" xr:uid="{00000000-0005-0000-0000-0000DA750000}"/>
    <cellStyle name="Output 3 10" xfId="29296" xr:uid="{00000000-0005-0000-0000-0000DB750000}"/>
    <cellStyle name="Output 3 11" xfId="31256" xr:uid="{00000000-0005-0000-0000-0000DC750000}"/>
    <cellStyle name="Output 3 2" xfId="14966" xr:uid="{00000000-0005-0000-0000-0000DD750000}"/>
    <cellStyle name="Output 3 2 10" xfId="31276" xr:uid="{00000000-0005-0000-0000-0000DE750000}"/>
    <cellStyle name="Output 3 2 2" xfId="15004" xr:uid="{00000000-0005-0000-0000-0000DF750000}"/>
    <cellStyle name="Output 3 2 2 2" xfId="27389" xr:uid="{00000000-0005-0000-0000-0000E0750000}"/>
    <cellStyle name="Output 3 2 2 2 2" xfId="27500" xr:uid="{00000000-0005-0000-0000-0000E1750000}"/>
    <cellStyle name="Output 3 2 2 2 2 2" xfId="27966" xr:uid="{00000000-0005-0000-0000-0000E2750000}"/>
    <cellStyle name="Output 3 2 2 2 2 2 2" xfId="28953" xr:uid="{00000000-0005-0000-0000-0000E3750000}"/>
    <cellStyle name="Output 3 2 2 2 2 2 2 2" xfId="30913" xr:uid="{00000000-0005-0000-0000-0000E4750000}"/>
    <cellStyle name="Output 3 2 2 2 2 2 3" xfId="29933" xr:uid="{00000000-0005-0000-0000-0000E5750000}"/>
    <cellStyle name="Output 3 2 2 2 2 3" xfId="28488" xr:uid="{00000000-0005-0000-0000-0000E6750000}"/>
    <cellStyle name="Output 3 2 2 2 2 3 2" xfId="30448" xr:uid="{00000000-0005-0000-0000-0000E7750000}"/>
    <cellStyle name="Output 3 2 2 2 2 4" xfId="29468" xr:uid="{00000000-0005-0000-0000-0000E8750000}"/>
    <cellStyle name="Output 3 2 2 2 3" xfId="27598" xr:uid="{00000000-0005-0000-0000-0000E9750000}"/>
    <cellStyle name="Output 3 2 2 2 3 2" xfId="28064" xr:uid="{00000000-0005-0000-0000-0000EA750000}"/>
    <cellStyle name="Output 3 2 2 2 3 2 2" xfId="29051" xr:uid="{00000000-0005-0000-0000-0000EB750000}"/>
    <cellStyle name="Output 3 2 2 2 3 2 2 2" xfId="31011" xr:uid="{00000000-0005-0000-0000-0000EC750000}"/>
    <cellStyle name="Output 3 2 2 2 3 2 3" xfId="30031" xr:uid="{00000000-0005-0000-0000-0000ED750000}"/>
    <cellStyle name="Output 3 2 2 2 3 3" xfId="28209" xr:uid="{00000000-0005-0000-0000-0000EE750000}"/>
    <cellStyle name="Output 3 2 2 2 3 3 2" xfId="29196" xr:uid="{00000000-0005-0000-0000-0000EF750000}"/>
    <cellStyle name="Output 3 2 2 2 3 3 2 2" xfId="31156" xr:uid="{00000000-0005-0000-0000-0000F0750000}"/>
    <cellStyle name="Output 3 2 2 2 3 3 3" xfId="30176" xr:uid="{00000000-0005-0000-0000-0000F1750000}"/>
    <cellStyle name="Output 3 2 2 2 3 4" xfId="28586" xr:uid="{00000000-0005-0000-0000-0000F2750000}"/>
    <cellStyle name="Output 3 2 2 2 3 4 2" xfId="30546" xr:uid="{00000000-0005-0000-0000-0000F3750000}"/>
    <cellStyle name="Output 3 2 2 2 3 5" xfId="29566" xr:uid="{00000000-0005-0000-0000-0000F4750000}"/>
    <cellStyle name="Output 3 2 2 2 4" xfId="27696" xr:uid="{00000000-0005-0000-0000-0000F5750000}"/>
    <cellStyle name="Output 3 2 2 2 4 2" xfId="28162" xr:uid="{00000000-0005-0000-0000-0000F6750000}"/>
    <cellStyle name="Output 3 2 2 2 4 2 2" xfId="29149" xr:uid="{00000000-0005-0000-0000-0000F7750000}"/>
    <cellStyle name="Output 3 2 2 2 4 2 2 2" xfId="31109" xr:uid="{00000000-0005-0000-0000-0000F8750000}"/>
    <cellStyle name="Output 3 2 2 2 4 2 3" xfId="30129" xr:uid="{00000000-0005-0000-0000-0000F9750000}"/>
    <cellStyle name="Output 3 2 2 2 4 3" xfId="28245" xr:uid="{00000000-0005-0000-0000-0000FA750000}"/>
    <cellStyle name="Output 3 2 2 2 4 3 2" xfId="29232" xr:uid="{00000000-0005-0000-0000-0000FB750000}"/>
    <cellStyle name="Output 3 2 2 2 4 3 2 2" xfId="31192" xr:uid="{00000000-0005-0000-0000-0000FC750000}"/>
    <cellStyle name="Output 3 2 2 2 4 3 3" xfId="30212" xr:uid="{00000000-0005-0000-0000-0000FD750000}"/>
    <cellStyle name="Output 3 2 2 2 4 4" xfId="28684" xr:uid="{00000000-0005-0000-0000-0000FE750000}"/>
    <cellStyle name="Output 3 2 2 2 4 4 2" xfId="30644" xr:uid="{00000000-0005-0000-0000-0000FF750000}"/>
    <cellStyle name="Output 3 2 2 2 4 5" xfId="29664" xr:uid="{00000000-0005-0000-0000-000000760000}"/>
    <cellStyle name="Output 3 2 2 2 5" xfId="27868" xr:uid="{00000000-0005-0000-0000-000001760000}"/>
    <cellStyle name="Output 3 2 2 2 5 2" xfId="28855" xr:uid="{00000000-0005-0000-0000-000002760000}"/>
    <cellStyle name="Output 3 2 2 2 5 2 2" xfId="30815" xr:uid="{00000000-0005-0000-0000-000003760000}"/>
    <cellStyle name="Output 3 2 2 2 5 3" xfId="29835" xr:uid="{00000000-0005-0000-0000-000004760000}"/>
    <cellStyle name="Output 3 2 2 2 6" xfId="28390" xr:uid="{00000000-0005-0000-0000-000005760000}"/>
    <cellStyle name="Output 3 2 2 2 6 2" xfId="30350" xr:uid="{00000000-0005-0000-0000-000006760000}"/>
    <cellStyle name="Output 3 2 2 2 7" xfId="29370" xr:uid="{00000000-0005-0000-0000-000007760000}"/>
    <cellStyle name="Output 3 2 2 2 8" xfId="31330" xr:uid="{00000000-0005-0000-0000-000008760000}"/>
    <cellStyle name="Output 3 2 2 3" xfId="27456" xr:uid="{00000000-0005-0000-0000-000009760000}"/>
    <cellStyle name="Output 3 2 2 3 2" xfId="27922" xr:uid="{00000000-0005-0000-0000-00000A760000}"/>
    <cellStyle name="Output 3 2 2 3 2 2" xfId="28909" xr:uid="{00000000-0005-0000-0000-00000B760000}"/>
    <cellStyle name="Output 3 2 2 3 2 2 2" xfId="30869" xr:uid="{00000000-0005-0000-0000-00000C760000}"/>
    <cellStyle name="Output 3 2 2 3 2 3" xfId="29889" xr:uid="{00000000-0005-0000-0000-00000D760000}"/>
    <cellStyle name="Output 3 2 2 3 3" xfId="28444" xr:uid="{00000000-0005-0000-0000-00000E760000}"/>
    <cellStyle name="Output 3 2 2 3 3 2" xfId="30404" xr:uid="{00000000-0005-0000-0000-00000F760000}"/>
    <cellStyle name="Output 3 2 2 3 4" xfId="29424" xr:uid="{00000000-0005-0000-0000-000010760000}"/>
    <cellStyle name="Output 3 2 2 4" xfId="27554" xr:uid="{00000000-0005-0000-0000-000011760000}"/>
    <cellStyle name="Output 3 2 2 4 2" xfId="28020" xr:uid="{00000000-0005-0000-0000-000012760000}"/>
    <cellStyle name="Output 3 2 2 4 2 2" xfId="29007" xr:uid="{00000000-0005-0000-0000-000013760000}"/>
    <cellStyle name="Output 3 2 2 4 2 2 2" xfId="30967" xr:uid="{00000000-0005-0000-0000-000014760000}"/>
    <cellStyle name="Output 3 2 2 4 2 3" xfId="29987" xr:uid="{00000000-0005-0000-0000-000015760000}"/>
    <cellStyle name="Output 3 2 2 4 3" xfId="28193" xr:uid="{00000000-0005-0000-0000-000016760000}"/>
    <cellStyle name="Output 3 2 2 4 3 2" xfId="29180" xr:uid="{00000000-0005-0000-0000-000017760000}"/>
    <cellStyle name="Output 3 2 2 4 3 2 2" xfId="31140" xr:uid="{00000000-0005-0000-0000-000018760000}"/>
    <cellStyle name="Output 3 2 2 4 3 3" xfId="30160" xr:uid="{00000000-0005-0000-0000-000019760000}"/>
    <cellStyle name="Output 3 2 2 4 4" xfId="28542" xr:uid="{00000000-0005-0000-0000-00001A760000}"/>
    <cellStyle name="Output 3 2 2 4 4 2" xfId="30502" xr:uid="{00000000-0005-0000-0000-00001B760000}"/>
    <cellStyle name="Output 3 2 2 4 5" xfId="29522" xr:uid="{00000000-0005-0000-0000-00001C760000}"/>
    <cellStyle name="Output 3 2 2 5" xfId="27652" xr:uid="{00000000-0005-0000-0000-00001D760000}"/>
    <cellStyle name="Output 3 2 2 5 2" xfId="28118" xr:uid="{00000000-0005-0000-0000-00001E760000}"/>
    <cellStyle name="Output 3 2 2 5 2 2" xfId="29105" xr:uid="{00000000-0005-0000-0000-00001F760000}"/>
    <cellStyle name="Output 3 2 2 5 2 2 2" xfId="31065" xr:uid="{00000000-0005-0000-0000-000020760000}"/>
    <cellStyle name="Output 3 2 2 5 2 3" xfId="30085" xr:uid="{00000000-0005-0000-0000-000021760000}"/>
    <cellStyle name="Output 3 2 2 5 3" xfId="28229" xr:uid="{00000000-0005-0000-0000-000022760000}"/>
    <cellStyle name="Output 3 2 2 5 3 2" xfId="29216" xr:uid="{00000000-0005-0000-0000-000023760000}"/>
    <cellStyle name="Output 3 2 2 5 3 2 2" xfId="31176" xr:uid="{00000000-0005-0000-0000-000024760000}"/>
    <cellStyle name="Output 3 2 2 5 3 3" xfId="30196" xr:uid="{00000000-0005-0000-0000-000025760000}"/>
    <cellStyle name="Output 3 2 2 5 4" xfId="28640" xr:uid="{00000000-0005-0000-0000-000026760000}"/>
    <cellStyle name="Output 3 2 2 5 4 2" xfId="30600" xr:uid="{00000000-0005-0000-0000-000027760000}"/>
    <cellStyle name="Output 3 2 2 5 5" xfId="29620" xr:uid="{00000000-0005-0000-0000-000028760000}"/>
    <cellStyle name="Output 3 2 2 6" xfId="27792" xr:uid="{00000000-0005-0000-0000-000029760000}"/>
    <cellStyle name="Output 3 2 2 6 2" xfId="28780" xr:uid="{00000000-0005-0000-0000-00002A760000}"/>
    <cellStyle name="Output 3 2 2 6 2 2" xfId="30740" xr:uid="{00000000-0005-0000-0000-00002B760000}"/>
    <cellStyle name="Output 3 2 2 6 3" xfId="29760" xr:uid="{00000000-0005-0000-0000-00002C760000}"/>
    <cellStyle name="Output 3 2 2 7" xfId="28346" xr:uid="{00000000-0005-0000-0000-00002D760000}"/>
    <cellStyle name="Output 3 2 2 7 2" xfId="30306" xr:uid="{00000000-0005-0000-0000-00002E760000}"/>
    <cellStyle name="Output 3 2 2 8" xfId="29326" xr:uid="{00000000-0005-0000-0000-00002F760000}"/>
    <cellStyle name="Output 3 2 2 9" xfId="31286" xr:uid="{00000000-0005-0000-0000-000030760000}"/>
    <cellStyle name="Output 3 2 3" xfId="27379" xr:uid="{00000000-0005-0000-0000-000031760000}"/>
    <cellStyle name="Output 3 2 3 2" xfId="27490" xr:uid="{00000000-0005-0000-0000-000032760000}"/>
    <cellStyle name="Output 3 2 3 2 2" xfId="27956" xr:uid="{00000000-0005-0000-0000-000033760000}"/>
    <cellStyle name="Output 3 2 3 2 2 2" xfId="28943" xr:uid="{00000000-0005-0000-0000-000034760000}"/>
    <cellStyle name="Output 3 2 3 2 2 2 2" xfId="30903" xr:uid="{00000000-0005-0000-0000-000035760000}"/>
    <cellStyle name="Output 3 2 3 2 2 3" xfId="29923" xr:uid="{00000000-0005-0000-0000-000036760000}"/>
    <cellStyle name="Output 3 2 3 2 3" xfId="28478" xr:uid="{00000000-0005-0000-0000-000037760000}"/>
    <cellStyle name="Output 3 2 3 2 3 2" xfId="30438" xr:uid="{00000000-0005-0000-0000-000038760000}"/>
    <cellStyle name="Output 3 2 3 2 4" xfId="29458" xr:uid="{00000000-0005-0000-0000-000039760000}"/>
    <cellStyle name="Output 3 2 3 3" xfId="27588" xr:uid="{00000000-0005-0000-0000-00003A760000}"/>
    <cellStyle name="Output 3 2 3 3 2" xfId="28054" xr:uid="{00000000-0005-0000-0000-00003B760000}"/>
    <cellStyle name="Output 3 2 3 3 2 2" xfId="29041" xr:uid="{00000000-0005-0000-0000-00003C760000}"/>
    <cellStyle name="Output 3 2 3 3 2 2 2" xfId="31001" xr:uid="{00000000-0005-0000-0000-00003D760000}"/>
    <cellStyle name="Output 3 2 3 3 2 3" xfId="30021" xr:uid="{00000000-0005-0000-0000-00003E760000}"/>
    <cellStyle name="Output 3 2 3 3 3" xfId="28204" xr:uid="{00000000-0005-0000-0000-00003F760000}"/>
    <cellStyle name="Output 3 2 3 3 3 2" xfId="29191" xr:uid="{00000000-0005-0000-0000-000040760000}"/>
    <cellStyle name="Output 3 2 3 3 3 2 2" xfId="31151" xr:uid="{00000000-0005-0000-0000-000041760000}"/>
    <cellStyle name="Output 3 2 3 3 3 3" xfId="30171" xr:uid="{00000000-0005-0000-0000-000042760000}"/>
    <cellStyle name="Output 3 2 3 3 4" xfId="28576" xr:uid="{00000000-0005-0000-0000-000043760000}"/>
    <cellStyle name="Output 3 2 3 3 4 2" xfId="30536" xr:uid="{00000000-0005-0000-0000-000044760000}"/>
    <cellStyle name="Output 3 2 3 3 5" xfId="29556" xr:uid="{00000000-0005-0000-0000-000045760000}"/>
    <cellStyle name="Output 3 2 3 4" xfId="27686" xr:uid="{00000000-0005-0000-0000-000046760000}"/>
    <cellStyle name="Output 3 2 3 4 2" xfId="28152" xr:uid="{00000000-0005-0000-0000-000047760000}"/>
    <cellStyle name="Output 3 2 3 4 2 2" xfId="29139" xr:uid="{00000000-0005-0000-0000-000048760000}"/>
    <cellStyle name="Output 3 2 3 4 2 2 2" xfId="31099" xr:uid="{00000000-0005-0000-0000-000049760000}"/>
    <cellStyle name="Output 3 2 3 4 2 3" xfId="30119" xr:uid="{00000000-0005-0000-0000-00004A760000}"/>
    <cellStyle name="Output 3 2 3 4 3" xfId="28240" xr:uid="{00000000-0005-0000-0000-00004B760000}"/>
    <cellStyle name="Output 3 2 3 4 3 2" xfId="29227" xr:uid="{00000000-0005-0000-0000-00004C760000}"/>
    <cellStyle name="Output 3 2 3 4 3 2 2" xfId="31187" xr:uid="{00000000-0005-0000-0000-00004D760000}"/>
    <cellStyle name="Output 3 2 3 4 3 3" xfId="30207" xr:uid="{00000000-0005-0000-0000-00004E760000}"/>
    <cellStyle name="Output 3 2 3 4 4" xfId="28674" xr:uid="{00000000-0005-0000-0000-00004F760000}"/>
    <cellStyle name="Output 3 2 3 4 4 2" xfId="30634" xr:uid="{00000000-0005-0000-0000-000050760000}"/>
    <cellStyle name="Output 3 2 3 4 5" xfId="29654" xr:uid="{00000000-0005-0000-0000-000051760000}"/>
    <cellStyle name="Output 3 2 3 5" xfId="27858" xr:uid="{00000000-0005-0000-0000-000052760000}"/>
    <cellStyle name="Output 3 2 3 5 2" xfId="28845" xr:uid="{00000000-0005-0000-0000-000053760000}"/>
    <cellStyle name="Output 3 2 3 5 2 2" xfId="30805" xr:uid="{00000000-0005-0000-0000-000054760000}"/>
    <cellStyle name="Output 3 2 3 5 3" xfId="29825" xr:uid="{00000000-0005-0000-0000-000055760000}"/>
    <cellStyle name="Output 3 2 3 6" xfId="28380" xr:uid="{00000000-0005-0000-0000-000056760000}"/>
    <cellStyle name="Output 3 2 3 6 2" xfId="30340" xr:uid="{00000000-0005-0000-0000-000057760000}"/>
    <cellStyle name="Output 3 2 3 7" xfId="29360" xr:uid="{00000000-0005-0000-0000-000058760000}"/>
    <cellStyle name="Output 3 2 3 8" xfId="31320" xr:uid="{00000000-0005-0000-0000-000059760000}"/>
    <cellStyle name="Output 3 2 4" xfId="27446" xr:uid="{00000000-0005-0000-0000-00005A760000}"/>
    <cellStyle name="Output 3 2 4 2" xfId="27912" xr:uid="{00000000-0005-0000-0000-00005B760000}"/>
    <cellStyle name="Output 3 2 4 2 2" xfId="28899" xr:uid="{00000000-0005-0000-0000-00005C760000}"/>
    <cellStyle name="Output 3 2 4 2 2 2" xfId="30859" xr:uid="{00000000-0005-0000-0000-00005D760000}"/>
    <cellStyle name="Output 3 2 4 2 3" xfId="29879" xr:uid="{00000000-0005-0000-0000-00005E760000}"/>
    <cellStyle name="Output 3 2 4 3" xfId="28434" xr:uid="{00000000-0005-0000-0000-00005F760000}"/>
    <cellStyle name="Output 3 2 4 3 2" xfId="30394" xr:uid="{00000000-0005-0000-0000-000060760000}"/>
    <cellStyle name="Output 3 2 4 4" xfId="29414" xr:uid="{00000000-0005-0000-0000-000061760000}"/>
    <cellStyle name="Output 3 2 5" xfId="27544" xr:uid="{00000000-0005-0000-0000-000062760000}"/>
    <cellStyle name="Output 3 2 5 2" xfId="28010" xr:uid="{00000000-0005-0000-0000-000063760000}"/>
    <cellStyle name="Output 3 2 5 2 2" xfId="28997" xr:uid="{00000000-0005-0000-0000-000064760000}"/>
    <cellStyle name="Output 3 2 5 2 2 2" xfId="30957" xr:uid="{00000000-0005-0000-0000-000065760000}"/>
    <cellStyle name="Output 3 2 5 2 3" xfId="29977" xr:uid="{00000000-0005-0000-0000-000066760000}"/>
    <cellStyle name="Output 3 2 5 3" xfId="28188" xr:uid="{00000000-0005-0000-0000-000067760000}"/>
    <cellStyle name="Output 3 2 5 3 2" xfId="29175" xr:uid="{00000000-0005-0000-0000-000068760000}"/>
    <cellStyle name="Output 3 2 5 3 2 2" xfId="31135" xr:uid="{00000000-0005-0000-0000-000069760000}"/>
    <cellStyle name="Output 3 2 5 3 3" xfId="30155" xr:uid="{00000000-0005-0000-0000-00006A760000}"/>
    <cellStyle name="Output 3 2 5 4" xfId="28532" xr:uid="{00000000-0005-0000-0000-00006B760000}"/>
    <cellStyle name="Output 3 2 5 4 2" xfId="30492" xr:uid="{00000000-0005-0000-0000-00006C760000}"/>
    <cellStyle name="Output 3 2 5 5" xfId="29512" xr:uid="{00000000-0005-0000-0000-00006D760000}"/>
    <cellStyle name="Output 3 2 6" xfId="27642" xr:uid="{00000000-0005-0000-0000-00006E760000}"/>
    <cellStyle name="Output 3 2 6 2" xfId="28108" xr:uid="{00000000-0005-0000-0000-00006F760000}"/>
    <cellStyle name="Output 3 2 6 2 2" xfId="29095" xr:uid="{00000000-0005-0000-0000-000070760000}"/>
    <cellStyle name="Output 3 2 6 2 2 2" xfId="31055" xr:uid="{00000000-0005-0000-0000-000071760000}"/>
    <cellStyle name="Output 3 2 6 2 3" xfId="30075" xr:uid="{00000000-0005-0000-0000-000072760000}"/>
    <cellStyle name="Output 3 2 6 3" xfId="28224" xr:uid="{00000000-0005-0000-0000-000073760000}"/>
    <cellStyle name="Output 3 2 6 3 2" xfId="29211" xr:uid="{00000000-0005-0000-0000-000074760000}"/>
    <cellStyle name="Output 3 2 6 3 2 2" xfId="31171" xr:uid="{00000000-0005-0000-0000-000075760000}"/>
    <cellStyle name="Output 3 2 6 3 3" xfId="30191" xr:uid="{00000000-0005-0000-0000-000076760000}"/>
    <cellStyle name="Output 3 2 6 4" xfId="28630" xr:uid="{00000000-0005-0000-0000-000077760000}"/>
    <cellStyle name="Output 3 2 6 4 2" xfId="30590" xr:uid="{00000000-0005-0000-0000-000078760000}"/>
    <cellStyle name="Output 3 2 6 5" xfId="29610" xr:uid="{00000000-0005-0000-0000-000079760000}"/>
    <cellStyle name="Output 3 2 7" xfId="27782" xr:uid="{00000000-0005-0000-0000-00007A760000}"/>
    <cellStyle name="Output 3 2 7 2" xfId="28770" xr:uid="{00000000-0005-0000-0000-00007B760000}"/>
    <cellStyle name="Output 3 2 7 2 2" xfId="30730" xr:uid="{00000000-0005-0000-0000-00007C760000}"/>
    <cellStyle name="Output 3 2 7 3" xfId="29750" xr:uid="{00000000-0005-0000-0000-00007D760000}"/>
    <cellStyle name="Output 3 2 8" xfId="28336" xr:uid="{00000000-0005-0000-0000-00007E760000}"/>
    <cellStyle name="Output 3 2 8 2" xfId="30296" xr:uid="{00000000-0005-0000-0000-00007F760000}"/>
    <cellStyle name="Output 3 2 9" xfId="29316" xr:uid="{00000000-0005-0000-0000-000080760000}"/>
    <cellStyle name="Output 3 3" xfId="14949" xr:uid="{00000000-0005-0000-0000-000081760000}"/>
    <cellStyle name="Output 3 3 2" xfId="27369" xr:uid="{00000000-0005-0000-0000-000082760000}"/>
    <cellStyle name="Output 3 3 2 2" xfId="27480" xr:uid="{00000000-0005-0000-0000-000083760000}"/>
    <cellStyle name="Output 3 3 2 2 2" xfId="27946" xr:uid="{00000000-0005-0000-0000-000084760000}"/>
    <cellStyle name="Output 3 3 2 2 2 2" xfId="28933" xr:uid="{00000000-0005-0000-0000-000085760000}"/>
    <cellStyle name="Output 3 3 2 2 2 2 2" xfId="30893" xr:uid="{00000000-0005-0000-0000-000086760000}"/>
    <cellStyle name="Output 3 3 2 2 2 3" xfId="29913" xr:uid="{00000000-0005-0000-0000-000087760000}"/>
    <cellStyle name="Output 3 3 2 2 3" xfId="28468" xr:uid="{00000000-0005-0000-0000-000088760000}"/>
    <cellStyle name="Output 3 3 2 2 3 2" xfId="30428" xr:uid="{00000000-0005-0000-0000-000089760000}"/>
    <cellStyle name="Output 3 3 2 2 4" xfId="29448" xr:uid="{00000000-0005-0000-0000-00008A760000}"/>
    <cellStyle name="Output 3 3 2 3" xfId="27578" xr:uid="{00000000-0005-0000-0000-00008B760000}"/>
    <cellStyle name="Output 3 3 2 3 2" xfId="28044" xr:uid="{00000000-0005-0000-0000-00008C760000}"/>
    <cellStyle name="Output 3 3 2 3 2 2" xfId="29031" xr:uid="{00000000-0005-0000-0000-00008D760000}"/>
    <cellStyle name="Output 3 3 2 3 2 2 2" xfId="30991" xr:uid="{00000000-0005-0000-0000-00008E760000}"/>
    <cellStyle name="Output 3 3 2 3 2 3" xfId="30011" xr:uid="{00000000-0005-0000-0000-00008F760000}"/>
    <cellStyle name="Output 3 3 2 3 3" xfId="28200" xr:uid="{00000000-0005-0000-0000-000090760000}"/>
    <cellStyle name="Output 3 3 2 3 3 2" xfId="29187" xr:uid="{00000000-0005-0000-0000-000091760000}"/>
    <cellStyle name="Output 3 3 2 3 3 2 2" xfId="31147" xr:uid="{00000000-0005-0000-0000-000092760000}"/>
    <cellStyle name="Output 3 3 2 3 3 3" xfId="30167" xr:uid="{00000000-0005-0000-0000-000093760000}"/>
    <cellStyle name="Output 3 3 2 3 4" xfId="28566" xr:uid="{00000000-0005-0000-0000-000094760000}"/>
    <cellStyle name="Output 3 3 2 3 4 2" xfId="30526" xr:uid="{00000000-0005-0000-0000-000095760000}"/>
    <cellStyle name="Output 3 3 2 3 5" xfId="29546" xr:uid="{00000000-0005-0000-0000-000096760000}"/>
    <cellStyle name="Output 3 3 2 4" xfId="27676" xr:uid="{00000000-0005-0000-0000-000097760000}"/>
    <cellStyle name="Output 3 3 2 4 2" xfId="28142" xr:uid="{00000000-0005-0000-0000-000098760000}"/>
    <cellStyle name="Output 3 3 2 4 2 2" xfId="29129" xr:uid="{00000000-0005-0000-0000-000099760000}"/>
    <cellStyle name="Output 3 3 2 4 2 2 2" xfId="31089" xr:uid="{00000000-0005-0000-0000-00009A760000}"/>
    <cellStyle name="Output 3 3 2 4 2 3" xfId="30109" xr:uid="{00000000-0005-0000-0000-00009B760000}"/>
    <cellStyle name="Output 3 3 2 4 3" xfId="28236" xr:uid="{00000000-0005-0000-0000-00009C760000}"/>
    <cellStyle name="Output 3 3 2 4 3 2" xfId="29223" xr:uid="{00000000-0005-0000-0000-00009D760000}"/>
    <cellStyle name="Output 3 3 2 4 3 2 2" xfId="31183" xr:uid="{00000000-0005-0000-0000-00009E760000}"/>
    <cellStyle name="Output 3 3 2 4 3 3" xfId="30203" xr:uid="{00000000-0005-0000-0000-00009F760000}"/>
    <cellStyle name="Output 3 3 2 4 4" xfId="28664" xr:uid="{00000000-0005-0000-0000-0000A0760000}"/>
    <cellStyle name="Output 3 3 2 4 4 2" xfId="30624" xr:uid="{00000000-0005-0000-0000-0000A1760000}"/>
    <cellStyle name="Output 3 3 2 4 5" xfId="29644" xr:uid="{00000000-0005-0000-0000-0000A2760000}"/>
    <cellStyle name="Output 3 3 2 5" xfId="27848" xr:uid="{00000000-0005-0000-0000-0000A3760000}"/>
    <cellStyle name="Output 3 3 2 5 2" xfId="28835" xr:uid="{00000000-0005-0000-0000-0000A4760000}"/>
    <cellStyle name="Output 3 3 2 5 2 2" xfId="30795" xr:uid="{00000000-0005-0000-0000-0000A5760000}"/>
    <cellStyle name="Output 3 3 2 5 3" xfId="29815" xr:uid="{00000000-0005-0000-0000-0000A6760000}"/>
    <cellStyle name="Output 3 3 2 6" xfId="28370" xr:uid="{00000000-0005-0000-0000-0000A7760000}"/>
    <cellStyle name="Output 3 3 2 6 2" xfId="30330" xr:uid="{00000000-0005-0000-0000-0000A8760000}"/>
    <cellStyle name="Output 3 3 2 7" xfId="29350" xr:uid="{00000000-0005-0000-0000-0000A9760000}"/>
    <cellStyle name="Output 3 3 2 8" xfId="31310" xr:uid="{00000000-0005-0000-0000-0000AA760000}"/>
    <cellStyle name="Output 3 3 3" xfId="27436" xr:uid="{00000000-0005-0000-0000-0000AB760000}"/>
    <cellStyle name="Output 3 3 3 2" xfId="27902" xr:uid="{00000000-0005-0000-0000-0000AC760000}"/>
    <cellStyle name="Output 3 3 3 2 2" xfId="28889" xr:uid="{00000000-0005-0000-0000-0000AD760000}"/>
    <cellStyle name="Output 3 3 3 2 2 2" xfId="30849" xr:uid="{00000000-0005-0000-0000-0000AE760000}"/>
    <cellStyle name="Output 3 3 3 2 3" xfId="29869" xr:uid="{00000000-0005-0000-0000-0000AF760000}"/>
    <cellStyle name="Output 3 3 3 3" xfId="28424" xr:uid="{00000000-0005-0000-0000-0000B0760000}"/>
    <cellStyle name="Output 3 3 3 3 2" xfId="30384" xr:uid="{00000000-0005-0000-0000-0000B1760000}"/>
    <cellStyle name="Output 3 3 3 4" xfId="29404" xr:uid="{00000000-0005-0000-0000-0000B2760000}"/>
    <cellStyle name="Output 3 3 4" xfId="27534" xr:uid="{00000000-0005-0000-0000-0000B3760000}"/>
    <cellStyle name="Output 3 3 4 2" xfId="28000" xr:uid="{00000000-0005-0000-0000-0000B4760000}"/>
    <cellStyle name="Output 3 3 4 2 2" xfId="28987" xr:uid="{00000000-0005-0000-0000-0000B5760000}"/>
    <cellStyle name="Output 3 3 4 2 2 2" xfId="30947" xr:uid="{00000000-0005-0000-0000-0000B6760000}"/>
    <cellStyle name="Output 3 3 4 2 3" xfId="29967" xr:uid="{00000000-0005-0000-0000-0000B7760000}"/>
    <cellStyle name="Output 3 3 4 3" xfId="28184" xr:uid="{00000000-0005-0000-0000-0000B8760000}"/>
    <cellStyle name="Output 3 3 4 3 2" xfId="29171" xr:uid="{00000000-0005-0000-0000-0000B9760000}"/>
    <cellStyle name="Output 3 3 4 3 2 2" xfId="31131" xr:uid="{00000000-0005-0000-0000-0000BA760000}"/>
    <cellStyle name="Output 3 3 4 3 3" xfId="30151" xr:uid="{00000000-0005-0000-0000-0000BB760000}"/>
    <cellStyle name="Output 3 3 4 4" xfId="28522" xr:uid="{00000000-0005-0000-0000-0000BC760000}"/>
    <cellStyle name="Output 3 3 4 4 2" xfId="30482" xr:uid="{00000000-0005-0000-0000-0000BD760000}"/>
    <cellStyle name="Output 3 3 4 5" xfId="29502" xr:uid="{00000000-0005-0000-0000-0000BE760000}"/>
    <cellStyle name="Output 3 3 5" xfId="27632" xr:uid="{00000000-0005-0000-0000-0000BF760000}"/>
    <cellStyle name="Output 3 3 5 2" xfId="28098" xr:uid="{00000000-0005-0000-0000-0000C0760000}"/>
    <cellStyle name="Output 3 3 5 2 2" xfId="29085" xr:uid="{00000000-0005-0000-0000-0000C1760000}"/>
    <cellStyle name="Output 3 3 5 2 2 2" xfId="31045" xr:uid="{00000000-0005-0000-0000-0000C2760000}"/>
    <cellStyle name="Output 3 3 5 2 3" xfId="30065" xr:uid="{00000000-0005-0000-0000-0000C3760000}"/>
    <cellStyle name="Output 3 3 5 3" xfId="28220" xr:uid="{00000000-0005-0000-0000-0000C4760000}"/>
    <cellStyle name="Output 3 3 5 3 2" xfId="29207" xr:uid="{00000000-0005-0000-0000-0000C5760000}"/>
    <cellStyle name="Output 3 3 5 3 2 2" xfId="31167" xr:uid="{00000000-0005-0000-0000-0000C6760000}"/>
    <cellStyle name="Output 3 3 5 3 3" xfId="30187" xr:uid="{00000000-0005-0000-0000-0000C7760000}"/>
    <cellStyle name="Output 3 3 5 4" xfId="28620" xr:uid="{00000000-0005-0000-0000-0000C8760000}"/>
    <cellStyle name="Output 3 3 5 4 2" xfId="30580" xr:uid="{00000000-0005-0000-0000-0000C9760000}"/>
    <cellStyle name="Output 3 3 5 5" xfId="29600" xr:uid="{00000000-0005-0000-0000-0000CA760000}"/>
    <cellStyle name="Output 3 3 6" xfId="27772" xr:uid="{00000000-0005-0000-0000-0000CB760000}"/>
    <cellStyle name="Output 3 3 6 2" xfId="28760" xr:uid="{00000000-0005-0000-0000-0000CC760000}"/>
    <cellStyle name="Output 3 3 6 2 2" xfId="30720" xr:uid="{00000000-0005-0000-0000-0000CD760000}"/>
    <cellStyle name="Output 3 3 6 3" xfId="29740" xr:uid="{00000000-0005-0000-0000-0000CE760000}"/>
    <cellStyle name="Output 3 3 7" xfId="28326" xr:uid="{00000000-0005-0000-0000-0000CF760000}"/>
    <cellStyle name="Output 3 3 7 2" xfId="30286" xr:uid="{00000000-0005-0000-0000-0000D0760000}"/>
    <cellStyle name="Output 3 3 8" xfId="29306" xr:uid="{00000000-0005-0000-0000-0000D1760000}"/>
    <cellStyle name="Output 3 3 9" xfId="31266" xr:uid="{00000000-0005-0000-0000-0000D2760000}"/>
    <cellStyle name="Output 3 4" xfId="15014" xr:uid="{00000000-0005-0000-0000-0000D3760000}"/>
    <cellStyle name="Output 3 4 2" xfId="27399" xr:uid="{00000000-0005-0000-0000-0000D4760000}"/>
    <cellStyle name="Output 3 4 2 2" xfId="27510" xr:uid="{00000000-0005-0000-0000-0000D5760000}"/>
    <cellStyle name="Output 3 4 2 2 2" xfId="27976" xr:uid="{00000000-0005-0000-0000-0000D6760000}"/>
    <cellStyle name="Output 3 4 2 2 2 2" xfId="28963" xr:uid="{00000000-0005-0000-0000-0000D7760000}"/>
    <cellStyle name="Output 3 4 2 2 2 2 2" xfId="30923" xr:uid="{00000000-0005-0000-0000-0000D8760000}"/>
    <cellStyle name="Output 3 4 2 2 2 3" xfId="29943" xr:uid="{00000000-0005-0000-0000-0000D9760000}"/>
    <cellStyle name="Output 3 4 2 2 3" xfId="28498" xr:uid="{00000000-0005-0000-0000-0000DA760000}"/>
    <cellStyle name="Output 3 4 2 2 3 2" xfId="30458" xr:uid="{00000000-0005-0000-0000-0000DB760000}"/>
    <cellStyle name="Output 3 4 2 2 4" xfId="29478" xr:uid="{00000000-0005-0000-0000-0000DC760000}"/>
    <cellStyle name="Output 3 4 2 3" xfId="27608" xr:uid="{00000000-0005-0000-0000-0000DD760000}"/>
    <cellStyle name="Output 3 4 2 3 2" xfId="28074" xr:uid="{00000000-0005-0000-0000-0000DE760000}"/>
    <cellStyle name="Output 3 4 2 3 2 2" xfId="29061" xr:uid="{00000000-0005-0000-0000-0000DF760000}"/>
    <cellStyle name="Output 3 4 2 3 2 2 2" xfId="31021" xr:uid="{00000000-0005-0000-0000-0000E0760000}"/>
    <cellStyle name="Output 3 4 2 3 2 3" xfId="30041" xr:uid="{00000000-0005-0000-0000-0000E1760000}"/>
    <cellStyle name="Output 3 4 2 3 3" xfId="28213" xr:uid="{00000000-0005-0000-0000-0000E2760000}"/>
    <cellStyle name="Output 3 4 2 3 3 2" xfId="29200" xr:uid="{00000000-0005-0000-0000-0000E3760000}"/>
    <cellStyle name="Output 3 4 2 3 3 2 2" xfId="31160" xr:uid="{00000000-0005-0000-0000-0000E4760000}"/>
    <cellStyle name="Output 3 4 2 3 3 3" xfId="30180" xr:uid="{00000000-0005-0000-0000-0000E5760000}"/>
    <cellStyle name="Output 3 4 2 3 4" xfId="28596" xr:uid="{00000000-0005-0000-0000-0000E6760000}"/>
    <cellStyle name="Output 3 4 2 3 4 2" xfId="30556" xr:uid="{00000000-0005-0000-0000-0000E7760000}"/>
    <cellStyle name="Output 3 4 2 3 5" xfId="29576" xr:uid="{00000000-0005-0000-0000-0000E8760000}"/>
    <cellStyle name="Output 3 4 2 4" xfId="27706" xr:uid="{00000000-0005-0000-0000-0000E9760000}"/>
    <cellStyle name="Output 3 4 2 4 2" xfId="28172" xr:uid="{00000000-0005-0000-0000-0000EA760000}"/>
    <cellStyle name="Output 3 4 2 4 2 2" xfId="29159" xr:uid="{00000000-0005-0000-0000-0000EB760000}"/>
    <cellStyle name="Output 3 4 2 4 2 2 2" xfId="31119" xr:uid="{00000000-0005-0000-0000-0000EC760000}"/>
    <cellStyle name="Output 3 4 2 4 2 3" xfId="30139" xr:uid="{00000000-0005-0000-0000-0000ED760000}"/>
    <cellStyle name="Output 3 4 2 4 3" xfId="28249" xr:uid="{00000000-0005-0000-0000-0000EE760000}"/>
    <cellStyle name="Output 3 4 2 4 3 2" xfId="29236" xr:uid="{00000000-0005-0000-0000-0000EF760000}"/>
    <cellStyle name="Output 3 4 2 4 3 2 2" xfId="31196" xr:uid="{00000000-0005-0000-0000-0000F0760000}"/>
    <cellStyle name="Output 3 4 2 4 3 3" xfId="30216" xr:uid="{00000000-0005-0000-0000-0000F1760000}"/>
    <cellStyle name="Output 3 4 2 4 4" xfId="28694" xr:uid="{00000000-0005-0000-0000-0000F2760000}"/>
    <cellStyle name="Output 3 4 2 4 4 2" xfId="30654" xr:uid="{00000000-0005-0000-0000-0000F3760000}"/>
    <cellStyle name="Output 3 4 2 4 5" xfId="29674" xr:uid="{00000000-0005-0000-0000-0000F4760000}"/>
    <cellStyle name="Output 3 4 2 5" xfId="27878" xr:uid="{00000000-0005-0000-0000-0000F5760000}"/>
    <cellStyle name="Output 3 4 2 5 2" xfId="28865" xr:uid="{00000000-0005-0000-0000-0000F6760000}"/>
    <cellStyle name="Output 3 4 2 5 2 2" xfId="30825" xr:uid="{00000000-0005-0000-0000-0000F7760000}"/>
    <cellStyle name="Output 3 4 2 5 3" xfId="29845" xr:uid="{00000000-0005-0000-0000-0000F8760000}"/>
    <cellStyle name="Output 3 4 2 6" xfId="28400" xr:uid="{00000000-0005-0000-0000-0000F9760000}"/>
    <cellStyle name="Output 3 4 2 6 2" xfId="30360" xr:uid="{00000000-0005-0000-0000-0000FA760000}"/>
    <cellStyle name="Output 3 4 2 7" xfId="29380" xr:uid="{00000000-0005-0000-0000-0000FB760000}"/>
    <cellStyle name="Output 3 4 2 8" xfId="31340" xr:uid="{00000000-0005-0000-0000-0000FC760000}"/>
    <cellStyle name="Output 3 4 3" xfId="27466" xr:uid="{00000000-0005-0000-0000-0000FD760000}"/>
    <cellStyle name="Output 3 4 3 2" xfId="27932" xr:uid="{00000000-0005-0000-0000-0000FE760000}"/>
    <cellStyle name="Output 3 4 3 2 2" xfId="28919" xr:uid="{00000000-0005-0000-0000-0000FF760000}"/>
    <cellStyle name="Output 3 4 3 2 2 2" xfId="30879" xr:uid="{00000000-0005-0000-0000-000000770000}"/>
    <cellStyle name="Output 3 4 3 2 3" xfId="29899" xr:uid="{00000000-0005-0000-0000-000001770000}"/>
    <cellStyle name="Output 3 4 3 3" xfId="28454" xr:uid="{00000000-0005-0000-0000-000002770000}"/>
    <cellStyle name="Output 3 4 3 3 2" xfId="30414" xr:uid="{00000000-0005-0000-0000-000003770000}"/>
    <cellStyle name="Output 3 4 3 4" xfId="29434" xr:uid="{00000000-0005-0000-0000-000004770000}"/>
    <cellStyle name="Output 3 4 4" xfId="27564" xr:uid="{00000000-0005-0000-0000-000005770000}"/>
    <cellStyle name="Output 3 4 4 2" xfId="28030" xr:uid="{00000000-0005-0000-0000-000006770000}"/>
    <cellStyle name="Output 3 4 4 2 2" xfId="29017" xr:uid="{00000000-0005-0000-0000-000007770000}"/>
    <cellStyle name="Output 3 4 4 2 2 2" xfId="30977" xr:uid="{00000000-0005-0000-0000-000008770000}"/>
    <cellStyle name="Output 3 4 4 2 3" xfId="29997" xr:uid="{00000000-0005-0000-0000-000009770000}"/>
    <cellStyle name="Output 3 4 4 3" xfId="28197" xr:uid="{00000000-0005-0000-0000-00000A770000}"/>
    <cellStyle name="Output 3 4 4 3 2" xfId="29184" xr:uid="{00000000-0005-0000-0000-00000B770000}"/>
    <cellStyle name="Output 3 4 4 3 2 2" xfId="31144" xr:uid="{00000000-0005-0000-0000-00000C770000}"/>
    <cellStyle name="Output 3 4 4 3 3" xfId="30164" xr:uid="{00000000-0005-0000-0000-00000D770000}"/>
    <cellStyle name="Output 3 4 4 4" xfId="28552" xr:uid="{00000000-0005-0000-0000-00000E770000}"/>
    <cellStyle name="Output 3 4 4 4 2" xfId="30512" xr:uid="{00000000-0005-0000-0000-00000F770000}"/>
    <cellStyle name="Output 3 4 4 5" xfId="29532" xr:uid="{00000000-0005-0000-0000-000010770000}"/>
    <cellStyle name="Output 3 4 5" xfId="27662" xr:uid="{00000000-0005-0000-0000-000011770000}"/>
    <cellStyle name="Output 3 4 5 2" xfId="28128" xr:uid="{00000000-0005-0000-0000-000012770000}"/>
    <cellStyle name="Output 3 4 5 2 2" xfId="29115" xr:uid="{00000000-0005-0000-0000-000013770000}"/>
    <cellStyle name="Output 3 4 5 2 2 2" xfId="31075" xr:uid="{00000000-0005-0000-0000-000014770000}"/>
    <cellStyle name="Output 3 4 5 2 3" xfId="30095" xr:uid="{00000000-0005-0000-0000-000015770000}"/>
    <cellStyle name="Output 3 4 5 3" xfId="28233" xr:uid="{00000000-0005-0000-0000-000016770000}"/>
    <cellStyle name="Output 3 4 5 3 2" xfId="29220" xr:uid="{00000000-0005-0000-0000-000017770000}"/>
    <cellStyle name="Output 3 4 5 3 2 2" xfId="31180" xr:uid="{00000000-0005-0000-0000-000018770000}"/>
    <cellStyle name="Output 3 4 5 3 3" xfId="30200" xr:uid="{00000000-0005-0000-0000-000019770000}"/>
    <cellStyle name="Output 3 4 5 4" xfId="28650" xr:uid="{00000000-0005-0000-0000-00001A770000}"/>
    <cellStyle name="Output 3 4 5 4 2" xfId="30610" xr:uid="{00000000-0005-0000-0000-00001B770000}"/>
    <cellStyle name="Output 3 4 5 5" xfId="29630" xr:uid="{00000000-0005-0000-0000-00001C770000}"/>
    <cellStyle name="Output 3 4 6" xfId="27802" xr:uid="{00000000-0005-0000-0000-00001D770000}"/>
    <cellStyle name="Output 3 4 6 2" xfId="28790" xr:uid="{00000000-0005-0000-0000-00001E770000}"/>
    <cellStyle name="Output 3 4 6 2 2" xfId="30750" xr:uid="{00000000-0005-0000-0000-00001F770000}"/>
    <cellStyle name="Output 3 4 6 3" xfId="29770" xr:uid="{00000000-0005-0000-0000-000020770000}"/>
    <cellStyle name="Output 3 4 7" xfId="28356" xr:uid="{00000000-0005-0000-0000-000021770000}"/>
    <cellStyle name="Output 3 4 7 2" xfId="30316" xr:uid="{00000000-0005-0000-0000-000022770000}"/>
    <cellStyle name="Output 3 4 8" xfId="29336" xr:uid="{00000000-0005-0000-0000-000023770000}"/>
    <cellStyle name="Output 3 4 9" xfId="31296" xr:uid="{00000000-0005-0000-0000-000024770000}"/>
    <cellStyle name="Output 3 5" xfId="27426" xr:uid="{00000000-0005-0000-0000-000025770000}"/>
    <cellStyle name="Output 3 5 2" xfId="27892" xr:uid="{00000000-0005-0000-0000-000026770000}"/>
    <cellStyle name="Output 3 5 2 2" xfId="28879" xr:uid="{00000000-0005-0000-0000-000027770000}"/>
    <cellStyle name="Output 3 5 2 2 2" xfId="30839" xr:uid="{00000000-0005-0000-0000-000028770000}"/>
    <cellStyle name="Output 3 5 2 3" xfId="29859" xr:uid="{00000000-0005-0000-0000-000029770000}"/>
    <cellStyle name="Output 3 5 3" xfId="28414" xr:uid="{00000000-0005-0000-0000-00002A770000}"/>
    <cellStyle name="Output 3 5 3 2" xfId="30374" xr:uid="{00000000-0005-0000-0000-00002B770000}"/>
    <cellStyle name="Output 3 5 4" xfId="29394" xr:uid="{00000000-0005-0000-0000-00002C770000}"/>
    <cellStyle name="Output 3 6" xfId="27524" xr:uid="{00000000-0005-0000-0000-00002D770000}"/>
    <cellStyle name="Output 3 6 2" xfId="27990" xr:uid="{00000000-0005-0000-0000-00002E770000}"/>
    <cellStyle name="Output 3 6 2 2" xfId="28977" xr:uid="{00000000-0005-0000-0000-00002F770000}"/>
    <cellStyle name="Output 3 6 2 2 2" xfId="30937" xr:uid="{00000000-0005-0000-0000-000030770000}"/>
    <cellStyle name="Output 3 6 2 3" xfId="29957" xr:uid="{00000000-0005-0000-0000-000031770000}"/>
    <cellStyle name="Output 3 6 3" xfId="28180" xr:uid="{00000000-0005-0000-0000-000032770000}"/>
    <cellStyle name="Output 3 6 3 2" xfId="29167" xr:uid="{00000000-0005-0000-0000-000033770000}"/>
    <cellStyle name="Output 3 6 3 2 2" xfId="31127" xr:uid="{00000000-0005-0000-0000-000034770000}"/>
    <cellStyle name="Output 3 6 3 3" xfId="30147" xr:uid="{00000000-0005-0000-0000-000035770000}"/>
    <cellStyle name="Output 3 6 4" xfId="28512" xr:uid="{00000000-0005-0000-0000-000036770000}"/>
    <cellStyle name="Output 3 6 4 2" xfId="30472" xr:uid="{00000000-0005-0000-0000-000037770000}"/>
    <cellStyle name="Output 3 6 5" xfId="29492" xr:uid="{00000000-0005-0000-0000-000038770000}"/>
    <cellStyle name="Output 3 7" xfId="27622" xr:uid="{00000000-0005-0000-0000-000039770000}"/>
    <cellStyle name="Output 3 7 2" xfId="28088" xr:uid="{00000000-0005-0000-0000-00003A770000}"/>
    <cellStyle name="Output 3 7 2 2" xfId="29075" xr:uid="{00000000-0005-0000-0000-00003B770000}"/>
    <cellStyle name="Output 3 7 2 2 2" xfId="31035" xr:uid="{00000000-0005-0000-0000-00003C770000}"/>
    <cellStyle name="Output 3 7 2 3" xfId="30055" xr:uid="{00000000-0005-0000-0000-00003D770000}"/>
    <cellStyle name="Output 3 7 3" xfId="28216" xr:uid="{00000000-0005-0000-0000-00003E770000}"/>
    <cellStyle name="Output 3 7 3 2" xfId="29203" xr:uid="{00000000-0005-0000-0000-00003F770000}"/>
    <cellStyle name="Output 3 7 3 2 2" xfId="31163" xr:uid="{00000000-0005-0000-0000-000040770000}"/>
    <cellStyle name="Output 3 7 3 3" xfId="30183" xr:uid="{00000000-0005-0000-0000-000041770000}"/>
    <cellStyle name="Output 3 7 4" xfId="28610" xr:uid="{00000000-0005-0000-0000-000042770000}"/>
    <cellStyle name="Output 3 7 4 2" xfId="30570" xr:uid="{00000000-0005-0000-0000-000043770000}"/>
    <cellStyle name="Output 3 7 5" xfId="29590" xr:uid="{00000000-0005-0000-0000-000044770000}"/>
    <cellStyle name="Output 3 8" xfId="27721" xr:uid="{00000000-0005-0000-0000-000045770000}"/>
    <cellStyle name="Output 3 8 2" xfId="28709" xr:uid="{00000000-0005-0000-0000-000046770000}"/>
    <cellStyle name="Output 3 8 2 2" xfId="30669" xr:uid="{00000000-0005-0000-0000-000047770000}"/>
    <cellStyle name="Output 3 8 3" xfId="29689" xr:uid="{00000000-0005-0000-0000-000048770000}"/>
    <cellStyle name="Output 3 9" xfId="28316" xr:uid="{00000000-0005-0000-0000-000049770000}"/>
    <cellStyle name="Output 3 9 2" xfId="30276" xr:uid="{00000000-0005-0000-0000-00004A770000}"/>
    <cellStyle name="Output 4" xfId="3243" xr:uid="{00000000-0005-0000-0000-00004B770000}"/>
    <cellStyle name="Output 5" xfId="3244" xr:uid="{00000000-0005-0000-0000-00004C770000}"/>
    <cellStyle name="Output 6" xfId="3245" xr:uid="{00000000-0005-0000-0000-00004D770000}"/>
    <cellStyle name="Output 7" xfId="3246" xr:uid="{00000000-0005-0000-0000-00004E770000}"/>
    <cellStyle name="Output 8" xfId="3247" xr:uid="{00000000-0005-0000-0000-00004F770000}"/>
    <cellStyle name="Output 9" xfId="3248" xr:uid="{00000000-0005-0000-0000-000050770000}"/>
    <cellStyle name="Percent" xfId="5" builtinId="5"/>
    <cellStyle name="Percent 2" xfId="52" xr:uid="{00000000-0005-0000-0000-000052770000}"/>
    <cellStyle name="Percent 2 2" xfId="1637" xr:uid="{00000000-0005-0000-0000-000053770000}"/>
    <cellStyle name="Percent 2 2 2" xfId="15057" xr:uid="{00000000-0005-0000-0000-000054770000}"/>
    <cellStyle name="Percent 2 3" xfId="1638" xr:uid="{00000000-0005-0000-0000-000055770000}"/>
    <cellStyle name="Percent 2 3 2" xfId="15058" xr:uid="{00000000-0005-0000-0000-000056770000}"/>
    <cellStyle name="Percent 2 4" xfId="1639" xr:uid="{00000000-0005-0000-0000-000057770000}"/>
    <cellStyle name="Percent 2 4 2" xfId="15059" xr:uid="{00000000-0005-0000-0000-000058770000}"/>
    <cellStyle name="Percent 2 5" xfId="1640" xr:uid="{00000000-0005-0000-0000-000059770000}"/>
    <cellStyle name="Percent 2 5 2" xfId="15060" xr:uid="{00000000-0005-0000-0000-00005A770000}"/>
    <cellStyle name="Percent 2 6" xfId="1641" xr:uid="{00000000-0005-0000-0000-00005B770000}"/>
    <cellStyle name="Percent 2 6 2" xfId="15061" xr:uid="{00000000-0005-0000-0000-00005C770000}"/>
    <cellStyle name="Percent 2 7" xfId="1642" xr:uid="{00000000-0005-0000-0000-00005D770000}"/>
    <cellStyle name="Percent 2 7 2" xfId="15062" xr:uid="{00000000-0005-0000-0000-00005E770000}"/>
    <cellStyle name="Percent 2 8" xfId="27414" xr:uid="{00000000-0005-0000-0000-00005F770000}"/>
    <cellStyle name="Percent 2 9" xfId="27410" xr:uid="{00000000-0005-0000-0000-000060770000}"/>
    <cellStyle name="Percent 3" xfId="27172" xr:uid="{00000000-0005-0000-0000-000061770000}"/>
    <cellStyle name="Percent 4" xfId="28306" xr:uid="{00000000-0005-0000-0000-000062770000}"/>
    <cellStyle name="Style 1" xfId="27807" xr:uid="{00000000-0005-0000-0000-000063770000}"/>
    <cellStyle name="Title" xfId="6" builtinId="15" customBuiltin="1"/>
    <cellStyle name="Title 2" xfId="1643" xr:uid="{00000000-0005-0000-0000-000065770000}"/>
    <cellStyle name="Title 3" xfId="1644" xr:uid="{00000000-0005-0000-0000-000066770000}"/>
    <cellStyle name="Total" xfId="22" builtinId="25" customBuiltin="1"/>
    <cellStyle name="Total 10" xfId="3249" xr:uid="{00000000-0005-0000-0000-000068770000}"/>
    <cellStyle name="Total 11" xfId="3250" xr:uid="{00000000-0005-0000-0000-000069770000}"/>
    <cellStyle name="Total 12" xfId="3251" xr:uid="{00000000-0005-0000-0000-00006A770000}"/>
    <cellStyle name="Total 13" xfId="3252" xr:uid="{00000000-0005-0000-0000-00006B770000}"/>
    <cellStyle name="Total 14" xfId="3253" xr:uid="{00000000-0005-0000-0000-00006C770000}"/>
    <cellStyle name="Total 15" xfId="3254" xr:uid="{00000000-0005-0000-0000-00006D770000}"/>
    <cellStyle name="Total 16" xfId="3255" xr:uid="{00000000-0005-0000-0000-00006E770000}"/>
    <cellStyle name="Total 17" xfId="3256" xr:uid="{00000000-0005-0000-0000-00006F770000}"/>
    <cellStyle name="Total 18" xfId="3257" xr:uid="{00000000-0005-0000-0000-000070770000}"/>
    <cellStyle name="Total 19" xfId="3258" xr:uid="{00000000-0005-0000-0000-000071770000}"/>
    <cellStyle name="Total 2" xfId="1645" xr:uid="{00000000-0005-0000-0000-000072770000}"/>
    <cellStyle name="Total 2 10" xfId="3259" xr:uid="{00000000-0005-0000-0000-000073770000}"/>
    <cellStyle name="Total 2 11" xfId="3260" xr:uid="{00000000-0005-0000-0000-000074770000}"/>
    <cellStyle name="Total 2 12" xfId="3261" xr:uid="{00000000-0005-0000-0000-000075770000}"/>
    <cellStyle name="Total 2 13" xfId="3262" xr:uid="{00000000-0005-0000-0000-000076770000}"/>
    <cellStyle name="Total 2 14" xfId="3263" xr:uid="{00000000-0005-0000-0000-000077770000}"/>
    <cellStyle name="Total 2 15" xfId="3264" xr:uid="{00000000-0005-0000-0000-000078770000}"/>
    <cellStyle name="Total 2 16" xfId="14967" xr:uid="{00000000-0005-0000-0000-000079770000}"/>
    <cellStyle name="Total 2 16 10" xfId="31277" xr:uid="{00000000-0005-0000-0000-00007A770000}"/>
    <cellStyle name="Total 2 16 2" xfId="15003" xr:uid="{00000000-0005-0000-0000-00007B770000}"/>
    <cellStyle name="Total 2 16 2 2" xfId="27388" xr:uid="{00000000-0005-0000-0000-00007C770000}"/>
    <cellStyle name="Total 2 16 2 2 2" xfId="27499" xr:uid="{00000000-0005-0000-0000-00007D770000}"/>
    <cellStyle name="Total 2 16 2 2 2 2" xfId="27965" xr:uid="{00000000-0005-0000-0000-00007E770000}"/>
    <cellStyle name="Total 2 16 2 2 2 2 2" xfId="28952" xr:uid="{00000000-0005-0000-0000-00007F770000}"/>
    <cellStyle name="Total 2 16 2 2 2 2 2 2" xfId="30912" xr:uid="{00000000-0005-0000-0000-000080770000}"/>
    <cellStyle name="Total 2 16 2 2 2 2 3" xfId="29932" xr:uid="{00000000-0005-0000-0000-000081770000}"/>
    <cellStyle name="Total 2 16 2 2 2 3" xfId="28487" xr:uid="{00000000-0005-0000-0000-000082770000}"/>
    <cellStyle name="Total 2 16 2 2 2 3 2" xfId="30447" xr:uid="{00000000-0005-0000-0000-000083770000}"/>
    <cellStyle name="Total 2 16 2 2 2 4" xfId="29467" xr:uid="{00000000-0005-0000-0000-000084770000}"/>
    <cellStyle name="Total 2 16 2 2 3" xfId="27597" xr:uid="{00000000-0005-0000-0000-000085770000}"/>
    <cellStyle name="Total 2 16 2 2 3 2" xfId="28063" xr:uid="{00000000-0005-0000-0000-000086770000}"/>
    <cellStyle name="Total 2 16 2 2 3 2 2" xfId="29050" xr:uid="{00000000-0005-0000-0000-000087770000}"/>
    <cellStyle name="Total 2 16 2 2 3 2 2 2" xfId="31010" xr:uid="{00000000-0005-0000-0000-000088770000}"/>
    <cellStyle name="Total 2 16 2 2 3 2 3" xfId="30030" xr:uid="{00000000-0005-0000-0000-000089770000}"/>
    <cellStyle name="Total 2 16 2 2 3 3" xfId="28208" xr:uid="{00000000-0005-0000-0000-00008A770000}"/>
    <cellStyle name="Total 2 16 2 2 3 3 2" xfId="29195" xr:uid="{00000000-0005-0000-0000-00008B770000}"/>
    <cellStyle name="Total 2 16 2 2 3 3 2 2" xfId="31155" xr:uid="{00000000-0005-0000-0000-00008C770000}"/>
    <cellStyle name="Total 2 16 2 2 3 3 3" xfId="30175" xr:uid="{00000000-0005-0000-0000-00008D770000}"/>
    <cellStyle name="Total 2 16 2 2 3 4" xfId="28585" xr:uid="{00000000-0005-0000-0000-00008E770000}"/>
    <cellStyle name="Total 2 16 2 2 3 4 2" xfId="30545" xr:uid="{00000000-0005-0000-0000-00008F770000}"/>
    <cellStyle name="Total 2 16 2 2 3 5" xfId="29565" xr:uid="{00000000-0005-0000-0000-000090770000}"/>
    <cellStyle name="Total 2 16 2 2 4" xfId="27695" xr:uid="{00000000-0005-0000-0000-000091770000}"/>
    <cellStyle name="Total 2 16 2 2 4 2" xfId="28161" xr:uid="{00000000-0005-0000-0000-000092770000}"/>
    <cellStyle name="Total 2 16 2 2 4 2 2" xfId="29148" xr:uid="{00000000-0005-0000-0000-000093770000}"/>
    <cellStyle name="Total 2 16 2 2 4 2 2 2" xfId="31108" xr:uid="{00000000-0005-0000-0000-000094770000}"/>
    <cellStyle name="Total 2 16 2 2 4 2 3" xfId="30128" xr:uid="{00000000-0005-0000-0000-000095770000}"/>
    <cellStyle name="Total 2 16 2 2 4 3" xfId="28244" xr:uid="{00000000-0005-0000-0000-000096770000}"/>
    <cellStyle name="Total 2 16 2 2 4 3 2" xfId="29231" xr:uid="{00000000-0005-0000-0000-000097770000}"/>
    <cellStyle name="Total 2 16 2 2 4 3 2 2" xfId="31191" xr:uid="{00000000-0005-0000-0000-000098770000}"/>
    <cellStyle name="Total 2 16 2 2 4 3 3" xfId="30211" xr:uid="{00000000-0005-0000-0000-000099770000}"/>
    <cellStyle name="Total 2 16 2 2 4 4" xfId="28683" xr:uid="{00000000-0005-0000-0000-00009A770000}"/>
    <cellStyle name="Total 2 16 2 2 4 4 2" xfId="30643" xr:uid="{00000000-0005-0000-0000-00009B770000}"/>
    <cellStyle name="Total 2 16 2 2 4 5" xfId="29663" xr:uid="{00000000-0005-0000-0000-00009C770000}"/>
    <cellStyle name="Total 2 16 2 2 5" xfId="27867" xr:uid="{00000000-0005-0000-0000-00009D770000}"/>
    <cellStyle name="Total 2 16 2 2 5 2" xfId="28854" xr:uid="{00000000-0005-0000-0000-00009E770000}"/>
    <cellStyle name="Total 2 16 2 2 5 2 2" xfId="30814" xr:uid="{00000000-0005-0000-0000-00009F770000}"/>
    <cellStyle name="Total 2 16 2 2 5 3" xfId="29834" xr:uid="{00000000-0005-0000-0000-0000A0770000}"/>
    <cellStyle name="Total 2 16 2 2 6" xfId="28389" xr:uid="{00000000-0005-0000-0000-0000A1770000}"/>
    <cellStyle name="Total 2 16 2 2 6 2" xfId="30349" xr:uid="{00000000-0005-0000-0000-0000A2770000}"/>
    <cellStyle name="Total 2 16 2 2 7" xfId="29369" xr:uid="{00000000-0005-0000-0000-0000A3770000}"/>
    <cellStyle name="Total 2 16 2 2 8" xfId="31329" xr:uid="{00000000-0005-0000-0000-0000A4770000}"/>
    <cellStyle name="Total 2 16 2 3" xfId="27455" xr:uid="{00000000-0005-0000-0000-0000A5770000}"/>
    <cellStyle name="Total 2 16 2 3 2" xfId="27921" xr:uid="{00000000-0005-0000-0000-0000A6770000}"/>
    <cellStyle name="Total 2 16 2 3 2 2" xfId="28908" xr:uid="{00000000-0005-0000-0000-0000A7770000}"/>
    <cellStyle name="Total 2 16 2 3 2 2 2" xfId="30868" xr:uid="{00000000-0005-0000-0000-0000A8770000}"/>
    <cellStyle name="Total 2 16 2 3 2 3" xfId="29888" xr:uid="{00000000-0005-0000-0000-0000A9770000}"/>
    <cellStyle name="Total 2 16 2 3 3" xfId="28443" xr:uid="{00000000-0005-0000-0000-0000AA770000}"/>
    <cellStyle name="Total 2 16 2 3 3 2" xfId="30403" xr:uid="{00000000-0005-0000-0000-0000AB770000}"/>
    <cellStyle name="Total 2 16 2 3 4" xfId="29423" xr:uid="{00000000-0005-0000-0000-0000AC770000}"/>
    <cellStyle name="Total 2 16 2 4" xfId="27553" xr:uid="{00000000-0005-0000-0000-0000AD770000}"/>
    <cellStyle name="Total 2 16 2 4 2" xfId="28019" xr:uid="{00000000-0005-0000-0000-0000AE770000}"/>
    <cellStyle name="Total 2 16 2 4 2 2" xfId="29006" xr:uid="{00000000-0005-0000-0000-0000AF770000}"/>
    <cellStyle name="Total 2 16 2 4 2 2 2" xfId="30966" xr:uid="{00000000-0005-0000-0000-0000B0770000}"/>
    <cellStyle name="Total 2 16 2 4 2 3" xfId="29986" xr:uid="{00000000-0005-0000-0000-0000B1770000}"/>
    <cellStyle name="Total 2 16 2 4 3" xfId="28192" xr:uid="{00000000-0005-0000-0000-0000B2770000}"/>
    <cellStyle name="Total 2 16 2 4 3 2" xfId="29179" xr:uid="{00000000-0005-0000-0000-0000B3770000}"/>
    <cellStyle name="Total 2 16 2 4 3 2 2" xfId="31139" xr:uid="{00000000-0005-0000-0000-0000B4770000}"/>
    <cellStyle name="Total 2 16 2 4 3 3" xfId="30159" xr:uid="{00000000-0005-0000-0000-0000B5770000}"/>
    <cellStyle name="Total 2 16 2 4 4" xfId="28541" xr:uid="{00000000-0005-0000-0000-0000B6770000}"/>
    <cellStyle name="Total 2 16 2 4 4 2" xfId="30501" xr:uid="{00000000-0005-0000-0000-0000B7770000}"/>
    <cellStyle name="Total 2 16 2 4 5" xfId="29521" xr:uid="{00000000-0005-0000-0000-0000B8770000}"/>
    <cellStyle name="Total 2 16 2 5" xfId="27651" xr:uid="{00000000-0005-0000-0000-0000B9770000}"/>
    <cellStyle name="Total 2 16 2 5 2" xfId="28117" xr:uid="{00000000-0005-0000-0000-0000BA770000}"/>
    <cellStyle name="Total 2 16 2 5 2 2" xfId="29104" xr:uid="{00000000-0005-0000-0000-0000BB770000}"/>
    <cellStyle name="Total 2 16 2 5 2 2 2" xfId="31064" xr:uid="{00000000-0005-0000-0000-0000BC770000}"/>
    <cellStyle name="Total 2 16 2 5 2 3" xfId="30084" xr:uid="{00000000-0005-0000-0000-0000BD770000}"/>
    <cellStyle name="Total 2 16 2 5 3" xfId="28228" xr:uid="{00000000-0005-0000-0000-0000BE770000}"/>
    <cellStyle name="Total 2 16 2 5 3 2" xfId="29215" xr:uid="{00000000-0005-0000-0000-0000BF770000}"/>
    <cellStyle name="Total 2 16 2 5 3 2 2" xfId="31175" xr:uid="{00000000-0005-0000-0000-0000C0770000}"/>
    <cellStyle name="Total 2 16 2 5 3 3" xfId="30195" xr:uid="{00000000-0005-0000-0000-0000C1770000}"/>
    <cellStyle name="Total 2 16 2 5 4" xfId="28639" xr:uid="{00000000-0005-0000-0000-0000C2770000}"/>
    <cellStyle name="Total 2 16 2 5 4 2" xfId="30599" xr:uid="{00000000-0005-0000-0000-0000C3770000}"/>
    <cellStyle name="Total 2 16 2 5 5" xfId="29619" xr:uid="{00000000-0005-0000-0000-0000C4770000}"/>
    <cellStyle name="Total 2 16 2 6" xfId="27791" xr:uid="{00000000-0005-0000-0000-0000C5770000}"/>
    <cellStyle name="Total 2 16 2 6 2" xfId="28779" xr:uid="{00000000-0005-0000-0000-0000C6770000}"/>
    <cellStyle name="Total 2 16 2 6 2 2" xfId="30739" xr:uid="{00000000-0005-0000-0000-0000C7770000}"/>
    <cellStyle name="Total 2 16 2 6 3" xfId="29759" xr:uid="{00000000-0005-0000-0000-0000C8770000}"/>
    <cellStyle name="Total 2 16 2 7" xfId="28345" xr:uid="{00000000-0005-0000-0000-0000C9770000}"/>
    <cellStyle name="Total 2 16 2 7 2" xfId="30305" xr:uid="{00000000-0005-0000-0000-0000CA770000}"/>
    <cellStyle name="Total 2 16 2 8" xfId="29325" xr:uid="{00000000-0005-0000-0000-0000CB770000}"/>
    <cellStyle name="Total 2 16 2 9" xfId="31285" xr:uid="{00000000-0005-0000-0000-0000CC770000}"/>
    <cellStyle name="Total 2 16 3" xfId="27380" xr:uid="{00000000-0005-0000-0000-0000CD770000}"/>
    <cellStyle name="Total 2 16 3 2" xfId="27491" xr:uid="{00000000-0005-0000-0000-0000CE770000}"/>
    <cellStyle name="Total 2 16 3 2 2" xfId="27957" xr:uid="{00000000-0005-0000-0000-0000CF770000}"/>
    <cellStyle name="Total 2 16 3 2 2 2" xfId="28944" xr:uid="{00000000-0005-0000-0000-0000D0770000}"/>
    <cellStyle name="Total 2 16 3 2 2 2 2" xfId="30904" xr:uid="{00000000-0005-0000-0000-0000D1770000}"/>
    <cellStyle name="Total 2 16 3 2 2 3" xfId="29924" xr:uid="{00000000-0005-0000-0000-0000D2770000}"/>
    <cellStyle name="Total 2 16 3 2 3" xfId="28479" xr:uid="{00000000-0005-0000-0000-0000D3770000}"/>
    <cellStyle name="Total 2 16 3 2 3 2" xfId="30439" xr:uid="{00000000-0005-0000-0000-0000D4770000}"/>
    <cellStyle name="Total 2 16 3 2 4" xfId="29459" xr:uid="{00000000-0005-0000-0000-0000D5770000}"/>
    <cellStyle name="Total 2 16 3 3" xfId="27589" xr:uid="{00000000-0005-0000-0000-0000D6770000}"/>
    <cellStyle name="Total 2 16 3 3 2" xfId="28055" xr:uid="{00000000-0005-0000-0000-0000D7770000}"/>
    <cellStyle name="Total 2 16 3 3 2 2" xfId="29042" xr:uid="{00000000-0005-0000-0000-0000D8770000}"/>
    <cellStyle name="Total 2 16 3 3 2 2 2" xfId="31002" xr:uid="{00000000-0005-0000-0000-0000D9770000}"/>
    <cellStyle name="Total 2 16 3 3 2 3" xfId="30022" xr:uid="{00000000-0005-0000-0000-0000DA770000}"/>
    <cellStyle name="Total 2 16 3 3 3" xfId="28205" xr:uid="{00000000-0005-0000-0000-0000DB770000}"/>
    <cellStyle name="Total 2 16 3 3 3 2" xfId="29192" xr:uid="{00000000-0005-0000-0000-0000DC770000}"/>
    <cellStyle name="Total 2 16 3 3 3 2 2" xfId="31152" xr:uid="{00000000-0005-0000-0000-0000DD770000}"/>
    <cellStyle name="Total 2 16 3 3 3 3" xfId="30172" xr:uid="{00000000-0005-0000-0000-0000DE770000}"/>
    <cellStyle name="Total 2 16 3 3 4" xfId="28577" xr:uid="{00000000-0005-0000-0000-0000DF770000}"/>
    <cellStyle name="Total 2 16 3 3 4 2" xfId="30537" xr:uid="{00000000-0005-0000-0000-0000E0770000}"/>
    <cellStyle name="Total 2 16 3 3 5" xfId="29557" xr:uid="{00000000-0005-0000-0000-0000E1770000}"/>
    <cellStyle name="Total 2 16 3 4" xfId="27687" xr:uid="{00000000-0005-0000-0000-0000E2770000}"/>
    <cellStyle name="Total 2 16 3 4 2" xfId="28153" xr:uid="{00000000-0005-0000-0000-0000E3770000}"/>
    <cellStyle name="Total 2 16 3 4 2 2" xfId="29140" xr:uid="{00000000-0005-0000-0000-0000E4770000}"/>
    <cellStyle name="Total 2 16 3 4 2 2 2" xfId="31100" xr:uid="{00000000-0005-0000-0000-0000E5770000}"/>
    <cellStyle name="Total 2 16 3 4 2 3" xfId="30120" xr:uid="{00000000-0005-0000-0000-0000E6770000}"/>
    <cellStyle name="Total 2 16 3 4 3" xfId="28241" xr:uid="{00000000-0005-0000-0000-0000E7770000}"/>
    <cellStyle name="Total 2 16 3 4 3 2" xfId="29228" xr:uid="{00000000-0005-0000-0000-0000E8770000}"/>
    <cellStyle name="Total 2 16 3 4 3 2 2" xfId="31188" xr:uid="{00000000-0005-0000-0000-0000E9770000}"/>
    <cellStyle name="Total 2 16 3 4 3 3" xfId="30208" xr:uid="{00000000-0005-0000-0000-0000EA770000}"/>
    <cellStyle name="Total 2 16 3 4 4" xfId="28675" xr:uid="{00000000-0005-0000-0000-0000EB770000}"/>
    <cellStyle name="Total 2 16 3 4 4 2" xfId="30635" xr:uid="{00000000-0005-0000-0000-0000EC770000}"/>
    <cellStyle name="Total 2 16 3 4 5" xfId="29655" xr:uid="{00000000-0005-0000-0000-0000ED770000}"/>
    <cellStyle name="Total 2 16 3 5" xfId="27859" xr:uid="{00000000-0005-0000-0000-0000EE770000}"/>
    <cellStyle name="Total 2 16 3 5 2" xfId="28846" xr:uid="{00000000-0005-0000-0000-0000EF770000}"/>
    <cellStyle name="Total 2 16 3 5 2 2" xfId="30806" xr:uid="{00000000-0005-0000-0000-0000F0770000}"/>
    <cellStyle name="Total 2 16 3 5 3" xfId="29826" xr:uid="{00000000-0005-0000-0000-0000F1770000}"/>
    <cellStyle name="Total 2 16 3 6" xfId="28381" xr:uid="{00000000-0005-0000-0000-0000F2770000}"/>
    <cellStyle name="Total 2 16 3 6 2" xfId="30341" xr:uid="{00000000-0005-0000-0000-0000F3770000}"/>
    <cellStyle name="Total 2 16 3 7" xfId="29361" xr:uid="{00000000-0005-0000-0000-0000F4770000}"/>
    <cellStyle name="Total 2 16 3 8" xfId="31321" xr:uid="{00000000-0005-0000-0000-0000F5770000}"/>
    <cellStyle name="Total 2 16 4" xfId="27447" xr:uid="{00000000-0005-0000-0000-0000F6770000}"/>
    <cellStyle name="Total 2 16 4 2" xfId="27913" xr:uid="{00000000-0005-0000-0000-0000F7770000}"/>
    <cellStyle name="Total 2 16 4 2 2" xfId="28900" xr:uid="{00000000-0005-0000-0000-0000F8770000}"/>
    <cellStyle name="Total 2 16 4 2 2 2" xfId="30860" xr:uid="{00000000-0005-0000-0000-0000F9770000}"/>
    <cellStyle name="Total 2 16 4 2 3" xfId="29880" xr:uid="{00000000-0005-0000-0000-0000FA770000}"/>
    <cellStyle name="Total 2 16 4 3" xfId="28435" xr:uid="{00000000-0005-0000-0000-0000FB770000}"/>
    <cellStyle name="Total 2 16 4 3 2" xfId="30395" xr:uid="{00000000-0005-0000-0000-0000FC770000}"/>
    <cellStyle name="Total 2 16 4 4" xfId="29415" xr:uid="{00000000-0005-0000-0000-0000FD770000}"/>
    <cellStyle name="Total 2 16 5" xfId="27545" xr:uid="{00000000-0005-0000-0000-0000FE770000}"/>
    <cellStyle name="Total 2 16 5 2" xfId="28011" xr:uid="{00000000-0005-0000-0000-0000FF770000}"/>
    <cellStyle name="Total 2 16 5 2 2" xfId="28998" xr:uid="{00000000-0005-0000-0000-000000780000}"/>
    <cellStyle name="Total 2 16 5 2 2 2" xfId="30958" xr:uid="{00000000-0005-0000-0000-000001780000}"/>
    <cellStyle name="Total 2 16 5 2 3" xfId="29978" xr:uid="{00000000-0005-0000-0000-000002780000}"/>
    <cellStyle name="Total 2 16 5 3" xfId="28189" xr:uid="{00000000-0005-0000-0000-000003780000}"/>
    <cellStyle name="Total 2 16 5 3 2" xfId="29176" xr:uid="{00000000-0005-0000-0000-000004780000}"/>
    <cellStyle name="Total 2 16 5 3 2 2" xfId="31136" xr:uid="{00000000-0005-0000-0000-000005780000}"/>
    <cellStyle name="Total 2 16 5 3 3" xfId="30156" xr:uid="{00000000-0005-0000-0000-000006780000}"/>
    <cellStyle name="Total 2 16 5 4" xfId="28533" xr:uid="{00000000-0005-0000-0000-000007780000}"/>
    <cellStyle name="Total 2 16 5 4 2" xfId="30493" xr:uid="{00000000-0005-0000-0000-000008780000}"/>
    <cellStyle name="Total 2 16 5 5" xfId="29513" xr:uid="{00000000-0005-0000-0000-000009780000}"/>
    <cellStyle name="Total 2 16 6" xfId="27643" xr:uid="{00000000-0005-0000-0000-00000A780000}"/>
    <cellStyle name="Total 2 16 6 2" xfId="28109" xr:uid="{00000000-0005-0000-0000-00000B780000}"/>
    <cellStyle name="Total 2 16 6 2 2" xfId="29096" xr:uid="{00000000-0005-0000-0000-00000C780000}"/>
    <cellStyle name="Total 2 16 6 2 2 2" xfId="31056" xr:uid="{00000000-0005-0000-0000-00000D780000}"/>
    <cellStyle name="Total 2 16 6 2 3" xfId="30076" xr:uid="{00000000-0005-0000-0000-00000E780000}"/>
    <cellStyle name="Total 2 16 6 3" xfId="28225" xr:uid="{00000000-0005-0000-0000-00000F780000}"/>
    <cellStyle name="Total 2 16 6 3 2" xfId="29212" xr:uid="{00000000-0005-0000-0000-000010780000}"/>
    <cellStyle name="Total 2 16 6 3 2 2" xfId="31172" xr:uid="{00000000-0005-0000-0000-000011780000}"/>
    <cellStyle name="Total 2 16 6 3 3" xfId="30192" xr:uid="{00000000-0005-0000-0000-000012780000}"/>
    <cellStyle name="Total 2 16 6 4" xfId="28631" xr:uid="{00000000-0005-0000-0000-000013780000}"/>
    <cellStyle name="Total 2 16 6 4 2" xfId="30591" xr:uid="{00000000-0005-0000-0000-000014780000}"/>
    <cellStyle name="Total 2 16 6 5" xfId="29611" xr:uid="{00000000-0005-0000-0000-000015780000}"/>
    <cellStyle name="Total 2 16 7" xfId="27783" xr:uid="{00000000-0005-0000-0000-000016780000}"/>
    <cellStyle name="Total 2 16 7 2" xfId="28771" xr:uid="{00000000-0005-0000-0000-000017780000}"/>
    <cellStyle name="Total 2 16 7 2 2" xfId="30731" xr:uid="{00000000-0005-0000-0000-000018780000}"/>
    <cellStyle name="Total 2 16 7 3" xfId="29751" xr:uid="{00000000-0005-0000-0000-000019780000}"/>
    <cellStyle name="Total 2 16 8" xfId="28337" xr:uid="{00000000-0005-0000-0000-00001A780000}"/>
    <cellStyle name="Total 2 16 8 2" xfId="30297" xr:uid="{00000000-0005-0000-0000-00001B780000}"/>
    <cellStyle name="Total 2 16 9" xfId="29317" xr:uid="{00000000-0005-0000-0000-00001C780000}"/>
    <cellStyle name="Total 2 17" xfId="14950" xr:uid="{00000000-0005-0000-0000-00001D780000}"/>
    <cellStyle name="Total 2 17 2" xfId="27370" xr:uid="{00000000-0005-0000-0000-00001E780000}"/>
    <cellStyle name="Total 2 17 2 2" xfId="27481" xr:uid="{00000000-0005-0000-0000-00001F780000}"/>
    <cellStyle name="Total 2 17 2 2 2" xfId="27947" xr:uid="{00000000-0005-0000-0000-000020780000}"/>
    <cellStyle name="Total 2 17 2 2 2 2" xfId="28934" xr:uid="{00000000-0005-0000-0000-000021780000}"/>
    <cellStyle name="Total 2 17 2 2 2 2 2" xfId="30894" xr:uid="{00000000-0005-0000-0000-000022780000}"/>
    <cellStyle name="Total 2 17 2 2 2 3" xfId="29914" xr:uid="{00000000-0005-0000-0000-000023780000}"/>
    <cellStyle name="Total 2 17 2 2 3" xfId="28469" xr:uid="{00000000-0005-0000-0000-000024780000}"/>
    <cellStyle name="Total 2 17 2 2 3 2" xfId="30429" xr:uid="{00000000-0005-0000-0000-000025780000}"/>
    <cellStyle name="Total 2 17 2 2 4" xfId="29449" xr:uid="{00000000-0005-0000-0000-000026780000}"/>
    <cellStyle name="Total 2 17 2 3" xfId="27579" xr:uid="{00000000-0005-0000-0000-000027780000}"/>
    <cellStyle name="Total 2 17 2 3 2" xfId="28045" xr:uid="{00000000-0005-0000-0000-000028780000}"/>
    <cellStyle name="Total 2 17 2 3 2 2" xfId="29032" xr:uid="{00000000-0005-0000-0000-000029780000}"/>
    <cellStyle name="Total 2 17 2 3 2 2 2" xfId="30992" xr:uid="{00000000-0005-0000-0000-00002A780000}"/>
    <cellStyle name="Total 2 17 2 3 2 3" xfId="30012" xr:uid="{00000000-0005-0000-0000-00002B780000}"/>
    <cellStyle name="Total 2 17 2 3 3" xfId="28201" xr:uid="{00000000-0005-0000-0000-00002C780000}"/>
    <cellStyle name="Total 2 17 2 3 3 2" xfId="29188" xr:uid="{00000000-0005-0000-0000-00002D780000}"/>
    <cellStyle name="Total 2 17 2 3 3 2 2" xfId="31148" xr:uid="{00000000-0005-0000-0000-00002E780000}"/>
    <cellStyle name="Total 2 17 2 3 3 3" xfId="30168" xr:uid="{00000000-0005-0000-0000-00002F780000}"/>
    <cellStyle name="Total 2 17 2 3 4" xfId="28567" xr:uid="{00000000-0005-0000-0000-000030780000}"/>
    <cellStyle name="Total 2 17 2 3 4 2" xfId="30527" xr:uid="{00000000-0005-0000-0000-000031780000}"/>
    <cellStyle name="Total 2 17 2 3 5" xfId="29547" xr:uid="{00000000-0005-0000-0000-000032780000}"/>
    <cellStyle name="Total 2 17 2 4" xfId="27677" xr:uid="{00000000-0005-0000-0000-000033780000}"/>
    <cellStyle name="Total 2 17 2 4 2" xfId="28143" xr:uid="{00000000-0005-0000-0000-000034780000}"/>
    <cellStyle name="Total 2 17 2 4 2 2" xfId="29130" xr:uid="{00000000-0005-0000-0000-000035780000}"/>
    <cellStyle name="Total 2 17 2 4 2 2 2" xfId="31090" xr:uid="{00000000-0005-0000-0000-000036780000}"/>
    <cellStyle name="Total 2 17 2 4 2 3" xfId="30110" xr:uid="{00000000-0005-0000-0000-000037780000}"/>
    <cellStyle name="Total 2 17 2 4 3" xfId="28237" xr:uid="{00000000-0005-0000-0000-000038780000}"/>
    <cellStyle name="Total 2 17 2 4 3 2" xfId="29224" xr:uid="{00000000-0005-0000-0000-000039780000}"/>
    <cellStyle name="Total 2 17 2 4 3 2 2" xfId="31184" xr:uid="{00000000-0005-0000-0000-00003A780000}"/>
    <cellStyle name="Total 2 17 2 4 3 3" xfId="30204" xr:uid="{00000000-0005-0000-0000-00003B780000}"/>
    <cellStyle name="Total 2 17 2 4 4" xfId="28665" xr:uid="{00000000-0005-0000-0000-00003C780000}"/>
    <cellStyle name="Total 2 17 2 4 4 2" xfId="30625" xr:uid="{00000000-0005-0000-0000-00003D780000}"/>
    <cellStyle name="Total 2 17 2 4 5" xfId="29645" xr:uid="{00000000-0005-0000-0000-00003E780000}"/>
    <cellStyle name="Total 2 17 2 5" xfId="27849" xr:uid="{00000000-0005-0000-0000-00003F780000}"/>
    <cellStyle name="Total 2 17 2 5 2" xfId="28836" xr:uid="{00000000-0005-0000-0000-000040780000}"/>
    <cellStyle name="Total 2 17 2 5 2 2" xfId="30796" xr:uid="{00000000-0005-0000-0000-000041780000}"/>
    <cellStyle name="Total 2 17 2 5 3" xfId="29816" xr:uid="{00000000-0005-0000-0000-000042780000}"/>
    <cellStyle name="Total 2 17 2 6" xfId="28371" xr:uid="{00000000-0005-0000-0000-000043780000}"/>
    <cellStyle name="Total 2 17 2 6 2" xfId="30331" xr:uid="{00000000-0005-0000-0000-000044780000}"/>
    <cellStyle name="Total 2 17 2 7" xfId="29351" xr:uid="{00000000-0005-0000-0000-000045780000}"/>
    <cellStyle name="Total 2 17 2 8" xfId="31311" xr:uid="{00000000-0005-0000-0000-000046780000}"/>
    <cellStyle name="Total 2 17 3" xfId="27437" xr:uid="{00000000-0005-0000-0000-000047780000}"/>
    <cellStyle name="Total 2 17 3 2" xfId="27903" xr:uid="{00000000-0005-0000-0000-000048780000}"/>
    <cellStyle name="Total 2 17 3 2 2" xfId="28890" xr:uid="{00000000-0005-0000-0000-000049780000}"/>
    <cellStyle name="Total 2 17 3 2 2 2" xfId="30850" xr:uid="{00000000-0005-0000-0000-00004A780000}"/>
    <cellStyle name="Total 2 17 3 2 3" xfId="29870" xr:uid="{00000000-0005-0000-0000-00004B780000}"/>
    <cellStyle name="Total 2 17 3 3" xfId="28425" xr:uid="{00000000-0005-0000-0000-00004C780000}"/>
    <cellStyle name="Total 2 17 3 3 2" xfId="30385" xr:uid="{00000000-0005-0000-0000-00004D780000}"/>
    <cellStyle name="Total 2 17 3 4" xfId="29405" xr:uid="{00000000-0005-0000-0000-00004E780000}"/>
    <cellStyle name="Total 2 17 4" xfId="27535" xr:uid="{00000000-0005-0000-0000-00004F780000}"/>
    <cellStyle name="Total 2 17 4 2" xfId="28001" xr:uid="{00000000-0005-0000-0000-000050780000}"/>
    <cellStyle name="Total 2 17 4 2 2" xfId="28988" xr:uid="{00000000-0005-0000-0000-000051780000}"/>
    <cellStyle name="Total 2 17 4 2 2 2" xfId="30948" xr:uid="{00000000-0005-0000-0000-000052780000}"/>
    <cellStyle name="Total 2 17 4 2 3" xfId="29968" xr:uid="{00000000-0005-0000-0000-000053780000}"/>
    <cellStyle name="Total 2 17 4 3" xfId="28185" xr:uid="{00000000-0005-0000-0000-000054780000}"/>
    <cellStyle name="Total 2 17 4 3 2" xfId="29172" xr:uid="{00000000-0005-0000-0000-000055780000}"/>
    <cellStyle name="Total 2 17 4 3 2 2" xfId="31132" xr:uid="{00000000-0005-0000-0000-000056780000}"/>
    <cellStyle name="Total 2 17 4 3 3" xfId="30152" xr:uid="{00000000-0005-0000-0000-000057780000}"/>
    <cellStyle name="Total 2 17 4 4" xfId="28523" xr:uid="{00000000-0005-0000-0000-000058780000}"/>
    <cellStyle name="Total 2 17 4 4 2" xfId="30483" xr:uid="{00000000-0005-0000-0000-000059780000}"/>
    <cellStyle name="Total 2 17 4 5" xfId="29503" xr:uid="{00000000-0005-0000-0000-00005A780000}"/>
    <cellStyle name="Total 2 17 5" xfId="27633" xr:uid="{00000000-0005-0000-0000-00005B780000}"/>
    <cellStyle name="Total 2 17 5 2" xfId="28099" xr:uid="{00000000-0005-0000-0000-00005C780000}"/>
    <cellStyle name="Total 2 17 5 2 2" xfId="29086" xr:uid="{00000000-0005-0000-0000-00005D780000}"/>
    <cellStyle name="Total 2 17 5 2 2 2" xfId="31046" xr:uid="{00000000-0005-0000-0000-00005E780000}"/>
    <cellStyle name="Total 2 17 5 2 3" xfId="30066" xr:uid="{00000000-0005-0000-0000-00005F780000}"/>
    <cellStyle name="Total 2 17 5 3" xfId="28221" xr:uid="{00000000-0005-0000-0000-000060780000}"/>
    <cellStyle name="Total 2 17 5 3 2" xfId="29208" xr:uid="{00000000-0005-0000-0000-000061780000}"/>
    <cellStyle name="Total 2 17 5 3 2 2" xfId="31168" xr:uid="{00000000-0005-0000-0000-000062780000}"/>
    <cellStyle name="Total 2 17 5 3 3" xfId="30188" xr:uid="{00000000-0005-0000-0000-000063780000}"/>
    <cellStyle name="Total 2 17 5 4" xfId="28621" xr:uid="{00000000-0005-0000-0000-000064780000}"/>
    <cellStyle name="Total 2 17 5 4 2" xfId="30581" xr:uid="{00000000-0005-0000-0000-000065780000}"/>
    <cellStyle name="Total 2 17 5 5" xfId="29601" xr:uid="{00000000-0005-0000-0000-000066780000}"/>
    <cellStyle name="Total 2 17 6" xfId="27773" xr:uid="{00000000-0005-0000-0000-000067780000}"/>
    <cellStyle name="Total 2 17 6 2" xfId="28761" xr:uid="{00000000-0005-0000-0000-000068780000}"/>
    <cellStyle name="Total 2 17 6 2 2" xfId="30721" xr:uid="{00000000-0005-0000-0000-000069780000}"/>
    <cellStyle name="Total 2 17 6 3" xfId="29741" xr:uid="{00000000-0005-0000-0000-00006A780000}"/>
    <cellStyle name="Total 2 17 7" xfId="28327" xr:uid="{00000000-0005-0000-0000-00006B780000}"/>
    <cellStyle name="Total 2 17 7 2" xfId="30287" xr:uid="{00000000-0005-0000-0000-00006C780000}"/>
    <cellStyle name="Total 2 17 8" xfId="29307" xr:uid="{00000000-0005-0000-0000-00006D780000}"/>
    <cellStyle name="Total 2 17 9" xfId="31267" xr:uid="{00000000-0005-0000-0000-00006E780000}"/>
    <cellStyle name="Total 2 18" xfId="15013" xr:uid="{00000000-0005-0000-0000-00006F780000}"/>
    <cellStyle name="Total 2 18 2" xfId="27398" xr:uid="{00000000-0005-0000-0000-000070780000}"/>
    <cellStyle name="Total 2 18 2 2" xfId="27509" xr:uid="{00000000-0005-0000-0000-000071780000}"/>
    <cellStyle name="Total 2 18 2 2 2" xfId="27975" xr:uid="{00000000-0005-0000-0000-000072780000}"/>
    <cellStyle name="Total 2 18 2 2 2 2" xfId="28962" xr:uid="{00000000-0005-0000-0000-000073780000}"/>
    <cellStyle name="Total 2 18 2 2 2 2 2" xfId="30922" xr:uid="{00000000-0005-0000-0000-000074780000}"/>
    <cellStyle name="Total 2 18 2 2 2 3" xfId="29942" xr:uid="{00000000-0005-0000-0000-000075780000}"/>
    <cellStyle name="Total 2 18 2 2 3" xfId="28497" xr:uid="{00000000-0005-0000-0000-000076780000}"/>
    <cellStyle name="Total 2 18 2 2 3 2" xfId="30457" xr:uid="{00000000-0005-0000-0000-000077780000}"/>
    <cellStyle name="Total 2 18 2 2 4" xfId="29477" xr:uid="{00000000-0005-0000-0000-000078780000}"/>
    <cellStyle name="Total 2 18 2 3" xfId="27607" xr:uid="{00000000-0005-0000-0000-000079780000}"/>
    <cellStyle name="Total 2 18 2 3 2" xfId="28073" xr:uid="{00000000-0005-0000-0000-00007A780000}"/>
    <cellStyle name="Total 2 18 2 3 2 2" xfId="29060" xr:uid="{00000000-0005-0000-0000-00007B780000}"/>
    <cellStyle name="Total 2 18 2 3 2 2 2" xfId="31020" xr:uid="{00000000-0005-0000-0000-00007C780000}"/>
    <cellStyle name="Total 2 18 2 3 2 3" xfId="30040" xr:uid="{00000000-0005-0000-0000-00007D780000}"/>
    <cellStyle name="Total 2 18 2 3 3" xfId="28212" xr:uid="{00000000-0005-0000-0000-00007E780000}"/>
    <cellStyle name="Total 2 18 2 3 3 2" xfId="29199" xr:uid="{00000000-0005-0000-0000-00007F780000}"/>
    <cellStyle name="Total 2 18 2 3 3 2 2" xfId="31159" xr:uid="{00000000-0005-0000-0000-000080780000}"/>
    <cellStyle name="Total 2 18 2 3 3 3" xfId="30179" xr:uid="{00000000-0005-0000-0000-000081780000}"/>
    <cellStyle name="Total 2 18 2 3 4" xfId="28595" xr:uid="{00000000-0005-0000-0000-000082780000}"/>
    <cellStyle name="Total 2 18 2 3 4 2" xfId="30555" xr:uid="{00000000-0005-0000-0000-000083780000}"/>
    <cellStyle name="Total 2 18 2 3 5" xfId="29575" xr:uid="{00000000-0005-0000-0000-000084780000}"/>
    <cellStyle name="Total 2 18 2 4" xfId="27705" xr:uid="{00000000-0005-0000-0000-000085780000}"/>
    <cellStyle name="Total 2 18 2 4 2" xfId="28171" xr:uid="{00000000-0005-0000-0000-000086780000}"/>
    <cellStyle name="Total 2 18 2 4 2 2" xfId="29158" xr:uid="{00000000-0005-0000-0000-000087780000}"/>
    <cellStyle name="Total 2 18 2 4 2 2 2" xfId="31118" xr:uid="{00000000-0005-0000-0000-000088780000}"/>
    <cellStyle name="Total 2 18 2 4 2 3" xfId="30138" xr:uid="{00000000-0005-0000-0000-000089780000}"/>
    <cellStyle name="Total 2 18 2 4 3" xfId="28248" xr:uid="{00000000-0005-0000-0000-00008A780000}"/>
    <cellStyle name="Total 2 18 2 4 3 2" xfId="29235" xr:uid="{00000000-0005-0000-0000-00008B780000}"/>
    <cellStyle name="Total 2 18 2 4 3 2 2" xfId="31195" xr:uid="{00000000-0005-0000-0000-00008C780000}"/>
    <cellStyle name="Total 2 18 2 4 3 3" xfId="30215" xr:uid="{00000000-0005-0000-0000-00008D780000}"/>
    <cellStyle name="Total 2 18 2 4 4" xfId="28693" xr:uid="{00000000-0005-0000-0000-00008E780000}"/>
    <cellStyle name="Total 2 18 2 4 4 2" xfId="30653" xr:uid="{00000000-0005-0000-0000-00008F780000}"/>
    <cellStyle name="Total 2 18 2 4 5" xfId="29673" xr:uid="{00000000-0005-0000-0000-000090780000}"/>
    <cellStyle name="Total 2 18 2 5" xfId="27877" xr:uid="{00000000-0005-0000-0000-000091780000}"/>
    <cellStyle name="Total 2 18 2 5 2" xfId="28864" xr:uid="{00000000-0005-0000-0000-000092780000}"/>
    <cellStyle name="Total 2 18 2 5 2 2" xfId="30824" xr:uid="{00000000-0005-0000-0000-000093780000}"/>
    <cellStyle name="Total 2 18 2 5 3" xfId="29844" xr:uid="{00000000-0005-0000-0000-000094780000}"/>
    <cellStyle name="Total 2 18 2 6" xfId="28399" xr:uid="{00000000-0005-0000-0000-000095780000}"/>
    <cellStyle name="Total 2 18 2 6 2" xfId="30359" xr:uid="{00000000-0005-0000-0000-000096780000}"/>
    <cellStyle name="Total 2 18 2 7" xfId="29379" xr:uid="{00000000-0005-0000-0000-000097780000}"/>
    <cellStyle name="Total 2 18 2 8" xfId="31339" xr:uid="{00000000-0005-0000-0000-000098780000}"/>
    <cellStyle name="Total 2 18 3" xfId="27465" xr:uid="{00000000-0005-0000-0000-000099780000}"/>
    <cellStyle name="Total 2 18 3 2" xfId="27931" xr:uid="{00000000-0005-0000-0000-00009A780000}"/>
    <cellStyle name="Total 2 18 3 2 2" xfId="28918" xr:uid="{00000000-0005-0000-0000-00009B780000}"/>
    <cellStyle name="Total 2 18 3 2 2 2" xfId="30878" xr:uid="{00000000-0005-0000-0000-00009C780000}"/>
    <cellStyle name="Total 2 18 3 2 3" xfId="29898" xr:uid="{00000000-0005-0000-0000-00009D780000}"/>
    <cellStyle name="Total 2 18 3 3" xfId="28453" xr:uid="{00000000-0005-0000-0000-00009E780000}"/>
    <cellStyle name="Total 2 18 3 3 2" xfId="30413" xr:uid="{00000000-0005-0000-0000-00009F780000}"/>
    <cellStyle name="Total 2 18 3 4" xfId="29433" xr:uid="{00000000-0005-0000-0000-0000A0780000}"/>
    <cellStyle name="Total 2 18 4" xfId="27563" xr:uid="{00000000-0005-0000-0000-0000A1780000}"/>
    <cellStyle name="Total 2 18 4 2" xfId="28029" xr:uid="{00000000-0005-0000-0000-0000A2780000}"/>
    <cellStyle name="Total 2 18 4 2 2" xfId="29016" xr:uid="{00000000-0005-0000-0000-0000A3780000}"/>
    <cellStyle name="Total 2 18 4 2 2 2" xfId="30976" xr:uid="{00000000-0005-0000-0000-0000A4780000}"/>
    <cellStyle name="Total 2 18 4 2 3" xfId="29996" xr:uid="{00000000-0005-0000-0000-0000A5780000}"/>
    <cellStyle name="Total 2 18 4 3" xfId="28196" xr:uid="{00000000-0005-0000-0000-0000A6780000}"/>
    <cellStyle name="Total 2 18 4 3 2" xfId="29183" xr:uid="{00000000-0005-0000-0000-0000A7780000}"/>
    <cellStyle name="Total 2 18 4 3 2 2" xfId="31143" xr:uid="{00000000-0005-0000-0000-0000A8780000}"/>
    <cellStyle name="Total 2 18 4 3 3" xfId="30163" xr:uid="{00000000-0005-0000-0000-0000A9780000}"/>
    <cellStyle name="Total 2 18 4 4" xfId="28551" xr:uid="{00000000-0005-0000-0000-0000AA780000}"/>
    <cellStyle name="Total 2 18 4 4 2" xfId="30511" xr:uid="{00000000-0005-0000-0000-0000AB780000}"/>
    <cellStyle name="Total 2 18 4 5" xfId="29531" xr:uid="{00000000-0005-0000-0000-0000AC780000}"/>
    <cellStyle name="Total 2 18 5" xfId="27661" xr:uid="{00000000-0005-0000-0000-0000AD780000}"/>
    <cellStyle name="Total 2 18 5 2" xfId="28127" xr:uid="{00000000-0005-0000-0000-0000AE780000}"/>
    <cellStyle name="Total 2 18 5 2 2" xfId="29114" xr:uid="{00000000-0005-0000-0000-0000AF780000}"/>
    <cellStyle name="Total 2 18 5 2 2 2" xfId="31074" xr:uid="{00000000-0005-0000-0000-0000B0780000}"/>
    <cellStyle name="Total 2 18 5 2 3" xfId="30094" xr:uid="{00000000-0005-0000-0000-0000B1780000}"/>
    <cellStyle name="Total 2 18 5 3" xfId="28232" xr:uid="{00000000-0005-0000-0000-0000B2780000}"/>
    <cellStyle name="Total 2 18 5 3 2" xfId="29219" xr:uid="{00000000-0005-0000-0000-0000B3780000}"/>
    <cellStyle name="Total 2 18 5 3 2 2" xfId="31179" xr:uid="{00000000-0005-0000-0000-0000B4780000}"/>
    <cellStyle name="Total 2 18 5 3 3" xfId="30199" xr:uid="{00000000-0005-0000-0000-0000B5780000}"/>
    <cellStyle name="Total 2 18 5 4" xfId="28649" xr:uid="{00000000-0005-0000-0000-0000B6780000}"/>
    <cellStyle name="Total 2 18 5 4 2" xfId="30609" xr:uid="{00000000-0005-0000-0000-0000B7780000}"/>
    <cellStyle name="Total 2 18 5 5" xfId="29629" xr:uid="{00000000-0005-0000-0000-0000B8780000}"/>
    <cellStyle name="Total 2 18 6" xfId="27801" xr:uid="{00000000-0005-0000-0000-0000B9780000}"/>
    <cellStyle name="Total 2 18 6 2" xfId="28789" xr:uid="{00000000-0005-0000-0000-0000BA780000}"/>
    <cellStyle name="Total 2 18 6 2 2" xfId="30749" xr:uid="{00000000-0005-0000-0000-0000BB780000}"/>
    <cellStyle name="Total 2 18 6 3" xfId="29769" xr:uid="{00000000-0005-0000-0000-0000BC780000}"/>
    <cellStyle name="Total 2 18 7" xfId="28355" xr:uid="{00000000-0005-0000-0000-0000BD780000}"/>
    <cellStyle name="Total 2 18 7 2" xfId="30315" xr:uid="{00000000-0005-0000-0000-0000BE780000}"/>
    <cellStyle name="Total 2 18 8" xfId="29335" xr:uid="{00000000-0005-0000-0000-0000BF780000}"/>
    <cellStyle name="Total 2 18 9" xfId="31295" xr:uid="{00000000-0005-0000-0000-0000C0780000}"/>
    <cellStyle name="Total 2 19" xfId="27427" xr:uid="{00000000-0005-0000-0000-0000C1780000}"/>
    <cellStyle name="Total 2 19 2" xfId="27893" xr:uid="{00000000-0005-0000-0000-0000C2780000}"/>
    <cellStyle name="Total 2 19 2 2" xfId="28880" xr:uid="{00000000-0005-0000-0000-0000C3780000}"/>
    <cellStyle name="Total 2 19 2 2 2" xfId="30840" xr:uid="{00000000-0005-0000-0000-0000C4780000}"/>
    <cellStyle name="Total 2 19 2 3" xfId="29860" xr:uid="{00000000-0005-0000-0000-0000C5780000}"/>
    <cellStyle name="Total 2 19 3" xfId="28415" xr:uid="{00000000-0005-0000-0000-0000C6780000}"/>
    <cellStyle name="Total 2 19 3 2" xfId="30375" xr:uid="{00000000-0005-0000-0000-0000C7780000}"/>
    <cellStyle name="Total 2 19 4" xfId="29395" xr:uid="{00000000-0005-0000-0000-0000C8780000}"/>
    <cellStyle name="Total 2 2" xfId="3265" xr:uid="{00000000-0005-0000-0000-0000C9780000}"/>
    <cellStyle name="Total 2 20" xfId="27525" xr:uid="{00000000-0005-0000-0000-0000CA780000}"/>
    <cellStyle name="Total 2 20 2" xfId="27991" xr:uid="{00000000-0005-0000-0000-0000CB780000}"/>
    <cellStyle name="Total 2 20 2 2" xfId="28978" xr:uid="{00000000-0005-0000-0000-0000CC780000}"/>
    <cellStyle name="Total 2 20 2 2 2" xfId="30938" xr:uid="{00000000-0005-0000-0000-0000CD780000}"/>
    <cellStyle name="Total 2 20 2 3" xfId="29958" xr:uid="{00000000-0005-0000-0000-0000CE780000}"/>
    <cellStyle name="Total 2 20 3" xfId="28181" xr:uid="{00000000-0005-0000-0000-0000CF780000}"/>
    <cellStyle name="Total 2 20 3 2" xfId="29168" xr:uid="{00000000-0005-0000-0000-0000D0780000}"/>
    <cellStyle name="Total 2 20 3 2 2" xfId="31128" xr:uid="{00000000-0005-0000-0000-0000D1780000}"/>
    <cellStyle name="Total 2 20 3 3" xfId="30148" xr:uid="{00000000-0005-0000-0000-0000D2780000}"/>
    <cellStyle name="Total 2 20 4" xfId="28513" xr:uid="{00000000-0005-0000-0000-0000D3780000}"/>
    <cellStyle name="Total 2 20 4 2" xfId="30473" xr:uid="{00000000-0005-0000-0000-0000D4780000}"/>
    <cellStyle name="Total 2 20 5" xfId="29493" xr:uid="{00000000-0005-0000-0000-0000D5780000}"/>
    <cellStyle name="Total 2 21" xfId="27623" xr:uid="{00000000-0005-0000-0000-0000D6780000}"/>
    <cellStyle name="Total 2 21 2" xfId="28089" xr:uid="{00000000-0005-0000-0000-0000D7780000}"/>
    <cellStyle name="Total 2 21 2 2" xfId="29076" xr:uid="{00000000-0005-0000-0000-0000D8780000}"/>
    <cellStyle name="Total 2 21 2 2 2" xfId="31036" xr:uid="{00000000-0005-0000-0000-0000D9780000}"/>
    <cellStyle name="Total 2 21 2 3" xfId="30056" xr:uid="{00000000-0005-0000-0000-0000DA780000}"/>
    <cellStyle name="Total 2 21 3" xfId="28217" xr:uid="{00000000-0005-0000-0000-0000DB780000}"/>
    <cellStyle name="Total 2 21 3 2" xfId="29204" xr:uid="{00000000-0005-0000-0000-0000DC780000}"/>
    <cellStyle name="Total 2 21 3 2 2" xfId="31164" xr:uid="{00000000-0005-0000-0000-0000DD780000}"/>
    <cellStyle name="Total 2 21 3 3" xfId="30184" xr:uid="{00000000-0005-0000-0000-0000DE780000}"/>
    <cellStyle name="Total 2 21 4" xfId="28611" xr:uid="{00000000-0005-0000-0000-0000DF780000}"/>
    <cellStyle name="Total 2 21 4 2" xfId="30571" xr:uid="{00000000-0005-0000-0000-0000E0780000}"/>
    <cellStyle name="Total 2 21 5" xfId="29591" xr:uid="{00000000-0005-0000-0000-0000E1780000}"/>
    <cellStyle name="Total 2 22" xfId="27722" xr:uid="{00000000-0005-0000-0000-0000E2780000}"/>
    <cellStyle name="Total 2 22 2" xfId="28710" xr:uid="{00000000-0005-0000-0000-0000E3780000}"/>
    <cellStyle name="Total 2 22 2 2" xfId="30670" xr:uid="{00000000-0005-0000-0000-0000E4780000}"/>
    <cellStyle name="Total 2 22 3" xfId="29690" xr:uid="{00000000-0005-0000-0000-0000E5780000}"/>
    <cellStyle name="Total 2 23" xfId="28317" xr:uid="{00000000-0005-0000-0000-0000E6780000}"/>
    <cellStyle name="Total 2 23 2" xfId="30277" xr:uid="{00000000-0005-0000-0000-0000E7780000}"/>
    <cellStyle name="Total 2 24" xfId="29297" xr:uid="{00000000-0005-0000-0000-0000E8780000}"/>
    <cellStyle name="Total 2 25" xfId="31257" xr:uid="{00000000-0005-0000-0000-0000E9780000}"/>
    <cellStyle name="Total 2 3" xfId="3266" xr:uid="{00000000-0005-0000-0000-0000EA780000}"/>
    <cellStyle name="Total 2 4" xfId="3267" xr:uid="{00000000-0005-0000-0000-0000EB780000}"/>
    <cellStyle name="Total 2 5" xfId="3268" xr:uid="{00000000-0005-0000-0000-0000EC780000}"/>
    <cellStyle name="Total 2 6" xfId="3269" xr:uid="{00000000-0005-0000-0000-0000ED780000}"/>
    <cellStyle name="Total 2 7" xfId="3270" xr:uid="{00000000-0005-0000-0000-0000EE780000}"/>
    <cellStyle name="Total 2 8" xfId="3271" xr:uid="{00000000-0005-0000-0000-0000EF780000}"/>
    <cellStyle name="Total 2 9" xfId="3272" xr:uid="{00000000-0005-0000-0000-0000F0780000}"/>
    <cellStyle name="Total 20" xfId="3273" xr:uid="{00000000-0005-0000-0000-0000F1780000}"/>
    <cellStyle name="Total 21" xfId="3274" xr:uid="{00000000-0005-0000-0000-0000F2780000}"/>
    <cellStyle name="Total 22" xfId="3275" xr:uid="{00000000-0005-0000-0000-0000F3780000}"/>
    <cellStyle name="Total 23" xfId="3276" xr:uid="{00000000-0005-0000-0000-0000F4780000}"/>
    <cellStyle name="Total 24" xfId="3277" xr:uid="{00000000-0005-0000-0000-0000F5780000}"/>
    <cellStyle name="Total 3" xfId="1646" xr:uid="{00000000-0005-0000-0000-0000F6780000}"/>
    <cellStyle name="Total 3 10" xfId="29298" xr:uid="{00000000-0005-0000-0000-0000F7780000}"/>
    <cellStyle name="Total 3 11" xfId="31258" xr:uid="{00000000-0005-0000-0000-0000F8780000}"/>
    <cellStyle name="Total 3 2" xfId="14968" xr:uid="{00000000-0005-0000-0000-0000F9780000}"/>
    <cellStyle name="Total 3 2 10" xfId="31278" xr:uid="{00000000-0005-0000-0000-0000FA780000}"/>
    <cellStyle name="Total 3 2 2" xfId="15002" xr:uid="{00000000-0005-0000-0000-0000FB780000}"/>
    <cellStyle name="Total 3 2 2 2" xfId="27387" xr:uid="{00000000-0005-0000-0000-0000FC780000}"/>
    <cellStyle name="Total 3 2 2 2 2" xfId="27498" xr:uid="{00000000-0005-0000-0000-0000FD780000}"/>
    <cellStyle name="Total 3 2 2 2 2 2" xfId="27964" xr:uid="{00000000-0005-0000-0000-0000FE780000}"/>
    <cellStyle name="Total 3 2 2 2 2 2 2" xfId="28951" xr:uid="{00000000-0005-0000-0000-0000FF780000}"/>
    <cellStyle name="Total 3 2 2 2 2 2 2 2" xfId="30911" xr:uid="{00000000-0005-0000-0000-000000790000}"/>
    <cellStyle name="Total 3 2 2 2 2 2 3" xfId="29931" xr:uid="{00000000-0005-0000-0000-000001790000}"/>
    <cellStyle name="Total 3 2 2 2 2 3" xfId="28486" xr:uid="{00000000-0005-0000-0000-000002790000}"/>
    <cellStyle name="Total 3 2 2 2 2 3 2" xfId="30446" xr:uid="{00000000-0005-0000-0000-000003790000}"/>
    <cellStyle name="Total 3 2 2 2 2 4" xfId="29466" xr:uid="{00000000-0005-0000-0000-000004790000}"/>
    <cellStyle name="Total 3 2 2 2 3" xfId="27596" xr:uid="{00000000-0005-0000-0000-000005790000}"/>
    <cellStyle name="Total 3 2 2 2 3 2" xfId="28062" xr:uid="{00000000-0005-0000-0000-000006790000}"/>
    <cellStyle name="Total 3 2 2 2 3 2 2" xfId="29049" xr:uid="{00000000-0005-0000-0000-000007790000}"/>
    <cellStyle name="Total 3 2 2 2 3 2 2 2" xfId="31009" xr:uid="{00000000-0005-0000-0000-000008790000}"/>
    <cellStyle name="Total 3 2 2 2 3 2 3" xfId="30029" xr:uid="{00000000-0005-0000-0000-000009790000}"/>
    <cellStyle name="Total 3 2 2 2 3 3" xfId="28207" xr:uid="{00000000-0005-0000-0000-00000A790000}"/>
    <cellStyle name="Total 3 2 2 2 3 3 2" xfId="29194" xr:uid="{00000000-0005-0000-0000-00000B790000}"/>
    <cellStyle name="Total 3 2 2 2 3 3 2 2" xfId="31154" xr:uid="{00000000-0005-0000-0000-00000C790000}"/>
    <cellStyle name="Total 3 2 2 2 3 3 3" xfId="30174" xr:uid="{00000000-0005-0000-0000-00000D790000}"/>
    <cellStyle name="Total 3 2 2 2 3 4" xfId="28584" xr:uid="{00000000-0005-0000-0000-00000E790000}"/>
    <cellStyle name="Total 3 2 2 2 3 4 2" xfId="30544" xr:uid="{00000000-0005-0000-0000-00000F790000}"/>
    <cellStyle name="Total 3 2 2 2 3 5" xfId="29564" xr:uid="{00000000-0005-0000-0000-000010790000}"/>
    <cellStyle name="Total 3 2 2 2 4" xfId="27694" xr:uid="{00000000-0005-0000-0000-000011790000}"/>
    <cellStyle name="Total 3 2 2 2 4 2" xfId="28160" xr:uid="{00000000-0005-0000-0000-000012790000}"/>
    <cellStyle name="Total 3 2 2 2 4 2 2" xfId="29147" xr:uid="{00000000-0005-0000-0000-000013790000}"/>
    <cellStyle name="Total 3 2 2 2 4 2 2 2" xfId="31107" xr:uid="{00000000-0005-0000-0000-000014790000}"/>
    <cellStyle name="Total 3 2 2 2 4 2 3" xfId="30127" xr:uid="{00000000-0005-0000-0000-000015790000}"/>
    <cellStyle name="Total 3 2 2 2 4 3" xfId="28243" xr:uid="{00000000-0005-0000-0000-000016790000}"/>
    <cellStyle name="Total 3 2 2 2 4 3 2" xfId="29230" xr:uid="{00000000-0005-0000-0000-000017790000}"/>
    <cellStyle name="Total 3 2 2 2 4 3 2 2" xfId="31190" xr:uid="{00000000-0005-0000-0000-000018790000}"/>
    <cellStyle name="Total 3 2 2 2 4 3 3" xfId="30210" xr:uid="{00000000-0005-0000-0000-000019790000}"/>
    <cellStyle name="Total 3 2 2 2 4 4" xfId="28682" xr:uid="{00000000-0005-0000-0000-00001A790000}"/>
    <cellStyle name="Total 3 2 2 2 4 4 2" xfId="30642" xr:uid="{00000000-0005-0000-0000-00001B790000}"/>
    <cellStyle name="Total 3 2 2 2 4 5" xfId="29662" xr:uid="{00000000-0005-0000-0000-00001C790000}"/>
    <cellStyle name="Total 3 2 2 2 5" xfId="27866" xr:uid="{00000000-0005-0000-0000-00001D790000}"/>
    <cellStyle name="Total 3 2 2 2 5 2" xfId="28853" xr:uid="{00000000-0005-0000-0000-00001E790000}"/>
    <cellStyle name="Total 3 2 2 2 5 2 2" xfId="30813" xr:uid="{00000000-0005-0000-0000-00001F790000}"/>
    <cellStyle name="Total 3 2 2 2 5 3" xfId="29833" xr:uid="{00000000-0005-0000-0000-000020790000}"/>
    <cellStyle name="Total 3 2 2 2 6" xfId="28388" xr:uid="{00000000-0005-0000-0000-000021790000}"/>
    <cellStyle name="Total 3 2 2 2 6 2" xfId="30348" xr:uid="{00000000-0005-0000-0000-000022790000}"/>
    <cellStyle name="Total 3 2 2 2 7" xfId="29368" xr:uid="{00000000-0005-0000-0000-000023790000}"/>
    <cellStyle name="Total 3 2 2 2 8" xfId="31328" xr:uid="{00000000-0005-0000-0000-000024790000}"/>
    <cellStyle name="Total 3 2 2 3" xfId="27454" xr:uid="{00000000-0005-0000-0000-000025790000}"/>
    <cellStyle name="Total 3 2 2 3 2" xfId="27920" xr:uid="{00000000-0005-0000-0000-000026790000}"/>
    <cellStyle name="Total 3 2 2 3 2 2" xfId="28907" xr:uid="{00000000-0005-0000-0000-000027790000}"/>
    <cellStyle name="Total 3 2 2 3 2 2 2" xfId="30867" xr:uid="{00000000-0005-0000-0000-000028790000}"/>
    <cellStyle name="Total 3 2 2 3 2 3" xfId="29887" xr:uid="{00000000-0005-0000-0000-000029790000}"/>
    <cellStyle name="Total 3 2 2 3 3" xfId="28442" xr:uid="{00000000-0005-0000-0000-00002A790000}"/>
    <cellStyle name="Total 3 2 2 3 3 2" xfId="30402" xr:uid="{00000000-0005-0000-0000-00002B790000}"/>
    <cellStyle name="Total 3 2 2 3 4" xfId="29422" xr:uid="{00000000-0005-0000-0000-00002C790000}"/>
    <cellStyle name="Total 3 2 2 4" xfId="27552" xr:uid="{00000000-0005-0000-0000-00002D790000}"/>
    <cellStyle name="Total 3 2 2 4 2" xfId="28018" xr:uid="{00000000-0005-0000-0000-00002E790000}"/>
    <cellStyle name="Total 3 2 2 4 2 2" xfId="29005" xr:uid="{00000000-0005-0000-0000-00002F790000}"/>
    <cellStyle name="Total 3 2 2 4 2 2 2" xfId="30965" xr:uid="{00000000-0005-0000-0000-000030790000}"/>
    <cellStyle name="Total 3 2 2 4 2 3" xfId="29985" xr:uid="{00000000-0005-0000-0000-000031790000}"/>
    <cellStyle name="Total 3 2 2 4 3" xfId="28191" xr:uid="{00000000-0005-0000-0000-000032790000}"/>
    <cellStyle name="Total 3 2 2 4 3 2" xfId="29178" xr:uid="{00000000-0005-0000-0000-000033790000}"/>
    <cellStyle name="Total 3 2 2 4 3 2 2" xfId="31138" xr:uid="{00000000-0005-0000-0000-000034790000}"/>
    <cellStyle name="Total 3 2 2 4 3 3" xfId="30158" xr:uid="{00000000-0005-0000-0000-000035790000}"/>
    <cellStyle name="Total 3 2 2 4 4" xfId="28540" xr:uid="{00000000-0005-0000-0000-000036790000}"/>
    <cellStyle name="Total 3 2 2 4 4 2" xfId="30500" xr:uid="{00000000-0005-0000-0000-000037790000}"/>
    <cellStyle name="Total 3 2 2 4 5" xfId="29520" xr:uid="{00000000-0005-0000-0000-000038790000}"/>
    <cellStyle name="Total 3 2 2 5" xfId="27650" xr:uid="{00000000-0005-0000-0000-000039790000}"/>
    <cellStyle name="Total 3 2 2 5 2" xfId="28116" xr:uid="{00000000-0005-0000-0000-00003A790000}"/>
    <cellStyle name="Total 3 2 2 5 2 2" xfId="29103" xr:uid="{00000000-0005-0000-0000-00003B790000}"/>
    <cellStyle name="Total 3 2 2 5 2 2 2" xfId="31063" xr:uid="{00000000-0005-0000-0000-00003C790000}"/>
    <cellStyle name="Total 3 2 2 5 2 3" xfId="30083" xr:uid="{00000000-0005-0000-0000-00003D790000}"/>
    <cellStyle name="Total 3 2 2 5 3" xfId="28227" xr:uid="{00000000-0005-0000-0000-00003E790000}"/>
    <cellStyle name="Total 3 2 2 5 3 2" xfId="29214" xr:uid="{00000000-0005-0000-0000-00003F790000}"/>
    <cellStyle name="Total 3 2 2 5 3 2 2" xfId="31174" xr:uid="{00000000-0005-0000-0000-000040790000}"/>
    <cellStyle name="Total 3 2 2 5 3 3" xfId="30194" xr:uid="{00000000-0005-0000-0000-000041790000}"/>
    <cellStyle name="Total 3 2 2 5 4" xfId="28638" xr:uid="{00000000-0005-0000-0000-000042790000}"/>
    <cellStyle name="Total 3 2 2 5 4 2" xfId="30598" xr:uid="{00000000-0005-0000-0000-000043790000}"/>
    <cellStyle name="Total 3 2 2 5 5" xfId="29618" xr:uid="{00000000-0005-0000-0000-000044790000}"/>
    <cellStyle name="Total 3 2 2 6" xfId="27790" xr:uid="{00000000-0005-0000-0000-000045790000}"/>
    <cellStyle name="Total 3 2 2 6 2" xfId="28778" xr:uid="{00000000-0005-0000-0000-000046790000}"/>
    <cellStyle name="Total 3 2 2 6 2 2" xfId="30738" xr:uid="{00000000-0005-0000-0000-000047790000}"/>
    <cellStyle name="Total 3 2 2 6 3" xfId="29758" xr:uid="{00000000-0005-0000-0000-000048790000}"/>
    <cellStyle name="Total 3 2 2 7" xfId="28344" xr:uid="{00000000-0005-0000-0000-000049790000}"/>
    <cellStyle name="Total 3 2 2 7 2" xfId="30304" xr:uid="{00000000-0005-0000-0000-00004A790000}"/>
    <cellStyle name="Total 3 2 2 8" xfId="29324" xr:uid="{00000000-0005-0000-0000-00004B790000}"/>
    <cellStyle name="Total 3 2 2 9" xfId="31284" xr:uid="{00000000-0005-0000-0000-00004C790000}"/>
    <cellStyle name="Total 3 2 3" xfId="27381" xr:uid="{00000000-0005-0000-0000-00004D790000}"/>
    <cellStyle name="Total 3 2 3 2" xfId="27492" xr:uid="{00000000-0005-0000-0000-00004E790000}"/>
    <cellStyle name="Total 3 2 3 2 2" xfId="27958" xr:uid="{00000000-0005-0000-0000-00004F790000}"/>
    <cellStyle name="Total 3 2 3 2 2 2" xfId="28945" xr:uid="{00000000-0005-0000-0000-000050790000}"/>
    <cellStyle name="Total 3 2 3 2 2 2 2" xfId="30905" xr:uid="{00000000-0005-0000-0000-000051790000}"/>
    <cellStyle name="Total 3 2 3 2 2 3" xfId="29925" xr:uid="{00000000-0005-0000-0000-000052790000}"/>
    <cellStyle name="Total 3 2 3 2 3" xfId="28480" xr:uid="{00000000-0005-0000-0000-000053790000}"/>
    <cellStyle name="Total 3 2 3 2 3 2" xfId="30440" xr:uid="{00000000-0005-0000-0000-000054790000}"/>
    <cellStyle name="Total 3 2 3 2 4" xfId="29460" xr:uid="{00000000-0005-0000-0000-000055790000}"/>
    <cellStyle name="Total 3 2 3 3" xfId="27590" xr:uid="{00000000-0005-0000-0000-000056790000}"/>
    <cellStyle name="Total 3 2 3 3 2" xfId="28056" xr:uid="{00000000-0005-0000-0000-000057790000}"/>
    <cellStyle name="Total 3 2 3 3 2 2" xfId="29043" xr:uid="{00000000-0005-0000-0000-000058790000}"/>
    <cellStyle name="Total 3 2 3 3 2 2 2" xfId="31003" xr:uid="{00000000-0005-0000-0000-000059790000}"/>
    <cellStyle name="Total 3 2 3 3 2 3" xfId="30023" xr:uid="{00000000-0005-0000-0000-00005A790000}"/>
    <cellStyle name="Total 3 2 3 3 3" xfId="28206" xr:uid="{00000000-0005-0000-0000-00005B790000}"/>
    <cellStyle name="Total 3 2 3 3 3 2" xfId="29193" xr:uid="{00000000-0005-0000-0000-00005C790000}"/>
    <cellStyle name="Total 3 2 3 3 3 2 2" xfId="31153" xr:uid="{00000000-0005-0000-0000-00005D790000}"/>
    <cellStyle name="Total 3 2 3 3 3 3" xfId="30173" xr:uid="{00000000-0005-0000-0000-00005E790000}"/>
    <cellStyle name="Total 3 2 3 3 4" xfId="28578" xr:uid="{00000000-0005-0000-0000-00005F790000}"/>
    <cellStyle name="Total 3 2 3 3 4 2" xfId="30538" xr:uid="{00000000-0005-0000-0000-000060790000}"/>
    <cellStyle name="Total 3 2 3 3 5" xfId="29558" xr:uid="{00000000-0005-0000-0000-000061790000}"/>
    <cellStyle name="Total 3 2 3 4" xfId="27688" xr:uid="{00000000-0005-0000-0000-000062790000}"/>
    <cellStyle name="Total 3 2 3 4 2" xfId="28154" xr:uid="{00000000-0005-0000-0000-000063790000}"/>
    <cellStyle name="Total 3 2 3 4 2 2" xfId="29141" xr:uid="{00000000-0005-0000-0000-000064790000}"/>
    <cellStyle name="Total 3 2 3 4 2 2 2" xfId="31101" xr:uid="{00000000-0005-0000-0000-000065790000}"/>
    <cellStyle name="Total 3 2 3 4 2 3" xfId="30121" xr:uid="{00000000-0005-0000-0000-000066790000}"/>
    <cellStyle name="Total 3 2 3 4 3" xfId="28242" xr:uid="{00000000-0005-0000-0000-000067790000}"/>
    <cellStyle name="Total 3 2 3 4 3 2" xfId="29229" xr:uid="{00000000-0005-0000-0000-000068790000}"/>
    <cellStyle name="Total 3 2 3 4 3 2 2" xfId="31189" xr:uid="{00000000-0005-0000-0000-000069790000}"/>
    <cellStyle name="Total 3 2 3 4 3 3" xfId="30209" xr:uid="{00000000-0005-0000-0000-00006A790000}"/>
    <cellStyle name="Total 3 2 3 4 4" xfId="28676" xr:uid="{00000000-0005-0000-0000-00006B790000}"/>
    <cellStyle name="Total 3 2 3 4 4 2" xfId="30636" xr:uid="{00000000-0005-0000-0000-00006C790000}"/>
    <cellStyle name="Total 3 2 3 4 5" xfId="29656" xr:uid="{00000000-0005-0000-0000-00006D790000}"/>
    <cellStyle name="Total 3 2 3 5" xfId="27860" xr:uid="{00000000-0005-0000-0000-00006E790000}"/>
    <cellStyle name="Total 3 2 3 5 2" xfId="28847" xr:uid="{00000000-0005-0000-0000-00006F790000}"/>
    <cellStyle name="Total 3 2 3 5 2 2" xfId="30807" xr:uid="{00000000-0005-0000-0000-000070790000}"/>
    <cellStyle name="Total 3 2 3 5 3" xfId="29827" xr:uid="{00000000-0005-0000-0000-000071790000}"/>
    <cellStyle name="Total 3 2 3 6" xfId="28382" xr:uid="{00000000-0005-0000-0000-000072790000}"/>
    <cellStyle name="Total 3 2 3 6 2" xfId="30342" xr:uid="{00000000-0005-0000-0000-000073790000}"/>
    <cellStyle name="Total 3 2 3 7" xfId="29362" xr:uid="{00000000-0005-0000-0000-000074790000}"/>
    <cellStyle name="Total 3 2 3 8" xfId="31322" xr:uid="{00000000-0005-0000-0000-000075790000}"/>
    <cellStyle name="Total 3 2 4" xfId="27448" xr:uid="{00000000-0005-0000-0000-000076790000}"/>
    <cellStyle name="Total 3 2 4 2" xfId="27914" xr:uid="{00000000-0005-0000-0000-000077790000}"/>
    <cellStyle name="Total 3 2 4 2 2" xfId="28901" xr:uid="{00000000-0005-0000-0000-000078790000}"/>
    <cellStyle name="Total 3 2 4 2 2 2" xfId="30861" xr:uid="{00000000-0005-0000-0000-000079790000}"/>
    <cellStyle name="Total 3 2 4 2 3" xfId="29881" xr:uid="{00000000-0005-0000-0000-00007A790000}"/>
    <cellStyle name="Total 3 2 4 3" xfId="28436" xr:uid="{00000000-0005-0000-0000-00007B790000}"/>
    <cellStyle name="Total 3 2 4 3 2" xfId="30396" xr:uid="{00000000-0005-0000-0000-00007C790000}"/>
    <cellStyle name="Total 3 2 4 4" xfId="29416" xr:uid="{00000000-0005-0000-0000-00007D790000}"/>
    <cellStyle name="Total 3 2 5" xfId="27546" xr:uid="{00000000-0005-0000-0000-00007E790000}"/>
    <cellStyle name="Total 3 2 5 2" xfId="28012" xr:uid="{00000000-0005-0000-0000-00007F790000}"/>
    <cellStyle name="Total 3 2 5 2 2" xfId="28999" xr:uid="{00000000-0005-0000-0000-000080790000}"/>
    <cellStyle name="Total 3 2 5 2 2 2" xfId="30959" xr:uid="{00000000-0005-0000-0000-000081790000}"/>
    <cellStyle name="Total 3 2 5 2 3" xfId="29979" xr:uid="{00000000-0005-0000-0000-000082790000}"/>
    <cellStyle name="Total 3 2 5 3" xfId="28190" xr:uid="{00000000-0005-0000-0000-000083790000}"/>
    <cellStyle name="Total 3 2 5 3 2" xfId="29177" xr:uid="{00000000-0005-0000-0000-000084790000}"/>
    <cellStyle name="Total 3 2 5 3 2 2" xfId="31137" xr:uid="{00000000-0005-0000-0000-000085790000}"/>
    <cellStyle name="Total 3 2 5 3 3" xfId="30157" xr:uid="{00000000-0005-0000-0000-000086790000}"/>
    <cellStyle name="Total 3 2 5 4" xfId="28534" xr:uid="{00000000-0005-0000-0000-000087790000}"/>
    <cellStyle name="Total 3 2 5 4 2" xfId="30494" xr:uid="{00000000-0005-0000-0000-000088790000}"/>
    <cellStyle name="Total 3 2 5 5" xfId="29514" xr:uid="{00000000-0005-0000-0000-000089790000}"/>
    <cellStyle name="Total 3 2 6" xfId="27644" xr:uid="{00000000-0005-0000-0000-00008A790000}"/>
    <cellStyle name="Total 3 2 6 2" xfId="28110" xr:uid="{00000000-0005-0000-0000-00008B790000}"/>
    <cellStyle name="Total 3 2 6 2 2" xfId="29097" xr:uid="{00000000-0005-0000-0000-00008C790000}"/>
    <cellStyle name="Total 3 2 6 2 2 2" xfId="31057" xr:uid="{00000000-0005-0000-0000-00008D790000}"/>
    <cellStyle name="Total 3 2 6 2 3" xfId="30077" xr:uid="{00000000-0005-0000-0000-00008E790000}"/>
    <cellStyle name="Total 3 2 6 3" xfId="28226" xr:uid="{00000000-0005-0000-0000-00008F790000}"/>
    <cellStyle name="Total 3 2 6 3 2" xfId="29213" xr:uid="{00000000-0005-0000-0000-000090790000}"/>
    <cellStyle name="Total 3 2 6 3 2 2" xfId="31173" xr:uid="{00000000-0005-0000-0000-000091790000}"/>
    <cellStyle name="Total 3 2 6 3 3" xfId="30193" xr:uid="{00000000-0005-0000-0000-000092790000}"/>
    <cellStyle name="Total 3 2 6 4" xfId="28632" xr:uid="{00000000-0005-0000-0000-000093790000}"/>
    <cellStyle name="Total 3 2 6 4 2" xfId="30592" xr:uid="{00000000-0005-0000-0000-000094790000}"/>
    <cellStyle name="Total 3 2 6 5" xfId="29612" xr:uid="{00000000-0005-0000-0000-000095790000}"/>
    <cellStyle name="Total 3 2 7" xfId="27784" xr:uid="{00000000-0005-0000-0000-000096790000}"/>
    <cellStyle name="Total 3 2 7 2" xfId="28772" xr:uid="{00000000-0005-0000-0000-000097790000}"/>
    <cellStyle name="Total 3 2 7 2 2" xfId="30732" xr:uid="{00000000-0005-0000-0000-000098790000}"/>
    <cellStyle name="Total 3 2 7 3" xfId="29752" xr:uid="{00000000-0005-0000-0000-000099790000}"/>
    <cellStyle name="Total 3 2 8" xfId="28338" xr:uid="{00000000-0005-0000-0000-00009A790000}"/>
    <cellStyle name="Total 3 2 8 2" xfId="30298" xr:uid="{00000000-0005-0000-0000-00009B790000}"/>
    <cellStyle name="Total 3 2 9" xfId="29318" xr:uid="{00000000-0005-0000-0000-00009C790000}"/>
    <cellStyle name="Total 3 3" xfId="14951" xr:uid="{00000000-0005-0000-0000-00009D790000}"/>
    <cellStyle name="Total 3 3 2" xfId="27371" xr:uid="{00000000-0005-0000-0000-00009E790000}"/>
    <cellStyle name="Total 3 3 2 2" xfId="27482" xr:uid="{00000000-0005-0000-0000-00009F790000}"/>
    <cellStyle name="Total 3 3 2 2 2" xfId="27948" xr:uid="{00000000-0005-0000-0000-0000A0790000}"/>
    <cellStyle name="Total 3 3 2 2 2 2" xfId="28935" xr:uid="{00000000-0005-0000-0000-0000A1790000}"/>
    <cellStyle name="Total 3 3 2 2 2 2 2" xfId="30895" xr:uid="{00000000-0005-0000-0000-0000A2790000}"/>
    <cellStyle name="Total 3 3 2 2 2 3" xfId="29915" xr:uid="{00000000-0005-0000-0000-0000A3790000}"/>
    <cellStyle name="Total 3 3 2 2 3" xfId="28470" xr:uid="{00000000-0005-0000-0000-0000A4790000}"/>
    <cellStyle name="Total 3 3 2 2 3 2" xfId="30430" xr:uid="{00000000-0005-0000-0000-0000A5790000}"/>
    <cellStyle name="Total 3 3 2 2 4" xfId="29450" xr:uid="{00000000-0005-0000-0000-0000A6790000}"/>
    <cellStyle name="Total 3 3 2 3" xfId="27580" xr:uid="{00000000-0005-0000-0000-0000A7790000}"/>
    <cellStyle name="Total 3 3 2 3 2" xfId="28046" xr:uid="{00000000-0005-0000-0000-0000A8790000}"/>
    <cellStyle name="Total 3 3 2 3 2 2" xfId="29033" xr:uid="{00000000-0005-0000-0000-0000A9790000}"/>
    <cellStyle name="Total 3 3 2 3 2 2 2" xfId="30993" xr:uid="{00000000-0005-0000-0000-0000AA790000}"/>
    <cellStyle name="Total 3 3 2 3 2 3" xfId="30013" xr:uid="{00000000-0005-0000-0000-0000AB790000}"/>
    <cellStyle name="Total 3 3 2 3 3" xfId="28202" xr:uid="{00000000-0005-0000-0000-0000AC790000}"/>
    <cellStyle name="Total 3 3 2 3 3 2" xfId="29189" xr:uid="{00000000-0005-0000-0000-0000AD790000}"/>
    <cellStyle name="Total 3 3 2 3 3 2 2" xfId="31149" xr:uid="{00000000-0005-0000-0000-0000AE790000}"/>
    <cellStyle name="Total 3 3 2 3 3 3" xfId="30169" xr:uid="{00000000-0005-0000-0000-0000AF790000}"/>
    <cellStyle name="Total 3 3 2 3 4" xfId="28568" xr:uid="{00000000-0005-0000-0000-0000B0790000}"/>
    <cellStyle name="Total 3 3 2 3 4 2" xfId="30528" xr:uid="{00000000-0005-0000-0000-0000B1790000}"/>
    <cellStyle name="Total 3 3 2 3 5" xfId="29548" xr:uid="{00000000-0005-0000-0000-0000B2790000}"/>
    <cellStyle name="Total 3 3 2 4" xfId="27678" xr:uid="{00000000-0005-0000-0000-0000B3790000}"/>
    <cellStyle name="Total 3 3 2 4 2" xfId="28144" xr:uid="{00000000-0005-0000-0000-0000B4790000}"/>
    <cellStyle name="Total 3 3 2 4 2 2" xfId="29131" xr:uid="{00000000-0005-0000-0000-0000B5790000}"/>
    <cellStyle name="Total 3 3 2 4 2 2 2" xfId="31091" xr:uid="{00000000-0005-0000-0000-0000B6790000}"/>
    <cellStyle name="Total 3 3 2 4 2 3" xfId="30111" xr:uid="{00000000-0005-0000-0000-0000B7790000}"/>
    <cellStyle name="Total 3 3 2 4 3" xfId="28238" xr:uid="{00000000-0005-0000-0000-0000B8790000}"/>
    <cellStyle name="Total 3 3 2 4 3 2" xfId="29225" xr:uid="{00000000-0005-0000-0000-0000B9790000}"/>
    <cellStyle name="Total 3 3 2 4 3 2 2" xfId="31185" xr:uid="{00000000-0005-0000-0000-0000BA790000}"/>
    <cellStyle name="Total 3 3 2 4 3 3" xfId="30205" xr:uid="{00000000-0005-0000-0000-0000BB790000}"/>
    <cellStyle name="Total 3 3 2 4 4" xfId="28666" xr:uid="{00000000-0005-0000-0000-0000BC790000}"/>
    <cellStyle name="Total 3 3 2 4 4 2" xfId="30626" xr:uid="{00000000-0005-0000-0000-0000BD790000}"/>
    <cellStyle name="Total 3 3 2 4 5" xfId="29646" xr:uid="{00000000-0005-0000-0000-0000BE790000}"/>
    <cellStyle name="Total 3 3 2 5" xfId="27850" xr:uid="{00000000-0005-0000-0000-0000BF790000}"/>
    <cellStyle name="Total 3 3 2 5 2" xfId="28837" xr:uid="{00000000-0005-0000-0000-0000C0790000}"/>
    <cellStyle name="Total 3 3 2 5 2 2" xfId="30797" xr:uid="{00000000-0005-0000-0000-0000C1790000}"/>
    <cellStyle name="Total 3 3 2 5 3" xfId="29817" xr:uid="{00000000-0005-0000-0000-0000C2790000}"/>
    <cellStyle name="Total 3 3 2 6" xfId="28372" xr:uid="{00000000-0005-0000-0000-0000C3790000}"/>
    <cellStyle name="Total 3 3 2 6 2" xfId="30332" xr:uid="{00000000-0005-0000-0000-0000C4790000}"/>
    <cellStyle name="Total 3 3 2 7" xfId="29352" xr:uid="{00000000-0005-0000-0000-0000C5790000}"/>
    <cellStyle name="Total 3 3 2 8" xfId="31312" xr:uid="{00000000-0005-0000-0000-0000C6790000}"/>
    <cellStyle name="Total 3 3 3" xfId="27438" xr:uid="{00000000-0005-0000-0000-0000C7790000}"/>
    <cellStyle name="Total 3 3 3 2" xfId="27904" xr:uid="{00000000-0005-0000-0000-0000C8790000}"/>
    <cellStyle name="Total 3 3 3 2 2" xfId="28891" xr:uid="{00000000-0005-0000-0000-0000C9790000}"/>
    <cellStyle name="Total 3 3 3 2 2 2" xfId="30851" xr:uid="{00000000-0005-0000-0000-0000CA790000}"/>
    <cellStyle name="Total 3 3 3 2 3" xfId="29871" xr:uid="{00000000-0005-0000-0000-0000CB790000}"/>
    <cellStyle name="Total 3 3 3 3" xfId="28426" xr:uid="{00000000-0005-0000-0000-0000CC790000}"/>
    <cellStyle name="Total 3 3 3 3 2" xfId="30386" xr:uid="{00000000-0005-0000-0000-0000CD790000}"/>
    <cellStyle name="Total 3 3 3 4" xfId="29406" xr:uid="{00000000-0005-0000-0000-0000CE790000}"/>
    <cellStyle name="Total 3 3 4" xfId="27536" xr:uid="{00000000-0005-0000-0000-0000CF790000}"/>
    <cellStyle name="Total 3 3 4 2" xfId="28002" xr:uid="{00000000-0005-0000-0000-0000D0790000}"/>
    <cellStyle name="Total 3 3 4 2 2" xfId="28989" xr:uid="{00000000-0005-0000-0000-0000D1790000}"/>
    <cellStyle name="Total 3 3 4 2 2 2" xfId="30949" xr:uid="{00000000-0005-0000-0000-0000D2790000}"/>
    <cellStyle name="Total 3 3 4 2 3" xfId="29969" xr:uid="{00000000-0005-0000-0000-0000D3790000}"/>
    <cellStyle name="Total 3 3 4 3" xfId="28186" xr:uid="{00000000-0005-0000-0000-0000D4790000}"/>
    <cellStyle name="Total 3 3 4 3 2" xfId="29173" xr:uid="{00000000-0005-0000-0000-0000D5790000}"/>
    <cellStyle name="Total 3 3 4 3 2 2" xfId="31133" xr:uid="{00000000-0005-0000-0000-0000D6790000}"/>
    <cellStyle name="Total 3 3 4 3 3" xfId="30153" xr:uid="{00000000-0005-0000-0000-0000D7790000}"/>
    <cellStyle name="Total 3 3 4 4" xfId="28524" xr:uid="{00000000-0005-0000-0000-0000D8790000}"/>
    <cellStyle name="Total 3 3 4 4 2" xfId="30484" xr:uid="{00000000-0005-0000-0000-0000D9790000}"/>
    <cellStyle name="Total 3 3 4 5" xfId="29504" xr:uid="{00000000-0005-0000-0000-0000DA790000}"/>
    <cellStyle name="Total 3 3 5" xfId="27634" xr:uid="{00000000-0005-0000-0000-0000DB790000}"/>
    <cellStyle name="Total 3 3 5 2" xfId="28100" xr:uid="{00000000-0005-0000-0000-0000DC790000}"/>
    <cellStyle name="Total 3 3 5 2 2" xfId="29087" xr:uid="{00000000-0005-0000-0000-0000DD790000}"/>
    <cellStyle name="Total 3 3 5 2 2 2" xfId="31047" xr:uid="{00000000-0005-0000-0000-0000DE790000}"/>
    <cellStyle name="Total 3 3 5 2 3" xfId="30067" xr:uid="{00000000-0005-0000-0000-0000DF790000}"/>
    <cellStyle name="Total 3 3 5 3" xfId="28222" xr:uid="{00000000-0005-0000-0000-0000E0790000}"/>
    <cellStyle name="Total 3 3 5 3 2" xfId="29209" xr:uid="{00000000-0005-0000-0000-0000E1790000}"/>
    <cellStyle name="Total 3 3 5 3 2 2" xfId="31169" xr:uid="{00000000-0005-0000-0000-0000E2790000}"/>
    <cellStyle name="Total 3 3 5 3 3" xfId="30189" xr:uid="{00000000-0005-0000-0000-0000E3790000}"/>
    <cellStyle name="Total 3 3 5 4" xfId="28622" xr:uid="{00000000-0005-0000-0000-0000E4790000}"/>
    <cellStyle name="Total 3 3 5 4 2" xfId="30582" xr:uid="{00000000-0005-0000-0000-0000E5790000}"/>
    <cellStyle name="Total 3 3 5 5" xfId="29602" xr:uid="{00000000-0005-0000-0000-0000E6790000}"/>
    <cellStyle name="Total 3 3 6" xfId="27774" xr:uid="{00000000-0005-0000-0000-0000E7790000}"/>
    <cellStyle name="Total 3 3 6 2" xfId="28762" xr:uid="{00000000-0005-0000-0000-0000E8790000}"/>
    <cellStyle name="Total 3 3 6 2 2" xfId="30722" xr:uid="{00000000-0005-0000-0000-0000E9790000}"/>
    <cellStyle name="Total 3 3 6 3" xfId="29742" xr:uid="{00000000-0005-0000-0000-0000EA790000}"/>
    <cellStyle name="Total 3 3 7" xfId="28328" xr:uid="{00000000-0005-0000-0000-0000EB790000}"/>
    <cellStyle name="Total 3 3 7 2" xfId="30288" xr:uid="{00000000-0005-0000-0000-0000EC790000}"/>
    <cellStyle name="Total 3 3 8" xfId="29308" xr:uid="{00000000-0005-0000-0000-0000ED790000}"/>
    <cellStyle name="Total 3 3 9" xfId="31268" xr:uid="{00000000-0005-0000-0000-0000EE790000}"/>
    <cellStyle name="Total 3 4" xfId="15012" xr:uid="{00000000-0005-0000-0000-0000EF790000}"/>
    <cellStyle name="Total 3 4 2" xfId="27397" xr:uid="{00000000-0005-0000-0000-0000F0790000}"/>
    <cellStyle name="Total 3 4 2 2" xfId="27508" xr:uid="{00000000-0005-0000-0000-0000F1790000}"/>
    <cellStyle name="Total 3 4 2 2 2" xfId="27974" xr:uid="{00000000-0005-0000-0000-0000F2790000}"/>
    <cellStyle name="Total 3 4 2 2 2 2" xfId="28961" xr:uid="{00000000-0005-0000-0000-0000F3790000}"/>
    <cellStyle name="Total 3 4 2 2 2 2 2" xfId="30921" xr:uid="{00000000-0005-0000-0000-0000F4790000}"/>
    <cellStyle name="Total 3 4 2 2 2 3" xfId="29941" xr:uid="{00000000-0005-0000-0000-0000F5790000}"/>
    <cellStyle name="Total 3 4 2 2 3" xfId="28496" xr:uid="{00000000-0005-0000-0000-0000F6790000}"/>
    <cellStyle name="Total 3 4 2 2 3 2" xfId="30456" xr:uid="{00000000-0005-0000-0000-0000F7790000}"/>
    <cellStyle name="Total 3 4 2 2 4" xfId="29476" xr:uid="{00000000-0005-0000-0000-0000F8790000}"/>
    <cellStyle name="Total 3 4 2 3" xfId="27606" xr:uid="{00000000-0005-0000-0000-0000F9790000}"/>
    <cellStyle name="Total 3 4 2 3 2" xfId="28072" xr:uid="{00000000-0005-0000-0000-0000FA790000}"/>
    <cellStyle name="Total 3 4 2 3 2 2" xfId="29059" xr:uid="{00000000-0005-0000-0000-0000FB790000}"/>
    <cellStyle name="Total 3 4 2 3 2 2 2" xfId="31019" xr:uid="{00000000-0005-0000-0000-0000FC790000}"/>
    <cellStyle name="Total 3 4 2 3 2 3" xfId="30039" xr:uid="{00000000-0005-0000-0000-0000FD790000}"/>
    <cellStyle name="Total 3 4 2 3 3" xfId="28211" xr:uid="{00000000-0005-0000-0000-0000FE790000}"/>
    <cellStyle name="Total 3 4 2 3 3 2" xfId="29198" xr:uid="{00000000-0005-0000-0000-0000FF790000}"/>
    <cellStyle name="Total 3 4 2 3 3 2 2" xfId="31158" xr:uid="{00000000-0005-0000-0000-0000007A0000}"/>
    <cellStyle name="Total 3 4 2 3 3 3" xfId="30178" xr:uid="{00000000-0005-0000-0000-0000017A0000}"/>
    <cellStyle name="Total 3 4 2 3 4" xfId="28594" xr:uid="{00000000-0005-0000-0000-0000027A0000}"/>
    <cellStyle name="Total 3 4 2 3 4 2" xfId="30554" xr:uid="{00000000-0005-0000-0000-0000037A0000}"/>
    <cellStyle name="Total 3 4 2 3 5" xfId="29574" xr:uid="{00000000-0005-0000-0000-0000047A0000}"/>
    <cellStyle name="Total 3 4 2 4" xfId="27704" xr:uid="{00000000-0005-0000-0000-0000057A0000}"/>
    <cellStyle name="Total 3 4 2 4 2" xfId="28170" xr:uid="{00000000-0005-0000-0000-0000067A0000}"/>
    <cellStyle name="Total 3 4 2 4 2 2" xfId="29157" xr:uid="{00000000-0005-0000-0000-0000077A0000}"/>
    <cellStyle name="Total 3 4 2 4 2 2 2" xfId="31117" xr:uid="{00000000-0005-0000-0000-0000087A0000}"/>
    <cellStyle name="Total 3 4 2 4 2 3" xfId="30137" xr:uid="{00000000-0005-0000-0000-0000097A0000}"/>
    <cellStyle name="Total 3 4 2 4 3" xfId="28247" xr:uid="{00000000-0005-0000-0000-00000A7A0000}"/>
    <cellStyle name="Total 3 4 2 4 3 2" xfId="29234" xr:uid="{00000000-0005-0000-0000-00000B7A0000}"/>
    <cellStyle name="Total 3 4 2 4 3 2 2" xfId="31194" xr:uid="{00000000-0005-0000-0000-00000C7A0000}"/>
    <cellStyle name="Total 3 4 2 4 3 3" xfId="30214" xr:uid="{00000000-0005-0000-0000-00000D7A0000}"/>
    <cellStyle name="Total 3 4 2 4 4" xfId="28692" xr:uid="{00000000-0005-0000-0000-00000E7A0000}"/>
    <cellStyle name="Total 3 4 2 4 4 2" xfId="30652" xr:uid="{00000000-0005-0000-0000-00000F7A0000}"/>
    <cellStyle name="Total 3 4 2 4 5" xfId="29672" xr:uid="{00000000-0005-0000-0000-0000107A0000}"/>
    <cellStyle name="Total 3 4 2 5" xfId="27876" xr:uid="{00000000-0005-0000-0000-0000117A0000}"/>
    <cellStyle name="Total 3 4 2 5 2" xfId="28863" xr:uid="{00000000-0005-0000-0000-0000127A0000}"/>
    <cellStyle name="Total 3 4 2 5 2 2" xfId="30823" xr:uid="{00000000-0005-0000-0000-0000137A0000}"/>
    <cellStyle name="Total 3 4 2 5 3" xfId="29843" xr:uid="{00000000-0005-0000-0000-0000147A0000}"/>
    <cellStyle name="Total 3 4 2 6" xfId="28398" xr:uid="{00000000-0005-0000-0000-0000157A0000}"/>
    <cellStyle name="Total 3 4 2 6 2" xfId="30358" xr:uid="{00000000-0005-0000-0000-0000167A0000}"/>
    <cellStyle name="Total 3 4 2 7" xfId="29378" xr:uid="{00000000-0005-0000-0000-0000177A0000}"/>
    <cellStyle name="Total 3 4 2 8" xfId="31338" xr:uid="{00000000-0005-0000-0000-0000187A0000}"/>
    <cellStyle name="Total 3 4 3" xfId="27464" xr:uid="{00000000-0005-0000-0000-0000197A0000}"/>
    <cellStyle name="Total 3 4 3 2" xfId="27930" xr:uid="{00000000-0005-0000-0000-00001A7A0000}"/>
    <cellStyle name="Total 3 4 3 2 2" xfId="28917" xr:uid="{00000000-0005-0000-0000-00001B7A0000}"/>
    <cellStyle name="Total 3 4 3 2 2 2" xfId="30877" xr:uid="{00000000-0005-0000-0000-00001C7A0000}"/>
    <cellStyle name="Total 3 4 3 2 3" xfId="29897" xr:uid="{00000000-0005-0000-0000-00001D7A0000}"/>
    <cellStyle name="Total 3 4 3 3" xfId="28452" xr:uid="{00000000-0005-0000-0000-00001E7A0000}"/>
    <cellStyle name="Total 3 4 3 3 2" xfId="30412" xr:uid="{00000000-0005-0000-0000-00001F7A0000}"/>
    <cellStyle name="Total 3 4 3 4" xfId="29432" xr:uid="{00000000-0005-0000-0000-0000207A0000}"/>
    <cellStyle name="Total 3 4 4" xfId="27562" xr:uid="{00000000-0005-0000-0000-0000217A0000}"/>
    <cellStyle name="Total 3 4 4 2" xfId="28028" xr:uid="{00000000-0005-0000-0000-0000227A0000}"/>
    <cellStyle name="Total 3 4 4 2 2" xfId="29015" xr:uid="{00000000-0005-0000-0000-0000237A0000}"/>
    <cellStyle name="Total 3 4 4 2 2 2" xfId="30975" xr:uid="{00000000-0005-0000-0000-0000247A0000}"/>
    <cellStyle name="Total 3 4 4 2 3" xfId="29995" xr:uid="{00000000-0005-0000-0000-0000257A0000}"/>
    <cellStyle name="Total 3 4 4 3" xfId="28195" xr:uid="{00000000-0005-0000-0000-0000267A0000}"/>
    <cellStyle name="Total 3 4 4 3 2" xfId="29182" xr:uid="{00000000-0005-0000-0000-0000277A0000}"/>
    <cellStyle name="Total 3 4 4 3 2 2" xfId="31142" xr:uid="{00000000-0005-0000-0000-0000287A0000}"/>
    <cellStyle name="Total 3 4 4 3 3" xfId="30162" xr:uid="{00000000-0005-0000-0000-0000297A0000}"/>
    <cellStyle name="Total 3 4 4 4" xfId="28550" xr:uid="{00000000-0005-0000-0000-00002A7A0000}"/>
    <cellStyle name="Total 3 4 4 4 2" xfId="30510" xr:uid="{00000000-0005-0000-0000-00002B7A0000}"/>
    <cellStyle name="Total 3 4 4 5" xfId="29530" xr:uid="{00000000-0005-0000-0000-00002C7A0000}"/>
    <cellStyle name="Total 3 4 5" xfId="27660" xr:uid="{00000000-0005-0000-0000-00002D7A0000}"/>
    <cellStyle name="Total 3 4 5 2" xfId="28126" xr:uid="{00000000-0005-0000-0000-00002E7A0000}"/>
    <cellStyle name="Total 3 4 5 2 2" xfId="29113" xr:uid="{00000000-0005-0000-0000-00002F7A0000}"/>
    <cellStyle name="Total 3 4 5 2 2 2" xfId="31073" xr:uid="{00000000-0005-0000-0000-0000307A0000}"/>
    <cellStyle name="Total 3 4 5 2 3" xfId="30093" xr:uid="{00000000-0005-0000-0000-0000317A0000}"/>
    <cellStyle name="Total 3 4 5 3" xfId="28231" xr:uid="{00000000-0005-0000-0000-0000327A0000}"/>
    <cellStyle name="Total 3 4 5 3 2" xfId="29218" xr:uid="{00000000-0005-0000-0000-0000337A0000}"/>
    <cellStyle name="Total 3 4 5 3 2 2" xfId="31178" xr:uid="{00000000-0005-0000-0000-0000347A0000}"/>
    <cellStyle name="Total 3 4 5 3 3" xfId="30198" xr:uid="{00000000-0005-0000-0000-0000357A0000}"/>
    <cellStyle name="Total 3 4 5 4" xfId="28648" xr:uid="{00000000-0005-0000-0000-0000367A0000}"/>
    <cellStyle name="Total 3 4 5 4 2" xfId="30608" xr:uid="{00000000-0005-0000-0000-0000377A0000}"/>
    <cellStyle name="Total 3 4 5 5" xfId="29628" xr:uid="{00000000-0005-0000-0000-0000387A0000}"/>
    <cellStyle name="Total 3 4 6" xfId="27800" xr:uid="{00000000-0005-0000-0000-0000397A0000}"/>
    <cellStyle name="Total 3 4 6 2" xfId="28788" xr:uid="{00000000-0005-0000-0000-00003A7A0000}"/>
    <cellStyle name="Total 3 4 6 2 2" xfId="30748" xr:uid="{00000000-0005-0000-0000-00003B7A0000}"/>
    <cellStyle name="Total 3 4 6 3" xfId="29768" xr:uid="{00000000-0005-0000-0000-00003C7A0000}"/>
    <cellStyle name="Total 3 4 7" xfId="28354" xr:uid="{00000000-0005-0000-0000-00003D7A0000}"/>
    <cellStyle name="Total 3 4 7 2" xfId="30314" xr:uid="{00000000-0005-0000-0000-00003E7A0000}"/>
    <cellStyle name="Total 3 4 8" xfId="29334" xr:uid="{00000000-0005-0000-0000-00003F7A0000}"/>
    <cellStyle name="Total 3 4 9" xfId="31294" xr:uid="{00000000-0005-0000-0000-0000407A0000}"/>
    <cellStyle name="Total 3 5" xfId="27428" xr:uid="{00000000-0005-0000-0000-0000417A0000}"/>
    <cellStyle name="Total 3 5 2" xfId="27894" xr:uid="{00000000-0005-0000-0000-0000427A0000}"/>
    <cellStyle name="Total 3 5 2 2" xfId="28881" xr:uid="{00000000-0005-0000-0000-0000437A0000}"/>
    <cellStyle name="Total 3 5 2 2 2" xfId="30841" xr:uid="{00000000-0005-0000-0000-0000447A0000}"/>
    <cellStyle name="Total 3 5 2 3" xfId="29861" xr:uid="{00000000-0005-0000-0000-0000457A0000}"/>
    <cellStyle name="Total 3 5 3" xfId="28416" xr:uid="{00000000-0005-0000-0000-0000467A0000}"/>
    <cellStyle name="Total 3 5 3 2" xfId="30376" xr:uid="{00000000-0005-0000-0000-0000477A0000}"/>
    <cellStyle name="Total 3 5 4" xfId="29396" xr:uid="{00000000-0005-0000-0000-0000487A0000}"/>
    <cellStyle name="Total 3 6" xfId="27526" xr:uid="{00000000-0005-0000-0000-0000497A0000}"/>
    <cellStyle name="Total 3 6 2" xfId="27992" xr:uid="{00000000-0005-0000-0000-00004A7A0000}"/>
    <cellStyle name="Total 3 6 2 2" xfId="28979" xr:uid="{00000000-0005-0000-0000-00004B7A0000}"/>
    <cellStyle name="Total 3 6 2 2 2" xfId="30939" xr:uid="{00000000-0005-0000-0000-00004C7A0000}"/>
    <cellStyle name="Total 3 6 2 3" xfId="29959" xr:uid="{00000000-0005-0000-0000-00004D7A0000}"/>
    <cellStyle name="Total 3 6 3" xfId="28182" xr:uid="{00000000-0005-0000-0000-00004E7A0000}"/>
    <cellStyle name="Total 3 6 3 2" xfId="29169" xr:uid="{00000000-0005-0000-0000-00004F7A0000}"/>
    <cellStyle name="Total 3 6 3 2 2" xfId="31129" xr:uid="{00000000-0005-0000-0000-0000507A0000}"/>
    <cellStyle name="Total 3 6 3 3" xfId="30149" xr:uid="{00000000-0005-0000-0000-0000517A0000}"/>
    <cellStyle name="Total 3 6 4" xfId="28514" xr:uid="{00000000-0005-0000-0000-0000527A0000}"/>
    <cellStyle name="Total 3 6 4 2" xfId="30474" xr:uid="{00000000-0005-0000-0000-0000537A0000}"/>
    <cellStyle name="Total 3 6 5" xfId="29494" xr:uid="{00000000-0005-0000-0000-0000547A0000}"/>
    <cellStyle name="Total 3 7" xfId="27624" xr:uid="{00000000-0005-0000-0000-0000557A0000}"/>
    <cellStyle name="Total 3 7 2" xfId="28090" xr:uid="{00000000-0005-0000-0000-0000567A0000}"/>
    <cellStyle name="Total 3 7 2 2" xfId="29077" xr:uid="{00000000-0005-0000-0000-0000577A0000}"/>
    <cellStyle name="Total 3 7 2 2 2" xfId="31037" xr:uid="{00000000-0005-0000-0000-0000587A0000}"/>
    <cellStyle name="Total 3 7 2 3" xfId="30057" xr:uid="{00000000-0005-0000-0000-0000597A0000}"/>
    <cellStyle name="Total 3 7 3" xfId="28218" xr:uid="{00000000-0005-0000-0000-00005A7A0000}"/>
    <cellStyle name="Total 3 7 3 2" xfId="29205" xr:uid="{00000000-0005-0000-0000-00005B7A0000}"/>
    <cellStyle name="Total 3 7 3 2 2" xfId="31165" xr:uid="{00000000-0005-0000-0000-00005C7A0000}"/>
    <cellStyle name="Total 3 7 3 3" xfId="30185" xr:uid="{00000000-0005-0000-0000-00005D7A0000}"/>
    <cellStyle name="Total 3 7 4" xfId="28612" xr:uid="{00000000-0005-0000-0000-00005E7A0000}"/>
    <cellStyle name="Total 3 7 4 2" xfId="30572" xr:uid="{00000000-0005-0000-0000-00005F7A0000}"/>
    <cellStyle name="Total 3 7 5" xfId="29592" xr:uid="{00000000-0005-0000-0000-0000607A0000}"/>
    <cellStyle name="Total 3 8" xfId="27723" xr:uid="{00000000-0005-0000-0000-0000617A0000}"/>
    <cellStyle name="Total 3 8 2" xfId="28711" xr:uid="{00000000-0005-0000-0000-0000627A0000}"/>
    <cellStyle name="Total 3 8 2 2" xfId="30671" xr:uid="{00000000-0005-0000-0000-0000637A0000}"/>
    <cellStyle name="Total 3 8 3" xfId="29691" xr:uid="{00000000-0005-0000-0000-0000647A0000}"/>
    <cellStyle name="Total 3 9" xfId="28318" xr:uid="{00000000-0005-0000-0000-0000657A0000}"/>
    <cellStyle name="Total 3 9 2" xfId="30278" xr:uid="{00000000-0005-0000-0000-0000667A0000}"/>
    <cellStyle name="Total 4" xfId="3278" xr:uid="{00000000-0005-0000-0000-0000677A0000}"/>
    <cellStyle name="Total 5" xfId="3279" xr:uid="{00000000-0005-0000-0000-0000687A0000}"/>
    <cellStyle name="Total 6" xfId="3280" xr:uid="{00000000-0005-0000-0000-0000697A0000}"/>
    <cellStyle name="Total 7" xfId="3281" xr:uid="{00000000-0005-0000-0000-00006A7A0000}"/>
    <cellStyle name="Total 8" xfId="3282" xr:uid="{00000000-0005-0000-0000-00006B7A0000}"/>
    <cellStyle name="Total 9" xfId="3283" xr:uid="{00000000-0005-0000-0000-00006C7A0000}"/>
    <cellStyle name="Warning Text" xfId="19" builtinId="11" customBuiltin="1"/>
    <cellStyle name="Warning Text 10" xfId="3284" xr:uid="{00000000-0005-0000-0000-00006E7A0000}"/>
    <cellStyle name="Warning Text 11" xfId="3285" xr:uid="{00000000-0005-0000-0000-00006F7A0000}"/>
    <cellStyle name="Warning Text 12" xfId="3286" xr:uid="{00000000-0005-0000-0000-0000707A0000}"/>
    <cellStyle name="Warning Text 13" xfId="3287" xr:uid="{00000000-0005-0000-0000-0000717A0000}"/>
    <cellStyle name="Warning Text 14" xfId="3288" xr:uid="{00000000-0005-0000-0000-0000727A0000}"/>
    <cellStyle name="Warning Text 15" xfId="3289" xr:uid="{00000000-0005-0000-0000-0000737A0000}"/>
    <cellStyle name="Warning Text 16" xfId="3290" xr:uid="{00000000-0005-0000-0000-0000747A0000}"/>
    <cellStyle name="Warning Text 17" xfId="3291" xr:uid="{00000000-0005-0000-0000-0000757A0000}"/>
    <cellStyle name="Warning Text 18" xfId="3292" xr:uid="{00000000-0005-0000-0000-0000767A0000}"/>
    <cellStyle name="Warning Text 19" xfId="3293" xr:uid="{00000000-0005-0000-0000-0000777A0000}"/>
    <cellStyle name="Warning Text 2" xfId="1647" xr:uid="{00000000-0005-0000-0000-0000787A0000}"/>
    <cellStyle name="Warning Text 2 10" xfId="3294" xr:uid="{00000000-0005-0000-0000-0000797A0000}"/>
    <cellStyle name="Warning Text 2 11" xfId="3295" xr:uid="{00000000-0005-0000-0000-00007A7A0000}"/>
    <cellStyle name="Warning Text 2 12" xfId="3296" xr:uid="{00000000-0005-0000-0000-00007B7A0000}"/>
    <cellStyle name="Warning Text 2 13" xfId="3297" xr:uid="{00000000-0005-0000-0000-00007C7A0000}"/>
    <cellStyle name="Warning Text 2 14" xfId="3298" xr:uid="{00000000-0005-0000-0000-00007D7A0000}"/>
    <cellStyle name="Warning Text 2 15" xfId="3299" xr:uid="{00000000-0005-0000-0000-00007E7A0000}"/>
    <cellStyle name="Warning Text 2 2" xfId="3300" xr:uid="{00000000-0005-0000-0000-00007F7A0000}"/>
    <cellStyle name="Warning Text 2 3" xfId="3301" xr:uid="{00000000-0005-0000-0000-0000807A0000}"/>
    <cellStyle name="Warning Text 2 4" xfId="3302" xr:uid="{00000000-0005-0000-0000-0000817A0000}"/>
    <cellStyle name="Warning Text 2 5" xfId="3303" xr:uid="{00000000-0005-0000-0000-0000827A0000}"/>
    <cellStyle name="Warning Text 2 6" xfId="3304" xr:uid="{00000000-0005-0000-0000-0000837A0000}"/>
    <cellStyle name="Warning Text 2 7" xfId="3305" xr:uid="{00000000-0005-0000-0000-0000847A0000}"/>
    <cellStyle name="Warning Text 2 8" xfId="3306" xr:uid="{00000000-0005-0000-0000-0000857A0000}"/>
    <cellStyle name="Warning Text 2 9" xfId="3307" xr:uid="{00000000-0005-0000-0000-0000867A0000}"/>
    <cellStyle name="Warning Text 20" xfId="3308" xr:uid="{00000000-0005-0000-0000-0000877A0000}"/>
    <cellStyle name="Warning Text 21" xfId="3309" xr:uid="{00000000-0005-0000-0000-0000887A0000}"/>
    <cellStyle name="Warning Text 22" xfId="3310" xr:uid="{00000000-0005-0000-0000-0000897A0000}"/>
    <cellStyle name="Warning Text 23" xfId="3311" xr:uid="{00000000-0005-0000-0000-00008A7A0000}"/>
    <cellStyle name="Warning Text 24" xfId="3312" xr:uid="{00000000-0005-0000-0000-00008B7A0000}"/>
    <cellStyle name="Warning Text 3" xfId="1648" xr:uid="{00000000-0005-0000-0000-00008C7A0000}"/>
    <cellStyle name="Warning Text 4" xfId="3313" xr:uid="{00000000-0005-0000-0000-00008D7A0000}"/>
    <cellStyle name="Warning Text 5" xfId="3314" xr:uid="{00000000-0005-0000-0000-00008E7A0000}"/>
    <cellStyle name="Warning Text 6" xfId="3315" xr:uid="{00000000-0005-0000-0000-00008F7A0000}"/>
    <cellStyle name="Warning Text 7" xfId="3316" xr:uid="{00000000-0005-0000-0000-0000907A0000}"/>
    <cellStyle name="Warning Text 8" xfId="3317" xr:uid="{00000000-0005-0000-0000-0000917A0000}"/>
    <cellStyle name="Warning Text 9" xfId="3318" xr:uid="{00000000-0005-0000-0000-0000927A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4"/>
  <sheetViews>
    <sheetView workbookViewId="0">
      <pane xSplit="1" topLeftCell="B1" activePane="topRight" state="frozen"/>
      <selection pane="topRight" activeCell="J18" sqref="J18"/>
    </sheetView>
  </sheetViews>
  <sheetFormatPr defaultColWidth="9.140625" defaultRowHeight="12.75"/>
  <cols>
    <col min="1" max="2" width="14" style="1" customWidth="1"/>
    <col min="3" max="3" width="10.7109375" style="2" customWidth="1"/>
    <col min="4" max="4" width="12" style="2" customWidth="1"/>
    <col min="5" max="5" width="11.7109375" style="2" customWidth="1"/>
    <col min="6" max="7" width="10.7109375" style="2" customWidth="1"/>
    <col min="8" max="8" width="11.140625" style="2" customWidth="1"/>
    <col min="9" max="9" width="11.28515625" style="2" customWidth="1"/>
    <col min="10" max="10" width="10.5703125" style="1" customWidth="1"/>
    <col min="11" max="11" width="10.85546875" style="1" customWidth="1"/>
    <col min="12" max="12" width="10.5703125" style="1" customWidth="1"/>
    <col min="13" max="13" width="11.42578125" style="1" customWidth="1"/>
    <col min="14" max="14" width="12" style="1" customWidth="1"/>
    <col min="15" max="15" width="11" style="1" customWidth="1"/>
    <col min="16" max="16" width="10.85546875" style="1" customWidth="1"/>
    <col min="17" max="17" width="11.7109375" style="1" customWidth="1"/>
    <col min="18" max="18" width="10.5703125" style="1" customWidth="1"/>
    <col min="19" max="19" width="12.140625" style="1" customWidth="1"/>
    <col min="20" max="20" width="10.7109375" style="1" customWidth="1"/>
    <col min="21" max="21" width="11.5703125" style="1" customWidth="1"/>
    <col min="22" max="23" width="10.85546875" style="1" customWidth="1"/>
    <col min="24" max="24" width="11.28515625" style="1" customWidth="1"/>
    <col min="25" max="25" width="11.140625" style="1" customWidth="1"/>
    <col min="26" max="28" width="10.5703125" style="1" customWidth="1"/>
    <col min="29" max="29" width="11.42578125" style="1" customWidth="1"/>
    <col min="30" max="32" width="10.5703125" style="1" customWidth="1"/>
    <col min="33" max="33" width="11.42578125" style="1" customWidth="1"/>
    <col min="34" max="34" width="11.85546875" style="1" customWidth="1"/>
    <col min="35" max="35" width="10.85546875" style="1" customWidth="1"/>
    <col min="36" max="36" width="11.140625" style="1" customWidth="1"/>
    <col min="37" max="37" width="11.28515625" style="1" customWidth="1"/>
    <col min="38" max="38" width="10.5703125" style="1" customWidth="1"/>
    <col min="39" max="39" width="9.140625" style="1"/>
    <col min="40" max="40" width="11.42578125" style="1" hidden="1" customWidth="1"/>
    <col min="41" max="41" width="15.42578125" style="1" hidden="1" customWidth="1"/>
    <col min="42" max="42" width="0" style="1" hidden="1" customWidth="1"/>
    <col min="43" max="43" width="11.5703125" style="1" hidden="1" customWidth="1"/>
    <col min="44" max="44" width="11.85546875" style="1" hidden="1" customWidth="1"/>
    <col min="45" max="45" width="17.28515625" style="1" hidden="1" customWidth="1"/>
    <col min="46" max="16384" width="9.140625" style="1"/>
  </cols>
  <sheetData>
    <row r="1" spans="1:45" ht="13.5" thickBot="1">
      <c r="A1" s="71" t="s">
        <v>0</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row>
    <row r="2" spans="1:45" ht="79.5" customHeight="1">
      <c r="A2" s="3181" t="s">
        <v>1</v>
      </c>
      <c r="B2" s="3183" t="s">
        <v>2</v>
      </c>
      <c r="C2" s="70" t="s">
        <v>3</v>
      </c>
      <c r="D2" s="70" t="s">
        <v>4</v>
      </c>
      <c r="E2" s="68" t="s">
        <v>5</v>
      </c>
      <c r="F2" s="68" t="s">
        <v>6</v>
      </c>
      <c r="G2" s="3014" t="s">
        <v>7</v>
      </c>
      <c r="H2" s="70" t="s">
        <v>3</v>
      </c>
      <c r="I2" s="70" t="s">
        <v>4</v>
      </c>
      <c r="J2" s="68" t="s">
        <v>5</v>
      </c>
      <c r="K2" s="68" t="s">
        <v>6</v>
      </c>
      <c r="L2" s="3014" t="s">
        <v>7</v>
      </c>
      <c r="M2" s="69" t="s">
        <v>3</v>
      </c>
      <c r="N2" s="70" t="s">
        <v>4</v>
      </c>
      <c r="O2" s="68" t="s">
        <v>5</v>
      </c>
      <c r="P2" s="68" t="s">
        <v>6</v>
      </c>
      <c r="Q2" s="3014" t="s">
        <v>7</v>
      </c>
      <c r="R2" s="69" t="s">
        <v>3</v>
      </c>
      <c r="S2" s="70" t="s">
        <v>4</v>
      </c>
      <c r="T2" s="68" t="s">
        <v>5</v>
      </c>
      <c r="U2" s="68" t="s">
        <v>6</v>
      </c>
      <c r="V2" s="3014" t="s">
        <v>7</v>
      </c>
      <c r="W2" s="69" t="s">
        <v>3</v>
      </c>
      <c r="X2" s="70" t="s">
        <v>4</v>
      </c>
      <c r="Y2" s="68" t="s">
        <v>5</v>
      </c>
      <c r="Z2" s="68" t="s">
        <v>6</v>
      </c>
      <c r="AA2" s="3014" t="s">
        <v>7</v>
      </c>
      <c r="AB2" s="69" t="s">
        <v>3</v>
      </c>
      <c r="AC2" s="70" t="s">
        <v>4</v>
      </c>
      <c r="AD2" s="68" t="s">
        <v>5</v>
      </c>
      <c r="AE2" s="68" t="s">
        <v>6</v>
      </c>
      <c r="AF2" s="3014" t="s">
        <v>7</v>
      </c>
      <c r="AG2" s="69" t="s">
        <v>3</v>
      </c>
      <c r="AH2" s="70" t="s">
        <v>4</v>
      </c>
      <c r="AI2" s="68" t="s">
        <v>5</v>
      </c>
      <c r="AJ2" s="68" t="s">
        <v>6</v>
      </c>
      <c r="AK2" s="3014" t="s">
        <v>7</v>
      </c>
      <c r="AL2" s="3192" t="s">
        <v>8</v>
      </c>
      <c r="AN2" s="3194" t="s">
        <v>9</v>
      </c>
      <c r="AO2" s="3196" t="s">
        <v>10</v>
      </c>
      <c r="AQ2" s="3198" t="s">
        <v>11</v>
      </c>
      <c r="AR2" s="3194" t="s">
        <v>12</v>
      </c>
      <c r="AS2" s="3200" t="s">
        <v>13</v>
      </c>
    </row>
    <row r="3" spans="1:45" ht="15.75" customHeight="1">
      <c r="A3" s="3182"/>
      <c r="B3" s="3184"/>
      <c r="C3" s="3185">
        <v>2015</v>
      </c>
      <c r="D3" s="3186"/>
      <c r="E3" s="3186"/>
      <c r="F3" s="3186"/>
      <c r="G3" s="3187"/>
      <c r="H3" s="3185">
        <v>2020</v>
      </c>
      <c r="I3" s="3186"/>
      <c r="J3" s="3186"/>
      <c r="K3" s="3186"/>
      <c r="L3" s="3187"/>
      <c r="M3" s="3185">
        <v>2025</v>
      </c>
      <c r="N3" s="3186"/>
      <c r="O3" s="3186"/>
      <c r="P3" s="3186"/>
      <c r="Q3" s="3187"/>
      <c r="R3" s="3185">
        <v>2030</v>
      </c>
      <c r="S3" s="3186"/>
      <c r="T3" s="3186"/>
      <c r="U3" s="3186"/>
      <c r="V3" s="3187"/>
      <c r="W3" s="3185">
        <v>2035</v>
      </c>
      <c r="X3" s="3186"/>
      <c r="Y3" s="3186"/>
      <c r="Z3" s="3186"/>
      <c r="AA3" s="3187"/>
      <c r="AB3" s="3185">
        <v>2040</v>
      </c>
      <c r="AC3" s="3186"/>
      <c r="AD3" s="3186"/>
      <c r="AE3" s="3186"/>
      <c r="AF3" s="3187"/>
      <c r="AG3" s="3185">
        <v>2045</v>
      </c>
      <c r="AH3" s="3186"/>
      <c r="AI3" s="3186"/>
      <c r="AJ3" s="3186"/>
      <c r="AK3" s="3187"/>
      <c r="AL3" s="3193"/>
      <c r="AN3" s="3195"/>
      <c r="AO3" s="3197"/>
      <c r="AQ3" s="3199"/>
      <c r="AR3" s="3195"/>
      <c r="AS3" s="3201"/>
    </row>
    <row r="4" spans="1:45" s="2" customFormat="1">
      <c r="A4" s="295" t="s">
        <v>14</v>
      </c>
      <c r="B4" s="730" t="s">
        <v>15</v>
      </c>
      <c r="C4" s="1542" t="s">
        <v>16</v>
      </c>
      <c r="D4" s="1542" t="s">
        <v>16</v>
      </c>
      <c r="E4" s="337">
        <f>F4+G4</f>
        <v>197466</v>
      </c>
      <c r="F4" s="343">
        <f>'Table 4'!C5</f>
        <v>187980</v>
      </c>
      <c r="G4" s="349">
        <f>'Table 6'!C5</f>
        <v>9486</v>
      </c>
      <c r="H4" s="338" t="s">
        <v>16</v>
      </c>
      <c r="I4" s="1542" t="s">
        <v>16</v>
      </c>
      <c r="J4" s="343">
        <f>K4+L4</f>
        <v>203981</v>
      </c>
      <c r="K4" s="343">
        <f>'Table 4'!D5</f>
        <v>194225</v>
      </c>
      <c r="L4" s="349">
        <f>'Table 6'!D5</f>
        <v>9756</v>
      </c>
      <c r="M4" s="338" t="s">
        <v>16</v>
      </c>
      <c r="N4" s="1542" t="s">
        <v>16</v>
      </c>
      <c r="O4" s="343">
        <f>P4+Q4</f>
        <v>208575</v>
      </c>
      <c r="P4" s="343">
        <f>'Table 4'!E5</f>
        <v>198455</v>
      </c>
      <c r="Q4" s="723">
        <f>'Table 6'!E5</f>
        <v>10120</v>
      </c>
      <c r="R4" s="338" t="s">
        <v>16</v>
      </c>
      <c r="S4" s="1542" t="s">
        <v>16</v>
      </c>
      <c r="T4" s="343">
        <f>U4+V4</f>
        <v>212384</v>
      </c>
      <c r="U4" s="343">
        <f>'Table 4'!F5</f>
        <v>200386</v>
      </c>
      <c r="V4" s="349">
        <f>'Table 6'!F5</f>
        <v>11998</v>
      </c>
      <c r="W4" s="338" t="s">
        <v>16</v>
      </c>
      <c r="X4" s="1542" t="s">
        <v>16</v>
      </c>
      <c r="Y4" s="343">
        <f>Z4+AA4</f>
        <v>212473</v>
      </c>
      <c r="Z4" s="343">
        <f>'Table 4'!G5</f>
        <v>200475</v>
      </c>
      <c r="AA4" s="723">
        <f>'Table 6'!G5</f>
        <v>11998</v>
      </c>
      <c r="AB4" s="338" t="s">
        <v>16</v>
      </c>
      <c r="AC4" s="1542" t="s">
        <v>16</v>
      </c>
      <c r="AD4" s="343">
        <f>AE4+AF4</f>
        <v>214246</v>
      </c>
      <c r="AE4" s="343">
        <f>'Table 4'!H5</f>
        <v>201157</v>
      </c>
      <c r="AF4" s="723">
        <f>'Table 6'!H5</f>
        <v>13089</v>
      </c>
      <c r="AG4" s="338" t="s">
        <v>16</v>
      </c>
      <c r="AH4" s="1542" t="s">
        <v>16</v>
      </c>
      <c r="AI4" s="343">
        <f>AJ4+AK4</f>
        <v>215828</v>
      </c>
      <c r="AJ4" s="343">
        <f>'Table 4'!I5</f>
        <v>201310</v>
      </c>
      <c r="AK4" s="723">
        <f>'Table 6'!I5</f>
        <v>14518</v>
      </c>
      <c r="AL4" s="43">
        <f t="shared" ref="AL4:AL26" si="0">(AI4-E4)/E4</f>
        <v>0.09</v>
      </c>
      <c r="AN4" s="201">
        <f t="shared" ref="AN4:AO7" si="1">(AJ4-F4)/F4</f>
        <v>7.0000000000000007E-2</v>
      </c>
      <c r="AO4" s="43">
        <f t="shared" si="1"/>
        <v>0.53</v>
      </c>
      <c r="AP4" s="212"/>
      <c r="AQ4" s="1566">
        <f t="shared" ref="AQ4:AQ26" si="2">AI4-E4</f>
        <v>18362</v>
      </c>
      <c r="AR4" s="1559">
        <f t="shared" ref="AR4:AR26" si="3">AJ4-F4</f>
        <v>13330</v>
      </c>
      <c r="AS4" s="1554">
        <f t="shared" ref="AS4:AS26" si="4">AK4-G4</f>
        <v>5032</v>
      </c>
    </row>
    <row r="5" spans="1:45" s="2" customFormat="1">
      <c r="A5" s="1827" t="s">
        <v>14</v>
      </c>
      <c r="B5" s="734" t="s">
        <v>17</v>
      </c>
      <c r="C5" s="1540" t="s">
        <v>16</v>
      </c>
      <c r="D5" s="1540" t="s">
        <v>16</v>
      </c>
      <c r="E5" s="896">
        <f>F5+G5</f>
        <v>55728</v>
      </c>
      <c r="F5" s="896">
        <f>'Table 4'!C6</f>
        <v>21820</v>
      </c>
      <c r="G5" s="897">
        <f>'Table 6'!C6</f>
        <v>33908</v>
      </c>
      <c r="H5" s="1084" t="s">
        <v>16</v>
      </c>
      <c r="I5" s="1540" t="s">
        <v>16</v>
      </c>
      <c r="J5" s="896">
        <f>K5+L5</f>
        <v>65450</v>
      </c>
      <c r="K5" s="896">
        <f>'Table 4'!D6</f>
        <v>23504</v>
      </c>
      <c r="L5" s="897">
        <f>'Table 6'!D6</f>
        <v>41946</v>
      </c>
      <c r="M5" s="1084" t="s">
        <v>16</v>
      </c>
      <c r="N5" s="1540" t="s">
        <v>16</v>
      </c>
      <c r="O5" s="896">
        <f>P5+Q5</f>
        <v>72431</v>
      </c>
      <c r="P5" s="896">
        <f>'Table 4'!E6</f>
        <v>23749</v>
      </c>
      <c r="Q5" s="887">
        <f>'Table 6'!E6</f>
        <v>48682</v>
      </c>
      <c r="R5" s="1084" t="s">
        <v>16</v>
      </c>
      <c r="S5" s="1540" t="s">
        <v>16</v>
      </c>
      <c r="T5" s="896">
        <f>U5+V5</f>
        <v>78722</v>
      </c>
      <c r="U5" s="896">
        <f>'Table 4'!F6</f>
        <v>25325</v>
      </c>
      <c r="V5" s="887">
        <f>'Table 6'!F6</f>
        <v>53397</v>
      </c>
      <c r="W5" s="1084" t="s">
        <v>16</v>
      </c>
      <c r="X5" s="1540" t="s">
        <v>16</v>
      </c>
      <c r="Y5" s="896">
        <f>Z5+AA5</f>
        <v>87233</v>
      </c>
      <c r="Z5" s="896">
        <f>'Table 4'!G6</f>
        <v>26758</v>
      </c>
      <c r="AA5" s="887">
        <f>'Table 6'!G6</f>
        <v>60475</v>
      </c>
      <c r="AB5" s="1084" t="s">
        <v>16</v>
      </c>
      <c r="AC5" s="1540" t="s">
        <v>16</v>
      </c>
      <c r="AD5" s="896">
        <f>AE5+AF5</f>
        <v>92660</v>
      </c>
      <c r="AE5" s="896">
        <f>'Table 4'!H6</f>
        <v>27250</v>
      </c>
      <c r="AF5" s="887">
        <f>'Table 6'!H6</f>
        <v>65410</v>
      </c>
      <c r="AG5" s="1084" t="s">
        <v>16</v>
      </c>
      <c r="AH5" s="1540" t="s">
        <v>16</v>
      </c>
      <c r="AI5" s="1088">
        <f>AJ5+AK5</f>
        <v>96978</v>
      </c>
      <c r="AJ5" s="1088">
        <f>'Table 4'!I6</f>
        <v>27562</v>
      </c>
      <c r="AK5" s="887">
        <f>'Table 6'!I6</f>
        <v>69416</v>
      </c>
      <c r="AL5" s="720">
        <f t="shared" si="0"/>
        <v>0.74</v>
      </c>
      <c r="AN5" s="194">
        <f t="shared" si="1"/>
        <v>0.26</v>
      </c>
      <c r="AO5" s="720">
        <f t="shared" si="1"/>
        <v>1.05</v>
      </c>
      <c r="AP5" s="212"/>
      <c r="AQ5" s="1828">
        <f t="shared" si="2"/>
        <v>41250</v>
      </c>
      <c r="AR5" s="1829">
        <f t="shared" si="3"/>
        <v>5742</v>
      </c>
      <c r="AS5" s="1555">
        <f t="shared" si="4"/>
        <v>35508</v>
      </c>
    </row>
    <row r="6" spans="1:45" s="2" customFormat="1" ht="14.25" thickTop="1" thickBot="1">
      <c r="A6" s="341" t="s">
        <v>14</v>
      </c>
      <c r="B6" s="733" t="s">
        <v>18</v>
      </c>
      <c r="C6" s="888">
        <v>254893</v>
      </c>
      <c r="D6" s="888">
        <v>253603</v>
      </c>
      <c r="E6" s="340">
        <f>SUM(E4:E5)</f>
        <v>253194</v>
      </c>
      <c r="F6" s="340">
        <f>SUM(F4:F5)</f>
        <v>209800</v>
      </c>
      <c r="G6" s="284">
        <f>SUM(G4:G5)</f>
        <v>43394</v>
      </c>
      <c r="H6" s="277">
        <v>269800</v>
      </c>
      <c r="I6" s="888">
        <v>269800</v>
      </c>
      <c r="J6" s="340">
        <f>SUM(J4:J5)</f>
        <v>269431</v>
      </c>
      <c r="K6" s="340">
        <f>SUM(K4:K5)</f>
        <v>217729</v>
      </c>
      <c r="L6" s="284">
        <f>SUM(L4:L5)</f>
        <v>51702</v>
      </c>
      <c r="M6" s="277">
        <v>281500</v>
      </c>
      <c r="N6" s="888">
        <f>O6</f>
        <v>281006</v>
      </c>
      <c r="O6" s="340">
        <f>SUM(O4:O5)</f>
        <v>281006</v>
      </c>
      <c r="P6" s="340">
        <f>SUM(P4:P5)</f>
        <v>222204</v>
      </c>
      <c r="Q6" s="724">
        <f>SUM(Q4:Q5)</f>
        <v>58802</v>
      </c>
      <c r="R6" s="277">
        <v>291600</v>
      </c>
      <c r="S6" s="888">
        <f>T6</f>
        <v>291106</v>
      </c>
      <c r="T6" s="340">
        <f>SUM(T4:T5)</f>
        <v>291106</v>
      </c>
      <c r="U6" s="340">
        <f>SUM(U4:U5)</f>
        <v>225711</v>
      </c>
      <c r="V6" s="724">
        <f>SUM(V4:V5)</f>
        <v>65395</v>
      </c>
      <c r="W6" s="277">
        <v>300200</v>
      </c>
      <c r="X6" s="888">
        <f>Y6</f>
        <v>299706</v>
      </c>
      <c r="Y6" s="340">
        <f>SUM(Y4:Y5)</f>
        <v>299706</v>
      </c>
      <c r="Z6" s="340">
        <f>SUM(Z4:Z5)</f>
        <v>227233</v>
      </c>
      <c r="AA6" s="724">
        <f>SUM(AA4:AA5)</f>
        <v>72473</v>
      </c>
      <c r="AB6" s="277">
        <v>307400</v>
      </c>
      <c r="AC6" s="888">
        <f>AD6</f>
        <v>306906</v>
      </c>
      <c r="AD6" s="340">
        <f>SUM(AD4:AD5)</f>
        <v>306906</v>
      </c>
      <c r="AE6" s="340">
        <f>SUM(AE4:AE5)</f>
        <v>228407</v>
      </c>
      <c r="AF6" s="724">
        <f>SUM(AF4:AF5)</f>
        <v>78499</v>
      </c>
      <c r="AG6" s="1089">
        <v>313300</v>
      </c>
      <c r="AH6" s="1928">
        <f>AI6</f>
        <v>312806</v>
      </c>
      <c r="AI6" s="1090">
        <f>SUM(AI4:AI5)</f>
        <v>312806</v>
      </c>
      <c r="AJ6" s="1090">
        <f>SUM(AJ4:AJ5)</f>
        <v>228872</v>
      </c>
      <c r="AK6" s="724">
        <f>SUM(AK4:AK5)</f>
        <v>83934</v>
      </c>
      <c r="AL6" s="44">
        <f t="shared" si="0"/>
        <v>0.24</v>
      </c>
      <c r="AN6" s="195">
        <f t="shared" si="1"/>
        <v>0.09</v>
      </c>
      <c r="AO6" s="44">
        <f t="shared" si="1"/>
        <v>0.93</v>
      </c>
      <c r="AP6" s="212"/>
      <c r="AQ6" s="1567">
        <f t="shared" si="2"/>
        <v>59612</v>
      </c>
      <c r="AR6" s="1560">
        <f t="shared" si="3"/>
        <v>19072</v>
      </c>
      <c r="AS6" s="1556">
        <f t="shared" si="4"/>
        <v>40540</v>
      </c>
    </row>
    <row r="7" spans="1:45" s="2" customFormat="1">
      <c r="A7" s="292" t="s">
        <v>19</v>
      </c>
      <c r="B7" s="267" t="s">
        <v>15</v>
      </c>
      <c r="C7" s="1541" t="s">
        <v>16</v>
      </c>
      <c r="D7" s="1541" t="s">
        <v>16</v>
      </c>
      <c r="E7" s="347">
        <f t="shared" ref="E7:E23" si="5">F7+G7</f>
        <v>26556</v>
      </c>
      <c r="F7" s="347">
        <f>'Table 4'!C8</f>
        <v>6865</v>
      </c>
      <c r="G7" s="350">
        <f>'Table 6'!C8</f>
        <v>19691</v>
      </c>
      <c r="H7" s="346" t="s">
        <v>16</v>
      </c>
      <c r="I7" s="1541" t="s">
        <v>16</v>
      </c>
      <c r="J7" s="347">
        <f t="shared" ref="J7:J8" si="6">K7+L7</f>
        <v>27440</v>
      </c>
      <c r="K7" s="347">
        <f>'Table 4'!D8</f>
        <v>7045</v>
      </c>
      <c r="L7" s="350">
        <f>'Table 6'!D8</f>
        <v>20395</v>
      </c>
      <c r="M7" s="346" t="s">
        <v>16</v>
      </c>
      <c r="N7" s="1541" t="s">
        <v>16</v>
      </c>
      <c r="O7" s="347">
        <f t="shared" ref="O7:O8" si="7">P7+Q7</f>
        <v>28838</v>
      </c>
      <c r="P7" s="347">
        <f>'Table 4'!E8</f>
        <v>7309</v>
      </c>
      <c r="Q7" s="725">
        <f>'Table 6'!E8</f>
        <v>21529</v>
      </c>
      <c r="R7" s="346" t="s">
        <v>16</v>
      </c>
      <c r="S7" s="1541" t="s">
        <v>16</v>
      </c>
      <c r="T7" s="347">
        <f t="shared" ref="T7:T8" si="8">U7+V7</f>
        <v>30026</v>
      </c>
      <c r="U7" s="347">
        <f>'Table 4'!F8</f>
        <v>7833</v>
      </c>
      <c r="V7" s="725">
        <f>'Table 6'!F8</f>
        <v>22193</v>
      </c>
      <c r="W7" s="346" t="s">
        <v>16</v>
      </c>
      <c r="X7" s="1541" t="s">
        <v>16</v>
      </c>
      <c r="Y7" s="347">
        <f t="shared" ref="Y7:Y8" si="9">Z7+AA7</f>
        <v>30922</v>
      </c>
      <c r="Z7" s="347">
        <f>'Table 4'!G8</f>
        <v>7998</v>
      </c>
      <c r="AA7" s="725">
        <f>'Table 6'!G8</f>
        <v>22924</v>
      </c>
      <c r="AB7" s="346" t="s">
        <v>16</v>
      </c>
      <c r="AC7" s="1541" t="s">
        <v>16</v>
      </c>
      <c r="AD7" s="347">
        <f t="shared" ref="AD7:AD8" si="10">AE7+AF7</f>
        <v>31667</v>
      </c>
      <c r="AE7" s="347">
        <f>'Table 4'!H8</f>
        <v>8030</v>
      </c>
      <c r="AF7" s="725">
        <f>'Table 6'!H8</f>
        <v>23637</v>
      </c>
      <c r="AG7" s="346" t="s">
        <v>16</v>
      </c>
      <c r="AH7" s="1541" t="s">
        <v>16</v>
      </c>
      <c r="AI7" s="1091">
        <f t="shared" ref="AI7:AI8" si="11">AJ7+AK7</f>
        <v>32394</v>
      </c>
      <c r="AJ7" s="1091">
        <f>'Table 4'!I8</f>
        <v>8030</v>
      </c>
      <c r="AK7" s="725">
        <f>'Table 6'!I8</f>
        <v>24364</v>
      </c>
      <c r="AL7" s="153">
        <f t="shared" si="0"/>
        <v>0.22</v>
      </c>
      <c r="AN7" s="193">
        <f t="shared" si="1"/>
        <v>0.17</v>
      </c>
      <c r="AO7" s="153">
        <f t="shared" si="1"/>
        <v>0.24</v>
      </c>
      <c r="AP7" s="212"/>
      <c r="AQ7" s="1568">
        <f t="shared" si="2"/>
        <v>5838</v>
      </c>
      <c r="AR7" s="1561">
        <f t="shared" si="3"/>
        <v>1165</v>
      </c>
      <c r="AS7" s="1557">
        <f t="shared" si="4"/>
        <v>4673</v>
      </c>
    </row>
    <row r="8" spans="1:45" s="2" customFormat="1" ht="13.5" thickBot="1">
      <c r="A8" s="1037" t="s">
        <v>19</v>
      </c>
      <c r="B8" s="1545" t="s">
        <v>17</v>
      </c>
      <c r="C8" s="1540" t="s">
        <v>16</v>
      </c>
      <c r="D8" s="1925" t="s">
        <v>16</v>
      </c>
      <c r="E8" s="348">
        <f t="shared" si="5"/>
        <v>503</v>
      </c>
      <c r="F8" s="896">
        <f>'Table 4'!C9</f>
        <v>0</v>
      </c>
      <c r="G8" s="897">
        <f>'Table 6'!C9</f>
        <v>503</v>
      </c>
      <c r="H8" s="1084" t="s">
        <v>16</v>
      </c>
      <c r="I8" s="1925" t="s">
        <v>16</v>
      </c>
      <c r="J8" s="348">
        <f t="shared" si="6"/>
        <v>521</v>
      </c>
      <c r="K8" s="348">
        <f>'Table 4'!D9</f>
        <v>0</v>
      </c>
      <c r="L8" s="897">
        <f>'Table 6'!D9</f>
        <v>521</v>
      </c>
      <c r="M8" s="1084" t="s">
        <v>16</v>
      </c>
      <c r="N8" s="1925" t="s">
        <v>16</v>
      </c>
      <c r="O8" s="348">
        <f t="shared" si="7"/>
        <v>549</v>
      </c>
      <c r="P8" s="348">
        <f>'Table 4'!E9</f>
        <v>0</v>
      </c>
      <c r="Q8" s="887">
        <f>'Table 6'!E9</f>
        <v>549</v>
      </c>
      <c r="R8" s="1084" t="s">
        <v>16</v>
      </c>
      <c r="S8" s="1925" t="s">
        <v>16</v>
      </c>
      <c r="T8" s="348">
        <f t="shared" si="8"/>
        <v>573</v>
      </c>
      <c r="U8" s="348">
        <f>'Table 4'!F9</f>
        <v>0</v>
      </c>
      <c r="V8" s="887">
        <f>'Table 6'!F9</f>
        <v>573</v>
      </c>
      <c r="W8" s="1084" t="s">
        <v>16</v>
      </c>
      <c r="X8" s="1925" t="s">
        <v>16</v>
      </c>
      <c r="Y8" s="348">
        <f t="shared" si="9"/>
        <v>591</v>
      </c>
      <c r="Z8" s="348">
        <f>'Table 4'!G9</f>
        <v>0</v>
      </c>
      <c r="AA8" s="887">
        <f>'Table 6'!G9</f>
        <v>591</v>
      </c>
      <c r="AB8" s="1084" t="s">
        <v>16</v>
      </c>
      <c r="AC8" s="1925" t="s">
        <v>16</v>
      </c>
      <c r="AD8" s="348">
        <f t="shared" si="10"/>
        <v>609</v>
      </c>
      <c r="AE8" s="348">
        <f>'Table 4'!H9</f>
        <v>0</v>
      </c>
      <c r="AF8" s="887">
        <f>'Table 6'!H9</f>
        <v>609</v>
      </c>
      <c r="AG8" s="1084" t="s">
        <v>16</v>
      </c>
      <c r="AH8" s="1540" t="s">
        <v>16</v>
      </c>
      <c r="AI8" s="1088">
        <f t="shared" si="11"/>
        <v>623</v>
      </c>
      <c r="AJ8" s="1088">
        <f>'Table 4'!I9</f>
        <v>0</v>
      </c>
      <c r="AK8" s="887">
        <f>'Table 6'!I9</f>
        <v>623</v>
      </c>
      <c r="AL8" s="720">
        <f t="shared" si="0"/>
        <v>0.24</v>
      </c>
      <c r="AN8" s="234" t="s">
        <v>16</v>
      </c>
      <c r="AO8" s="720">
        <f t="shared" ref="AO8:AO26" si="12">(AK8-G8)/G8</f>
        <v>0.24</v>
      </c>
      <c r="AP8" s="212"/>
      <c r="AQ8" s="1828">
        <f t="shared" si="2"/>
        <v>120</v>
      </c>
      <c r="AR8" s="1829">
        <f t="shared" si="3"/>
        <v>0</v>
      </c>
      <c r="AS8" s="1555">
        <f t="shared" si="4"/>
        <v>120</v>
      </c>
    </row>
    <row r="9" spans="1:45" s="2" customFormat="1" ht="14.25" thickTop="1" thickBot="1">
      <c r="A9" s="339" t="s">
        <v>19</v>
      </c>
      <c r="B9" s="731" t="s">
        <v>18</v>
      </c>
      <c r="C9" s="888">
        <v>27017</v>
      </c>
      <c r="D9" s="888">
        <v>24919</v>
      </c>
      <c r="E9" s="340">
        <f>SUM(E7:E8)</f>
        <v>27059</v>
      </c>
      <c r="F9" s="340">
        <f>SUM(F7:F8)</f>
        <v>6865</v>
      </c>
      <c r="G9" s="284">
        <f>SUM(G7:G8)</f>
        <v>20194</v>
      </c>
      <c r="H9" s="277">
        <v>28500</v>
      </c>
      <c r="I9" s="888">
        <f>H9-1839</f>
        <v>26661</v>
      </c>
      <c r="J9" s="340">
        <f>SUM(J7:J8)</f>
        <v>27961</v>
      </c>
      <c r="K9" s="340">
        <f>SUM(K7:K8)</f>
        <v>7045</v>
      </c>
      <c r="L9" s="284">
        <f>SUM(L7:L8)</f>
        <v>20916</v>
      </c>
      <c r="M9" s="277">
        <v>29900</v>
      </c>
      <c r="N9" s="888">
        <f>M9-1839</f>
        <v>28061</v>
      </c>
      <c r="O9" s="340">
        <f>SUM(O7:O8)</f>
        <v>29387</v>
      </c>
      <c r="P9" s="340">
        <f>SUM(P7:P8)</f>
        <v>7309</v>
      </c>
      <c r="Q9" s="724">
        <f>SUM(Q7:Q8)</f>
        <v>22078</v>
      </c>
      <c r="R9" s="277">
        <v>31100</v>
      </c>
      <c r="S9" s="888">
        <f>R9-1839</f>
        <v>29261</v>
      </c>
      <c r="T9" s="340">
        <f>SUM(T7:T8)</f>
        <v>30599</v>
      </c>
      <c r="U9" s="340">
        <f>SUM(U7:U8)</f>
        <v>7833</v>
      </c>
      <c r="V9" s="724">
        <f>SUM(V7:V8)</f>
        <v>22766</v>
      </c>
      <c r="W9" s="277">
        <v>32000</v>
      </c>
      <c r="X9" s="888">
        <f>W9-1839</f>
        <v>30161</v>
      </c>
      <c r="Y9" s="340">
        <f>SUM(Y7:Y8)</f>
        <v>31513</v>
      </c>
      <c r="Z9" s="340">
        <f>SUM(Z7:Z8)</f>
        <v>7998</v>
      </c>
      <c r="AA9" s="724">
        <f>SUM(AA7:AA8)</f>
        <v>23515</v>
      </c>
      <c r="AB9" s="277">
        <v>32900</v>
      </c>
      <c r="AC9" s="888">
        <f>AB9-1839</f>
        <v>31061</v>
      </c>
      <c r="AD9" s="1083">
        <f>SUM(AD7:AD8)</f>
        <v>32276</v>
      </c>
      <c r="AE9" s="340">
        <f>SUM(AE7:AE8)</f>
        <v>8030</v>
      </c>
      <c r="AF9" s="724">
        <f>SUM(AF7:AF8)</f>
        <v>24246</v>
      </c>
      <c r="AG9" s="1089">
        <v>33600</v>
      </c>
      <c r="AH9" s="888">
        <f>AG9-1839</f>
        <v>31761</v>
      </c>
      <c r="AI9" s="1090">
        <f>SUM(AI7:AI8)</f>
        <v>33017</v>
      </c>
      <c r="AJ9" s="1090">
        <f>SUM(AJ7:AJ8)</f>
        <v>8030</v>
      </c>
      <c r="AK9" s="724">
        <f>SUM(AK7:AK8)</f>
        <v>24987</v>
      </c>
      <c r="AL9" s="44">
        <f t="shared" si="0"/>
        <v>0.22</v>
      </c>
      <c r="AN9" s="195">
        <f t="shared" ref="AN9:AN26" si="13">(AJ9-F9)/F9</f>
        <v>0.17</v>
      </c>
      <c r="AO9" s="44">
        <f t="shared" si="12"/>
        <v>0.24</v>
      </c>
      <c r="AP9" s="212"/>
      <c r="AQ9" s="1567">
        <f t="shared" si="2"/>
        <v>5958</v>
      </c>
      <c r="AR9" s="1560">
        <f t="shared" si="3"/>
        <v>1165</v>
      </c>
      <c r="AS9" s="1556">
        <f t="shared" si="4"/>
        <v>4793</v>
      </c>
    </row>
    <row r="10" spans="1:45" s="2" customFormat="1">
      <c r="A10" s="295" t="s">
        <v>20</v>
      </c>
      <c r="B10" s="730" t="s">
        <v>15</v>
      </c>
      <c r="C10" s="1542" t="s">
        <v>16</v>
      </c>
      <c r="D10" s="1542" t="s">
        <v>16</v>
      </c>
      <c r="E10" s="343">
        <f t="shared" si="5"/>
        <v>2289</v>
      </c>
      <c r="F10" s="343">
        <f>'Table 4'!C11</f>
        <v>115</v>
      </c>
      <c r="G10" s="349">
        <f>'Table 6'!C11</f>
        <v>2174</v>
      </c>
      <c r="H10" s="338" t="s">
        <v>16</v>
      </c>
      <c r="I10" s="1542" t="s">
        <v>16</v>
      </c>
      <c r="J10" s="343">
        <f t="shared" ref="J10:J11" si="14">K10+L10</f>
        <v>2475</v>
      </c>
      <c r="K10" s="347">
        <f>'Table 4'!D11</f>
        <v>122</v>
      </c>
      <c r="L10" s="349">
        <f>'Table 6'!D11</f>
        <v>2353</v>
      </c>
      <c r="M10" s="338" t="s">
        <v>16</v>
      </c>
      <c r="N10" s="1542" t="s">
        <v>16</v>
      </c>
      <c r="O10" s="343">
        <f t="shared" ref="O10:O11" si="15">P10+Q10</f>
        <v>2872</v>
      </c>
      <c r="P10" s="347">
        <f>'Table 4'!E11</f>
        <v>145</v>
      </c>
      <c r="Q10" s="723">
        <f>'Table 6'!E11</f>
        <v>2727</v>
      </c>
      <c r="R10" s="338" t="s">
        <v>16</v>
      </c>
      <c r="S10" s="1542" t="s">
        <v>16</v>
      </c>
      <c r="T10" s="343">
        <f t="shared" ref="T10:T11" si="16">U10+V10</f>
        <v>3069</v>
      </c>
      <c r="U10" s="347">
        <f>'Table 4'!F11</f>
        <v>155</v>
      </c>
      <c r="V10" s="723">
        <f>'Table 6'!F11</f>
        <v>2914</v>
      </c>
      <c r="W10" s="338" t="s">
        <v>16</v>
      </c>
      <c r="X10" s="1542" t="s">
        <v>16</v>
      </c>
      <c r="Y10" s="343">
        <f t="shared" ref="Y10:Y11" si="17">Z10+AA10</f>
        <v>3069</v>
      </c>
      <c r="Z10" s="347">
        <f>'Table 4'!G11</f>
        <v>155</v>
      </c>
      <c r="AA10" s="723">
        <f>'Table 6'!G11</f>
        <v>2914</v>
      </c>
      <c r="AB10" s="338" t="s">
        <v>16</v>
      </c>
      <c r="AC10" s="1542" t="s">
        <v>16</v>
      </c>
      <c r="AD10" s="343">
        <f t="shared" ref="AD10:AD11" si="18">AE10+AF10</f>
        <v>3234</v>
      </c>
      <c r="AE10" s="347">
        <f>'Table 4'!H11</f>
        <v>155</v>
      </c>
      <c r="AF10" s="723">
        <f>'Table 6'!H11</f>
        <v>3079</v>
      </c>
      <c r="AG10" s="338" t="s">
        <v>16</v>
      </c>
      <c r="AH10" s="1542" t="s">
        <v>16</v>
      </c>
      <c r="AI10" s="1092">
        <f t="shared" ref="AI10:AI11" si="19">AJ10+AK10</f>
        <v>3418</v>
      </c>
      <c r="AJ10" s="1092">
        <f>'Table 4'!I11</f>
        <v>155</v>
      </c>
      <c r="AK10" s="723">
        <f>'Table 6'!I11</f>
        <v>3263</v>
      </c>
      <c r="AL10" s="43">
        <f t="shared" si="0"/>
        <v>0.49</v>
      </c>
      <c r="AN10" s="201">
        <f t="shared" si="13"/>
        <v>0.35</v>
      </c>
      <c r="AO10" s="43">
        <f t="shared" si="12"/>
        <v>0.5</v>
      </c>
      <c r="AP10" s="212"/>
      <c r="AQ10" s="1569">
        <f t="shared" si="2"/>
        <v>1129</v>
      </c>
      <c r="AR10" s="1562">
        <f t="shared" si="3"/>
        <v>40</v>
      </c>
      <c r="AS10" s="1554">
        <f t="shared" si="4"/>
        <v>1089</v>
      </c>
    </row>
    <row r="11" spans="1:45" s="2" customFormat="1" ht="13.5" thickBot="1">
      <c r="A11" s="1037" t="s">
        <v>20</v>
      </c>
      <c r="B11" s="268" t="s">
        <v>17</v>
      </c>
      <c r="C11" s="1540" t="s">
        <v>16</v>
      </c>
      <c r="D11" s="1540" t="s">
        <v>16</v>
      </c>
      <c r="E11" s="896">
        <f t="shared" si="5"/>
        <v>20712</v>
      </c>
      <c r="F11" s="896">
        <f>'Table 4'!C12</f>
        <v>7462</v>
      </c>
      <c r="G11" s="897">
        <f>'Table 6'!C12</f>
        <v>13250</v>
      </c>
      <c r="H11" s="1084" t="s">
        <v>16</v>
      </c>
      <c r="I11" s="1540" t="s">
        <v>16</v>
      </c>
      <c r="J11" s="896">
        <f t="shared" si="14"/>
        <v>21080</v>
      </c>
      <c r="K11" s="896">
        <f>'Table 4'!D12</f>
        <v>8843</v>
      </c>
      <c r="L11" s="897">
        <f>'Table 6'!D12</f>
        <v>12237</v>
      </c>
      <c r="M11" s="1084" t="s">
        <v>16</v>
      </c>
      <c r="N11" s="1540" t="s">
        <v>16</v>
      </c>
      <c r="O11" s="896">
        <f t="shared" si="15"/>
        <v>21083</v>
      </c>
      <c r="P11" s="348">
        <f>'Table 4'!E12</f>
        <v>9029</v>
      </c>
      <c r="Q11" s="887">
        <f>'Table 6'!E12</f>
        <v>12054</v>
      </c>
      <c r="R11" s="1084" t="s">
        <v>16</v>
      </c>
      <c r="S11" s="1540" t="s">
        <v>16</v>
      </c>
      <c r="T11" s="896">
        <f t="shared" si="16"/>
        <v>21094</v>
      </c>
      <c r="U11" s="896">
        <f>'Table 4'!F12</f>
        <v>9181</v>
      </c>
      <c r="V11" s="887">
        <f>'Table 6'!F12</f>
        <v>11913</v>
      </c>
      <c r="W11" s="1084" t="s">
        <v>16</v>
      </c>
      <c r="X11" s="1540" t="s">
        <v>16</v>
      </c>
      <c r="Y11" s="896">
        <f t="shared" si="17"/>
        <v>21168</v>
      </c>
      <c r="Z11" s="896">
        <f>'Table 4'!G12</f>
        <v>9301</v>
      </c>
      <c r="AA11" s="887">
        <f>'Table 6'!G12</f>
        <v>11867</v>
      </c>
      <c r="AB11" s="1084" t="s">
        <v>16</v>
      </c>
      <c r="AC11" s="1540" t="s">
        <v>16</v>
      </c>
      <c r="AD11" s="896">
        <f t="shared" si="18"/>
        <v>21088</v>
      </c>
      <c r="AE11" s="348">
        <f>'Table 4'!H12</f>
        <v>9398</v>
      </c>
      <c r="AF11" s="887">
        <f>'Table 6'!H12</f>
        <v>11690</v>
      </c>
      <c r="AG11" s="1084" t="s">
        <v>16</v>
      </c>
      <c r="AH11" s="1540" t="s">
        <v>16</v>
      </c>
      <c r="AI11" s="1088">
        <f t="shared" si="19"/>
        <v>20956</v>
      </c>
      <c r="AJ11" s="1088">
        <f>'Table 4'!I12</f>
        <v>9542</v>
      </c>
      <c r="AK11" s="887">
        <f>'Table 6'!I12</f>
        <v>11414</v>
      </c>
      <c r="AL11" s="1930">
        <f t="shared" si="0"/>
        <v>0.01</v>
      </c>
      <c r="AN11" s="197">
        <f t="shared" si="13"/>
        <v>0.28000000000000003</v>
      </c>
      <c r="AO11" s="1930">
        <f t="shared" si="12"/>
        <v>-0.14000000000000001</v>
      </c>
      <c r="AP11" s="212"/>
      <c r="AQ11" s="1828">
        <f t="shared" si="2"/>
        <v>244</v>
      </c>
      <c r="AR11" s="1829">
        <f t="shared" si="3"/>
        <v>2080</v>
      </c>
      <c r="AS11" s="1555">
        <f t="shared" si="4"/>
        <v>-1836</v>
      </c>
    </row>
    <row r="12" spans="1:45" s="2" customFormat="1" ht="14.25" thickTop="1" thickBot="1">
      <c r="A12" s="339" t="s">
        <v>20</v>
      </c>
      <c r="B12" s="731" t="s">
        <v>18</v>
      </c>
      <c r="C12" s="1923">
        <v>27310</v>
      </c>
      <c r="D12" s="888">
        <v>24384</v>
      </c>
      <c r="E12" s="1923">
        <f>SUM(E10:E11)</f>
        <v>23001</v>
      </c>
      <c r="F12" s="340">
        <f>SUM(F10:F11)</f>
        <v>7577</v>
      </c>
      <c r="G12" s="284">
        <f>SUM(G10:G11)</f>
        <v>15424</v>
      </c>
      <c r="H12" s="345">
        <v>28800</v>
      </c>
      <c r="I12" s="888">
        <f>H12-1922</f>
        <v>26878</v>
      </c>
      <c r="J12" s="340">
        <f>SUM(J10:J11)</f>
        <v>23555</v>
      </c>
      <c r="K12" s="340">
        <f>SUM(K10:K11)</f>
        <v>8965</v>
      </c>
      <c r="L12" s="284">
        <f>SUM(L10:L11)</f>
        <v>14590</v>
      </c>
      <c r="M12" s="345">
        <v>29200</v>
      </c>
      <c r="N12" s="888">
        <f>M12-1922</f>
        <v>27278</v>
      </c>
      <c r="O12" s="340">
        <f>SUM(O10:O11)</f>
        <v>23955</v>
      </c>
      <c r="P12" s="340">
        <f>SUM(P10:P11)</f>
        <v>9174</v>
      </c>
      <c r="Q12" s="724">
        <f>SUM(Q10:Q11)</f>
        <v>14781</v>
      </c>
      <c r="R12" s="345">
        <v>29500</v>
      </c>
      <c r="S12" s="1923">
        <f>R12-1922</f>
        <v>27578</v>
      </c>
      <c r="T12" s="340">
        <f>SUM(T10:T11)</f>
        <v>24163</v>
      </c>
      <c r="U12" s="340">
        <f>SUM(U10:U11)</f>
        <v>9336</v>
      </c>
      <c r="V12" s="724">
        <f>SUM(V10:V11)</f>
        <v>14827</v>
      </c>
      <c r="W12" s="345">
        <v>29800</v>
      </c>
      <c r="X12" s="1923">
        <f>W12-1922</f>
        <v>27878</v>
      </c>
      <c r="Y12" s="340">
        <f>SUM(Y10:Y11)</f>
        <v>24237</v>
      </c>
      <c r="Z12" s="340">
        <f>SUM(Z10:Z11)</f>
        <v>9456</v>
      </c>
      <c r="AA12" s="724">
        <f>SUM(AA10:AA11)</f>
        <v>14781</v>
      </c>
      <c r="AB12" s="345">
        <v>30000</v>
      </c>
      <c r="AC12" s="1923">
        <f>AB12-1922</f>
        <v>28078</v>
      </c>
      <c r="AD12" s="340">
        <f>SUM(AD10:AD11)</f>
        <v>24322</v>
      </c>
      <c r="AE12" s="340">
        <f>SUM(AE10:AE11)</f>
        <v>9553</v>
      </c>
      <c r="AF12" s="724">
        <f>SUM(AF10:AF11)</f>
        <v>14769</v>
      </c>
      <c r="AG12" s="1089">
        <v>30300</v>
      </c>
      <c r="AH12" s="1923">
        <f>AG12-1922</f>
        <v>28378</v>
      </c>
      <c r="AI12" s="1090">
        <f>SUM(AI10:AI11)</f>
        <v>24374</v>
      </c>
      <c r="AJ12" s="1090">
        <f>SUM(AJ10:AJ11)</f>
        <v>9697</v>
      </c>
      <c r="AK12" s="724">
        <f>SUM(AK10:AK11)</f>
        <v>14677</v>
      </c>
      <c r="AL12" s="44">
        <f t="shared" si="0"/>
        <v>0.06</v>
      </c>
      <c r="AN12" s="195">
        <f t="shared" si="13"/>
        <v>0.28000000000000003</v>
      </c>
      <c r="AO12" s="44">
        <f t="shared" si="12"/>
        <v>-0.05</v>
      </c>
      <c r="AP12" s="212"/>
      <c r="AQ12" s="1567">
        <f t="shared" si="2"/>
        <v>1373</v>
      </c>
      <c r="AR12" s="1560">
        <f t="shared" si="3"/>
        <v>2120</v>
      </c>
      <c r="AS12" s="1556">
        <f t="shared" si="4"/>
        <v>-747</v>
      </c>
    </row>
    <row r="13" spans="1:45" s="2" customFormat="1">
      <c r="A13" s="364" t="s">
        <v>21</v>
      </c>
      <c r="B13" s="730" t="s">
        <v>15</v>
      </c>
      <c r="C13" s="892">
        <v>201277</v>
      </c>
      <c r="D13" s="1542">
        <f>C13</f>
        <v>201277</v>
      </c>
      <c r="E13" s="343">
        <f t="shared" si="5"/>
        <v>202600</v>
      </c>
      <c r="F13" s="890">
        <f>'Table 4'!C14</f>
        <v>137842</v>
      </c>
      <c r="G13" s="891">
        <f>'Table 6'!C14</f>
        <v>64758</v>
      </c>
      <c r="H13" s="892">
        <v>219000</v>
      </c>
      <c r="I13" s="1542">
        <f>H13</f>
        <v>219000</v>
      </c>
      <c r="J13" s="343">
        <f t="shared" ref="J13:J23" si="20">K13+L13</f>
        <v>217009</v>
      </c>
      <c r="K13" s="890">
        <f>'Table 4'!D14</f>
        <v>147628</v>
      </c>
      <c r="L13" s="891">
        <f>'Table 6'!D14</f>
        <v>69381</v>
      </c>
      <c r="M13" s="889">
        <v>236800</v>
      </c>
      <c r="N13" s="1542">
        <f>M13</f>
        <v>236800</v>
      </c>
      <c r="O13" s="343">
        <f t="shared" ref="O13:O23" si="21">P13+Q13</f>
        <v>234658</v>
      </c>
      <c r="P13" s="890">
        <f>'Table 4'!E14</f>
        <v>158325</v>
      </c>
      <c r="Q13" s="893">
        <f>'Table 6'!E14</f>
        <v>76333</v>
      </c>
      <c r="R13" s="889">
        <v>252500</v>
      </c>
      <c r="S13" s="1542">
        <f>R13</f>
        <v>252500</v>
      </c>
      <c r="T13" s="343">
        <f t="shared" ref="T13:T23" si="22">U13+V13</f>
        <v>247691</v>
      </c>
      <c r="U13" s="890">
        <f>'Table 4'!F14</f>
        <v>161667</v>
      </c>
      <c r="V13" s="893">
        <f>'Table 6'!F14</f>
        <v>86024</v>
      </c>
      <c r="W13" s="889">
        <v>265000</v>
      </c>
      <c r="X13" s="337">
        <f>W13</f>
        <v>265000</v>
      </c>
      <c r="Y13" s="343">
        <f t="shared" ref="Y13:Y23" si="23">Z13+AA13</f>
        <v>262835</v>
      </c>
      <c r="Z13" s="890">
        <f>'Table 4'!G14</f>
        <v>173617</v>
      </c>
      <c r="AA13" s="893">
        <f>'Table 6'!G14</f>
        <v>89218</v>
      </c>
      <c r="AB13" s="889">
        <v>275600</v>
      </c>
      <c r="AC13" s="1542">
        <f>AB13</f>
        <v>275600</v>
      </c>
      <c r="AD13" s="343">
        <f t="shared" ref="AD13:AD23" si="24">AE13+AF13</f>
        <v>272476</v>
      </c>
      <c r="AE13" s="890">
        <f>'Table 4'!H14</f>
        <v>180477</v>
      </c>
      <c r="AF13" s="893">
        <f>'Table 6'!H14</f>
        <v>91999</v>
      </c>
      <c r="AG13" s="1093">
        <v>285100</v>
      </c>
      <c r="AH13" s="1949">
        <f>AG13</f>
        <v>285100</v>
      </c>
      <c r="AI13" s="1094">
        <f t="shared" ref="AI13:AI23" si="25">AJ13+AK13</f>
        <v>282960</v>
      </c>
      <c r="AJ13" s="1094">
        <f>'Table 4'!I14</f>
        <v>188935</v>
      </c>
      <c r="AK13" s="893">
        <f>'Table 6'!I14</f>
        <v>94025</v>
      </c>
      <c r="AL13" s="319">
        <f t="shared" si="0"/>
        <v>0.4</v>
      </c>
      <c r="AN13" s="319">
        <f t="shared" si="13"/>
        <v>0.37</v>
      </c>
      <c r="AO13" s="319">
        <f t="shared" si="12"/>
        <v>0.45</v>
      </c>
      <c r="AP13" s="212"/>
      <c r="AQ13" s="1570">
        <f t="shared" si="2"/>
        <v>80360</v>
      </c>
      <c r="AR13" s="1563">
        <f t="shared" si="3"/>
        <v>51093</v>
      </c>
      <c r="AS13" s="1558">
        <f t="shared" si="4"/>
        <v>29267</v>
      </c>
    </row>
    <row r="14" spans="1:45" s="2" customFormat="1">
      <c r="A14" s="364" t="s">
        <v>22</v>
      </c>
      <c r="B14" s="730" t="s">
        <v>17</v>
      </c>
      <c r="C14" s="892">
        <v>68163</v>
      </c>
      <c r="D14" s="1542">
        <v>64037</v>
      </c>
      <c r="E14" s="343">
        <f>F14+G14</f>
        <v>64037</v>
      </c>
      <c r="F14" s="890">
        <f>'Table 4'!C15</f>
        <v>18767</v>
      </c>
      <c r="G14" s="891">
        <f>'Table 6'!C15</f>
        <v>45270</v>
      </c>
      <c r="H14" s="892">
        <v>70500</v>
      </c>
      <c r="I14" s="1542">
        <f>H14-4177</f>
        <v>66323</v>
      </c>
      <c r="J14" s="343">
        <f t="shared" si="20"/>
        <v>66323</v>
      </c>
      <c r="K14" s="890">
        <f>'Table 4'!D15</f>
        <v>19425</v>
      </c>
      <c r="L14" s="891">
        <f>'Table 6'!D15</f>
        <v>46898</v>
      </c>
      <c r="M14" s="889">
        <v>73500</v>
      </c>
      <c r="N14" s="1542">
        <f>M14-4177</f>
        <v>69323</v>
      </c>
      <c r="O14" s="343">
        <f t="shared" si="21"/>
        <v>69323</v>
      </c>
      <c r="P14" s="890">
        <f>'Table 4'!E15</f>
        <v>19986</v>
      </c>
      <c r="Q14" s="893">
        <f>'Table 6'!E15</f>
        <v>49337</v>
      </c>
      <c r="R14" s="889">
        <v>76000</v>
      </c>
      <c r="S14" s="1542">
        <f>R14-4177</f>
        <v>71823</v>
      </c>
      <c r="T14" s="343">
        <f t="shared" si="22"/>
        <v>71823</v>
      </c>
      <c r="U14" s="890">
        <f>'Table 4'!F15</f>
        <v>20551</v>
      </c>
      <c r="V14" s="893">
        <f>'Table 6'!F15</f>
        <v>51272</v>
      </c>
      <c r="W14" s="889">
        <v>78000</v>
      </c>
      <c r="X14" s="337">
        <f>W14-4177</f>
        <v>73823</v>
      </c>
      <c r="Y14" s="343">
        <f t="shared" si="23"/>
        <v>73823</v>
      </c>
      <c r="Z14" s="890">
        <f>'Table 4'!G15</f>
        <v>21134</v>
      </c>
      <c r="AA14" s="893">
        <f>'Table 6'!G15</f>
        <v>52689</v>
      </c>
      <c r="AB14" s="889">
        <v>79700</v>
      </c>
      <c r="AC14" s="1542">
        <f>AB14-4177</f>
        <v>75523</v>
      </c>
      <c r="AD14" s="343">
        <f t="shared" si="24"/>
        <v>75523</v>
      </c>
      <c r="AE14" s="890">
        <f>'Table 4'!H15</f>
        <v>21730</v>
      </c>
      <c r="AF14" s="893">
        <f>'Table 6'!H15</f>
        <v>53793</v>
      </c>
      <c r="AG14" s="1093">
        <v>81200</v>
      </c>
      <c r="AH14" s="1542">
        <f>AG14-4177</f>
        <v>77023</v>
      </c>
      <c r="AI14" s="1094">
        <f t="shared" si="25"/>
        <v>77023</v>
      </c>
      <c r="AJ14" s="1094">
        <f>'Table 4'!I15</f>
        <v>22346</v>
      </c>
      <c r="AK14" s="893">
        <f>'Table 6'!I15</f>
        <v>54677</v>
      </c>
      <c r="AL14" s="319">
        <f t="shared" si="0"/>
        <v>0.2</v>
      </c>
      <c r="AN14" s="319">
        <f t="shared" si="13"/>
        <v>0.19</v>
      </c>
      <c r="AO14" s="319">
        <f t="shared" si="12"/>
        <v>0.21</v>
      </c>
      <c r="AP14" s="212"/>
      <c r="AQ14" s="1570">
        <f t="shared" si="2"/>
        <v>12986</v>
      </c>
      <c r="AR14" s="1563">
        <f t="shared" si="3"/>
        <v>3579</v>
      </c>
      <c r="AS14" s="1558">
        <f t="shared" si="4"/>
        <v>9407</v>
      </c>
    </row>
    <row r="15" spans="1:45" s="2" customFormat="1">
      <c r="A15" s="364" t="s">
        <v>23</v>
      </c>
      <c r="B15" s="730" t="s">
        <v>15</v>
      </c>
      <c r="C15" s="892">
        <v>905574</v>
      </c>
      <c r="D15" s="1542">
        <f>C15</f>
        <v>905574</v>
      </c>
      <c r="E15" s="343">
        <f t="shared" si="5"/>
        <v>904905</v>
      </c>
      <c r="F15" s="890">
        <f>'Table 4'!C16</f>
        <v>693374</v>
      </c>
      <c r="G15" s="891">
        <f>'Table 6'!C16</f>
        <v>211531</v>
      </c>
      <c r="H15" s="892">
        <v>985500</v>
      </c>
      <c r="I15" s="1542">
        <f>H15</f>
        <v>985500</v>
      </c>
      <c r="J15" s="343">
        <f t="shared" si="20"/>
        <v>968706</v>
      </c>
      <c r="K15" s="890">
        <f>'Table 4'!D16</f>
        <v>740217</v>
      </c>
      <c r="L15" s="891">
        <f>'Table 6'!D16</f>
        <v>228489</v>
      </c>
      <c r="M15" s="889">
        <v>1051900</v>
      </c>
      <c r="N15" s="1542">
        <f>M15</f>
        <v>1051900</v>
      </c>
      <c r="O15" s="343">
        <f t="shared" si="21"/>
        <v>1035102</v>
      </c>
      <c r="P15" s="890">
        <f>'Table 4'!E16</f>
        <v>789686</v>
      </c>
      <c r="Q15" s="893">
        <f>'Table 6'!E16</f>
        <v>245416</v>
      </c>
      <c r="R15" s="889">
        <v>1104300</v>
      </c>
      <c r="S15" s="1542">
        <f>R15</f>
        <v>1104300</v>
      </c>
      <c r="T15" s="343">
        <f t="shared" si="22"/>
        <v>1086502</v>
      </c>
      <c r="U15" s="890">
        <f>'Table 4'!F16</f>
        <v>828005</v>
      </c>
      <c r="V15" s="893">
        <f>'Table 6'!F16</f>
        <v>258497</v>
      </c>
      <c r="W15" s="889">
        <v>1148700</v>
      </c>
      <c r="X15" s="337">
        <f>W15</f>
        <v>1148700</v>
      </c>
      <c r="Y15" s="343">
        <f t="shared" si="23"/>
        <v>1131472</v>
      </c>
      <c r="Z15" s="890">
        <f>'Table 4'!G16</f>
        <v>861521</v>
      </c>
      <c r="AA15" s="893">
        <f>'Table 6'!G16</f>
        <v>269951</v>
      </c>
      <c r="AB15" s="889">
        <v>1185300</v>
      </c>
      <c r="AC15" s="1542">
        <f>AB15</f>
        <v>1185300</v>
      </c>
      <c r="AD15" s="343">
        <f t="shared" si="24"/>
        <v>1167975</v>
      </c>
      <c r="AE15" s="890">
        <f>'Table 4'!H16</f>
        <v>888845</v>
      </c>
      <c r="AF15" s="893">
        <f>'Table 6'!H16</f>
        <v>279130</v>
      </c>
      <c r="AG15" s="1093">
        <v>1216200</v>
      </c>
      <c r="AH15" s="1542">
        <f>AG15</f>
        <v>1216200</v>
      </c>
      <c r="AI15" s="1094">
        <f t="shared" si="25"/>
        <v>1199413</v>
      </c>
      <c r="AJ15" s="1094">
        <f>'Table 4'!I16</f>
        <v>912276</v>
      </c>
      <c r="AK15" s="893">
        <f>'Table 6'!I16</f>
        <v>287137</v>
      </c>
      <c r="AL15" s="319">
        <f t="shared" si="0"/>
        <v>0.33</v>
      </c>
      <c r="AN15" s="319">
        <f t="shared" si="13"/>
        <v>0.32</v>
      </c>
      <c r="AO15" s="319">
        <f t="shared" si="12"/>
        <v>0.36</v>
      </c>
      <c r="AP15" s="212"/>
      <c r="AQ15" s="1570">
        <f t="shared" si="2"/>
        <v>294508</v>
      </c>
      <c r="AR15" s="1563">
        <f t="shared" si="3"/>
        <v>218902</v>
      </c>
      <c r="AS15" s="1558">
        <f t="shared" si="4"/>
        <v>75606</v>
      </c>
    </row>
    <row r="16" spans="1:45" s="2" customFormat="1">
      <c r="A16" s="364" t="s">
        <v>24</v>
      </c>
      <c r="B16" s="730" t="s">
        <v>15</v>
      </c>
      <c r="C16" s="892">
        <v>101353</v>
      </c>
      <c r="D16" s="1542">
        <f>C16</f>
        <v>101353</v>
      </c>
      <c r="E16" s="343">
        <f t="shared" si="5"/>
        <v>99769</v>
      </c>
      <c r="F16" s="890">
        <f>'Table 4'!C17</f>
        <v>94805</v>
      </c>
      <c r="G16" s="891">
        <f>'Table 6'!C17</f>
        <v>4964</v>
      </c>
      <c r="H16" s="892">
        <v>113400</v>
      </c>
      <c r="I16" s="1542">
        <f>H16</f>
        <v>113400</v>
      </c>
      <c r="J16" s="343">
        <f t="shared" si="20"/>
        <v>113387</v>
      </c>
      <c r="K16" s="890">
        <f>'Table 4'!D17</f>
        <v>107845</v>
      </c>
      <c r="L16" s="891">
        <f>'Table 6'!D17</f>
        <v>5542</v>
      </c>
      <c r="M16" s="889">
        <v>126500</v>
      </c>
      <c r="N16" s="1542">
        <f>M16</f>
        <v>126500</v>
      </c>
      <c r="O16" s="343">
        <f t="shared" si="21"/>
        <v>126488</v>
      </c>
      <c r="P16" s="890">
        <f>'Table 4'!E17</f>
        <v>120892</v>
      </c>
      <c r="Q16" s="893">
        <f>'Table 6'!E17</f>
        <v>5596</v>
      </c>
      <c r="R16" s="889">
        <v>138300</v>
      </c>
      <c r="S16" s="1542">
        <f>R16</f>
        <v>138300</v>
      </c>
      <c r="T16" s="343">
        <f t="shared" si="22"/>
        <v>137761</v>
      </c>
      <c r="U16" s="890">
        <f>'Table 4'!F17</f>
        <v>130769</v>
      </c>
      <c r="V16" s="893">
        <f>'Table 6'!F17</f>
        <v>6992</v>
      </c>
      <c r="W16" s="889">
        <v>148400</v>
      </c>
      <c r="X16" s="337">
        <f>W16</f>
        <v>148400</v>
      </c>
      <c r="Y16" s="343">
        <f t="shared" si="23"/>
        <v>146696</v>
      </c>
      <c r="Z16" s="890">
        <f>'Table 4'!G17</f>
        <v>139582</v>
      </c>
      <c r="AA16" s="893">
        <f>'Table 6'!G17</f>
        <v>7114</v>
      </c>
      <c r="AB16" s="889">
        <v>157300</v>
      </c>
      <c r="AC16" s="1542">
        <f>AB16</f>
        <v>157300</v>
      </c>
      <c r="AD16" s="343">
        <f t="shared" si="24"/>
        <v>152470</v>
      </c>
      <c r="AE16" s="890">
        <f>'Table 4'!H17</f>
        <v>145212</v>
      </c>
      <c r="AF16" s="893">
        <f>'Table 6'!H17</f>
        <v>7258</v>
      </c>
      <c r="AG16" s="1093">
        <v>165200</v>
      </c>
      <c r="AH16" s="1542">
        <f>AG16</f>
        <v>165200</v>
      </c>
      <c r="AI16" s="1094">
        <f t="shared" si="25"/>
        <v>157026</v>
      </c>
      <c r="AJ16" s="1094">
        <f>'Table 4'!I17</f>
        <v>149355</v>
      </c>
      <c r="AK16" s="893">
        <f>'Table 6'!I17</f>
        <v>7671</v>
      </c>
      <c r="AL16" s="319">
        <f t="shared" si="0"/>
        <v>0.56999999999999995</v>
      </c>
      <c r="AN16" s="319">
        <f t="shared" si="13"/>
        <v>0.57999999999999996</v>
      </c>
      <c r="AO16" s="319">
        <f t="shared" si="12"/>
        <v>0.55000000000000004</v>
      </c>
      <c r="AP16" s="212"/>
      <c r="AQ16" s="1570">
        <f t="shared" si="2"/>
        <v>57257</v>
      </c>
      <c r="AR16" s="1563">
        <f t="shared" si="3"/>
        <v>54550</v>
      </c>
      <c r="AS16" s="1558">
        <f t="shared" si="4"/>
        <v>2707</v>
      </c>
    </row>
    <row r="17" spans="1:46" s="2" customFormat="1">
      <c r="A17" s="364" t="s">
        <v>25</v>
      </c>
      <c r="B17" s="730" t="s">
        <v>17</v>
      </c>
      <c r="C17" s="1543">
        <v>16839</v>
      </c>
      <c r="D17" s="1946">
        <v>16158</v>
      </c>
      <c r="E17" s="344">
        <f t="shared" si="5"/>
        <v>16158</v>
      </c>
      <c r="F17" s="1085">
        <f>'Table 4'!C18</f>
        <v>2125</v>
      </c>
      <c r="G17" s="1830">
        <f>'Table 6'!C18</f>
        <v>14033</v>
      </c>
      <c r="H17" s="1543">
        <v>18000</v>
      </c>
      <c r="I17" s="1946">
        <f>H17-786</f>
        <v>17214</v>
      </c>
      <c r="J17" s="344">
        <f t="shared" si="20"/>
        <v>17214</v>
      </c>
      <c r="K17" s="1085">
        <f>'Table 4'!D18</f>
        <v>2220</v>
      </c>
      <c r="L17" s="1830">
        <f>'Table 6'!D18</f>
        <v>14994</v>
      </c>
      <c r="M17" s="895">
        <v>18900</v>
      </c>
      <c r="N17" s="1946">
        <f>M17-786</f>
        <v>18114</v>
      </c>
      <c r="O17" s="344">
        <f t="shared" si="21"/>
        <v>18114</v>
      </c>
      <c r="P17" s="1085">
        <f>'Table 4'!E18</f>
        <v>2486</v>
      </c>
      <c r="Q17" s="1086">
        <f>'Table 6'!E18</f>
        <v>15628</v>
      </c>
      <c r="R17" s="895">
        <v>19700</v>
      </c>
      <c r="S17" s="1946">
        <f>R17-786</f>
        <v>18914</v>
      </c>
      <c r="T17" s="344">
        <f t="shared" si="22"/>
        <v>18914</v>
      </c>
      <c r="U17" s="1085">
        <f>'Table 4'!F18</f>
        <v>2710</v>
      </c>
      <c r="V17" s="1086">
        <f>'Table 6'!F18</f>
        <v>16204</v>
      </c>
      <c r="W17" s="895">
        <v>20400</v>
      </c>
      <c r="X17" s="1926">
        <f>W17-786</f>
        <v>19614</v>
      </c>
      <c r="Y17" s="344">
        <f t="shared" si="23"/>
        <v>19614</v>
      </c>
      <c r="Z17" s="1085">
        <f>'Table 4'!G18</f>
        <v>2863</v>
      </c>
      <c r="AA17" s="1086">
        <f>'Table 6'!G18</f>
        <v>16751</v>
      </c>
      <c r="AB17" s="895">
        <v>20900</v>
      </c>
      <c r="AC17" s="1946">
        <f>AB17-786</f>
        <v>20114</v>
      </c>
      <c r="AD17" s="344">
        <f t="shared" si="24"/>
        <v>20114</v>
      </c>
      <c r="AE17" s="1085">
        <f>'Table 4'!H18</f>
        <v>2880</v>
      </c>
      <c r="AF17" s="1086">
        <f>'Table 6'!H18</f>
        <v>17234</v>
      </c>
      <c r="AG17" s="1095">
        <v>21400</v>
      </c>
      <c r="AH17" s="1946">
        <f>AG17-786</f>
        <v>20614</v>
      </c>
      <c r="AI17" s="1096">
        <f t="shared" si="25"/>
        <v>20614</v>
      </c>
      <c r="AJ17" s="1096">
        <f>'Table 4'!I18</f>
        <v>2880</v>
      </c>
      <c r="AK17" s="1086">
        <f>'Table 6'!I18</f>
        <v>17734</v>
      </c>
      <c r="AL17" s="319">
        <f t="shared" si="0"/>
        <v>0.28000000000000003</v>
      </c>
      <c r="AN17" s="319">
        <f t="shared" si="13"/>
        <v>0.36</v>
      </c>
      <c r="AO17" s="319">
        <f t="shared" si="12"/>
        <v>0.26</v>
      </c>
      <c r="AP17" s="212"/>
      <c r="AQ17" s="1831">
        <f t="shared" si="2"/>
        <v>4456</v>
      </c>
      <c r="AR17" s="1564">
        <f t="shared" si="3"/>
        <v>755</v>
      </c>
      <c r="AS17" s="1832">
        <f t="shared" si="4"/>
        <v>3701</v>
      </c>
    </row>
    <row r="18" spans="1:46" s="2" customFormat="1">
      <c r="A18" s="364" t="s">
        <v>26</v>
      </c>
      <c r="B18" s="729" t="s">
        <v>17</v>
      </c>
      <c r="C18" s="892">
        <v>14630</v>
      </c>
      <c r="D18" s="1947">
        <v>12141</v>
      </c>
      <c r="E18" s="890">
        <f t="shared" si="5"/>
        <v>12141</v>
      </c>
      <c r="F18" s="890">
        <f>'Table 4'!C19</f>
        <v>5076</v>
      </c>
      <c r="G18" s="891">
        <f>'Table 6'!C19</f>
        <v>7065</v>
      </c>
      <c r="H18" s="892">
        <v>14600</v>
      </c>
      <c r="I18" s="1949">
        <f>H18-2519</f>
        <v>12081</v>
      </c>
      <c r="J18" s="890">
        <f t="shared" si="20"/>
        <v>12081</v>
      </c>
      <c r="K18" s="890">
        <f>'Table 4'!D19</f>
        <v>5212</v>
      </c>
      <c r="L18" s="891">
        <f>'Table 6'!D19</f>
        <v>6869</v>
      </c>
      <c r="M18" s="889">
        <v>14800</v>
      </c>
      <c r="N18" s="1947">
        <f>M18-2519</f>
        <v>12281</v>
      </c>
      <c r="O18" s="890">
        <f t="shared" si="21"/>
        <v>12281</v>
      </c>
      <c r="P18" s="890">
        <f>'Table 4'!E19</f>
        <v>5255</v>
      </c>
      <c r="Q18" s="893">
        <f>'Table 6'!E19</f>
        <v>7026</v>
      </c>
      <c r="R18" s="889">
        <v>14900</v>
      </c>
      <c r="S18" s="1947">
        <f>R18-2519</f>
        <v>12381</v>
      </c>
      <c r="T18" s="890">
        <f t="shared" si="22"/>
        <v>12381</v>
      </c>
      <c r="U18" s="890">
        <f>'Table 4'!F19</f>
        <v>5278</v>
      </c>
      <c r="V18" s="893">
        <f>'Table 6'!F19</f>
        <v>7103</v>
      </c>
      <c r="W18" s="889">
        <v>14900</v>
      </c>
      <c r="X18" s="892">
        <f>W18-2519</f>
        <v>12381</v>
      </c>
      <c r="Y18" s="890">
        <f t="shared" si="23"/>
        <v>12381</v>
      </c>
      <c r="Z18" s="890">
        <f>'Table 4'!G19</f>
        <v>5278</v>
      </c>
      <c r="AA18" s="893">
        <f>'Table 6'!G19</f>
        <v>7103</v>
      </c>
      <c r="AB18" s="889">
        <v>14900</v>
      </c>
      <c r="AC18" s="1947">
        <f>AB18-2519</f>
        <v>12381</v>
      </c>
      <c r="AD18" s="890">
        <f t="shared" si="24"/>
        <v>12381</v>
      </c>
      <c r="AE18" s="890">
        <f>'Table 4'!H19</f>
        <v>5278</v>
      </c>
      <c r="AF18" s="893">
        <f>'Table 6'!H19</f>
        <v>7103</v>
      </c>
      <c r="AG18" s="1093">
        <v>15000</v>
      </c>
      <c r="AH18" s="1947">
        <f>AG18-2519</f>
        <v>12481</v>
      </c>
      <c r="AI18" s="1094">
        <f t="shared" si="25"/>
        <v>12481</v>
      </c>
      <c r="AJ18" s="1094">
        <f>'Table 4'!I19</f>
        <v>5312</v>
      </c>
      <c r="AK18" s="893">
        <f>'Table 6'!I19</f>
        <v>7169</v>
      </c>
      <c r="AL18" s="319">
        <f t="shared" si="0"/>
        <v>0.03</v>
      </c>
      <c r="AM18" s="1098"/>
      <c r="AN18" s="319">
        <f t="shared" si="13"/>
        <v>0.05</v>
      </c>
      <c r="AO18" s="319">
        <f t="shared" si="12"/>
        <v>0.01</v>
      </c>
      <c r="AP18" s="212"/>
      <c r="AQ18" s="1570">
        <f t="shared" si="2"/>
        <v>340</v>
      </c>
      <c r="AR18" s="1563">
        <f t="shared" si="3"/>
        <v>236</v>
      </c>
      <c r="AS18" s="1558">
        <f t="shared" si="4"/>
        <v>104</v>
      </c>
    </row>
    <row r="19" spans="1:46" s="2" customFormat="1">
      <c r="A19" s="364" t="s">
        <v>27</v>
      </c>
      <c r="B19" s="730" t="s">
        <v>15</v>
      </c>
      <c r="C19" s="892">
        <v>76536</v>
      </c>
      <c r="D19" s="1542">
        <f>C19</f>
        <v>76536</v>
      </c>
      <c r="E19" s="343">
        <f t="shared" si="5"/>
        <v>77817</v>
      </c>
      <c r="F19" s="890">
        <f>'Table 4'!C20</f>
        <v>69384</v>
      </c>
      <c r="G19" s="891">
        <f>'Table 6'!C20</f>
        <v>8433</v>
      </c>
      <c r="H19" s="892">
        <v>86900</v>
      </c>
      <c r="I19" s="1542">
        <f>H19</f>
        <v>86900</v>
      </c>
      <c r="J19" s="343">
        <f t="shared" si="20"/>
        <v>85974</v>
      </c>
      <c r="K19" s="890">
        <f>'Table 4'!D20</f>
        <v>76436</v>
      </c>
      <c r="L19" s="893">
        <f>'Table 6'!D20</f>
        <v>9538</v>
      </c>
      <c r="M19" s="889">
        <v>95800</v>
      </c>
      <c r="N19" s="1542">
        <f>M19</f>
        <v>95800</v>
      </c>
      <c r="O19" s="343">
        <f t="shared" si="21"/>
        <v>95334</v>
      </c>
      <c r="P19" s="890">
        <f>'Table 4'!E20</f>
        <v>83818</v>
      </c>
      <c r="Q19" s="893">
        <f>'Table 6'!E20</f>
        <v>11516</v>
      </c>
      <c r="R19" s="889">
        <v>103100</v>
      </c>
      <c r="S19" s="1542">
        <f>R19</f>
        <v>103100</v>
      </c>
      <c r="T19" s="343">
        <f t="shared" si="22"/>
        <v>102440</v>
      </c>
      <c r="U19" s="890">
        <f>'Table 4'!F20</f>
        <v>90085</v>
      </c>
      <c r="V19" s="893">
        <f>'Table 6'!F20</f>
        <v>12355</v>
      </c>
      <c r="W19" s="889">
        <v>109100</v>
      </c>
      <c r="X19" s="337">
        <f>W19</f>
        <v>109100</v>
      </c>
      <c r="Y19" s="343">
        <f t="shared" si="23"/>
        <v>108633</v>
      </c>
      <c r="Z19" s="890">
        <f>'Table 4'!G20</f>
        <v>95197</v>
      </c>
      <c r="AA19" s="893">
        <f>'Table 6'!G20</f>
        <v>13436</v>
      </c>
      <c r="AB19" s="889">
        <v>114300</v>
      </c>
      <c r="AC19" s="1542">
        <f>AB19</f>
        <v>114300</v>
      </c>
      <c r="AD19" s="343">
        <f t="shared" si="24"/>
        <v>113803</v>
      </c>
      <c r="AE19" s="890">
        <f>'Table 4'!H20</f>
        <v>99492</v>
      </c>
      <c r="AF19" s="893">
        <f>'Table 6'!H20</f>
        <v>14311</v>
      </c>
      <c r="AG19" s="1093">
        <v>118900</v>
      </c>
      <c r="AH19" s="1542">
        <f>AG19</f>
        <v>118900</v>
      </c>
      <c r="AI19" s="1094">
        <f t="shared" si="25"/>
        <v>118436</v>
      </c>
      <c r="AJ19" s="1094">
        <f>'Table 4'!I20</f>
        <v>103316</v>
      </c>
      <c r="AK19" s="893">
        <f>'Table 6'!I20</f>
        <v>15120</v>
      </c>
      <c r="AL19" s="319">
        <f t="shared" si="0"/>
        <v>0.52</v>
      </c>
      <c r="AN19" s="319">
        <f t="shared" si="13"/>
        <v>0.49</v>
      </c>
      <c r="AO19" s="319">
        <f t="shared" si="12"/>
        <v>0.79</v>
      </c>
      <c r="AP19" s="212"/>
      <c r="AQ19" s="1570">
        <f t="shared" si="2"/>
        <v>40619</v>
      </c>
      <c r="AR19" s="1563">
        <f t="shared" si="3"/>
        <v>33932</v>
      </c>
      <c r="AS19" s="1558">
        <f t="shared" si="4"/>
        <v>6687</v>
      </c>
    </row>
    <row r="20" spans="1:46" s="2" customFormat="1">
      <c r="A20" s="364" t="s">
        <v>28</v>
      </c>
      <c r="B20" s="730" t="s">
        <v>15</v>
      </c>
      <c r="C20" s="892">
        <v>72756</v>
      </c>
      <c r="D20" s="1542">
        <f>C20</f>
        <v>72756</v>
      </c>
      <c r="E20" s="343">
        <f t="shared" si="5"/>
        <v>76784</v>
      </c>
      <c r="F20" s="890">
        <f>'Table 4'!C21</f>
        <v>20386</v>
      </c>
      <c r="G20" s="891">
        <f>'Table 6'!C21</f>
        <v>56398</v>
      </c>
      <c r="H20" s="892">
        <v>73300</v>
      </c>
      <c r="I20" s="1542">
        <f>H20</f>
        <v>73300</v>
      </c>
      <c r="J20" s="343">
        <f t="shared" si="20"/>
        <v>77241</v>
      </c>
      <c r="K20" s="890">
        <f>'Table 4'!D21</f>
        <v>20946</v>
      </c>
      <c r="L20" s="893">
        <f>'Table 6'!D21</f>
        <v>56295</v>
      </c>
      <c r="M20" s="889">
        <v>73600</v>
      </c>
      <c r="N20" s="1542">
        <f>M20</f>
        <v>73600</v>
      </c>
      <c r="O20" s="343">
        <f t="shared" si="21"/>
        <v>77513</v>
      </c>
      <c r="P20" s="890">
        <f>'Table 4'!E21</f>
        <v>21213</v>
      </c>
      <c r="Q20" s="893">
        <f>'Table 6'!E21</f>
        <v>56300</v>
      </c>
      <c r="R20" s="889">
        <v>73700</v>
      </c>
      <c r="S20" s="1542">
        <f>R20</f>
        <v>73700</v>
      </c>
      <c r="T20" s="343">
        <f t="shared" si="22"/>
        <v>77598</v>
      </c>
      <c r="U20" s="890">
        <f>'Table 4'!F21</f>
        <v>21294</v>
      </c>
      <c r="V20" s="893">
        <f>'Table 6'!F21</f>
        <v>56304</v>
      </c>
      <c r="W20" s="889">
        <v>73900</v>
      </c>
      <c r="X20" s="337">
        <f>W20</f>
        <v>73900</v>
      </c>
      <c r="Y20" s="343">
        <f t="shared" si="23"/>
        <v>77772</v>
      </c>
      <c r="Z20" s="890">
        <f>'Table 4'!G21</f>
        <v>21462</v>
      </c>
      <c r="AA20" s="893">
        <f>'Table 6'!G21</f>
        <v>56310</v>
      </c>
      <c r="AB20" s="889">
        <v>74100</v>
      </c>
      <c r="AC20" s="1542">
        <f>AB20</f>
        <v>74100</v>
      </c>
      <c r="AD20" s="343">
        <f t="shared" si="24"/>
        <v>77933</v>
      </c>
      <c r="AE20" s="890">
        <f>'Table 4'!H21</f>
        <v>21616</v>
      </c>
      <c r="AF20" s="893">
        <f>'Table 6'!H21</f>
        <v>56317</v>
      </c>
      <c r="AG20" s="1093">
        <v>74300</v>
      </c>
      <c r="AH20" s="1542">
        <f>AG20</f>
        <v>74300</v>
      </c>
      <c r="AI20" s="1094">
        <f t="shared" si="25"/>
        <v>78117</v>
      </c>
      <c r="AJ20" s="1094">
        <f>'Table 4'!I21</f>
        <v>21793</v>
      </c>
      <c r="AK20" s="893">
        <f>'Table 6'!I21</f>
        <v>56324</v>
      </c>
      <c r="AL20" s="319">
        <f t="shared" si="0"/>
        <v>0.02</v>
      </c>
      <c r="AN20" s="319">
        <f t="shared" si="13"/>
        <v>7.0000000000000007E-2</v>
      </c>
      <c r="AO20" s="319">
        <f t="shared" si="12"/>
        <v>0</v>
      </c>
      <c r="AP20" s="212"/>
      <c r="AQ20" s="1570">
        <f t="shared" si="2"/>
        <v>1333</v>
      </c>
      <c r="AR20" s="1563">
        <f t="shared" si="3"/>
        <v>1407</v>
      </c>
      <c r="AS20" s="1558">
        <f t="shared" si="4"/>
        <v>-74</v>
      </c>
    </row>
    <row r="21" spans="1:46" s="2" customFormat="1">
      <c r="A21" s="364" t="s">
        <v>29</v>
      </c>
      <c r="B21" s="729" t="s">
        <v>15</v>
      </c>
      <c r="C21" s="892">
        <v>213566</v>
      </c>
      <c r="D21" s="1947">
        <f>C21</f>
        <v>213566</v>
      </c>
      <c r="E21" s="890">
        <f t="shared" si="5"/>
        <v>216513</v>
      </c>
      <c r="F21" s="890">
        <f>'Table 4'!C22</f>
        <v>173216</v>
      </c>
      <c r="G21" s="891">
        <f>'Table 6'!C22</f>
        <v>43297</v>
      </c>
      <c r="H21" s="892">
        <v>263900</v>
      </c>
      <c r="I21" s="1947">
        <f>H21</f>
        <v>263900</v>
      </c>
      <c r="J21" s="890">
        <f t="shared" si="20"/>
        <v>254045</v>
      </c>
      <c r="K21" s="890">
        <f>'Table 4'!D22</f>
        <v>201587</v>
      </c>
      <c r="L21" s="893">
        <f>'Table 6'!D22</f>
        <v>52458</v>
      </c>
      <c r="M21" s="889">
        <v>309300</v>
      </c>
      <c r="N21" s="1947">
        <f>M21</f>
        <v>309300</v>
      </c>
      <c r="O21" s="890">
        <f t="shared" si="21"/>
        <v>299210</v>
      </c>
      <c r="P21" s="890">
        <f>'Table 4'!E22</f>
        <v>237813</v>
      </c>
      <c r="Q21" s="893">
        <f>'Table 6'!E22</f>
        <v>61397</v>
      </c>
      <c r="R21" s="889">
        <v>347600</v>
      </c>
      <c r="S21" s="1947">
        <f>R21</f>
        <v>347600</v>
      </c>
      <c r="T21" s="890">
        <f t="shared" si="22"/>
        <v>337685</v>
      </c>
      <c r="U21" s="890">
        <f>'Table 4'!F22</f>
        <v>266965</v>
      </c>
      <c r="V21" s="893">
        <f>'Table 6'!F22</f>
        <v>70720</v>
      </c>
      <c r="W21" s="889">
        <v>379400</v>
      </c>
      <c r="X21" s="892">
        <f>W21</f>
        <v>379400</v>
      </c>
      <c r="Y21" s="890">
        <f t="shared" si="23"/>
        <v>369057</v>
      </c>
      <c r="Z21" s="890">
        <f>'Table 4'!G22</f>
        <v>290751</v>
      </c>
      <c r="AA21" s="893">
        <f>'Table 6'!G22</f>
        <v>78306</v>
      </c>
      <c r="AB21" s="889">
        <v>408100</v>
      </c>
      <c r="AC21" s="1947">
        <f>AB21</f>
        <v>408100</v>
      </c>
      <c r="AD21" s="890">
        <f t="shared" si="24"/>
        <v>397902</v>
      </c>
      <c r="AE21" s="890">
        <f>'Table 4'!H22</f>
        <v>311582</v>
      </c>
      <c r="AF21" s="893">
        <f>'Table 6'!H22</f>
        <v>86320</v>
      </c>
      <c r="AG21" s="1093">
        <v>434900</v>
      </c>
      <c r="AH21" s="1947">
        <f>AG21</f>
        <v>434900</v>
      </c>
      <c r="AI21" s="1094">
        <f t="shared" si="25"/>
        <v>424994</v>
      </c>
      <c r="AJ21" s="1094">
        <f>'Table 4'!I22</f>
        <v>331245</v>
      </c>
      <c r="AK21" s="893">
        <f>'Table 6'!I22</f>
        <v>93749</v>
      </c>
      <c r="AL21" s="319">
        <f t="shared" si="0"/>
        <v>0.96</v>
      </c>
      <c r="AN21" s="319">
        <f t="shared" si="13"/>
        <v>0.91</v>
      </c>
      <c r="AO21" s="319">
        <f t="shared" si="12"/>
        <v>1.17</v>
      </c>
      <c r="AP21" s="212"/>
      <c r="AQ21" s="1570">
        <f t="shared" si="2"/>
        <v>208481</v>
      </c>
      <c r="AR21" s="1563">
        <f t="shared" si="3"/>
        <v>158029</v>
      </c>
      <c r="AS21" s="1558">
        <f t="shared" si="4"/>
        <v>50452</v>
      </c>
    </row>
    <row r="22" spans="1:46" s="2" customFormat="1">
      <c r="A22" s="908" t="s">
        <v>30</v>
      </c>
      <c r="B22" s="730" t="s">
        <v>17</v>
      </c>
      <c r="C22" s="1543">
        <v>44452</v>
      </c>
      <c r="D22" s="1948">
        <v>41532</v>
      </c>
      <c r="E22" s="1085">
        <f t="shared" si="5"/>
        <v>41532</v>
      </c>
      <c r="F22" s="1085">
        <f>'Table 4'!C23</f>
        <v>7491</v>
      </c>
      <c r="G22" s="1830">
        <f>'Table 6'!C23</f>
        <v>34041</v>
      </c>
      <c r="H22" s="1543">
        <v>45900</v>
      </c>
      <c r="I22" s="1948">
        <f>H22-2001</f>
        <v>43899</v>
      </c>
      <c r="J22" s="1085">
        <f t="shared" si="20"/>
        <v>43899</v>
      </c>
      <c r="K22" s="1085">
        <f>'Table 4'!D23</f>
        <v>8125</v>
      </c>
      <c r="L22" s="1086">
        <f>'Table 6'!D23</f>
        <v>35774</v>
      </c>
      <c r="M22" s="895">
        <v>48300</v>
      </c>
      <c r="N22" s="1948">
        <f>M22-2001</f>
        <v>46299</v>
      </c>
      <c r="O22" s="1085">
        <f t="shared" si="21"/>
        <v>46299</v>
      </c>
      <c r="P22" s="1085">
        <f>'Table 4'!E23</f>
        <v>8961</v>
      </c>
      <c r="Q22" s="1086">
        <f>'Table 6'!E23</f>
        <v>37338</v>
      </c>
      <c r="R22" s="895">
        <v>50400</v>
      </c>
      <c r="S22" s="1948">
        <f>R22-2001</f>
        <v>48399</v>
      </c>
      <c r="T22" s="1085">
        <f t="shared" si="22"/>
        <v>48399</v>
      </c>
      <c r="U22" s="1085">
        <f>'Table 4'!F23</f>
        <v>9527</v>
      </c>
      <c r="V22" s="1086">
        <f>'Table 6'!F23</f>
        <v>38872</v>
      </c>
      <c r="W22" s="895">
        <v>52100</v>
      </c>
      <c r="X22" s="1543">
        <f>W22-2001</f>
        <v>50099</v>
      </c>
      <c r="Y22" s="1085">
        <f t="shared" si="23"/>
        <v>50099</v>
      </c>
      <c r="Z22" s="1085">
        <f>'Table 4'!G23</f>
        <v>10012</v>
      </c>
      <c r="AA22" s="1086">
        <f>'Table 6'!G23</f>
        <v>40087</v>
      </c>
      <c r="AB22" s="895">
        <v>53500</v>
      </c>
      <c r="AC22" s="1948">
        <f>AB22-2001</f>
        <v>51499</v>
      </c>
      <c r="AD22" s="1085">
        <f t="shared" si="24"/>
        <v>51499</v>
      </c>
      <c r="AE22" s="1085">
        <f>'Table 4'!H23</f>
        <v>10265</v>
      </c>
      <c r="AF22" s="1086">
        <f>'Table 6'!H23</f>
        <v>41234</v>
      </c>
      <c r="AG22" s="1095">
        <v>54700</v>
      </c>
      <c r="AH22" s="1948">
        <f>AG22-2001</f>
        <v>52699</v>
      </c>
      <c r="AI22" s="1096">
        <f t="shared" si="25"/>
        <v>52699</v>
      </c>
      <c r="AJ22" s="1096">
        <f>'Table 4'!I23</f>
        <v>10438</v>
      </c>
      <c r="AK22" s="1086">
        <f>'Table 6'!I23</f>
        <v>42261</v>
      </c>
      <c r="AL22" s="319">
        <f t="shared" si="0"/>
        <v>0.27</v>
      </c>
      <c r="AN22" s="319">
        <f t="shared" si="13"/>
        <v>0.39</v>
      </c>
      <c r="AO22" s="319">
        <f t="shared" si="12"/>
        <v>0.24</v>
      </c>
      <c r="AP22" s="212"/>
      <c r="AQ22" s="1831">
        <f t="shared" si="2"/>
        <v>11167</v>
      </c>
      <c r="AR22" s="1564">
        <f t="shared" si="3"/>
        <v>2947</v>
      </c>
      <c r="AS22" s="1832">
        <f t="shared" si="4"/>
        <v>8220</v>
      </c>
    </row>
    <row r="23" spans="1:46" s="2" customFormat="1" ht="13.5" thickBot="1">
      <c r="A23" s="1037" t="s">
        <v>31</v>
      </c>
      <c r="B23" s="1545" t="s">
        <v>17</v>
      </c>
      <c r="C23" s="898">
        <v>15918</v>
      </c>
      <c r="D23" s="1540">
        <v>11015</v>
      </c>
      <c r="E23" s="896">
        <f t="shared" si="5"/>
        <v>11015</v>
      </c>
      <c r="F23" s="896">
        <f>'Table 4'!C24</f>
        <v>1742</v>
      </c>
      <c r="G23" s="897">
        <f>'Table 6'!C24</f>
        <v>9273</v>
      </c>
      <c r="H23" s="898">
        <v>15500</v>
      </c>
      <c r="I23" s="1950">
        <f>H23-4876</f>
        <v>10624</v>
      </c>
      <c r="J23" s="896">
        <f t="shared" si="20"/>
        <v>10767</v>
      </c>
      <c r="K23" s="896">
        <f>'Table 4'!D24</f>
        <v>1850</v>
      </c>
      <c r="L23" s="887">
        <f>'Table 6'!D24</f>
        <v>8917</v>
      </c>
      <c r="M23" s="1087">
        <v>15600</v>
      </c>
      <c r="N23" s="1540">
        <f>M23-4876</f>
        <v>10724</v>
      </c>
      <c r="O23" s="896">
        <f t="shared" si="21"/>
        <v>10867</v>
      </c>
      <c r="P23" s="896">
        <f>'Table 4'!E24</f>
        <v>1885</v>
      </c>
      <c r="Q23" s="887">
        <f>'Table 6'!E24</f>
        <v>8982</v>
      </c>
      <c r="R23" s="1087">
        <v>15600</v>
      </c>
      <c r="S23" s="1540">
        <f>R23-4876</f>
        <v>10724</v>
      </c>
      <c r="T23" s="896">
        <f t="shared" si="22"/>
        <v>10867</v>
      </c>
      <c r="U23" s="896">
        <f>'Table 4'!F24</f>
        <v>1885</v>
      </c>
      <c r="V23" s="887">
        <f>'Table 6'!F24</f>
        <v>8982</v>
      </c>
      <c r="W23" s="1087">
        <v>15700</v>
      </c>
      <c r="X23" s="898">
        <f>W23-4876</f>
        <v>10824</v>
      </c>
      <c r="Y23" s="896">
        <f t="shared" si="23"/>
        <v>10967</v>
      </c>
      <c r="Z23" s="896">
        <f>'Table 4'!G24</f>
        <v>1905</v>
      </c>
      <c r="AA23" s="887">
        <f>'Table 6'!G24</f>
        <v>9062</v>
      </c>
      <c r="AB23" s="1087">
        <v>15700</v>
      </c>
      <c r="AC23" s="1540">
        <f>AB23-4876</f>
        <v>10824</v>
      </c>
      <c r="AD23" s="896">
        <f t="shared" si="24"/>
        <v>10967</v>
      </c>
      <c r="AE23" s="896">
        <f>'Table 4'!H24</f>
        <v>1905</v>
      </c>
      <c r="AF23" s="887">
        <f>'Table 6'!H24</f>
        <v>9062</v>
      </c>
      <c r="AG23" s="1097">
        <v>15700</v>
      </c>
      <c r="AH23" s="1540">
        <f>AG23-4876</f>
        <v>10824</v>
      </c>
      <c r="AI23" s="1088">
        <f t="shared" si="25"/>
        <v>10967</v>
      </c>
      <c r="AJ23" s="1088">
        <f>'Table 4'!I24</f>
        <v>1905</v>
      </c>
      <c r="AK23" s="887">
        <f>'Table 6'!I24</f>
        <v>9062</v>
      </c>
      <c r="AL23" s="194">
        <f t="shared" si="0"/>
        <v>0</v>
      </c>
      <c r="AN23" s="194">
        <f t="shared" si="13"/>
        <v>0.09</v>
      </c>
      <c r="AO23" s="194">
        <f t="shared" si="12"/>
        <v>-0.02</v>
      </c>
      <c r="AP23" s="212"/>
      <c r="AQ23" s="1828">
        <f t="shared" si="2"/>
        <v>-48</v>
      </c>
      <c r="AR23" s="1829">
        <f t="shared" si="3"/>
        <v>163</v>
      </c>
      <c r="AS23" s="1555">
        <f t="shared" si="4"/>
        <v>-211</v>
      </c>
    </row>
    <row r="24" spans="1:46" s="2" customFormat="1" ht="14.25" thickTop="1" thickBot="1">
      <c r="A24" s="3190" t="s">
        <v>32</v>
      </c>
      <c r="B24" s="3191"/>
      <c r="C24" s="888" t="s">
        <v>16</v>
      </c>
      <c r="D24" s="888" t="s">
        <v>16</v>
      </c>
      <c r="E24" s="340">
        <f>E4+E7+E10+E13+E15+E16+E20+E21+E19</f>
        <v>1804699</v>
      </c>
      <c r="F24" s="340">
        <f t="shared" ref="F24:G24" si="26">F4+F7+F10+F13+F15+F16+F20+F21+F19</f>
        <v>1383967</v>
      </c>
      <c r="G24" s="284">
        <f t="shared" si="26"/>
        <v>420732</v>
      </c>
      <c r="H24" s="888" t="s">
        <v>16</v>
      </c>
      <c r="I24" s="888" t="s">
        <v>16</v>
      </c>
      <c r="J24" s="261">
        <f>J4+J7+J10+J13+J15+J16+J20+J21+J19</f>
        <v>1950258</v>
      </c>
      <c r="K24" s="261">
        <f t="shared" ref="K24:L24" si="27">K4+K7+K10+K13+K15+K16+K20+K21+K19</f>
        <v>1496051</v>
      </c>
      <c r="L24" s="272">
        <f t="shared" si="27"/>
        <v>454207</v>
      </c>
      <c r="M24" s="277" t="s">
        <v>16</v>
      </c>
      <c r="N24" s="888" t="s">
        <v>16</v>
      </c>
      <c r="O24" s="261">
        <f>O4+O7+O10+O13+O15+O16+O20+O21+O19</f>
        <v>2108590</v>
      </c>
      <c r="P24" s="261">
        <f t="shared" ref="P24:Q24" si="28">P4+P7+P10+P13+P15+P16+P20+P21+P19</f>
        <v>1617656</v>
      </c>
      <c r="Q24" s="726">
        <f t="shared" si="28"/>
        <v>490934</v>
      </c>
      <c r="R24" s="277" t="s">
        <v>16</v>
      </c>
      <c r="S24" s="888" t="s">
        <v>16</v>
      </c>
      <c r="T24" s="261">
        <f>T4+T7+T10+T13+T15+T16+T20+T21+T19</f>
        <v>2235156</v>
      </c>
      <c r="U24" s="261">
        <f t="shared" ref="U24:V24" si="29">U4+U7+U10+U13+U15+U16+U20+U21+U19</f>
        <v>1707159</v>
      </c>
      <c r="V24" s="726">
        <f t="shared" si="29"/>
        <v>527997</v>
      </c>
      <c r="W24" s="277" t="s">
        <v>16</v>
      </c>
      <c r="X24" s="888" t="s">
        <v>16</v>
      </c>
      <c r="Y24" s="261">
        <f>Y4+Y7+Y10+Y13+Y15+Y16+Y20+Y21+Y19</f>
        <v>2342929</v>
      </c>
      <c r="Z24" s="261">
        <f t="shared" ref="Z24:AA24" si="30">Z4+Z7+Z10+Z13+Z15+Z16+Z20+Z21+Z19</f>
        <v>1790758</v>
      </c>
      <c r="AA24" s="726">
        <f t="shared" si="30"/>
        <v>552171</v>
      </c>
      <c r="AB24" s="277" t="s">
        <v>16</v>
      </c>
      <c r="AC24" s="888" t="s">
        <v>16</v>
      </c>
      <c r="AD24" s="261">
        <f>AD4+AD7+AD10+AD13+AD15+AD16+AD20+AD21+AD19</f>
        <v>2431706</v>
      </c>
      <c r="AE24" s="261">
        <f t="shared" ref="AE24:AF24" si="31">AE4+AE7+AE10+AE13+AE15+AE16+AE20+AE21+AE19</f>
        <v>1856566</v>
      </c>
      <c r="AF24" s="724">
        <f t="shared" si="31"/>
        <v>575140</v>
      </c>
      <c r="AG24" s="277" t="s">
        <v>16</v>
      </c>
      <c r="AH24" s="888" t="s">
        <v>16</v>
      </c>
      <c r="AI24" s="1090">
        <f>AI4+AI7+AI10+AI13+AI15+AI16+AI20+AI21+AI19</f>
        <v>2512586</v>
      </c>
      <c r="AJ24" s="1090">
        <f t="shared" ref="AJ24:AK24" si="32">AJ4+AJ7+AJ10+AJ13+AJ15+AJ16+AJ20+AJ21+AJ19</f>
        <v>1916415</v>
      </c>
      <c r="AK24" s="724">
        <f t="shared" si="32"/>
        <v>596171</v>
      </c>
      <c r="AL24" s="195">
        <f t="shared" si="0"/>
        <v>0.39</v>
      </c>
      <c r="AN24" s="195">
        <f t="shared" si="13"/>
        <v>0.38</v>
      </c>
      <c r="AO24" s="195">
        <f t="shared" si="12"/>
        <v>0.42</v>
      </c>
      <c r="AP24" s="212"/>
      <c r="AQ24" s="1567">
        <f t="shared" si="2"/>
        <v>707887</v>
      </c>
      <c r="AR24" s="1560">
        <f t="shared" si="3"/>
        <v>532448</v>
      </c>
      <c r="AS24" s="1556">
        <f t="shared" si="4"/>
        <v>175439</v>
      </c>
    </row>
    <row r="25" spans="1:46" s="2" customFormat="1" ht="13.5" thickBot="1">
      <c r="A25" s="3188" t="s">
        <v>33</v>
      </c>
      <c r="B25" s="3189"/>
      <c r="C25" s="266" t="s">
        <v>16</v>
      </c>
      <c r="D25" s="266" t="s">
        <v>16</v>
      </c>
      <c r="E25" s="273">
        <f>E5+E8+E11+E14+E17+E18+E22+E23</f>
        <v>221826</v>
      </c>
      <c r="F25" s="273">
        <f t="shared" ref="F25:G25" si="33">F5+F8+F11+F14+F17+F18+F22+F23</f>
        <v>64483</v>
      </c>
      <c r="G25" s="285">
        <f t="shared" si="33"/>
        <v>157343</v>
      </c>
      <c r="H25" s="266" t="s">
        <v>16</v>
      </c>
      <c r="I25" s="266" t="s">
        <v>16</v>
      </c>
      <c r="J25" s="260">
        <f>J5+J8+J11+J14+J17+J18+J22+J23</f>
        <v>237335</v>
      </c>
      <c r="K25" s="260">
        <f t="shared" ref="K25:L25" si="34">K5+K8+K11+K14+K17+K18+K22+K23</f>
        <v>69179</v>
      </c>
      <c r="L25" s="276">
        <f t="shared" si="34"/>
        <v>168156</v>
      </c>
      <c r="M25" s="264" t="s">
        <v>16</v>
      </c>
      <c r="N25" s="266" t="s">
        <v>16</v>
      </c>
      <c r="O25" s="260">
        <f>O5+O8+O11+O14+O17+O18+O22+O23</f>
        <v>250947</v>
      </c>
      <c r="P25" s="260">
        <f t="shared" ref="P25:Q25" si="35">P5+P8+P11+P14+P17+P18+P22+P23</f>
        <v>71351</v>
      </c>
      <c r="Q25" s="271">
        <f t="shared" si="35"/>
        <v>179596</v>
      </c>
      <c r="R25" s="264" t="s">
        <v>16</v>
      </c>
      <c r="S25" s="266" t="s">
        <v>16</v>
      </c>
      <c r="T25" s="260">
        <f>T5+T8+T11+T14+T17+T18+T22+T23</f>
        <v>262773</v>
      </c>
      <c r="U25" s="260">
        <f t="shared" ref="U25:V25" si="36">U5+U8+U11+U14+U17+U18+U22+U23</f>
        <v>74457</v>
      </c>
      <c r="V25" s="271">
        <f t="shared" si="36"/>
        <v>188316</v>
      </c>
      <c r="W25" s="264" t="s">
        <v>16</v>
      </c>
      <c r="X25" s="266" t="s">
        <v>16</v>
      </c>
      <c r="Y25" s="260">
        <f>Y5+Y8+Y11+Y14+Y17+Y18+Y22+Y23</f>
        <v>275876</v>
      </c>
      <c r="Z25" s="260">
        <f t="shared" ref="Z25:AA25" si="37">Z5+Z8+Z11+Z14+Z17+Z18+Z22+Z23</f>
        <v>77251</v>
      </c>
      <c r="AA25" s="271">
        <f t="shared" si="37"/>
        <v>198625</v>
      </c>
      <c r="AB25" s="264" t="s">
        <v>16</v>
      </c>
      <c r="AC25" s="266" t="s">
        <v>16</v>
      </c>
      <c r="AD25" s="260">
        <f>AD5+AD8+AD11+AD14+AD17+AD18+AD22+AD23</f>
        <v>284841</v>
      </c>
      <c r="AE25" s="260">
        <f t="shared" ref="AE25:AF25" si="38">AE5+AE8+AE11+AE14+AE17+AE18+AE22+AE23</f>
        <v>78706</v>
      </c>
      <c r="AF25" s="265">
        <f t="shared" si="38"/>
        <v>206135</v>
      </c>
      <c r="AG25" s="264" t="s">
        <v>16</v>
      </c>
      <c r="AH25" s="888" t="s">
        <v>16</v>
      </c>
      <c r="AI25" s="1090">
        <f>AI5+AI8+AI11+AI14+AI17+AI18+AI22+AI23</f>
        <v>292341</v>
      </c>
      <c r="AJ25" s="1090">
        <f t="shared" ref="AJ25:AK25" si="39">AJ5+AJ8+AJ11+AJ14+AJ17+AJ18+AJ22+AJ23</f>
        <v>79985</v>
      </c>
      <c r="AK25" s="724">
        <f t="shared" si="39"/>
        <v>212356</v>
      </c>
      <c r="AL25" s="195">
        <f t="shared" si="0"/>
        <v>0.32</v>
      </c>
      <c r="AN25" s="195">
        <f t="shared" si="13"/>
        <v>0.24</v>
      </c>
      <c r="AO25" s="195">
        <f t="shared" si="12"/>
        <v>0.35</v>
      </c>
      <c r="AP25" s="212"/>
      <c r="AQ25" s="1567">
        <f t="shared" si="2"/>
        <v>70515</v>
      </c>
      <c r="AR25" s="1560">
        <f t="shared" si="3"/>
        <v>15502</v>
      </c>
      <c r="AS25" s="1556">
        <f t="shared" si="4"/>
        <v>55013</v>
      </c>
    </row>
    <row r="26" spans="1:46" s="67" customFormat="1">
      <c r="A26" s="3188" t="s">
        <v>34</v>
      </c>
      <c r="B26" s="3189"/>
      <c r="C26" s="1544">
        <f>C6+C9+C12+C13+C14+C15+C16+C17+C18+C19+C20+C21+C22+C23</f>
        <v>2040284</v>
      </c>
      <c r="D26" s="1544">
        <f>D6+D9+D12+D13+D14+D15+D16+D17+D18+D19+D20+D21+D22+D23</f>
        <v>2018851</v>
      </c>
      <c r="E26" s="286">
        <f>E25+E24</f>
        <v>2026525</v>
      </c>
      <c r="F26" s="286">
        <f>F25+F24</f>
        <v>1448450</v>
      </c>
      <c r="G26" s="265">
        <f>G25+G24</f>
        <v>578075</v>
      </c>
      <c r="H26" s="281">
        <f>H6+H9+H12+H13+H14+H15+H16+H17+H18+H19+H20+H21+H22+H23</f>
        <v>2233600</v>
      </c>
      <c r="I26" s="281">
        <f>I6+I9+I12+I13+I14+I15+I16+I17+I18+I19+I20+I21+I22+I23</f>
        <v>2215480</v>
      </c>
      <c r="J26" s="273">
        <f>J25+J24</f>
        <v>2187593</v>
      </c>
      <c r="K26" s="273">
        <f>K25+K24</f>
        <v>1565230</v>
      </c>
      <c r="L26" s="278">
        <f>L25+L24</f>
        <v>622363</v>
      </c>
      <c r="M26" s="263">
        <f>M6+M9+M12+M13+M14+M15+M16+M17+M18+M19+M20+M21+M22+M23</f>
        <v>2405600</v>
      </c>
      <c r="N26" s="281">
        <f>N6+N9+N12+N13+N14+N15+N16+N17+N18+N19+N20+N21+N22+N23</f>
        <v>2386986</v>
      </c>
      <c r="O26" s="273">
        <f>O25+O24</f>
        <v>2359537</v>
      </c>
      <c r="P26" s="273">
        <f>P25+P24</f>
        <v>1689007</v>
      </c>
      <c r="Q26" s="285">
        <f>Q25+Q24</f>
        <v>670530</v>
      </c>
      <c r="R26" s="263">
        <f>R6+R9+R12+R13+R14+R15+R16+R17+R18+R19+R20+R21+R22+R23</f>
        <v>2548300</v>
      </c>
      <c r="S26" s="281">
        <f>S6+S9+S12+S13+S14+S15+S16+S17+S18+S19+S20+S21+S22+S23</f>
        <v>2529686</v>
      </c>
      <c r="T26" s="273">
        <f>T25+T24</f>
        <v>2497929</v>
      </c>
      <c r="U26" s="273">
        <f>U25+U24</f>
        <v>1781616</v>
      </c>
      <c r="V26" s="285">
        <f>V25+V24</f>
        <v>716313</v>
      </c>
      <c r="W26" s="263">
        <f>W6+W9+W12+W13+W14+W15+W16+W17+W18+W19+W20+W21+W22+W23</f>
        <v>2667600</v>
      </c>
      <c r="X26" s="281">
        <f>X6+X9+X12+X13+X14+X15+X16+X17+X18+X19+X20+X21+X22+X23</f>
        <v>2648986</v>
      </c>
      <c r="Y26" s="273">
        <f>Y25+Y24</f>
        <v>2618805</v>
      </c>
      <c r="Z26" s="273">
        <f>Z25+Z24</f>
        <v>1868009</v>
      </c>
      <c r="AA26" s="285">
        <f>AA25+AA24</f>
        <v>750796</v>
      </c>
      <c r="AB26" s="263">
        <f>AB6+AB9+AB12+AB13+AB14+AB15+AB16+AB17+AB18+AB19+AB20+AB21+AB22+AB23</f>
        <v>2769700</v>
      </c>
      <c r="AC26" s="281">
        <f>AC6+AC9+AC12+AC13+AC14+AC15+AC16+AC17+AC18+AC19+AC20+AC21+AC22+AC23</f>
        <v>2751086</v>
      </c>
      <c r="AD26" s="273">
        <f>AD25+AD24</f>
        <v>2716547</v>
      </c>
      <c r="AE26" s="273">
        <f>AE25+AE24</f>
        <v>1935272</v>
      </c>
      <c r="AF26" s="285">
        <f>AF25+AF24</f>
        <v>781275</v>
      </c>
      <c r="AG26" s="263">
        <f>AG6+AG9+AG12+AG13+AG14+AG15+AG16+AG17+AG18+AG19+AG20+AG21+AG22+AG23</f>
        <v>2859800</v>
      </c>
      <c r="AH26" s="281">
        <f>AH6+AH9+AH12+AH13+AH14+AH15+AH16+AH17+AH18+AH19+AH20+AH21+AH22+AH23</f>
        <v>2841186</v>
      </c>
      <c r="AI26" s="273">
        <f>AI25+AI24</f>
        <v>2804927</v>
      </c>
      <c r="AJ26" s="273">
        <f>AJ25+AJ24</f>
        <v>1996400</v>
      </c>
      <c r="AK26" s="285">
        <f>AK25+AK24</f>
        <v>808527</v>
      </c>
      <c r="AL26" s="237">
        <f t="shared" si="0"/>
        <v>0.38</v>
      </c>
      <c r="AM26" s="293"/>
      <c r="AN26" s="237">
        <f t="shared" si="13"/>
        <v>0.38</v>
      </c>
      <c r="AO26" s="237">
        <f t="shared" si="12"/>
        <v>0.4</v>
      </c>
      <c r="AP26" s="212"/>
      <c r="AQ26" s="1571">
        <f t="shared" si="2"/>
        <v>778402</v>
      </c>
      <c r="AR26" s="1565">
        <f t="shared" si="3"/>
        <v>547950</v>
      </c>
      <c r="AS26" s="278">
        <f t="shared" si="4"/>
        <v>230452</v>
      </c>
      <c r="AT26" s="2"/>
    </row>
    <row r="27" spans="1:46">
      <c r="A27" s="89" t="s">
        <v>35</v>
      </c>
      <c r="D27" s="212"/>
      <c r="F27" s="212" t="s">
        <v>36</v>
      </c>
      <c r="G27" s="212"/>
      <c r="U27" s="89"/>
      <c r="Z27" s="55"/>
      <c r="AA27" s="55"/>
      <c r="AB27" s="55"/>
      <c r="AC27" s="55"/>
      <c r="AD27" s="55"/>
      <c r="AE27" s="55"/>
    </row>
    <row r="28" spans="1:46">
      <c r="A28" s="1" t="s">
        <v>37</v>
      </c>
      <c r="I28" s="2" t="s">
        <v>36</v>
      </c>
    </row>
    <row r="29" spans="1:46">
      <c r="A29" s="174" t="s">
        <v>38</v>
      </c>
    </row>
    <row r="30" spans="1:46">
      <c r="A30" s="174" t="s">
        <v>39</v>
      </c>
      <c r="U30" s="174"/>
    </row>
    <row r="31" spans="1:46">
      <c r="A31" s="1" t="s">
        <v>40</v>
      </c>
    </row>
    <row r="32" spans="1:46" ht="24.75" customHeight="1">
      <c r="A32" s="3178" t="s">
        <v>41</v>
      </c>
      <c r="B32" s="3178"/>
      <c r="C32" s="3178"/>
      <c r="D32" s="3178"/>
      <c r="E32" s="3178"/>
      <c r="F32" s="3178"/>
      <c r="G32" s="3178"/>
      <c r="H32" s="3178"/>
      <c r="I32" s="3178"/>
      <c r="J32" s="3178"/>
      <c r="K32" s="3178"/>
      <c r="L32" s="3178"/>
      <c r="M32" s="3178"/>
      <c r="N32" s="3178"/>
      <c r="O32" s="3178"/>
      <c r="P32" s="3178"/>
      <c r="Q32" s="3178"/>
      <c r="R32" s="3178"/>
      <c r="S32" s="3178"/>
      <c r="T32" s="3178"/>
      <c r="U32" s="3178"/>
      <c r="V32" s="3178"/>
      <c r="W32" s="3178"/>
      <c r="X32" s="3178"/>
      <c r="Y32" s="3178"/>
      <c r="Z32" s="3178"/>
      <c r="AA32" s="3178"/>
      <c r="AB32" s="3178"/>
      <c r="AC32" s="3178"/>
      <c r="AD32" s="3178"/>
      <c r="AE32" s="3178"/>
      <c r="AF32" s="3178"/>
      <c r="AG32" s="3178"/>
      <c r="AH32" s="3178"/>
      <c r="AI32" s="3178"/>
      <c r="AJ32" s="3178"/>
      <c r="AK32" s="3178"/>
      <c r="AL32" s="3178"/>
    </row>
    <row r="33" spans="1:46">
      <c r="A33" s="1924" t="s">
        <v>42</v>
      </c>
      <c r="B33" s="3015"/>
      <c r="C33" s="3015"/>
      <c r="D33" s="3015"/>
      <c r="E33" s="3015"/>
      <c r="F33" s="3015"/>
      <c r="G33" s="3015"/>
      <c r="H33" s="3015"/>
      <c r="I33" s="3015"/>
      <c r="J33" s="3015"/>
      <c r="K33" s="3015"/>
      <c r="L33" s="3015"/>
      <c r="M33" s="3015"/>
      <c r="N33" s="3015"/>
      <c r="O33" s="3015"/>
      <c r="P33" s="3015"/>
      <c r="Q33" s="3015"/>
      <c r="R33" s="3015"/>
      <c r="S33" s="3015"/>
      <c r="T33" s="3015"/>
      <c r="U33" s="3015"/>
      <c r="V33" s="3015"/>
      <c r="W33" s="3015"/>
      <c r="X33" s="3015"/>
      <c r="Y33" s="3015"/>
      <c r="Z33" s="3015"/>
      <c r="AA33" s="3015"/>
      <c r="AB33" s="3015"/>
      <c r="AC33" s="3015"/>
      <c r="AD33" s="3015"/>
      <c r="AE33" s="3015"/>
      <c r="AF33" s="78"/>
    </row>
    <row r="34" spans="1:46">
      <c r="A34" s="1924" t="s">
        <v>43</v>
      </c>
      <c r="B34" s="3015"/>
      <c r="C34" s="3015"/>
      <c r="D34" s="3015"/>
      <c r="E34" s="3015"/>
      <c r="F34" s="3015"/>
      <c r="G34" s="3015"/>
      <c r="H34" s="3015"/>
      <c r="I34" s="3015"/>
      <c r="J34" s="3015"/>
      <c r="K34" s="3015"/>
      <c r="L34" s="3015"/>
      <c r="M34" s="3015"/>
      <c r="N34" s="3015"/>
      <c r="O34" s="3015"/>
      <c r="P34" s="3015"/>
      <c r="Q34" s="3015"/>
      <c r="R34" s="3015"/>
      <c r="S34" s="3015"/>
      <c r="T34" s="3015"/>
      <c r="U34" s="3015"/>
      <c r="V34" s="3015"/>
      <c r="W34" s="3015"/>
      <c r="X34" s="3015"/>
      <c r="Y34" s="3015"/>
      <c r="Z34" s="3015"/>
      <c r="AA34" s="3015"/>
      <c r="AB34" s="3015"/>
      <c r="AC34" s="3015"/>
      <c r="AD34" s="3015"/>
      <c r="AE34" s="3015"/>
      <c r="AF34" s="78"/>
    </row>
    <row r="35" spans="1:46">
      <c r="A35" s="1924" t="s">
        <v>44</v>
      </c>
      <c r="B35" s="3015"/>
      <c r="C35" s="3015"/>
      <c r="D35" s="3015"/>
      <c r="E35" s="3015"/>
      <c r="F35" s="3015"/>
      <c r="G35" s="3015"/>
      <c r="H35" s="3015"/>
      <c r="I35" s="3015"/>
      <c r="J35" s="3015"/>
      <c r="K35" s="3015"/>
      <c r="L35" s="3015"/>
      <c r="M35" s="3015"/>
      <c r="N35" s="3015"/>
      <c r="O35" s="3015"/>
      <c r="P35" s="3015"/>
      <c r="Q35" s="3015"/>
      <c r="R35" s="3015"/>
      <c r="S35" s="3015"/>
      <c r="T35" s="3015"/>
      <c r="U35" s="3015"/>
      <c r="V35" s="3015"/>
      <c r="W35" s="3015"/>
      <c r="X35" s="3015"/>
      <c r="Y35" s="3015"/>
      <c r="Z35" s="3015"/>
      <c r="AA35" s="3015"/>
      <c r="AB35" s="3015"/>
      <c r="AC35" s="3015"/>
      <c r="AD35" s="3015"/>
      <c r="AE35" s="3015"/>
      <c r="AF35" s="78"/>
    </row>
    <row r="36" spans="1:46">
      <c r="B36" s="55"/>
      <c r="C36" s="212"/>
      <c r="D36" s="212"/>
      <c r="E36" s="212"/>
      <c r="F36" s="212"/>
      <c r="G36" s="212"/>
      <c r="H36" s="212"/>
    </row>
    <row r="37" spans="1:46" ht="13.5" thickBot="1">
      <c r="A37" s="71" t="s">
        <v>45</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row>
    <row r="38" spans="1:46" ht="79.5" customHeight="1">
      <c r="A38" s="3181" t="s">
        <v>1</v>
      </c>
      <c r="B38" s="3183" t="s">
        <v>2</v>
      </c>
      <c r="C38" s="69" t="s">
        <v>3</v>
      </c>
      <c r="D38" s="70" t="s">
        <v>4</v>
      </c>
      <c r="E38" s="68" t="s">
        <v>5</v>
      </c>
      <c r="F38" s="68" t="s">
        <v>6</v>
      </c>
      <c r="G38" s="3014" t="s">
        <v>7</v>
      </c>
      <c r="H38" s="69" t="s">
        <v>3</v>
      </c>
      <c r="I38" s="70" t="s">
        <v>4</v>
      </c>
      <c r="J38" s="68" t="s">
        <v>5</v>
      </c>
      <c r="K38" s="68" t="s">
        <v>6</v>
      </c>
      <c r="L38" s="3014" t="s">
        <v>7</v>
      </c>
      <c r="M38" s="69" t="s">
        <v>3</v>
      </c>
      <c r="N38" s="70" t="s">
        <v>4</v>
      </c>
      <c r="O38" s="68" t="s">
        <v>5</v>
      </c>
      <c r="P38" s="68" t="s">
        <v>6</v>
      </c>
      <c r="Q38" s="3014" t="s">
        <v>7</v>
      </c>
      <c r="R38" s="69" t="s">
        <v>3</v>
      </c>
      <c r="S38" s="70" t="s">
        <v>4</v>
      </c>
      <c r="T38" s="68" t="s">
        <v>5</v>
      </c>
      <c r="U38" s="68" t="s">
        <v>6</v>
      </c>
      <c r="V38" s="3014" t="s">
        <v>7</v>
      </c>
      <c r="W38" s="69" t="s">
        <v>3</v>
      </c>
      <c r="X38" s="70" t="s">
        <v>4</v>
      </c>
      <c r="Y38" s="68" t="s">
        <v>5</v>
      </c>
      <c r="Z38" s="68" t="s">
        <v>6</v>
      </c>
      <c r="AA38" s="3014" t="s">
        <v>7</v>
      </c>
      <c r="AB38" s="69" t="s">
        <v>3</v>
      </c>
      <c r="AC38" s="70" t="s">
        <v>4</v>
      </c>
      <c r="AD38" s="68" t="s">
        <v>5</v>
      </c>
      <c r="AE38" s="68" t="s">
        <v>6</v>
      </c>
      <c r="AF38" s="3014" t="s">
        <v>7</v>
      </c>
      <c r="AG38" s="69" t="s">
        <v>3</v>
      </c>
      <c r="AH38" s="70" t="s">
        <v>4</v>
      </c>
      <c r="AI38" s="68" t="s">
        <v>5</v>
      </c>
      <c r="AJ38" s="68" t="s">
        <v>6</v>
      </c>
      <c r="AK38" s="3014" t="s">
        <v>7</v>
      </c>
      <c r="AL38" s="3192" t="s">
        <v>8</v>
      </c>
      <c r="AN38" s="3194" t="s">
        <v>9</v>
      </c>
      <c r="AO38" s="3196" t="s">
        <v>10</v>
      </c>
      <c r="AQ38" s="3198" t="s">
        <v>11</v>
      </c>
      <c r="AR38" s="3194" t="s">
        <v>12</v>
      </c>
      <c r="AS38" s="3200" t="s">
        <v>13</v>
      </c>
    </row>
    <row r="39" spans="1:46" ht="13.5" customHeight="1">
      <c r="A39" s="3182"/>
      <c r="B39" s="3184"/>
      <c r="C39" s="3185">
        <v>2015</v>
      </c>
      <c r="D39" s="3186"/>
      <c r="E39" s="3186"/>
      <c r="F39" s="3186"/>
      <c r="G39" s="3187"/>
      <c r="H39" s="3185">
        <v>2020</v>
      </c>
      <c r="I39" s="3186"/>
      <c r="J39" s="3186"/>
      <c r="K39" s="3186"/>
      <c r="L39" s="3187"/>
      <c r="M39" s="3185">
        <v>2025</v>
      </c>
      <c r="N39" s="3186"/>
      <c r="O39" s="3186"/>
      <c r="P39" s="3186"/>
      <c r="Q39" s="3187"/>
      <c r="R39" s="3185">
        <v>2030</v>
      </c>
      <c r="S39" s="3186"/>
      <c r="T39" s="3186"/>
      <c r="U39" s="3186"/>
      <c r="V39" s="3187"/>
      <c r="W39" s="3185">
        <v>2035</v>
      </c>
      <c r="X39" s="3186"/>
      <c r="Y39" s="3186"/>
      <c r="Z39" s="3186"/>
      <c r="AA39" s="3187"/>
      <c r="AB39" s="3185">
        <v>2040</v>
      </c>
      <c r="AC39" s="3186"/>
      <c r="AD39" s="3186"/>
      <c r="AE39" s="3186"/>
      <c r="AF39" s="3187"/>
      <c r="AG39" s="3185">
        <v>2045</v>
      </c>
      <c r="AH39" s="3186"/>
      <c r="AI39" s="3186"/>
      <c r="AJ39" s="3186"/>
      <c r="AK39" s="3187"/>
      <c r="AL39" s="3193"/>
      <c r="AN39" s="3195"/>
      <c r="AO39" s="3197"/>
      <c r="AQ39" s="3199"/>
      <c r="AR39" s="3195"/>
      <c r="AS39" s="3201"/>
    </row>
    <row r="40" spans="1:46" s="2" customFormat="1">
      <c r="A40" s="295" t="s">
        <v>46</v>
      </c>
      <c r="B40" s="296" t="s">
        <v>17</v>
      </c>
      <c r="C40" s="336">
        <v>16468</v>
      </c>
      <c r="D40" s="337">
        <v>14932</v>
      </c>
      <c r="E40" s="343">
        <f t="shared" ref="E40" si="40">F40+G40</f>
        <v>14932</v>
      </c>
      <c r="F40" s="343">
        <f>'Table 4'!C37</f>
        <v>2491</v>
      </c>
      <c r="G40" s="349">
        <f>'Table 6'!C38</f>
        <v>12441</v>
      </c>
      <c r="H40" s="337">
        <v>16700</v>
      </c>
      <c r="I40" s="337">
        <f>H40-1658</f>
        <v>15042</v>
      </c>
      <c r="J40" s="343">
        <f>K40+L40</f>
        <v>15042</v>
      </c>
      <c r="K40" s="343">
        <f>'Table 4'!D37</f>
        <v>2952</v>
      </c>
      <c r="L40" s="349">
        <f>'Table 6'!D38</f>
        <v>12090</v>
      </c>
      <c r="M40" s="336">
        <v>16900</v>
      </c>
      <c r="N40" s="337">
        <f>M40-1658</f>
        <v>15242</v>
      </c>
      <c r="O40" s="343">
        <f t="shared" ref="O40" si="41">P40+Q40</f>
        <v>15242</v>
      </c>
      <c r="P40" s="343">
        <f>'Table 4'!E37</f>
        <v>3077</v>
      </c>
      <c r="Q40" s="723">
        <f>'Table 6'!E38</f>
        <v>12165</v>
      </c>
      <c r="R40" s="336">
        <v>17000</v>
      </c>
      <c r="S40" s="337">
        <f>R40-1658</f>
        <v>15342</v>
      </c>
      <c r="T40" s="343">
        <f t="shared" ref="T40" si="42">U40+V40</f>
        <v>15342</v>
      </c>
      <c r="U40" s="343">
        <f>'Table 4'!F37</f>
        <v>3141</v>
      </c>
      <c r="V40" s="723">
        <f>'Table 6'!F38</f>
        <v>12201</v>
      </c>
      <c r="W40" s="336">
        <v>17100</v>
      </c>
      <c r="X40" s="337">
        <f>W40-1658</f>
        <v>15442</v>
      </c>
      <c r="Y40" s="343">
        <f t="shared" ref="Y40" si="43">Z40+AA40</f>
        <v>15442</v>
      </c>
      <c r="Z40" s="343">
        <f>'Table 4'!G37</f>
        <v>3161</v>
      </c>
      <c r="AA40" s="723">
        <f>'Table 6'!G38</f>
        <v>12281</v>
      </c>
      <c r="AB40" s="336">
        <v>17100</v>
      </c>
      <c r="AC40" s="337">
        <f>AB40-1658</f>
        <v>15442</v>
      </c>
      <c r="AD40" s="343">
        <f t="shared" ref="AD40" si="44">AE40+AF40</f>
        <v>15442</v>
      </c>
      <c r="AE40" s="343">
        <f>'Table 4'!H37</f>
        <v>3161</v>
      </c>
      <c r="AF40" s="727">
        <f>'Table 6'!H38</f>
        <v>12281</v>
      </c>
      <c r="AG40" s="336">
        <v>17100</v>
      </c>
      <c r="AH40" s="337">
        <f>AG40-1658</f>
        <v>15442</v>
      </c>
      <c r="AI40" s="343">
        <f t="shared" ref="AI40" si="45">AJ40+AK40</f>
        <v>15442</v>
      </c>
      <c r="AJ40" s="343">
        <f>'Table 4'!I37</f>
        <v>3161</v>
      </c>
      <c r="AK40" s="727">
        <f>'Table 6'!I38</f>
        <v>12281</v>
      </c>
      <c r="AL40" s="201">
        <f t="shared" ref="AL40:AL46" si="46">(AI40-E40)/E40</f>
        <v>0.03</v>
      </c>
      <c r="AN40" s="201">
        <f t="shared" ref="AN40:AO46" si="47">(AJ40-F40)/F40</f>
        <v>0.27</v>
      </c>
      <c r="AO40" s="201">
        <f t="shared" si="47"/>
        <v>-0.01</v>
      </c>
      <c r="AP40" s="212"/>
      <c r="AQ40" s="1566">
        <f t="shared" ref="AQ40:AS46" si="48">AI40-E40</f>
        <v>510</v>
      </c>
      <c r="AR40" s="1559">
        <f t="shared" si="48"/>
        <v>670</v>
      </c>
      <c r="AS40" s="1554">
        <f t="shared" si="48"/>
        <v>-160</v>
      </c>
    </row>
    <row r="41" spans="1:46" s="2" customFormat="1">
      <c r="A41" s="364" t="s">
        <v>47</v>
      </c>
      <c r="B41" s="907" t="s">
        <v>17</v>
      </c>
      <c r="C41" s="889">
        <v>14519</v>
      </c>
      <c r="D41" s="892">
        <v>3557</v>
      </c>
      <c r="E41" s="1094">
        <f t="shared" ref="E41:E45" si="49">F41+G41</f>
        <v>3557</v>
      </c>
      <c r="F41" s="890">
        <f>'Table 4'!C38</f>
        <v>553</v>
      </c>
      <c r="G41" s="891">
        <f>'Table 6'!C39</f>
        <v>3004</v>
      </c>
      <c r="H41" s="889">
        <v>14800</v>
      </c>
      <c r="I41" s="892">
        <v>3621</v>
      </c>
      <c r="J41" s="890">
        <f>K41+L41</f>
        <v>3621</v>
      </c>
      <c r="K41" s="890">
        <f>'Table 4'!D38</f>
        <v>606</v>
      </c>
      <c r="L41" s="891">
        <f>'Table 6'!D39</f>
        <v>3015</v>
      </c>
      <c r="M41" s="889">
        <v>15100</v>
      </c>
      <c r="N41" s="892">
        <v>3701</v>
      </c>
      <c r="O41" s="890">
        <f t="shared" ref="O41:O45" si="50">P41+Q41</f>
        <v>3701</v>
      </c>
      <c r="P41" s="890">
        <f>'Table 4'!E38</f>
        <v>618</v>
      </c>
      <c r="Q41" s="893">
        <f>'Table 6'!E39</f>
        <v>3083</v>
      </c>
      <c r="R41" s="889">
        <v>15300</v>
      </c>
      <c r="S41" s="892">
        <v>3753</v>
      </c>
      <c r="T41" s="890">
        <f t="shared" ref="T41:T45" si="51">U41+V41</f>
        <v>3753</v>
      </c>
      <c r="U41" s="890">
        <f>'Table 4'!F38</f>
        <v>626</v>
      </c>
      <c r="V41" s="893">
        <f>'Table 6'!F39</f>
        <v>3127</v>
      </c>
      <c r="W41" s="889">
        <v>15400</v>
      </c>
      <c r="X41" s="892">
        <v>3780</v>
      </c>
      <c r="Y41" s="890">
        <f t="shared" ref="Y41:Y45" si="52">Z41+AA41</f>
        <v>3780</v>
      </c>
      <c r="Z41" s="890">
        <f>'Table 4'!G38</f>
        <v>629</v>
      </c>
      <c r="AA41" s="893">
        <f>'Table 6'!G39</f>
        <v>3151</v>
      </c>
      <c r="AB41" s="889">
        <v>15600</v>
      </c>
      <c r="AC41" s="892">
        <v>3833</v>
      </c>
      <c r="AD41" s="890">
        <f t="shared" ref="AD41:AD45" si="53">AE41+AF41</f>
        <v>3833</v>
      </c>
      <c r="AE41" s="890">
        <f>'Table 4'!H38</f>
        <v>639</v>
      </c>
      <c r="AF41" s="894">
        <f>'Table 6'!H39</f>
        <v>3194</v>
      </c>
      <c r="AG41" s="889">
        <v>15700</v>
      </c>
      <c r="AH41" s="892">
        <v>3859</v>
      </c>
      <c r="AI41" s="890">
        <f t="shared" ref="AI41:AI45" si="54">AJ41+AK41</f>
        <v>3859</v>
      </c>
      <c r="AJ41" s="890">
        <f>'Table 4'!I38</f>
        <v>644</v>
      </c>
      <c r="AK41" s="894">
        <f>'Table 6'!I39</f>
        <v>3215</v>
      </c>
      <c r="AL41" s="319">
        <f t="shared" si="46"/>
        <v>0.08</v>
      </c>
      <c r="AM41" s="1098"/>
      <c r="AN41" s="319">
        <f t="shared" si="47"/>
        <v>0.16</v>
      </c>
      <c r="AO41" s="319">
        <f t="shared" si="47"/>
        <v>7.0000000000000007E-2</v>
      </c>
      <c r="AP41" s="212"/>
      <c r="AQ41" s="1572">
        <f t="shared" si="48"/>
        <v>302</v>
      </c>
      <c r="AR41" s="1575">
        <f t="shared" si="48"/>
        <v>91</v>
      </c>
      <c r="AS41" s="1558">
        <f t="shared" si="48"/>
        <v>211</v>
      </c>
    </row>
    <row r="42" spans="1:46" s="2" customFormat="1">
      <c r="A42" s="364" t="s">
        <v>48</v>
      </c>
      <c r="B42" s="296" t="s">
        <v>17</v>
      </c>
      <c r="C42" s="336">
        <v>8664</v>
      </c>
      <c r="D42" s="337">
        <v>7017</v>
      </c>
      <c r="E42" s="1092">
        <f t="shared" si="49"/>
        <v>7017</v>
      </c>
      <c r="F42" s="343">
        <f>'Table 4'!C39</f>
        <v>1188</v>
      </c>
      <c r="G42" s="349">
        <f>'Table 6'!C40</f>
        <v>5829</v>
      </c>
      <c r="H42" s="336">
        <v>8700</v>
      </c>
      <c r="I42" s="337">
        <f>H42-1191</f>
        <v>7509</v>
      </c>
      <c r="J42" s="890">
        <f>K42+L42</f>
        <v>7509</v>
      </c>
      <c r="K42" s="343">
        <f>'Table 4'!D39</f>
        <v>1208</v>
      </c>
      <c r="L42" s="349">
        <f>'Table 6'!D40</f>
        <v>6301</v>
      </c>
      <c r="M42" s="336">
        <v>9100</v>
      </c>
      <c r="N42" s="337">
        <f>M42-1191</f>
        <v>7909</v>
      </c>
      <c r="O42" s="343">
        <f>P42+Q42</f>
        <v>7909</v>
      </c>
      <c r="P42" s="343">
        <f>'Table 4'!E39</f>
        <v>1208</v>
      </c>
      <c r="Q42" s="723">
        <f>'Table 6'!E40</f>
        <v>6701</v>
      </c>
      <c r="R42" s="336">
        <v>9400</v>
      </c>
      <c r="S42" s="337">
        <f>R42-1191</f>
        <v>8209</v>
      </c>
      <c r="T42" s="343">
        <f t="shared" si="51"/>
        <v>8209</v>
      </c>
      <c r="U42" s="343">
        <f>'Table 4'!F39</f>
        <v>1208</v>
      </c>
      <c r="V42" s="723">
        <f>'Table 6'!F40</f>
        <v>7001</v>
      </c>
      <c r="W42" s="336">
        <v>9700</v>
      </c>
      <c r="X42" s="337">
        <f>W42-1191</f>
        <v>8509</v>
      </c>
      <c r="Y42" s="343">
        <f t="shared" si="52"/>
        <v>8509</v>
      </c>
      <c r="Z42" s="343">
        <f>'Table 4'!G39</f>
        <v>1208</v>
      </c>
      <c r="AA42" s="723">
        <f>'Table 6'!G40</f>
        <v>7301</v>
      </c>
      <c r="AB42" s="336">
        <v>9900</v>
      </c>
      <c r="AC42" s="337">
        <f>AB42-1191</f>
        <v>8709</v>
      </c>
      <c r="AD42" s="343">
        <f t="shared" si="53"/>
        <v>8709</v>
      </c>
      <c r="AE42" s="343">
        <f>'Table 4'!H39</f>
        <v>1208</v>
      </c>
      <c r="AF42" s="727">
        <f>'Table 6'!H40</f>
        <v>7501</v>
      </c>
      <c r="AG42" s="336">
        <v>10100</v>
      </c>
      <c r="AH42" s="337">
        <f>AG42-1191</f>
        <v>8909</v>
      </c>
      <c r="AI42" s="343">
        <f t="shared" si="54"/>
        <v>8909</v>
      </c>
      <c r="AJ42" s="343">
        <f>'Table 4'!I39</f>
        <v>1214</v>
      </c>
      <c r="AK42" s="727">
        <f>'Table 6'!I40</f>
        <v>7695</v>
      </c>
      <c r="AL42" s="319">
        <f t="shared" si="46"/>
        <v>0.27</v>
      </c>
      <c r="AM42" s="1098"/>
      <c r="AN42" s="319">
        <f t="shared" si="47"/>
        <v>0.02</v>
      </c>
      <c r="AO42" s="319">
        <f t="shared" si="47"/>
        <v>0.32</v>
      </c>
      <c r="AP42" s="212" t="s">
        <v>36</v>
      </c>
      <c r="AQ42" s="1566">
        <f t="shared" si="48"/>
        <v>1892</v>
      </c>
      <c r="AR42" s="1559">
        <f t="shared" si="48"/>
        <v>26</v>
      </c>
      <c r="AS42" s="1554">
        <f t="shared" si="48"/>
        <v>1866</v>
      </c>
    </row>
    <row r="43" spans="1:46" s="67" customFormat="1">
      <c r="A43" s="295" t="s">
        <v>49</v>
      </c>
      <c r="B43" s="296" t="s">
        <v>17</v>
      </c>
      <c r="C43" s="336">
        <v>40448</v>
      </c>
      <c r="D43" s="337">
        <v>18287</v>
      </c>
      <c r="E43" s="1092">
        <f>F43+G43</f>
        <v>18287</v>
      </c>
      <c r="F43" s="343">
        <f>'Table 4'!C40</f>
        <v>5674</v>
      </c>
      <c r="G43" s="349">
        <f>'Table 6'!C41</f>
        <v>12613</v>
      </c>
      <c r="H43" s="337">
        <v>41600</v>
      </c>
      <c r="I43" s="337">
        <v>18581</v>
      </c>
      <c r="J43" s="343">
        <f>K43+L43</f>
        <v>18581</v>
      </c>
      <c r="K43" s="343">
        <f>'Table 4'!D40</f>
        <v>5931</v>
      </c>
      <c r="L43" s="723">
        <f>'Table 6'!D41</f>
        <v>12650</v>
      </c>
      <c r="M43" s="336">
        <v>42700</v>
      </c>
      <c r="N43" s="343">
        <v>19072</v>
      </c>
      <c r="O43" s="343">
        <f t="shared" si="50"/>
        <v>19072</v>
      </c>
      <c r="P43" s="343">
        <f>'Table 4'!E40</f>
        <v>6016</v>
      </c>
      <c r="Q43" s="723">
        <f>'Table 6'!E41</f>
        <v>13056</v>
      </c>
      <c r="R43" s="336">
        <v>43600</v>
      </c>
      <c r="S43" s="337">
        <v>19474</v>
      </c>
      <c r="T43" s="343">
        <f t="shared" si="51"/>
        <v>19474</v>
      </c>
      <c r="U43" s="343">
        <f>'Table 4'!F40</f>
        <v>6103</v>
      </c>
      <c r="V43" s="723">
        <f>'Table 6'!F41</f>
        <v>13371</v>
      </c>
      <c r="W43" s="336">
        <v>44300</v>
      </c>
      <c r="X43" s="337">
        <v>19787</v>
      </c>
      <c r="Y43" s="343">
        <f t="shared" si="52"/>
        <v>19787</v>
      </c>
      <c r="Z43" s="343">
        <f>'Table 4'!G40</f>
        <v>6146</v>
      </c>
      <c r="AA43" s="723">
        <f>'Table 6'!G41</f>
        <v>13641</v>
      </c>
      <c r="AB43" s="336">
        <v>44900</v>
      </c>
      <c r="AC43" s="337">
        <v>20055</v>
      </c>
      <c r="AD43" s="343">
        <f t="shared" si="53"/>
        <v>20055</v>
      </c>
      <c r="AE43" s="343">
        <f>'Table 4'!H40</f>
        <v>6200</v>
      </c>
      <c r="AF43" s="727">
        <f>'Table 6'!H41</f>
        <v>13855</v>
      </c>
      <c r="AG43" s="336">
        <v>45500</v>
      </c>
      <c r="AH43" s="337">
        <v>20323</v>
      </c>
      <c r="AI43" s="343">
        <f t="shared" si="54"/>
        <v>20323</v>
      </c>
      <c r="AJ43" s="343">
        <f>'Table 4'!I40</f>
        <v>6265</v>
      </c>
      <c r="AK43" s="727">
        <f>'Table 6'!I41</f>
        <v>14058</v>
      </c>
      <c r="AL43" s="201">
        <f t="shared" si="46"/>
        <v>0.11</v>
      </c>
      <c r="AM43" s="1099"/>
      <c r="AN43" s="201">
        <f t="shared" si="47"/>
        <v>0.1</v>
      </c>
      <c r="AO43" s="201">
        <f t="shared" si="47"/>
        <v>0.11</v>
      </c>
      <c r="AP43" s="212"/>
      <c r="AQ43" s="1566">
        <f t="shared" si="48"/>
        <v>2036</v>
      </c>
      <c r="AR43" s="1559">
        <f t="shared" si="48"/>
        <v>591</v>
      </c>
      <c r="AS43" s="1554">
        <f t="shared" si="48"/>
        <v>1445</v>
      </c>
      <c r="AT43" s="2"/>
    </row>
    <row r="44" spans="1:46" s="67" customFormat="1">
      <c r="A44" s="364" t="s">
        <v>50</v>
      </c>
      <c r="B44" s="907" t="s">
        <v>17</v>
      </c>
      <c r="C44" s="1093">
        <v>19200</v>
      </c>
      <c r="D44" s="1929">
        <v>17615</v>
      </c>
      <c r="E44" s="1094">
        <f t="shared" si="49"/>
        <v>17615</v>
      </c>
      <c r="F44" s="1094">
        <f>'Table 4'!C41</f>
        <v>5504</v>
      </c>
      <c r="G44" s="893">
        <f>'Table 6'!C42</f>
        <v>12111</v>
      </c>
      <c r="H44" s="1929">
        <v>19200</v>
      </c>
      <c r="I44" s="1929">
        <f>H44-1610</f>
        <v>17590</v>
      </c>
      <c r="J44" s="1094">
        <f t="shared" ref="J44" si="55">K44+L44</f>
        <v>17812</v>
      </c>
      <c r="K44" s="1094">
        <f>'Table 4'!D41</f>
        <v>5763</v>
      </c>
      <c r="L44" s="893">
        <f>'Table 6'!D42</f>
        <v>12049</v>
      </c>
      <c r="M44" s="1093">
        <v>19500</v>
      </c>
      <c r="N44" s="1929">
        <f>M44-1610</f>
        <v>17890</v>
      </c>
      <c r="O44" s="1094">
        <f t="shared" si="50"/>
        <v>18112</v>
      </c>
      <c r="P44" s="1094">
        <f>'Table 4'!E41</f>
        <v>5832</v>
      </c>
      <c r="Q44" s="893">
        <f>'Table 6'!E42</f>
        <v>12280</v>
      </c>
      <c r="R44" s="1093">
        <v>19700</v>
      </c>
      <c r="S44" s="1929">
        <f>R44-1610</f>
        <v>18090</v>
      </c>
      <c r="T44" s="1094">
        <f t="shared" si="51"/>
        <v>18312</v>
      </c>
      <c r="U44" s="1094">
        <f>'Table 4'!F41</f>
        <v>5886</v>
      </c>
      <c r="V44" s="893">
        <f>'Table 6'!F42</f>
        <v>12426</v>
      </c>
      <c r="W44" s="1093">
        <v>19800</v>
      </c>
      <c r="X44" s="1929">
        <f>W44-1610</f>
        <v>18190</v>
      </c>
      <c r="Y44" s="1094">
        <f t="shared" si="52"/>
        <v>18412</v>
      </c>
      <c r="Z44" s="1094">
        <f>'Table 4'!G41</f>
        <v>5907</v>
      </c>
      <c r="AA44" s="893">
        <f>'Table 6'!G42</f>
        <v>12505</v>
      </c>
      <c r="AB44" s="1093">
        <v>20000</v>
      </c>
      <c r="AC44" s="1929">
        <f>AB44-1610</f>
        <v>18390</v>
      </c>
      <c r="AD44" s="1094">
        <f t="shared" si="53"/>
        <v>18612</v>
      </c>
      <c r="AE44" s="1094">
        <f>'Table 4'!H41</f>
        <v>5958</v>
      </c>
      <c r="AF44" s="894">
        <f>'Table 6'!H42</f>
        <v>12654</v>
      </c>
      <c r="AG44" s="1093">
        <v>20100</v>
      </c>
      <c r="AH44" s="1929">
        <f>AG44-1610</f>
        <v>18490</v>
      </c>
      <c r="AI44" s="1094">
        <f t="shared" si="54"/>
        <v>18712</v>
      </c>
      <c r="AJ44" s="1094">
        <f>'Table 4'!I41</f>
        <v>6006</v>
      </c>
      <c r="AK44" s="894">
        <f>'Table 6'!I42</f>
        <v>12706</v>
      </c>
      <c r="AL44" s="1233">
        <f t="shared" si="46"/>
        <v>0.06</v>
      </c>
      <c r="AM44" s="1099"/>
      <c r="AN44" s="1233">
        <f t="shared" si="47"/>
        <v>0.09</v>
      </c>
      <c r="AO44" s="1233">
        <f t="shared" si="47"/>
        <v>0.05</v>
      </c>
      <c r="AP44" s="212"/>
      <c r="AQ44" s="1570">
        <f t="shared" si="48"/>
        <v>1097</v>
      </c>
      <c r="AR44" s="1563">
        <f t="shared" si="48"/>
        <v>502</v>
      </c>
      <c r="AS44" s="1558">
        <f t="shared" si="48"/>
        <v>595</v>
      </c>
      <c r="AT44" s="2"/>
    </row>
    <row r="45" spans="1:46" s="2" customFormat="1">
      <c r="A45" s="1037" t="s">
        <v>51</v>
      </c>
      <c r="B45" s="275" t="s">
        <v>17</v>
      </c>
      <c r="C45" s="1087">
        <v>22824</v>
      </c>
      <c r="D45" s="898">
        <v>19766</v>
      </c>
      <c r="E45" s="896">
        <f t="shared" si="49"/>
        <v>19766</v>
      </c>
      <c r="F45" s="896">
        <f>'Table 4'!C42</f>
        <v>11191</v>
      </c>
      <c r="G45" s="897">
        <f>'Table 6'!C43</f>
        <v>8575</v>
      </c>
      <c r="H45" s="898">
        <v>22600</v>
      </c>
      <c r="I45" s="898">
        <f>H45-2222</f>
        <v>20378</v>
      </c>
      <c r="J45" s="896">
        <f>K45+L45</f>
        <v>20378</v>
      </c>
      <c r="K45" s="896">
        <f>'Table 4'!D42</f>
        <v>11661</v>
      </c>
      <c r="L45" s="887">
        <f>'Table 6'!D43</f>
        <v>8717</v>
      </c>
      <c r="M45" s="1087">
        <v>23200</v>
      </c>
      <c r="N45" s="898">
        <f>M45-2222</f>
        <v>20978</v>
      </c>
      <c r="O45" s="896">
        <f t="shared" si="50"/>
        <v>20978</v>
      </c>
      <c r="P45" s="896">
        <f>'Table 4'!E42</f>
        <v>12269</v>
      </c>
      <c r="Q45" s="887">
        <f>'Table 6'!E43</f>
        <v>8709</v>
      </c>
      <c r="R45" s="1087">
        <v>23600</v>
      </c>
      <c r="S45" s="898">
        <f>R45-2222</f>
        <v>21378</v>
      </c>
      <c r="T45" s="896">
        <f t="shared" si="51"/>
        <v>21378</v>
      </c>
      <c r="U45" s="896">
        <f>'Table 4'!F42</f>
        <v>12696</v>
      </c>
      <c r="V45" s="887">
        <f>'Table 6'!F43</f>
        <v>8682</v>
      </c>
      <c r="W45" s="1087">
        <v>24000</v>
      </c>
      <c r="X45" s="898">
        <f>W45-2222</f>
        <v>21778</v>
      </c>
      <c r="Y45" s="896">
        <f t="shared" si="52"/>
        <v>21778</v>
      </c>
      <c r="Z45" s="896">
        <f>'Table 4'!G42</f>
        <v>13126</v>
      </c>
      <c r="AA45" s="887">
        <f>'Table 6'!G43</f>
        <v>8652</v>
      </c>
      <c r="AB45" s="1087">
        <v>24300</v>
      </c>
      <c r="AC45" s="898">
        <f>AB45-2222</f>
        <v>22078</v>
      </c>
      <c r="AD45" s="896">
        <f t="shared" si="53"/>
        <v>22078</v>
      </c>
      <c r="AE45" s="896">
        <f>'Table 4'!H42</f>
        <v>13465</v>
      </c>
      <c r="AF45" s="899">
        <f>'Table 6'!H43</f>
        <v>8613</v>
      </c>
      <c r="AG45" s="1087">
        <v>24700</v>
      </c>
      <c r="AH45" s="898">
        <f>AG45-2222</f>
        <v>22478</v>
      </c>
      <c r="AI45" s="896">
        <f t="shared" si="54"/>
        <v>22478</v>
      </c>
      <c r="AJ45" s="896">
        <f>'Table 4'!I42</f>
        <v>13831</v>
      </c>
      <c r="AK45" s="899">
        <f>'Table 6'!I43</f>
        <v>8647</v>
      </c>
      <c r="AL45" s="194">
        <f t="shared" si="46"/>
        <v>0.14000000000000001</v>
      </c>
      <c r="AN45" s="194">
        <f t="shared" si="47"/>
        <v>0.24</v>
      </c>
      <c r="AO45" s="194">
        <f t="shared" si="47"/>
        <v>0.01</v>
      </c>
      <c r="AP45" s="212"/>
      <c r="AQ45" s="1833">
        <f t="shared" si="48"/>
        <v>2712</v>
      </c>
      <c r="AR45" s="1834">
        <f t="shared" si="48"/>
        <v>2640</v>
      </c>
      <c r="AS45" s="1555">
        <f t="shared" si="48"/>
        <v>72</v>
      </c>
    </row>
    <row r="46" spans="1:46" ht="27.75" customHeight="1">
      <c r="A46" s="3179" t="s">
        <v>52</v>
      </c>
      <c r="B46" s="3180"/>
      <c r="C46" s="1573">
        <f>SUM(C40:C45)</f>
        <v>122123</v>
      </c>
      <c r="D46" s="1927">
        <f>SUM(D40:D45)</f>
        <v>81174</v>
      </c>
      <c r="E46" s="901">
        <f>SUM(E40:E45)</f>
        <v>81174</v>
      </c>
      <c r="F46" s="901">
        <f t="shared" ref="F46:AK46" si="56">SUM(F40:F45)</f>
        <v>26601</v>
      </c>
      <c r="G46" s="902">
        <f t="shared" si="56"/>
        <v>54573</v>
      </c>
      <c r="H46" s="903">
        <f>SUM(H40:H45)</f>
        <v>123600</v>
      </c>
      <c r="I46" s="901">
        <f>SUM(I40:I45)</f>
        <v>82721</v>
      </c>
      <c r="J46" s="901">
        <f t="shared" si="56"/>
        <v>82943</v>
      </c>
      <c r="K46" s="901">
        <f t="shared" si="56"/>
        <v>28121</v>
      </c>
      <c r="L46" s="904">
        <f t="shared" si="56"/>
        <v>54822</v>
      </c>
      <c r="M46" s="900">
        <f t="shared" si="56"/>
        <v>126500</v>
      </c>
      <c r="N46" s="901">
        <f t="shared" si="56"/>
        <v>84792</v>
      </c>
      <c r="O46" s="901">
        <f t="shared" si="56"/>
        <v>85014</v>
      </c>
      <c r="P46" s="901">
        <f t="shared" si="56"/>
        <v>29020</v>
      </c>
      <c r="Q46" s="904">
        <f t="shared" si="56"/>
        <v>55994</v>
      </c>
      <c r="R46" s="900">
        <f>SUM(R40:R45)</f>
        <v>128600</v>
      </c>
      <c r="S46" s="901">
        <f t="shared" si="56"/>
        <v>86246</v>
      </c>
      <c r="T46" s="901">
        <f t="shared" si="56"/>
        <v>86468</v>
      </c>
      <c r="U46" s="901">
        <f t="shared" si="56"/>
        <v>29660</v>
      </c>
      <c r="V46" s="904">
        <f t="shared" si="56"/>
        <v>56808</v>
      </c>
      <c r="W46" s="900">
        <f t="shared" si="56"/>
        <v>130300</v>
      </c>
      <c r="X46" s="901">
        <f t="shared" si="56"/>
        <v>87486</v>
      </c>
      <c r="Y46" s="901">
        <f t="shared" si="56"/>
        <v>87708</v>
      </c>
      <c r="Z46" s="901">
        <f t="shared" si="56"/>
        <v>30177</v>
      </c>
      <c r="AA46" s="904">
        <f t="shared" si="56"/>
        <v>57531</v>
      </c>
      <c r="AB46" s="900">
        <f t="shared" si="56"/>
        <v>131800</v>
      </c>
      <c r="AC46" s="901">
        <f t="shared" si="56"/>
        <v>88507</v>
      </c>
      <c r="AD46" s="901">
        <f t="shared" si="56"/>
        <v>88729</v>
      </c>
      <c r="AE46" s="901">
        <f t="shared" si="56"/>
        <v>30631</v>
      </c>
      <c r="AF46" s="905">
        <f t="shared" si="56"/>
        <v>58098</v>
      </c>
      <c r="AG46" s="900">
        <f t="shared" si="56"/>
        <v>133200</v>
      </c>
      <c r="AH46" s="901">
        <f t="shared" si="56"/>
        <v>89501</v>
      </c>
      <c r="AI46" s="901">
        <f t="shared" si="56"/>
        <v>89723</v>
      </c>
      <c r="AJ46" s="901">
        <f t="shared" si="56"/>
        <v>31121</v>
      </c>
      <c r="AK46" s="905">
        <f t="shared" si="56"/>
        <v>58602</v>
      </c>
      <c r="AL46" s="906">
        <f t="shared" si="46"/>
        <v>0.11</v>
      </c>
      <c r="AN46" s="906">
        <f t="shared" si="47"/>
        <v>0.17</v>
      </c>
      <c r="AO46" s="906">
        <f t="shared" si="47"/>
        <v>7.0000000000000007E-2</v>
      </c>
      <c r="AQ46" s="1573">
        <f t="shared" si="48"/>
        <v>8549</v>
      </c>
      <c r="AR46" s="1576">
        <f t="shared" si="48"/>
        <v>4520</v>
      </c>
      <c r="AS46" s="1574">
        <f t="shared" si="48"/>
        <v>4029</v>
      </c>
    </row>
    <row r="47" spans="1:46">
      <c r="A47" s="89" t="s">
        <v>35</v>
      </c>
      <c r="D47" s="212"/>
      <c r="F47" s="212" t="s">
        <v>36</v>
      </c>
      <c r="G47" s="212"/>
      <c r="U47" s="89"/>
      <c r="Z47" s="55"/>
      <c r="AA47" s="55"/>
      <c r="AB47" s="55"/>
      <c r="AC47" s="55"/>
      <c r="AD47" s="55"/>
      <c r="AE47" s="55"/>
    </row>
    <row r="48" spans="1:46">
      <c r="A48" s="1" t="s">
        <v>37</v>
      </c>
      <c r="I48" s="2" t="s">
        <v>36</v>
      </c>
    </row>
    <row r="49" spans="1:38">
      <c r="A49" s="174" t="s">
        <v>38</v>
      </c>
    </row>
    <row r="50" spans="1:38">
      <c r="A50" s="174" t="s">
        <v>39</v>
      </c>
      <c r="U50" s="174"/>
    </row>
    <row r="51" spans="1:38">
      <c r="A51" s="1" t="s">
        <v>40</v>
      </c>
    </row>
    <row r="52" spans="1:38" ht="24" customHeight="1">
      <c r="A52" s="3178" t="s">
        <v>41</v>
      </c>
      <c r="B52" s="3178"/>
      <c r="C52" s="3178"/>
      <c r="D52" s="3178"/>
      <c r="E52" s="3178"/>
      <c r="F52" s="3178"/>
      <c r="G52" s="3178"/>
      <c r="H52" s="3178"/>
      <c r="I52" s="3178"/>
      <c r="J52" s="3178"/>
      <c r="K52" s="3178"/>
      <c r="L52" s="3178"/>
      <c r="M52" s="3178"/>
      <c r="N52" s="3178"/>
      <c r="O52" s="3178"/>
      <c r="P52" s="3178"/>
      <c r="Q52" s="3178"/>
      <c r="R52" s="3178"/>
      <c r="S52" s="3178"/>
      <c r="T52" s="3178"/>
      <c r="U52" s="3178"/>
      <c r="V52" s="3178"/>
      <c r="W52" s="3178"/>
      <c r="X52" s="3178"/>
      <c r="Y52" s="3178"/>
      <c r="Z52" s="3178"/>
      <c r="AA52" s="3178"/>
      <c r="AB52" s="3178"/>
      <c r="AC52" s="3178"/>
      <c r="AD52" s="3178"/>
      <c r="AE52" s="3178"/>
      <c r="AF52" s="3178"/>
      <c r="AG52" s="3178"/>
      <c r="AH52" s="3178"/>
      <c r="AI52" s="3178"/>
      <c r="AJ52" s="3178"/>
      <c r="AK52" s="3178"/>
      <c r="AL52" s="3178"/>
    </row>
    <row r="53" spans="1:38">
      <c r="A53" s="1924" t="s">
        <v>42</v>
      </c>
      <c r="B53" s="3015"/>
      <c r="C53" s="3015"/>
      <c r="D53" s="3015"/>
      <c r="E53" s="3015"/>
      <c r="F53" s="3015"/>
      <c r="G53" s="3015"/>
      <c r="H53" s="3015"/>
      <c r="I53" s="3015"/>
      <c r="J53" s="3015"/>
      <c r="K53" s="3015"/>
      <c r="L53" s="3015"/>
      <c r="M53" s="3015"/>
      <c r="N53" s="3015"/>
      <c r="O53" s="3015"/>
      <c r="P53" s="3015"/>
      <c r="Q53" s="3015"/>
      <c r="R53" s="3015"/>
      <c r="S53" s="3015"/>
      <c r="T53" s="3015"/>
      <c r="U53" s="3015"/>
      <c r="V53" s="3015"/>
      <c r="W53" s="3015"/>
      <c r="X53" s="3015"/>
      <c r="Y53" s="3015"/>
      <c r="Z53" s="3015"/>
      <c r="AA53" s="3015"/>
      <c r="AB53" s="3015"/>
      <c r="AC53" s="3015"/>
      <c r="AD53" s="3015"/>
      <c r="AE53" s="3015"/>
      <c r="AF53" s="78"/>
    </row>
    <row r="54" spans="1:38">
      <c r="A54" s="1924" t="s">
        <v>43</v>
      </c>
      <c r="B54" s="3015"/>
      <c r="C54" s="3015"/>
      <c r="D54" s="3015"/>
      <c r="E54" s="3015"/>
      <c r="F54" s="3015"/>
      <c r="G54" s="3015"/>
      <c r="H54" s="3015"/>
      <c r="I54" s="3015"/>
      <c r="J54" s="3015"/>
      <c r="K54" s="3015"/>
      <c r="L54" s="3015"/>
      <c r="M54" s="3015"/>
      <c r="N54" s="3015"/>
      <c r="O54" s="3015"/>
      <c r="P54" s="3015"/>
      <c r="Q54" s="3015"/>
      <c r="R54" s="3015"/>
      <c r="S54" s="3015"/>
      <c r="T54" s="3015"/>
      <c r="U54" s="3015"/>
      <c r="V54" s="3015"/>
      <c r="W54" s="3015"/>
      <c r="X54" s="3015"/>
      <c r="Y54" s="3015"/>
      <c r="Z54" s="3015"/>
      <c r="AA54" s="3015"/>
      <c r="AB54" s="3015"/>
      <c r="AC54" s="3015"/>
      <c r="AD54" s="3015"/>
      <c r="AE54" s="3015"/>
      <c r="AF54" s="78"/>
    </row>
  </sheetData>
  <mergeCells count="36">
    <mergeCell ref="AR2:AR3"/>
    <mergeCell ref="AS2:AS3"/>
    <mergeCell ref="AQ38:AQ39"/>
    <mergeCell ref="AR38:AR39"/>
    <mergeCell ref="AS38:AS39"/>
    <mergeCell ref="AN2:AN3"/>
    <mergeCell ref="AO2:AO3"/>
    <mergeCell ref="AN38:AN39"/>
    <mergeCell ref="AO38:AO39"/>
    <mergeCell ref="AQ2:AQ3"/>
    <mergeCell ref="AL38:AL39"/>
    <mergeCell ref="AL2:AL3"/>
    <mergeCell ref="R3:V3"/>
    <mergeCell ref="R39:V39"/>
    <mergeCell ref="W3:AA3"/>
    <mergeCell ref="W39:AA39"/>
    <mergeCell ref="AB3:AF3"/>
    <mergeCell ref="AB39:AF39"/>
    <mergeCell ref="AG3:AK3"/>
    <mergeCell ref="AG39:AK39"/>
    <mergeCell ref="A52:AL52"/>
    <mergeCell ref="A46:B46"/>
    <mergeCell ref="A38:A39"/>
    <mergeCell ref="B38:B39"/>
    <mergeCell ref="C3:G3"/>
    <mergeCell ref="C39:G39"/>
    <mergeCell ref="B2:B3"/>
    <mergeCell ref="A26:B26"/>
    <mergeCell ref="A24:B24"/>
    <mergeCell ref="A25:B25"/>
    <mergeCell ref="A2:A3"/>
    <mergeCell ref="A32:AL32"/>
    <mergeCell ref="H3:L3"/>
    <mergeCell ref="H39:L39"/>
    <mergeCell ref="M3:Q3"/>
    <mergeCell ref="M39:Q39"/>
  </mergeCells>
  <pageMargins left="0.7" right="0.7" top="0.75" bottom="0.75" header="0.3" footer="0.3"/>
  <pageSetup paperSize="3" scale="45" fitToHeight="0"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20"/>
  <sheetViews>
    <sheetView tabSelected="1" zoomScale="90" zoomScaleNormal="90" workbookViewId="0">
      <pane xSplit="1" ySplit="2" topLeftCell="B63" activePane="bottomRight" state="frozen"/>
      <selection pane="bottomRight" activeCell="G73" sqref="G73:O73"/>
      <selection pane="bottomLeft" activeCell="A3" sqref="A3"/>
      <selection pane="topRight" activeCell="B1" sqref="B1"/>
    </sheetView>
  </sheetViews>
  <sheetFormatPr defaultColWidth="9.140625" defaultRowHeight="12.75"/>
  <cols>
    <col min="1" max="1" width="10.140625" style="1" bestFit="1" customWidth="1"/>
    <col min="2" max="2" width="36.85546875" style="1" customWidth="1"/>
    <col min="3" max="3" width="46.42578125" style="1" customWidth="1"/>
    <col min="4" max="4" width="51.5703125" style="1" customWidth="1"/>
    <col min="5" max="5" width="10.42578125" style="255" customWidth="1"/>
    <col min="6" max="10" width="9.140625" style="1"/>
    <col min="11" max="15" width="11" style="1" customWidth="1"/>
    <col min="16" max="16" width="10.85546875" style="1" customWidth="1"/>
    <col min="17" max="17" width="25.42578125" style="1" customWidth="1"/>
    <col min="18" max="16384" width="9.140625" style="1"/>
  </cols>
  <sheetData>
    <row r="1" spans="1:17" ht="25.5" customHeight="1" thickBot="1">
      <c r="A1" s="3402" t="s">
        <v>456</v>
      </c>
      <c r="B1" s="3402"/>
      <c r="C1" s="3402"/>
      <c r="D1" s="3402"/>
      <c r="E1" s="3402"/>
      <c r="F1" s="3402"/>
      <c r="G1" s="3402"/>
      <c r="H1" s="3402"/>
      <c r="I1" s="3402"/>
      <c r="J1" s="3402"/>
      <c r="K1" s="3402"/>
      <c r="L1" s="3402"/>
      <c r="M1" s="3402"/>
      <c r="N1" s="3402"/>
      <c r="O1" s="3402"/>
      <c r="P1" s="3402"/>
      <c r="Q1" s="3402"/>
    </row>
    <row r="2" spans="1:17" ht="26.25" thickBot="1">
      <c r="A2" s="2800" t="s">
        <v>272</v>
      </c>
      <c r="B2" s="994" t="s">
        <v>273</v>
      </c>
      <c r="C2" s="994" t="s">
        <v>86</v>
      </c>
      <c r="D2" s="2801" t="s">
        <v>274</v>
      </c>
      <c r="E2" s="2802" t="s">
        <v>85</v>
      </c>
      <c r="F2" s="2803" t="s">
        <v>457</v>
      </c>
      <c r="G2" s="2803" t="s">
        <v>458</v>
      </c>
      <c r="H2" s="2804" t="s">
        <v>459</v>
      </c>
      <c r="I2" s="2804" t="s">
        <v>460</v>
      </c>
      <c r="J2" s="2804" t="s">
        <v>461</v>
      </c>
      <c r="K2" s="2805" t="s">
        <v>462</v>
      </c>
      <c r="L2" s="2806" t="s">
        <v>463</v>
      </c>
      <c r="M2" s="2807" t="s">
        <v>464</v>
      </c>
      <c r="N2" s="2806" t="s">
        <v>465</v>
      </c>
      <c r="O2" s="3034" t="s">
        <v>466</v>
      </c>
      <c r="P2" s="2808" t="s">
        <v>467</v>
      </c>
      <c r="Q2" s="235" t="s">
        <v>277</v>
      </c>
    </row>
    <row r="3" spans="1:17">
      <c r="A3" s="2809">
        <v>216014</v>
      </c>
      <c r="B3" s="2810" t="s">
        <v>385</v>
      </c>
      <c r="C3" s="2810" t="s">
        <v>385</v>
      </c>
      <c r="D3" s="2811"/>
      <c r="E3" s="2812" t="s">
        <v>278</v>
      </c>
      <c r="F3" s="2813">
        <v>0.01</v>
      </c>
      <c r="G3" s="2814">
        <v>0.01</v>
      </c>
      <c r="H3" s="2501">
        <v>0.01</v>
      </c>
      <c r="I3" s="2815">
        <v>0.01</v>
      </c>
      <c r="J3" s="2816">
        <v>0.01</v>
      </c>
      <c r="K3" s="2339">
        <v>48</v>
      </c>
      <c r="L3" s="2817">
        <v>48</v>
      </c>
      <c r="M3" s="2817">
        <v>48</v>
      </c>
      <c r="N3" s="2818">
        <v>48</v>
      </c>
      <c r="O3" s="2819">
        <v>48</v>
      </c>
      <c r="P3" s="2820">
        <f t="shared" ref="P3:P4" si="0">(F3+G3+H3+I3+J3)/(K3+L3+M3+N3+O3)*1000000</f>
        <v>208</v>
      </c>
      <c r="Q3" s="2574"/>
    </row>
    <row r="4" spans="1:17">
      <c r="A4" s="2821">
        <v>219158</v>
      </c>
      <c r="B4" s="2822" t="s">
        <v>386</v>
      </c>
      <c r="C4" s="2822" t="s">
        <v>386</v>
      </c>
      <c r="D4" s="2823"/>
      <c r="E4" s="2824" t="s">
        <v>278</v>
      </c>
      <c r="F4" s="1004">
        <v>3.0000000000000001E-3</v>
      </c>
      <c r="G4" s="2825">
        <v>3.0000000000000001E-3</v>
      </c>
      <c r="H4" s="1005">
        <v>3.0000000000000001E-3</v>
      </c>
      <c r="I4" s="2826">
        <v>3.0000000000000001E-3</v>
      </c>
      <c r="J4" s="2827">
        <v>3.0000000000000001E-3</v>
      </c>
      <c r="K4" s="2468">
        <v>21</v>
      </c>
      <c r="L4" s="2828">
        <v>21</v>
      </c>
      <c r="M4" s="2828">
        <v>21</v>
      </c>
      <c r="N4" s="2829">
        <v>21</v>
      </c>
      <c r="O4" s="2729">
        <v>21</v>
      </c>
      <c r="P4" s="2054">
        <f t="shared" si="0"/>
        <v>143</v>
      </c>
      <c r="Q4" s="2830"/>
    </row>
    <row r="5" spans="1:17" ht="13.5" thickBot="1">
      <c r="A5" s="2831">
        <v>220503</v>
      </c>
      <c r="B5" s="2832" t="s">
        <v>468</v>
      </c>
      <c r="C5" s="2832" t="s">
        <v>468</v>
      </c>
      <c r="D5" s="2833" t="s">
        <v>469</v>
      </c>
      <c r="E5" s="2834" t="s">
        <v>278</v>
      </c>
      <c r="F5" s="2835">
        <v>8.9999999999999993E-3</v>
      </c>
      <c r="G5" s="2836">
        <v>0.01</v>
      </c>
      <c r="H5" s="2837">
        <v>8.9999999999999993E-3</v>
      </c>
      <c r="I5" s="2838">
        <v>0.01</v>
      </c>
      <c r="J5" s="2839">
        <v>0.01</v>
      </c>
      <c r="K5" s="2419">
        <v>192</v>
      </c>
      <c r="L5" s="2840">
        <v>196</v>
      </c>
      <c r="M5" s="2840">
        <v>200</v>
      </c>
      <c r="N5" s="2841">
        <v>200</v>
      </c>
      <c r="O5" s="2842">
        <v>200</v>
      </c>
      <c r="P5" s="2843">
        <f>(F5+G5+H5+I5+J5)/(K5+L5+M5+N5+O5)*1000000</f>
        <v>49</v>
      </c>
      <c r="Q5" s="2834"/>
    </row>
    <row r="6" spans="1:17" ht="14.25" thickTop="1" thickBot="1">
      <c r="A6" s="3369" t="s">
        <v>293</v>
      </c>
      <c r="B6" s="3405"/>
      <c r="C6" s="3405"/>
      <c r="D6" s="3405"/>
      <c r="E6" s="3370"/>
      <c r="F6" s="2844">
        <f>SUM(F3:F5)</f>
        <v>2.1999999999999999E-2</v>
      </c>
      <c r="G6" s="2845">
        <f t="shared" ref="G6:O6" si="1">SUM(G3:G5)</f>
        <v>2.3E-2</v>
      </c>
      <c r="H6" s="2845">
        <f t="shared" si="1"/>
        <v>2.1999999999999999E-2</v>
      </c>
      <c r="I6" s="2846">
        <f t="shared" si="1"/>
        <v>2.3E-2</v>
      </c>
      <c r="J6" s="2847">
        <f t="shared" si="1"/>
        <v>2.3E-2</v>
      </c>
      <c r="K6" s="1463">
        <f t="shared" si="1"/>
        <v>261</v>
      </c>
      <c r="L6" s="1171">
        <f t="shared" si="1"/>
        <v>265</v>
      </c>
      <c r="M6" s="1465">
        <f t="shared" si="1"/>
        <v>269</v>
      </c>
      <c r="N6" s="1171">
        <f t="shared" si="1"/>
        <v>269</v>
      </c>
      <c r="O6" s="1477">
        <f t="shared" si="1"/>
        <v>269</v>
      </c>
      <c r="P6" s="2848">
        <f t="shared" ref="P6:P39" si="2">(F6+G6+H6+I6+J6)/(K6+L6+M6+N6+O6)*1000000</f>
        <v>85</v>
      </c>
      <c r="Q6" s="2574"/>
    </row>
    <row r="7" spans="1:17">
      <c r="A7" s="2849">
        <v>216644</v>
      </c>
      <c r="B7" s="2850" t="s">
        <v>388</v>
      </c>
      <c r="C7" s="2850" t="s">
        <v>388</v>
      </c>
      <c r="D7" s="2851" t="s">
        <v>470</v>
      </c>
      <c r="E7" s="2812" t="s">
        <v>297</v>
      </c>
      <c r="F7" s="2501">
        <v>4.1000000000000002E-2</v>
      </c>
      <c r="G7" s="2814">
        <v>3.7999999999999999E-2</v>
      </c>
      <c r="H7" s="2501">
        <v>4.4999999999999998E-2</v>
      </c>
      <c r="I7" s="2815">
        <v>0.04</v>
      </c>
      <c r="J7" s="2814">
        <v>3.5999999999999997E-2</v>
      </c>
      <c r="K7" s="2339">
        <v>305</v>
      </c>
      <c r="L7" s="2817">
        <v>307</v>
      </c>
      <c r="M7" s="2817">
        <v>311</v>
      </c>
      <c r="N7" s="2818">
        <v>311</v>
      </c>
      <c r="O7" s="2852">
        <v>322</v>
      </c>
      <c r="P7" s="2820">
        <f t="shared" ref="P7:P8" si="3">(F7+G7+H7+I7+J7)/(K7+L7+M7+N7+O7)*1000000</f>
        <v>129</v>
      </c>
      <c r="Q7" s="2853"/>
    </row>
    <row r="8" spans="1:17">
      <c r="A8" s="2809">
        <v>217909</v>
      </c>
      <c r="B8" s="2810" t="s">
        <v>389</v>
      </c>
      <c r="C8" s="2810" t="s">
        <v>389</v>
      </c>
      <c r="D8" s="2854"/>
      <c r="E8" s="2855" t="s">
        <v>297</v>
      </c>
      <c r="F8" s="2856">
        <v>4.0000000000000001E-3</v>
      </c>
      <c r="G8" s="2857">
        <v>4.0000000000000001E-3</v>
      </c>
      <c r="H8" s="2856">
        <v>4.0000000000000001E-3</v>
      </c>
      <c r="I8" s="2858">
        <v>4.0000000000000001E-3</v>
      </c>
      <c r="J8" s="2857">
        <v>4.0000000000000001E-3</v>
      </c>
      <c r="K8" s="2859">
        <v>15</v>
      </c>
      <c r="L8" s="2860">
        <v>15</v>
      </c>
      <c r="M8" s="2860">
        <v>15</v>
      </c>
      <c r="N8" s="2861">
        <v>15</v>
      </c>
      <c r="O8" s="2862">
        <v>15</v>
      </c>
      <c r="P8" s="2843">
        <f t="shared" si="3"/>
        <v>267</v>
      </c>
      <c r="Q8" s="2574"/>
    </row>
    <row r="9" spans="1:17" ht="13.5" thickBot="1">
      <c r="A9" s="2863">
        <v>220481</v>
      </c>
      <c r="B9" s="2362" t="s">
        <v>390</v>
      </c>
      <c r="C9" s="2362" t="s">
        <v>390</v>
      </c>
      <c r="D9" s="2864" t="s">
        <v>471</v>
      </c>
      <c r="E9" s="2865" t="s">
        <v>297</v>
      </c>
      <c r="F9" s="867">
        <v>4.2000000000000003E-2</v>
      </c>
      <c r="G9" s="867">
        <v>4.5999999999999999E-2</v>
      </c>
      <c r="H9" s="867">
        <v>6.0999999999999999E-2</v>
      </c>
      <c r="I9" s="2866">
        <v>3.3000000000000002E-2</v>
      </c>
      <c r="J9" s="2867">
        <v>4.3999999999999997E-2</v>
      </c>
      <c r="K9" s="2361">
        <v>465</v>
      </c>
      <c r="L9" s="2868">
        <v>465</v>
      </c>
      <c r="M9" s="2868">
        <v>463</v>
      </c>
      <c r="N9" s="2869">
        <v>463</v>
      </c>
      <c r="O9" s="2870">
        <v>477</v>
      </c>
      <c r="P9" s="1010">
        <f t="shared" si="2"/>
        <v>97</v>
      </c>
      <c r="Q9" s="2871"/>
    </row>
    <row r="10" spans="1:17" ht="14.25" thickTop="1" thickBot="1">
      <c r="A10" s="3406" t="s">
        <v>119</v>
      </c>
      <c r="B10" s="3407"/>
      <c r="C10" s="3407"/>
      <c r="D10" s="3407"/>
      <c r="E10" s="3408"/>
      <c r="F10" s="2872">
        <f>SUM(F7:F9)</f>
        <v>8.6999999999999994E-2</v>
      </c>
      <c r="G10" s="2872">
        <f t="shared" ref="G10:O10" si="4">SUM(G7:G9)</f>
        <v>8.7999999999999995E-2</v>
      </c>
      <c r="H10" s="2872">
        <f t="shared" si="4"/>
        <v>0.11</v>
      </c>
      <c r="I10" s="2873">
        <f t="shared" si="4"/>
        <v>7.6999999999999999E-2</v>
      </c>
      <c r="J10" s="2874">
        <f t="shared" si="4"/>
        <v>8.4000000000000005E-2</v>
      </c>
      <c r="K10" s="2875">
        <f t="shared" si="4"/>
        <v>785</v>
      </c>
      <c r="L10" s="2876">
        <f t="shared" si="4"/>
        <v>787</v>
      </c>
      <c r="M10" s="2877">
        <f t="shared" si="4"/>
        <v>789</v>
      </c>
      <c r="N10" s="2876">
        <f t="shared" si="4"/>
        <v>789</v>
      </c>
      <c r="O10" s="2878">
        <f t="shared" si="4"/>
        <v>814</v>
      </c>
      <c r="P10" s="2879">
        <f t="shared" si="2"/>
        <v>113</v>
      </c>
      <c r="Q10" s="2285"/>
    </row>
    <row r="11" spans="1:17">
      <c r="A11" s="2749">
        <v>497</v>
      </c>
      <c r="B11" s="2880" t="s">
        <v>391</v>
      </c>
      <c r="C11" s="2880" t="s">
        <v>391</v>
      </c>
      <c r="D11" s="2881" t="s">
        <v>472</v>
      </c>
      <c r="E11" s="2882" t="s">
        <v>302</v>
      </c>
      <c r="F11" s="83">
        <v>4.2500000000000003E-2</v>
      </c>
      <c r="G11" s="2417">
        <v>4.5999999999999999E-2</v>
      </c>
      <c r="H11" s="83">
        <v>3.5999999999999997E-2</v>
      </c>
      <c r="I11" s="289">
        <v>3.5000000000000003E-2</v>
      </c>
      <c r="J11" s="2417">
        <v>2.7E-2</v>
      </c>
      <c r="K11" s="131">
        <v>202</v>
      </c>
      <c r="L11" s="2883">
        <v>202</v>
      </c>
      <c r="M11" s="2883">
        <v>202</v>
      </c>
      <c r="N11" s="130">
        <v>202</v>
      </c>
      <c r="O11" s="2884">
        <v>202</v>
      </c>
      <c r="P11" s="2047">
        <f t="shared" si="2"/>
        <v>185</v>
      </c>
      <c r="Q11" s="2885"/>
    </row>
    <row r="12" spans="1:17">
      <c r="A12" s="2679">
        <v>509</v>
      </c>
      <c r="B12" s="2346" t="s">
        <v>392</v>
      </c>
      <c r="C12" s="2346" t="s">
        <v>392</v>
      </c>
      <c r="D12" s="2886" t="s">
        <v>473</v>
      </c>
      <c r="E12" s="2824" t="s">
        <v>302</v>
      </c>
      <c r="F12" s="819">
        <v>3.4000000000000002E-2</v>
      </c>
      <c r="G12" s="2406">
        <v>2.7E-2</v>
      </c>
      <c r="H12" s="819">
        <v>2.9000000000000001E-2</v>
      </c>
      <c r="I12" s="817">
        <v>3.1E-2</v>
      </c>
      <c r="J12" s="2406">
        <v>2.7E-2</v>
      </c>
      <c r="K12" s="824">
        <v>495</v>
      </c>
      <c r="L12" s="807">
        <v>495</v>
      </c>
      <c r="M12" s="807">
        <v>495</v>
      </c>
      <c r="N12" s="814">
        <v>497</v>
      </c>
      <c r="O12" s="2442">
        <v>497</v>
      </c>
      <c r="P12" s="1953">
        <f t="shared" si="2"/>
        <v>60</v>
      </c>
      <c r="Q12" s="365"/>
    </row>
    <row r="13" spans="1:17" ht="13.5" thickBot="1">
      <c r="A13" s="2682">
        <v>527</v>
      </c>
      <c r="B13" s="2436" t="s">
        <v>393</v>
      </c>
      <c r="C13" s="2436" t="s">
        <v>393</v>
      </c>
      <c r="D13" s="2887" t="s">
        <v>474</v>
      </c>
      <c r="E13" s="2865" t="s">
        <v>302</v>
      </c>
      <c r="F13" s="746">
        <v>8.2000000000000003E-2</v>
      </c>
      <c r="G13" s="2407">
        <v>7.3999999999999996E-2</v>
      </c>
      <c r="H13" s="746">
        <v>8.7999999999999995E-2</v>
      </c>
      <c r="I13" s="869">
        <v>9.5000000000000001E-2</v>
      </c>
      <c r="J13" s="2407">
        <v>0.09</v>
      </c>
      <c r="K13" s="2408">
        <v>1000</v>
      </c>
      <c r="L13" s="2034">
        <v>1000</v>
      </c>
      <c r="M13" s="2034">
        <v>1000</v>
      </c>
      <c r="N13" s="2033">
        <v>1000</v>
      </c>
      <c r="O13" s="2409">
        <v>1000</v>
      </c>
      <c r="P13" s="2031">
        <f t="shared" si="2"/>
        <v>86</v>
      </c>
      <c r="Q13" s="133"/>
    </row>
    <row r="14" spans="1:17" ht="14.25" thickTop="1" thickBot="1">
      <c r="A14" s="3406" t="s">
        <v>475</v>
      </c>
      <c r="B14" s="3407"/>
      <c r="C14" s="3407"/>
      <c r="D14" s="3407"/>
      <c r="E14" s="3408"/>
      <c r="F14" s="2389">
        <f t="shared" ref="F14:N14" si="5">SUM(F11:F13)</f>
        <v>0.159</v>
      </c>
      <c r="G14" s="2389">
        <f t="shared" si="5"/>
        <v>0.14699999999999999</v>
      </c>
      <c r="H14" s="2369">
        <f t="shared" si="5"/>
        <v>0.153</v>
      </c>
      <c r="I14" s="2370">
        <f t="shared" si="5"/>
        <v>0.161</v>
      </c>
      <c r="J14" s="2410">
        <f>SUM(J11:J13)</f>
        <v>0.14399999999999999</v>
      </c>
      <c r="K14" s="2411">
        <f t="shared" si="5"/>
        <v>1697</v>
      </c>
      <c r="L14" s="1980">
        <f t="shared" si="5"/>
        <v>1697</v>
      </c>
      <c r="M14" s="1981">
        <f t="shared" si="5"/>
        <v>1697</v>
      </c>
      <c r="N14" s="1980">
        <f t="shared" si="5"/>
        <v>1699</v>
      </c>
      <c r="O14" s="2412">
        <f>SUM(O11:O13)</f>
        <v>1699</v>
      </c>
      <c r="P14" s="1978">
        <f t="shared" si="2"/>
        <v>90</v>
      </c>
      <c r="Q14" s="2888"/>
    </row>
    <row r="15" spans="1:17">
      <c r="A15" s="2684">
        <v>216402</v>
      </c>
      <c r="B15" s="2889" t="s">
        <v>394</v>
      </c>
      <c r="C15" s="2354" t="s">
        <v>394</v>
      </c>
      <c r="D15" s="3040"/>
      <c r="E15" s="2890" t="s">
        <v>22</v>
      </c>
      <c r="F15" s="2891">
        <v>8.0000000000000002E-3</v>
      </c>
      <c r="G15" s="24">
        <v>8.0000000000000002E-3</v>
      </c>
      <c r="H15" s="2892">
        <v>8.0000000000000002E-3</v>
      </c>
      <c r="I15" s="24">
        <v>8.0000000000000002E-3</v>
      </c>
      <c r="J15" s="2893">
        <v>8.0000000000000002E-3</v>
      </c>
      <c r="K15" s="2602">
        <v>52</v>
      </c>
      <c r="L15" s="2894">
        <v>52</v>
      </c>
      <c r="M15" s="2894">
        <v>52</v>
      </c>
      <c r="N15" s="2603">
        <v>52</v>
      </c>
      <c r="O15" s="2604">
        <v>52</v>
      </c>
      <c r="P15" s="2601">
        <f t="shared" si="2"/>
        <v>154</v>
      </c>
      <c r="Q15" s="134"/>
    </row>
    <row r="16" spans="1:17">
      <c r="A16" s="2679">
        <v>216937</v>
      </c>
      <c r="B16" s="2708" t="s">
        <v>395</v>
      </c>
      <c r="C16" s="2346" t="s">
        <v>395</v>
      </c>
      <c r="D16" s="2895"/>
      <c r="E16" s="2824" t="s">
        <v>22</v>
      </c>
      <c r="F16" s="2489">
        <v>7.0000000000000001E-3</v>
      </c>
      <c r="G16" s="2349">
        <v>7.0000000000000001E-3</v>
      </c>
      <c r="H16" s="2348">
        <v>7.0000000000000001E-3</v>
      </c>
      <c r="I16" s="2349">
        <v>7.0000000000000001E-3</v>
      </c>
      <c r="J16" s="2434">
        <v>7.0000000000000001E-3</v>
      </c>
      <c r="K16" s="824">
        <v>48</v>
      </c>
      <c r="L16" s="807">
        <v>48</v>
      </c>
      <c r="M16" s="807">
        <v>48</v>
      </c>
      <c r="N16" s="814">
        <v>48</v>
      </c>
      <c r="O16" s="2442">
        <v>48</v>
      </c>
      <c r="P16" s="1953">
        <f t="shared" si="2"/>
        <v>146</v>
      </c>
      <c r="Q16" s="365"/>
    </row>
    <row r="17" spans="1:17">
      <c r="A17" s="2679">
        <v>217171</v>
      </c>
      <c r="B17" s="2708" t="s">
        <v>396</v>
      </c>
      <c r="C17" s="2346" t="s">
        <v>396</v>
      </c>
      <c r="D17" s="2895"/>
      <c r="E17" s="2824" t="s">
        <v>22</v>
      </c>
      <c r="F17" s="2489">
        <v>0.02</v>
      </c>
      <c r="G17" s="2349">
        <v>0.02</v>
      </c>
      <c r="H17" s="2348">
        <v>0.02</v>
      </c>
      <c r="I17" s="2349">
        <v>0.02</v>
      </c>
      <c r="J17" s="2434">
        <v>0.02</v>
      </c>
      <c r="K17" s="824">
        <v>136</v>
      </c>
      <c r="L17" s="807">
        <v>136</v>
      </c>
      <c r="M17" s="807">
        <v>136</v>
      </c>
      <c r="N17" s="814">
        <v>136</v>
      </c>
      <c r="O17" s="2442">
        <v>136</v>
      </c>
      <c r="P17" s="1953">
        <f t="shared" si="2"/>
        <v>147</v>
      </c>
      <c r="Q17" s="365"/>
    </row>
    <row r="18" spans="1:17">
      <c r="A18" s="2821">
        <v>218347</v>
      </c>
      <c r="B18" s="2896" t="s">
        <v>397</v>
      </c>
      <c r="C18" s="2896" t="s">
        <v>397</v>
      </c>
      <c r="D18" s="2897" t="s">
        <v>476</v>
      </c>
      <c r="E18" s="2824" t="s">
        <v>22</v>
      </c>
      <c r="F18" s="2489">
        <v>8.6999999999999994E-2</v>
      </c>
      <c r="G18" s="2349">
        <v>0.10100000000000001</v>
      </c>
      <c r="H18" s="2348">
        <v>8.5999999999999993E-2</v>
      </c>
      <c r="I18" s="2349">
        <v>6.0999999999999999E-2</v>
      </c>
      <c r="J18" s="2434">
        <v>6.2E-2</v>
      </c>
      <c r="K18" s="824">
        <v>494</v>
      </c>
      <c r="L18" s="807">
        <v>490</v>
      </c>
      <c r="M18" s="807">
        <v>488</v>
      </c>
      <c r="N18" s="814">
        <v>490</v>
      </c>
      <c r="O18" s="2442">
        <v>506</v>
      </c>
      <c r="P18" s="391">
        <f t="shared" si="2"/>
        <v>161</v>
      </c>
      <c r="Q18" s="365"/>
    </row>
    <row r="19" spans="1:17">
      <c r="A19" s="2679">
        <v>218667</v>
      </c>
      <c r="B19" s="2708" t="s">
        <v>398</v>
      </c>
      <c r="C19" s="2346" t="s">
        <v>398</v>
      </c>
      <c r="D19" s="2895"/>
      <c r="E19" s="2824" t="s">
        <v>22</v>
      </c>
      <c r="F19" s="2489">
        <v>2E-3</v>
      </c>
      <c r="G19" s="2349">
        <v>2E-3</v>
      </c>
      <c r="H19" s="2348">
        <v>2E-3</v>
      </c>
      <c r="I19" s="2349">
        <v>2E-3</v>
      </c>
      <c r="J19" s="2434">
        <v>2E-3</v>
      </c>
      <c r="K19" s="824">
        <v>12</v>
      </c>
      <c r="L19" s="807">
        <v>12</v>
      </c>
      <c r="M19" s="807">
        <v>12</v>
      </c>
      <c r="N19" s="814">
        <v>12</v>
      </c>
      <c r="O19" s="2442">
        <v>12</v>
      </c>
      <c r="P19" s="391">
        <f t="shared" si="2"/>
        <v>167</v>
      </c>
      <c r="Q19" s="365"/>
    </row>
    <row r="20" spans="1:17">
      <c r="A20" s="2886">
        <v>219114</v>
      </c>
      <c r="B20" s="2346" t="s">
        <v>399</v>
      </c>
      <c r="C20" s="2346" t="s">
        <v>399</v>
      </c>
      <c r="D20" s="2895"/>
      <c r="E20" s="2824" t="s">
        <v>22</v>
      </c>
      <c r="F20" s="2489">
        <v>1.4E-2</v>
      </c>
      <c r="G20" s="2349">
        <v>1.2999999999999999E-2</v>
      </c>
      <c r="H20" s="2348">
        <v>1.4999999999999999E-2</v>
      </c>
      <c r="I20" s="2349">
        <v>1.7000000000000001E-2</v>
      </c>
      <c r="J20" s="2434">
        <v>1.4999999999999999E-2</v>
      </c>
      <c r="K20" s="1959">
        <v>250</v>
      </c>
      <c r="L20" s="807">
        <v>250</v>
      </c>
      <c r="M20" s="814">
        <v>250</v>
      </c>
      <c r="N20" s="814">
        <v>250</v>
      </c>
      <c r="O20" s="1954">
        <v>250</v>
      </c>
      <c r="P20" s="391">
        <f t="shared" si="2"/>
        <v>59</v>
      </c>
      <c r="Q20" s="365"/>
    </row>
    <row r="21" spans="1:17">
      <c r="A21" s="2708">
        <v>219122</v>
      </c>
      <c r="B21" s="2708" t="s">
        <v>400</v>
      </c>
      <c r="C21" s="2708" t="s">
        <v>400</v>
      </c>
      <c r="D21" s="2895"/>
      <c r="E21" s="2824" t="s">
        <v>22</v>
      </c>
      <c r="F21" s="2489">
        <v>8.0000000000000002E-3</v>
      </c>
      <c r="G21" s="2349">
        <v>1.2999999999999999E-2</v>
      </c>
      <c r="H21" s="2348">
        <v>1.0999999999999999E-2</v>
      </c>
      <c r="I21" s="2349">
        <v>1.4E-2</v>
      </c>
      <c r="J21" s="2434">
        <v>1.4E-2</v>
      </c>
      <c r="K21" s="824">
        <v>300</v>
      </c>
      <c r="L21" s="814">
        <v>300</v>
      </c>
      <c r="M21" s="2476">
        <v>300</v>
      </c>
      <c r="N21" s="814">
        <v>300</v>
      </c>
      <c r="O21" s="2476">
        <v>300</v>
      </c>
      <c r="P21" s="391">
        <f t="shared" si="2"/>
        <v>40</v>
      </c>
      <c r="Q21" s="365"/>
    </row>
    <row r="22" spans="1:17">
      <c r="A22" s="2679">
        <v>219126</v>
      </c>
      <c r="B22" s="2708" t="s">
        <v>401</v>
      </c>
      <c r="C22" s="2346" t="s">
        <v>401</v>
      </c>
      <c r="D22" s="2895"/>
      <c r="E22" s="2824" t="s">
        <v>22</v>
      </c>
      <c r="F22" s="2489">
        <v>1.4E-2</v>
      </c>
      <c r="G22" s="2349">
        <v>1.4E-2</v>
      </c>
      <c r="H22" s="2348">
        <v>1.4E-2</v>
      </c>
      <c r="I22" s="2349">
        <v>1.4E-2</v>
      </c>
      <c r="J22" s="2434">
        <v>1.4E-2</v>
      </c>
      <c r="K22" s="824">
        <v>96</v>
      </c>
      <c r="L22" s="807">
        <v>96</v>
      </c>
      <c r="M22" s="807">
        <v>96</v>
      </c>
      <c r="N22" s="814">
        <v>96</v>
      </c>
      <c r="O22" s="2442">
        <v>96</v>
      </c>
      <c r="P22" s="391">
        <f t="shared" si="2"/>
        <v>146</v>
      </c>
      <c r="Q22" s="365"/>
    </row>
    <row r="23" spans="1:17">
      <c r="A23" s="2679">
        <v>219141</v>
      </c>
      <c r="B23" s="2708" t="s">
        <v>402</v>
      </c>
      <c r="C23" s="2346" t="s">
        <v>402</v>
      </c>
      <c r="D23" s="2895"/>
      <c r="E23" s="2824" t="s">
        <v>22</v>
      </c>
      <c r="F23" s="2489">
        <v>3.0000000000000001E-3</v>
      </c>
      <c r="G23" s="2349">
        <v>3.0000000000000001E-3</v>
      </c>
      <c r="H23" s="2348">
        <v>3.0000000000000001E-3</v>
      </c>
      <c r="I23" s="2349">
        <v>3.0000000000000001E-3</v>
      </c>
      <c r="J23" s="2434">
        <v>3.0000000000000001E-3</v>
      </c>
      <c r="K23" s="824">
        <v>22</v>
      </c>
      <c r="L23" s="807">
        <v>22</v>
      </c>
      <c r="M23" s="807">
        <v>22</v>
      </c>
      <c r="N23" s="814">
        <v>22</v>
      </c>
      <c r="O23" s="2442">
        <v>22</v>
      </c>
      <c r="P23" s="391">
        <f t="shared" si="2"/>
        <v>136</v>
      </c>
      <c r="Q23" s="365"/>
    </row>
    <row r="24" spans="1:17" ht="25.5">
      <c r="A24" s="2679">
        <v>219146</v>
      </c>
      <c r="B24" s="2707" t="s">
        <v>477</v>
      </c>
      <c r="C24" s="2898" t="s">
        <v>477</v>
      </c>
      <c r="D24" s="2895"/>
      <c r="E24" s="2824" t="s">
        <v>22</v>
      </c>
      <c r="F24" s="2489">
        <v>6.0000000000000001E-3</v>
      </c>
      <c r="G24" s="2349">
        <v>6.0000000000000001E-3</v>
      </c>
      <c r="H24" s="2348">
        <v>6.0000000000000001E-3</v>
      </c>
      <c r="I24" s="2349">
        <v>6.0000000000000001E-3</v>
      </c>
      <c r="J24" s="2434">
        <v>6.0000000000000001E-3</v>
      </c>
      <c r="K24" s="824">
        <v>40</v>
      </c>
      <c r="L24" s="807">
        <v>40</v>
      </c>
      <c r="M24" s="807">
        <v>40</v>
      </c>
      <c r="N24" s="814">
        <v>40</v>
      </c>
      <c r="O24" s="2442">
        <v>40</v>
      </c>
      <c r="P24" s="391">
        <f t="shared" si="2"/>
        <v>150</v>
      </c>
      <c r="Q24" s="365"/>
    </row>
    <row r="25" spans="1:17">
      <c r="A25" s="2679">
        <v>219152</v>
      </c>
      <c r="B25" s="2708" t="s">
        <v>404</v>
      </c>
      <c r="C25" s="2346" t="s">
        <v>404</v>
      </c>
      <c r="D25" s="2895"/>
      <c r="E25" s="2824" t="s">
        <v>22</v>
      </c>
      <c r="F25" s="2489">
        <v>0.01</v>
      </c>
      <c r="G25" s="2349">
        <v>0.01</v>
      </c>
      <c r="H25" s="2348">
        <v>0.01</v>
      </c>
      <c r="I25" s="2349">
        <v>0.01</v>
      </c>
      <c r="J25" s="2434">
        <v>0.01</v>
      </c>
      <c r="K25" s="824">
        <v>66</v>
      </c>
      <c r="L25" s="807">
        <v>66</v>
      </c>
      <c r="M25" s="807">
        <v>66</v>
      </c>
      <c r="N25" s="814">
        <v>66</v>
      </c>
      <c r="O25" s="2442">
        <v>66</v>
      </c>
      <c r="P25" s="391">
        <f t="shared" si="2"/>
        <v>152</v>
      </c>
      <c r="Q25" s="365"/>
    </row>
    <row r="26" spans="1:17">
      <c r="A26" s="2346">
        <v>219195</v>
      </c>
      <c r="B26" s="2679" t="s">
        <v>405</v>
      </c>
      <c r="C26" s="2708" t="s">
        <v>405</v>
      </c>
      <c r="D26" s="2895"/>
      <c r="E26" s="2824" t="s">
        <v>22</v>
      </c>
      <c r="F26" s="2489">
        <v>4.0000000000000001E-3</v>
      </c>
      <c r="G26" s="2349">
        <v>4.0000000000000001E-3</v>
      </c>
      <c r="H26" s="2348">
        <v>4.0000000000000001E-3</v>
      </c>
      <c r="I26" s="2349">
        <v>4.0000000000000001E-3</v>
      </c>
      <c r="J26" s="2434">
        <v>4.0000000000000001E-3</v>
      </c>
      <c r="K26" s="824">
        <v>310</v>
      </c>
      <c r="L26" s="807">
        <v>310</v>
      </c>
      <c r="M26" s="807">
        <v>310</v>
      </c>
      <c r="N26" s="807">
        <v>310</v>
      </c>
      <c r="O26" s="807">
        <v>310</v>
      </c>
      <c r="P26" s="391">
        <f t="shared" si="2"/>
        <v>13</v>
      </c>
      <c r="Q26" s="365"/>
    </row>
    <row r="27" spans="1:17">
      <c r="A27" s="2679">
        <v>219755</v>
      </c>
      <c r="B27" s="2708" t="s">
        <v>406</v>
      </c>
      <c r="C27" s="2346" t="s">
        <v>406</v>
      </c>
      <c r="D27" s="2895"/>
      <c r="E27" s="2824" t="s">
        <v>22</v>
      </c>
      <c r="F27" s="2489">
        <v>6.0000000000000001E-3</v>
      </c>
      <c r="G27" s="2349">
        <v>6.0000000000000001E-3</v>
      </c>
      <c r="H27" s="2348">
        <v>6.0000000000000001E-3</v>
      </c>
      <c r="I27" s="2349">
        <v>6.0000000000000001E-3</v>
      </c>
      <c r="J27" s="2434">
        <v>6.0000000000000001E-3</v>
      </c>
      <c r="K27" s="824">
        <v>20</v>
      </c>
      <c r="L27" s="807">
        <v>20</v>
      </c>
      <c r="M27" s="807">
        <v>20</v>
      </c>
      <c r="N27" s="814">
        <v>20</v>
      </c>
      <c r="O27" s="2442">
        <v>20</v>
      </c>
      <c r="P27" s="391">
        <f t="shared" si="2"/>
        <v>300</v>
      </c>
      <c r="Q27" s="365"/>
    </row>
    <row r="28" spans="1:17">
      <c r="A28" s="2679">
        <v>219757</v>
      </c>
      <c r="B28" s="2708" t="s">
        <v>407</v>
      </c>
      <c r="C28" s="2346" t="s">
        <v>407</v>
      </c>
      <c r="D28" s="2895"/>
      <c r="E28" s="2824" t="s">
        <v>22</v>
      </c>
      <c r="F28" s="2489">
        <v>4.0000000000000001E-3</v>
      </c>
      <c r="G28" s="2349">
        <v>4.0000000000000001E-3</v>
      </c>
      <c r="H28" s="2348">
        <v>4.0000000000000001E-3</v>
      </c>
      <c r="I28" s="2349">
        <v>4.0000000000000001E-3</v>
      </c>
      <c r="J28" s="2434">
        <v>4.0000000000000001E-3</v>
      </c>
      <c r="K28" s="824">
        <v>30</v>
      </c>
      <c r="L28" s="807">
        <v>30</v>
      </c>
      <c r="M28" s="807">
        <v>30</v>
      </c>
      <c r="N28" s="814">
        <v>30</v>
      </c>
      <c r="O28" s="2442">
        <v>30</v>
      </c>
      <c r="P28" s="391">
        <f t="shared" si="2"/>
        <v>133</v>
      </c>
      <c r="Q28" s="365"/>
    </row>
    <row r="29" spans="1:17">
      <c r="A29" s="2679">
        <v>219905</v>
      </c>
      <c r="B29" s="2708" t="s">
        <v>408</v>
      </c>
      <c r="C29" s="2346" t="s">
        <v>408</v>
      </c>
      <c r="D29" s="2895"/>
      <c r="E29" s="2824" t="s">
        <v>22</v>
      </c>
      <c r="F29" s="2489">
        <v>2E-3</v>
      </c>
      <c r="G29" s="2349">
        <v>2E-3</v>
      </c>
      <c r="H29" s="2348">
        <v>2E-3</v>
      </c>
      <c r="I29" s="2349">
        <v>2E-3</v>
      </c>
      <c r="J29" s="2434">
        <v>2E-3</v>
      </c>
      <c r="K29" s="824">
        <v>16</v>
      </c>
      <c r="L29" s="807">
        <v>16</v>
      </c>
      <c r="M29" s="807">
        <v>16</v>
      </c>
      <c r="N29" s="814">
        <v>16</v>
      </c>
      <c r="O29" s="2442">
        <v>16</v>
      </c>
      <c r="P29" s="391">
        <f t="shared" si="2"/>
        <v>125</v>
      </c>
      <c r="Q29" s="365"/>
    </row>
    <row r="30" spans="1:17">
      <c r="A30" s="2679">
        <v>220164</v>
      </c>
      <c r="B30" s="2708" t="s">
        <v>409</v>
      </c>
      <c r="C30" s="2346" t="s">
        <v>409</v>
      </c>
      <c r="D30" s="2895"/>
      <c r="E30" s="2824" t="s">
        <v>22</v>
      </c>
      <c r="F30" s="2489">
        <v>2E-3</v>
      </c>
      <c r="G30" s="2349">
        <v>2E-3</v>
      </c>
      <c r="H30" s="2348">
        <v>2E-3</v>
      </c>
      <c r="I30" s="2349">
        <v>2E-3</v>
      </c>
      <c r="J30" s="2434">
        <v>2E-3</v>
      </c>
      <c r="K30" s="824">
        <v>16</v>
      </c>
      <c r="L30" s="807">
        <v>16</v>
      </c>
      <c r="M30" s="807">
        <v>16</v>
      </c>
      <c r="N30" s="814">
        <v>16</v>
      </c>
      <c r="O30" s="2442">
        <v>16</v>
      </c>
      <c r="P30" s="391">
        <f t="shared" si="2"/>
        <v>125</v>
      </c>
      <c r="Q30" s="365"/>
    </row>
    <row r="31" spans="1:17">
      <c r="A31" s="3055">
        <v>220582</v>
      </c>
      <c r="B31" s="3056" t="s">
        <v>410</v>
      </c>
      <c r="C31" s="2346" t="s">
        <v>410</v>
      </c>
      <c r="D31" s="3057"/>
      <c r="E31" s="2824" t="s">
        <v>22</v>
      </c>
      <c r="F31" s="3058">
        <v>3.9E-2</v>
      </c>
      <c r="G31" s="3011">
        <v>0.04</v>
      </c>
      <c r="H31" s="3012">
        <v>3.9E-2</v>
      </c>
      <c r="I31" s="3011">
        <v>4.2999999999999997E-2</v>
      </c>
      <c r="J31" s="3013">
        <v>0.08</v>
      </c>
      <c r="K31" s="2560">
        <v>348</v>
      </c>
      <c r="L31" s="2018">
        <v>348</v>
      </c>
      <c r="M31" s="2018">
        <v>348</v>
      </c>
      <c r="N31" s="2017">
        <v>348</v>
      </c>
      <c r="O31" s="2561">
        <v>348</v>
      </c>
      <c r="P31" s="391">
        <f t="shared" si="2"/>
        <v>139</v>
      </c>
      <c r="Q31" s="357"/>
    </row>
    <row r="32" spans="1:17" ht="13.5" thickBot="1">
      <c r="A32" s="2988">
        <v>220689</v>
      </c>
      <c r="B32" s="1873" t="s">
        <v>411</v>
      </c>
      <c r="C32" s="2436" t="s">
        <v>411</v>
      </c>
      <c r="D32" s="3002"/>
      <c r="E32" s="2865" t="s">
        <v>22</v>
      </c>
      <c r="F32" s="2365">
        <v>0</v>
      </c>
      <c r="G32" s="2364">
        <v>0</v>
      </c>
      <c r="H32" s="2364">
        <v>7.0000000000000001E-3</v>
      </c>
      <c r="I32" s="2365">
        <v>4.0000000000000001E-3</v>
      </c>
      <c r="J32" s="2438">
        <v>1.2999999999999999E-2</v>
      </c>
      <c r="K32" s="2408">
        <v>60</v>
      </c>
      <c r="L32" s="2034">
        <v>60</v>
      </c>
      <c r="M32" s="2034">
        <v>60</v>
      </c>
      <c r="N32" s="2033">
        <v>60</v>
      </c>
      <c r="O32" s="2409">
        <v>60</v>
      </c>
      <c r="P32" s="1010">
        <f t="shared" si="2"/>
        <v>80</v>
      </c>
      <c r="Q32" s="133"/>
    </row>
    <row r="33" spans="1:17" ht="14.25" thickTop="1" thickBot="1">
      <c r="A33" s="3409" t="s">
        <v>478</v>
      </c>
      <c r="B33" s="3410"/>
      <c r="C33" s="3410"/>
      <c r="D33" s="3410"/>
      <c r="E33" s="3411"/>
      <c r="F33" s="2998">
        <f t="shared" ref="F33:O33" si="6">SUM(F$15:F$32)</f>
        <v>0.23599999999999999</v>
      </c>
      <c r="G33" s="2998">
        <f t="shared" si="6"/>
        <v>0.255</v>
      </c>
      <c r="H33" s="2998">
        <f t="shared" si="6"/>
        <v>0.246</v>
      </c>
      <c r="I33" s="2998">
        <f t="shared" si="6"/>
        <v>0.22700000000000001</v>
      </c>
      <c r="J33" s="2999">
        <f t="shared" si="6"/>
        <v>0.27200000000000002</v>
      </c>
      <c r="K33" s="2993">
        <f t="shared" si="6"/>
        <v>2316</v>
      </c>
      <c r="L33" s="3000">
        <f t="shared" si="6"/>
        <v>2312</v>
      </c>
      <c r="M33" s="3000">
        <f t="shared" si="6"/>
        <v>2310</v>
      </c>
      <c r="N33" s="3000">
        <f t="shared" si="6"/>
        <v>2312</v>
      </c>
      <c r="O33" s="3000">
        <f t="shared" si="6"/>
        <v>2328</v>
      </c>
      <c r="P33" s="3001">
        <f t="shared" si="2"/>
        <v>107</v>
      </c>
      <c r="Q33" s="2959"/>
    </row>
    <row r="34" spans="1:17" ht="13.5" thickBot="1">
      <c r="A34" s="2899">
        <v>1979</v>
      </c>
      <c r="B34" s="1388" t="s">
        <v>412</v>
      </c>
      <c r="C34" s="1388" t="s">
        <v>412</v>
      </c>
      <c r="D34" s="2900" t="s">
        <v>479</v>
      </c>
      <c r="E34" s="2901" t="s">
        <v>309</v>
      </c>
      <c r="F34" s="86">
        <v>0.01</v>
      </c>
      <c r="G34" s="2485">
        <v>0.01</v>
      </c>
      <c r="H34" s="86">
        <v>1.2E-2</v>
      </c>
      <c r="I34" s="2484">
        <v>0.01</v>
      </c>
      <c r="J34" s="2485">
        <v>0.01</v>
      </c>
      <c r="K34" s="2902">
        <v>380</v>
      </c>
      <c r="L34" s="1996">
        <v>380</v>
      </c>
      <c r="M34" s="1996">
        <v>380</v>
      </c>
      <c r="N34" s="1995">
        <v>380</v>
      </c>
      <c r="O34" s="2903">
        <v>380</v>
      </c>
      <c r="P34" s="1989">
        <f t="shared" si="2"/>
        <v>27</v>
      </c>
      <c r="Q34" s="2904"/>
    </row>
    <row r="35" spans="1:17" ht="14.25" thickTop="1" thickBot="1">
      <c r="A35" s="3369" t="s">
        <v>480</v>
      </c>
      <c r="B35" s="3405"/>
      <c r="C35" s="3405"/>
      <c r="D35" s="3405"/>
      <c r="E35" s="3370"/>
      <c r="F35" s="2332">
        <f t="shared" ref="F35:N35" si="7">SUM(F34)</f>
        <v>0.01</v>
      </c>
      <c r="G35" s="2332">
        <f t="shared" si="7"/>
        <v>0.01</v>
      </c>
      <c r="H35" s="2333">
        <f t="shared" si="7"/>
        <v>1.2E-2</v>
      </c>
      <c r="I35" s="2414">
        <f t="shared" si="7"/>
        <v>0.01</v>
      </c>
      <c r="J35" s="2415">
        <f>J34</f>
        <v>0.01</v>
      </c>
      <c r="K35" s="2544">
        <f t="shared" si="7"/>
        <v>380</v>
      </c>
      <c r="L35" s="2179">
        <f t="shared" si="7"/>
        <v>380</v>
      </c>
      <c r="M35" s="2180">
        <f t="shared" si="7"/>
        <v>380</v>
      </c>
      <c r="N35" s="2179">
        <f t="shared" si="7"/>
        <v>380</v>
      </c>
      <c r="O35" s="2545">
        <f>O34</f>
        <v>380</v>
      </c>
      <c r="P35" s="2601">
        <f t="shared" si="2"/>
        <v>27</v>
      </c>
      <c r="Q35" s="134"/>
    </row>
    <row r="36" spans="1:17">
      <c r="A36" s="131">
        <v>215891</v>
      </c>
      <c r="B36" s="130" t="s">
        <v>481</v>
      </c>
      <c r="C36" s="130" t="s">
        <v>481</v>
      </c>
      <c r="D36" s="2905"/>
      <c r="E36" s="2812" t="s">
        <v>26</v>
      </c>
      <c r="F36" s="2493">
        <v>0.01</v>
      </c>
      <c r="G36" s="2386">
        <v>0.01</v>
      </c>
      <c r="H36" s="82">
        <v>0.01</v>
      </c>
      <c r="I36" s="2386">
        <v>7.0000000000000001E-3</v>
      </c>
      <c r="J36" s="2431">
        <v>3.0000000000000001E-3</v>
      </c>
      <c r="K36" s="2444">
        <v>60</v>
      </c>
      <c r="L36" s="2169">
        <v>60</v>
      </c>
      <c r="M36" s="2169">
        <v>60</v>
      </c>
      <c r="N36" s="2168">
        <v>60</v>
      </c>
      <c r="O36" s="2445">
        <v>60</v>
      </c>
      <c r="P36" s="2820">
        <f t="shared" si="2"/>
        <v>133</v>
      </c>
      <c r="Q36" s="2885"/>
    </row>
    <row r="37" spans="1:17" ht="25.5">
      <c r="A37" s="2679">
        <v>219148</v>
      </c>
      <c r="B37" s="2898" t="s">
        <v>482</v>
      </c>
      <c r="C37" s="2898" t="s">
        <v>482</v>
      </c>
      <c r="D37" s="2895"/>
      <c r="E37" s="2824" t="s">
        <v>26</v>
      </c>
      <c r="F37" s="2489">
        <v>3.0000000000000001E-3</v>
      </c>
      <c r="G37" s="2489">
        <v>3.0000000000000001E-3</v>
      </c>
      <c r="H37" s="2489">
        <v>3.0000000000000001E-3</v>
      </c>
      <c r="I37" s="2489">
        <v>3.0000000000000001E-3</v>
      </c>
      <c r="J37" s="2489">
        <v>3.0000000000000001E-3</v>
      </c>
      <c r="K37" s="824">
        <v>21</v>
      </c>
      <c r="L37" s="807">
        <v>21</v>
      </c>
      <c r="M37" s="807">
        <v>21</v>
      </c>
      <c r="N37" s="814">
        <v>21</v>
      </c>
      <c r="O37" s="2442">
        <v>21</v>
      </c>
      <c r="P37" s="391">
        <f t="shared" si="2"/>
        <v>143</v>
      </c>
      <c r="Q37" s="365"/>
    </row>
    <row r="38" spans="1:17" ht="13.5" thickBot="1">
      <c r="A38" s="2682">
        <v>221284</v>
      </c>
      <c r="B38" s="2436" t="s">
        <v>415</v>
      </c>
      <c r="C38" s="2436" t="s">
        <v>415</v>
      </c>
      <c r="D38" s="1009"/>
      <c r="E38" s="2865" t="s">
        <v>26</v>
      </c>
      <c r="F38" s="2492">
        <v>7.3999999999999996E-2</v>
      </c>
      <c r="G38" s="2365">
        <v>6.7000000000000004E-2</v>
      </c>
      <c r="H38" s="2364">
        <v>4.7E-2</v>
      </c>
      <c r="I38" s="2365">
        <v>5.1999999999999998E-2</v>
      </c>
      <c r="J38" s="2438">
        <v>0.06</v>
      </c>
      <c r="K38" s="2408">
        <v>350</v>
      </c>
      <c r="L38" s="2034">
        <v>350</v>
      </c>
      <c r="M38" s="2034">
        <v>350</v>
      </c>
      <c r="N38" s="2033">
        <v>350</v>
      </c>
      <c r="O38" s="2409">
        <v>350</v>
      </c>
      <c r="P38" s="1010">
        <f t="shared" si="2"/>
        <v>171</v>
      </c>
      <c r="Q38" s="133"/>
    </row>
    <row r="39" spans="1:17" ht="14.25" thickTop="1" thickBot="1">
      <c r="A39" s="3406" t="s">
        <v>483</v>
      </c>
      <c r="B39" s="3407"/>
      <c r="C39" s="3407"/>
      <c r="D39" s="3407"/>
      <c r="E39" s="3408"/>
      <c r="F39" s="2389">
        <f>SUM(F36:F38)</f>
        <v>8.6999999999999994E-2</v>
      </c>
      <c r="G39" s="2389">
        <f t="shared" ref="G39:O39" si="8">SUM(G36:G38)</f>
        <v>0.08</v>
      </c>
      <c r="H39" s="2410">
        <f t="shared" si="8"/>
        <v>0.06</v>
      </c>
      <c r="I39" s="2370">
        <f t="shared" si="8"/>
        <v>6.2E-2</v>
      </c>
      <c r="J39" s="2410">
        <f t="shared" si="8"/>
        <v>6.6000000000000003E-2</v>
      </c>
      <c r="K39" s="2411">
        <f t="shared" si="8"/>
        <v>431</v>
      </c>
      <c r="L39" s="1980">
        <f t="shared" si="8"/>
        <v>431</v>
      </c>
      <c r="M39" s="1981">
        <f t="shared" si="8"/>
        <v>431</v>
      </c>
      <c r="N39" s="1980">
        <f t="shared" si="8"/>
        <v>431</v>
      </c>
      <c r="O39" s="2412">
        <f t="shared" si="8"/>
        <v>431</v>
      </c>
      <c r="P39" s="2906">
        <f t="shared" si="2"/>
        <v>165</v>
      </c>
      <c r="Q39" s="2888"/>
    </row>
    <row r="40" spans="1:17">
      <c r="A40" s="2907">
        <v>925</v>
      </c>
      <c r="B40" s="750" t="s">
        <v>416</v>
      </c>
      <c r="C40" s="750" t="s">
        <v>416</v>
      </c>
      <c r="D40" s="2908" t="s">
        <v>484</v>
      </c>
      <c r="E40" s="2400" t="s">
        <v>322</v>
      </c>
      <c r="F40" s="3061">
        <v>8.9999999999999993E-3</v>
      </c>
      <c r="G40" s="83">
        <v>8.9999999999999993E-3</v>
      </c>
      <c r="H40" s="2417">
        <v>8.9999999999999993E-3</v>
      </c>
      <c r="I40" s="2417">
        <v>8.9999999999999993E-3</v>
      </c>
      <c r="J40" s="2417">
        <v>8.9999999999999993E-3</v>
      </c>
      <c r="K40" s="2444">
        <v>114</v>
      </c>
      <c r="L40" s="2168">
        <v>114</v>
      </c>
      <c r="M40" s="2169">
        <v>114</v>
      </c>
      <c r="N40" s="2168">
        <v>114</v>
      </c>
      <c r="O40" s="2445">
        <v>116</v>
      </c>
      <c r="P40" s="2377">
        <f t="shared" ref="P40:P42" si="9">(F40+G40+H40+I40+J40)/(K40+L40+M40+N40+O40)*1000000</f>
        <v>79</v>
      </c>
      <c r="Q40" s="2885"/>
    </row>
    <row r="41" spans="1:17" ht="13.5" thickBot="1">
      <c r="A41" s="1167">
        <v>945</v>
      </c>
      <c r="B41" s="3062" t="s">
        <v>417</v>
      </c>
      <c r="C41" s="3065" t="s">
        <v>417</v>
      </c>
      <c r="D41" s="3066"/>
      <c r="E41" s="2421" t="s">
        <v>322</v>
      </c>
      <c r="F41" s="3063">
        <v>6.0000000000000001E-3</v>
      </c>
      <c r="G41" s="990">
        <v>3.0000000000000001E-3</v>
      </c>
      <c r="H41" s="992">
        <v>1.7999999999999999E-2</v>
      </c>
      <c r="I41" s="2506">
        <v>1.7000000000000001E-2</v>
      </c>
      <c r="J41" s="2506">
        <v>6.0000000000000001E-3</v>
      </c>
      <c r="K41" s="2930">
        <v>0</v>
      </c>
      <c r="L41" s="1965">
        <v>0</v>
      </c>
      <c r="M41" s="1966">
        <v>0</v>
      </c>
      <c r="N41" s="1964">
        <v>0</v>
      </c>
      <c r="O41" s="3064">
        <v>0</v>
      </c>
      <c r="P41" s="2954" t="s">
        <v>16</v>
      </c>
      <c r="Q41" s="1040"/>
    </row>
    <row r="42" spans="1:17" ht="14.25" thickTop="1" thickBot="1">
      <c r="A42" s="3202" t="s">
        <v>485</v>
      </c>
      <c r="B42" s="3401"/>
      <c r="C42" s="3401"/>
      <c r="D42" s="3401"/>
      <c r="E42" s="3203"/>
      <c r="F42" s="84">
        <f>SUM(F40:F41)</f>
        <v>1.4999999999999999E-2</v>
      </c>
      <c r="G42" s="84">
        <f t="shared" ref="G42:J42" si="10">SUM(G40:G41)</f>
        <v>1.2E-2</v>
      </c>
      <c r="H42" s="84">
        <f t="shared" si="10"/>
        <v>2.7E-2</v>
      </c>
      <c r="I42" s="84">
        <f t="shared" si="10"/>
        <v>2.5999999999999999E-2</v>
      </c>
      <c r="J42" s="84">
        <f t="shared" si="10"/>
        <v>1.4999999999999999E-2</v>
      </c>
      <c r="K42" s="2411">
        <f>SUM(K40:K41)</f>
        <v>114</v>
      </c>
      <c r="L42" s="2411">
        <f t="shared" ref="L42:O42" si="11">SUM(L40:L41)</f>
        <v>114</v>
      </c>
      <c r="M42" s="2411">
        <f t="shared" si="11"/>
        <v>114</v>
      </c>
      <c r="N42" s="2411">
        <f t="shared" si="11"/>
        <v>114</v>
      </c>
      <c r="O42" s="1986">
        <f t="shared" si="11"/>
        <v>116</v>
      </c>
      <c r="P42" s="2382">
        <f t="shared" si="9"/>
        <v>166</v>
      </c>
      <c r="Q42" s="2888"/>
    </row>
    <row r="43" spans="1:17">
      <c r="A43" s="2907">
        <v>7982</v>
      </c>
      <c r="B43" s="750" t="s">
        <v>486</v>
      </c>
      <c r="C43" s="750" t="s">
        <v>486</v>
      </c>
      <c r="D43" s="2908" t="s">
        <v>487</v>
      </c>
      <c r="E43" s="2400" t="s">
        <v>326</v>
      </c>
      <c r="F43" s="87">
        <v>0.01</v>
      </c>
      <c r="G43" s="2417">
        <v>0.01</v>
      </c>
      <c r="H43" s="83">
        <v>0.01</v>
      </c>
      <c r="I43" s="289">
        <v>0.01</v>
      </c>
      <c r="J43" s="2417">
        <v>0.01</v>
      </c>
      <c r="K43" s="2444">
        <v>219</v>
      </c>
      <c r="L43" s="2169">
        <v>219</v>
      </c>
      <c r="M43" s="2168">
        <v>219</v>
      </c>
      <c r="N43" s="2167">
        <v>219</v>
      </c>
      <c r="O43" s="2445">
        <v>219</v>
      </c>
      <c r="P43" s="2377">
        <f t="shared" ref="P43:P49" si="12">(F43+G43+H43+I43+J43)/(K43+L43+M43+N43+O43)*1000000</f>
        <v>46</v>
      </c>
      <c r="Q43" s="2885"/>
    </row>
    <row r="44" spans="1:17">
      <c r="A44" s="2203">
        <v>7986</v>
      </c>
      <c r="B44" s="810" t="s">
        <v>486</v>
      </c>
      <c r="C44" s="810" t="s">
        <v>486</v>
      </c>
      <c r="D44" s="2909" t="s">
        <v>488</v>
      </c>
      <c r="E44" s="2403" t="s">
        <v>326</v>
      </c>
      <c r="F44" s="2441">
        <v>0.03</v>
      </c>
      <c r="G44" s="2406">
        <v>0.03</v>
      </c>
      <c r="H44" s="819">
        <v>3.1E-2</v>
      </c>
      <c r="I44" s="817">
        <v>3.2000000000000001E-2</v>
      </c>
      <c r="J44" s="2406">
        <v>3.3000000000000002E-2</v>
      </c>
      <c r="K44" s="824">
        <v>622</v>
      </c>
      <c r="L44" s="807">
        <v>622</v>
      </c>
      <c r="M44" s="814">
        <v>622</v>
      </c>
      <c r="N44" s="1954">
        <v>622</v>
      </c>
      <c r="O44" s="2442">
        <v>622</v>
      </c>
      <c r="P44" s="2476">
        <f t="shared" si="12"/>
        <v>50</v>
      </c>
      <c r="Q44" s="365"/>
    </row>
    <row r="45" spans="1:17">
      <c r="A45" s="2203">
        <v>8071</v>
      </c>
      <c r="B45" s="810" t="s">
        <v>489</v>
      </c>
      <c r="C45" s="810" t="s">
        <v>420</v>
      </c>
      <c r="D45" s="2909"/>
      <c r="E45" s="2403" t="s">
        <v>326</v>
      </c>
      <c r="F45" s="2441">
        <v>8.9999999999999993E-3</v>
      </c>
      <c r="G45" s="819">
        <v>8.9999999999999993E-3</v>
      </c>
      <c r="H45" s="819">
        <v>0.01</v>
      </c>
      <c r="I45" s="817">
        <v>1.4E-2</v>
      </c>
      <c r="J45" s="2406">
        <v>1.2999999999999999E-2</v>
      </c>
      <c r="K45" s="824">
        <v>45</v>
      </c>
      <c r="L45" s="807">
        <v>45</v>
      </c>
      <c r="M45" s="814">
        <v>45</v>
      </c>
      <c r="N45" s="1954">
        <v>45</v>
      </c>
      <c r="O45" s="2442">
        <v>45</v>
      </c>
      <c r="P45" s="2476">
        <f t="shared" si="12"/>
        <v>244</v>
      </c>
      <c r="Q45" s="365"/>
    </row>
    <row r="46" spans="1:17">
      <c r="A46" s="2203">
        <v>8072</v>
      </c>
      <c r="B46" s="810" t="s">
        <v>490</v>
      </c>
      <c r="C46" s="810" t="s">
        <v>490</v>
      </c>
      <c r="D46" s="2909" t="s">
        <v>491</v>
      </c>
      <c r="E46" s="2403" t="s">
        <v>326</v>
      </c>
      <c r="F46" s="2441">
        <v>2.7E-2</v>
      </c>
      <c r="G46" s="819">
        <v>2.7E-2</v>
      </c>
      <c r="H46" s="819">
        <v>0.03</v>
      </c>
      <c r="I46" s="817">
        <v>0.03</v>
      </c>
      <c r="J46" s="2406">
        <v>0.03</v>
      </c>
      <c r="K46" s="824">
        <v>450</v>
      </c>
      <c r="L46" s="807">
        <v>450</v>
      </c>
      <c r="M46" s="814">
        <v>450</v>
      </c>
      <c r="N46" s="1954">
        <v>450</v>
      </c>
      <c r="O46" s="2442">
        <v>453</v>
      </c>
      <c r="P46" s="2476">
        <f t="shared" si="12"/>
        <v>64</v>
      </c>
      <c r="Q46" s="365"/>
    </row>
    <row r="47" spans="1:17">
      <c r="A47" s="2203">
        <v>8124</v>
      </c>
      <c r="B47" s="810" t="s">
        <v>422</v>
      </c>
      <c r="C47" s="810" t="s">
        <v>422</v>
      </c>
      <c r="D47" s="2909" t="s">
        <v>492</v>
      </c>
      <c r="E47" s="2403" t="s">
        <v>326</v>
      </c>
      <c r="F47" s="2441">
        <v>0.01</v>
      </c>
      <c r="G47" s="819">
        <v>0.01</v>
      </c>
      <c r="H47" s="819">
        <v>0.01</v>
      </c>
      <c r="I47" s="817">
        <v>0.01</v>
      </c>
      <c r="J47" s="2406">
        <v>0.01</v>
      </c>
      <c r="K47" s="824">
        <v>138</v>
      </c>
      <c r="L47" s="814">
        <v>138</v>
      </c>
      <c r="M47" s="814">
        <v>138</v>
      </c>
      <c r="N47" s="1954">
        <v>138</v>
      </c>
      <c r="O47" s="2442">
        <v>138</v>
      </c>
      <c r="P47" s="2476">
        <f t="shared" si="12"/>
        <v>72</v>
      </c>
      <c r="Q47" s="365"/>
    </row>
    <row r="48" spans="1:17">
      <c r="A48" s="2203">
        <v>8127</v>
      </c>
      <c r="B48" s="810" t="s">
        <v>486</v>
      </c>
      <c r="C48" s="810" t="s">
        <v>486</v>
      </c>
      <c r="D48" s="2909" t="s">
        <v>493</v>
      </c>
      <c r="E48" s="2403" t="s">
        <v>326</v>
      </c>
      <c r="F48" s="2441">
        <v>0.01</v>
      </c>
      <c r="G48" s="819">
        <v>1.0999999999999999E-2</v>
      </c>
      <c r="H48" s="819">
        <v>8.9999999999999993E-3</v>
      </c>
      <c r="I48" s="817">
        <v>1.2E-2</v>
      </c>
      <c r="J48" s="2406">
        <v>1.0999999999999999E-2</v>
      </c>
      <c r="K48" s="824">
        <v>218</v>
      </c>
      <c r="L48" s="814">
        <v>218</v>
      </c>
      <c r="M48" s="814">
        <v>218</v>
      </c>
      <c r="N48" s="1954">
        <v>218</v>
      </c>
      <c r="O48" s="2442">
        <v>218</v>
      </c>
      <c r="P48" s="2476">
        <f t="shared" si="12"/>
        <v>49</v>
      </c>
      <c r="Q48" s="365"/>
    </row>
    <row r="49" spans="1:17" ht="25.5">
      <c r="A49" s="2203">
        <v>90227</v>
      </c>
      <c r="B49" s="810" t="s">
        <v>423</v>
      </c>
      <c r="C49" s="810" t="s">
        <v>423</v>
      </c>
      <c r="D49" s="2323" t="s">
        <v>494</v>
      </c>
      <c r="E49" s="2910" t="s">
        <v>326</v>
      </c>
      <c r="F49" s="2441">
        <v>2.1999999999999999E-2</v>
      </c>
      <c r="G49" s="819">
        <v>2.1999999999999999E-2</v>
      </c>
      <c r="H49" s="819">
        <v>2.1999999999999999E-2</v>
      </c>
      <c r="I49" s="817">
        <v>2.3E-2</v>
      </c>
      <c r="J49" s="2406">
        <v>2.7E-2</v>
      </c>
      <c r="K49" s="824">
        <v>365</v>
      </c>
      <c r="L49" s="814">
        <v>365</v>
      </c>
      <c r="M49" s="814">
        <v>365</v>
      </c>
      <c r="N49" s="1954">
        <v>367</v>
      </c>
      <c r="O49" s="2442">
        <v>369</v>
      </c>
      <c r="P49" s="2476">
        <f t="shared" si="12"/>
        <v>63</v>
      </c>
      <c r="Q49" s="365"/>
    </row>
    <row r="50" spans="1:17" ht="63.75">
      <c r="A50" s="2724"/>
      <c r="B50" s="74" t="s">
        <v>486</v>
      </c>
      <c r="C50" s="74" t="s">
        <v>495</v>
      </c>
      <c r="D50" s="2318" t="s">
        <v>496</v>
      </c>
      <c r="E50" s="2911" t="s">
        <v>326</v>
      </c>
      <c r="F50" s="2440">
        <v>1.6E-2</v>
      </c>
      <c r="G50" s="75">
        <v>1.6E-2</v>
      </c>
      <c r="H50" s="269">
        <v>1.6E-2</v>
      </c>
      <c r="I50" s="2404">
        <v>1.6E-2</v>
      </c>
      <c r="J50" s="2404">
        <v>1.6E-2</v>
      </c>
      <c r="K50" s="72">
        <v>203</v>
      </c>
      <c r="L50" s="76">
        <v>203</v>
      </c>
      <c r="M50" s="2255">
        <v>203</v>
      </c>
      <c r="N50" s="2255">
        <v>203</v>
      </c>
      <c r="O50" s="2405">
        <v>203</v>
      </c>
      <c r="P50" s="2319">
        <f t="shared" ref="P50:P74" si="13">(F50+G50+H50+I50+J50)/(K50+L50+M50+N50+O50)*1000000</f>
        <v>79</v>
      </c>
      <c r="Q50" s="993"/>
    </row>
    <row r="51" spans="1:17">
      <c r="A51" s="2724"/>
      <c r="B51" s="74" t="s">
        <v>486</v>
      </c>
      <c r="C51" s="74" t="s">
        <v>497</v>
      </c>
      <c r="D51" s="2318" t="s">
        <v>498</v>
      </c>
      <c r="E51" s="2911" t="s">
        <v>326</v>
      </c>
      <c r="F51" s="2440">
        <v>2.3E-2</v>
      </c>
      <c r="G51" s="75">
        <v>2.3E-2</v>
      </c>
      <c r="H51" s="269">
        <v>2.3E-2</v>
      </c>
      <c r="I51" s="2404">
        <v>2.3E-2</v>
      </c>
      <c r="J51" s="2404">
        <v>2.3E-2</v>
      </c>
      <c r="K51" s="72">
        <v>465</v>
      </c>
      <c r="L51" s="76">
        <v>465</v>
      </c>
      <c r="M51" s="2255">
        <v>465</v>
      </c>
      <c r="N51" s="2255">
        <v>465</v>
      </c>
      <c r="O51" s="2405">
        <v>465</v>
      </c>
      <c r="P51" s="2319">
        <f t="shared" si="13"/>
        <v>49</v>
      </c>
      <c r="Q51" s="2912"/>
    </row>
    <row r="52" spans="1:17" ht="63.75">
      <c r="A52" s="2203"/>
      <c r="B52" s="810" t="s">
        <v>486</v>
      </c>
      <c r="C52" s="810" t="s">
        <v>499</v>
      </c>
      <c r="D52" s="2323" t="s">
        <v>500</v>
      </c>
      <c r="E52" s="2910" t="s">
        <v>326</v>
      </c>
      <c r="F52" s="2441">
        <v>0.04</v>
      </c>
      <c r="G52" s="819">
        <v>0.04</v>
      </c>
      <c r="H52" s="817">
        <v>0.04</v>
      </c>
      <c r="I52" s="2406">
        <v>0.04</v>
      </c>
      <c r="J52" s="2406">
        <v>0.04</v>
      </c>
      <c r="K52" s="824">
        <v>211</v>
      </c>
      <c r="L52" s="814">
        <v>211</v>
      </c>
      <c r="M52" s="1954">
        <v>211</v>
      </c>
      <c r="N52" s="1954">
        <v>211</v>
      </c>
      <c r="O52" s="2442">
        <v>211</v>
      </c>
      <c r="P52" s="2476">
        <f t="shared" si="13"/>
        <v>190</v>
      </c>
      <c r="Q52" s="365"/>
    </row>
    <row r="53" spans="1:17" ht="13.5" thickBot="1">
      <c r="A53" s="2283"/>
      <c r="B53" s="749" t="s">
        <v>501</v>
      </c>
      <c r="C53" s="749" t="s">
        <v>502</v>
      </c>
      <c r="D53" s="2328" t="s">
        <v>503</v>
      </c>
      <c r="E53" s="2913" t="s">
        <v>326</v>
      </c>
      <c r="F53" s="866">
        <v>5.0000000000000001E-3</v>
      </c>
      <c r="G53" s="746">
        <v>5.0000000000000001E-3</v>
      </c>
      <c r="H53" s="869">
        <v>5.0000000000000001E-3</v>
      </c>
      <c r="I53" s="2407">
        <v>5.0000000000000001E-3</v>
      </c>
      <c r="J53" s="2407">
        <v>5.0000000000000001E-3</v>
      </c>
      <c r="K53" s="2408">
        <v>60</v>
      </c>
      <c r="L53" s="2033">
        <v>60</v>
      </c>
      <c r="M53" s="2032">
        <v>60</v>
      </c>
      <c r="N53" s="2032">
        <v>60</v>
      </c>
      <c r="O53" s="2409">
        <v>60</v>
      </c>
      <c r="P53" s="2380">
        <f t="shared" si="13"/>
        <v>83</v>
      </c>
      <c r="Q53" s="133"/>
    </row>
    <row r="54" spans="1:17" ht="14.25" thickTop="1" thickBot="1">
      <c r="A54" s="3231" t="s">
        <v>204</v>
      </c>
      <c r="B54" s="3412"/>
      <c r="C54" s="3412"/>
      <c r="D54" s="3412"/>
      <c r="E54" s="3232"/>
      <c r="F54" s="84">
        <f>SUM(F43:F53)</f>
        <v>0.20200000000000001</v>
      </c>
      <c r="G54" s="84">
        <f>SUM(G43:G53)</f>
        <v>0.20300000000000001</v>
      </c>
      <c r="H54" s="280">
        <f>SUM(H43:H53)</f>
        <v>0.20599999999999999</v>
      </c>
      <c r="I54" s="85">
        <f t="shared" ref="I54:O54" si="14">I43+I44+I45+I46+I47+I48+I49+I50+I51+I52+I53</f>
        <v>0.215</v>
      </c>
      <c r="J54" s="2503">
        <f t="shared" si="14"/>
        <v>0.218</v>
      </c>
      <c r="K54" s="2544">
        <f t="shared" si="14"/>
        <v>2996</v>
      </c>
      <c r="L54" s="2179">
        <f t="shared" si="14"/>
        <v>2996</v>
      </c>
      <c r="M54" s="2179">
        <f t="shared" si="14"/>
        <v>2996</v>
      </c>
      <c r="N54" s="2178">
        <f t="shared" si="14"/>
        <v>2998</v>
      </c>
      <c r="O54" s="2545">
        <f t="shared" si="14"/>
        <v>3003</v>
      </c>
      <c r="P54" s="2914">
        <f t="shared" si="13"/>
        <v>70</v>
      </c>
      <c r="Q54" s="134"/>
    </row>
    <row r="55" spans="1:17">
      <c r="A55" s="2907">
        <v>1190</v>
      </c>
      <c r="B55" s="2374" t="s">
        <v>428</v>
      </c>
      <c r="C55" s="2374" t="s">
        <v>428</v>
      </c>
      <c r="D55" s="2908" t="s">
        <v>504</v>
      </c>
      <c r="E55" s="2400" t="s">
        <v>330</v>
      </c>
      <c r="F55" s="87">
        <v>0.01</v>
      </c>
      <c r="G55" s="83">
        <v>0.01</v>
      </c>
      <c r="H55" s="289">
        <v>0.01</v>
      </c>
      <c r="I55" s="2417">
        <v>0.01</v>
      </c>
      <c r="J55" s="2417">
        <v>0.01</v>
      </c>
      <c r="K55" s="2444">
        <v>345</v>
      </c>
      <c r="L55" s="2168">
        <v>345</v>
      </c>
      <c r="M55" s="2167">
        <v>345</v>
      </c>
      <c r="N55" s="2167">
        <v>345</v>
      </c>
      <c r="O55" s="2445">
        <v>345</v>
      </c>
      <c r="P55" s="2377">
        <f t="shared" si="13"/>
        <v>29</v>
      </c>
      <c r="Q55" s="2885"/>
    </row>
    <row r="56" spans="1:17">
      <c r="A56" s="2203">
        <v>1381</v>
      </c>
      <c r="B56" s="810" t="s">
        <v>429</v>
      </c>
      <c r="C56" s="810" t="s">
        <v>429</v>
      </c>
      <c r="D56" s="2323"/>
      <c r="E56" s="2403" t="s">
        <v>330</v>
      </c>
      <c r="F56" s="2441">
        <v>2.3E-2</v>
      </c>
      <c r="G56" s="819">
        <v>2.1000000000000001E-2</v>
      </c>
      <c r="H56" s="817">
        <v>2.1999999999999999E-2</v>
      </c>
      <c r="I56" s="2406">
        <v>2.5000000000000001E-2</v>
      </c>
      <c r="J56" s="2406">
        <v>2.4E-2</v>
      </c>
      <c r="K56" s="824">
        <v>378</v>
      </c>
      <c r="L56" s="814">
        <v>378</v>
      </c>
      <c r="M56" s="1954">
        <v>411</v>
      </c>
      <c r="N56" s="1954">
        <v>411</v>
      </c>
      <c r="O56" s="2442">
        <v>411</v>
      </c>
      <c r="P56" s="2476">
        <f t="shared" si="13"/>
        <v>58</v>
      </c>
      <c r="Q56" s="365"/>
    </row>
    <row r="57" spans="1:17">
      <c r="A57" s="2203">
        <v>1386</v>
      </c>
      <c r="B57" s="810" t="s">
        <v>430</v>
      </c>
      <c r="C57" s="810" t="s">
        <v>430</v>
      </c>
      <c r="D57" s="2323" t="s">
        <v>505</v>
      </c>
      <c r="E57" s="2403" t="s">
        <v>330</v>
      </c>
      <c r="F57" s="2441">
        <v>4.1000000000000002E-2</v>
      </c>
      <c r="G57" s="819">
        <v>3.5000000000000003E-2</v>
      </c>
      <c r="H57" s="817">
        <v>4.8000000000000001E-2</v>
      </c>
      <c r="I57" s="2406">
        <v>5.1999999999999998E-2</v>
      </c>
      <c r="J57" s="2406">
        <v>3.3000000000000002E-2</v>
      </c>
      <c r="K57" s="824">
        <v>237</v>
      </c>
      <c r="L57" s="814">
        <v>237</v>
      </c>
      <c r="M57" s="1954">
        <v>237</v>
      </c>
      <c r="N57" s="1954">
        <v>237</v>
      </c>
      <c r="O57" s="2442">
        <v>237</v>
      </c>
      <c r="P57" s="2476">
        <f t="shared" si="13"/>
        <v>176</v>
      </c>
      <c r="Q57" s="365"/>
    </row>
    <row r="58" spans="1:17" ht="26.25" thickBot="1">
      <c r="A58" s="2283">
        <v>1423</v>
      </c>
      <c r="B58" s="2326" t="s">
        <v>506</v>
      </c>
      <c r="C58" s="749" t="s">
        <v>431</v>
      </c>
      <c r="D58" s="2328" t="s">
        <v>507</v>
      </c>
      <c r="E58" s="2437" t="s">
        <v>330</v>
      </c>
      <c r="F58" s="866">
        <v>4.2000000000000003E-2</v>
      </c>
      <c r="G58" s="746">
        <v>4.3999999999999997E-2</v>
      </c>
      <c r="H58" s="869">
        <v>4.2999999999999997E-2</v>
      </c>
      <c r="I58" s="2407">
        <v>4.2999999999999997E-2</v>
      </c>
      <c r="J58" s="2407">
        <v>4.2999999999999997E-2</v>
      </c>
      <c r="K58" s="2408">
        <v>369</v>
      </c>
      <c r="L58" s="2033">
        <v>369</v>
      </c>
      <c r="M58" s="2032">
        <v>369</v>
      </c>
      <c r="N58" s="2032">
        <v>369</v>
      </c>
      <c r="O58" s="2409">
        <v>369</v>
      </c>
      <c r="P58" s="2380">
        <f t="shared" si="13"/>
        <v>117</v>
      </c>
      <c r="Q58" s="133"/>
    </row>
    <row r="59" spans="1:17" ht="14.25" thickTop="1" thickBot="1">
      <c r="A59" s="3413" t="s">
        <v>212</v>
      </c>
      <c r="B59" s="3414"/>
      <c r="C59" s="3414"/>
      <c r="D59" s="3414"/>
      <c r="E59" s="3415"/>
      <c r="F59" s="1169">
        <f t="shared" ref="F59:N59" si="15">SUM(F55:F58)</f>
        <v>0.11600000000000001</v>
      </c>
      <c r="G59" s="1169">
        <f t="shared" si="15"/>
        <v>0.11</v>
      </c>
      <c r="H59" s="2488">
        <f t="shared" si="15"/>
        <v>0.123</v>
      </c>
      <c r="I59" s="2488">
        <f t="shared" si="15"/>
        <v>0.13</v>
      </c>
      <c r="J59" s="2488">
        <f>SUM(J55:J58)</f>
        <v>0.11</v>
      </c>
      <c r="K59" s="2416">
        <f t="shared" si="15"/>
        <v>1329</v>
      </c>
      <c r="L59" s="2271">
        <f t="shared" si="15"/>
        <v>1329</v>
      </c>
      <c r="M59" s="2271">
        <f t="shared" si="15"/>
        <v>1362</v>
      </c>
      <c r="N59" s="2270">
        <f t="shared" si="15"/>
        <v>1362</v>
      </c>
      <c r="O59" s="2958">
        <f>SUM(O55:O58)</f>
        <v>1362</v>
      </c>
      <c r="P59" s="2397">
        <f t="shared" si="13"/>
        <v>87</v>
      </c>
      <c r="Q59" s="2959"/>
    </row>
    <row r="60" spans="1:17" ht="28.5" customHeight="1" thickBot="1">
      <c r="A60" s="3402" t="s">
        <v>508</v>
      </c>
      <c r="B60" s="3402"/>
      <c r="C60" s="3402"/>
      <c r="D60" s="3402"/>
      <c r="E60" s="3402"/>
      <c r="F60" s="3402"/>
      <c r="G60" s="3402"/>
      <c r="H60" s="3402"/>
      <c r="I60" s="3402"/>
      <c r="J60" s="3402"/>
      <c r="K60" s="3402"/>
      <c r="L60" s="3402"/>
      <c r="M60" s="3402"/>
      <c r="N60" s="3402"/>
      <c r="O60" s="3402"/>
      <c r="P60" s="3402"/>
      <c r="Q60" s="3402"/>
    </row>
    <row r="61" spans="1:17" ht="26.25" thickBot="1">
      <c r="A61" s="2800" t="s">
        <v>272</v>
      </c>
      <c r="B61" s="994" t="s">
        <v>273</v>
      </c>
      <c r="C61" s="994" t="s">
        <v>86</v>
      </c>
      <c r="D61" s="2801" t="s">
        <v>274</v>
      </c>
      <c r="E61" s="2802" t="s">
        <v>85</v>
      </c>
      <c r="F61" s="2803" t="s">
        <v>457</v>
      </c>
      <c r="G61" s="2803" t="s">
        <v>458</v>
      </c>
      <c r="H61" s="2804" t="s">
        <v>459</v>
      </c>
      <c r="I61" s="2804" t="s">
        <v>460</v>
      </c>
      <c r="J61" s="2804" t="s">
        <v>461</v>
      </c>
      <c r="K61" s="2805" t="s">
        <v>462</v>
      </c>
      <c r="L61" s="2806" t="s">
        <v>463</v>
      </c>
      <c r="M61" s="2807" t="s">
        <v>464</v>
      </c>
      <c r="N61" s="2806" t="s">
        <v>465</v>
      </c>
      <c r="O61" s="3034" t="s">
        <v>466</v>
      </c>
      <c r="P61" s="2808" t="s">
        <v>467</v>
      </c>
      <c r="Q61" s="235" t="s">
        <v>277</v>
      </c>
    </row>
    <row r="62" spans="1:17">
      <c r="A62" s="131">
        <v>217345</v>
      </c>
      <c r="B62" s="130" t="s">
        <v>432</v>
      </c>
      <c r="C62" s="130" t="s">
        <v>432</v>
      </c>
      <c r="D62" s="2915" t="s">
        <v>509</v>
      </c>
      <c r="E62" s="2400" t="s">
        <v>30</v>
      </c>
      <c r="F62" s="1018">
        <v>2.5999999999999999E-2</v>
      </c>
      <c r="G62" s="83">
        <v>0.02</v>
      </c>
      <c r="H62" s="83">
        <v>1.4999999999999999E-2</v>
      </c>
      <c r="I62" s="83">
        <v>1.2999999999999999E-2</v>
      </c>
      <c r="J62" s="132">
        <v>3.6999999999999998E-2</v>
      </c>
      <c r="K62" s="131">
        <v>320</v>
      </c>
      <c r="L62" s="130">
        <v>320</v>
      </c>
      <c r="M62" s="130">
        <v>320</v>
      </c>
      <c r="N62" s="130">
        <v>320</v>
      </c>
      <c r="O62" s="2883">
        <v>320</v>
      </c>
      <c r="P62" s="2047">
        <f t="shared" si="13"/>
        <v>69</v>
      </c>
      <c r="Q62" s="2884"/>
    </row>
    <row r="63" spans="1:17">
      <c r="A63" s="2679">
        <v>216536</v>
      </c>
      <c r="B63" s="2346" t="s">
        <v>433</v>
      </c>
      <c r="C63" s="2346" t="s">
        <v>433</v>
      </c>
      <c r="D63" s="2916"/>
      <c r="E63" s="2403" t="s">
        <v>30</v>
      </c>
      <c r="F63" s="809">
        <v>3.0000000000000001E-3</v>
      </c>
      <c r="G63" s="819">
        <v>3.0000000000000001E-3</v>
      </c>
      <c r="H63" s="819">
        <v>3.0000000000000001E-3</v>
      </c>
      <c r="I63" s="819">
        <v>3.0000000000000001E-3</v>
      </c>
      <c r="J63" s="818">
        <v>3.0000000000000001E-3</v>
      </c>
      <c r="K63" s="2679">
        <v>21</v>
      </c>
      <c r="L63" s="2346">
        <v>21</v>
      </c>
      <c r="M63" s="2346">
        <v>21</v>
      </c>
      <c r="N63" s="2346">
        <v>21</v>
      </c>
      <c r="O63" s="2886">
        <v>21</v>
      </c>
      <c r="P63" s="1953">
        <f t="shared" si="13"/>
        <v>143</v>
      </c>
      <c r="Q63" s="868"/>
    </row>
    <row r="64" spans="1:17">
      <c r="A64" s="2679">
        <v>219144</v>
      </c>
      <c r="B64" s="2346" t="s">
        <v>434</v>
      </c>
      <c r="C64" s="2346" t="s">
        <v>434</v>
      </c>
      <c r="D64" s="2916"/>
      <c r="E64" s="2403" t="s">
        <v>30</v>
      </c>
      <c r="F64" s="809">
        <v>6.0000000000000001E-3</v>
      </c>
      <c r="G64" s="819">
        <v>6.0000000000000001E-3</v>
      </c>
      <c r="H64" s="819">
        <v>6.0000000000000001E-3</v>
      </c>
      <c r="I64" s="819">
        <v>6.0000000000000001E-3</v>
      </c>
      <c r="J64" s="818">
        <v>6.0000000000000001E-3</v>
      </c>
      <c r="K64" s="2679">
        <v>39</v>
      </c>
      <c r="L64" s="2346">
        <v>39</v>
      </c>
      <c r="M64" s="2346">
        <v>39</v>
      </c>
      <c r="N64" s="2346">
        <v>39</v>
      </c>
      <c r="O64" s="2886">
        <v>39</v>
      </c>
      <c r="P64" s="1953">
        <f t="shared" si="13"/>
        <v>154</v>
      </c>
      <c r="Q64" s="868"/>
    </row>
    <row r="65" spans="1:17" ht="13.5" thickBot="1">
      <c r="A65" s="2682">
        <v>219174</v>
      </c>
      <c r="B65" s="2436" t="s">
        <v>435</v>
      </c>
      <c r="C65" s="2436" t="s">
        <v>435</v>
      </c>
      <c r="D65" s="2917"/>
      <c r="E65" s="2437" t="s">
        <v>30</v>
      </c>
      <c r="F65" s="1874">
        <v>8.9999999999999993E-3</v>
      </c>
      <c r="G65" s="746">
        <v>8.9999999999999993E-3</v>
      </c>
      <c r="H65" s="746">
        <v>8.9999999999999993E-3</v>
      </c>
      <c r="I65" s="746">
        <v>8.9999999999999993E-3</v>
      </c>
      <c r="J65" s="747">
        <v>8.9999999999999993E-3</v>
      </c>
      <c r="K65" s="2682">
        <v>57</v>
      </c>
      <c r="L65" s="2436">
        <v>57</v>
      </c>
      <c r="M65" s="2436">
        <v>57</v>
      </c>
      <c r="N65" s="2436">
        <v>57</v>
      </c>
      <c r="O65" s="2887">
        <v>57</v>
      </c>
      <c r="P65" s="2031">
        <f t="shared" si="13"/>
        <v>158</v>
      </c>
      <c r="Q65" s="1016"/>
    </row>
    <row r="66" spans="1:17" ht="14.25" thickTop="1" thickBot="1">
      <c r="A66" s="3202" t="s">
        <v>218</v>
      </c>
      <c r="B66" s="3401"/>
      <c r="C66" s="3401"/>
      <c r="D66" s="3401"/>
      <c r="E66" s="3203"/>
      <c r="F66" s="2513">
        <f>SUM(F62:F65)</f>
        <v>4.3999999999999997E-2</v>
      </c>
      <c r="G66" s="84">
        <f t="shared" ref="G66:J66" si="16">SUM(G62:G65)</f>
        <v>3.7999999999999999E-2</v>
      </c>
      <c r="H66" s="287">
        <f t="shared" si="16"/>
        <v>3.3000000000000002E-2</v>
      </c>
      <c r="I66" s="287">
        <f t="shared" si="16"/>
        <v>3.1E-2</v>
      </c>
      <c r="J66" s="2381">
        <f t="shared" si="16"/>
        <v>5.5E-2</v>
      </c>
      <c r="K66" s="2416">
        <f>SUM(K62:K65)</f>
        <v>437</v>
      </c>
      <c r="L66" s="2271">
        <f t="shared" ref="L66:O66" si="17">SUM(L62:L65)</f>
        <v>437</v>
      </c>
      <c r="M66" s="2271">
        <f t="shared" si="17"/>
        <v>437</v>
      </c>
      <c r="N66" s="2271">
        <f t="shared" si="17"/>
        <v>437</v>
      </c>
      <c r="O66" s="2371">
        <f t="shared" si="17"/>
        <v>437</v>
      </c>
      <c r="P66" s="1978">
        <f t="shared" si="13"/>
        <v>92</v>
      </c>
      <c r="Q66" s="2918"/>
    </row>
    <row r="67" spans="1:17">
      <c r="A67" s="131">
        <v>215835</v>
      </c>
      <c r="B67" s="130" t="s">
        <v>510</v>
      </c>
      <c r="C67" s="130" t="s">
        <v>436</v>
      </c>
      <c r="D67" s="2919"/>
      <c r="E67" s="2400" t="s">
        <v>31</v>
      </c>
      <c r="F67" s="1018">
        <v>2E-3</v>
      </c>
      <c r="G67" s="83">
        <v>2E-3</v>
      </c>
      <c r="H67" s="83">
        <v>2E-3</v>
      </c>
      <c r="I67" s="83">
        <v>2E-3</v>
      </c>
      <c r="J67" s="132">
        <v>2E-3</v>
      </c>
      <c r="K67" s="131">
        <v>12</v>
      </c>
      <c r="L67" s="130">
        <v>12</v>
      </c>
      <c r="M67" s="130">
        <v>12</v>
      </c>
      <c r="N67" s="130">
        <v>12</v>
      </c>
      <c r="O67" s="2883">
        <v>12</v>
      </c>
      <c r="P67" s="2047">
        <f t="shared" si="13"/>
        <v>167</v>
      </c>
      <c r="Q67" s="2884"/>
    </row>
    <row r="68" spans="1:17">
      <c r="A68" s="2679">
        <v>218586</v>
      </c>
      <c r="B68" s="2346" t="s">
        <v>437</v>
      </c>
      <c r="C68" s="2346" t="s">
        <v>437</v>
      </c>
      <c r="D68" s="2916"/>
      <c r="E68" s="2403" t="s">
        <v>31</v>
      </c>
      <c r="F68" s="809">
        <v>8.0000000000000002E-3</v>
      </c>
      <c r="G68" s="819">
        <v>8.0000000000000002E-3</v>
      </c>
      <c r="H68" s="819">
        <v>8.0000000000000002E-3</v>
      </c>
      <c r="I68" s="819">
        <v>8.0000000000000002E-3</v>
      </c>
      <c r="J68" s="818">
        <v>8.0000000000000002E-3</v>
      </c>
      <c r="K68" s="2679">
        <v>42</v>
      </c>
      <c r="L68" s="2346">
        <v>42</v>
      </c>
      <c r="M68" s="2346">
        <v>42</v>
      </c>
      <c r="N68" s="2346">
        <v>42</v>
      </c>
      <c r="O68" s="2886">
        <v>42</v>
      </c>
      <c r="P68" s="1953">
        <f t="shared" si="13"/>
        <v>190</v>
      </c>
      <c r="Q68" s="868"/>
    </row>
    <row r="69" spans="1:17">
      <c r="A69" s="2679">
        <v>221370</v>
      </c>
      <c r="B69" s="2346" t="s">
        <v>438</v>
      </c>
      <c r="C69" s="2346" t="s">
        <v>438</v>
      </c>
      <c r="D69" s="2916"/>
      <c r="E69" s="2403" t="s">
        <v>31</v>
      </c>
      <c r="F69" s="809">
        <v>3.0000000000000001E-3</v>
      </c>
      <c r="G69" s="819">
        <v>3.0000000000000001E-3</v>
      </c>
      <c r="H69" s="819">
        <v>3.0000000000000001E-3</v>
      </c>
      <c r="I69" s="819">
        <v>3.0000000000000001E-3</v>
      </c>
      <c r="J69" s="818">
        <v>3.0000000000000001E-3</v>
      </c>
      <c r="K69" s="2679">
        <v>18</v>
      </c>
      <c r="L69" s="2346">
        <v>18</v>
      </c>
      <c r="M69" s="2346">
        <v>18</v>
      </c>
      <c r="N69" s="2346">
        <v>18</v>
      </c>
      <c r="O69" s="2886">
        <v>18</v>
      </c>
      <c r="P69" s="1953">
        <f t="shared" si="13"/>
        <v>167</v>
      </c>
      <c r="Q69" s="868"/>
    </row>
    <row r="70" spans="1:17" ht="13.5" thickBot="1">
      <c r="A70" s="2682">
        <v>221567</v>
      </c>
      <c r="B70" s="2436" t="s">
        <v>439</v>
      </c>
      <c r="C70" s="2436" t="s">
        <v>439</v>
      </c>
      <c r="D70" s="2917"/>
      <c r="E70" s="2437" t="s">
        <v>31</v>
      </c>
      <c r="F70" s="1874">
        <v>3.0000000000000001E-3</v>
      </c>
      <c r="G70" s="746">
        <v>3.0000000000000001E-3</v>
      </c>
      <c r="H70" s="746">
        <v>3.0000000000000001E-3</v>
      </c>
      <c r="I70" s="746">
        <v>3.0000000000000001E-3</v>
      </c>
      <c r="J70" s="747">
        <v>3.0000000000000001E-3</v>
      </c>
      <c r="K70" s="2682">
        <v>21</v>
      </c>
      <c r="L70" s="2436">
        <v>21</v>
      </c>
      <c r="M70" s="2436">
        <v>21</v>
      </c>
      <c r="N70" s="2436">
        <v>21</v>
      </c>
      <c r="O70" s="2887">
        <v>21</v>
      </c>
      <c r="P70" s="2031">
        <f t="shared" si="13"/>
        <v>143</v>
      </c>
      <c r="Q70" s="1016"/>
    </row>
    <row r="71" spans="1:17" ht="14.25" thickTop="1" thickBot="1">
      <c r="A71" s="3202" t="s">
        <v>221</v>
      </c>
      <c r="B71" s="3401"/>
      <c r="C71" s="3401"/>
      <c r="D71" s="3401"/>
      <c r="E71" s="3401"/>
      <c r="F71" s="2513">
        <f>SUM(F67:F70)</f>
        <v>1.6E-2</v>
      </c>
      <c r="G71" s="84">
        <f t="shared" ref="G71:J71" si="18">SUM(G67:G70)</f>
        <v>1.6E-2</v>
      </c>
      <c r="H71" s="287">
        <f t="shared" si="18"/>
        <v>1.6E-2</v>
      </c>
      <c r="I71" s="287">
        <f t="shared" si="18"/>
        <v>1.6E-2</v>
      </c>
      <c r="J71" s="2381">
        <f t="shared" si="18"/>
        <v>1.6E-2</v>
      </c>
      <c r="K71" s="2416">
        <f>SUM(K67:K70)</f>
        <v>93</v>
      </c>
      <c r="L71" s="2271">
        <f t="shared" ref="L71:O71" si="19">SUM(L67:L70)</f>
        <v>93</v>
      </c>
      <c r="M71" s="2271">
        <f t="shared" si="19"/>
        <v>93</v>
      </c>
      <c r="N71" s="2271">
        <f t="shared" si="19"/>
        <v>93</v>
      </c>
      <c r="O71" s="2371">
        <f t="shared" si="19"/>
        <v>93</v>
      </c>
      <c r="P71" s="1978">
        <f t="shared" si="13"/>
        <v>172</v>
      </c>
      <c r="Q71" s="2918"/>
    </row>
    <row r="72" spans="1:17" ht="13.5" thickBot="1">
      <c r="A72" s="3271" t="s">
        <v>511</v>
      </c>
      <c r="B72" s="3272"/>
      <c r="C72" s="3272"/>
      <c r="D72" s="3272"/>
      <c r="E72" s="3403"/>
      <c r="F72" s="2920">
        <f t="shared" ref="F72:O72" si="20">F14+F35+F42+F54+F59</f>
        <v>0.502</v>
      </c>
      <c r="G72" s="2921">
        <f t="shared" si="20"/>
        <v>0.48199999999999998</v>
      </c>
      <c r="H72" s="2922">
        <f t="shared" si="20"/>
        <v>0.52100000000000002</v>
      </c>
      <c r="I72" s="2922">
        <f t="shared" si="20"/>
        <v>0.54200000000000004</v>
      </c>
      <c r="J72" s="2922">
        <f t="shared" si="20"/>
        <v>0.497</v>
      </c>
      <c r="K72" s="2923">
        <f t="shared" si="20"/>
        <v>6516</v>
      </c>
      <c r="L72" s="2924">
        <f t="shared" si="20"/>
        <v>6516</v>
      </c>
      <c r="M72" s="2924">
        <f t="shared" si="20"/>
        <v>6549</v>
      </c>
      <c r="N72" s="2925">
        <f t="shared" si="20"/>
        <v>6553</v>
      </c>
      <c r="O72" s="2926">
        <f t="shared" si="20"/>
        <v>6560</v>
      </c>
      <c r="P72" s="2466">
        <f t="shared" si="13"/>
        <v>78</v>
      </c>
      <c r="Q72" s="2927"/>
    </row>
    <row r="73" spans="1:17" ht="13.5" thickBot="1">
      <c r="A73" s="3271" t="s">
        <v>512</v>
      </c>
      <c r="B73" s="3272"/>
      <c r="C73" s="3272"/>
      <c r="D73" s="3272"/>
      <c r="E73" s="3403"/>
      <c r="F73" s="2928">
        <f>F6+F10+F33+F39+F66+F71</f>
        <v>0.49199999999999999</v>
      </c>
      <c r="G73" s="2928">
        <f t="shared" ref="G73:O73" si="21">G6+G10+G33+G39+G66+G71</f>
        <v>0.5</v>
      </c>
      <c r="H73" s="2928">
        <f t="shared" si="21"/>
        <v>0.48699999999999999</v>
      </c>
      <c r="I73" s="2928">
        <f t="shared" si="21"/>
        <v>0.436</v>
      </c>
      <c r="J73" s="2928">
        <f t="shared" si="21"/>
        <v>0.51600000000000001</v>
      </c>
      <c r="K73" s="997">
        <f t="shared" si="21"/>
        <v>4323</v>
      </c>
      <c r="L73" s="997">
        <f t="shared" si="21"/>
        <v>4325</v>
      </c>
      <c r="M73" s="997">
        <f t="shared" si="21"/>
        <v>4329</v>
      </c>
      <c r="N73" s="997">
        <f t="shared" si="21"/>
        <v>4331</v>
      </c>
      <c r="O73" s="997">
        <f t="shared" si="21"/>
        <v>4372</v>
      </c>
      <c r="P73" s="308">
        <f t="shared" si="13"/>
        <v>112</v>
      </c>
      <c r="Q73" s="2929"/>
    </row>
    <row r="74" spans="1:17" ht="13.5" thickBot="1">
      <c r="A74" s="3271" t="s">
        <v>513</v>
      </c>
      <c r="B74" s="3272"/>
      <c r="C74" s="3272"/>
      <c r="D74" s="3272"/>
      <c r="E74" s="3403"/>
      <c r="F74" s="2389">
        <f t="shared" ref="F74" si="22">F72+F73</f>
        <v>0.99399999999999999</v>
      </c>
      <c r="G74" s="2369">
        <f t="shared" ref="G74:O74" si="23">G72+G73</f>
        <v>0.98199999999999998</v>
      </c>
      <c r="H74" s="2369">
        <f t="shared" si="23"/>
        <v>1.008</v>
      </c>
      <c r="I74" s="2410">
        <f t="shared" si="23"/>
        <v>0.97799999999999998</v>
      </c>
      <c r="J74" s="2410">
        <f t="shared" si="23"/>
        <v>1.0129999999999999</v>
      </c>
      <c r="K74" s="857">
        <f t="shared" si="23"/>
        <v>10839</v>
      </c>
      <c r="L74" s="251">
        <f t="shared" si="23"/>
        <v>10841</v>
      </c>
      <c r="M74" s="251">
        <f t="shared" si="23"/>
        <v>10878</v>
      </c>
      <c r="N74" s="251">
        <f t="shared" si="23"/>
        <v>10884</v>
      </c>
      <c r="O74" s="97">
        <f t="shared" si="23"/>
        <v>10932</v>
      </c>
      <c r="P74" s="2466">
        <f t="shared" si="13"/>
        <v>91</v>
      </c>
      <c r="Q74" s="2929"/>
    </row>
    <row r="75" spans="1:17">
      <c r="A75" s="89" t="s">
        <v>35</v>
      </c>
    </row>
    <row r="76" spans="1:17">
      <c r="A76" s="1" t="s">
        <v>68</v>
      </c>
      <c r="O76" s="1" t="s">
        <v>36</v>
      </c>
    </row>
    <row r="77" spans="1:17">
      <c r="A77" s="1" t="s">
        <v>69</v>
      </c>
    </row>
    <row r="78" spans="1:17" s="2" customFormat="1">
      <c r="A78" s="1" t="s">
        <v>514</v>
      </c>
      <c r="B78" s="78"/>
      <c r="C78" s="78"/>
      <c r="D78" s="78"/>
      <c r="E78" s="78"/>
      <c r="F78" s="2467"/>
      <c r="G78" s="2467"/>
      <c r="H78" s="2467"/>
      <c r="I78" s="2467"/>
      <c r="J78" s="2467"/>
      <c r="Q78" s="78"/>
    </row>
    <row r="79" spans="1:17" s="2" customFormat="1">
      <c r="A79" s="2" t="s">
        <v>343</v>
      </c>
      <c r="B79" s="78"/>
      <c r="C79" s="78"/>
      <c r="D79" s="78"/>
      <c r="E79" s="78"/>
      <c r="F79" s="2467"/>
      <c r="G79" s="2467"/>
      <c r="H79" s="2467"/>
      <c r="I79" s="2467"/>
      <c r="J79" s="2467"/>
      <c r="Q79" s="78"/>
    </row>
    <row r="81" spans="1:17" ht="13.5" thickBot="1">
      <c r="A81" s="800" t="s">
        <v>515</v>
      </c>
      <c r="B81" s="800"/>
      <c r="C81" s="800"/>
      <c r="D81" s="800"/>
      <c r="E81" s="2608"/>
      <c r="F81" s="800"/>
      <c r="G81" s="800"/>
      <c r="H81" s="800"/>
      <c r="I81" s="800"/>
      <c r="J81" s="800"/>
      <c r="K81" s="800"/>
      <c r="L81" s="800"/>
      <c r="M81" s="800"/>
      <c r="N81" s="800"/>
      <c r="O81" s="800"/>
      <c r="P81" s="800"/>
      <c r="Q81" s="800"/>
    </row>
    <row r="82" spans="1:17" ht="26.25" thickBot="1">
      <c r="A82" s="2800" t="s">
        <v>272</v>
      </c>
      <c r="B82" s="994" t="s">
        <v>273</v>
      </c>
      <c r="C82" s="994" t="s">
        <v>86</v>
      </c>
      <c r="D82" s="2801" t="s">
        <v>274</v>
      </c>
      <c r="E82" s="2802" t="s">
        <v>85</v>
      </c>
      <c r="F82" s="2803" t="s">
        <v>457</v>
      </c>
      <c r="G82" s="2803" t="s">
        <v>458</v>
      </c>
      <c r="H82" s="2804" t="s">
        <v>459</v>
      </c>
      <c r="I82" s="2804" t="s">
        <v>460</v>
      </c>
      <c r="J82" s="2804" t="s">
        <v>461</v>
      </c>
      <c r="K82" s="2805" t="s">
        <v>462</v>
      </c>
      <c r="L82" s="2806" t="s">
        <v>463</v>
      </c>
      <c r="M82" s="2807" t="s">
        <v>464</v>
      </c>
      <c r="N82" s="2806" t="s">
        <v>465</v>
      </c>
      <c r="O82" s="3033" t="s">
        <v>466</v>
      </c>
      <c r="P82" s="2808" t="s">
        <v>467</v>
      </c>
      <c r="Q82" s="235" t="s">
        <v>277</v>
      </c>
    </row>
    <row r="83" spans="1:17">
      <c r="A83" s="131">
        <v>218620</v>
      </c>
      <c r="B83" s="130" t="s">
        <v>441</v>
      </c>
      <c r="C83" s="130" t="s">
        <v>441</v>
      </c>
      <c r="D83" s="2905"/>
      <c r="E83" s="2812" t="s">
        <v>46</v>
      </c>
      <c r="F83" s="2493">
        <v>8.0000000000000002E-3</v>
      </c>
      <c r="G83" s="2386">
        <v>8.0000000000000002E-3</v>
      </c>
      <c r="H83" s="82">
        <v>8.0000000000000002E-3</v>
      </c>
      <c r="I83" s="2386">
        <v>8.0000000000000002E-3</v>
      </c>
      <c r="J83" s="2431">
        <v>8.0000000000000002E-3</v>
      </c>
      <c r="K83" s="2444">
        <v>42</v>
      </c>
      <c r="L83" s="2169">
        <v>42</v>
      </c>
      <c r="M83" s="2169">
        <v>42</v>
      </c>
      <c r="N83" s="2168">
        <v>42</v>
      </c>
      <c r="O83" s="2377">
        <v>42</v>
      </c>
      <c r="P83" s="2820">
        <f>(F83+G83+H83+I83+J83)/(K83+L83+M83+N83+O83)*1000000</f>
        <v>190</v>
      </c>
      <c r="Q83" s="2885"/>
    </row>
    <row r="84" spans="1:17">
      <c r="A84" s="2679">
        <v>218836</v>
      </c>
      <c r="B84" s="2346" t="s">
        <v>442</v>
      </c>
      <c r="C84" s="2346" t="s">
        <v>442</v>
      </c>
      <c r="D84" s="2895"/>
      <c r="E84" s="2824" t="s">
        <v>46</v>
      </c>
      <c r="F84" s="2489">
        <v>0.01</v>
      </c>
      <c r="G84" s="2349">
        <v>0.01</v>
      </c>
      <c r="H84" s="2348">
        <v>0.01</v>
      </c>
      <c r="I84" s="2349">
        <v>0.01</v>
      </c>
      <c r="J84" s="2434">
        <v>0.01</v>
      </c>
      <c r="K84" s="824">
        <v>5</v>
      </c>
      <c r="L84" s="807">
        <v>5</v>
      </c>
      <c r="M84" s="807">
        <v>5</v>
      </c>
      <c r="N84" s="814">
        <v>5</v>
      </c>
      <c r="O84" s="2476">
        <v>5</v>
      </c>
      <c r="P84" s="391">
        <f>(F84+G84+H84+I84+J84)/(K84+L84+M84+N84+O84)*1000000</f>
        <v>2000</v>
      </c>
      <c r="Q84" s="365"/>
    </row>
    <row r="85" spans="1:17">
      <c r="A85" s="3006">
        <v>218866</v>
      </c>
      <c r="B85" s="2354" t="s">
        <v>443</v>
      </c>
      <c r="C85" s="2354" t="s">
        <v>443</v>
      </c>
      <c r="D85" s="3009"/>
      <c r="E85" s="2989" t="s">
        <v>46</v>
      </c>
      <c r="F85" s="3010">
        <v>8.0000000000000002E-3</v>
      </c>
      <c r="G85" s="3011">
        <v>8.0000000000000002E-3</v>
      </c>
      <c r="H85" s="3012">
        <v>8.0000000000000002E-3</v>
      </c>
      <c r="I85" s="3011">
        <v>8.0000000000000002E-3</v>
      </c>
      <c r="J85" s="3013">
        <v>8.0000000000000002E-3</v>
      </c>
      <c r="K85" s="2560">
        <v>56</v>
      </c>
      <c r="L85" s="2018">
        <v>56</v>
      </c>
      <c r="M85" s="2018">
        <v>56</v>
      </c>
      <c r="N85" s="2017">
        <v>56</v>
      </c>
      <c r="O85" s="2330">
        <v>56</v>
      </c>
      <c r="P85" s="391">
        <f>(F85+G85+H85+I85+J85)/(K85+L85+M85+N85+O85)*1000000</f>
        <v>143</v>
      </c>
      <c r="Q85" s="357"/>
    </row>
    <row r="86" spans="1:17" ht="13.5" thickBot="1">
      <c r="A86" s="2682">
        <v>218929</v>
      </c>
      <c r="B86" s="2436" t="s">
        <v>444</v>
      </c>
      <c r="C86" s="2436" t="s">
        <v>444</v>
      </c>
      <c r="D86" s="1009"/>
      <c r="E86" s="2865" t="s">
        <v>46</v>
      </c>
      <c r="F86" s="2492">
        <v>7.0000000000000001E-3</v>
      </c>
      <c r="G86" s="2365">
        <v>7.0000000000000001E-3</v>
      </c>
      <c r="H86" s="2364">
        <v>7.0000000000000001E-3</v>
      </c>
      <c r="I86" s="2365">
        <v>7.0000000000000001E-3</v>
      </c>
      <c r="J86" s="2438">
        <v>7.0000000000000001E-3</v>
      </c>
      <c r="K86" s="2408">
        <v>30</v>
      </c>
      <c r="L86" s="2034">
        <v>30</v>
      </c>
      <c r="M86" s="2034">
        <v>30</v>
      </c>
      <c r="N86" s="2033">
        <v>30</v>
      </c>
      <c r="O86" s="2380">
        <v>30</v>
      </c>
      <c r="P86" s="1010">
        <f>(F86+G86+H86+I86+J86)/(K86+L86+M86+N86+O86)*1000000</f>
        <v>233</v>
      </c>
      <c r="Q86" s="133"/>
    </row>
    <row r="87" spans="1:17" ht="14.25" thickTop="1" thickBot="1">
      <c r="A87" s="3406" t="s">
        <v>516</v>
      </c>
      <c r="B87" s="3407"/>
      <c r="C87" s="3407"/>
      <c r="D87" s="3407"/>
      <c r="E87" s="3408"/>
      <c r="F87" s="2389">
        <f>SUM(F83:F86)</f>
        <v>3.3000000000000002E-2</v>
      </c>
      <c r="G87" s="2370">
        <f t="shared" ref="G87:O87" si="24">SUM(G83:G86)</f>
        <v>3.3000000000000002E-2</v>
      </c>
      <c r="H87" s="2369">
        <f t="shared" si="24"/>
        <v>3.3000000000000002E-2</v>
      </c>
      <c r="I87" s="2370">
        <f t="shared" si="24"/>
        <v>3.3000000000000002E-2</v>
      </c>
      <c r="J87" s="2410">
        <f t="shared" si="24"/>
        <v>3.3000000000000002E-2</v>
      </c>
      <c r="K87" s="2411">
        <f t="shared" si="24"/>
        <v>133</v>
      </c>
      <c r="L87" s="1981">
        <f t="shared" si="24"/>
        <v>133</v>
      </c>
      <c r="M87" s="1981">
        <f t="shared" si="24"/>
        <v>133</v>
      </c>
      <c r="N87" s="1980">
        <f t="shared" si="24"/>
        <v>133</v>
      </c>
      <c r="O87" s="2371">
        <f t="shared" si="24"/>
        <v>133</v>
      </c>
      <c r="P87" s="304">
        <f>(F87+G87+H87+I87+J87)/(K87+L87+M87+N87+O87)*1000000</f>
        <v>248</v>
      </c>
      <c r="Q87" s="2888"/>
    </row>
    <row r="88" spans="1:17" s="2" customFormat="1" ht="26.25" thickBot="1">
      <c r="A88" s="2361">
        <v>218662</v>
      </c>
      <c r="B88" s="2956" t="s">
        <v>445</v>
      </c>
      <c r="C88" s="2956" t="s">
        <v>445</v>
      </c>
      <c r="D88" s="2452" t="s">
        <v>517</v>
      </c>
      <c r="E88" s="2421" t="s">
        <v>47</v>
      </c>
      <c r="F88" s="990">
        <v>2.1999999999999999E-2</v>
      </c>
      <c r="G88" s="990">
        <v>0.02</v>
      </c>
      <c r="H88" s="991">
        <v>2.5999999999999999E-2</v>
      </c>
      <c r="I88" s="992">
        <v>3.1E-2</v>
      </c>
      <c r="J88" s="2506">
        <v>3.5000000000000003E-2</v>
      </c>
      <c r="K88" s="2930">
        <v>179</v>
      </c>
      <c r="L88" s="1965">
        <v>179</v>
      </c>
      <c r="M88" s="1965">
        <v>179</v>
      </c>
      <c r="N88" s="1965">
        <v>179</v>
      </c>
      <c r="O88" s="2954">
        <v>179</v>
      </c>
      <c r="P88" s="799">
        <f>SUM(F88:J88)/SUM(K88:O88)*1000000</f>
        <v>150</v>
      </c>
      <c r="Q88" s="79"/>
    </row>
    <row r="89" spans="1:17" s="22" customFormat="1" ht="14.25" thickTop="1" thickBot="1">
      <c r="A89" s="3202" t="s">
        <v>518</v>
      </c>
      <c r="B89" s="3401"/>
      <c r="C89" s="3401"/>
      <c r="D89" s="3401"/>
      <c r="E89" s="3203"/>
      <c r="F89" s="2369">
        <f>SUM(F88)</f>
        <v>2.1999999999999999E-2</v>
      </c>
      <c r="G89" s="2369">
        <f t="shared" ref="G89:O89" si="25">SUM(G88)</f>
        <v>0.02</v>
      </c>
      <c r="H89" s="2369">
        <f t="shared" si="25"/>
        <v>2.5999999999999999E-2</v>
      </c>
      <c r="I89" s="2369">
        <f t="shared" si="25"/>
        <v>3.1E-2</v>
      </c>
      <c r="J89" s="2369">
        <f t="shared" si="25"/>
        <v>3.5000000000000003E-2</v>
      </c>
      <c r="K89" s="1986">
        <f t="shared" si="25"/>
        <v>179</v>
      </c>
      <c r="L89" s="2272">
        <f t="shared" si="25"/>
        <v>179</v>
      </c>
      <c r="M89" s="2272">
        <f t="shared" si="25"/>
        <v>179</v>
      </c>
      <c r="N89" s="2272">
        <f t="shared" si="25"/>
        <v>179</v>
      </c>
      <c r="O89" s="2957">
        <f t="shared" si="25"/>
        <v>179</v>
      </c>
      <c r="P89" s="304">
        <f>(F89+G89+H89+I89+J89)/(K89+L89+M89+N89+O89)*1000000</f>
        <v>150</v>
      </c>
      <c r="Q89" s="2931"/>
    </row>
    <row r="90" spans="1:17">
      <c r="A90" s="2932">
        <v>215920</v>
      </c>
      <c r="B90" s="2699" t="s">
        <v>519</v>
      </c>
      <c r="C90" s="2933" t="s">
        <v>519</v>
      </c>
      <c r="D90" s="2934"/>
      <c r="E90" s="2890" t="s">
        <v>49</v>
      </c>
      <c r="F90" s="2935">
        <v>6.0000000000000001E-3</v>
      </c>
      <c r="G90" s="2936">
        <v>6.0000000000000001E-3</v>
      </c>
      <c r="H90" s="2937">
        <v>6.0000000000000001E-3</v>
      </c>
      <c r="I90" s="2936">
        <v>6.0000000000000001E-3</v>
      </c>
      <c r="J90" s="2937">
        <v>6.0000000000000001E-3</v>
      </c>
      <c r="K90" s="2938">
        <v>42</v>
      </c>
      <c r="L90" s="2214">
        <v>42</v>
      </c>
      <c r="M90" s="2214">
        <v>42</v>
      </c>
      <c r="N90" s="2212">
        <v>42</v>
      </c>
      <c r="O90" s="2955">
        <v>42</v>
      </c>
      <c r="P90" s="2166">
        <f t="shared" ref="P90:P102" si="26">(F90+G90+H90+I90+J90)/(K90+L90+M90+N90+O90)*1000000</f>
        <v>143</v>
      </c>
      <c r="Q90" s="2939"/>
    </row>
    <row r="91" spans="1:17" s="22" customFormat="1">
      <c r="A91" s="2940">
        <v>216642</v>
      </c>
      <c r="B91" s="2432" t="s">
        <v>447</v>
      </c>
      <c r="C91" s="2941" t="s">
        <v>447</v>
      </c>
      <c r="D91" s="2433" t="s">
        <v>520</v>
      </c>
      <c r="E91" s="2403" t="s">
        <v>49</v>
      </c>
      <c r="F91" s="2348">
        <v>0.01</v>
      </c>
      <c r="G91" s="2348">
        <v>1.2E-2</v>
      </c>
      <c r="H91" s="2434">
        <v>1.2E-2</v>
      </c>
      <c r="I91" s="2434">
        <v>1.2999999999999999E-2</v>
      </c>
      <c r="J91" s="2434">
        <v>1.0999999999999999E-2</v>
      </c>
      <c r="K91" s="824">
        <v>363</v>
      </c>
      <c r="L91" s="807">
        <v>361</v>
      </c>
      <c r="M91" s="814">
        <v>361</v>
      </c>
      <c r="N91" s="1954">
        <v>363</v>
      </c>
      <c r="O91" s="807">
        <v>366</v>
      </c>
      <c r="P91" s="391">
        <f t="shared" si="26"/>
        <v>32</v>
      </c>
      <c r="Q91" s="2942"/>
    </row>
    <row r="92" spans="1:17" s="22" customFormat="1">
      <c r="A92" s="2943">
        <v>220497</v>
      </c>
      <c r="B92" s="2469" t="s">
        <v>448</v>
      </c>
      <c r="C92" s="2469" t="s">
        <v>448</v>
      </c>
      <c r="D92" s="2944"/>
      <c r="E92" s="2403" t="s">
        <v>49</v>
      </c>
      <c r="F92" s="2472">
        <v>6.3E-2</v>
      </c>
      <c r="G92" s="2472">
        <v>0.13</v>
      </c>
      <c r="H92" s="2491">
        <v>6.0999999999999999E-2</v>
      </c>
      <c r="I92" s="2491">
        <v>8.4000000000000005E-2</v>
      </c>
      <c r="J92" s="2491">
        <v>6.4000000000000001E-2</v>
      </c>
      <c r="K92" s="72">
        <v>291</v>
      </c>
      <c r="L92" s="2256">
        <v>289</v>
      </c>
      <c r="M92" s="76">
        <v>288</v>
      </c>
      <c r="N92" s="2255">
        <v>291</v>
      </c>
      <c r="O92" s="2319">
        <v>293</v>
      </c>
      <c r="P92" s="391">
        <f t="shared" si="26"/>
        <v>277</v>
      </c>
      <c r="Q92" s="2945"/>
    </row>
    <row r="93" spans="1:17" s="22" customFormat="1">
      <c r="A93" s="2943">
        <v>217177</v>
      </c>
      <c r="B93" s="2469" t="s">
        <v>449</v>
      </c>
      <c r="C93" s="2469" t="s">
        <v>449</v>
      </c>
      <c r="D93" s="2944"/>
      <c r="E93" s="2403" t="s">
        <v>49</v>
      </c>
      <c r="F93" s="2472">
        <v>2.1999999999999999E-2</v>
      </c>
      <c r="G93" s="2472">
        <v>2.3E-2</v>
      </c>
      <c r="H93" s="2491">
        <v>2.3E-2</v>
      </c>
      <c r="I93" s="2491">
        <v>2.3E-2</v>
      </c>
      <c r="J93" s="2491">
        <v>2.3E-2</v>
      </c>
      <c r="K93" s="72">
        <v>157</v>
      </c>
      <c r="L93" s="2256">
        <v>156</v>
      </c>
      <c r="M93" s="76">
        <v>155</v>
      </c>
      <c r="N93" s="2255">
        <v>155</v>
      </c>
      <c r="O93" s="2319">
        <v>155</v>
      </c>
      <c r="P93" s="2054">
        <f t="shared" si="26"/>
        <v>147</v>
      </c>
      <c r="Q93" s="2945"/>
    </row>
    <row r="94" spans="1:17" s="22" customFormat="1">
      <c r="A94" s="2943">
        <v>216656</v>
      </c>
      <c r="B94" s="2469" t="s">
        <v>450</v>
      </c>
      <c r="C94" s="2946" t="s">
        <v>450</v>
      </c>
      <c r="D94" s="2944" t="s">
        <v>521</v>
      </c>
      <c r="E94" s="2471" t="s">
        <v>49</v>
      </c>
      <c r="F94" s="2472">
        <v>8.0000000000000002E-3</v>
      </c>
      <c r="G94" s="2472">
        <v>0.01</v>
      </c>
      <c r="H94" s="2491">
        <v>1.0999999999999999E-2</v>
      </c>
      <c r="I94" s="2491">
        <v>0.01</v>
      </c>
      <c r="J94" s="2491">
        <v>0.01</v>
      </c>
      <c r="K94" s="72">
        <v>179</v>
      </c>
      <c r="L94" s="2256">
        <v>179</v>
      </c>
      <c r="M94" s="76">
        <v>174</v>
      </c>
      <c r="N94" s="2255">
        <v>171</v>
      </c>
      <c r="O94" s="2319">
        <v>173</v>
      </c>
      <c r="P94" s="2054">
        <f t="shared" si="26"/>
        <v>56</v>
      </c>
      <c r="Q94" s="2945"/>
    </row>
    <row r="95" spans="1:17" s="22" customFormat="1" ht="13.5" thickBot="1">
      <c r="A95" s="2947">
        <v>220881</v>
      </c>
      <c r="B95" s="2712" t="s">
        <v>522</v>
      </c>
      <c r="C95" s="2948" t="s">
        <v>522</v>
      </c>
      <c r="D95" s="2949"/>
      <c r="E95" s="2421" t="s">
        <v>49</v>
      </c>
      <c r="F95" s="2422">
        <v>4.4999999999999998E-2</v>
      </c>
      <c r="G95" s="2422">
        <v>4.4999999999999998E-2</v>
      </c>
      <c r="H95" s="2423">
        <v>4.4999999999999998E-2</v>
      </c>
      <c r="I95" s="2423">
        <v>4.4999999999999998E-2</v>
      </c>
      <c r="J95" s="2423">
        <v>4.4999999999999998E-2</v>
      </c>
      <c r="K95" s="2930">
        <v>300</v>
      </c>
      <c r="L95" s="1966">
        <v>300</v>
      </c>
      <c r="M95" s="1965">
        <v>300</v>
      </c>
      <c r="N95" s="1964">
        <v>300</v>
      </c>
      <c r="O95" s="2954">
        <v>300</v>
      </c>
      <c r="P95" s="799">
        <f t="shared" si="26"/>
        <v>150</v>
      </c>
      <c r="Q95" s="2950"/>
    </row>
    <row r="96" spans="1:17" s="22" customFormat="1" ht="14.25" thickTop="1" thickBot="1">
      <c r="A96" s="3202" t="s">
        <v>523</v>
      </c>
      <c r="B96" s="3401"/>
      <c r="C96" s="3401"/>
      <c r="D96" s="3401"/>
      <c r="E96" s="3203"/>
      <c r="F96" s="2369">
        <f>SUM(F90:F95)</f>
        <v>0.154</v>
      </c>
      <c r="G96" s="2369">
        <f t="shared" ref="G96:O96" si="27">SUM(G90:G95)</f>
        <v>0.22600000000000001</v>
      </c>
      <c r="H96" s="2369">
        <f t="shared" si="27"/>
        <v>0.158</v>
      </c>
      <c r="I96" s="2410">
        <f t="shared" si="27"/>
        <v>0.18099999999999999</v>
      </c>
      <c r="J96" s="2410">
        <f t="shared" si="27"/>
        <v>0.159</v>
      </c>
      <c r="K96" s="2411">
        <f t="shared" si="27"/>
        <v>1332</v>
      </c>
      <c r="L96" s="1980">
        <f t="shared" si="27"/>
        <v>1327</v>
      </c>
      <c r="M96" s="1980">
        <f t="shared" si="27"/>
        <v>1320</v>
      </c>
      <c r="N96" s="1979">
        <f t="shared" si="27"/>
        <v>1322</v>
      </c>
      <c r="O96" s="2371">
        <f t="shared" si="27"/>
        <v>1329</v>
      </c>
      <c r="P96" s="304">
        <f t="shared" si="26"/>
        <v>132</v>
      </c>
      <c r="Q96" s="2931"/>
    </row>
    <row r="97" spans="1:17" s="22" customFormat="1">
      <c r="A97" s="2951">
        <v>215614</v>
      </c>
      <c r="B97" s="130" t="s">
        <v>452</v>
      </c>
      <c r="C97" s="130" t="s">
        <v>452</v>
      </c>
      <c r="D97" s="2919"/>
      <c r="E97" s="2400" t="s">
        <v>50</v>
      </c>
      <c r="F97" s="82">
        <v>6.0000000000000001E-3</v>
      </c>
      <c r="G97" s="82">
        <v>6.0000000000000001E-3</v>
      </c>
      <c r="H97" s="2431">
        <v>6.0000000000000001E-3</v>
      </c>
      <c r="I97" s="2431">
        <v>6.0000000000000001E-3</v>
      </c>
      <c r="J97" s="2431">
        <v>6.0000000000000001E-3</v>
      </c>
      <c r="K97" s="2444">
        <v>30</v>
      </c>
      <c r="L97" s="2169">
        <v>30</v>
      </c>
      <c r="M97" s="2168">
        <v>30</v>
      </c>
      <c r="N97" s="2167">
        <v>30</v>
      </c>
      <c r="O97" s="2377">
        <v>30</v>
      </c>
      <c r="P97" s="2820">
        <f t="shared" si="26"/>
        <v>200</v>
      </c>
      <c r="Q97" s="2952"/>
    </row>
    <row r="98" spans="1:17" s="22" customFormat="1" ht="13.5" thickBot="1">
      <c r="A98" s="2953">
        <v>217482</v>
      </c>
      <c r="B98" s="752" t="s">
        <v>453</v>
      </c>
      <c r="C98" s="752" t="s">
        <v>453</v>
      </c>
      <c r="D98" s="2949"/>
      <c r="E98" s="2421" t="s">
        <v>50</v>
      </c>
      <c r="F98" s="2422">
        <v>3.0000000000000001E-3</v>
      </c>
      <c r="G98" s="2422">
        <v>3.0000000000000001E-3</v>
      </c>
      <c r="H98" s="2423">
        <v>3.0000000000000001E-3</v>
      </c>
      <c r="I98" s="2423">
        <v>3.0000000000000001E-3</v>
      </c>
      <c r="J98" s="2423">
        <v>3.0000000000000001E-3</v>
      </c>
      <c r="K98" s="2930">
        <v>18</v>
      </c>
      <c r="L98" s="1966">
        <v>18</v>
      </c>
      <c r="M98" s="1965">
        <v>18</v>
      </c>
      <c r="N98" s="1964">
        <v>18</v>
      </c>
      <c r="O98" s="2954">
        <v>18</v>
      </c>
      <c r="P98" s="799">
        <f t="shared" si="26"/>
        <v>167</v>
      </c>
      <c r="Q98" s="2950"/>
    </row>
    <row r="99" spans="1:17" s="22" customFormat="1" ht="14.25" thickTop="1" thickBot="1">
      <c r="A99" s="3202" t="s">
        <v>524</v>
      </c>
      <c r="B99" s="3401"/>
      <c r="C99" s="3401"/>
      <c r="D99" s="3401"/>
      <c r="E99" s="3203"/>
      <c r="F99" s="2369">
        <f>F97+F98</f>
        <v>8.9999999999999993E-3</v>
      </c>
      <c r="G99" s="2369">
        <f t="shared" ref="G99:O99" si="28">G97+G98</f>
        <v>8.9999999999999993E-3</v>
      </c>
      <c r="H99" s="2369">
        <f t="shared" si="28"/>
        <v>8.9999999999999993E-3</v>
      </c>
      <c r="I99" s="2410">
        <f t="shared" si="28"/>
        <v>8.9999999999999993E-3</v>
      </c>
      <c r="J99" s="2410">
        <f t="shared" si="28"/>
        <v>8.9999999999999993E-3</v>
      </c>
      <c r="K99" s="2411">
        <f t="shared" si="28"/>
        <v>48</v>
      </c>
      <c r="L99" s="1980">
        <f t="shared" si="28"/>
        <v>48</v>
      </c>
      <c r="M99" s="1980">
        <f t="shared" si="28"/>
        <v>48</v>
      </c>
      <c r="N99" s="1979">
        <f t="shared" si="28"/>
        <v>48</v>
      </c>
      <c r="O99" s="2371">
        <f t="shared" si="28"/>
        <v>48</v>
      </c>
      <c r="P99" s="304">
        <f t="shared" si="26"/>
        <v>188</v>
      </c>
      <c r="Q99" s="2931"/>
    </row>
    <row r="100" spans="1:17" s="22" customFormat="1">
      <c r="A100" s="2951">
        <v>221616</v>
      </c>
      <c r="B100" s="130" t="s">
        <v>454</v>
      </c>
      <c r="C100" s="130" t="s">
        <v>454</v>
      </c>
      <c r="D100" s="2919"/>
      <c r="E100" s="2400" t="s">
        <v>51</v>
      </c>
      <c r="F100" s="82">
        <v>5.0000000000000001E-3</v>
      </c>
      <c r="G100" s="82">
        <v>2E-3</v>
      </c>
      <c r="H100" s="2431">
        <v>2E-3</v>
      </c>
      <c r="I100" s="2431">
        <v>3.0000000000000001E-3</v>
      </c>
      <c r="J100" s="2431">
        <v>3.0000000000000001E-3</v>
      </c>
      <c r="K100" s="2444">
        <v>50</v>
      </c>
      <c r="L100" s="2169">
        <v>41</v>
      </c>
      <c r="M100" s="2168">
        <v>41</v>
      </c>
      <c r="N100" s="2167">
        <v>45</v>
      </c>
      <c r="O100" s="2377">
        <v>48</v>
      </c>
      <c r="P100" s="2820">
        <f t="shared" si="26"/>
        <v>67</v>
      </c>
      <c r="Q100" s="2952"/>
    </row>
    <row r="101" spans="1:17" s="22" customFormat="1" ht="13.5" thickBot="1">
      <c r="A101" s="2953">
        <v>215763</v>
      </c>
      <c r="B101" s="752" t="s">
        <v>455</v>
      </c>
      <c r="C101" s="752" t="s">
        <v>455</v>
      </c>
      <c r="D101" s="2949"/>
      <c r="E101" s="2421" t="s">
        <v>51</v>
      </c>
      <c r="F101" s="2422">
        <v>7.0000000000000001E-3</v>
      </c>
      <c r="G101" s="2422">
        <v>7.0000000000000001E-3</v>
      </c>
      <c r="H101" s="2423">
        <v>7.0000000000000001E-3</v>
      </c>
      <c r="I101" s="2423">
        <v>7.0000000000000001E-3</v>
      </c>
      <c r="J101" s="2423">
        <v>7.0000000000000001E-3</v>
      </c>
      <c r="K101" s="2930">
        <v>48</v>
      </c>
      <c r="L101" s="1966">
        <v>48</v>
      </c>
      <c r="M101" s="1965">
        <v>48</v>
      </c>
      <c r="N101" s="1964">
        <v>48</v>
      </c>
      <c r="O101" s="2954">
        <v>48</v>
      </c>
      <c r="P101" s="799">
        <f t="shared" si="26"/>
        <v>146</v>
      </c>
      <c r="Q101" s="2950"/>
    </row>
    <row r="102" spans="1:17" s="22" customFormat="1" ht="14.25" thickTop="1" thickBot="1">
      <c r="A102" s="3202" t="s">
        <v>525</v>
      </c>
      <c r="B102" s="3401"/>
      <c r="C102" s="3401"/>
      <c r="D102" s="3401"/>
      <c r="E102" s="3203"/>
      <c r="F102" s="2369">
        <f>SUM(F100:F101)</f>
        <v>1.2E-2</v>
      </c>
      <c r="G102" s="2369">
        <f t="shared" ref="G102:O102" si="29">SUM(G100:G101)</f>
        <v>8.9999999999999993E-3</v>
      </c>
      <c r="H102" s="2369">
        <f t="shared" si="29"/>
        <v>8.9999999999999993E-3</v>
      </c>
      <c r="I102" s="2410">
        <f t="shared" si="29"/>
        <v>0.01</v>
      </c>
      <c r="J102" s="2410">
        <f t="shared" si="29"/>
        <v>0.01</v>
      </c>
      <c r="K102" s="2411">
        <f t="shared" si="29"/>
        <v>98</v>
      </c>
      <c r="L102" s="1980">
        <f t="shared" si="29"/>
        <v>89</v>
      </c>
      <c r="M102" s="1980">
        <f t="shared" si="29"/>
        <v>89</v>
      </c>
      <c r="N102" s="1979">
        <f t="shared" si="29"/>
        <v>93</v>
      </c>
      <c r="O102" s="2371">
        <f t="shared" si="29"/>
        <v>96</v>
      </c>
      <c r="P102" s="304">
        <f t="shared" si="26"/>
        <v>108</v>
      </c>
      <c r="Q102" s="2931"/>
    </row>
    <row r="103" spans="1:17" ht="13.5" thickBot="1">
      <c r="A103" s="3307" t="s">
        <v>526</v>
      </c>
      <c r="B103" s="3308"/>
      <c r="C103" s="3308"/>
      <c r="D103" s="3308"/>
      <c r="E103" s="3404"/>
      <c r="F103" s="2369">
        <f>F96+F89+F87+F99+F102</f>
        <v>0.23</v>
      </c>
      <c r="G103" s="2369">
        <f t="shared" ref="G103:J103" si="30">G96+G89+G87+G99+G102</f>
        <v>0.29699999999999999</v>
      </c>
      <c r="H103" s="2369">
        <f t="shared" si="30"/>
        <v>0.23499999999999999</v>
      </c>
      <c r="I103" s="2369">
        <f t="shared" si="30"/>
        <v>0.26400000000000001</v>
      </c>
      <c r="J103" s="2369">
        <f t="shared" si="30"/>
        <v>0.246</v>
      </c>
      <c r="K103" s="1986">
        <f>K96+K89+K87+K99+K102</f>
        <v>1790</v>
      </c>
      <c r="L103" s="2537">
        <f t="shared" ref="L103:O103" si="31">L96+L89+L87+L99+L102</f>
        <v>1776</v>
      </c>
      <c r="M103" s="2537">
        <f t="shared" si="31"/>
        <v>1769</v>
      </c>
      <c r="N103" s="2537">
        <f t="shared" si="31"/>
        <v>1775</v>
      </c>
      <c r="O103" s="2537">
        <f t="shared" si="31"/>
        <v>1785</v>
      </c>
      <c r="P103" s="304">
        <f>(F103+G103+H103+I103+J103)/(K103+L103+M103+N103+O103)*1000000</f>
        <v>143</v>
      </c>
      <c r="Q103" s="2931"/>
    </row>
    <row r="104" spans="1:17">
      <c r="A104" s="89" t="s">
        <v>35</v>
      </c>
    </row>
    <row r="105" spans="1:17">
      <c r="A105" s="1" t="s">
        <v>68</v>
      </c>
    </row>
    <row r="106" spans="1:17">
      <c r="A106" s="1" t="s">
        <v>69</v>
      </c>
    </row>
    <row r="107" spans="1:17">
      <c r="A107" s="1" t="s">
        <v>514</v>
      </c>
      <c r="M107" s="1" t="s">
        <v>36</v>
      </c>
    </row>
    <row r="108" spans="1:17">
      <c r="A108" s="2" t="s">
        <v>343</v>
      </c>
    </row>
    <row r="120" spans="2:2">
      <c r="B120" s="1" t="s">
        <v>36</v>
      </c>
    </row>
  </sheetData>
  <mergeCells count="22">
    <mergeCell ref="A1:Q1"/>
    <mergeCell ref="A72:E72"/>
    <mergeCell ref="A73:E73"/>
    <mergeCell ref="A74:E74"/>
    <mergeCell ref="A103:E103"/>
    <mergeCell ref="A6:E6"/>
    <mergeCell ref="A10:E10"/>
    <mergeCell ref="A33:E33"/>
    <mergeCell ref="A96:E96"/>
    <mergeCell ref="A14:E14"/>
    <mergeCell ref="A35:E35"/>
    <mergeCell ref="A42:E42"/>
    <mergeCell ref="A54:E54"/>
    <mergeCell ref="A59:E59"/>
    <mergeCell ref="A87:E87"/>
    <mergeCell ref="A39:E39"/>
    <mergeCell ref="A99:E99"/>
    <mergeCell ref="A66:E66"/>
    <mergeCell ref="A71:E71"/>
    <mergeCell ref="A102:E102"/>
    <mergeCell ref="A60:Q60"/>
    <mergeCell ref="A89:E89"/>
  </mergeCells>
  <phoneticPr fontId="71" type="noConversion"/>
  <pageMargins left="0.7" right="0.7" top="0.75" bottom="0.75" header="0.3" footer="0.3"/>
  <pageSetup paperSize="3" scale="73" fitToHeight="0" pageOrder="overThenDown" orientation="landscape"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Y53"/>
  <sheetViews>
    <sheetView workbookViewId="0">
      <pane xSplit="1" topLeftCell="B1" activePane="topRight" state="frozen"/>
      <selection pane="topRight" activeCell="C46" sqref="C46"/>
    </sheetView>
  </sheetViews>
  <sheetFormatPr defaultColWidth="9.140625" defaultRowHeight="12.75"/>
  <cols>
    <col min="1" max="1" width="12" style="1" customWidth="1"/>
    <col min="2" max="2" width="11.140625" style="1" customWidth="1"/>
    <col min="3" max="15" width="9.7109375" style="1" customWidth="1"/>
    <col min="16" max="19" width="9.7109375" style="2" customWidth="1"/>
    <col min="20" max="23" width="9.7109375" style="1" customWidth="1"/>
    <col min="24" max="24" width="13" style="1" customWidth="1"/>
    <col min="25" max="25" width="9.7109375" style="2" customWidth="1"/>
    <col min="26" max="31" width="10.42578125" style="1" customWidth="1"/>
    <col min="32" max="33" width="9.85546875" style="1" customWidth="1"/>
    <col min="34" max="35" width="9.28515625" style="1" customWidth="1"/>
    <col min="36" max="36" width="10" style="1" customWidth="1"/>
    <col min="37" max="38" width="9.85546875" style="1" hidden="1" customWidth="1"/>
    <col min="39" max="40" width="9.85546875" style="1" customWidth="1"/>
    <col min="41" max="43" width="9.28515625" style="1" customWidth="1"/>
    <col min="44" max="46" width="9" style="1" customWidth="1"/>
    <col min="47" max="47" width="9.140625" style="1"/>
    <col min="48" max="51" width="10.42578125" style="1" hidden="1" customWidth="1"/>
    <col min="52" max="16384" width="9.140625" style="1"/>
  </cols>
  <sheetData>
    <row r="1" spans="1:51" ht="30" customHeight="1" thickBot="1">
      <c r="A1" s="3224" t="s">
        <v>527</v>
      </c>
      <c r="B1" s="3224"/>
      <c r="C1" s="3224"/>
      <c r="D1" s="3224"/>
      <c r="E1" s="3224"/>
      <c r="F1" s="3224"/>
      <c r="G1" s="3224"/>
      <c r="H1" s="3224"/>
      <c r="I1" s="3224"/>
      <c r="J1" s="3224"/>
      <c r="K1" s="3224"/>
      <c r="L1" s="3224"/>
      <c r="M1" s="3224"/>
      <c r="N1" s="3224"/>
      <c r="O1" s="3224"/>
      <c r="P1" s="3224"/>
      <c r="Q1" s="3224"/>
      <c r="R1" s="3224"/>
      <c r="S1" s="3224"/>
      <c r="T1" s="3224"/>
      <c r="U1" s="3224"/>
      <c r="V1" s="3224"/>
      <c r="W1" s="3224"/>
      <c r="X1" s="3224"/>
      <c r="Y1" s="3224"/>
      <c r="Z1" s="3224"/>
      <c r="AA1" s="3224"/>
      <c r="AB1" s="3224"/>
      <c r="AC1" s="3224"/>
      <c r="AD1" s="3224"/>
      <c r="AE1" s="3224"/>
      <c r="AF1" s="3224"/>
      <c r="AG1" s="3224"/>
      <c r="AH1" s="3224"/>
      <c r="AI1" s="3224"/>
      <c r="AJ1" s="570"/>
      <c r="AK1" s="570"/>
      <c r="AL1" s="570"/>
      <c r="AM1" s="570"/>
      <c r="AN1" s="570"/>
      <c r="AO1" s="570"/>
      <c r="AP1" s="570"/>
      <c r="AQ1" s="570"/>
      <c r="AR1" s="570"/>
      <c r="AS1" s="570"/>
      <c r="AT1" s="570"/>
      <c r="AV1" s="3416" t="s">
        <v>528</v>
      </c>
      <c r="AW1" s="3416"/>
      <c r="AX1" s="3416" t="s">
        <v>529</v>
      </c>
      <c r="AY1" s="3416"/>
    </row>
    <row r="2" spans="1:51" ht="15.75" customHeight="1" thickBot="1">
      <c r="A2" s="3204" t="s">
        <v>1</v>
      </c>
      <c r="B2" s="3206" t="s">
        <v>2</v>
      </c>
      <c r="C2" s="3222" t="s">
        <v>55</v>
      </c>
      <c r="D2" s="3222"/>
      <c r="E2" s="3223"/>
      <c r="F2" s="3221" t="s">
        <v>56</v>
      </c>
      <c r="G2" s="3222"/>
      <c r="H2" s="3222"/>
      <c r="I2" s="3222"/>
      <c r="J2" s="3222"/>
      <c r="K2" s="3222"/>
      <c r="L2" s="3222"/>
      <c r="M2" s="3222"/>
      <c r="N2" s="3222"/>
      <c r="O2" s="3222"/>
      <c r="P2" s="3222"/>
      <c r="Q2" s="3222"/>
      <c r="R2" s="3222"/>
      <c r="S2" s="3222"/>
      <c r="T2" s="3222"/>
      <c r="U2" s="3222"/>
      <c r="V2" s="3222"/>
      <c r="W2" s="3223"/>
      <c r="X2" s="3300" t="s">
        <v>57</v>
      </c>
      <c r="Y2" s="3238" t="s">
        <v>530</v>
      </c>
      <c r="Z2" s="3265" t="s">
        <v>531</v>
      </c>
      <c r="AA2" s="3266"/>
      <c r="AB2" s="3266"/>
      <c r="AC2" s="3266"/>
      <c r="AD2" s="3266"/>
      <c r="AE2" s="3267"/>
      <c r="AF2" s="3350" t="s">
        <v>57</v>
      </c>
      <c r="AG2" s="3261" t="s">
        <v>58</v>
      </c>
      <c r="AH2" s="3262"/>
      <c r="AI2" s="3263"/>
      <c r="AK2" s="3255" t="s">
        <v>80</v>
      </c>
      <c r="AL2" s="3255" t="s">
        <v>532</v>
      </c>
    </row>
    <row r="3" spans="1:51" ht="15" customHeight="1">
      <c r="A3" s="3205"/>
      <c r="B3" s="3207"/>
      <c r="C3" s="3417">
        <v>2015</v>
      </c>
      <c r="D3" s="3418"/>
      <c r="E3" s="3419"/>
      <c r="F3" s="3423">
        <v>2020</v>
      </c>
      <c r="G3" s="3418"/>
      <c r="H3" s="3426"/>
      <c r="I3" s="3417">
        <v>2025</v>
      </c>
      <c r="J3" s="3418"/>
      <c r="K3" s="3419"/>
      <c r="L3" s="3248">
        <v>2030</v>
      </c>
      <c r="M3" s="3249"/>
      <c r="N3" s="3250"/>
      <c r="O3" s="3417">
        <v>2035</v>
      </c>
      <c r="P3" s="3418"/>
      <c r="Q3" s="3419"/>
      <c r="R3" s="3423">
        <v>2040</v>
      </c>
      <c r="S3" s="3418"/>
      <c r="T3" s="3419"/>
      <c r="U3" s="3212">
        <v>2045</v>
      </c>
      <c r="V3" s="3213"/>
      <c r="W3" s="3215"/>
      <c r="X3" s="3301"/>
      <c r="Y3" s="3422"/>
      <c r="Z3" s="3356"/>
      <c r="AA3" s="3357"/>
      <c r="AB3" s="3357"/>
      <c r="AC3" s="3357"/>
      <c r="AD3" s="3357"/>
      <c r="AE3" s="3358"/>
      <c r="AF3" s="3420"/>
      <c r="AG3" s="3356">
        <v>2045</v>
      </c>
      <c r="AH3" s="3357"/>
      <c r="AI3" s="3358"/>
      <c r="AK3" s="3256"/>
      <c r="AL3" s="3256"/>
    </row>
    <row r="4" spans="1:51" ht="15.75" customHeight="1" thickBot="1">
      <c r="A4" s="3485"/>
      <c r="B4" s="3208"/>
      <c r="C4" s="1669" t="s">
        <v>60</v>
      </c>
      <c r="D4" s="1017" t="s">
        <v>61</v>
      </c>
      <c r="E4" s="1656" t="s">
        <v>18</v>
      </c>
      <c r="F4" s="1655" t="s">
        <v>60</v>
      </c>
      <c r="G4" s="1657" t="s">
        <v>61</v>
      </c>
      <c r="H4" s="1658" t="s">
        <v>18</v>
      </c>
      <c r="I4" s="1669" t="s">
        <v>60</v>
      </c>
      <c r="J4" s="1017" t="s">
        <v>61</v>
      </c>
      <c r="K4" s="1656" t="s">
        <v>18</v>
      </c>
      <c r="L4" s="1655" t="s">
        <v>60</v>
      </c>
      <c r="M4" s="1657" t="s">
        <v>61</v>
      </c>
      <c r="N4" s="1658" t="s">
        <v>18</v>
      </c>
      <c r="O4" s="1669" t="s">
        <v>60</v>
      </c>
      <c r="P4" s="1017" t="s">
        <v>61</v>
      </c>
      <c r="Q4" s="1656" t="s">
        <v>18</v>
      </c>
      <c r="R4" s="1655" t="s">
        <v>60</v>
      </c>
      <c r="S4" s="1657" t="s">
        <v>61</v>
      </c>
      <c r="T4" s="1661" t="s">
        <v>18</v>
      </c>
      <c r="U4" s="1655" t="s">
        <v>60</v>
      </c>
      <c r="V4" s="1660" t="s">
        <v>61</v>
      </c>
      <c r="W4" s="1658" t="s">
        <v>18</v>
      </c>
      <c r="X4" s="3302"/>
      <c r="Y4" s="3016">
        <v>2015</v>
      </c>
      <c r="Z4" s="1687">
        <v>2020</v>
      </c>
      <c r="AA4" s="1688">
        <v>2025</v>
      </c>
      <c r="AB4" s="1688">
        <v>2030</v>
      </c>
      <c r="AC4" s="1688">
        <v>2035</v>
      </c>
      <c r="AD4" s="1688">
        <v>2040</v>
      </c>
      <c r="AE4" s="3021">
        <v>2045</v>
      </c>
      <c r="AF4" s="3421"/>
      <c r="AG4" s="1133" t="s">
        <v>60</v>
      </c>
      <c r="AH4" s="1134" t="s">
        <v>61</v>
      </c>
      <c r="AI4" s="1135" t="s">
        <v>18</v>
      </c>
      <c r="AK4" s="3257"/>
      <c r="AL4" s="3257"/>
    </row>
    <row r="5" spans="1:51">
      <c r="A5" s="443" t="s">
        <v>14</v>
      </c>
      <c r="B5" s="443" t="s">
        <v>15</v>
      </c>
      <c r="C5" s="6">
        <v>2.99</v>
      </c>
      <c r="D5" s="7">
        <v>0</v>
      </c>
      <c r="E5" s="179">
        <f>SUM(C5:D5)</f>
        <v>2.99</v>
      </c>
      <c r="F5" s="9">
        <f>($C$5/$E$5)*H5</f>
        <v>3.13</v>
      </c>
      <c r="G5" s="10">
        <f>H5-F5</f>
        <v>0</v>
      </c>
      <c r="H5" s="11">
        <f>'Table 7a '!F14</f>
        <v>3.13</v>
      </c>
      <c r="I5" s="6">
        <f>($C$5/$E$5)*K5</f>
        <v>3.18</v>
      </c>
      <c r="J5" s="7">
        <f>K5-I5</f>
        <v>0</v>
      </c>
      <c r="K5" s="8">
        <f>'Table 7a '!H14</f>
        <v>3.18</v>
      </c>
      <c r="L5" s="9">
        <f>($C$5/$E$5)*N5</f>
        <v>3.27</v>
      </c>
      <c r="M5" s="10">
        <f>N5-L5</f>
        <v>0</v>
      </c>
      <c r="N5" s="11">
        <f>'Table 7a '!J14</f>
        <v>3.27</v>
      </c>
      <c r="O5" s="584">
        <f>($C$5/$E$5)*Q5</f>
        <v>3.39</v>
      </c>
      <c r="P5" s="445">
        <f>Q5-O5</f>
        <v>0</v>
      </c>
      <c r="Q5" s="449">
        <f>'Table 7a '!L14</f>
        <v>3.39</v>
      </c>
      <c r="R5" s="444">
        <f>($C$5/$E$5)*T5</f>
        <v>3.52</v>
      </c>
      <c r="S5" s="585">
        <f>T5-R5</f>
        <v>0</v>
      </c>
      <c r="T5" s="803">
        <f>'Table 7a '!$N$14</f>
        <v>3.52</v>
      </c>
      <c r="U5" s="957">
        <f>($C$5/$E$5)*W5</f>
        <v>3.56</v>
      </c>
      <c r="V5" s="958">
        <f>W5-U5</f>
        <v>0</v>
      </c>
      <c r="W5" s="941">
        <f>'Table 7a '!$P$14</f>
        <v>3.56</v>
      </c>
      <c r="X5" s="203">
        <f>(W5-E5)/E5</f>
        <v>0.19</v>
      </c>
      <c r="Y5" s="372">
        <f>'Table 7a '!C14</f>
        <v>1911</v>
      </c>
      <c r="Z5" s="45">
        <f>'Table 7a '!E14</f>
        <v>1820</v>
      </c>
      <c r="AA5" s="12">
        <f>'Table 7a '!G14</f>
        <v>1829</v>
      </c>
      <c r="AB5" s="12">
        <f>'Table 7a '!I14</f>
        <v>1951</v>
      </c>
      <c r="AC5" s="12">
        <f>'Table 7a '!K14</f>
        <v>2006</v>
      </c>
      <c r="AD5" s="12">
        <f>'Table 7a '!M14</f>
        <v>2078</v>
      </c>
      <c r="AE5" s="962">
        <f>'Table 7a '!O14</f>
        <v>2098</v>
      </c>
      <c r="AF5" s="13">
        <f>(AE5-Y5)/Y5</f>
        <v>0.1</v>
      </c>
      <c r="AG5" s="47">
        <f>($C$5/$E$5)*AI5</f>
        <v>5.44</v>
      </c>
      <c r="AH5" s="14">
        <f>AI5-AG5</f>
        <v>0</v>
      </c>
      <c r="AI5" s="811">
        <f>'Table 7a '!S14</f>
        <v>5.44</v>
      </c>
      <c r="AK5" s="1626">
        <f>W5-E5</f>
        <v>0.56999999999999995</v>
      </c>
      <c r="AL5" s="1639">
        <f>AE5-Y5</f>
        <v>187</v>
      </c>
    </row>
    <row r="6" spans="1:51" ht="13.5" thickBot="1">
      <c r="A6" s="579" t="s">
        <v>14</v>
      </c>
      <c r="B6" s="579" t="s">
        <v>17</v>
      </c>
      <c r="C6" s="875">
        <v>12.22</v>
      </c>
      <c r="D6" s="410">
        <v>0</v>
      </c>
      <c r="E6" s="180">
        <f>SUM(C6:D6)</f>
        <v>12.22</v>
      </c>
      <c r="F6" s="18">
        <f>($C$6/$E$6)*H6</f>
        <v>11.25</v>
      </c>
      <c r="G6" s="412">
        <f>H6-F6</f>
        <v>0</v>
      </c>
      <c r="H6" s="876">
        <f>'Table 7a '!F25</f>
        <v>11.25</v>
      </c>
      <c r="I6" s="875">
        <f>($C$6/$E$6)*K6</f>
        <v>11.45</v>
      </c>
      <c r="J6" s="410">
        <f>K6-I6</f>
        <v>0</v>
      </c>
      <c r="K6" s="17">
        <f>'Table 7a '!H25</f>
        <v>11.45</v>
      </c>
      <c r="L6" s="18">
        <f>($C$6/$E$6)*N6</f>
        <v>11.54</v>
      </c>
      <c r="M6" s="412">
        <f>N6-L6</f>
        <v>0</v>
      </c>
      <c r="N6" s="876">
        <f>'Table 7a '!J25</f>
        <v>11.54</v>
      </c>
      <c r="O6" s="1137">
        <f>($C$6/$E$6)*Q6</f>
        <v>11.79</v>
      </c>
      <c r="P6" s="531">
        <f>Q6-O6</f>
        <v>0</v>
      </c>
      <c r="Q6" s="523">
        <f>'Table 7a '!L25</f>
        <v>11.79</v>
      </c>
      <c r="R6" s="467">
        <f>($C$6/$E$6)*T6</f>
        <v>11.97</v>
      </c>
      <c r="S6" s="562">
        <f>T6-R6</f>
        <v>0</v>
      </c>
      <c r="T6" s="804">
        <f>'Table 7a '!N25</f>
        <v>11.97</v>
      </c>
      <c r="U6" s="959">
        <f>($C$6/$E$6)*W6</f>
        <v>12.24</v>
      </c>
      <c r="V6" s="960">
        <f>W6-U6</f>
        <v>0</v>
      </c>
      <c r="W6" s="942">
        <f>'Table 7a '!P25</f>
        <v>12.24</v>
      </c>
      <c r="X6" s="205">
        <f t="shared" ref="X6:X27" si="0">(W6-E6)/E6</f>
        <v>0</v>
      </c>
      <c r="Y6" s="719">
        <f>'Table 7a '!C25</f>
        <v>9777</v>
      </c>
      <c r="Z6" s="929">
        <f>'Table 7a '!E25</f>
        <v>10239</v>
      </c>
      <c r="AA6" s="580">
        <f>'Table 7a '!G25</f>
        <v>10405</v>
      </c>
      <c r="AB6" s="580">
        <f>'Table 7a '!I25</f>
        <v>10470</v>
      </c>
      <c r="AC6" s="580">
        <f>'Table 7a '!K25</f>
        <v>10601</v>
      </c>
      <c r="AD6" s="580">
        <f>'Table 7a '!M25</f>
        <v>10721</v>
      </c>
      <c r="AE6" s="963">
        <f>'Table 7a '!O25</f>
        <v>10909</v>
      </c>
      <c r="AF6" s="581">
        <f t="shared" ref="AF6:AF27" si="1">(AE6-Y6)/Y6</f>
        <v>0.12</v>
      </c>
      <c r="AG6" s="48">
        <f>($C$6/$E$6)*AI6</f>
        <v>15.72</v>
      </c>
      <c r="AH6" s="366">
        <f>AI6-AG6</f>
        <v>0</v>
      </c>
      <c r="AI6" s="815">
        <f>'Table 7a '!S25</f>
        <v>15.72</v>
      </c>
      <c r="AK6" s="1623">
        <f t="shared" ref="AK6:AK27" si="2">W6-E6</f>
        <v>0.02</v>
      </c>
      <c r="AL6" s="1637">
        <f t="shared" ref="AL6:AL27" si="3">AE6-Y6</f>
        <v>1132</v>
      </c>
    </row>
    <row r="7" spans="1:51" s="22" customFormat="1" ht="14.25" thickTop="1" thickBot="1">
      <c r="A7" s="476" t="s">
        <v>14</v>
      </c>
      <c r="B7" s="476" t="s">
        <v>18</v>
      </c>
      <c r="C7" s="586">
        <f t="shared" ref="C7:T7" si="4">SUM(C5:C6)</f>
        <v>15.21</v>
      </c>
      <c r="D7" s="318">
        <f t="shared" si="4"/>
        <v>0</v>
      </c>
      <c r="E7" s="565">
        <f t="shared" si="4"/>
        <v>15.21</v>
      </c>
      <c r="F7" s="356">
        <f t="shared" si="4"/>
        <v>14.38</v>
      </c>
      <c r="G7" s="316">
        <f t="shared" si="4"/>
        <v>0</v>
      </c>
      <c r="H7" s="353">
        <f t="shared" si="4"/>
        <v>14.38</v>
      </c>
      <c r="I7" s="586">
        <f t="shared" ref="I7" si="5">SUM(I5:I6)</f>
        <v>14.63</v>
      </c>
      <c r="J7" s="318">
        <f t="shared" si="4"/>
        <v>0</v>
      </c>
      <c r="K7" s="565">
        <f t="shared" si="4"/>
        <v>14.63</v>
      </c>
      <c r="L7" s="356">
        <f t="shared" ref="L7" si="6">SUM(L5:L6)</f>
        <v>14.81</v>
      </c>
      <c r="M7" s="316">
        <f t="shared" si="4"/>
        <v>0</v>
      </c>
      <c r="N7" s="353">
        <f t="shared" si="4"/>
        <v>14.81</v>
      </c>
      <c r="O7" s="587">
        <f t="shared" ref="O7" si="7">SUM(O5:O6)</f>
        <v>15.18</v>
      </c>
      <c r="P7" s="483">
        <f t="shared" si="4"/>
        <v>0</v>
      </c>
      <c r="Q7" s="484">
        <f t="shared" si="4"/>
        <v>15.18</v>
      </c>
      <c r="R7" s="482">
        <f t="shared" ref="R7" si="8">SUM(R5:R6)</f>
        <v>15.49</v>
      </c>
      <c r="S7" s="554">
        <f t="shared" si="4"/>
        <v>0</v>
      </c>
      <c r="T7" s="484">
        <f t="shared" si="4"/>
        <v>15.49</v>
      </c>
      <c r="U7" s="482">
        <f t="shared" ref="U7" si="9">SUM(U5:U6)</f>
        <v>15.8</v>
      </c>
      <c r="V7" s="485">
        <f t="shared" ref="V7:W7" si="10">SUM(V5:V6)</f>
        <v>0</v>
      </c>
      <c r="W7" s="486">
        <f t="shared" si="10"/>
        <v>15.8</v>
      </c>
      <c r="X7" s="548">
        <f t="shared" si="0"/>
        <v>0.04</v>
      </c>
      <c r="Y7" s="382">
        <f t="shared" ref="Y7" si="11">SUM(Y5:Y6)</f>
        <v>11688</v>
      </c>
      <c r="Z7" s="577">
        <f t="shared" ref="Z7" si="12">SUM(Z5:Z6)</f>
        <v>12059</v>
      </c>
      <c r="AA7" s="578">
        <f t="shared" ref="AA7" si="13">SUM(AA5:AA6)</f>
        <v>12234</v>
      </c>
      <c r="AB7" s="578">
        <f t="shared" ref="AB7" si="14">SUM(AB5:AB6)</f>
        <v>12421</v>
      </c>
      <c r="AC7" s="578">
        <f t="shared" ref="AC7" si="15">SUM(AC5:AC6)</f>
        <v>12607</v>
      </c>
      <c r="AD7" s="578">
        <f t="shared" ref="AD7" si="16">SUM(AD5:AD6)</f>
        <v>12799</v>
      </c>
      <c r="AE7" s="964">
        <f t="shared" ref="AE7" si="17">SUM(AE5:AE6)</f>
        <v>13007</v>
      </c>
      <c r="AF7" s="567">
        <f t="shared" si="1"/>
        <v>0.11</v>
      </c>
      <c r="AG7" s="139">
        <f>SUM(AG5:AG6)</f>
        <v>21.16</v>
      </c>
      <c r="AH7" s="104">
        <f>SUM(AH5:AH6)</f>
        <v>0</v>
      </c>
      <c r="AI7" s="640">
        <f>SUM(AI5:AI6)</f>
        <v>21.16</v>
      </c>
      <c r="AK7" s="1629">
        <f t="shared" si="2"/>
        <v>0.59</v>
      </c>
      <c r="AL7" s="1640">
        <f t="shared" si="3"/>
        <v>1319</v>
      </c>
    </row>
    <row r="8" spans="1:51">
      <c r="A8" s="475" t="s">
        <v>19</v>
      </c>
      <c r="B8" s="475" t="s">
        <v>15</v>
      </c>
      <c r="C8" s="442">
        <v>0.36</v>
      </c>
      <c r="D8" s="113">
        <v>0.2</v>
      </c>
      <c r="E8" s="143">
        <f t="shared" ref="E8:E24" si="18">SUM(C8:D8)</f>
        <v>0.56000000000000005</v>
      </c>
      <c r="F8" s="151">
        <f>($C$8/$E$8)*H8</f>
        <v>0.28000000000000003</v>
      </c>
      <c r="G8" s="123">
        <f>H8-F8</f>
        <v>0.15</v>
      </c>
      <c r="H8" s="152">
        <f>'Table 7a '!F47</f>
        <v>0.43</v>
      </c>
      <c r="I8" s="442">
        <f>($C$8/$E$8)*K8</f>
        <v>0.28000000000000003</v>
      </c>
      <c r="J8" s="113">
        <f>K8-I8</f>
        <v>0.16</v>
      </c>
      <c r="K8" s="143">
        <f>'Table 7a '!H47</f>
        <v>0.44</v>
      </c>
      <c r="L8" s="151">
        <f>($C$8/$E$8)*N8</f>
        <v>0.28999999999999998</v>
      </c>
      <c r="M8" s="123">
        <f>N8-L8</f>
        <v>0.16</v>
      </c>
      <c r="N8" s="152">
        <f>'Table 7a '!J47</f>
        <v>0.45</v>
      </c>
      <c r="O8" s="588">
        <f>($C$8/$E$8)*Q8</f>
        <v>0.28999999999999998</v>
      </c>
      <c r="P8" s="465">
        <f>Q8-O8</f>
        <v>0.16</v>
      </c>
      <c r="Q8" s="520">
        <f>'Table 7a '!L47</f>
        <v>0.45</v>
      </c>
      <c r="R8" s="464">
        <f>($C$8/$E$8)*T8</f>
        <v>0.3</v>
      </c>
      <c r="S8" s="559">
        <f>T8-R8</f>
        <v>0.17</v>
      </c>
      <c r="T8" s="520">
        <f>'Table 7a '!N47</f>
        <v>0.47</v>
      </c>
      <c r="U8" s="464">
        <f>($C$8/$E$8)*W8</f>
        <v>0.3</v>
      </c>
      <c r="V8" s="466">
        <f>W8-U8</f>
        <v>0.17</v>
      </c>
      <c r="W8" s="518">
        <f>'Table 7a '!P47</f>
        <v>0.47</v>
      </c>
      <c r="X8" s="204">
        <f t="shared" si="0"/>
        <v>-0.16</v>
      </c>
      <c r="Y8" s="404">
        <f>'Table 7a '!C47</f>
        <v>208</v>
      </c>
      <c r="Z8" s="155">
        <f>'Table 7a '!E47</f>
        <v>208</v>
      </c>
      <c r="AA8" s="135">
        <f>'Table 7a '!G47</f>
        <v>208</v>
      </c>
      <c r="AB8" s="135">
        <f>'Table 7a '!I47</f>
        <v>208</v>
      </c>
      <c r="AC8" s="135">
        <f>'Table 7a '!K47</f>
        <v>208</v>
      </c>
      <c r="AD8" s="135">
        <f>'Table 7a '!M47</f>
        <v>208</v>
      </c>
      <c r="AE8" s="965">
        <f>'Table 7a '!O47</f>
        <v>208</v>
      </c>
      <c r="AF8" s="144">
        <f t="shared" si="1"/>
        <v>0</v>
      </c>
      <c r="AG8" s="149">
        <f>($C$8/$E$8)*AI8</f>
        <v>0.35</v>
      </c>
      <c r="AH8" s="159">
        <f>AI8-AG8</f>
        <v>0.2</v>
      </c>
      <c r="AI8" s="678">
        <f>'Table 7a '!S47</f>
        <v>0.55000000000000004</v>
      </c>
      <c r="AK8" s="1625">
        <f t="shared" si="2"/>
        <v>-0.09</v>
      </c>
      <c r="AL8" s="1641">
        <f t="shared" si="3"/>
        <v>0</v>
      </c>
    </row>
    <row r="9" spans="1:51" ht="13.5" thickBot="1">
      <c r="A9" s="579" t="s">
        <v>19</v>
      </c>
      <c r="B9" s="579" t="s">
        <v>17</v>
      </c>
      <c r="C9" s="875">
        <v>0</v>
      </c>
      <c r="D9" s="410">
        <v>0</v>
      </c>
      <c r="E9" s="17">
        <f t="shared" si="18"/>
        <v>0</v>
      </c>
      <c r="F9" s="18">
        <v>0</v>
      </c>
      <c r="G9" s="412">
        <v>0</v>
      </c>
      <c r="H9" s="876">
        <f>'Table 7a '!F58</f>
        <v>0</v>
      </c>
      <c r="I9" s="875">
        <v>0</v>
      </c>
      <c r="J9" s="410">
        <v>0</v>
      </c>
      <c r="K9" s="17">
        <f>'Table 7a '!H58</f>
        <v>0</v>
      </c>
      <c r="L9" s="18">
        <v>0</v>
      </c>
      <c r="M9" s="412">
        <v>0</v>
      </c>
      <c r="N9" s="876">
        <f>'Table 7a '!J58</f>
        <v>0</v>
      </c>
      <c r="O9" s="1137">
        <v>0</v>
      </c>
      <c r="P9" s="531">
        <v>0</v>
      </c>
      <c r="Q9" s="523">
        <f>'Table 7a '!L58</f>
        <v>0</v>
      </c>
      <c r="R9" s="467">
        <v>0</v>
      </c>
      <c r="S9" s="562">
        <v>0</v>
      </c>
      <c r="T9" s="523">
        <f>'Table 7a '!N58</f>
        <v>0</v>
      </c>
      <c r="U9" s="467">
        <v>0</v>
      </c>
      <c r="V9" s="532">
        <v>0</v>
      </c>
      <c r="W9" s="943">
        <f>'Table 7a '!P58</f>
        <v>0</v>
      </c>
      <c r="X9" s="205" t="s">
        <v>16</v>
      </c>
      <c r="Y9" s="719">
        <f>'Table 7a '!C58</f>
        <v>0</v>
      </c>
      <c r="Z9" s="929">
        <f>'Table 7a '!E58</f>
        <v>0</v>
      </c>
      <c r="AA9" s="580">
        <f>'Table 7a '!G58</f>
        <v>0</v>
      </c>
      <c r="AB9" s="580">
        <f>'Table 7a '!I58</f>
        <v>0</v>
      </c>
      <c r="AC9" s="580">
        <f>'Table 7a '!K58</f>
        <v>0</v>
      </c>
      <c r="AD9" s="580">
        <f>'Table 7a '!M58</f>
        <v>0</v>
      </c>
      <c r="AE9" s="963">
        <f>'Table 7a '!O58</f>
        <v>0</v>
      </c>
      <c r="AF9" s="581" t="s">
        <v>16</v>
      </c>
      <c r="AG9" s="48">
        <v>0</v>
      </c>
      <c r="AH9" s="366">
        <v>0</v>
      </c>
      <c r="AI9" s="644">
        <f>'Table 7a '!S58</f>
        <v>0</v>
      </c>
      <c r="AK9" s="1623">
        <f t="shared" si="2"/>
        <v>0</v>
      </c>
      <c r="AL9" s="1637">
        <f t="shared" si="3"/>
        <v>0</v>
      </c>
    </row>
    <row r="10" spans="1:51" s="22" customFormat="1" ht="14.25" thickTop="1" thickBot="1">
      <c r="A10" s="279" t="s">
        <v>19</v>
      </c>
      <c r="B10" s="279" t="s">
        <v>18</v>
      </c>
      <c r="C10" s="31">
        <f t="shared" ref="C10:T10" si="19">SUM(C8:C9)</f>
        <v>0.36</v>
      </c>
      <c r="D10" s="32">
        <f t="shared" si="19"/>
        <v>0.2</v>
      </c>
      <c r="E10" s="33">
        <f t="shared" si="19"/>
        <v>0.56000000000000005</v>
      </c>
      <c r="F10" s="36">
        <f t="shared" si="19"/>
        <v>0.28000000000000003</v>
      </c>
      <c r="G10" s="165">
        <f t="shared" si="19"/>
        <v>0.15</v>
      </c>
      <c r="H10" s="38">
        <f t="shared" si="19"/>
        <v>0.43</v>
      </c>
      <c r="I10" s="31">
        <f t="shared" ref="I10" si="20">SUM(I8:I9)</f>
        <v>0.28000000000000003</v>
      </c>
      <c r="J10" s="32">
        <f t="shared" si="19"/>
        <v>0.16</v>
      </c>
      <c r="K10" s="33">
        <f t="shared" si="19"/>
        <v>0.44</v>
      </c>
      <c r="L10" s="36">
        <f t="shared" ref="L10" si="21">SUM(L8:L9)</f>
        <v>0.28999999999999998</v>
      </c>
      <c r="M10" s="165">
        <f t="shared" si="19"/>
        <v>0.16</v>
      </c>
      <c r="N10" s="38">
        <f t="shared" si="19"/>
        <v>0.45</v>
      </c>
      <c r="O10" s="589">
        <f t="shared" ref="O10" si="22">SUM(O8:O9)</f>
        <v>0.28999999999999998</v>
      </c>
      <c r="P10" s="471">
        <f t="shared" si="19"/>
        <v>0.16</v>
      </c>
      <c r="Q10" s="472">
        <f t="shared" si="19"/>
        <v>0.45</v>
      </c>
      <c r="R10" s="470">
        <f t="shared" ref="R10" si="23">SUM(R8:R9)</f>
        <v>0.3</v>
      </c>
      <c r="S10" s="555">
        <f t="shared" si="19"/>
        <v>0.17</v>
      </c>
      <c r="T10" s="472">
        <f t="shared" si="19"/>
        <v>0.47</v>
      </c>
      <c r="U10" s="470">
        <f t="shared" ref="U10" si="24">SUM(U8:U9)</f>
        <v>0.3</v>
      </c>
      <c r="V10" s="473">
        <f t="shared" ref="V10:W10" si="25">SUM(V8:V9)</f>
        <v>0.17</v>
      </c>
      <c r="W10" s="474">
        <f t="shared" si="25"/>
        <v>0.47</v>
      </c>
      <c r="X10" s="206">
        <f t="shared" si="0"/>
        <v>-0.16</v>
      </c>
      <c r="Y10" s="379">
        <f t="shared" ref="Y10:AD10" si="26">SUM(Y8:Y9)</f>
        <v>208</v>
      </c>
      <c r="Z10" s="582">
        <f t="shared" si="26"/>
        <v>208</v>
      </c>
      <c r="AA10" s="583">
        <f t="shared" si="26"/>
        <v>208</v>
      </c>
      <c r="AB10" s="583">
        <f t="shared" si="26"/>
        <v>208</v>
      </c>
      <c r="AC10" s="583">
        <f t="shared" si="26"/>
        <v>208</v>
      </c>
      <c r="AD10" s="583">
        <f t="shared" si="26"/>
        <v>208</v>
      </c>
      <c r="AE10" s="966">
        <f t="shared" ref="AE10" si="27">SUM(AE8:AE9)</f>
        <v>208</v>
      </c>
      <c r="AF10" s="183">
        <f t="shared" si="1"/>
        <v>0</v>
      </c>
      <c r="AG10" s="34">
        <f>SUM(AG8:AG9)</f>
        <v>0.35</v>
      </c>
      <c r="AH10" s="20">
        <f>SUM(AH8:AH9)</f>
        <v>0.2</v>
      </c>
      <c r="AI10" s="657">
        <f>SUM(AI8:AI9)</f>
        <v>0.55000000000000004</v>
      </c>
      <c r="AK10" s="1624">
        <f t="shared" si="2"/>
        <v>-0.09</v>
      </c>
      <c r="AL10" s="1638">
        <f t="shared" si="3"/>
        <v>0</v>
      </c>
    </row>
    <row r="11" spans="1:51">
      <c r="A11" s="475" t="s">
        <v>20</v>
      </c>
      <c r="B11" s="475" t="s">
        <v>15</v>
      </c>
      <c r="C11" s="442">
        <v>0</v>
      </c>
      <c r="D11" s="113">
        <v>0</v>
      </c>
      <c r="E11" s="143">
        <f t="shared" si="18"/>
        <v>0</v>
      </c>
      <c r="F11" s="151">
        <v>0</v>
      </c>
      <c r="G11" s="123">
        <f>H11-F11</f>
        <v>0</v>
      </c>
      <c r="H11" s="152">
        <f>'Table 7a '!F83</f>
        <v>0</v>
      </c>
      <c r="I11" s="442">
        <v>0</v>
      </c>
      <c r="J11" s="113">
        <f>K11-I11</f>
        <v>0</v>
      </c>
      <c r="K11" s="143">
        <f>'Table 7a '!H83</f>
        <v>0</v>
      </c>
      <c r="L11" s="151">
        <v>0</v>
      </c>
      <c r="M11" s="123">
        <f>N11-L11</f>
        <v>0</v>
      </c>
      <c r="N11" s="152">
        <f>'Table 7a '!J83</f>
        <v>0</v>
      </c>
      <c r="O11" s="588">
        <v>0</v>
      </c>
      <c r="P11" s="465">
        <f>Q11-O11</f>
        <v>0</v>
      </c>
      <c r="Q11" s="520">
        <f>'Table 7a '!L83</f>
        <v>0</v>
      </c>
      <c r="R11" s="464">
        <v>0</v>
      </c>
      <c r="S11" s="559">
        <f>T11-R11</f>
        <v>0</v>
      </c>
      <c r="T11" s="520">
        <f>'Table 7a '!N83</f>
        <v>0</v>
      </c>
      <c r="U11" s="464">
        <v>0</v>
      </c>
      <c r="V11" s="466">
        <f>W11-U11</f>
        <v>0</v>
      </c>
      <c r="W11" s="518">
        <f>'Table 7a '!P83</f>
        <v>0</v>
      </c>
      <c r="X11" s="204" t="s">
        <v>16</v>
      </c>
      <c r="Y11" s="404">
        <f>'Table 7a '!C83</f>
        <v>0</v>
      </c>
      <c r="Z11" s="155">
        <f>'Table 7a '!E83</f>
        <v>0</v>
      </c>
      <c r="AA11" s="135">
        <f>'Table 7a '!G83</f>
        <v>0</v>
      </c>
      <c r="AB11" s="135">
        <f>'Table 7a '!I83</f>
        <v>0</v>
      </c>
      <c r="AC11" s="135">
        <f>'Table 7a '!K83</f>
        <v>0</v>
      </c>
      <c r="AD11" s="135">
        <f>'Table 7a '!M83</f>
        <v>0</v>
      </c>
      <c r="AE11" s="965">
        <f>'Table 7a '!O83</f>
        <v>0</v>
      </c>
      <c r="AF11" s="144" t="s">
        <v>16</v>
      </c>
      <c r="AG11" s="149">
        <v>0</v>
      </c>
      <c r="AH11" s="159">
        <f>AI11-AG11</f>
        <v>0</v>
      </c>
      <c r="AI11" s="678">
        <f>'Table 7a '!S83</f>
        <v>0</v>
      </c>
      <c r="AK11" s="1625">
        <f t="shared" si="2"/>
        <v>0</v>
      </c>
      <c r="AL11" s="1641">
        <f t="shared" si="3"/>
        <v>0</v>
      </c>
    </row>
    <row r="12" spans="1:51" ht="13.5" thickBot="1">
      <c r="A12" s="579" t="s">
        <v>20</v>
      </c>
      <c r="B12" s="579" t="s">
        <v>17</v>
      </c>
      <c r="C12" s="875">
        <v>1.82</v>
      </c>
      <c r="D12" s="410">
        <v>0</v>
      </c>
      <c r="E12" s="17">
        <f t="shared" si="18"/>
        <v>1.82</v>
      </c>
      <c r="F12" s="18">
        <f>($C$12/$E$12)*H12</f>
        <v>1.89</v>
      </c>
      <c r="G12" s="412">
        <f>H12-F12</f>
        <v>0</v>
      </c>
      <c r="H12" s="876">
        <f>'Table 7a '!F94</f>
        <v>1.89</v>
      </c>
      <c r="I12" s="875">
        <f>($C$12/$E$12)*K12</f>
        <v>1.87</v>
      </c>
      <c r="J12" s="410">
        <f>K12-I12</f>
        <v>0</v>
      </c>
      <c r="K12" s="17">
        <f>'Table 7a '!H94</f>
        <v>1.87</v>
      </c>
      <c r="L12" s="18">
        <f>($C$12/$E$12)*N12</f>
        <v>1.85</v>
      </c>
      <c r="M12" s="412">
        <f>N12-L12</f>
        <v>0</v>
      </c>
      <c r="N12" s="876">
        <f>'Table 7a '!J94</f>
        <v>1.85</v>
      </c>
      <c r="O12" s="1137">
        <f>($C$12/$E$12)*Q12</f>
        <v>1.88</v>
      </c>
      <c r="P12" s="531">
        <f>Q12-O12</f>
        <v>0</v>
      </c>
      <c r="Q12" s="523">
        <f>'Table 7a '!L94</f>
        <v>1.88</v>
      </c>
      <c r="R12" s="556">
        <f>($C$12/$E$12)*T12</f>
        <v>1.87</v>
      </c>
      <c r="S12" s="557">
        <f>T12-R12</f>
        <v>0</v>
      </c>
      <c r="T12" s="523">
        <f>'Table 7a '!N94</f>
        <v>1.87</v>
      </c>
      <c r="U12" s="556">
        <f>($C$12/$E$12)*W12</f>
        <v>1.86</v>
      </c>
      <c r="V12" s="961">
        <f>W12-U12</f>
        <v>0</v>
      </c>
      <c r="W12" s="558">
        <f>'Table 7a '!P94</f>
        <v>1.86</v>
      </c>
      <c r="X12" s="806">
        <f t="shared" si="0"/>
        <v>0.02</v>
      </c>
      <c r="Y12" s="719">
        <f>'Table 7a '!C94</f>
        <v>1636</v>
      </c>
      <c r="Z12" s="929">
        <f>'Table 7a '!E94</f>
        <v>1499</v>
      </c>
      <c r="AA12" s="580">
        <f>'Table 7a '!G94</f>
        <v>1499</v>
      </c>
      <c r="AB12" s="580">
        <f>'Table 7a '!I94</f>
        <v>1499</v>
      </c>
      <c r="AC12" s="580">
        <f>'Table 7a '!K94</f>
        <v>1499</v>
      </c>
      <c r="AD12" s="580">
        <f>'Table 7a '!M94</f>
        <v>1499</v>
      </c>
      <c r="AE12" s="963">
        <f>'Table 7a '!O94</f>
        <v>1499</v>
      </c>
      <c r="AF12" s="581">
        <f t="shared" si="1"/>
        <v>-0.08</v>
      </c>
      <c r="AG12" s="48">
        <f>($C$12/$E$12)*AI12</f>
        <v>2.38</v>
      </c>
      <c r="AH12" s="366">
        <f>AI12-AG12</f>
        <v>0</v>
      </c>
      <c r="AI12" s="644">
        <f>'Table 7a '!S94</f>
        <v>2.38</v>
      </c>
      <c r="AK12" s="1623">
        <f t="shared" si="2"/>
        <v>0.04</v>
      </c>
      <c r="AL12" s="1637">
        <f t="shared" si="3"/>
        <v>-137</v>
      </c>
    </row>
    <row r="13" spans="1:51" s="22" customFormat="1" ht="14.25" thickTop="1" thickBot="1">
      <c r="A13" s="279" t="s">
        <v>20</v>
      </c>
      <c r="B13" s="279" t="s">
        <v>18</v>
      </c>
      <c r="C13" s="31">
        <f t="shared" ref="C13:T13" si="28">SUM(C11:C12)</f>
        <v>1.82</v>
      </c>
      <c r="D13" s="32">
        <f t="shared" si="28"/>
        <v>0</v>
      </c>
      <c r="E13" s="33">
        <f t="shared" si="28"/>
        <v>1.82</v>
      </c>
      <c r="F13" s="36">
        <f t="shared" si="28"/>
        <v>1.89</v>
      </c>
      <c r="G13" s="165">
        <f t="shared" si="28"/>
        <v>0</v>
      </c>
      <c r="H13" s="38">
        <f t="shared" si="28"/>
        <v>1.89</v>
      </c>
      <c r="I13" s="31">
        <f t="shared" ref="I13" si="29">SUM(I11:I12)</f>
        <v>1.87</v>
      </c>
      <c r="J13" s="32">
        <f t="shared" si="28"/>
        <v>0</v>
      </c>
      <c r="K13" s="33">
        <f t="shared" si="28"/>
        <v>1.87</v>
      </c>
      <c r="L13" s="36">
        <f t="shared" ref="L13" si="30">SUM(L11:L12)</f>
        <v>1.85</v>
      </c>
      <c r="M13" s="165">
        <f t="shared" si="28"/>
        <v>0</v>
      </c>
      <c r="N13" s="38">
        <f t="shared" si="28"/>
        <v>1.85</v>
      </c>
      <c r="O13" s="589">
        <f t="shared" ref="O13" si="31">SUM(O11:O12)</f>
        <v>1.88</v>
      </c>
      <c r="P13" s="471">
        <f t="shared" si="28"/>
        <v>0</v>
      </c>
      <c r="Q13" s="472">
        <f t="shared" si="28"/>
        <v>1.88</v>
      </c>
      <c r="R13" s="470">
        <f t="shared" ref="R13" si="32">SUM(R11:R12)</f>
        <v>1.87</v>
      </c>
      <c r="S13" s="555">
        <f t="shared" si="28"/>
        <v>0</v>
      </c>
      <c r="T13" s="472">
        <f t="shared" si="28"/>
        <v>1.87</v>
      </c>
      <c r="U13" s="470">
        <f t="shared" ref="U13" si="33">SUM(U11:U12)</f>
        <v>1.86</v>
      </c>
      <c r="V13" s="473">
        <f t="shared" ref="V13:W13" si="34">SUM(V11:V12)</f>
        <v>0</v>
      </c>
      <c r="W13" s="474">
        <f t="shared" si="34"/>
        <v>1.86</v>
      </c>
      <c r="X13" s="206">
        <f t="shared" si="0"/>
        <v>0.02</v>
      </c>
      <c r="Y13" s="379">
        <f t="shared" ref="Y13:AD13" si="35">SUM(Y11:Y12)</f>
        <v>1636</v>
      </c>
      <c r="Z13" s="582">
        <f t="shared" si="35"/>
        <v>1499</v>
      </c>
      <c r="AA13" s="583">
        <f t="shared" si="35"/>
        <v>1499</v>
      </c>
      <c r="AB13" s="583">
        <f t="shared" si="35"/>
        <v>1499</v>
      </c>
      <c r="AC13" s="583">
        <f t="shared" si="35"/>
        <v>1499</v>
      </c>
      <c r="AD13" s="583">
        <f t="shared" si="35"/>
        <v>1499</v>
      </c>
      <c r="AE13" s="966">
        <f t="shared" ref="AE13" si="36">SUM(AE11:AE12)</f>
        <v>1499</v>
      </c>
      <c r="AF13" s="183">
        <f t="shared" si="1"/>
        <v>-0.08</v>
      </c>
      <c r="AG13" s="34">
        <f>SUM(AG11:AG12)</f>
        <v>2.38</v>
      </c>
      <c r="AH13" s="20">
        <f>SUM(AH11:AH12)</f>
        <v>0</v>
      </c>
      <c r="AI13" s="657">
        <f>SUM(AI11:AI12)</f>
        <v>2.38</v>
      </c>
      <c r="AK13" s="1624">
        <f t="shared" si="2"/>
        <v>0.04</v>
      </c>
      <c r="AL13" s="1638">
        <f t="shared" si="3"/>
        <v>-137</v>
      </c>
    </row>
    <row r="14" spans="1:51">
      <c r="A14" s="455" t="s">
        <v>21</v>
      </c>
      <c r="B14" s="455" t="s">
        <v>15</v>
      </c>
      <c r="C14" s="885">
        <v>1.1000000000000001</v>
      </c>
      <c r="D14" s="884">
        <v>0.13</v>
      </c>
      <c r="E14" s="395">
        <f t="shared" si="18"/>
        <v>1.23</v>
      </c>
      <c r="F14" s="883">
        <f>($C$14/$E$14)*H14</f>
        <v>1.23</v>
      </c>
      <c r="G14" s="321">
        <f t="shared" ref="G14:G19" si="37">H14-F14</f>
        <v>0.14000000000000001</v>
      </c>
      <c r="H14" s="914">
        <f>'Table 7a '!F116</f>
        <v>1.37</v>
      </c>
      <c r="I14" s="885">
        <f>($C$14/$E$14)*K14</f>
        <v>1.23</v>
      </c>
      <c r="J14" s="884">
        <f t="shared" ref="J14:J19" si="38">K14-I14</f>
        <v>0.15</v>
      </c>
      <c r="K14" s="395">
        <f>'Table 7a '!H116</f>
        <v>1.38</v>
      </c>
      <c r="L14" s="883">
        <f>($C$14/$E$14)*N14</f>
        <v>1.23</v>
      </c>
      <c r="M14" s="321">
        <f t="shared" ref="M14:M19" si="39">N14-L14</f>
        <v>0.15</v>
      </c>
      <c r="N14" s="914">
        <f>'Table 7a '!J116</f>
        <v>1.38</v>
      </c>
      <c r="O14" s="915">
        <f>($C$14/$E$14)*Q14</f>
        <v>1.24</v>
      </c>
      <c r="P14" s="916">
        <f t="shared" ref="P14:P19" si="40">Q14-O14</f>
        <v>0.15</v>
      </c>
      <c r="Q14" s="454">
        <f>'Table 7a '!L116</f>
        <v>1.39</v>
      </c>
      <c r="R14" s="444">
        <f>($C$14/$E$14)*T14</f>
        <v>1.26</v>
      </c>
      <c r="S14" s="585">
        <f t="shared" ref="S14:S19" si="41">T14-R14</f>
        <v>0.15</v>
      </c>
      <c r="T14" s="454">
        <f>'Table 7a '!N116</f>
        <v>1.41</v>
      </c>
      <c r="U14" s="444">
        <f>($C$14/$E$14)*W14</f>
        <v>1.28</v>
      </c>
      <c r="V14" s="446">
        <f t="shared" ref="V14:V24" si="42">W14-U14</f>
        <v>0.15</v>
      </c>
      <c r="W14" s="450">
        <f>'Table 7a '!P116</f>
        <v>1.43</v>
      </c>
      <c r="X14" s="203">
        <f t="shared" si="0"/>
        <v>0.16</v>
      </c>
      <c r="Y14" s="394">
        <f>'Table 7a '!C116</f>
        <v>727</v>
      </c>
      <c r="Z14" s="917">
        <f>'Table 7a '!E116</f>
        <v>714</v>
      </c>
      <c r="AA14" s="918">
        <f>'Table 7a '!G116</f>
        <v>714</v>
      </c>
      <c r="AB14" s="918">
        <f>'Table 7a '!I116</f>
        <v>714</v>
      </c>
      <c r="AC14" s="918">
        <f>'Table 7a '!K116</f>
        <v>714</v>
      </c>
      <c r="AD14" s="918">
        <f>'Table 7a '!M116</f>
        <v>714</v>
      </c>
      <c r="AE14" s="967">
        <f>'Table 7a '!O116</f>
        <v>714</v>
      </c>
      <c r="AF14" s="919">
        <f t="shared" si="1"/>
        <v>-0.02</v>
      </c>
      <c r="AG14" s="823">
        <f>($C$14/$E$14)*AI14</f>
        <v>1.54</v>
      </c>
      <c r="AH14" s="322">
        <f t="shared" ref="AH14:AH19" si="43">AI14-AG14</f>
        <v>0.18</v>
      </c>
      <c r="AI14" s="641">
        <f>'Table 7a '!S116</f>
        <v>1.72</v>
      </c>
      <c r="AK14" s="1627">
        <f t="shared" si="2"/>
        <v>0.2</v>
      </c>
      <c r="AL14" s="1635">
        <f t="shared" si="3"/>
        <v>-13</v>
      </c>
    </row>
    <row r="15" spans="1:51">
      <c r="A15" s="455" t="s">
        <v>22</v>
      </c>
      <c r="B15" s="455" t="s">
        <v>17</v>
      </c>
      <c r="C15" s="885">
        <v>4.66</v>
      </c>
      <c r="D15" s="884">
        <v>0</v>
      </c>
      <c r="E15" s="395">
        <f t="shared" si="18"/>
        <v>4.66</v>
      </c>
      <c r="F15" s="883">
        <f>($C$15/$E$15)*H15</f>
        <v>4.34</v>
      </c>
      <c r="G15" s="321">
        <f t="shared" si="37"/>
        <v>0</v>
      </c>
      <c r="H15" s="914">
        <f>'Table 7a '!F127</f>
        <v>4.34</v>
      </c>
      <c r="I15" s="885">
        <f>($C$15/$E$15)*K15</f>
        <v>5.47</v>
      </c>
      <c r="J15" s="884">
        <f t="shared" si="38"/>
        <v>0</v>
      </c>
      <c r="K15" s="395">
        <f>'Table 7a '!H127</f>
        <v>5.47</v>
      </c>
      <c r="L15" s="883">
        <f>($C$15/$E$15)*N15</f>
        <v>6.41</v>
      </c>
      <c r="M15" s="321">
        <f t="shared" si="39"/>
        <v>0</v>
      </c>
      <c r="N15" s="914">
        <f>'Table 7a '!J127</f>
        <v>6.41</v>
      </c>
      <c r="O15" s="915">
        <f>($C$15/$E$15)*Q15</f>
        <v>7.35</v>
      </c>
      <c r="P15" s="916">
        <f t="shared" si="40"/>
        <v>0</v>
      </c>
      <c r="Q15" s="454">
        <f>'Table 7a '!L127</f>
        <v>7.35</v>
      </c>
      <c r="R15" s="444">
        <f>($C$15/$E$15)*T15</f>
        <v>8.49</v>
      </c>
      <c r="S15" s="585">
        <f t="shared" si="41"/>
        <v>0</v>
      </c>
      <c r="T15" s="454">
        <f>'Table 7a '!N127</f>
        <v>8.49</v>
      </c>
      <c r="U15" s="444">
        <f>($C$15/$E$15)*W15</f>
        <v>9.64</v>
      </c>
      <c r="V15" s="446">
        <f t="shared" si="42"/>
        <v>0</v>
      </c>
      <c r="W15" s="450">
        <f>'Table 7a '!P127</f>
        <v>9.64</v>
      </c>
      <c r="X15" s="203">
        <f t="shared" si="0"/>
        <v>1.07</v>
      </c>
      <c r="Y15" s="394">
        <f>'Table 7a '!C127</f>
        <v>3882</v>
      </c>
      <c r="Z15" s="917">
        <f>'Table 7a '!E127</f>
        <v>4290</v>
      </c>
      <c r="AA15" s="918">
        <f>'Table 7a '!G127</f>
        <v>5129</v>
      </c>
      <c r="AB15" s="918">
        <f>'Table 7a '!I127</f>
        <v>5973</v>
      </c>
      <c r="AC15" s="918">
        <f>'Table 7a '!K127</f>
        <v>6782</v>
      </c>
      <c r="AD15" s="918">
        <f>'Table 7a '!M127</f>
        <v>7590</v>
      </c>
      <c r="AE15" s="967">
        <f>'Table 7a '!O127</f>
        <v>8421</v>
      </c>
      <c r="AF15" s="919">
        <f t="shared" si="1"/>
        <v>1.17</v>
      </c>
      <c r="AG15" s="823">
        <f>($C$15/$E$15)*AI15</f>
        <v>12.22</v>
      </c>
      <c r="AH15" s="322">
        <f t="shared" si="43"/>
        <v>0</v>
      </c>
      <c r="AI15" s="641">
        <f>'Table 7a '!S127</f>
        <v>12.22</v>
      </c>
      <c r="AK15" s="1627">
        <f t="shared" si="2"/>
        <v>4.9800000000000004</v>
      </c>
      <c r="AL15" s="1635">
        <f t="shared" si="3"/>
        <v>4539</v>
      </c>
    </row>
    <row r="16" spans="1:51">
      <c r="A16" s="455" t="s">
        <v>23</v>
      </c>
      <c r="B16" s="455" t="s">
        <v>15</v>
      </c>
      <c r="C16" s="885">
        <v>0.1</v>
      </c>
      <c r="D16" s="884">
        <v>1.66</v>
      </c>
      <c r="E16" s="395">
        <f t="shared" si="18"/>
        <v>1.76</v>
      </c>
      <c r="F16" s="883">
        <f>($C$16/$E$16)*H16</f>
        <v>0.09</v>
      </c>
      <c r="G16" s="321">
        <f t="shared" si="37"/>
        <v>1.51</v>
      </c>
      <c r="H16" s="914">
        <f>'Table 7a '!F141</f>
        <v>1.6</v>
      </c>
      <c r="I16" s="885">
        <f>($C$16/$E$16)*K16</f>
        <v>0.09</v>
      </c>
      <c r="J16" s="884">
        <f t="shared" si="38"/>
        <v>1.52</v>
      </c>
      <c r="K16" s="395">
        <f>'Table 7a '!H141</f>
        <v>1.61</v>
      </c>
      <c r="L16" s="883">
        <f>($C$16/$E$16)*N16</f>
        <v>0.09</v>
      </c>
      <c r="M16" s="321">
        <f t="shared" si="39"/>
        <v>1.53</v>
      </c>
      <c r="N16" s="914">
        <f>'Table 7a '!J141</f>
        <v>1.62</v>
      </c>
      <c r="O16" s="915">
        <f>($C$16/$E$16)*Q16</f>
        <v>0.09</v>
      </c>
      <c r="P16" s="916">
        <f t="shared" si="40"/>
        <v>1.52</v>
      </c>
      <c r="Q16" s="454">
        <f>'Table 7a '!L141</f>
        <v>1.61</v>
      </c>
      <c r="R16" s="444">
        <f>($C$16/$E$16)*T16</f>
        <v>0.09</v>
      </c>
      <c r="S16" s="585">
        <f t="shared" si="41"/>
        <v>1.53</v>
      </c>
      <c r="T16" s="454">
        <f>'Table 7a '!N141</f>
        <v>1.62</v>
      </c>
      <c r="U16" s="444">
        <f>($C$16/$E$16)*W16</f>
        <v>0.09</v>
      </c>
      <c r="V16" s="446">
        <f t="shared" si="42"/>
        <v>1.52</v>
      </c>
      <c r="W16" s="450">
        <f>'Table 7a '!P141</f>
        <v>1.61</v>
      </c>
      <c r="X16" s="203">
        <f t="shared" si="0"/>
        <v>-0.09</v>
      </c>
      <c r="Y16" s="394">
        <f>'Table 7a '!C141</f>
        <v>1287</v>
      </c>
      <c r="Z16" s="917">
        <f>'Table 7a '!E141</f>
        <v>1288</v>
      </c>
      <c r="AA16" s="918">
        <f>'Table 7a '!G141</f>
        <v>1288</v>
      </c>
      <c r="AB16" s="918">
        <f>'Table 7a '!I141</f>
        <v>1288</v>
      </c>
      <c r="AC16" s="918">
        <f>'Table 7a '!K141</f>
        <v>1288</v>
      </c>
      <c r="AD16" s="918">
        <f>'Table 7a '!M141</f>
        <v>1288</v>
      </c>
      <c r="AE16" s="967">
        <f>'Table 7a '!O141</f>
        <v>1288</v>
      </c>
      <c r="AF16" s="919">
        <f t="shared" si="1"/>
        <v>0</v>
      </c>
      <c r="AG16" s="823">
        <f>($C$16/$E$16)*AI16</f>
        <v>0.11</v>
      </c>
      <c r="AH16" s="322">
        <f t="shared" si="43"/>
        <v>1.83</v>
      </c>
      <c r="AI16" s="641">
        <f>'Table 7a '!S141</f>
        <v>1.94</v>
      </c>
      <c r="AK16" s="1627">
        <f t="shared" si="2"/>
        <v>-0.15</v>
      </c>
      <c r="AL16" s="1635">
        <f t="shared" si="3"/>
        <v>1</v>
      </c>
    </row>
    <row r="17" spans="1:38">
      <c r="A17" s="455" t="s">
        <v>24</v>
      </c>
      <c r="B17" s="455" t="s">
        <v>15</v>
      </c>
      <c r="C17" s="885">
        <v>6.45</v>
      </c>
      <c r="D17" s="884">
        <v>0.41</v>
      </c>
      <c r="E17" s="395">
        <f t="shared" si="18"/>
        <v>6.86</v>
      </c>
      <c r="F17" s="883">
        <f>($C$17/$E$17)*H17</f>
        <v>10.56</v>
      </c>
      <c r="G17" s="321">
        <f t="shared" si="37"/>
        <v>0.67</v>
      </c>
      <c r="H17" s="914">
        <f>'Table 7a '!F152</f>
        <v>11.23</v>
      </c>
      <c r="I17" s="885">
        <f>($C$17/$E$17)*K17</f>
        <v>10.47</v>
      </c>
      <c r="J17" s="884">
        <f t="shared" si="38"/>
        <v>0.67</v>
      </c>
      <c r="K17" s="395">
        <f>'Table 7a '!H152</f>
        <v>11.14</v>
      </c>
      <c r="L17" s="883">
        <f>($C$17/$E$17)*N17</f>
        <v>10.34</v>
      </c>
      <c r="M17" s="321">
        <f t="shared" si="39"/>
        <v>0.66</v>
      </c>
      <c r="N17" s="914">
        <f>'Table 7a '!J152</f>
        <v>11</v>
      </c>
      <c r="O17" s="915">
        <f>($C$17/$E$17)*Q17</f>
        <v>10.32</v>
      </c>
      <c r="P17" s="916">
        <f t="shared" si="40"/>
        <v>0.66</v>
      </c>
      <c r="Q17" s="454">
        <f>'Table 7a '!L152</f>
        <v>10.98</v>
      </c>
      <c r="R17" s="444">
        <f>($C$17/$E$17)*T17</f>
        <v>10.199999999999999</v>
      </c>
      <c r="S17" s="585">
        <f t="shared" si="41"/>
        <v>0.65</v>
      </c>
      <c r="T17" s="454">
        <f>'Table 7a '!N152</f>
        <v>10.85</v>
      </c>
      <c r="U17" s="444">
        <f>($C$17/$E$17)*W17</f>
        <v>10.130000000000001</v>
      </c>
      <c r="V17" s="446">
        <f t="shared" si="42"/>
        <v>0.64</v>
      </c>
      <c r="W17" s="450">
        <f>'Table 7a '!P152</f>
        <v>10.77</v>
      </c>
      <c r="X17" s="203">
        <f t="shared" si="0"/>
        <v>0.56999999999999995</v>
      </c>
      <c r="Y17" s="394">
        <f>'Table 7a '!C152</f>
        <v>9504</v>
      </c>
      <c r="Z17" s="917">
        <f>'Table 7a '!E152</f>
        <v>9408</v>
      </c>
      <c r="AA17" s="918">
        <f>'Table 7a '!G152</f>
        <v>9212</v>
      </c>
      <c r="AB17" s="918">
        <f>'Table 7a '!I152</f>
        <v>9061</v>
      </c>
      <c r="AC17" s="918">
        <f>'Table 7a '!K152</f>
        <v>8948</v>
      </c>
      <c r="AD17" s="918">
        <f>'Table 7a '!M152</f>
        <v>8761</v>
      </c>
      <c r="AE17" s="967">
        <f>'Table 7a '!O152</f>
        <v>8644</v>
      </c>
      <c r="AF17" s="919">
        <f t="shared" si="1"/>
        <v>-0.09</v>
      </c>
      <c r="AG17" s="823">
        <f>($C$17/$E$17)*AI17</f>
        <v>14.24</v>
      </c>
      <c r="AH17" s="322">
        <f t="shared" si="43"/>
        <v>0.9</v>
      </c>
      <c r="AI17" s="641">
        <f>'Table 7a '!S152</f>
        <v>15.14</v>
      </c>
      <c r="AK17" s="1627">
        <f t="shared" si="2"/>
        <v>3.91</v>
      </c>
      <c r="AL17" s="1635">
        <f t="shared" si="3"/>
        <v>-860</v>
      </c>
    </row>
    <row r="18" spans="1:38">
      <c r="A18" s="455" t="s">
        <v>533</v>
      </c>
      <c r="B18" s="455" t="s">
        <v>17</v>
      </c>
      <c r="C18" s="885">
        <v>19.010000000000002</v>
      </c>
      <c r="D18" s="884">
        <v>0</v>
      </c>
      <c r="E18" s="395">
        <f t="shared" si="18"/>
        <v>19.010000000000002</v>
      </c>
      <c r="F18" s="883">
        <f>($C$18/$E$18)*H18</f>
        <v>19</v>
      </c>
      <c r="G18" s="321">
        <f t="shared" si="37"/>
        <v>0</v>
      </c>
      <c r="H18" s="914">
        <f>'Table 7a '!F163</f>
        <v>19</v>
      </c>
      <c r="I18" s="885">
        <f>($C$18/$E$18)*K18</f>
        <v>19.649999999999999</v>
      </c>
      <c r="J18" s="884">
        <f t="shared" si="38"/>
        <v>0</v>
      </c>
      <c r="K18" s="395">
        <f>'Table 7a '!H163</f>
        <v>19.649999999999999</v>
      </c>
      <c r="L18" s="883">
        <f>($C$18/$E$18)*N18</f>
        <v>20.3</v>
      </c>
      <c r="M18" s="321">
        <f t="shared" si="39"/>
        <v>0</v>
      </c>
      <c r="N18" s="914">
        <f>'Table 7a '!J163</f>
        <v>20.3</v>
      </c>
      <c r="O18" s="915">
        <f>($C$18/$E$18)*Q18</f>
        <v>21.06</v>
      </c>
      <c r="P18" s="916">
        <f t="shared" si="40"/>
        <v>0</v>
      </c>
      <c r="Q18" s="454">
        <f>'Table 7a '!L163</f>
        <v>21.06</v>
      </c>
      <c r="R18" s="827">
        <f>($C$18/$E$18)*T18</f>
        <v>21.78</v>
      </c>
      <c r="S18" s="560">
        <f t="shared" si="41"/>
        <v>0</v>
      </c>
      <c r="T18" s="454">
        <f>'Table 7a '!N163</f>
        <v>21.78</v>
      </c>
      <c r="U18" s="827">
        <f>($C$18/$E$18)*W18</f>
        <v>22.57</v>
      </c>
      <c r="V18" s="452">
        <f t="shared" si="42"/>
        <v>0</v>
      </c>
      <c r="W18" s="940">
        <f>'Table 7a '!P163</f>
        <v>22.57</v>
      </c>
      <c r="X18" s="203">
        <f t="shared" si="0"/>
        <v>0.19</v>
      </c>
      <c r="Y18" s="718">
        <f>'Table 7a '!C163</f>
        <v>15560</v>
      </c>
      <c r="Z18" s="1875">
        <f>'Table 7a '!E163</f>
        <v>19934</v>
      </c>
      <c r="AA18" s="1876">
        <f>'Table 7a '!G163</f>
        <v>20378</v>
      </c>
      <c r="AB18" s="1876">
        <f>'Table 7a '!I163</f>
        <v>20823</v>
      </c>
      <c r="AC18" s="1876">
        <f>'Table 7a '!K163</f>
        <v>21271</v>
      </c>
      <c r="AD18" s="1876">
        <f>'Table 7a '!M163</f>
        <v>21734</v>
      </c>
      <c r="AE18" s="968">
        <f>'Table 7a '!O163</f>
        <v>22191</v>
      </c>
      <c r="AF18" s="919">
        <f t="shared" si="1"/>
        <v>0.43</v>
      </c>
      <c r="AG18" s="820">
        <f>($C$18/$E$18)*AI18</f>
        <v>28.32</v>
      </c>
      <c r="AH18" s="1872">
        <f t="shared" si="43"/>
        <v>0</v>
      </c>
      <c r="AI18" s="643">
        <f>'Table 7a '!S163</f>
        <v>28.32</v>
      </c>
      <c r="AK18" s="1628">
        <f t="shared" si="2"/>
        <v>3.56</v>
      </c>
      <c r="AL18" s="1642">
        <f t="shared" si="3"/>
        <v>6631</v>
      </c>
    </row>
    <row r="19" spans="1:38">
      <c r="A19" s="458" t="s">
        <v>26</v>
      </c>
      <c r="B19" s="458" t="s">
        <v>17</v>
      </c>
      <c r="C19" s="569">
        <v>16.100000000000001</v>
      </c>
      <c r="D19" s="354">
        <v>0</v>
      </c>
      <c r="E19" s="565">
        <f t="shared" si="18"/>
        <v>16.100000000000001</v>
      </c>
      <c r="F19" s="158">
        <f>($C$19/$E$19)*H19</f>
        <v>13.95</v>
      </c>
      <c r="G19" s="355">
        <f t="shared" si="37"/>
        <v>0</v>
      </c>
      <c r="H19" s="353">
        <f>'Table 7a '!F174</f>
        <v>13.95</v>
      </c>
      <c r="I19" s="569">
        <f>($C$19/$E$19)*K19</f>
        <v>14.69</v>
      </c>
      <c r="J19" s="354">
        <f t="shared" si="38"/>
        <v>0</v>
      </c>
      <c r="K19" s="565">
        <f>'Table 7a '!H174</f>
        <v>14.69</v>
      </c>
      <c r="L19" s="158">
        <f>($C$19/$E$19)*N19</f>
        <v>15.36</v>
      </c>
      <c r="M19" s="355">
        <f t="shared" si="39"/>
        <v>0</v>
      </c>
      <c r="N19" s="353">
        <f>'Table 7a '!J174</f>
        <v>15.36</v>
      </c>
      <c r="O19" s="591">
        <f>($C$19/$E$19)*Q19</f>
        <v>16.100000000000001</v>
      </c>
      <c r="P19" s="460">
        <f t="shared" si="40"/>
        <v>0</v>
      </c>
      <c r="Q19" s="484">
        <f>'Table 7a '!L174</f>
        <v>16.100000000000001</v>
      </c>
      <c r="R19" s="444">
        <f>($C$19/$E$19)*T19</f>
        <v>16.86</v>
      </c>
      <c r="S19" s="585">
        <f t="shared" si="41"/>
        <v>0</v>
      </c>
      <c r="T19" s="484">
        <f>'Table 7a '!N174</f>
        <v>16.86</v>
      </c>
      <c r="U19" s="459">
        <f>($C$19/$E$19)*W19</f>
        <v>17.55</v>
      </c>
      <c r="V19" s="461">
        <f t="shared" si="42"/>
        <v>0</v>
      </c>
      <c r="W19" s="486">
        <f>'Table 7a '!P174</f>
        <v>17.55</v>
      </c>
      <c r="X19" s="203">
        <f t="shared" si="0"/>
        <v>0.09</v>
      </c>
      <c r="Y19" s="718">
        <f>'Table 7a '!C174</f>
        <v>13692</v>
      </c>
      <c r="Z19" s="1875">
        <f>'Table 7a '!E174</f>
        <v>13996</v>
      </c>
      <c r="AA19" s="1876">
        <f>'Table 7a '!G174</f>
        <v>14483</v>
      </c>
      <c r="AB19" s="1876">
        <f>'Table 7a '!I174</f>
        <v>14959</v>
      </c>
      <c r="AC19" s="1876">
        <f>'Table 7a '!K174</f>
        <v>15448</v>
      </c>
      <c r="AD19" s="1876">
        <f>'Table 7a '!M174</f>
        <v>15951</v>
      </c>
      <c r="AE19" s="968">
        <f>'Table 7a '!O174</f>
        <v>16429</v>
      </c>
      <c r="AF19" s="919">
        <f t="shared" si="1"/>
        <v>0.2</v>
      </c>
      <c r="AG19" s="820">
        <f>($C$19/$E$19)*AI19</f>
        <v>22.45</v>
      </c>
      <c r="AH19" s="1872">
        <f t="shared" si="43"/>
        <v>0</v>
      </c>
      <c r="AI19" s="643">
        <f>'Table 7a '!S174</f>
        <v>22.45</v>
      </c>
      <c r="AK19" s="1628">
        <f t="shared" si="2"/>
        <v>1.45</v>
      </c>
      <c r="AL19" s="1642">
        <f t="shared" si="3"/>
        <v>2737</v>
      </c>
    </row>
    <row r="20" spans="1:38">
      <c r="A20" s="365" t="s">
        <v>27</v>
      </c>
      <c r="B20" s="365" t="s">
        <v>15</v>
      </c>
      <c r="C20" s="885">
        <v>0.67</v>
      </c>
      <c r="D20" s="884">
        <v>0</v>
      </c>
      <c r="E20" s="395">
        <f t="shared" si="18"/>
        <v>0.67</v>
      </c>
      <c r="F20" s="883">
        <f>($C$20/$E$20)*H20</f>
        <v>0.95</v>
      </c>
      <c r="G20" s="321">
        <f t="shared" ref="G20:G24" si="44">H20-F20</f>
        <v>0</v>
      </c>
      <c r="H20" s="914">
        <f>'Table 7a '!F185</f>
        <v>0.95</v>
      </c>
      <c r="I20" s="885">
        <f>($C$20/$E$20)*K20</f>
        <v>0.97</v>
      </c>
      <c r="J20" s="884">
        <f t="shared" ref="J20:J24" si="45">K20-I20</f>
        <v>0</v>
      </c>
      <c r="K20" s="395">
        <f>'Table 7a '!H185</f>
        <v>0.97</v>
      </c>
      <c r="L20" s="883">
        <f>($C$20/$E$20)*N20</f>
        <v>0.97</v>
      </c>
      <c r="M20" s="321">
        <f t="shared" ref="M20:M24" si="46">N20-L20</f>
        <v>0</v>
      </c>
      <c r="N20" s="914">
        <f>'Table 7a '!J185</f>
        <v>0.97</v>
      </c>
      <c r="O20" s="920">
        <f>($C$20/$E$20)*Q20</f>
        <v>0.98</v>
      </c>
      <c r="P20" s="921">
        <f t="shared" ref="P20:P24" si="47">Q20-O20</f>
        <v>0</v>
      </c>
      <c r="Q20" s="574">
        <f>'Table 7a '!L185</f>
        <v>0.98</v>
      </c>
      <c r="R20" s="3">
        <f>($C$20/$E$20)*T20</f>
        <v>0.98</v>
      </c>
      <c r="S20" s="5">
        <f t="shared" ref="S20:S24" si="48">T20-R20</f>
        <v>0</v>
      </c>
      <c r="T20" s="574">
        <f>'Table 7a '!N185</f>
        <v>0.98</v>
      </c>
      <c r="U20" s="922">
        <f>($C$20/$E$20)*W20</f>
        <v>1.17</v>
      </c>
      <c r="V20" s="953">
        <f t="shared" si="42"/>
        <v>0</v>
      </c>
      <c r="W20" s="944">
        <f>'Table 7a '!P185</f>
        <v>1.17</v>
      </c>
      <c r="X20" s="546">
        <f t="shared" si="0"/>
        <v>0.75</v>
      </c>
      <c r="Y20" s="394">
        <f>'Table 7a '!C185</f>
        <v>825</v>
      </c>
      <c r="Z20" s="917">
        <f>'Table 7a '!E185</f>
        <v>821</v>
      </c>
      <c r="AA20" s="918">
        <f>'Table 7a '!G185</f>
        <v>821</v>
      </c>
      <c r="AB20" s="918">
        <f>'Table 7a '!I185</f>
        <v>821</v>
      </c>
      <c r="AC20" s="918">
        <f>'Table 7a '!K185</f>
        <v>821</v>
      </c>
      <c r="AD20" s="918">
        <f>'Table 7a '!M185</f>
        <v>821</v>
      </c>
      <c r="AE20" s="967">
        <f>'Table 7a '!O185</f>
        <v>821</v>
      </c>
      <c r="AF20" s="919">
        <f t="shared" si="1"/>
        <v>0</v>
      </c>
      <c r="AG20" s="823">
        <f>($C$20/$E$20)*AI20</f>
        <v>1.29</v>
      </c>
      <c r="AH20" s="322">
        <f t="shared" ref="AH20:AH24" si="49">AI20-AG20</f>
        <v>0</v>
      </c>
      <c r="AI20" s="812">
        <f>'Table 7a '!S185</f>
        <v>1.29</v>
      </c>
      <c r="AK20" s="1627">
        <f t="shared" si="2"/>
        <v>0.5</v>
      </c>
      <c r="AL20" s="1635">
        <f t="shared" si="3"/>
        <v>-4</v>
      </c>
    </row>
    <row r="21" spans="1:38">
      <c r="A21" s="365" t="s">
        <v>28</v>
      </c>
      <c r="B21" s="365" t="s">
        <v>15</v>
      </c>
      <c r="C21" s="885">
        <v>15.5</v>
      </c>
      <c r="D21" s="884">
        <v>0.26</v>
      </c>
      <c r="E21" s="395">
        <f t="shared" si="18"/>
        <v>15.76</v>
      </c>
      <c r="F21" s="883">
        <f>($C$21/$E$21)*H21</f>
        <v>16.75</v>
      </c>
      <c r="G21" s="321">
        <f t="shared" si="44"/>
        <v>0.28000000000000003</v>
      </c>
      <c r="H21" s="914">
        <f>'Table 7a '!F199</f>
        <v>17.03</v>
      </c>
      <c r="I21" s="885">
        <f>($C$21/$E$21)*K21</f>
        <v>17.75</v>
      </c>
      <c r="J21" s="884">
        <f t="shared" si="45"/>
        <v>0.3</v>
      </c>
      <c r="K21" s="395">
        <f>'Table 7a '!H199</f>
        <v>18.05</v>
      </c>
      <c r="L21" s="883">
        <f>($C$21/$E$21)*N21</f>
        <v>18.64</v>
      </c>
      <c r="M21" s="321">
        <f t="shared" si="46"/>
        <v>0.31</v>
      </c>
      <c r="N21" s="914">
        <f>'Table 7a '!J199</f>
        <v>18.95</v>
      </c>
      <c r="O21" s="920">
        <f>($C$21/$E$21)*Q21</f>
        <v>19.45</v>
      </c>
      <c r="P21" s="921">
        <f t="shared" si="47"/>
        <v>0.33</v>
      </c>
      <c r="Q21" s="574">
        <f>'Table 7a '!L199</f>
        <v>19.78</v>
      </c>
      <c r="R21" s="922">
        <f>($C$21/$E$21)*T21</f>
        <v>20.38</v>
      </c>
      <c r="S21" s="352">
        <f t="shared" si="48"/>
        <v>0.34</v>
      </c>
      <c r="T21" s="574">
        <f>'Table 7a '!N199</f>
        <v>20.72</v>
      </c>
      <c r="U21" s="922">
        <f>($C$21/$E$21)*W21</f>
        <v>21.3</v>
      </c>
      <c r="V21" s="953">
        <f t="shared" si="42"/>
        <v>0.36</v>
      </c>
      <c r="W21" s="944">
        <f>'Table 7a '!P199</f>
        <v>21.66</v>
      </c>
      <c r="X21" s="546">
        <f t="shared" si="0"/>
        <v>0.37</v>
      </c>
      <c r="Y21" s="394">
        <f>'Table 7a '!C199</f>
        <v>11149</v>
      </c>
      <c r="Z21" s="917">
        <f>'Table 7a '!E199</f>
        <v>10801</v>
      </c>
      <c r="AA21" s="918">
        <f>'Table 7a '!G199</f>
        <v>11394</v>
      </c>
      <c r="AB21" s="918">
        <f>'Table 7a '!I199</f>
        <v>11990</v>
      </c>
      <c r="AC21" s="918">
        <f>'Table 7a '!K199</f>
        <v>12584</v>
      </c>
      <c r="AD21" s="918">
        <f>'Table 7a '!M199</f>
        <v>13183</v>
      </c>
      <c r="AE21" s="967">
        <f>'Table 7a '!O199</f>
        <v>13788</v>
      </c>
      <c r="AF21" s="919">
        <f t="shared" si="1"/>
        <v>0.24</v>
      </c>
      <c r="AG21" s="823">
        <f>($C$21/$E$21)*AI21</f>
        <v>28.77</v>
      </c>
      <c r="AH21" s="322">
        <f t="shared" si="49"/>
        <v>0.48</v>
      </c>
      <c r="AI21" s="812">
        <f>'Table 7a '!S199</f>
        <v>29.25</v>
      </c>
      <c r="AK21" s="1627">
        <f t="shared" si="2"/>
        <v>5.9</v>
      </c>
      <c r="AL21" s="1635">
        <f t="shared" si="3"/>
        <v>2639</v>
      </c>
    </row>
    <row r="22" spans="1:38">
      <c r="A22" s="365" t="s">
        <v>29</v>
      </c>
      <c r="B22" s="365" t="s">
        <v>15</v>
      </c>
      <c r="C22" s="885">
        <v>18.18</v>
      </c>
      <c r="D22" s="884">
        <v>0</v>
      </c>
      <c r="E22" s="395">
        <f t="shared" si="18"/>
        <v>18.18</v>
      </c>
      <c r="F22" s="883">
        <f>($C$22/$E$22)*H22</f>
        <v>25.76</v>
      </c>
      <c r="G22" s="321">
        <f t="shared" si="44"/>
        <v>0</v>
      </c>
      <c r="H22" s="914">
        <f>'Table 7a '!F210</f>
        <v>25.76</v>
      </c>
      <c r="I22" s="885">
        <f>($C$22/$E$22)*K22</f>
        <v>25.35</v>
      </c>
      <c r="J22" s="884">
        <f t="shared" si="45"/>
        <v>0</v>
      </c>
      <c r="K22" s="395">
        <f>'Table 7a '!H210</f>
        <v>25.35</v>
      </c>
      <c r="L22" s="883">
        <f>($C$22/$E$22)*N22</f>
        <v>24.87</v>
      </c>
      <c r="M22" s="321">
        <f t="shared" si="46"/>
        <v>0</v>
      </c>
      <c r="N22" s="914">
        <f>'Table 7a '!J210</f>
        <v>24.87</v>
      </c>
      <c r="O22" s="920">
        <f>($C$22/$E$22)*Q22</f>
        <v>24.46</v>
      </c>
      <c r="P22" s="921">
        <f t="shared" si="47"/>
        <v>0</v>
      </c>
      <c r="Q22" s="574">
        <f>'Table 7a '!L210</f>
        <v>24.46</v>
      </c>
      <c r="R22" s="922">
        <f>($C$22/$E$22)*T22</f>
        <v>23.92</v>
      </c>
      <c r="S22" s="352">
        <f t="shared" si="48"/>
        <v>0</v>
      </c>
      <c r="T22" s="812">
        <f>'Table 7a '!N210</f>
        <v>23.92</v>
      </c>
      <c r="U22" s="922">
        <f>($C$22/$E$22)*W22</f>
        <v>23.41</v>
      </c>
      <c r="V22" s="953">
        <f t="shared" si="42"/>
        <v>0</v>
      </c>
      <c r="W22" s="944">
        <f>'Table 7a '!P210</f>
        <v>23.41</v>
      </c>
      <c r="X22" s="546">
        <f t="shared" si="0"/>
        <v>0.28999999999999998</v>
      </c>
      <c r="Y22" s="394">
        <f>'Table 7a '!C210</f>
        <v>22044</v>
      </c>
      <c r="Z22" s="917">
        <f>'Table 7a '!E210</f>
        <v>21374</v>
      </c>
      <c r="AA22" s="918">
        <f>'Table 7a '!G210</f>
        <v>20846</v>
      </c>
      <c r="AB22" s="918">
        <f>'Table 7a '!I210</f>
        <v>20368</v>
      </c>
      <c r="AC22" s="918">
        <f>'Table 7a '!K210</f>
        <v>19872</v>
      </c>
      <c r="AD22" s="918">
        <f>'Table 7a '!M210</f>
        <v>19319</v>
      </c>
      <c r="AE22" s="967">
        <f>'Table 7a '!O210</f>
        <v>18809</v>
      </c>
      <c r="AF22" s="919">
        <f t="shared" si="1"/>
        <v>-0.15</v>
      </c>
      <c r="AG22" s="823">
        <f>($C$22/$E$22)*AI22</f>
        <v>34.25</v>
      </c>
      <c r="AH22" s="322">
        <f t="shared" si="49"/>
        <v>0</v>
      </c>
      <c r="AI22" s="812">
        <f>'Table 7a '!S210</f>
        <v>34.25</v>
      </c>
      <c r="AK22" s="1627">
        <f t="shared" si="2"/>
        <v>5.23</v>
      </c>
      <c r="AL22" s="1635">
        <f t="shared" si="3"/>
        <v>-3235</v>
      </c>
    </row>
    <row r="23" spans="1:38">
      <c r="A23" s="357" t="s">
        <v>30</v>
      </c>
      <c r="B23" s="357" t="s">
        <v>17</v>
      </c>
      <c r="C23" s="1046">
        <v>33.9</v>
      </c>
      <c r="D23" s="1866">
        <v>0</v>
      </c>
      <c r="E23" s="568">
        <f t="shared" si="18"/>
        <v>33.9</v>
      </c>
      <c r="F23" s="923">
        <f>($C$23/$E$23)*H23</f>
        <v>36.39</v>
      </c>
      <c r="G23" s="1867">
        <f t="shared" si="44"/>
        <v>0</v>
      </c>
      <c r="H23" s="1868">
        <f>'Table 7a '!F221</f>
        <v>36.39</v>
      </c>
      <c r="I23" s="1046">
        <f>($C$23/$E$23)*K23</f>
        <v>38.47</v>
      </c>
      <c r="J23" s="1866">
        <f t="shared" si="45"/>
        <v>0</v>
      </c>
      <c r="K23" s="568">
        <f>'Table 7a '!H221</f>
        <v>38.47</v>
      </c>
      <c r="L23" s="923">
        <f>($C$23/$E$23)*N23</f>
        <v>39.99</v>
      </c>
      <c r="M23" s="1867">
        <f t="shared" si="46"/>
        <v>0</v>
      </c>
      <c r="N23" s="1868">
        <f>'Table 7a '!J221</f>
        <v>39.99</v>
      </c>
      <c r="O23" s="1877">
        <f>($C$23/$E$23)*Q23</f>
        <v>41.84</v>
      </c>
      <c r="P23" s="1878">
        <f t="shared" si="47"/>
        <v>0</v>
      </c>
      <c r="Q23" s="574">
        <f>'Table 7a '!L221</f>
        <v>41.84</v>
      </c>
      <c r="R23" s="3">
        <f>($C$23/$E$23)*T23</f>
        <v>43.65</v>
      </c>
      <c r="S23" s="5">
        <f t="shared" si="48"/>
        <v>0</v>
      </c>
      <c r="T23" s="812">
        <f>'Table 7a '!N221</f>
        <v>43.65</v>
      </c>
      <c r="U23" s="954">
        <f>($C$23/$E$23)*W23</f>
        <v>45.58</v>
      </c>
      <c r="V23" s="1879">
        <f t="shared" si="42"/>
        <v>0</v>
      </c>
      <c r="W23" s="945">
        <f>'Table 7a '!P221</f>
        <v>45.58</v>
      </c>
      <c r="X23" s="546">
        <f t="shared" si="0"/>
        <v>0.34</v>
      </c>
      <c r="Y23" s="718">
        <f>'Table 7a '!C221</f>
        <v>28002</v>
      </c>
      <c r="Z23" s="1875">
        <f>'Table 7a '!E221</f>
        <v>36677</v>
      </c>
      <c r="AA23" s="1876">
        <f>'Table 7a '!G221</f>
        <v>37960</v>
      </c>
      <c r="AB23" s="1876">
        <f>'Table 7a '!I221</f>
        <v>39213</v>
      </c>
      <c r="AC23" s="1876">
        <f>'Table 7a '!K221</f>
        <v>40473</v>
      </c>
      <c r="AD23" s="1876">
        <f>'Table 7a '!M221</f>
        <v>41728</v>
      </c>
      <c r="AE23" s="968">
        <f>'Table 7a '!O221</f>
        <v>43025</v>
      </c>
      <c r="AF23" s="919">
        <f t="shared" si="1"/>
        <v>0.54</v>
      </c>
      <c r="AG23" s="820">
        <f>($C$23/$E$23)*AI23</f>
        <v>58.13</v>
      </c>
      <c r="AH23" s="1872">
        <f t="shared" si="49"/>
        <v>0</v>
      </c>
      <c r="AI23" s="816">
        <f>'Table 7a '!S221</f>
        <v>58.13</v>
      </c>
      <c r="AK23" s="1628">
        <f t="shared" si="2"/>
        <v>11.68</v>
      </c>
      <c r="AL23" s="1642">
        <f t="shared" si="3"/>
        <v>15023</v>
      </c>
    </row>
    <row r="24" spans="1:38" ht="13.5" thickBot="1">
      <c r="A24" s="357" t="s">
        <v>31</v>
      </c>
      <c r="B24" s="133" t="s">
        <v>17</v>
      </c>
      <c r="C24" s="875">
        <v>1.22</v>
      </c>
      <c r="D24" s="410">
        <v>0</v>
      </c>
      <c r="E24" s="17">
        <f t="shared" si="18"/>
        <v>1.22</v>
      </c>
      <c r="F24" s="18">
        <f>($C$24/$E$24)*H24</f>
        <v>1.32</v>
      </c>
      <c r="G24" s="412">
        <f t="shared" si="44"/>
        <v>0</v>
      </c>
      <c r="H24" s="876">
        <f>'Table 7a '!F232</f>
        <v>1.32</v>
      </c>
      <c r="I24" s="875">
        <f>($C$24/$E$24)*K24</f>
        <v>1.53</v>
      </c>
      <c r="J24" s="410">
        <f t="shared" si="45"/>
        <v>0</v>
      </c>
      <c r="K24" s="17">
        <f>'Table 7a '!H232</f>
        <v>1.53</v>
      </c>
      <c r="L24" s="18">
        <f>($C$24/$E$24)*N24</f>
        <v>1.68</v>
      </c>
      <c r="M24" s="412">
        <f t="shared" si="46"/>
        <v>0</v>
      </c>
      <c r="N24" s="876">
        <f>'Table 7a '!J232</f>
        <v>1.68</v>
      </c>
      <c r="O24" s="927">
        <f>($C$24/$E$24)*Q24</f>
        <v>1.77</v>
      </c>
      <c r="P24" s="928">
        <f t="shared" si="47"/>
        <v>0</v>
      </c>
      <c r="Q24" s="1539">
        <f>'Table 7a '!L232</f>
        <v>1.77</v>
      </c>
      <c r="R24" s="930">
        <f>($C$24/$E$24)*T24</f>
        <v>1.94</v>
      </c>
      <c r="S24" s="441">
        <f t="shared" si="48"/>
        <v>0</v>
      </c>
      <c r="T24" s="1539">
        <f>'Table 7a '!N232</f>
        <v>1.94</v>
      </c>
      <c r="U24" s="16">
        <f>($C$24/$E$24)*W24</f>
        <v>2.06</v>
      </c>
      <c r="V24" s="955">
        <f t="shared" si="42"/>
        <v>0</v>
      </c>
      <c r="W24" s="946">
        <f>'Table 7a '!P232</f>
        <v>2.06</v>
      </c>
      <c r="X24" s="205">
        <f t="shared" si="0"/>
        <v>0.69</v>
      </c>
      <c r="Y24" s="719">
        <f>'Table 7a '!C232</f>
        <v>755</v>
      </c>
      <c r="Z24" s="929">
        <f>'Table 7a '!E232</f>
        <v>870</v>
      </c>
      <c r="AA24" s="580">
        <f>'Table 7a '!G232</f>
        <v>999</v>
      </c>
      <c r="AB24" s="580">
        <f>'Table 7a '!I232</f>
        <v>1093</v>
      </c>
      <c r="AC24" s="580">
        <f>'Table 7a '!K232</f>
        <v>1196</v>
      </c>
      <c r="AD24" s="580">
        <f>'Table 7a '!M232</f>
        <v>1305</v>
      </c>
      <c r="AE24" s="963">
        <f>'Table 7a '!O232</f>
        <v>1402</v>
      </c>
      <c r="AF24" s="581">
        <f t="shared" si="1"/>
        <v>0.86</v>
      </c>
      <c r="AG24" s="48">
        <f>($C$24/$E$24)*AI24</f>
        <v>2.68</v>
      </c>
      <c r="AH24" s="366">
        <f t="shared" si="49"/>
        <v>0</v>
      </c>
      <c r="AI24" s="821">
        <f>'Table 7a '!S232</f>
        <v>2.68</v>
      </c>
      <c r="AK24" s="1623">
        <f t="shared" si="2"/>
        <v>0.84</v>
      </c>
      <c r="AL24" s="1637">
        <f t="shared" si="3"/>
        <v>647</v>
      </c>
    </row>
    <row r="25" spans="1:38" s="22" customFormat="1" ht="14.25" thickTop="1" thickBot="1">
      <c r="A25" s="3409" t="s">
        <v>32</v>
      </c>
      <c r="B25" s="3408"/>
      <c r="C25" s="586">
        <f>C5+C8+C11+C14+C16+C17+C20+C21+C22</f>
        <v>45.35</v>
      </c>
      <c r="D25" s="318">
        <f t="shared" ref="D25:W25" si="50">D5+D8+D11+D14+D16+D17+D20+D21+D22</f>
        <v>2.66</v>
      </c>
      <c r="E25" s="565">
        <f t="shared" si="50"/>
        <v>48.01</v>
      </c>
      <c r="F25" s="356">
        <f t="shared" si="50"/>
        <v>58.75</v>
      </c>
      <c r="G25" s="316">
        <f t="shared" si="50"/>
        <v>2.75</v>
      </c>
      <c r="H25" s="353">
        <f t="shared" si="50"/>
        <v>61.5</v>
      </c>
      <c r="I25" s="586">
        <f t="shared" ref="I25" si="51">I5+I8+I11+I14+I16+I17+I20+I21+I22</f>
        <v>59.32</v>
      </c>
      <c r="J25" s="318">
        <f t="shared" si="50"/>
        <v>2.8</v>
      </c>
      <c r="K25" s="565">
        <f t="shared" si="50"/>
        <v>62.12</v>
      </c>
      <c r="L25" s="356">
        <f t="shared" ref="L25" si="52">L5+L8+L11+L14+L16+L17+L20+L21+L22</f>
        <v>59.7</v>
      </c>
      <c r="M25" s="316">
        <f t="shared" si="50"/>
        <v>2.81</v>
      </c>
      <c r="N25" s="353">
        <f t="shared" si="50"/>
        <v>62.51</v>
      </c>
      <c r="O25" s="594">
        <f t="shared" ref="O25" si="53">O5+O8+O11+O14+O16+O17+O20+O21+O22</f>
        <v>60.22</v>
      </c>
      <c r="P25" s="595">
        <f t="shared" si="50"/>
        <v>2.82</v>
      </c>
      <c r="Q25" s="566">
        <f t="shared" si="50"/>
        <v>63.04</v>
      </c>
      <c r="R25" s="549">
        <f t="shared" ref="R25" si="54">R5+R8+R11+R14+R16+R17+R20+R21+R22</f>
        <v>60.65</v>
      </c>
      <c r="S25" s="550">
        <f t="shared" si="50"/>
        <v>2.84</v>
      </c>
      <c r="T25" s="545">
        <f t="shared" si="50"/>
        <v>63.49</v>
      </c>
      <c r="U25" s="549">
        <f t="shared" ref="U25" si="55">U5+U8+U11+U14+U16+U17+U20+U21+U22</f>
        <v>61.24</v>
      </c>
      <c r="V25" s="948">
        <f t="shared" si="50"/>
        <v>2.84</v>
      </c>
      <c r="W25" s="390">
        <f t="shared" si="50"/>
        <v>64.08</v>
      </c>
      <c r="X25" s="548">
        <f t="shared" si="0"/>
        <v>0.33</v>
      </c>
      <c r="Y25" s="382">
        <f t="shared" ref="Y25:AE25" si="56">Y5+Y8+Y11+Y14+Y16+Y17+Y20+Y21+Y22</f>
        <v>47655</v>
      </c>
      <c r="Z25" s="577">
        <f t="shared" si="56"/>
        <v>46434</v>
      </c>
      <c r="AA25" s="578">
        <f t="shared" si="56"/>
        <v>46312</v>
      </c>
      <c r="AB25" s="578">
        <f t="shared" si="56"/>
        <v>46401</v>
      </c>
      <c r="AC25" s="578">
        <f t="shared" si="56"/>
        <v>46441</v>
      </c>
      <c r="AD25" s="578">
        <f t="shared" si="56"/>
        <v>46372</v>
      </c>
      <c r="AE25" s="964">
        <f t="shared" si="56"/>
        <v>46370</v>
      </c>
      <c r="AF25" s="567">
        <f t="shared" si="1"/>
        <v>-0.03</v>
      </c>
      <c r="AG25" s="139">
        <f t="shared" ref="AG25:AI25" si="57">AG5+AG8+AG11+AG14+AG16+AG17+AG20+AG21+AG22</f>
        <v>85.99</v>
      </c>
      <c r="AH25" s="104">
        <f t="shared" si="57"/>
        <v>3.59</v>
      </c>
      <c r="AI25" s="61">
        <f t="shared" si="57"/>
        <v>89.58</v>
      </c>
      <c r="AK25" s="1629">
        <f t="shared" si="2"/>
        <v>16.07</v>
      </c>
      <c r="AL25" s="1640">
        <f t="shared" si="3"/>
        <v>-1285</v>
      </c>
    </row>
    <row r="26" spans="1:38" s="22" customFormat="1" ht="13.5" thickBot="1">
      <c r="A26" s="3427" t="s">
        <v>33</v>
      </c>
      <c r="B26" s="3428"/>
      <c r="C26" s="500">
        <f>C6+C9+C12+C15+C18+C19+C23+C24</f>
        <v>88.93</v>
      </c>
      <c r="D26" s="501">
        <f t="shared" ref="D26:W26" si="58">D6+D9+D12+D15+D18+D19+D23+D24</f>
        <v>0</v>
      </c>
      <c r="E26" s="575">
        <f t="shared" si="58"/>
        <v>88.93</v>
      </c>
      <c r="F26" s="503">
        <f t="shared" si="58"/>
        <v>88.14</v>
      </c>
      <c r="G26" s="504">
        <f t="shared" si="58"/>
        <v>0</v>
      </c>
      <c r="H26" s="525">
        <f t="shared" si="58"/>
        <v>88.14</v>
      </c>
      <c r="I26" s="500">
        <f t="shared" ref="I26" si="59">I6+I9+I12+I15+I18+I19+I23+I24</f>
        <v>93.13</v>
      </c>
      <c r="J26" s="501">
        <f t="shared" si="58"/>
        <v>0</v>
      </c>
      <c r="K26" s="575">
        <f t="shared" si="58"/>
        <v>93.13</v>
      </c>
      <c r="L26" s="503">
        <f t="shared" ref="L26" si="60">L6+L9+L12+L15+L18+L19+L23+L24</f>
        <v>97.13</v>
      </c>
      <c r="M26" s="504">
        <f t="shared" si="58"/>
        <v>0</v>
      </c>
      <c r="N26" s="525">
        <f t="shared" si="58"/>
        <v>97.13</v>
      </c>
      <c r="O26" s="597">
        <f t="shared" ref="O26" si="61">O6+O9+O12+O15+O18+O19+O23+O24</f>
        <v>101.79</v>
      </c>
      <c r="P26" s="598">
        <f t="shared" si="58"/>
        <v>0</v>
      </c>
      <c r="Q26" s="576">
        <f t="shared" si="58"/>
        <v>101.79</v>
      </c>
      <c r="R26" s="552">
        <f t="shared" ref="R26" si="62">R6+R9+R12+R15+R18+R19+R23+R24</f>
        <v>106.56</v>
      </c>
      <c r="S26" s="553">
        <f t="shared" si="58"/>
        <v>0</v>
      </c>
      <c r="T26" s="805">
        <f t="shared" si="58"/>
        <v>106.56</v>
      </c>
      <c r="U26" s="552">
        <f t="shared" ref="U26" si="63">U6+U9+U12+U15+U18+U19+U23+U24</f>
        <v>111.5</v>
      </c>
      <c r="V26" s="949">
        <f t="shared" si="58"/>
        <v>0</v>
      </c>
      <c r="W26" s="947">
        <f t="shared" si="58"/>
        <v>111.5</v>
      </c>
      <c r="X26" s="551">
        <f t="shared" si="0"/>
        <v>0.25</v>
      </c>
      <c r="Y26" s="602">
        <f t="shared" ref="Y26:AE26" si="64">Y6+Y9+Y12+Y15+Y18+Y19+Y23+Y24</f>
        <v>73304</v>
      </c>
      <c r="Z26" s="599">
        <f t="shared" si="64"/>
        <v>87505</v>
      </c>
      <c r="AA26" s="600">
        <f t="shared" si="64"/>
        <v>90853</v>
      </c>
      <c r="AB26" s="600">
        <f t="shared" si="64"/>
        <v>94030</v>
      </c>
      <c r="AC26" s="600">
        <f t="shared" si="64"/>
        <v>97270</v>
      </c>
      <c r="AD26" s="600">
        <f t="shared" si="64"/>
        <v>100528</v>
      </c>
      <c r="AE26" s="969">
        <f t="shared" si="64"/>
        <v>103876</v>
      </c>
      <c r="AF26" s="601">
        <f t="shared" si="1"/>
        <v>0.42</v>
      </c>
      <c r="AG26" s="192">
        <f t="shared" ref="AG26:AI26" si="65">AG6+AG9+AG12+AG15+AG18+AG19+AG23+AG24</f>
        <v>141.9</v>
      </c>
      <c r="AH26" s="253">
        <f t="shared" si="65"/>
        <v>0</v>
      </c>
      <c r="AI26" s="191">
        <f t="shared" si="65"/>
        <v>141.9</v>
      </c>
      <c r="AK26" s="1630">
        <f t="shared" si="2"/>
        <v>22.57</v>
      </c>
      <c r="AL26" s="1643">
        <f t="shared" si="3"/>
        <v>30572</v>
      </c>
    </row>
    <row r="27" spans="1:38" s="22" customFormat="1" ht="13.5" thickBot="1">
      <c r="A27" s="3427" t="s">
        <v>34</v>
      </c>
      <c r="B27" s="3428"/>
      <c r="C27" s="31">
        <f>C25+C26</f>
        <v>134.28</v>
      </c>
      <c r="D27" s="32">
        <f t="shared" ref="D27:W27" si="66">D25+D26</f>
        <v>2.66</v>
      </c>
      <c r="E27" s="33">
        <f t="shared" si="66"/>
        <v>136.94</v>
      </c>
      <c r="F27" s="34">
        <f t="shared" si="66"/>
        <v>146.88999999999999</v>
      </c>
      <c r="G27" s="20">
        <f t="shared" si="66"/>
        <v>2.75</v>
      </c>
      <c r="H27" s="21">
        <f t="shared" si="66"/>
        <v>149.63999999999999</v>
      </c>
      <c r="I27" s="35">
        <f t="shared" ref="I27" si="67">I25+I26</f>
        <v>152.44999999999999</v>
      </c>
      <c r="J27" s="32">
        <f t="shared" si="66"/>
        <v>2.8</v>
      </c>
      <c r="K27" s="33">
        <f t="shared" si="66"/>
        <v>155.25</v>
      </c>
      <c r="L27" s="36">
        <f t="shared" ref="L27" si="68">L25+L26</f>
        <v>156.83000000000001</v>
      </c>
      <c r="M27" s="37">
        <f t="shared" si="66"/>
        <v>2.81</v>
      </c>
      <c r="N27" s="38">
        <f t="shared" si="66"/>
        <v>159.63999999999999</v>
      </c>
      <c r="O27" s="28">
        <f t="shared" ref="O27" si="69">O25+O26</f>
        <v>162.01</v>
      </c>
      <c r="P27" s="26">
        <f t="shared" si="66"/>
        <v>2.82</v>
      </c>
      <c r="Q27" s="39">
        <f t="shared" si="66"/>
        <v>164.83</v>
      </c>
      <c r="R27" s="25">
        <f t="shared" ref="R27" si="70">R25+R26</f>
        <v>167.21</v>
      </c>
      <c r="S27" s="29">
        <f t="shared" si="66"/>
        <v>2.84</v>
      </c>
      <c r="T27" s="46">
        <f t="shared" si="66"/>
        <v>170.05</v>
      </c>
      <c r="U27" s="25">
        <f t="shared" ref="U27" si="71">U25+U26</f>
        <v>172.74</v>
      </c>
      <c r="V27" s="950">
        <f t="shared" si="66"/>
        <v>2.84</v>
      </c>
      <c r="W27" s="30">
        <f t="shared" si="66"/>
        <v>175.58</v>
      </c>
      <c r="X27" s="206">
        <f t="shared" si="0"/>
        <v>0.28000000000000003</v>
      </c>
      <c r="Y27" s="304">
        <f t="shared" ref="Y27" si="72">Y25+Y26</f>
        <v>120959</v>
      </c>
      <c r="Z27" s="571">
        <f t="shared" ref="Z27" si="73">Z25+Z26</f>
        <v>133939</v>
      </c>
      <c r="AA27" s="40">
        <f t="shared" ref="AA27" si="74">AA25+AA26</f>
        <v>137165</v>
      </c>
      <c r="AB27" s="40">
        <f t="shared" ref="AB27" si="75">AB25+AB26</f>
        <v>140431</v>
      </c>
      <c r="AC27" s="40">
        <f t="shared" ref="AC27" si="76">AC25+AC26</f>
        <v>143711</v>
      </c>
      <c r="AD27" s="40">
        <f t="shared" ref="AD27" si="77">AD25+AD26</f>
        <v>146900</v>
      </c>
      <c r="AE27" s="912">
        <f t="shared" ref="AE27" si="78">AE25+AE26</f>
        <v>150246</v>
      </c>
      <c r="AF27" s="551">
        <f t="shared" si="1"/>
        <v>0.24</v>
      </c>
      <c r="AG27" s="34">
        <f t="shared" ref="AG27" si="79">AG25+AG26</f>
        <v>227.89</v>
      </c>
      <c r="AH27" s="20">
        <f t="shared" ref="AH27" si="80">AH25+AH26</f>
        <v>3.59</v>
      </c>
      <c r="AI27" s="21">
        <f t="shared" ref="AI27" si="81">AI25+AI26</f>
        <v>231.48</v>
      </c>
      <c r="AK27" s="1624">
        <f t="shared" si="2"/>
        <v>38.64</v>
      </c>
      <c r="AL27" s="1644">
        <f t="shared" si="3"/>
        <v>29287</v>
      </c>
    </row>
    <row r="28" spans="1:38">
      <c r="A28" s="89" t="s">
        <v>35</v>
      </c>
      <c r="E28" s="822"/>
      <c r="F28" s="822"/>
      <c r="P28" s="1"/>
      <c r="Q28" s="1"/>
      <c r="R28" s="23"/>
      <c r="S28" s="23"/>
    </row>
    <row r="29" spans="1:38">
      <c r="A29" s="1" t="s">
        <v>68</v>
      </c>
      <c r="E29" s="822"/>
      <c r="F29" s="822"/>
      <c r="P29" s="1"/>
      <c r="Q29" s="1"/>
      <c r="R29" s="1"/>
      <c r="S29" s="1"/>
      <c r="U29" s="1" t="s">
        <v>36</v>
      </c>
      <c r="X29" s="55"/>
      <c r="Y29" s="212"/>
      <c r="Z29" s="55" t="s">
        <v>36</v>
      </c>
      <c r="AA29" s="55"/>
      <c r="AB29" s="55"/>
      <c r="AC29" s="55"/>
    </row>
    <row r="30" spans="1:38">
      <c r="A30" s="1" t="s">
        <v>69</v>
      </c>
      <c r="E30" s="822"/>
      <c r="F30" s="822"/>
      <c r="P30" s="1"/>
      <c r="Q30" s="1"/>
      <c r="R30" s="1"/>
      <c r="S30" s="1"/>
      <c r="X30" s="55"/>
      <c r="Y30" s="212"/>
      <c r="Z30" s="55"/>
    </row>
    <row r="31" spans="1:38">
      <c r="A31" s="1" t="s">
        <v>534</v>
      </c>
      <c r="E31" s="822"/>
      <c r="F31" s="822"/>
      <c r="P31" s="1"/>
      <c r="Q31" s="1"/>
      <c r="R31" s="1"/>
      <c r="S31" s="1"/>
      <c r="X31" s="55"/>
      <c r="Y31" s="212"/>
      <c r="Z31" s="55"/>
    </row>
    <row r="32" spans="1:38">
      <c r="A32" s="255" t="s">
        <v>535</v>
      </c>
      <c r="E32" s="822"/>
      <c r="F32" s="822"/>
      <c r="P32" s="1"/>
      <c r="Q32" s="1"/>
      <c r="R32" s="1"/>
      <c r="S32" s="1"/>
      <c r="X32" s="55"/>
      <c r="Y32" s="212"/>
      <c r="Z32" s="55"/>
    </row>
    <row r="33" spans="1:51" s="256" customFormat="1">
      <c r="A33" s="1" t="s">
        <v>536</v>
      </c>
      <c r="B33" s="1"/>
      <c r="C33" s="1"/>
      <c r="D33" s="1"/>
      <c r="E33" s="1"/>
      <c r="F33" s="1"/>
      <c r="G33" s="1"/>
      <c r="H33" s="1"/>
      <c r="I33" s="1"/>
      <c r="J33" s="1"/>
      <c r="K33" s="1"/>
      <c r="L33" s="1"/>
      <c r="M33" s="1"/>
      <c r="N33" s="1"/>
      <c r="O33" s="1"/>
      <c r="P33" s="1"/>
      <c r="Q33" s="1"/>
      <c r="R33" s="1"/>
      <c r="S33" s="1"/>
      <c r="T33" s="1"/>
      <c r="U33" s="1"/>
      <c r="V33" s="1"/>
      <c r="W33" s="1"/>
      <c r="X33" s="1"/>
      <c r="Y33" s="2"/>
      <c r="Z33" s="1"/>
      <c r="AA33" s="1"/>
      <c r="AB33" s="1"/>
      <c r="AC33" s="1"/>
      <c r="AD33" s="1"/>
      <c r="AE33" s="1"/>
      <c r="AF33" s="1"/>
      <c r="AG33" s="1"/>
      <c r="AH33" s="1"/>
      <c r="AI33" s="1"/>
    </row>
    <row r="34" spans="1:51" s="256" customFormat="1">
      <c r="A34" s="2" t="s">
        <v>537</v>
      </c>
      <c r="N34" s="257"/>
      <c r="O34" s="257"/>
      <c r="P34" s="572"/>
      <c r="S34" s="256" t="s">
        <v>36</v>
      </c>
      <c r="Y34" s="2"/>
    </row>
    <row r="35" spans="1:51" ht="13.5" thickBot="1">
      <c r="J35" s="2"/>
      <c r="K35" s="2"/>
      <c r="L35" s="2"/>
      <c r="M35" s="2"/>
      <c r="N35" s="23"/>
      <c r="O35" s="23"/>
      <c r="P35" s="24"/>
      <c r="Q35" s="1"/>
      <c r="R35" s="1"/>
      <c r="S35" s="1"/>
    </row>
    <row r="36" spans="1:51" ht="13.5" thickBot="1">
      <c r="A36" s="573" t="s">
        <v>538</v>
      </c>
      <c r="B36" s="573"/>
      <c r="C36" s="573"/>
      <c r="D36" s="573"/>
      <c r="E36" s="573"/>
      <c r="F36" s="573"/>
      <c r="G36" s="573"/>
      <c r="H36" s="573"/>
      <c r="I36" s="573"/>
      <c r="J36" s="573"/>
      <c r="K36" s="573"/>
      <c r="L36" s="573"/>
      <c r="M36" s="573"/>
      <c r="N36" s="573"/>
      <c r="O36" s="573"/>
      <c r="P36" s="573"/>
      <c r="Q36" s="573"/>
      <c r="R36" s="573"/>
      <c r="S36" s="573"/>
      <c r="T36" s="259"/>
      <c r="U36" s="259"/>
      <c r="V36" s="259"/>
      <c r="W36" s="259"/>
      <c r="X36" s="259"/>
      <c r="Y36" s="573"/>
      <c r="Z36" s="259"/>
      <c r="AA36" s="259"/>
      <c r="AB36" s="256"/>
      <c r="AC36" s="178"/>
      <c r="AD36" s="178"/>
      <c r="AE36" s="178"/>
      <c r="AF36" s="178"/>
      <c r="AG36" s="178"/>
      <c r="AH36" s="178"/>
      <c r="AI36" s="178"/>
      <c r="AJ36" s="570"/>
      <c r="AK36" s="570"/>
      <c r="AL36" s="570"/>
      <c r="AM36" s="570"/>
      <c r="AN36" s="570"/>
      <c r="AO36" s="570"/>
      <c r="AP36" s="570"/>
      <c r="AQ36" s="570"/>
      <c r="AR36" s="570"/>
      <c r="AS36" s="570"/>
      <c r="AT36" s="570"/>
      <c r="AV36" s="3416" t="s">
        <v>528</v>
      </c>
      <c r="AW36" s="3416"/>
      <c r="AX36" s="3416" t="s">
        <v>529</v>
      </c>
      <c r="AY36" s="3416"/>
    </row>
    <row r="37" spans="1:51" ht="15.75" customHeight="1" thickBot="1">
      <c r="A37" s="3204" t="s">
        <v>1</v>
      </c>
      <c r="B37" s="3206" t="s">
        <v>2</v>
      </c>
      <c r="C37" s="3222" t="s">
        <v>55</v>
      </c>
      <c r="D37" s="3222"/>
      <c r="E37" s="3223"/>
      <c r="F37" s="3221" t="s">
        <v>56</v>
      </c>
      <c r="G37" s="3222"/>
      <c r="H37" s="3222"/>
      <c r="I37" s="3222"/>
      <c r="J37" s="3222"/>
      <c r="K37" s="3222"/>
      <c r="L37" s="3222"/>
      <c r="M37" s="3222"/>
      <c r="N37" s="3222"/>
      <c r="O37" s="3222"/>
      <c r="P37" s="3222"/>
      <c r="Q37" s="3222"/>
      <c r="R37" s="3222"/>
      <c r="S37" s="3222"/>
      <c r="T37" s="3222"/>
      <c r="U37" s="3222"/>
      <c r="V37" s="3222"/>
      <c r="W37" s="3223"/>
      <c r="X37" s="3300" t="s">
        <v>57</v>
      </c>
      <c r="Y37" s="3238" t="s">
        <v>530</v>
      </c>
      <c r="Z37" s="3265" t="s">
        <v>531</v>
      </c>
      <c r="AA37" s="3266"/>
      <c r="AB37" s="3266"/>
      <c r="AC37" s="3266"/>
      <c r="AD37" s="3266"/>
      <c r="AE37" s="3267"/>
      <c r="AF37" s="3350" t="s">
        <v>57</v>
      </c>
      <c r="AG37" s="3261" t="s">
        <v>58</v>
      </c>
      <c r="AH37" s="3262"/>
      <c r="AI37" s="3263"/>
      <c r="AK37" s="3255" t="s">
        <v>80</v>
      </c>
      <c r="AL37" s="3255" t="s">
        <v>532</v>
      </c>
    </row>
    <row r="38" spans="1:51" ht="15" customHeight="1">
      <c r="A38" s="3205"/>
      <c r="B38" s="3207"/>
      <c r="C38" s="3417">
        <v>2015</v>
      </c>
      <c r="D38" s="3418"/>
      <c r="E38" s="3419"/>
      <c r="F38" s="3423">
        <v>2020</v>
      </c>
      <c r="G38" s="3418"/>
      <c r="H38" s="3426"/>
      <c r="I38" s="3417">
        <v>2025</v>
      </c>
      <c r="J38" s="3418"/>
      <c r="K38" s="3419"/>
      <c r="L38" s="3248">
        <v>2030</v>
      </c>
      <c r="M38" s="3249"/>
      <c r="N38" s="3250"/>
      <c r="O38" s="3417">
        <v>2035</v>
      </c>
      <c r="P38" s="3418"/>
      <c r="Q38" s="3419"/>
      <c r="R38" s="3212">
        <v>2040</v>
      </c>
      <c r="S38" s="3213"/>
      <c r="T38" s="3215"/>
      <c r="U38" s="3417">
        <v>2045</v>
      </c>
      <c r="V38" s="3418"/>
      <c r="W38" s="3419"/>
      <c r="X38" s="3301"/>
      <c r="Y38" s="3422"/>
      <c r="Z38" s="3356"/>
      <c r="AA38" s="3357"/>
      <c r="AB38" s="3357"/>
      <c r="AC38" s="3357"/>
      <c r="AD38" s="3357"/>
      <c r="AE38" s="3358"/>
      <c r="AF38" s="3420"/>
      <c r="AG38" s="3356">
        <v>2045</v>
      </c>
      <c r="AH38" s="3357"/>
      <c r="AI38" s="3358"/>
      <c r="AK38" s="3256"/>
      <c r="AL38" s="3256"/>
    </row>
    <row r="39" spans="1:51" ht="15.75" customHeight="1" thickBot="1">
      <c r="A39" s="3485"/>
      <c r="B39" s="3208"/>
      <c r="C39" s="1669" t="s">
        <v>60</v>
      </c>
      <c r="D39" s="1017" t="s">
        <v>61</v>
      </c>
      <c r="E39" s="1656" t="s">
        <v>18</v>
      </c>
      <c r="F39" s="1655" t="s">
        <v>60</v>
      </c>
      <c r="G39" s="1657" t="s">
        <v>61</v>
      </c>
      <c r="H39" s="1658" t="s">
        <v>18</v>
      </c>
      <c r="I39" s="1669" t="s">
        <v>60</v>
      </c>
      <c r="J39" s="1017" t="s">
        <v>61</v>
      </c>
      <c r="K39" s="1656" t="s">
        <v>18</v>
      </c>
      <c r="L39" s="1655" t="s">
        <v>60</v>
      </c>
      <c r="M39" s="1657" t="s">
        <v>61</v>
      </c>
      <c r="N39" s="1658" t="s">
        <v>18</v>
      </c>
      <c r="O39" s="1669" t="s">
        <v>60</v>
      </c>
      <c r="P39" s="1017" t="s">
        <v>61</v>
      </c>
      <c r="Q39" s="1656" t="s">
        <v>18</v>
      </c>
      <c r="R39" s="1655" t="s">
        <v>60</v>
      </c>
      <c r="S39" s="1657" t="s">
        <v>61</v>
      </c>
      <c r="T39" s="1658" t="s">
        <v>18</v>
      </c>
      <c r="U39" s="1655" t="s">
        <v>60</v>
      </c>
      <c r="V39" s="1660" t="s">
        <v>61</v>
      </c>
      <c r="W39" s="1661" t="s">
        <v>18</v>
      </c>
      <c r="X39" s="3302"/>
      <c r="Y39" s="3016">
        <v>2015</v>
      </c>
      <c r="Z39" s="1687">
        <v>2020</v>
      </c>
      <c r="AA39" s="1688">
        <v>2025</v>
      </c>
      <c r="AB39" s="1688">
        <v>2030</v>
      </c>
      <c r="AC39" s="1688">
        <v>2035</v>
      </c>
      <c r="AD39" s="1688">
        <v>2040</v>
      </c>
      <c r="AE39" s="3021">
        <v>2045</v>
      </c>
      <c r="AF39" s="3421"/>
      <c r="AG39" s="1133" t="s">
        <v>60</v>
      </c>
      <c r="AH39" s="1134" t="s">
        <v>61</v>
      </c>
      <c r="AI39" s="1135" t="s">
        <v>18</v>
      </c>
      <c r="AK39" s="3257"/>
      <c r="AL39" s="3257"/>
    </row>
    <row r="40" spans="1:51">
      <c r="A40" s="443" t="s">
        <v>46</v>
      </c>
      <c r="B40" s="443" t="s">
        <v>17</v>
      </c>
      <c r="C40" s="6">
        <v>6.81</v>
      </c>
      <c r="D40" s="7">
        <v>0</v>
      </c>
      <c r="E40" s="8">
        <f t="shared" ref="E40:E45" si="82">SUM(C40:D40)</f>
        <v>6.81</v>
      </c>
      <c r="F40" s="9">
        <f>($C$40/$E$40)*H40</f>
        <v>5.56</v>
      </c>
      <c r="G40" s="10">
        <f t="shared" ref="G40:G45" si="83">H40-F40</f>
        <v>0</v>
      </c>
      <c r="H40" s="11">
        <f>'Table 7a '!F289</f>
        <v>5.56</v>
      </c>
      <c r="I40" s="6">
        <f>($C$40/$E$40)*K40</f>
        <v>6.01</v>
      </c>
      <c r="J40" s="7">
        <f t="shared" ref="J40:J45" si="84">K40-I40</f>
        <v>0</v>
      </c>
      <c r="K40" s="8">
        <f>'Table 7a '!H289</f>
        <v>6.01</v>
      </c>
      <c r="L40" s="9">
        <f>($C$40/$E$40)*N40</f>
        <v>6.45</v>
      </c>
      <c r="M40" s="10">
        <f t="shared" ref="M40:M45" si="85">N40-L40</f>
        <v>0</v>
      </c>
      <c r="N40" s="11">
        <f>'Table 7a '!J289</f>
        <v>6.45</v>
      </c>
      <c r="O40" s="584">
        <f>($C$40/$E$40)*Q40</f>
        <v>6.86</v>
      </c>
      <c r="P40" s="445">
        <f t="shared" ref="P40:P45" si="86">Q40-O40</f>
        <v>0</v>
      </c>
      <c r="Q40" s="449">
        <f>'Table 7a '!L289</f>
        <v>6.86</v>
      </c>
      <c r="R40" s="444">
        <f>($C$40/$E$40)*T40</f>
        <v>7.36</v>
      </c>
      <c r="S40" s="585">
        <f t="shared" ref="S40:S45" si="87">T40-R40</f>
        <v>0</v>
      </c>
      <c r="T40" s="1689">
        <f>'Table 7a '!N289</f>
        <v>7.36</v>
      </c>
      <c r="U40" s="444">
        <f>($C$40/$E$40)*W40</f>
        <v>7.73</v>
      </c>
      <c r="V40" s="446">
        <f t="shared" ref="V40:V45" si="88">W40-U40</f>
        <v>0</v>
      </c>
      <c r="W40" s="1690">
        <f>'Table 7a '!P289</f>
        <v>7.73</v>
      </c>
      <c r="X40" s="203">
        <f t="shared" ref="X40:X46" si="89">(W40-E40)/E40</f>
        <v>0.14000000000000001</v>
      </c>
      <c r="Y40" s="372">
        <f>'Table 7a '!C289</f>
        <v>6195</v>
      </c>
      <c r="Z40" s="45">
        <f>'Table 7a '!E289</f>
        <v>7000</v>
      </c>
      <c r="AA40" s="12">
        <f>'Table 7a '!G289</f>
        <v>7356</v>
      </c>
      <c r="AB40" s="12">
        <f>'Table 7a '!I289</f>
        <v>7708</v>
      </c>
      <c r="AC40" s="12">
        <f>'Table 7a '!K289</f>
        <v>8046</v>
      </c>
      <c r="AD40" s="12">
        <f>'Table 7a '!M289</f>
        <v>8370</v>
      </c>
      <c r="AE40" s="962">
        <f>'Table 7a '!O289</f>
        <v>8705</v>
      </c>
      <c r="AF40" s="13">
        <f t="shared" ref="AF40:AF46" si="90">(AE40-Y40)/Y40</f>
        <v>0.41</v>
      </c>
      <c r="AG40" s="47">
        <f>($C$40/$E$40)*AI40</f>
        <v>9.9700000000000006</v>
      </c>
      <c r="AH40" s="14">
        <f t="shared" ref="AH40:AH45" si="91">AI40-AG40</f>
        <v>0</v>
      </c>
      <c r="AI40" s="1689">
        <f>'Table 7a '!S289</f>
        <v>9.9700000000000006</v>
      </c>
      <c r="AK40" s="1632">
        <f>W40-E40</f>
        <v>0.92</v>
      </c>
      <c r="AL40" s="1639">
        <f>AE40-Y40</f>
        <v>2510</v>
      </c>
    </row>
    <row r="41" spans="1:51" ht="12.75" customHeight="1">
      <c r="A41" s="455" t="s">
        <v>47</v>
      </c>
      <c r="B41" s="455" t="s">
        <v>17</v>
      </c>
      <c r="C41" s="885">
        <v>3.27</v>
      </c>
      <c r="D41" s="884">
        <v>0.02</v>
      </c>
      <c r="E41" s="395">
        <f t="shared" si="82"/>
        <v>3.29</v>
      </c>
      <c r="F41" s="883">
        <f>($C$41/$E$41)*H41</f>
        <v>2.72</v>
      </c>
      <c r="G41" s="321">
        <f t="shared" si="83"/>
        <v>0.02</v>
      </c>
      <c r="H41" s="914">
        <f>'Table 7a '!F300</f>
        <v>2.74</v>
      </c>
      <c r="I41" s="885">
        <f>($C$41/$E$41)*K41</f>
        <v>2.73</v>
      </c>
      <c r="J41" s="884">
        <f t="shared" si="84"/>
        <v>0.02</v>
      </c>
      <c r="K41" s="395">
        <f>'Table 7a '!H300</f>
        <v>2.75</v>
      </c>
      <c r="L41" s="883">
        <f>($C$41/$E$41)*N41</f>
        <v>2.74</v>
      </c>
      <c r="M41" s="321">
        <f t="shared" si="85"/>
        <v>0.02</v>
      </c>
      <c r="N41" s="914">
        <f>'Table 7a '!J300</f>
        <v>2.76</v>
      </c>
      <c r="O41" s="915">
        <f>($C$41/$E$41)*Q41</f>
        <v>2.77</v>
      </c>
      <c r="P41" s="916">
        <f t="shared" si="86"/>
        <v>0.02</v>
      </c>
      <c r="Q41" s="454">
        <f>'Table 7a '!L300</f>
        <v>2.79</v>
      </c>
      <c r="R41" s="827">
        <f>($C$41/$E$41)*T41</f>
        <v>2.78</v>
      </c>
      <c r="S41" s="560">
        <f t="shared" si="87"/>
        <v>0.02</v>
      </c>
      <c r="T41" s="641">
        <f>'Table 7a '!N300</f>
        <v>2.8</v>
      </c>
      <c r="U41" s="827">
        <f>($C$41/$E$41)*W41</f>
        <v>2.81</v>
      </c>
      <c r="V41" s="452">
        <f t="shared" si="88"/>
        <v>0.02</v>
      </c>
      <c r="W41" s="642">
        <f>'Table 7a '!P300</f>
        <v>2.83</v>
      </c>
      <c r="X41" s="546">
        <f t="shared" si="89"/>
        <v>-0.14000000000000001</v>
      </c>
      <c r="Y41" s="394">
        <f>'Table 7a '!C300</f>
        <v>2333</v>
      </c>
      <c r="Z41" s="917">
        <f>'Table 7a '!E300</f>
        <v>2401</v>
      </c>
      <c r="AA41" s="918">
        <f>'Table 7a '!G300</f>
        <v>2401</v>
      </c>
      <c r="AB41" s="918">
        <f>'Table 7a '!I300</f>
        <v>2401</v>
      </c>
      <c r="AC41" s="918">
        <f>'Table 7a '!K300</f>
        <v>2401</v>
      </c>
      <c r="AD41" s="918">
        <f>'Table 7a '!M300</f>
        <v>2401</v>
      </c>
      <c r="AE41" s="967">
        <f>'Table 7a '!O300</f>
        <v>2401</v>
      </c>
      <c r="AF41" s="919">
        <f t="shared" si="90"/>
        <v>0.03</v>
      </c>
      <c r="AG41" s="823">
        <f>($C$41/$E$41)*AI41</f>
        <v>3.44</v>
      </c>
      <c r="AH41" s="322">
        <f t="shared" si="91"/>
        <v>0.02</v>
      </c>
      <c r="AI41" s="641">
        <f>'Table 7a '!S300</f>
        <v>3.46</v>
      </c>
      <c r="AK41" s="1599">
        <f t="shared" ref="AK41:AK46" si="92">W41-E41</f>
        <v>-0.46</v>
      </c>
      <c r="AL41" s="1635">
        <f t="shared" ref="AL41:AL46" si="93">AE41-Y41</f>
        <v>68</v>
      </c>
    </row>
    <row r="42" spans="1:51">
      <c r="A42" s="455" t="s">
        <v>48</v>
      </c>
      <c r="B42" s="455" t="s">
        <v>17</v>
      </c>
      <c r="C42" s="885">
        <v>11.76</v>
      </c>
      <c r="D42" s="884">
        <v>0</v>
      </c>
      <c r="E42" s="395">
        <f t="shared" si="82"/>
        <v>11.76</v>
      </c>
      <c r="F42" s="883">
        <f>($C$42/$E$42)*H42</f>
        <v>11.4</v>
      </c>
      <c r="G42" s="321">
        <f t="shared" si="83"/>
        <v>0</v>
      </c>
      <c r="H42" s="914">
        <f>'Table 7a '!F311</f>
        <v>11.4</v>
      </c>
      <c r="I42" s="885">
        <f>($C$42/$E$42)*K42</f>
        <v>12.43</v>
      </c>
      <c r="J42" s="884">
        <f t="shared" si="84"/>
        <v>0</v>
      </c>
      <c r="K42" s="395">
        <f>'Table 7a '!H311</f>
        <v>12.43</v>
      </c>
      <c r="L42" s="883">
        <f>($C$42/$E$42)*N42</f>
        <v>13.36</v>
      </c>
      <c r="M42" s="321">
        <f t="shared" si="85"/>
        <v>0</v>
      </c>
      <c r="N42" s="914">
        <f>'Table 7a '!J311</f>
        <v>13.36</v>
      </c>
      <c r="O42" s="915">
        <f>($C$42/$E$42)*Q42</f>
        <v>14.27</v>
      </c>
      <c r="P42" s="916">
        <f t="shared" si="86"/>
        <v>0</v>
      </c>
      <c r="Q42" s="454">
        <f>'Table 7a '!L311</f>
        <v>14.27</v>
      </c>
      <c r="R42" s="827">
        <f>($C$42/$E$42)*T42</f>
        <v>15.3</v>
      </c>
      <c r="S42" s="560">
        <f t="shared" si="87"/>
        <v>0</v>
      </c>
      <c r="T42" s="641">
        <f>'Table 7a '!N311</f>
        <v>15.3</v>
      </c>
      <c r="U42" s="827">
        <f>($C$42/$E$42)*W42</f>
        <v>16.23</v>
      </c>
      <c r="V42" s="452">
        <f t="shared" si="88"/>
        <v>0</v>
      </c>
      <c r="W42" s="910">
        <f>'Table 7a '!P311</f>
        <v>16.23</v>
      </c>
      <c r="X42" s="546">
        <f t="shared" si="89"/>
        <v>0.38</v>
      </c>
      <c r="Y42" s="394">
        <f>'Table 7a '!C311</f>
        <v>9324</v>
      </c>
      <c r="Z42" s="917">
        <f>'Table 7a '!E311</f>
        <v>11532</v>
      </c>
      <c r="AA42" s="918">
        <f>'Table 7a '!G311</f>
        <v>12250</v>
      </c>
      <c r="AB42" s="918">
        <f>'Table 7a '!I311</f>
        <v>12963</v>
      </c>
      <c r="AC42" s="918">
        <f>'Table 7a '!K311</f>
        <v>13663</v>
      </c>
      <c r="AD42" s="918">
        <f>'Table 7a '!M311</f>
        <v>14361</v>
      </c>
      <c r="AE42" s="967">
        <f>'Table 7a '!O311</f>
        <v>15060</v>
      </c>
      <c r="AF42" s="919">
        <f t="shared" si="90"/>
        <v>0.62</v>
      </c>
      <c r="AG42" s="823">
        <f>($C$42/$E$42)*AI42</f>
        <v>20.5</v>
      </c>
      <c r="AH42" s="322">
        <f t="shared" si="91"/>
        <v>0</v>
      </c>
      <c r="AI42" s="641">
        <f>'Table 7a '!S311</f>
        <v>20.5</v>
      </c>
      <c r="AK42" s="1599">
        <f t="shared" si="92"/>
        <v>4.47</v>
      </c>
      <c r="AL42" s="1635">
        <f t="shared" si="93"/>
        <v>5736</v>
      </c>
    </row>
    <row r="43" spans="1:51">
      <c r="A43" s="134" t="s">
        <v>539</v>
      </c>
      <c r="B43" s="134" t="s">
        <v>17</v>
      </c>
      <c r="C43" s="569">
        <v>14.8</v>
      </c>
      <c r="D43" s="354">
        <v>0</v>
      </c>
      <c r="E43" s="565">
        <f t="shared" si="82"/>
        <v>14.8</v>
      </c>
      <c r="F43" s="158">
        <f>($C$43/$E$43)*H43</f>
        <v>14.28</v>
      </c>
      <c r="G43" s="355">
        <f t="shared" si="83"/>
        <v>0</v>
      </c>
      <c r="H43" s="353">
        <f>'Table 7a '!F322</f>
        <v>14.28</v>
      </c>
      <c r="I43" s="569">
        <f>($C$43/$E$43)*K43</f>
        <v>15.76</v>
      </c>
      <c r="J43" s="354">
        <f t="shared" si="84"/>
        <v>0</v>
      </c>
      <c r="K43" s="565">
        <f>'Table 7a '!H322</f>
        <v>15.76</v>
      </c>
      <c r="L43" s="158">
        <f>($C$43/$E$43)*N43</f>
        <v>17.14</v>
      </c>
      <c r="M43" s="355">
        <f t="shared" si="85"/>
        <v>0</v>
      </c>
      <c r="N43" s="353">
        <f>'Table 7a '!J322</f>
        <v>17.14</v>
      </c>
      <c r="O43" s="653">
        <f>($C$43/$E$43)*Q43</f>
        <v>18.36</v>
      </c>
      <c r="P43" s="886">
        <f t="shared" si="86"/>
        <v>0</v>
      </c>
      <c r="Q43" s="566">
        <f>'Table 7a '!L322</f>
        <v>18.36</v>
      </c>
      <c r="R43" s="828">
        <f>($C$43/$E$43)*T43</f>
        <v>19.75</v>
      </c>
      <c r="S43" s="829">
        <f t="shared" si="87"/>
        <v>0</v>
      </c>
      <c r="T43" s="808">
        <f>'Table 7a '!N322</f>
        <v>19.75</v>
      </c>
      <c r="U43" s="828">
        <f>($C$43/$E$43)*W43</f>
        <v>20.96</v>
      </c>
      <c r="V43" s="956">
        <f t="shared" si="88"/>
        <v>0</v>
      </c>
      <c r="W43" s="545">
        <f>'Table 7a '!P322</f>
        <v>20.96</v>
      </c>
      <c r="X43" s="547">
        <f t="shared" si="89"/>
        <v>0.42</v>
      </c>
      <c r="Y43" s="373">
        <f>'Table 7a '!C322</f>
        <v>11154</v>
      </c>
      <c r="Z43" s="825">
        <f>'Table 7a '!E322</f>
        <v>13417</v>
      </c>
      <c r="AA43" s="826">
        <f>'Table 7a '!G322</f>
        <v>14479</v>
      </c>
      <c r="AB43" s="826">
        <f>'Table 7a '!I322</f>
        <v>15576</v>
      </c>
      <c r="AC43" s="826">
        <f>'Table 7a '!K322</f>
        <v>16303</v>
      </c>
      <c r="AD43" s="826">
        <f>'Table 7a '!M322</f>
        <v>17347</v>
      </c>
      <c r="AE43" s="970">
        <f>'Table 7a '!O322</f>
        <v>18067</v>
      </c>
      <c r="AF43" s="564">
        <f t="shared" si="90"/>
        <v>0.62</v>
      </c>
      <c r="AG43" s="138">
        <f>($C$43/$E$43)*AI43</f>
        <v>26.53</v>
      </c>
      <c r="AH43" s="360">
        <f t="shared" si="91"/>
        <v>0</v>
      </c>
      <c r="AI43" s="808">
        <f>'Table 7a '!S322</f>
        <v>26.53</v>
      </c>
      <c r="AK43" s="1633">
        <f t="shared" si="92"/>
        <v>6.16</v>
      </c>
      <c r="AL43" s="1636">
        <f t="shared" si="93"/>
        <v>6913</v>
      </c>
    </row>
    <row r="44" spans="1:51">
      <c r="A44" s="365" t="s">
        <v>50</v>
      </c>
      <c r="B44" s="365" t="s">
        <v>17</v>
      </c>
      <c r="C44" s="885">
        <v>20.87</v>
      </c>
      <c r="D44" s="884">
        <v>0</v>
      </c>
      <c r="E44" s="395">
        <f t="shared" si="82"/>
        <v>20.87</v>
      </c>
      <c r="F44" s="883">
        <f>($C$44/$E$44)*H44</f>
        <v>21.5</v>
      </c>
      <c r="G44" s="321">
        <f t="shared" si="83"/>
        <v>0</v>
      </c>
      <c r="H44" s="914">
        <f>'Table 7a '!F336</f>
        <v>21.5</v>
      </c>
      <c r="I44" s="885">
        <f>($C$44/$E$44)*K44</f>
        <v>22.43</v>
      </c>
      <c r="J44" s="884">
        <f t="shared" si="84"/>
        <v>0</v>
      </c>
      <c r="K44" s="395">
        <f>'Table 7a '!H336</f>
        <v>22.43</v>
      </c>
      <c r="L44" s="883">
        <f>($C$44/$E$44)*N44</f>
        <v>23.2</v>
      </c>
      <c r="M44" s="321">
        <f t="shared" si="85"/>
        <v>0</v>
      </c>
      <c r="N44" s="914">
        <f>'Table 7a '!J336</f>
        <v>23.2</v>
      </c>
      <c r="O44" s="920">
        <f>($C$44/$E$44)*Q44</f>
        <v>24.12</v>
      </c>
      <c r="P44" s="921">
        <f t="shared" si="86"/>
        <v>0</v>
      </c>
      <c r="Q44" s="574">
        <f>'Table 7a '!L336</f>
        <v>24.12</v>
      </c>
      <c r="R44" s="922">
        <f>($C$44/$E$44)*T44</f>
        <v>25.06</v>
      </c>
      <c r="S44" s="352">
        <f t="shared" si="87"/>
        <v>0</v>
      </c>
      <c r="T44" s="812">
        <f>'Table 7a '!N336</f>
        <v>25.06</v>
      </c>
      <c r="U44" s="922">
        <f>($C$44/$E$44)*W44</f>
        <v>26.03</v>
      </c>
      <c r="V44" s="953">
        <f t="shared" si="88"/>
        <v>0</v>
      </c>
      <c r="W44" s="911">
        <f>'Table 7a '!P336</f>
        <v>26.03</v>
      </c>
      <c r="X44" s="546">
        <f t="shared" si="89"/>
        <v>0.25</v>
      </c>
      <c r="Y44" s="394">
        <f>'Table 7a '!C336</f>
        <v>18912</v>
      </c>
      <c r="Z44" s="917">
        <f>'Table 7a '!E336</f>
        <v>24384</v>
      </c>
      <c r="AA44" s="918">
        <f>'Table 7a '!G336</f>
        <v>24958</v>
      </c>
      <c r="AB44" s="918">
        <f>'Table 7a '!I336</f>
        <v>25535</v>
      </c>
      <c r="AC44" s="918">
        <f>'Table 7a '!K336</f>
        <v>26103</v>
      </c>
      <c r="AD44" s="918">
        <f>'Table 7a '!M336</f>
        <v>26672</v>
      </c>
      <c r="AE44" s="967">
        <f>'Table 7a '!O336</f>
        <v>27241</v>
      </c>
      <c r="AF44" s="919">
        <f t="shared" si="90"/>
        <v>0.44</v>
      </c>
      <c r="AG44" s="823">
        <f>($C$44/$E$44)*AI44</f>
        <v>33.01</v>
      </c>
      <c r="AH44" s="322">
        <f t="shared" si="91"/>
        <v>0</v>
      </c>
      <c r="AI44" s="812">
        <f>'Table 7a '!S336</f>
        <v>33.01</v>
      </c>
      <c r="AK44" s="1617">
        <f t="shared" si="92"/>
        <v>5.16</v>
      </c>
      <c r="AL44" s="1635">
        <f t="shared" si="93"/>
        <v>8329</v>
      </c>
    </row>
    <row r="45" spans="1:51" ht="13.5" thickBot="1">
      <c r="A45" s="133" t="s">
        <v>51</v>
      </c>
      <c r="B45" s="133" t="s">
        <v>17</v>
      </c>
      <c r="C45" s="875">
        <v>0.46</v>
      </c>
      <c r="D45" s="410">
        <v>0</v>
      </c>
      <c r="E45" s="17">
        <f t="shared" si="82"/>
        <v>0.46</v>
      </c>
      <c r="F45" s="18">
        <f>($C$45/$E$45)*H45</f>
        <v>0.52</v>
      </c>
      <c r="G45" s="412">
        <f t="shared" si="83"/>
        <v>0</v>
      </c>
      <c r="H45" s="876">
        <f>'Table 7a '!F347</f>
        <v>0.52</v>
      </c>
      <c r="I45" s="875">
        <f>($C$45/$E$45)*K45</f>
        <v>0.51</v>
      </c>
      <c r="J45" s="410">
        <f t="shared" si="84"/>
        <v>0</v>
      </c>
      <c r="K45" s="17">
        <f>'Table 7a '!H347</f>
        <v>0.51</v>
      </c>
      <c r="L45" s="18">
        <f>($C$45/$E$45)*N45</f>
        <v>0.51</v>
      </c>
      <c r="M45" s="412">
        <f t="shared" si="85"/>
        <v>0</v>
      </c>
      <c r="N45" s="876">
        <f>'Table 7a '!J347</f>
        <v>0.51</v>
      </c>
      <c r="O45" s="927">
        <f>($C$45/$E$45)*Q45</f>
        <v>0.5</v>
      </c>
      <c r="P45" s="928">
        <f t="shared" si="86"/>
        <v>0</v>
      </c>
      <c r="Q45" s="19">
        <f>'Table 7a '!L347</f>
        <v>0.5</v>
      </c>
      <c r="R45" s="16">
        <f>($C$45/$E$45)*T45</f>
        <v>0.5</v>
      </c>
      <c r="S45" s="440">
        <f t="shared" si="87"/>
        <v>0</v>
      </c>
      <c r="T45" s="821">
        <f>'Table 7a '!N347</f>
        <v>0.5</v>
      </c>
      <c r="U45" s="16">
        <f>($C$45/$E$45)*W45</f>
        <v>0.49</v>
      </c>
      <c r="V45" s="955">
        <f t="shared" si="88"/>
        <v>0</v>
      </c>
      <c r="W45" s="909">
        <f>'Table 7a '!P347</f>
        <v>0.49</v>
      </c>
      <c r="X45" s="205">
        <f t="shared" si="89"/>
        <v>7.0000000000000007E-2</v>
      </c>
      <c r="Y45" s="719">
        <f>'Table 7a '!C347</f>
        <v>476</v>
      </c>
      <c r="Z45" s="929">
        <f>'Table 7a '!E347</f>
        <v>515</v>
      </c>
      <c r="AA45" s="580">
        <f>'Table 7a '!G347</f>
        <v>515</v>
      </c>
      <c r="AB45" s="580">
        <f>'Table 7a '!I347</f>
        <v>515</v>
      </c>
      <c r="AC45" s="580">
        <f>'Table 7a '!K347</f>
        <v>515</v>
      </c>
      <c r="AD45" s="580">
        <f>'Table 7a '!M347</f>
        <v>515</v>
      </c>
      <c r="AE45" s="963">
        <f>'Table 7a '!O347</f>
        <v>515</v>
      </c>
      <c r="AF45" s="581">
        <f t="shared" si="90"/>
        <v>0.08</v>
      </c>
      <c r="AG45" s="48">
        <f>($C$45/$E$45)*AI45</f>
        <v>0.64</v>
      </c>
      <c r="AH45" s="366">
        <f t="shared" si="91"/>
        <v>0</v>
      </c>
      <c r="AI45" s="821">
        <f>'Table 7a '!S347</f>
        <v>0.64</v>
      </c>
      <c r="AK45" s="1634">
        <f t="shared" si="92"/>
        <v>0.03</v>
      </c>
      <c r="AL45" s="1637">
        <f t="shared" si="93"/>
        <v>39</v>
      </c>
    </row>
    <row r="46" spans="1:51" s="22" customFormat="1" ht="27" customHeight="1" thickTop="1" thickBot="1">
      <c r="A46" s="3424" t="s">
        <v>52</v>
      </c>
      <c r="B46" s="3425"/>
      <c r="C46" s="31">
        <f>SUM(C40:C45)</f>
        <v>57.97</v>
      </c>
      <c r="D46" s="32">
        <f t="shared" ref="D46:W46" si="94">SUM(D40:D45)</f>
        <v>0.02</v>
      </c>
      <c r="E46" s="33">
        <f t="shared" si="94"/>
        <v>57.99</v>
      </c>
      <c r="F46" s="36">
        <f t="shared" si="94"/>
        <v>55.98</v>
      </c>
      <c r="G46" s="165">
        <f t="shared" si="94"/>
        <v>0.02</v>
      </c>
      <c r="H46" s="38">
        <f t="shared" si="94"/>
        <v>56</v>
      </c>
      <c r="I46" s="31">
        <f t="shared" si="94"/>
        <v>59.87</v>
      </c>
      <c r="J46" s="32">
        <f t="shared" si="94"/>
        <v>0.02</v>
      </c>
      <c r="K46" s="33">
        <f t="shared" si="94"/>
        <v>59.89</v>
      </c>
      <c r="L46" s="36">
        <f t="shared" si="94"/>
        <v>63.4</v>
      </c>
      <c r="M46" s="165">
        <f t="shared" si="94"/>
        <v>0.02</v>
      </c>
      <c r="N46" s="38">
        <f t="shared" si="94"/>
        <v>63.42</v>
      </c>
      <c r="O46" s="142">
        <f t="shared" si="94"/>
        <v>66.88</v>
      </c>
      <c r="P46" s="1229">
        <f t="shared" si="94"/>
        <v>0.02</v>
      </c>
      <c r="Q46" s="924">
        <f t="shared" si="94"/>
        <v>66.900000000000006</v>
      </c>
      <c r="R46" s="952">
        <f t="shared" si="94"/>
        <v>70.75</v>
      </c>
      <c r="S46" s="1026">
        <f t="shared" si="94"/>
        <v>0.02</v>
      </c>
      <c r="T46" s="926">
        <f t="shared" si="94"/>
        <v>70.77</v>
      </c>
      <c r="U46" s="952">
        <f t="shared" si="94"/>
        <v>74.25</v>
      </c>
      <c r="V46" s="951">
        <f t="shared" si="94"/>
        <v>0.02</v>
      </c>
      <c r="W46" s="925">
        <f t="shared" si="94"/>
        <v>74.27</v>
      </c>
      <c r="X46" s="206">
        <f t="shared" si="89"/>
        <v>0.28000000000000003</v>
      </c>
      <c r="Y46" s="379">
        <f t="shared" ref="Y46" si="95">SUM(Y40:Y45)</f>
        <v>48394</v>
      </c>
      <c r="Z46" s="582">
        <f t="shared" ref="Z46" si="96">SUM(Z40:Z45)</f>
        <v>59249</v>
      </c>
      <c r="AA46" s="583">
        <f t="shared" ref="AA46" si="97">SUM(AA40:AA45)</f>
        <v>61959</v>
      </c>
      <c r="AB46" s="583">
        <f t="shared" ref="AB46" si="98">SUM(AB40:AB45)</f>
        <v>64698</v>
      </c>
      <c r="AC46" s="583">
        <f t="shared" ref="AC46" si="99">SUM(AC40:AC45)</f>
        <v>67031</v>
      </c>
      <c r="AD46" s="583">
        <f t="shared" ref="AD46" si="100">SUM(AD40:AD45)</f>
        <v>69666</v>
      </c>
      <c r="AE46" s="966">
        <f t="shared" ref="AE46" si="101">SUM(AE40:AE45)</f>
        <v>71989</v>
      </c>
      <c r="AF46" s="183">
        <f t="shared" si="90"/>
        <v>0.49</v>
      </c>
      <c r="AG46" s="34">
        <f t="shared" ref="AG46" si="102">SUM(AG40:AG45)</f>
        <v>94.09</v>
      </c>
      <c r="AH46" s="20">
        <f t="shared" ref="AH46" si="103">SUM(AH40:AH45)</f>
        <v>0.02</v>
      </c>
      <c r="AI46" s="926">
        <f t="shared" ref="AI46" si="104">SUM(AI40:AI45)</f>
        <v>94.11</v>
      </c>
      <c r="AK46" s="1622">
        <f t="shared" si="92"/>
        <v>16.28</v>
      </c>
      <c r="AL46" s="1638">
        <f t="shared" si="93"/>
        <v>23595</v>
      </c>
    </row>
    <row r="47" spans="1:51">
      <c r="A47" s="89" t="s">
        <v>35</v>
      </c>
      <c r="Y47" s="374"/>
      <c r="Z47" s="913"/>
      <c r="AA47" s="913"/>
      <c r="AB47" s="913"/>
      <c r="AC47" s="913"/>
      <c r="AD47" s="913"/>
      <c r="AE47" s="913"/>
    </row>
    <row r="48" spans="1:51">
      <c r="A48" s="1" t="s">
        <v>68</v>
      </c>
    </row>
    <row r="49" spans="1:1">
      <c r="A49" s="1" t="s">
        <v>69</v>
      </c>
    </row>
    <row r="50" spans="1:1">
      <c r="A50" s="1" t="s">
        <v>534</v>
      </c>
    </row>
    <row r="51" spans="1:1">
      <c r="A51" s="255" t="s">
        <v>535</v>
      </c>
    </row>
    <row r="52" spans="1:1">
      <c r="A52" s="1" t="s">
        <v>536</v>
      </c>
    </row>
    <row r="53" spans="1:1">
      <c r="A53" s="2" t="s">
        <v>537</v>
      </c>
    </row>
  </sheetData>
  <mergeCells count="47">
    <mergeCell ref="A25:B25"/>
    <mergeCell ref="A26:B26"/>
    <mergeCell ref="A27:B27"/>
    <mergeCell ref="F3:H3"/>
    <mergeCell ref="I3:K3"/>
    <mergeCell ref="Z37:AE38"/>
    <mergeCell ref="L38:N38"/>
    <mergeCell ref="O38:Q38"/>
    <mergeCell ref="R38:T38"/>
    <mergeCell ref="AG3:AI3"/>
    <mergeCell ref="A46:B46"/>
    <mergeCell ref="AV36:AW36"/>
    <mergeCell ref="AX36:AY36"/>
    <mergeCell ref="B37:B39"/>
    <mergeCell ref="C37:E37"/>
    <mergeCell ref="X37:X39"/>
    <mergeCell ref="Y37:Y38"/>
    <mergeCell ref="AF37:AF39"/>
    <mergeCell ref="AG37:AI37"/>
    <mergeCell ref="C38:E38"/>
    <mergeCell ref="F38:H38"/>
    <mergeCell ref="I38:K38"/>
    <mergeCell ref="AG38:AI38"/>
    <mergeCell ref="A37:A39"/>
    <mergeCell ref="U38:W38"/>
    <mergeCell ref="F37:W37"/>
    <mergeCell ref="AX1:AY1"/>
    <mergeCell ref="A2:A4"/>
    <mergeCell ref="L3:N3"/>
    <mergeCell ref="C3:E3"/>
    <mergeCell ref="C2:E2"/>
    <mergeCell ref="B2:B4"/>
    <mergeCell ref="X2:X4"/>
    <mergeCell ref="AF2:AF4"/>
    <mergeCell ref="AG2:AI2"/>
    <mergeCell ref="Y2:Y3"/>
    <mergeCell ref="O3:Q3"/>
    <mergeCell ref="R3:T3"/>
    <mergeCell ref="U3:W3"/>
    <mergeCell ref="Z2:AE3"/>
    <mergeCell ref="A1:AI1"/>
    <mergeCell ref="F2:W2"/>
    <mergeCell ref="AK2:AK4"/>
    <mergeCell ref="AL2:AL4"/>
    <mergeCell ref="AK37:AK39"/>
    <mergeCell ref="AL37:AL39"/>
    <mergeCell ref="AV1:AW1"/>
  </mergeCells>
  <phoneticPr fontId="71" type="noConversion"/>
  <pageMargins left="0.7" right="0.7" top="0.75" bottom="0.75" header="0.3" footer="0.3"/>
  <pageSetup paperSize="3" scale="55" fitToHeight="0" pageOrder="overThenDown"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365"/>
  <sheetViews>
    <sheetView topLeftCell="A129" workbookViewId="0">
      <selection activeCell="S46" sqref="S46"/>
    </sheetView>
  </sheetViews>
  <sheetFormatPr defaultRowHeight="15"/>
  <cols>
    <col min="1" max="1" width="27.28515625" customWidth="1"/>
    <col min="2" max="2" width="33" customWidth="1"/>
    <col min="3" max="3" width="11.28515625" style="934" customWidth="1"/>
    <col min="4" max="4" width="11.28515625" style="863" customWidth="1"/>
    <col min="5" max="5" width="11.28515625" customWidth="1"/>
    <col min="6" max="6" width="11.28515625" style="863" customWidth="1"/>
    <col min="7" max="7" width="11.28515625" customWidth="1"/>
    <col min="8" max="8" width="11.28515625" style="863" customWidth="1"/>
    <col min="9" max="9" width="11.28515625" customWidth="1"/>
    <col min="10" max="10" width="11.28515625" style="863" customWidth="1"/>
    <col min="11" max="11" width="11.28515625" customWidth="1"/>
    <col min="12" max="12" width="11.28515625" style="863" customWidth="1"/>
    <col min="13" max="13" width="11.28515625" customWidth="1"/>
    <col min="14" max="16" width="11.28515625" style="863" customWidth="1"/>
    <col min="17" max="18" width="9.42578125" customWidth="1"/>
    <col min="19" max="19" width="12.5703125" style="863" customWidth="1"/>
    <col min="21" max="22" width="0" hidden="1" customWidth="1"/>
  </cols>
  <sheetData>
    <row r="1" spans="1:22" ht="27" customHeight="1" thickBot="1">
      <c r="A1" s="3224" t="s">
        <v>540</v>
      </c>
      <c r="B1" s="3224"/>
      <c r="C1" s="3224"/>
      <c r="D1" s="3224"/>
      <c r="E1" s="3224"/>
      <c r="F1" s="3224"/>
      <c r="G1" s="3224"/>
      <c r="H1" s="3224"/>
      <c r="I1" s="3224"/>
      <c r="J1" s="3224"/>
      <c r="K1" s="3224"/>
      <c r="L1" s="3224"/>
      <c r="M1" s="3224"/>
      <c r="N1" s="3224"/>
      <c r="O1" s="3224"/>
      <c r="P1" s="3224"/>
      <c r="Q1" s="3224"/>
      <c r="R1" s="3224"/>
      <c r="S1" s="3224"/>
    </row>
    <row r="2" spans="1:22" ht="26.25" customHeight="1">
      <c r="A2" s="3429" t="s">
        <v>85</v>
      </c>
      <c r="B2" s="3431" t="s">
        <v>541</v>
      </c>
      <c r="C2" s="3217" t="s">
        <v>542</v>
      </c>
      <c r="D2" s="3217"/>
      <c r="E2" s="3216" t="s">
        <v>543</v>
      </c>
      <c r="F2" s="3218"/>
      <c r="G2" s="3217" t="s">
        <v>544</v>
      </c>
      <c r="H2" s="3217"/>
      <c r="I2" s="3258" t="s">
        <v>545</v>
      </c>
      <c r="J2" s="3245"/>
      <c r="K2" s="3264" t="s">
        <v>546</v>
      </c>
      <c r="L2" s="3264"/>
      <c r="M2" s="3258" t="s">
        <v>547</v>
      </c>
      <c r="N2" s="3245"/>
      <c r="O2" s="3258" t="s">
        <v>548</v>
      </c>
      <c r="P2" s="3245"/>
      <c r="Q2" s="3264" t="s">
        <v>57</v>
      </c>
      <c r="R2" s="3264"/>
      <c r="S2" s="3433" t="s">
        <v>549</v>
      </c>
      <c r="U2" s="3258" t="s">
        <v>59</v>
      </c>
      <c r="V2" s="3245"/>
    </row>
    <row r="3" spans="1:22" ht="14.25" customHeight="1" thickBot="1">
      <c r="A3" s="3441"/>
      <c r="B3" s="3440"/>
      <c r="C3" s="1691" t="s">
        <v>550</v>
      </c>
      <c r="D3" s="1692" t="s">
        <v>551</v>
      </c>
      <c r="E3" s="1693" t="s">
        <v>550</v>
      </c>
      <c r="F3" s="1646" t="s">
        <v>551</v>
      </c>
      <c r="G3" s="1691" t="s">
        <v>550</v>
      </c>
      <c r="H3" s="1692" t="s">
        <v>551</v>
      </c>
      <c r="I3" s="1694" t="s">
        <v>550</v>
      </c>
      <c r="J3" s="1646" t="s">
        <v>551</v>
      </c>
      <c r="K3" s="1695" t="s">
        <v>550</v>
      </c>
      <c r="L3" s="1692" t="s">
        <v>551</v>
      </c>
      <c r="M3" s="1694" t="s">
        <v>550</v>
      </c>
      <c r="N3" s="1646" t="s">
        <v>551</v>
      </c>
      <c r="O3" s="1694" t="s">
        <v>550</v>
      </c>
      <c r="P3" s="1646" t="s">
        <v>551</v>
      </c>
      <c r="Q3" s="1696" t="s">
        <v>529</v>
      </c>
      <c r="R3" s="1692" t="s">
        <v>551</v>
      </c>
      <c r="S3" s="3439"/>
      <c r="U3" s="1645" t="s">
        <v>529</v>
      </c>
      <c r="V3" s="1646" t="s">
        <v>551</v>
      </c>
    </row>
    <row r="4" spans="1:22" ht="14.25" customHeight="1">
      <c r="A4" s="3438" t="s">
        <v>552</v>
      </c>
      <c r="B4" s="1649" t="s">
        <v>553</v>
      </c>
      <c r="C4" s="1650">
        <v>20</v>
      </c>
      <c r="D4" s="986">
        <f>(F4/$F$14)*$D$14</f>
        <v>0</v>
      </c>
      <c r="E4" s="1647">
        <v>0</v>
      </c>
      <c r="F4" s="1648">
        <v>0</v>
      </c>
      <c r="G4" s="1647">
        <v>0</v>
      </c>
      <c r="H4" s="986">
        <v>0</v>
      </c>
      <c r="I4" s="1647">
        <v>0</v>
      </c>
      <c r="J4" s="1648">
        <v>0</v>
      </c>
      <c r="K4" s="1647">
        <v>0</v>
      </c>
      <c r="L4" s="986">
        <v>0</v>
      </c>
      <c r="M4" s="1647">
        <v>0</v>
      </c>
      <c r="N4" s="1648">
        <v>0</v>
      </c>
      <c r="O4" s="1647">
        <v>0</v>
      </c>
      <c r="P4" s="1648">
        <v>0</v>
      </c>
      <c r="Q4" s="1651" t="s">
        <v>16</v>
      </c>
      <c r="R4" s="1652" t="s">
        <v>16</v>
      </c>
      <c r="S4" s="1653">
        <v>0</v>
      </c>
      <c r="U4" s="1647">
        <f>O4-C4</f>
        <v>-20</v>
      </c>
      <c r="V4" s="1648">
        <f>P4-D4</f>
        <v>0</v>
      </c>
    </row>
    <row r="5" spans="1:22" ht="14.25" customHeight="1">
      <c r="A5" s="3436"/>
      <c r="B5" s="931" t="s">
        <v>554</v>
      </c>
      <c r="C5" s="972">
        <v>1116</v>
      </c>
      <c r="D5" s="836">
        <f t="shared" ref="D5:D13" si="0">(F5/$F$14)*$D$14</f>
        <v>2.17</v>
      </c>
      <c r="E5" s="848">
        <v>1118</v>
      </c>
      <c r="F5" s="835">
        <v>2.27</v>
      </c>
      <c r="G5" s="848">
        <v>1118</v>
      </c>
      <c r="H5" s="836">
        <v>2.31</v>
      </c>
      <c r="I5" s="848">
        <v>1118</v>
      </c>
      <c r="J5" s="835">
        <v>2.3199999999999998</v>
      </c>
      <c r="K5" s="848">
        <v>1127</v>
      </c>
      <c r="L5" s="836">
        <v>2.38</v>
      </c>
      <c r="M5" s="848">
        <v>1127</v>
      </c>
      <c r="N5" s="835">
        <v>2.39</v>
      </c>
      <c r="O5" s="848">
        <v>1127</v>
      </c>
      <c r="P5" s="835">
        <v>2.39</v>
      </c>
      <c r="Q5" s="838">
        <f t="shared" ref="Q5:Q65" si="1">(O5-C5)/C5</f>
        <v>0.01</v>
      </c>
      <c r="R5" s="840">
        <f t="shared" ref="R5:R68" si="2">(P5-D5)/D5</f>
        <v>0.1</v>
      </c>
      <c r="S5" s="841">
        <v>3.45</v>
      </c>
      <c r="U5" s="848">
        <f t="shared" ref="U5:U68" si="3">O5-C5</f>
        <v>11</v>
      </c>
      <c r="V5" s="835">
        <f t="shared" ref="V5:V68" si="4">P5-D5</f>
        <v>0.22</v>
      </c>
    </row>
    <row r="6" spans="1:22" ht="14.25" customHeight="1">
      <c r="A6" s="3436"/>
      <c r="B6" s="931" t="s">
        <v>555</v>
      </c>
      <c r="C6" s="972">
        <v>0</v>
      </c>
      <c r="D6" s="836">
        <f t="shared" si="0"/>
        <v>0</v>
      </c>
      <c r="E6" s="848">
        <v>0</v>
      </c>
      <c r="F6" s="835">
        <v>0</v>
      </c>
      <c r="G6" s="848">
        <v>0</v>
      </c>
      <c r="H6" s="836">
        <v>0</v>
      </c>
      <c r="I6" s="848">
        <v>0</v>
      </c>
      <c r="J6" s="835">
        <v>0</v>
      </c>
      <c r="K6" s="848">
        <v>0</v>
      </c>
      <c r="L6" s="836">
        <v>0</v>
      </c>
      <c r="M6" s="848">
        <v>0</v>
      </c>
      <c r="N6" s="835">
        <v>0</v>
      </c>
      <c r="O6" s="848">
        <v>0</v>
      </c>
      <c r="P6" s="835">
        <v>0</v>
      </c>
      <c r="Q6" s="859" t="s">
        <v>16</v>
      </c>
      <c r="R6" s="858" t="s">
        <v>16</v>
      </c>
      <c r="S6" s="841">
        <v>0</v>
      </c>
      <c r="U6" s="848">
        <f t="shared" si="3"/>
        <v>0</v>
      </c>
      <c r="V6" s="835">
        <f t="shared" si="4"/>
        <v>0</v>
      </c>
    </row>
    <row r="7" spans="1:22" ht="14.25" customHeight="1">
      <c r="A7" s="3436"/>
      <c r="B7" s="931" t="s">
        <v>556</v>
      </c>
      <c r="C7" s="972">
        <v>109</v>
      </c>
      <c r="D7" s="836">
        <f t="shared" si="0"/>
        <v>0.11</v>
      </c>
      <c r="E7" s="848">
        <v>90</v>
      </c>
      <c r="F7" s="835">
        <v>0.11</v>
      </c>
      <c r="G7" s="848">
        <v>99</v>
      </c>
      <c r="H7" s="836">
        <v>0.12</v>
      </c>
      <c r="I7" s="848">
        <v>99</v>
      </c>
      <c r="J7" s="835">
        <v>0.12</v>
      </c>
      <c r="K7" s="848">
        <v>137</v>
      </c>
      <c r="L7" s="836">
        <v>0.17</v>
      </c>
      <c r="M7" s="848">
        <v>182</v>
      </c>
      <c r="N7" s="835">
        <v>0.23</v>
      </c>
      <c r="O7" s="848">
        <v>202</v>
      </c>
      <c r="P7" s="835">
        <v>0.26</v>
      </c>
      <c r="Q7" s="838">
        <f t="shared" si="1"/>
        <v>0.85</v>
      </c>
      <c r="R7" s="840">
        <f t="shared" si="2"/>
        <v>1.36</v>
      </c>
      <c r="S7" s="841">
        <v>0.34</v>
      </c>
      <c r="U7" s="848">
        <f t="shared" si="3"/>
        <v>93</v>
      </c>
      <c r="V7" s="835">
        <f t="shared" si="4"/>
        <v>0.15</v>
      </c>
    </row>
    <row r="8" spans="1:22" ht="14.25" customHeight="1">
      <c r="A8" s="3436"/>
      <c r="B8" s="931" t="s">
        <v>557</v>
      </c>
      <c r="C8" s="972">
        <v>246</v>
      </c>
      <c r="D8" s="836">
        <f t="shared" si="0"/>
        <v>0.11</v>
      </c>
      <c r="E8" s="848">
        <v>247</v>
      </c>
      <c r="F8" s="835">
        <v>0.11</v>
      </c>
      <c r="G8" s="848">
        <v>247</v>
      </c>
      <c r="H8" s="836">
        <v>0.12</v>
      </c>
      <c r="I8" s="848">
        <v>369</v>
      </c>
      <c r="J8" s="835">
        <v>0.21</v>
      </c>
      <c r="K8" s="848">
        <v>377</v>
      </c>
      <c r="L8" s="836">
        <v>0.22</v>
      </c>
      <c r="M8" s="848">
        <v>377</v>
      </c>
      <c r="N8" s="835">
        <v>0.23</v>
      </c>
      <c r="O8" s="848">
        <v>377</v>
      </c>
      <c r="P8" s="835">
        <v>0.23</v>
      </c>
      <c r="Q8" s="838">
        <f t="shared" si="1"/>
        <v>0.53</v>
      </c>
      <c r="R8" s="840">
        <f t="shared" si="2"/>
        <v>1.0900000000000001</v>
      </c>
      <c r="S8" s="841">
        <v>0.34</v>
      </c>
      <c r="U8" s="848">
        <f t="shared" si="3"/>
        <v>131</v>
      </c>
      <c r="V8" s="835">
        <f t="shared" si="4"/>
        <v>0.12</v>
      </c>
    </row>
    <row r="9" spans="1:22" ht="14.25" customHeight="1">
      <c r="A9" s="3436"/>
      <c r="B9" s="931" t="s">
        <v>558</v>
      </c>
      <c r="C9" s="972">
        <v>59</v>
      </c>
      <c r="D9" s="836">
        <f t="shared" si="0"/>
        <v>0.14000000000000001</v>
      </c>
      <c r="E9" s="848">
        <v>54</v>
      </c>
      <c r="F9" s="835">
        <v>0.15</v>
      </c>
      <c r="G9" s="848">
        <v>54</v>
      </c>
      <c r="H9" s="836">
        <v>0.15</v>
      </c>
      <c r="I9" s="848">
        <v>54</v>
      </c>
      <c r="J9" s="835">
        <v>0.15</v>
      </c>
      <c r="K9" s="848">
        <v>54</v>
      </c>
      <c r="L9" s="836">
        <v>0.16</v>
      </c>
      <c r="M9" s="848">
        <v>81</v>
      </c>
      <c r="N9" s="835">
        <v>0.22</v>
      </c>
      <c r="O9" s="848">
        <v>81</v>
      </c>
      <c r="P9" s="835">
        <v>0.23</v>
      </c>
      <c r="Q9" s="838">
        <f t="shared" si="1"/>
        <v>0.37</v>
      </c>
      <c r="R9" s="840">
        <f t="shared" si="2"/>
        <v>0.64</v>
      </c>
      <c r="S9" s="841">
        <v>0.26</v>
      </c>
      <c r="U9" s="848">
        <f t="shared" si="3"/>
        <v>22</v>
      </c>
      <c r="V9" s="835">
        <f t="shared" si="4"/>
        <v>0.09</v>
      </c>
    </row>
    <row r="10" spans="1:22" ht="14.25" customHeight="1">
      <c r="A10" s="3436"/>
      <c r="B10" s="931" t="s">
        <v>559</v>
      </c>
      <c r="C10" s="972">
        <v>361</v>
      </c>
      <c r="D10" s="836">
        <f t="shared" si="0"/>
        <v>0.28000000000000003</v>
      </c>
      <c r="E10" s="848">
        <v>311</v>
      </c>
      <c r="F10" s="835">
        <v>0.28999999999999998</v>
      </c>
      <c r="G10" s="848">
        <v>311</v>
      </c>
      <c r="H10" s="836">
        <v>0.28000000000000003</v>
      </c>
      <c r="I10" s="848">
        <v>311</v>
      </c>
      <c r="J10" s="835">
        <v>0.27</v>
      </c>
      <c r="K10" s="848">
        <v>311</v>
      </c>
      <c r="L10" s="836">
        <v>0.26</v>
      </c>
      <c r="M10" s="848">
        <v>311</v>
      </c>
      <c r="N10" s="835">
        <v>0.25</v>
      </c>
      <c r="O10" s="848">
        <v>311</v>
      </c>
      <c r="P10" s="835">
        <v>0.25</v>
      </c>
      <c r="Q10" s="838">
        <f t="shared" si="1"/>
        <v>-0.14000000000000001</v>
      </c>
      <c r="R10" s="840">
        <f t="shared" si="2"/>
        <v>-0.11</v>
      </c>
      <c r="S10" s="841">
        <v>0.4</v>
      </c>
      <c r="U10" s="848">
        <f t="shared" si="3"/>
        <v>-50</v>
      </c>
      <c r="V10" s="835">
        <f t="shared" si="4"/>
        <v>-0.03</v>
      </c>
    </row>
    <row r="11" spans="1:22" ht="14.25" customHeight="1">
      <c r="A11" s="3436"/>
      <c r="B11" s="931" t="s">
        <v>560</v>
      </c>
      <c r="C11" s="972">
        <v>0</v>
      </c>
      <c r="D11" s="836">
        <f t="shared" si="0"/>
        <v>0</v>
      </c>
      <c r="E11" s="848">
        <v>0</v>
      </c>
      <c r="F11" s="835">
        <v>0</v>
      </c>
      <c r="G11" s="848">
        <v>0</v>
      </c>
      <c r="H11" s="836">
        <v>0</v>
      </c>
      <c r="I11" s="848">
        <v>0</v>
      </c>
      <c r="J11" s="835">
        <v>0</v>
      </c>
      <c r="K11" s="848">
        <v>0</v>
      </c>
      <c r="L11" s="836">
        <v>0</v>
      </c>
      <c r="M11" s="848">
        <v>0</v>
      </c>
      <c r="N11" s="835">
        <v>0</v>
      </c>
      <c r="O11" s="848">
        <v>0</v>
      </c>
      <c r="P11" s="835">
        <v>0</v>
      </c>
      <c r="Q11" s="859" t="s">
        <v>16</v>
      </c>
      <c r="R11" s="858" t="s">
        <v>16</v>
      </c>
      <c r="S11" s="841">
        <v>0.45</v>
      </c>
      <c r="U11" s="848">
        <f t="shared" si="3"/>
        <v>0</v>
      </c>
      <c r="V11" s="835">
        <f t="shared" si="4"/>
        <v>0</v>
      </c>
    </row>
    <row r="12" spans="1:22" ht="14.25" customHeight="1">
      <c r="A12" s="3436"/>
      <c r="B12" s="931" t="s">
        <v>561</v>
      </c>
      <c r="C12" s="972">
        <v>0</v>
      </c>
      <c r="D12" s="836">
        <f t="shared" si="0"/>
        <v>0</v>
      </c>
      <c r="E12" s="848">
        <v>0</v>
      </c>
      <c r="F12" s="835">
        <v>0</v>
      </c>
      <c r="G12" s="848">
        <v>0</v>
      </c>
      <c r="H12" s="836">
        <v>0</v>
      </c>
      <c r="I12" s="848">
        <v>0</v>
      </c>
      <c r="J12" s="835">
        <v>0</v>
      </c>
      <c r="K12" s="848">
        <v>0</v>
      </c>
      <c r="L12" s="836">
        <v>0</v>
      </c>
      <c r="M12" s="848">
        <v>0</v>
      </c>
      <c r="N12" s="835">
        <v>0</v>
      </c>
      <c r="O12" s="848">
        <v>0</v>
      </c>
      <c r="P12" s="835">
        <v>0</v>
      </c>
      <c r="Q12" s="859" t="s">
        <v>16</v>
      </c>
      <c r="R12" s="858" t="s">
        <v>16</v>
      </c>
      <c r="S12" s="841">
        <v>0</v>
      </c>
      <c r="U12" s="848">
        <f t="shared" si="3"/>
        <v>0</v>
      </c>
      <c r="V12" s="835">
        <f t="shared" si="4"/>
        <v>0</v>
      </c>
    </row>
    <row r="13" spans="1:22" ht="14.25" customHeight="1" thickBot="1">
      <c r="A13" s="3436"/>
      <c r="B13" s="932" t="s">
        <v>562</v>
      </c>
      <c r="C13" s="1880">
        <v>0</v>
      </c>
      <c r="D13" s="1881">
        <f t="shared" si="0"/>
        <v>0.19</v>
      </c>
      <c r="E13" s="937">
        <v>0</v>
      </c>
      <c r="F13" s="983">
        <v>0.2</v>
      </c>
      <c r="G13" s="937">
        <v>0</v>
      </c>
      <c r="H13" s="1882">
        <f>F13</f>
        <v>0.2</v>
      </c>
      <c r="I13" s="937">
        <v>0</v>
      </c>
      <c r="J13" s="983">
        <f>H13</f>
        <v>0.2</v>
      </c>
      <c r="K13" s="937">
        <v>0</v>
      </c>
      <c r="L13" s="1882">
        <f>J13</f>
        <v>0.2</v>
      </c>
      <c r="M13" s="937">
        <v>0</v>
      </c>
      <c r="N13" s="983">
        <f>L13</f>
        <v>0.2</v>
      </c>
      <c r="O13" s="937">
        <v>0</v>
      </c>
      <c r="P13" s="983">
        <v>0.2</v>
      </c>
      <c r="Q13" s="1883" t="s">
        <v>16</v>
      </c>
      <c r="R13" s="1884">
        <f t="shared" si="2"/>
        <v>0.05</v>
      </c>
      <c r="S13" s="938">
        <f>N13</f>
        <v>0.2</v>
      </c>
      <c r="U13" s="937">
        <f t="shared" si="3"/>
        <v>0</v>
      </c>
      <c r="V13" s="983">
        <f t="shared" si="4"/>
        <v>0.01</v>
      </c>
    </row>
    <row r="14" spans="1:22" ht="14.25" customHeight="1" thickTop="1" thickBot="1">
      <c r="A14" s="3437"/>
      <c r="B14" s="842" t="s">
        <v>18</v>
      </c>
      <c r="C14" s="973">
        <f>SUM(C4:C13)</f>
        <v>1911</v>
      </c>
      <c r="D14" s="852">
        <f>'Table 7'!E5</f>
        <v>2.99</v>
      </c>
      <c r="E14" s="850">
        <f t="shared" ref="E14:P14" si="5">SUM(E4:E13)</f>
        <v>1820</v>
      </c>
      <c r="F14" s="843">
        <f t="shared" si="5"/>
        <v>3.13</v>
      </c>
      <c r="G14" s="850">
        <f t="shared" si="5"/>
        <v>1829</v>
      </c>
      <c r="H14" s="852">
        <f t="shared" si="5"/>
        <v>3.18</v>
      </c>
      <c r="I14" s="850">
        <f t="shared" si="5"/>
        <v>1951</v>
      </c>
      <c r="J14" s="843">
        <f t="shared" si="5"/>
        <v>3.27</v>
      </c>
      <c r="K14" s="850">
        <f t="shared" si="5"/>
        <v>2006</v>
      </c>
      <c r="L14" s="852">
        <f t="shared" si="5"/>
        <v>3.39</v>
      </c>
      <c r="M14" s="850">
        <f t="shared" si="5"/>
        <v>2078</v>
      </c>
      <c r="N14" s="843">
        <f t="shared" si="5"/>
        <v>3.52</v>
      </c>
      <c r="O14" s="850">
        <f t="shared" si="5"/>
        <v>2098</v>
      </c>
      <c r="P14" s="843">
        <f t="shared" si="5"/>
        <v>3.56</v>
      </c>
      <c r="Q14" s="844">
        <f t="shared" si="1"/>
        <v>0.1</v>
      </c>
      <c r="R14" s="845">
        <f t="shared" si="2"/>
        <v>0.19</v>
      </c>
      <c r="S14" s="855">
        <f>SUM(S4:S13)</f>
        <v>5.44</v>
      </c>
      <c r="U14" s="850">
        <f t="shared" si="3"/>
        <v>187</v>
      </c>
      <c r="V14" s="843">
        <f t="shared" si="4"/>
        <v>0.56999999999999995</v>
      </c>
    </row>
    <row r="15" spans="1:22" ht="14.25" customHeight="1">
      <c r="A15" s="3435" t="s">
        <v>563</v>
      </c>
      <c r="B15" s="933" t="s">
        <v>553</v>
      </c>
      <c r="C15" s="971">
        <v>0</v>
      </c>
      <c r="D15" s="851">
        <f>(F15/$F$25)*$D$25</f>
        <v>0</v>
      </c>
      <c r="E15" s="847">
        <v>0</v>
      </c>
      <c r="F15" s="853">
        <v>0</v>
      </c>
      <c r="G15" s="847">
        <v>0</v>
      </c>
      <c r="H15" s="851">
        <v>0</v>
      </c>
      <c r="I15" s="847">
        <v>0</v>
      </c>
      <c r="J15" s="853">
        <v>0</v>
      </c>
      <c r="K15" s="847">
        <v>0</v>
      </c>
      <c r="L15" s="851">
        <v>0</v>
      </c>
      <c r="M15" s="847">
        <v>0</v>
      </c>
      <c r="N15" s="853">
        <v>0</v>
      </c>
      <c r="O15" s="847">
        <v>0</v>
      </c>
      <c r="P15" s="853">
        <v>0</v>
      </c>
      <c r="Q15" s="878" t="s">
        <v>16</v>
      </c>
      <c r="R15" s="879" t="s">
        <v>16</v>
      </c>
      <c r="S15" s="854">
        <v>0</v>
      </c>
      <c r="U15" s="847">
        <f t="shared" si="3"/>
        <v>0</v>
      </c>
      <c r="V15" s="853">
        <f t="shared" si="4"/>
        <v>0</v>
      </c>
    </row>
    <row r="16" spans="1:22" ht="14.25" customHeight="1">
      <c r="A16" s="3436"/>
      <c r="B16" s="931" t="s">
        <v>554</v>
      </c>
      <c r="C16" s="972">
        <v>592</v>
      </c>
      <c r="D16" s="836">
        <f t="shared" ref="D16:D24" si="6">(F16/$F$25)*$D$25</f>
        <v>1.43</v>
      </c>
      <c r="E16" s="848">
        <v>592</v>
      </c>
      <c r="F16" s="835">
        <v>1.32</v>
      </c>
      <c r="G16" s="848">
        <v>592</v>
      </c>
      <c r="H16" s="836">
        <v>1.33</v>
      </c>
      <c r="I16" s="848">
        <v>592</v>
      </c>
      <c r="J16" s="835">
        <v>1.32</v>
      </c>
      <c r="K16" s="848">
        <v>592</v>
      </c>
      <c r="L16" s="836">
        <v>1.35</v>
      </c>
      <c r="M16" s="848">
        <v>592</v>
      </c>
      <c r="N16" s="835">
        <v>1.35</v>
      </c>
      <c r="O16" s="848">
        <v>608</v>
      </c>
      <c r="P16" s="835">
        <v>1.38</v>
      </c>
      <c r="Q16" s="838">
        <f t="shared" si="1"/>
        <v>0.03</v>
      </c>
      <c r="R16" s="840">
        <f t="shared" si="2"/>
        <v>-0.03</v>
      </c>
      <c r="S16" s="841">
        <v>2.16</v>
      </c>
      <c r="U16" s="848">
        <f t="shared" si="3"/>
        <v>16</v>
      </c>
      <c r="V16" s="835">
        <f t="shared" si="4"/>
        <v>-0.05</v>
      </c>
    </row>
    <row r="17" spans="1:22" ht="14.25" customHeight="1">
      <c r="A17" s="3436"/>
      <c r="B17" s="931" t="s">
        <v>555</v>
      </c>
      <c r="C17" s="972">
        <v>0</v>
      </c>
      <c r="D17" s="836">
        <f t="shared" si="6"/>
        <v>0</v>
      </c>
      <c r="E17" s="848">
        <v>0</v>
      </c>
      <c r="F17" s="835">
        <v>0</v>
      </c>
      <c r="G17" s="848">
        <v>0</v>
      </c>
      <c r="H17" s="836">
        <v>0</v>
      </c>
      <c r="I17" s="848">
        <v>0</v>
      </c>
      <c r="J17" s="835">
        <v>0</v>
      </c>
      <c r="K17" s="848">
        <v>0</v>
      </c>
      <c r="L17" s="836">
        <v>0</v>
      </c>
      <c r="M17" s="848">
        <v>0</v>
      </c>
      <c r="N17" s="835">
        <v>0</v>
      </c>
      <c r="O17" s="848">
        <v>0</v>
      </c>
      <c r="P17" s="835">
        <v>0</v>
      </c>
      <c r="Q17" s="859" t="s">
        <v>16</v>
      </c>
      <c r="R17" s="858" t="s">
        <v>16</v>
      </c>
      <c r="S17" s="841">
        <v>0</v>
      </c>
      <c r="U17" s="848">
        <f t="shared" si="3"/>
        <v>0</v>
      </c>
      <c r="V17" s="835">
        <f t="shared" si="4"/>
        <v>0</v>
      </c>
    </row>
    <row r="18" spans="1:22" ht="14.25" customHeight="1">
      <c r="A18" s="3436"/>
      <c r="B18" s="931" t="s">
        <v>556</v>
      </c>
      <c r="C18" s="972">
        <v>424</v>
      </c>
      <c r="D18" s="836">
        <f t="shared" si="6"/>
        <v>0.57999999999999996</v>
      </c>
      <c r="E18" s="848">
        <v>459</v>
      </c>
      <c r="F18" s="835">
        <v>0.53</v>
      </c>
      <c r="G18" s="848">
        <v>509</v>
      </c>
      <c r="H18" s="836">
        <v>0.6</v>
      </c>
      <c r="I18" s="848">
        <v>525</v>
      </c>
      <c r="J18" s="835">
        <v>0.63</v>
      </c>
      <c r="K18" s="848">
        <v>609</v>
      </c>
      <c r="L18" s="836">
        <v>0.75</v>
      </c>
      <c r="M18" s="848">
        <v>655</v>
      </c>
      <c r="N18" s="835">
        <v>0.81</v>
      </c>
      <c r="O18" s="848">
        <v>716</v>
      </c>
      <c r="P18" s="835">
        <v>0.9</v>
      </c>
      <c r="Q18" s="838">
        <f t="shared" si="1"/>
        <v>0.69</v>
      </c>
      <c r="R18" s="840">
        <f t="shared" si="2"/>
        <v>0.55000000000000004</v>
      </c>
      <c r="S18" s="841">
        <v>1.17</v>
      </c>
      <c r="U18" s="848">
        <f t="shared" si="3"/>
        <v>292</v>
      </c>
      <c r="V18" s="835">
        <f t="shared" si="4"/>
        <v>0.32</v>
      </c>
    </row>
    <row r="19" spans="1:22" ht="14.25" customHeight="1">
      <c r="A19" s="3436"/>
      <c r="B19" s="931" t="s">
        <v>557</v>
      </c>
      <c r="C19" s="972">
        <v>5200</v>
      </c>
      <c r="D19" s="836">
        <f t="shared" si="6"/>
        <v>4.57</v>
      </c>
      <c r="E19" s="848">
        <v>5560</v>
      </c>
      <c r="F19" s="835">
        <v>4.21</v>
      </c>
      <c r="G19" s="848">
        <v>5605</v>
      </c>
      <c r="H19" s="836">
        <v>4.28</v>
      </c>
      <c r="I19" s="848">
        <v>5633</v>
      </c>
      <c r="J19" s="835">
        <v>4.34</v>
      </c>
      <c r="K19" s="848">
        <v>5671</v>
      </c>
      <c r="L19" s="836">
        <v>4.4400000000000004</v>
      </c>
      <c r="M19" s="848">
        <v>5722</v>
      </c>
      <c r="N19" s="835">
        <v>4.55</v>
      </c>
      <c r="O19" s="848">
        <v>5818</v>
      </c>
      <c r="P19" s="835">
        <v>4.68</v>
      </c>
      <c r="Q19" s="838">
        <f t="shared" si="1"/>
        <v>0.12</v>
      </c>
      <c r="R19" s="840">
        <f t="shared" si="2"/>
        <v>0.02</v>
      </c>
      <c r="S19" s="841">
        <v>5.94</v>
      </c>
      <c r="U19" s="848">
        <f t="shared" si="3"/>
        <v>618</v>
      </c>
      <c r="V19" s="835">
        <f t="shared" si="4"/>
        <v>0.11</v>
      </c>
    </row>
    <row r="20" spans="1:22" ht="14.25" customHeight="1">
      <c r="A20" s="3436"/>
      <c r="B20" s="931" t="s">
        <v>558</v>
      </c>
      <c r="C20" s="972">
        <v>895</v>
      </c>
      <c r="D20" s="836">
        <f t="shared" si="6"/>
        <v>2.1800000000000002</v>
      </c>
      <c r="E20" s="848">
        <v>831</v>
      </c>
      <c r="F20" s="835">
        <v>2.0099999999999998</v>
      </c>
      <c r="G20" s="848">
        <v>831</v>
      </c>
      <c r="H20" s="836">
        <v>2.02</v>
      </c>
      <c r="I20" s="848">
        <v>831</v>
      </c>
      <c r="J20" s="835">
        <v>2.02</v>
      </c>
      <c r="K20" s="848">
        <v>840</v>
      </c>
      <c r="L20" s="836">
        <v>2.0499999999999998</v>
      </c>
      <c r="M20" s="848">
        <v>840</v>
      </c>
      <c r="N20" s="835">
        <v>2.0699999999999998</v>
      </c>
      <c r="O20" s="848">
        <v>855</v>
      </c>
      <c r="P20" s="835">
        <v>2.11</v>
      </c>
      <c r="Q20" s="838">
        <f t="shared" si="1"/>
        <v>-0.04</v>
      </c>
      <c r="R20" s="840">
        <f t="shared" si="2"/>
        <v>-0.03</v>
      </c>
      <c r="S20" s="841">
        <v>2.39</v>
      </c>
      <c r="U20" s="848">
        <f t="shared" si="3"/>
        <v>-40</v>
      </c>
      <c r="V20" s="835">
        <f t="shared" si="4"/>
        <v>-7.0000000000000007E-2</v>
      </c>
    </row>
    <row r="21" spans="1:22" ht="14.25" customHeight="1">
      <c r="A21" s="3436"/>
      <c r="B21" s="931" t="s">
        <v>559</v>
      </c>
      <c r="C21" s="972">
        <v>2666</v>
      </c>
      <c r="D21" s="836">
        <f t="shared" si="6"/>
        <v>2.69</v>
      </c>
      <c r="E21" s="848">
        <v>2797</v>
      </c>
      <c r="F21" s="835">
        <v>2.48</v>
      </c>
      <c r="G21" s="848">
        <v>2868</v>
      </c>
      <c r="H21" s="836">
        <v>2.52</v>
      </c>
      <c r="I21" s="848">
        <v>2889</v>
      </c>
      <c r="J21" s="835">
        <v>2.5299999999999998</v>
      </c>
      <c r="K21" s="848">
        <v>2889</v>
      </c>
      <c r="L21" s="836">
        <v>2.5</v>
      </c>
      <c r="M21" s="848">
        <v>2912</v>
      </c>
      <c r="N21" s="835">
        <v>2.4900000000000002</v>
      </c>
      <c r="O21" s="848">
        <v>2912</v>
      </c>
      <c r="P21" s="835">
        <v>2.4700000000000002</v>
      </c>
      <c r="Q21" s="838">
        <f t="shared" si="1"/>
        <v>0.09</v>
      </c>
      <c r="R21" s="840">
        <f t="shared" si="2"/>
        <v>-0.08</v>
      </c>
      <c r="S21" s="841">
        <v>3.36</v>
      </c>
      <c r="U21" s="848">
        <f t="shared" si="3"/>
        <v>246</v>
      </c>
      <c r="V21" s="835">
        <f t="shared" si="4"/>
        <v>-0.22</v>
      </c>
    </row>
    <row r="22" spans="1:22" ht="14.25" customHeight="1">
      <c r="A22" s="3436"/>
      <c r="B22" s="931" t="s">
        <v>560</v>
      </c>
      <c r="C22" s="972">
        <v>0</v>
      </c>
      <c r="D22" s="836">
        <f t="shared" si="6"/>
        <v>0</v>
      </c>
      <c r="E22" s="848">
        <v>0</v>
      </c>
      <c r="F22" s="835">
        <v>0</v>
      </c>
      <c r="G22" s="848">
        <v>0</v>
      </c>
      <c r="H22" s="836">
        <v>0</v>
      </c>
      <c r="I22" s="848">
        <v>0</v>
      </c>
      <c r="J22" s="835">
        <v>0</v>
      </c>
      <c r="K22" s="848">
        <v>0</v>
      </c>
      <c r="L22" s="836">
        <v>0</v>
      </c>
      <c r="M22" s="848">
        <v>0</v>
      </c>
      <c r="N22" s="835">
        <v>0</v>
      </c>
      <c r="O22" s="848">
        <v>0</v>
      </c>
      <c r="P22" s="835">
        <v>0</v>
      </c>
      <c r="Q22" s="859" t="s">
        <v>16</v>
      </c>
      <c r="R22" s="858" t="s">
        <v>16</v>
      </c>
      <c r="S22" s="841">
        <v>0</v>
      </c>
      <c r="U22" s="848">
        <f t="shared" si="3"/>
        <v>0</v>
      </c>
      <c r="V22" s="835">
        <f t="shared" si="4"/>
        <v>0</v>
      </c>
    </row>
    <row r="23" spans="1:22" ht="14.25" customHeight="1">
      <c r="A23" s="3436"/>
      <c r="B23" s="931" t="s">
        <v>561</v>
      </c>
      <c r="C23" s="972">
        <v>0</v>
      </c>
      <c r="D23" s="836">
        <f t="shared" si="6"/>
        <v>0</v>
      </c>
      <c r="E23" s="848">
        <v>0</v>
      </c>
      <c r="F23" s="835">
        <v>0</v>
      </c>
      <c r="G23" s="848">
        <v>0</v>
      </c>
      <c r="H23" s="836">
        <v>0</v>
      </c>
      <c r="I23" s="848">
        <v>0</v>
      </c>
      <c r="J23" s="835">
        <v>0</v>
      </c>
      <c r="K23" s="848">
        <v>0</v>
      </c>
      <c r="L23" s="836">
        <v>0</v>
      </c>
      <c r="M23" s="848">
        <v>0</v>
      </c>
      <c r="N23" s="835">
        <v>0</v>
      </c>
      <c r="O23" s="848">
        <v>0</v>
      </c>
      <c r="P23" s="835">
        <v>0</v>
      </c>
      <c r="Q23" s="859" t="s">
        <v>16</v>
      </c>
      <c r="R23" s="858" t="s">
        <v>16</v>
      </c>
      <c r="S23" s="841">
        <v>0</v>
      </c>
      <c r="U23" s="848">
        <f t="shared" si="3"/>
        <v>0</v>
      </c>
      <c r="V23" s="835">
        <f t="shared" si="4"/>
        <v>0</v>
      </c>
    </row>
    <row r="24" spans="1:22" ht="14.25" customHeight="1" thickBot="1">
      <c r="A24" s="3436"/>
      <c r="B24" s="932" t="s">
        <v>562</v>
      </c>
      <c r="C24" s="1880">
        <v>0</v>
      </c>
      <c r="D24" s="1881">
        <f t="shared" si="6"/>
        <v>0.76</v>
      </c>
      <c r="E24" s="849">
        <v>0</v>
      </c>
      <c r="F24" s="1885">
        <v>0.7</v>
      </c>
      <c r="G24" s="849">
        <v>0</v>
      </c>
      <c r="H24" s="1881">
        <f>F24</f>
        <v>0.7</v>
      </c>
      <c r="I24" s="849">
        <v>0</v>
      </c>
      <c r="J24" s="1885">
        <f>H24</f>
        <v>0.7</v>
      </c>
      <c r="K24" s="849">
        <v>0</v>
      </c>
      <c r="L24" s="1881">
        <f>J24</f>
        <v>0.7</v>
      </c>
      <c r="M24" s="849">
        <v>0</v>
      </c>
      <c r="N24" s="1885">
        <f>L24</f>
        <v>0.7</v>
      </c>
      <c r="O24" s="849">
        <v>0</v>
      </c>
      <c r="P24" s="1885">
        <v>0.7</v>
      </c>
      <c r="Q24" s="1886" t="s">
        <v>16</v>
      </c>
      <c r="R24" s="1887">
        <f t="shared" si="2"/>
        <v>-0.08</v>
      </c>
      <c r="S24" s="846">
        <f>N24</f>
        <v>0.7</v>
      </c>
      <c r="U24" s="849">
        <f t="shared" si="3"/>
        <v>0</v>
      </c>
      <c r="V24" s="1885">
        <f t="shared" si="4"/>
        <v>-0.06</v>
      </c>
    </row>
    <row r="25" spans="1:22" ht="14.25" customHeight="1" thickTop="1" thickBot="1">
      <c r="A25" s="3437"/>
      <c r="B25" s="842" t="s">
        <v>18</v>
      </c>
      <c r="C25" s="973">
        <f>SUM(C15:C24)</f>
        <v>9777</v>
      </c>
      <c r="D25" s="852">
        <f>'Table 7'!E6</f>
        <v>12.22</v>
      </c>
      <c r="E25" s="850">
        <f t="shared" ref="E25:P25" si="7">SUM(E15:E24)</f>
        <v>10239</v>
      </c>
      <c r="F25" s="843">
        <f t="shared" si="7"/>
        <v>11.25</v>
      </c>
      <c r="G25" s="850">
        <f t="shared" si="7"/>
        <v>10405</v>
      </c>
      <c r="H25" s="852">
        <f t="shared" si="7"/>
        <v>11.45</v>
      </c>
      <c r="I25" s="850">
        <f t="shared" si="7"/>
        <v>10470</v>
      </c>
      <c r="J25" s="843">
        <f t="shared" si="7"/>
        <v>11.54</v>
      </c>
      <c r="K25" s="850">
        <f t="shared" si="7"/>
        <v>10601</v>
      </c>
      <c r="L25" s="852">
        <f t="shared" si="7"/>
        <v>11.79</v>
      </c>
      <c r="M25" s="850">
        <f t="shared" si="7"/>
        <v>10721</v>
      </c>
      <c r="N25" s="843">
        <f t="shared" si="7"/>
        <v>11.97</v>
      </c>
      <c r="O25" s="850">
        <f t="shared" si="7"/>
        <v>10909</v>
      </c>
      <c r="P25" s="843">
        <f t="shared" si="7"/>
        <v>12.24</v>
      </c>
      <c r="Q25" s="844">
        <f t="shared" si="1"/>
        <v>0.12</v>
      </c>
      <c r="R25" s="845">
        <f t="shared" si="2"/>
        <v>0</v>
      </c>
      <c r="S25" s="855">
        <f>SUM(S15:S24)</f>
        <v>15.72</v>
      </c>
      <c r="U25" s="850">
        <f t="shared" si="3"/>
        <v>1132</v>
      </c>
      <c r="V25" s="843">
        <f t="shared" si="4"/>
        <v>0.02</v>
      </c>
    </row>
    <row r="26" spans="1:22" ht="14.25" customHeight="1">
      <c r="A26" s="3435" t="s">
        <v>564</v>
      </c>
      <c r="B26" s="933" t="s">
        <v>553</v>
      </c>
      <c r="C26" s="971">
        <f t="shared" ref="C26:D36" si="8">C4+C15</f>
        <v>20</v>
      </c>
      <c r="D26" s="851">
        <f t="shared" si="8"/>
        <v>0</v>
      </c>
      <c r="E26" s="847">
        <f t="shared" ref="E26:N26" si="9">E4+E15</f>
        <v>0</v>
      </c>
      <c r="F26" s="853">
        <f t="shared" si="9"/>
        <v>0</v>
      </c>
      <c r="G26" s="847">
        <f t="shared" si="9"/>
        <v>0</v>
      </c>
      <c r="H26" s="851">
        <f t="shared" si="9"/>
        <v>0</v>
      </c>
      <c r="I26" s="847">
        <f t="shared" si="9"/>
        <v>0</v>
      </c>
      <c r="J26" s="853">
        <f t="shared" si="9"/>
        <v>0</v>
      </c>
      <c r="K26" s="847">
        <f t="shared" si="9"/>
        <v>0</v>
      </c>
      <c r="L26" s="851">
        <f t="shared" si="9"/>
        <v>0</v>
      </c>
      <c r="M26" s="847">
        <f t="shared" si="9"/>
        <v>0</v>
      </c>
      <c r="N26" s="853">
        <f t="shared" si="9"/>
        <v>0</v>
      </c>
      <c r="O26" s="847">
        <f t="shared" ref="O26:P26" si="10">O4+O15</f>
        <v>0</v>
      </c>
      <c r="P26" s="853">
        <f t="shared" si="10"/>
        <v>0</v>
      </c>
      <c r="Q26" s="837">
        <f t="shared" si="1"/>
        <v>-1</v>
      </c>
      <c r="R26" s="879" t="s">
        <v>16</v>
      </c>
      <c r="S26" s="854">
        <f t="shared" ref="S26:S36" si="11">S4+S15</f>
        <v>0</v>
      </c>
      <c r="U26" s="847">
        <f t="shared" si="3"/>
        <v>-20</v>
      </c>
      <c r="V26" s="853">
        <f t="shared" si="4"/>
        <v>0</v>
      </c>
    </row>
    <row r="27" spans="1:22" ht="14.25" customHeight="1">
      <c r="A27" s="3436"/>
      <c r="B27" s="931" t="s">
        <v>554</v>
      </c>
      <c r="C27" s="972">
        <f t="shared" si="8"/>
        <v>1708</v>
      </c>
      <c r="D27" s="836">
        <f t="shared" si="8"/>
        <v>3.6</v>
      </c>
      <c r="E27" s="848">
        <f t="shared" ref="E27:N28" si="12">E5+E16</f>
        <v>1710</v>
      </c>
      <c r="F27" s="835">
        <f t="shared" si="12"/>
        <v>3.59</v>
      </c>
      <c r="G27" s="848">
        <f t="shared" si="12"/>
        <v>1710</v>
      </c>
      <c r="H27" s="836">
        <f t="shared" si="12"/>
        <v>3.64</v>
      </c>
      <c r="I27" s="848">
        <f t="shared" si="12"/>
        <v>1710</v>
      </c>
      <c r="J27" s="835">
        <f t="shared" si="12"/>
        <v>3.64</v>
      </c>
      <c r="K27" s="848">
        <f t="shared" si="12"/>
        <v>1719</v>
      </c>
      <c r="L27" s="836">
        <f t="shared" si="12"/>
        <v>3.73</v>
      </c>
      <c r="M27" s="848">
        <f t="shared" si="12"/>
        <v>1719</v>
      </c>
      <c r="N27" s="835">
        <f t="shared" si="12"/>
        <v>3.74</v>
      </c>
      <c r="O27" s="848">
        <f t="shared" ref="O27:P27" si="13">O5+O16</f>
        <v>1735</v>
      </c>
      <c r="P27" s="835">
        <f t="shared" si="13"/>
        <v>3.77</v>
      </c>
      <c r="Q27" s="838">
        <f t="shared" si="1"/>
        <v>0.02</v>
      </c>
      <c r="R27" s="840">
        <f t="shared" si="2"/>
        <v>0.05</v>
      </c>
      <c r="S27" s="841">
        <f t="shared" si="11"/>
        <v>5.61</v>
      </c>
      <c r="U27" s="848">
        <f t="shared" si="3"/>
        <v>27</v>
      </c>
      <c r="V27" s="835">
        <f t="shared" si="4"/>
        <v>0.17</v>
      </c>
    </row>
    <row r="28" spans="1:22" ht="14.25" customHeight="1">
      <c r="A28" s="3436"/>
      <c r="B28" s="931" t="s">
        <v>555</v>
      </c>
      <c r="C28" s="972">
        <f t="shared" si="8"/>
        <v>0</v>
      </c>
      <c r="D28" s="836">
        <f t="shared" si="8"/>
        <v>0</v>
      </c>
      <c r="E28" s="848">
        <f t="shared" si="12"/>
        <v>0</v>
      </c>
      <c r="F28" s="835">
        <f t="shared" si="12"/>
        <v>0</v>
      </c>
      <c r="G28" s="848">
        <f t="shared" si="12"/>
        <v>0</v>
      </c>
      <c r="H28" s="836">
        <f t="shared" si="12"/>
        <v>0</v>
      </c>
      <c r="I28" s="848">
        <f t="shared" si="12"/>
        <v>0</v>
      </c>
      <c r="J28" s="835">
        <f t="shared" si="12"/>
        <v>0</v>
      </c>
      <c r="K28" s="848">
        <f t="shared" si="12"/>
        <v>0</v>
      </c>
      <c r="L28" s="836">
        <f t="shared" si="12"/>
        <v>0</v>
      </c>
      <c r="M28" s="848">
        <f t="shared" si="12"/>
        <v>0</v>
      </c>
      <c r="N28" s="835">
        <f t="shared" si="12"/>
        <v>0</v>
      </c>
      <c r="O28" s="848">
        <f t="shared" ref="O28:P28" si="14">O6+O17</f>
        <v>0</v>
      </c>
      <c r="P28" s="835">
        <f t="shared" si="14"/>
        <v>0</v>
      </c>
      <c r="Q28" s="859" t="s">
        <v>16</v>
      </c>
      <c r="R28" s="858" t="s">
        <v>16</v>
      </c>
      <c r="S28" s="841">
        <f t="shared" si="11"/>
        <v>0</v>
      </c>
      <c r="U28" s="848">
        <f t="shared" si="3"/>
        <v>0</v>
      </c>
      <c r="V28" s="835">
        <f t="shared" si="4"/>
        <v>0</v>
      </c>
    </row>
    <row r="29" spans="1:22" ht="14.25" customHeight="1">
      <c r="A29" s="3436"/>
      <c r="B29" s="931" t="s">
        <v>556</v>
      </c>
      <c r="C29" s="972">
        <f t="shared" si="8"/>
        <v>533</v>
      </c>
      <c r="D29" s="836">
        <f t="shared" si="8"/>
        <v>0.69</v>
      </c>
      <c r="E29" s="848">
        <f t="shared" ref="E29:N29" si="15">E7+E18</f>
        <v>549</v>
      </c>
      <c r="F29" s="835">
        <f t="shared" si="15"/>
        <v>0.64</v>
      </c>
      <c r="G29" s="848">
        <f t="shared" si="15"/>
        <v>608</v>
      </c>
      <c r="H29" s="836">
        <f t="shared" si="15"/>
        <v>0.72</v>
      </c>
      <c r="I29" s="848">
        <f t="shared" si="15"/>
        <v>624</v>
      </c>
      <c r="J29" s="835">
        <f t="shared" si="15"/>
        <v>0.75</v>
      </c>
      <c r="K29" s="848">
        <f t="shared" si="15"/>
        <v>746</v>
      </c>
      <c r="L29" s="836">
        <f t="shared" si="15"/>
        <v>0.92</v>
      </c>
      <c r="M29" s="848">
        <f t="shared" si="15"/>
        <v>837</v>
      </c>
      <c r="N29" s="835">
        <f t="shared" si="15"/>
        <v>1.04</v>
      </c>
      <c r="O29" s="848">
        <f t="shared" ref="O29:P29" si="16">O7+O18</f>
        <v>918</v>
      </c>
      <c r="P29" s="835">
        <f t="shared" si="16"/>
        <v>1.1599999999999999</v>
      </c>
      <c r="Q29" s="838">
        <f t="shared" si="1"/>
        <v>0.72</v>
      </c>
      <c r="R29" s="840">
        <f t="shared" si="2"/>
        <v>0.68</v>
      </c>
      <c r="S29" s="841">
        <f t="shared" si="11"/>
        <v>1.51</v>
      </c>
      <c r="U29" s="848">
        <f t="shared" si="3"/>
        <v>385</v>
      </c>
      <c r="V29" s="835">
        <f t="shared" si="4"/>
        <v>0.47</v>
      </c>
    </row>
    <row r="30" spans="1:22" ht="14.25" customHeight="1">
      <c r="A30" s="3436"/>
      <c r="B30" s="931" t="s">
        <v>557</v>
      </c>
      <c r="C30" s="972">
        <f t="shared" si="8"/>
        <v>5446</v>
      </c>
      <c r="D30" s="836">
        <f t="shared" si="8"/>
        <v>4.68</v>
      </c>
      <c r="E30" s="848">
        <f t="shared" ref="E30:N30" si="17">E8+E19</f>
        <v>5807</v>
      </c>
      <c r="F30" s="835">
        <f t="shared" si="17"/>
        <v>4.32</v>
      </c>
      <c r="G30" s="848">
        <f t="shared" si="17"/>
        <v>5852</v>
      </c>
      <c r="H30" s="836">
        <f t="shared" si="17"/>
        <v>4.4000000000000004</v>
      </c>
      <c r="I30" s="848">
        <f t="shared" si="17"/>
        <v>6002</v>
      </c>
      <c r="J30" s="835">
        <f t="shared" si="17"/>
        <v>4.55</v>
      </c>
      <c r="K30" s="848">
        <f t="shared" si="17"/>
        <v>6048</v>
      </c>
      <c r="L30" s="836">
        <f t="shared" si="17"/>
        <v>4.66</v>
      </c>
      <c r="M30" s="848">
        <f t="shared" si="17"/>
        <v>6099</v>
      </c>
      <c r="N30" s="835">
        <f t="shared" si="17"/>
        <v>4.78</v>
      </c>
      <c r="O30" s="848">
        <f t="shared" ref="O30:P30" si="18">O8+O19</f>
        <v>6195</v>
      </c>
      <c r="P30" s="835">
        <f t="shared" si="18"/>
        <v>4.91</v>
      </c>
      <c r="Q30" s="838">
        <f t="shared" si="1"/>
        <v>0.14000000000000001</v>
      </c>
      <c r="R30" s="840">
        <f t="shared" si="2"/>
        <v>0.05</v>
      </c>
      <c r="S30" s="841">
        <f t="shared" si="11"/>
        <v>6.28</v>
      </c>
      <c r="U30" s="848">
        <f t="shared" si="3"/>
        <v>749</v>
      </c>
      <c r="V30" s="835">
        <f t="shared" si="4"/>
        <v>0.23</v>
      </c>
    </row>
    <row r="31" spans="1:22" ht="14.25" customHeight="1">
      <c r="A31" s="3436"/>
      <c r="B31" s="931" t="s">
        <v>558</v>
      </c>
      <c r="C31" s="972">
        <f t="shared" si="8"/>
        <v>954</v>
      </c>
      <c r="D31" s="836">
        <f t="shared" si="8"/>
        <v>2.3199999999999998</v>
      </c>
      <c r="E31" s="848">
        <f t="shared" ref="E31:N32" si="19">E9+E20</f>
        <v>885</v>
      </c>
      <c r="F31" s="835">
        <f t="shared" si="19"/>
        <v>2.16</v>
      </c>
      <c r="G31" s="848">
        <f t="shared" si="19"/>
        <v>885</v>
      </c>
      <c r="H31" s="836">
        <f t="shared" si="19"/>
        <v>2.17</v>
      </c>
      <c r="I31" s="848">
        <f t="shared" si="19"/>
        <v>885</v>
      </c>
      <c r="J31" s="835">
        <f t="shared" si="19"/>
        <v>2.17</v>
      </c>
      <c r="K31" s="848">
        <f t="shared" si="19"/>
        <v>894</v>
      </c>
      <c r="L31" s="836">
        <f t="shared" si="19"/>
        <v>2.21</v>
      </c>
      <c r="M31" s="848">
        <f t="shared" si="19"/>
        <v>921</v>
      </c>
      <c r="N31" s="835">
        <f t="shared" si="19"/>
        <v>2.29</v>
      </c>
      <c r="O31" s="848">
        <f t="shared" ref="O31:P31" si="20">O9+O20</f>
        <v>936</v>
      </c>
      <c r="P31" s="835">
        <f t="shared" si="20"/>
        <v>2.34</v>
      </c>
      <c r="Q31" s="838">
        <f t="shared" si="1"/>
        <v>-0.02</v>
      </c>
      <c r="R31" s="840">
        <f t="shared" si="2"/>
        <v>0.01</v>
      </c>
      <c r="S31" s="841">
        <f t="shared" si="11"/>
        <v>2.65</v>
      </c>
      <c r="U31" s="848">
        <f t="shared" si="3"/>
        <v>-18</v>
      </c>
      <c r="V31" s="835">
        <f t="shared" si="4"/>
        <v>0.02</v>
      </c>
    </row>
    <row r="32" spans="1:22" ht="14.25" customHeight="1">
      <c r="A32" s="3436"/>
      <c r="B32" s="931" t="s">
        <v>559</v>
      </c>
      <c r="C32" s="972">
        <f t="shared" si="8"/>
        <v>3027</v>
      </c>
      <c r="D32" s="836">
        <f t="shared" si="8"/>
        <v>2.97</v>
      </c>
      <c r="E32" s="848">
        <f t="shared" si="19"/>
        <v>3108</v>
      </c>
      <c r="F32" s="835">
        <f t="shared" si="19"/>
        <v>2.77</v>
      </c>
      <c r="G32" s="848">
        <f t="shared" si="19"/>
        <v>3179</v>
      </c>
      <c r="H32" s="836">
        <f t="shared" si="19"/>
        <v>2.8</v>
      </c>
      <c r="I32" s="848">
        <f t="shared" si="19"/>
        <v>3200</v>
      </c>
      <c r="J32" s="835">
        <f t="shared" si="19"/>
        <v>2.8</v>
      </c>
      <c r="K32" s="848">
        <f t="shared" si="19"/>
        <v>3200</v>
      </c>
      <c r="L32" s="836">
        <f t="shared" si="19"/>
        <v>2.76</v>
      </c>
      <c r="M32" s="848">
        <f t="shared" si="19"/>
        <v>3223</v>
      </c>
      <c r="N32" s="835">
        <f t="shared" si="19"/>
        <v>2.74</v>
      </c>
      <c r="O32" s="848">
        <f t="shared" ref="O32:P32" si="21">O10+O21</f>
        <v>3223</v>
      </c>
      <c r="P32" s="835">
        <f t="shared" si="21"/>
        <v>2.72</v>
      </c>
      <c r="Q32" s="838">
        <f t="shared" si="1"/>
        <v>0.06</v>
      </c>
      <c r="R32" s="840">
        <f t="shared" si="2"/>
        <v>-0.08</v>
      </c>
      <c r="S32" s="841">
        <f t="shared" si="11"/>
        <v>3.76</v>
      </c>
      <c r="U32" s="848">
        <f t="shared" si="3"/>
        <v>196</v>
      </c>
      <c r="V32" s="835">
        <f t="shared" si="4"/>
        <v>-0.25</v>
      </c>
    </row>
    <row r="33" spans="1:22" ht="14.25" customHeight="1">
      <c r="A33" s="3436"/>
      <c r="B33" s="931" t="s">
        <v>560</v>
      </c>
      <c r="C33" s="972">
        <f t="shared" si="8"/>
        <v>0</v>
      </c>
      <c r="D33" s="836">
        <f t="shared" si="8"/>
        <v>0</v>
      </c>
      <c r="E33" s="848">
        <f t="shared" ref="E33:N33" si="22">E11+E22</f>
        <v>0</v>
      </c>
      <c r="F33" s="835">
        <f t="shared" si="22"/>
        <v>0</v>
      </c>
      <c r="G33" s="848">
        <f t="shared" si="22"/>
        <v>0</v>
      </c>
      <c r="H33" s="836">
        <f t="shared" si="22"/>
        <v>0</v>
      </c>
      <c r="I33" s="848">
        <f t="shared" si="22"/>
        <v>0</v>
      </c>
      <c r="J33" s="835">
        <f t="shared" si="22"/>
        <v>0</v>
      </c>
      <c r="K33" s="848">
        <f t="shared" si="22"/>
        <v>0</v>
      </c>
      <c r="L33" s="836">
        <f t="shared" si="22"/>
        <v>0</v>
      </c>
      <c r="M33" s="848">
        <f t="shared" si="22"/>
        <v>0</v>
      </c>
      <c r="N33" s="835">
        <f t="shared" si="22"/>
        <v>0</v>
      </c>
      <c r="O33" s="848">
        <f t="shared" ref="O33:P33" si="23">O11+O22</f>
        <v>0</v>
      </c>
      <c r="P33" s="835">
        <f t="shared" si="23"/>
        <v>0</v>
      </c>
      <c r="Q33" s="859" t="s">
        <v>16</v>
      </c>
      <c r="R33" s="858" t="s">
        <v>16</v>
      </c>
      <c r="S33" s="841">
        <f t="shared" si="11"/>
        <v>0.45</v>
      </c>
      <c r="U33" s="848">
        <f t="shared" si="3"/>
        <v>0</v>
      </c>
      <c r="V33" s="835">
        <f t="shared" si="4"/>
        <v>0</v>
      </c>
    </row>
    <row r="34" spans="1:22" ht="14.25" customHeight="1">
      <c r="A34" s="3436"/>
      <c r="B34" s="931" t="s">
        <v>561</v>
      </c>
      <c r="C34" s="972">
        <f t="shared" si="8"/>
        <v>0</v>
      </c>
      <c r="D34" s="836">
        <f t="shared" si="8"/>
        <v>0</v>
      </c>
      <c r="E34" s="848">
        <f t="shared" ref="E34:N34" si="24">E12+E23</f>
        <v>0</v>
      </c>
      <c r="F34" s="835">
        <f t="shared" si="24"/>
        <v>0</v>
      </c>
      <c r="G34" s="848">
        <f t="shared" si="24"/>
        <v>0</v>
      </c>
      <c r="H34" s="836">
        <f t="shared" si="24"/>
        <v>0</v>
      </c>
      <c r="I34" s="848">
        <f t="shared" si="24"/>
        <v>0</v>
      </c>
      <c r="J34" s="835">
        <f t="shared" si="24"/>
        <v>0</v>
      </c>
      <c r="K34" s="848">
        <f t="shared" si="24"/>
        <v>0</v>
      </c>
      <c r="L34" s="836">
        <f t="shared" si="24"/>
        <v>0</v>
      </c>
      <c r="M34" s="848">
        <f t="shared" si="24"/>
        <v>0</v>
      </c>
      <c r="N34" s="835">
        <f t="shared" si="24"/>
        <v>0</v>
      </c>
      <c r="O34" s="848">
        <f t="shared" ref="O34:P34" si="25">O12+O23</f>
        <v>0</v>
      </c>
      <c r="P34" s="835">
        <f t="shared" si="25"/>
        <v>0</v>
      </c>
      <c r="Q34" s="859" t="s">
        <v>16</v>
      </c>
      <c r="R34" s="858" t="s">
        <v>16</v>
      </c>
      <c r="S34" s="841">
        <f t="shared" si="11"/>
        <v>0</v>
      </c>
      <c r="U34" s="848">
        <f t="shared" si="3"/>
        <v>0</v>
      </c>
      <c r="V34" s="835">
        <f t="shared" si="4"/>
        <v>0</v>
      </c>
    </row>
    <row r="35" spans="1:22" ht="14.25" customHeight="1" thickBot="1">
      <c r="A35" s="3436"/>
      <c r="B35" s="932" t="s">
        <v>562</v>
      </c>
      <c r="C35" s="1880">
        <f t="shared" si="8"/>
        <v>0</v>
      </c>
      <c r="D35" s="1881">
        <f t="shared" si="8"/>
        <v>0.95</v>
      </c>
      <c r="E35" s="849">
        <f t="shared" ref="E35:N35" si="26">E13+E24</f>
        <v>0</v>
      </c>
      <c r="F35" s="1885">
        <f t="shared" si="26"/>
        <v>0.9</v>
      </c>
      <c r="G35" s="849">
        <f t="shared" si="26"/>
        <v>0</v>
      </c>
      <c r="H35" s="1881">
        <f t="shared" si="26"/>
        <v>0.9</v>
      </c>
      <c r="I35" s="849">
        <f t="shared" si="26"/>
        <v>0</v>
      </c>
      <c r="J35" s="1885">
        <f t="shared" si="26"/>
        <v>0.9</v>
      </c>
      <c r="K35" s="849">
        <f t="shared" si="26"/>
        <v>0</v>
      </c>
      <c r="L35" s="1881">
        <f t="shared" si="26"/>
        <v>0.9</v>
      </c>
      <c r="M35" s="849">
        <f t="shared" si="26"/>
        <v>0</v>
      </c>
      <c r="N35" s="1885">
        <f t="shared" si="26"/>
        <v>0.9</v>
      </c>
      <c r="O35" s="849">
        <f t="shared" ref="O35:P35" si="27">O13+O24</f>
        <v>0</v>
      </c>
      <c r="P35" s="1885">
        <f t="shared" si="27"/>
        <v>0.9</v>
      </c>
      <c r="Q35" s="1886" t="s">
        <v>16</v>
      </c>
      <c r="R35" s="1887">
        <f t="shared" si="2"/>
        <v>-0.05</v>
      </c>
      <c r="S35" s="846">
        <f t="shared" si="11"/>
        <v>0.9</v>
      </c>
      <c r="U35" s="849">
        <f t="shared" si="3"/>
        <v>0</v>
      </c>
      <c r="V35" s="1885">
        <f t="shared" si="4"/>
        <v>-0.05</v>
      </c>
    </row>
    <row r="36" spans="1:22" ht="14.25" customHeight="1" thickTop="1" thickBot="1">
      <c r="A36" s="3437"/>
      <c r="B36" s="842" t="s">
        <v>18</v>
      </c>
      <c r="C36" s="973">
        <f t="shared" si="8"/>
        <v>11688</v>
      </c>
      <c r="D36" s="852">
        <f t="shared" si="8"/>
        <v>15.21</v>
      </c>
      <c r="E36" s="850">
        <f t="shared" ref="E36:N36" si="28">E14+E25</f>
        <v>12059</v>
      </c>
      <c r="F36" s="843">
        <f t="shared" si="28"/>
        <v>14.38</v>
      </c>
      <c r="G36" s="850">
        <f t="shared" si="28"/>
        <v>12234</v>
      </c>
      <c r="H36" s="852">
        <f t="shared" si="28"/>
        <v>14.63</v>
      </c>
      <c r="I36" s="850">
        <f t="shared" si="28"/>
        <v>12421</v>
      </c>
      <c r="J36" s="843">
        <f t="shared" si="28"/>
        <v>14.81</v>
      </c>
      <c r="K36" s="850">
        <f t="shared" si="28"/>
        <v>12607</v>
      </c>
      <c r="L36" s="852">
        <f t="shared" si="28"/>
        <v>15.18</v>
      </c>
      <c r="M36" s="850">
        <f t="shared" si="28"/>
        <v>12799</v>
      </c>
      <c r="N36" s="843">
        <f t="shared" si="28"/>
        <v>15.49</v>
      </c>
      <c r="O36" s="850">
        <f t="shared" ref="O36:P36" si="29">O14+O25</f>
        <v>13007</v>
      </c>
      <c r="P36" s="843">
        <f t="shared" si="29"/>
        <v>15.8</v>
      </c>
      <c r="Q36" s="844">
        <f t="shared" si="1"/>
        <v>0.11</v>
      </c>
      <c r="R36" s="845">
        <f t="shared" si="2"/>
        <v>0.04</v>
      </c>
      <c r="S36" s="855">
        <f t="shared" si="11"/>
        <v>21.16</v>
      </c>
      <c r="U36" s="850">
        <f t="shared" si="3"/>
        <v>1319</v>
      </c>
      <c r="V36" s="843">
        <f t="shared" si="4"/>
        <v>0.59</v>
      </c>
    </row>
    <row r="37" spans="1:22" ht="14.1" customHeight="1">
      <c r="A37" s="3435" t="s">
        <v>565</v>
      </c>
      <c r="B37" s="933" t="s">
        <v>553</v>
      </c>
      <c r="C37" s="971">
        <v>0</v>
      </c>
      <c r="D37" s="851">
        <f>(F37/$F$47)*$D$47</f>
        <v>0</v>
      </c>
      <c r="E37" s="847">
        <v>0</v>
      </c>
      <c r="F37" s="853">
        <v>0</v>
      </c>
      <c r="G37" s="847">
        <v>0</v>
      </c>
      <c r="H37" s="851">
        <v>0</v>
      </c>
      <c r="I37" s="847">
        <v>0</v>
      </c>
      <c r="J37" s="853">
        <v>0</v>
      </c>
      <c r="K37" s="847">
        <v>0</v>
      </c>
      <c r="L37" s="851">
        <v>0</v>
      </c>
      <c r="M37" s="847">
        <v>0</v>
      </c>
      <c r="N37" s="853">
        <v>0</v>
      </c>
      <c r="O37" s="847">
        <v>0</v>
      </c>
      <c r="P37" s="853">
        <v>0</v>
      </c>
      <c r="Q37" s="878" t="s">
        <v>16</v>
      </c>
      <c r="R37" s="879" t="s">
        <v>16</v>
      </c>
      <c r="S37" s="854">
        <v>0</v>
      </c>
      <c r="U37" s="847">
        <f t="shared" si="3"/>
        <v>0</v>
      </c>
      <c r="V37" s="853">
        <f t="shared" si="4"/>
        <v>0</v>
      </c>
    </row>
    <row r="38" spans="1:22" ht="14.1" customHeight="1">
      <c r="A38" s="3436"/>
      <c r="B38" s="931" t="s">
        <v>554</v>
      </c>
      <c r="C38" s="972">
        <v>5</v>
      </c>
      <c r="D38" s="836">
        <f t="shared" ref="D38:D46" si="30">(F38/$F$47)*$D$47</f>
        <v>0.01</v>
      </c>
      <c r="E38" s="848">
        <v>5</v>
      </c>
      <c r="F38" s="835">
        <v>0.01</v>
      </c>
      <c r="G38" s="848">
        <v>5</v>
      </c>
      <c r="H38" s="836">
        <v>0.01</v>
      </c>
      <c r="I38" s="848">
        <v>5</v>
      </c>
      <c r="J38" s="835">
        <v>0.01</v>
      </c>
      <c r="K38" s="848">
        <v>5</v>
      </c>
      <c r="L38" s="836">
        <v>0.01</v>
      </c>
      <c r="M38" s="848">
        <v>5</v>
      </c>
      <c r="N38" s="835">
        <v>0.01</v>
      </c>
      <c r="O38" s="848">
        <v>5</v>
      </c>
      <c r="P38" s="835">
        <v>0.01</v>
      </c>
      <c r="Q38" s="859">
        <f t="shared" si="1"/>
        <v>0</v>
      </c>
      <c r="R38" s="858">
        <f t="shared" si="2"/>
        <v>0</v>
      </c>
      <c r="S38" s="841">
        <v>0.02</v>
      </c>
      <c r="U38" s="848">
        <f t="shared" si="3"/>
        <v>0</v>
      </c>
      <c r="V38" s="835">
        <f t="shared" si="4"/>
        <v>0</v>
      </c>
    </row>
    <row r="39" spans="1:22" ht="14.1" customHeight="1">
      <c r="A39" s="3436"/>
      <c r="B39" s="931" t="s">
        <v>555</v>
      </c>
      <c r="C39" s="972">
        <v>0</v>
      </c>
      <c r="D39" s="836">
        <f t="shared" si="30"/>
        <v>0</v>
      </c>
      <c r="E39" s="848">
        <v>0</v>
      </c>
      <c r="F39" s="835">
        <v>0</v>
      </c>
      <c r="G39" s="848">
        <v>0</v>
      </c>
      <c r="H39" s="836">
        <v>0</v>
      </c>
      <c r="I39" s="848">
        <v>0</v>
      </c>
      <c r="J39" s="835">
        <v>0</v>
      </c>
      <c r="K39" s="848">
        <v>0</v>
      </c>
      <c r="L39" s="836">
        <v>0</v>
      </c>
      <c r="M39" s="848">
        <v>0</v>
      </c>
      <c r="N39" s="835">
        <v>0</v>
      </c>
      <c r="O39" s="848">
        <v>0</v>
      </c>
      <c r="P39" s="835">
        <v>0</v>
      </c>
      <c r="Q39" s="859" t="s">
        <v>16</v>
      </c>
      <c r="R39" s="858" t="s">
        <v>16</v>
      </c>
      <c r="S39" s="841">
        <v>0</v>
      </c>
      <c r="U39" s="848">
        <f t="shared" si="3"/>
        <v>0</v>
      </c>
      <c r="V39" s="835">
        <f t="shared" si="4"/>
        <v>0</v>
      </c>
    </row>
    <row r="40" spans="1:22" ht="14.1" customHeight="1">
      <c r="A40" s="3436"/>
      <c r="B40" s="931" t="s">
        <v>556</v>
      </c>
      <c r="C40" s="972">
        <v>45</v>
      </c>
      <c r="D40" s="836">
        <f t="shared" si="30"/>
        <v>0.04</v>
      </c>
      <c r="E40" s="848">
        <v>45</v>
      </c>
      <c r="F40" s="835">
        <v>0.05</v>
      </c>
      <c r="G40" s="848">
        <v>45</v>
      </c>
      <c r="H40" s="836">
        <v>0.05</v>
      </c>
      <c r="I40" s="848">
        <v>45</v>
      </c>
      <c r="J40" s="835">
        <v>0.06</v>
      </c>
      <c r="K40" s="848">
        <v>45</v>
      </c>
      <c r="L40" s="836">
        <v>0.06</v>
      </c>
      <c r="M40" s="848">
        <v>45</v>
      </c>
      <c r="N40" s="835">
        <v>0.06</v>
      </c>
      <c r="O40" s="848">
        <v>45</v>
      </c>
      <c r="P40" s="835">
        <v>0.06</v>
      </c>
      <c r="Q40" s="859">
        <f t="shared" si="1"/>
        <v>0</v>
      </c>
      <c r="R40" s="858">
        <f t="shared" si="2"/>
        <v>0.5</v>
      </c>
      <c r="S40" s="841">
        <v>0.08</v>
      </c>
      <c r="U40" s="848">
        <f t="shared" si="3"/>
        <v>0</v>
      </c>
      <c r="V40" s="835">
        <f t="shared" si="4"/>
        <v>0.02</v>
      </c>
    </row>
    <row r="41" spans="1:22" ht="14.1" customHeight="1">
      <c r="A41" s="3436"/>
      <c r="B41" s="931" t="s">
        <v>557</v>
      </c>
      <c r="C41" s="972">
        <v>14</v>
      </c>
      <c r="D41" s="836">
        <f t="shared" si="30"/>
        <v>0.02</v>
      </c>
      <c r="E41" s="848">
        <v>14</v>
      </c>
      <c r="F41" s="835">
        <v>0.02</v>
      </c>
      <c r="G41" s="848">
        <v>14</v>
      </c>
      <c r="H41" s="836">
        <v>0.02</v>
      </c>
      <c r="I41" s="848">
        <v>14</v>
      </c>
      <c r="J41" s="835">
        <v>0.02</v>
      </c>
      <c r="K41" s="848">
        <v>14</v>
      </c>
      <c r="L41" s="836">
        <v>0.02</v>
      </c>
      <c r="M41" s="848">
        <v>14</v>
      </c>
      <c r="N41" s="835">
        <v>0.02</v>
      </c>
      <c r="O41" s="848">
        <v>14</v>
      </c>
      <c r="P41" s="835">
        <v>0.02</v>
      </c>
      <c r="Q41" s="838">
        <f t="shared" si="1"/>
        <v>0</v>
      </c>
      <c r="R41" s="840">
        <f t="shared" si="2"/>
        <v>0</v>
      </c>
      <c r="S41" s="841">
        <v>0.03</v>
      </c>
      <c r="U41" s="848">
        <f t="shared" si="3"/>
        <v>0</v>
      </c>
      <c r="V41" s="835">
        <f t="shared" si="4"/>
        <v>0</v>
      </c>
    </row>
    <row r="42" spans="1:22" ht="14.1" customHeight="1">
      <c r="A42" s="3436"/>
      <c r="B42" s="931" t="s">
        <v>558</v>
      </c>
      <c r="C42" s="972">
        <v>134</v>
      </c>
      <c r="D42" s="836">
        <f t="shared" si="30"/>
        <v>0.2</v>
      </c>
      <c r="E42" s="848">
        <v>134</v>
      </c>
      <c r="F42" s="835">
        <v>0.24</v>
      </c>
      <c r="G42" s="848">
        <v>134</v>
      </c>
      <c r="H42" s="836">
        <v>0.25</v>
      </c>
      <c r="I42" s="848">
        <v>134</v>
      </c>
      <c r="J42" s="835">
        <v>0.25</v>
      </c>
      <c r="K42" s="848">
        <v>134</v>
      </c>
      <c r="L42" s="836">
        <v>0.25</v>
      </c>
      <c r="M42" s="848">
        <v>134</v>
      </c>
      <c r="N42" s="835">
        <v>0.26</v>
      </c>
      <c r="O42" s="848">
        <v>134</v>
      </c>
      <c r="P42" s="835">
        <v>0.26</v>
      </c>
      <c r="Q42" s="838">
        <f t="shared" si="1"/>
        <v>0</v>
      </c>
      <c r="R42" s="840">
        <f t="shared" si="2"/>
        <v>0.3</v>
      </c>
      <c r="S42" s="841">
        <v>0.28999999999999998</v>
      </c>
      <c r="U42" s="848">
        <f t="shared" si="3"/>
        <v>0</v>
      </c>
      <c r="V42" s="835">
        <f t="shared" si="4"/>
        <v>0.06</v>
      </c>
    </row>
    <row r="43" spans="1:22" ht="14.1" customHeight="1">
      <c r="A43" s="3436"/>
      <c r="B43" s="931" t="s">
        <v>559</v>
      </c>
      <c r="C43" s="972">
        <v>10</v>
      </c>
      <c r="D43" s="836">
        <f t="shared" si="30"/>
        <v>0.01</v>
      </c>
      <c r="E43" s="848">
        <v>10</v>
      </c>
      <c r="F43" s="835">
        <v>0.01</v>
      </c>
      <c r="G43" s="848">
        <v>10</v>
      </c>
      <c r="H43" s="836">
        <v>0.01</v>
      </c>
      <c r="I43" s="848">
        <v>10</v>
      </c>
      <c r="J43" s="835">
        <v>0.01</v>
      </c>
      <c r="K43" s="848">
        <v>10</v>
      </c>
      <c r="L43" s="836">
        <v>0.01</v>
      </c>
      <c r="M43" s="848">
        <v>10</v>
      </c>
      <c r="N43" s="835">
        <v>0.02</v>
      </c>
      <c r="O43" s="848">
        <v>10</v>
      </c>
      <c r="P43" s="835">
        <v>0.02</v>
      </c>
      <c r="Q43" s="838">
        <f t="shared" si="1"/>
        <v>0</v>
      </c>
      <c r="R43" s="840">
        <f t="shared" si="2"/>
        <v>1</v>
      </c>
      <c r="S43" s="841">
        <v>0.03</v>
      </c>
      <c r="U43" s="848">
        <f t="shared" si="3"/>
        <v>0</v>
      </c>
      <c r="V43" s="835">
        <f t="shared" si="4"/>
        <v>0.01</v>
      </c>
    </row>
    <row r="44" spans="1:22" ht="14.1" customHeight="1">
      <c r="A44" s="3436"/>
      <c r="B44" s="931" t="s">
        <v>560</v>
      </c>
      <c r="C44" s="972">
        <v>0</v>
      </c>
      <c r="D44" s="836">
        <f t="shared" si="30"/>
        <v>0</v>
      </c>
      <c r="E44" s="848">
        <v>0</v>
      </c>
      <c r="F44" s="835">
        <v>0</v>
      </c>
      <c r="G44" s="848">
        <v>0</v>
      </c>
      <c r="H44" s="836">
        <v>0</v>
      </c>
      <c r="I44" s="848">
        <v>0</v>
      </c>
      <c r="J44" s="835">
        <v>0</v>
      </c>
      <c r="K44" s="848">
        <v>0</v>
      </c>
      <c r="L44" s="836">
        <v>0</v>
      </c>
      <c r="M44" s="848">
        <v>0</v>
      </c>
      <c r="N44" s="835">
        <v>0</v>
      </c>
      <c r="O44" s="848">
        <v>0</v>
      </c>
      <c r="P44" s="835">
        <v>0</v>
      </c>
      <c r="Q44" s="859" t="s">
        <v>16</v>
      </c>
      <c r="R44" s="858" t="s">
        <v>16</v>
      </c>
      <c r="S44" s="841">
        <v>0</v>
      </c>
      <c r="U44" s="848">
        <f t="shared" si="3"/>
        <v>0</v>
      </c>
      <c r="V44" s="835">
        <f t="shared" si="4"/>
        <v>0</v>
      </c>
    </row>
    <row r="45" spans="1:22" ht="14.1" customHeight="1">
      <c r="A45" s="3436"/>
      <c r="B45" s="931" t="s">
        <v>561</v>
      </c>
      <c r="C45" s="972">
        <v>0</v>
      </c>
      <c r="D45" s="836">
        <f t="shared" si="30"/>
        <v>0</v>
      </c>
      <c r="E45" s="848">
        <v>0</v>
      </c>
      <c r="F45" s="835">
        <v>0</v>
      </c>
      <c r="G45" s="848">
        <v>0</v>
      </c>
      <c r="H45" s="836">
        <v>0</v>
      </c>
      <c r="I45" s="848">
        <v>0</v>
      </c>
      <c r="J45" s="835">
        <v>0</v>
      </c>
      <c r="K45" s="848">
        <v>0</v>
      </c>
      <c r="L45" s="836">
        <v>0</v>
      </c>
      <c r="M45" s="848">
        <v>0</v>
      </c>
      <c r="N45" s="835">
        <v>0</v>
      </c>
      <c r="O45" s="848">
        <v>0</v>
      </c>
      <c r="P45" s="835">
        <v>0</v>
      </c>
      <c r="Q45" s="859" t="s">
        <v>16</v>
      </c>
      <c r="R45" s="858" t="s">
        <v>16</v>
      </c>
      <c r="S45" s="841">
        <v>0</v>
      </c>
      <c r="U45" s="848">
        <f t="shared" si="3"/>
        <v>0</v>
      </c>
      <c r="V45" s="835">
        <f t="shared" si="4"/>
        <v>0</v>
      </c>
    </row>
    <row r="46" spans="1:22" ht="14.1" customHeight="1" thickBot="1">
      <c r="A46" s="3436"/>
      <c r="B46" s="932" t="s">
        <v>562</v>
      </c>
      <c r="C46" s="1880">
        <v>0</v>
      </c>
      <c r="D46" s="1881">
        <f t="shared" si="30"/>
        <v>0.08</v>
      </c>
      <c r="E46" s="849">
        <v>0</v>
      </c>
      <c r="F46" s="1885">
        <v>0.1</v>
      </c>
      <c r="G46" s="849">
        <v>0</v>
      </c>
      <c r="H46" s="1881">
        <f>F46</f>
        <v>0.1</v>
      </c>
      <c r="I46" s="849">
        <v>0</v>
      </c>
      <c r="J46" s="1885">
        <f>H46</f>
        <v>0.1</v>
      </c>
      <c r="K46" s="849">
        <v>0</v>
      </c>
      <c r="L46" s="1881">
        <f>J46</f>
        <v>0.1</v>
      </c>
      <c r="M46" s="849">
        <v>0</v>
      </c>
      <c r="N46" s="1885">
        <f>L46</f>
        <v>0.1</v>
      </c>
      <c r="O46" s="849">
        <v>0</v>
      </c>
      <c r="P46" s="1885">
        <v>0.1</v>
      </c>
      <c r="Q46" s="1886" t="s">
        <v>16</v>
      </c>
      <c r="R46" s="1888">
        <f t="shared" si="2"/>
        <v>0.25</v>
      </c>
      <c r="S46" s="846">
        <v>0.1</v>
      </c>
      <c r="U46" s="849">
        <f t="shared" si="3"/>
        <v>0</v>
      </c>
      <c r="V46" s="1885">
        <f t="shared" si="4"/>
        <v>0.02</v>
      </c>
    </row>
    <row r="47" spans="1:22" ht="14.25" customHeight="1" thickTop="1" thickBot="1">
      <c r="A47" s="3437"/>
      <c r="B47" s="842" t="s">
        <v>18</v>
      </c>
      <c r="C47" s="973">
        <f>SUM(C37:C46)</f>
        <v>208</v>
      </c>
      <c r="D47" s="852">
        <f>'Table 7'!C8</f>
        <v>0.36</v>
      </c>
      <c r="E47" s="850">
        <f t="shared" ref="E47:P47" si="31">SUM(E37:E46)</f>
        <v>208</v>
      </c>
      <c r="F47" s="843">
        <f t="shared" si="31"/>
        <v>0.43</v>
      </c>
      <c r="G47" s="850">
        <f t="shared" si="31"/>
        <v>208</v>
      </c>
      <c r="H47" s="852">
        <f t="shared" si="31"/>
        <v>0.44</v>
      </c>
      <c r="I47" s="850">
        <f t="shared" si="31"/>
        <v>208</v>
      </c>
      <c r="J47" s="843">
        <f t="shared" si="31"/>
        <v>0.45</v>
      </c>
      <c r="K47" s="850">
        <f t="shared" si="31"/>
        <v>208</v>
      </c>
      <c r="L47" s="852">
        <f t="shared" si="31"/>
        <v>0.45</v>
      </c>
      <c r="M47" s="850">
        <f t="shared" si="31"/>
        <v>208</v>
      </c>
      <c r="N47" s="843">
        <f t="shared" si="31"/>
        <v>0.47</v>
      </c>
      <c r="O47" s="850">
        <f t="shared" si="31"/>
        <v>208</v>
      </c>
      <c r="P47" s="843">
        <f t="shared" si="31"/>
        <v>0.47</v>
      </c>
      <c r="Q47" s="844">
        <f t="shared" si="1"/>
        <v>0</v>
      </c>
      <c r="R47" s="845">
        <f t="shared" si="2"/>
        <v>0.31</v>
      </c>
      <c r="S47" s="855">
        <f>SUM(S37:S46)</f>
        <v>0.55000000000000004</v>
      </c>
      <c r="U47" s="850">
        <f t="shared" si="3"/>
        <v>0</v>
      </c>
      <c r="V47" s="843">
        <f t="shared" si="4"/>
        <v>0.11</v>
      </c>
    </row>
    <row r="48" spans="1:22" ht="14.25" customHeight="1">
      <c r="A48" s="3435" t="s">
        <v>566</v>
      </c>
      <c r="B48" s="933" t="s">
        <v>553</v>
      </c>
      <c r="C48" s="971">
        <v>0</v>
      </c>
      <c r="D48" s="851">
        <v>0</v>
      </c>
      <c r="E48" s="847">
        <v>0</v>
      </c>
      <c r="F48" s="853">
        <v>0</v>
      </c>
      <c r="G48" s="847">
        <v>0</v>
      </c>
      <c r="H48" s="851">
        <v>0</v>
      </c>
      <c r="I48" s="847">
        <v>0</v>
      </c>
      <c r="J48" s="853">
        <v>0</v>
      </c>
      <c r="K48" s="847">
        <v>0</v>
      </c>
      <c r="L48" s="851">
        <v>0</v>
      </c>
      <c r="M48" s="847">
        <v>0</v>
      </c>
      <c r="N48" s="853">
        <v>0</v>
      </c>
      <c r="O48" s="847">
        <v>0</v>
      </c>
      <c r="P48" s="853">
        <v>0</v>
      </c>
      <c r="Q48" s="878" t="s">
        <v>16</v>
      </c>
      <c r="R48" s="879" t="s">
        <v>16</v>
      </c>
      <c r="S48" s="854">
        <v>0</v>
      </c>
      <c r="U48" s="847">
        <f t="shared" si="3"/>
        <v>0</v>
      </c>
      <c r="V48" s="853">
        <f t="shared" si="4"/>
        <v>0</v>
      </c>
    </row>
    <row r="49" spans="1:24" ht="14.25" customHeight="1">
      <c r="A49" s="3436"/>
      <c r="B49" s="931" t="s">
        <v>554</v>
      </c>
      <c r="C49" s="972">
        <v>0</v>
      </c>
      <c r="D49" s="836">
        <v>0</v>
      </c>
      <c r="E49" s="848">
        <v>0</v>
      </c>
      <c r="F49" s="835">
        <v>0</v>
      </c>
      <c r="G49" s="848">
        <v>0</v>
      </c>
      <c r="H49" s="836">
        <v>0</v>
      </c>
      <c r="I49" s="848">
        <v>0</v>
      </c>
      <c r="J49" s="835">
        <v>0</v>
      </c>
      <c r="K49" s="848">
        <v>0</v>
      </c>
      <c r="L49" s="836">
        <v>0</v>
      </c>
      <c r="M49" s="848">
        <v>0</v>
      </c>
      <c r="N49" s="835">
        <v>0</v>
      </c>
      <c r="O49" s="848">
        <v>0</v>
      </c>
      <c r="P49" s="835">
        <v>0</v>
      </c>
      <c r="Q49" s="859" t="s">
        <v>16</v>
      </c>
      <c r="R49" s="858" t="s">
        <v>16</v>
      </c>
      <c r="S49" s="841">
        <v>0</v>
      </c>
      <c r="U49" s="848">
        <f t="shared" si="3"/>
        <v>0</v>
      </c>
      <c r="V49" s="835">
        <f t="shared" si="4"/>
        <v>0</v>
      </c>
    </row>
    <row r="50" spans="1:24" ht="14.25" customHeight="1">
      <c r="A50" s="3436"/>
      <c r="B50" s="931" t="s">
        <v>555</v>
      </c>
      <c r="C50" s="972">
        <v>0</v>
      </c>
      <c r="D50" s="836">
        <v>0</v>
      </c>
      <c r="E50" s="848">
        <v>0</v>
      </c>
      <c r="F50" s="835">
        <v>0</v>
      </c>
      <c r="G50" s="848">
        <v>0</v>
      </c>
      <c r="H50" s="836">
        <v>0</v>
      </c>
      <c r="I50" s="848">
        <v>0</v>
      </c>
      <c r="J50" s="835">
        <v>0</v>
      </c>
      <c r="K50" s="848">
        <v>0</v>
      </c>
      <c r="L50" s="836">
        <v>0</v>
      </c>
      <c r="M50" s="848">
        <v>0</v>
      </c>
      <c r="N50" s="835">
        <v>0</v>
      </c>
      <c r="O50" s="848">
        <v>0</v>
      </c>
      <c r="P50" s="835">
        <v>0</v>
      </c>
      <c r="Q50" s="859" t="s">
        <v>16</v>
      </c>
      <c r="R50" s="858" t="s">
        <v>16</v>
      </c>
      <c r="S50" s="841">
        <v>0</v>
      </c>
      <c r="U50" s="848">
        <f t="shared" si="3"/>
        <v>0</v>
      </c>
      <c r="V50" s="835">
        <f t="shared" si="4"/>
        <v>0</v>
      </c>
    </row>
    <row r="51" spans="1:24" ht="14.25" customHeight="1">
      <c r="A51" s="3436"/>
      <c r="B51" s="931" t="s">
        <v>556</v>
      </c>
      <c r="C51" s="972">
        <v>0</v>
      </c>
      <c r="D51" s="836">
        <v>0</v>
      </c>
      <c r="E51" s="848">
        <v>0</v>
      </c>
      <c r="F51" s="835">
        <v>0</v>
      </c>
      <c r="G51" s="848">
        <v>0</v>
      </c>
      <c r="H51" s="836">
        <v>0</v>
      </c>
      <c r="I51" s="848">
        <v>0</v>
      </c>
      <c r="J51" s="835">
        <v>0</v>
      </c>
      <c r="K51" s="848">
        <v>0</v>
      </c>
      <c r="L51" s="836">
        <v>0</v>
      </c>
      <c r="M51" s="848">
        <v>0</v>
      </c>
      <c r="N51" s="835">
        <v>0</v>
      </c>
      <c r="O51" s="848">
        <v>0</v>
      </c>
      <c r="P51" s="835">
        <v>0</v>
      </c>
      <c r="Q51" s="859" t="s">
        <v>16</v>
      </c>
      <c r="R51" s="858" t="s">
        <v>16</v>
      </c>
      <c r="S51" s="841">
        <v>0</v>
      </c>
      <c r="U51" s="848">
        <f t="shared" si="3"/>
        <v>0</v>
      </c>
      <c r="V51" s="835">
        <f t="shared" si="4"/>
        <v>0</v>
      </c>
    </row>
    <row r="52" spans="1:24" ht="12" customHeight="1">
      <c r="A52" s="3436"/>
      <c r="B52" s="931" t="s">
        <v>557</v>
      </c>
      <c r="C52" s="972">
        <v>0</v>
      </c>
      <c r="D52" s="836">
        <v>0</v>
      </c>
      <c r="E52" s="848">
        <v>0</v>
      </c>
      <c r="F52" s="835">
        <v>0</v>
      </c>
      <c r="G52" s="848">
        <v>0</v>
      </c>
      <c r="H52" s="836">
        <v>0</v>
      </c>
      <c r="I52" s="848">
        <v>0</v>
      </c>
      <c r="J52" s="835">
        <v>0</v>
      </c>
      <c r="K52" s="848">
        <v>0</v>
      </c>
      <c r="L52" s="836">
        <v>0</v>
      </c>
      <c r="M52" s="848">
        <v>0</v>
      </c>
      <c r="N52" s="835">
        <v>0</v>
      </c>
      <c r="O52" s="848">
        <v>0</v>
      </c>
      <c r="P52" s="835">
        <v>0</v>
      </c>
      <c r="Q52" s="859" t="s">
        <v>16</v>
      </c>
      <c r="R52" s="858" t="s">
        <v>16</v>
      </c>
      <c r="S52" s="841">
        <v>0</v>
      </c>
      <c r="U52" s="848">
        <f t="shared" si="3"/>
        <v>0</v>
      </c>
      <c r="V52" s="835">
        <f t="shared" si="4"/>
        <v>0</v>
      </c>
      <c r="X52" t="s">
        <v>36</v>
      </c>
    </row>
    <row r="53" spans="1:24" ht="14.25" customHeight="1">
      <c r="A53" s="3436"/>
      <c r="B53" s="931" t="s">
        <v>558</v>
      </c>
      <c r="C53" s="972">
        <v>0</v>
      </c>
      <c r="D53" s="836">
        <v>0</v>
      </c>
      <c r="E53" s="848">
        <v>0</v>
      </c>
      <c r="F53" s="835">
        <v>0</v>
      </c>
      <c r="G53" s="848">
        <v>0</v>
      </c>
      <c r="H53" s="836">
        <v>0</v>
      </c>
      <c r="I53" s="848">
        <v>0</v>
      </c>
      <c r="J53" s="835">
        <v>0</v>
      </c>
      <c r="K53" s="848">
        <v>0</v>
      </c>
      <c r="L53" s="836">
        <v>0</v>
      </c>
      <c r="M53" s="848">
        <v>0</v>
      </c>
      <c r="N53" s="835">
        <v>0</v>
      </c>
      <c r="O53" s="848">
        <v>0</v>
      </c>
      <c r="P53" s="835">
        <v>0</v>
      </c>
      <c r="Q53" s="859" t="s">
        <v>16</v>
      </c>
      <c r="R53" s="858" t="s">
        <v>16</v>
      </c>
      <c r="S53" s="841">
        <v>0</v>
      </c>
      <c r="U53" s="848">
        <f t="shared" si="3"/>
        <v>0</v>
      </c>
      <c r="V53" s="835">
        <f t="shared" si="4"/>
        <v>0</v>
      </c>
    </row>
    <row r="54" spans="1:24" ht="12.75" customHeight="1">
      <c r="A54" s="3436"/>
      <c r="B54" s="931" t="s">
        <v>559</v>
      </c>
      <c r="C54" s="972">
        <v>0</v>
      </c>
      <c r="D54" s="836">
        <v>0</v>
      </c>
      <c r="E54" s="848">
        <v>0</v>
      </c>
      <c r="F54" s="835">
        <v>0</v>
      </c>
      <c r="G54" s="848">
        <v>0</v>
      </c>
      <c r="H54" s="836">
        <v>0</v>
      </c>
      <c r="I54" s="848">
        <v>0</v>
      </c>
      <c r="J54" s="835">
        <v>0</v>
      </c>
      <c r="K54" s="848">
        <v>0</v>
      </c>
      <c r="L54" s="836">
        <v>0</v>
      </c>
      <c r="M54" s="848">
        <v>0</v>
      </c>
      <c r="N54" s="835">
        <v>0</v>
      </c>
      <c r="O54" s="848">
        <v>0</v>
      </c>
      <c r="P54" s="835">
        <v>0</v>
      </c>
      <c r="Q54" s="859" t="s">
        <v>16</v>
      </c>
      <c r="R54" s="858" t="s">
        <v>16</v>
      </c>
      <c r="S54" s="841">
        <v>0</v>
      </c>
      <c r="U54" s="848">
        <f t="shared" si="3"/>
        <v>0</v>
      </c>
      <c r="V54" s="835">
        <f t="shared" si="4"/>
        <v>0</v>
      </c>
    </row>
    <row r="55" spans="1:24" ht="14.25" customHeight="1">
      <c r="A55" s="3436"/>
      <c r="B55" s="931" t="s">
        <v>560</v>
      </c>
      <c r="C55" s="972">
        <v>0</v>
      </c>
      <c r="D55" s="836">
        <v>0</v>
      </c>
      <c r="E55" s="848">
        <v>0</v>
      </c>
      <c r="F55" s="835">
        <v>0</v>
      </c>
      <c r="G55" s="848">
        <v>0</v>
      </c>
      <c r="H55" s="836">
        <v>0</v>
      </c>
      <c r="I55" s="848">
        <v>0</v>
      </c>
      <c r="J55" s="835">
        <v>0</v>
      </c>
      <c r="K55" s="848">
        <v>0</v>
      </c>
      <c r="L55" s="836">
        <v>0</v>
      </c>
      <c r="M55" s="848">
        <v>0</v>
      </c>
      <c r="N55" s="835">
        <v>0</v>
      </c>
      <c r="O55" s="848">
        <v>0</v>
      </c>
      <c r="P55" s="835">
        <v>0</v>
      </c>
      <c r="Q55" s="859" t="s">
        <v>16</v>
      </c>
      <c r="R55" s="858" t="s">
        <v>16</v>
      </c>
      <c r="S55" s="841">
        <v>0</v>
      </c>
      <c r="U55" s="848">
        <f t="shared" si="3"/>
        <v>0</v>
      </c>
      <c r="V55" s="835">
        <f t="shared" si="4"/>
        <v>0</v>
      </c>
    </row>
    <row r="56" spans="1:24" ht="14.25" customHeight="1">
      <c r="A56" s="3436"/>
      <c r="B56" s="931" t="s">
        <v>561</v>
      </c>
      <c r="C56" s="972">
        <v>0</v>
      </c>
      <c r="D56" s="836">
        <v>0</v>
      </c>
      <c r="E56" s="848">
        <v>0</v>
      </c>
      <c r="F56" s="835">
        <v>0</v>
      </c>
      <c r="G56" s="848">
        <v>0</v>
      </c>
      <c r="H56" s="836">
        <v>0</v>
      </c>
      <c r="I56" s="848">
        <v>0</v>
      </c>
      <c r="J56" s="835">
        <v>0</v>
      </c>
      <c r="K56" s="848">
        <v>0</v>
      </c>
      <c r="L56" s="836">
        <v>0</v>
      </c>
      <c r="M56" s="848">
        <v>0</v>
      </c>
      <c r="N56" s="835">
        <v>0</v>
      </c>
      <c r="O56" s="848">
        <v>0</v>
      </c>
      <c r="P56" s="835">
        <v>0</v>
      </c>
      <c r="Q56" s="859" t="s">
        <v>16</v>
      </c>
      <c r="R56" s="858" t="s">
        <v>16</v>
      </c>
      <c r="S56" s="841">
        <v>0</v>
      </c>
      <c r="U56" s="848">
        <f t="shared" si="3"/>
        <v>0</v>
      </c>
      <c r="V56" s="835">
        <f t="shared" si="4"/>
        <v>0</v>
      </c>
    </row>
    <row r="57" spans="1:24" ht="14.25" customHeight="1" thickBot="1">
      <c r="A57" s="3436"/>
      <c r="B57" s="932" t="s">
        <v>562</v>
      </c>
      <c r="C57" s="1880">
        <v>0</v>
      </c>
      <c r="D57" s="1881">
        <v>0</v>
      </c>
      <c r="E57" s="849">
        <v>0</v>
      </c>
      <c r="F57" s="1885">
        <v>0</v>
      </c>
      <c r="G57" s="849">
        <v>0</v>
      </c>
      <c r="H57" s="1881">
        <f>F57</f>
        <v>0</v>
      </c>
      <c r="I57" s="849">
        <v>0</v>
      </c>
      <c r="J57" s="1885">
        <f>H57</f>
        <v>0</v>
      </c>
      <c r="K57" s="849">
        <v>0</v>
      </c>
      <c r="L57" s="1881">
        <f>J57</f>
        <v>0</v>
      </c>
      <c r="M57" s="849">
        <v>0</v>
      </c>
      <c r="N57" s="1885">
        <f>L57</f>
        <v>0</v>
      </c>
      <c r="O57" s="849">
        <v>0</v>
      </c>
      <c r="P57" s="1885">
        <v>0</v>
      </c>
      <c r="Q57" s="1886" t="s">
        <v>16</v>
      </c>
      <c r="R57" s="1888" t="s">
        <v>16</v>
      </c>
      <c r="S57" s="846">
        <f>N57</f>
        <v>0</v>
      </c>
      <c r="U57" s="849">
        <f t="shared" si="3"/>
        <v>0</v>
      </c>
      <c r="V57" s="1885">
        <f t="shared" si="4"/>
        <v>0</v>
      </c>
    </row>
    <row r="58" spans="1:24" ht="14.25" customHeight="1" thickTop="1" thickBot="1">
      <c r="A58" s="3437"/>
      <c r="B58" s="842" t="s">
        <v>18</v>
      </c>
      <c r="C58" s="973">
        <v>0</v>
      </c>
      <c r="D58" s="852">
        <f>'Table 7'!E9</f>
        <v>0</v>
      </c>
      <c r="E58" s="850">
        <v>0</v>
      </c>
      <c r="F58" s="843">
        <f>SUM(F48:F57)</f>
        <v>0</v>
      </c>
      <c r="G58" s="850">
        <v>0</v>
      </c>
      <c r="H58" s="852">
        <f>SUM(H48:H57)</f>
        <v>0</v>
      </c>
      <c r="I58" s="850">
        <v>0</v>
      </c>
      <c r="J58" s="843">
        <f>SUM(J48:J57)</f>
        <v>0</v>
      </c>
      <c r="K58" s="850">
        <v>0</v>
      </c>
      <c r="L58" s="852">
        <f>SUM(L48:L57)</f>
        <v>0</v>
      </c>
      <c r="M58" s="850">
        <v>0</v>
      </c>
      <c r="N58" s="843">
        <f>SUM(N48:N57)</f>
        <v>0</v>
      </c>
      <c r="O58" s="850">
        <v>0</v>
      </c>
      <c r="P58" s="843">
        <v>0</v>
      </c>
      <c r="Q58" s="880" t="s">
        <v>16</v>
      </c>
      <c r="R58" s="881" t="s">
        <v>16</v>
      </c>
      <c r="S58" s="855">
        <f>SUM(S48:S57)</f>
        <v>0</v>
      </c>
      <c r="U58" s="850">
        <f t="shared" si="3"/>
        <v>0</v>
      </c>
      <c r="V58" s="843">
        <f t="shared" si="4"/>
        <v>0</v>
      </c>
    </row>
    <row r="59" spans="1:24" ht="13.5" customHeight="1">
      <c r="A59" s="3435" t="s">
        <v>567</v>
      </c>
      <c r="B59" s="933" t="s">
        <v>553</v>
      </c>
      <c r="C59" s="971">
        <f>C37+C48</f>
        <v>0</v>
      </c>
      <c r="D59" s="851">
        <f>D37+D48</f>
        <v>0</v>
      </c>
      <c r="E59" s="847">
        <f t="shared" ref="E59:N59" si="32">E37+E48</f>
        <v>0</v>
      </c>
      <c r="F59" s="853">
        <f t="shared" si="32"/>
        <v>0</v>
      </c>
      <c r="G59" s="847">
        <f t="shared" si="32"/>
        <v>0</v>
      </c>
      <c r="H59" s="851">
        <f t="shared" si="32"/>
        <v>0</v>
      </c>
      <c r="I59" s="847">
        <f t="shared" si="32"/>
        <v>0</v>
      </c>
      <c r="J59" s="853">
        <f t="shared" si="32"/>
        <v>0</v>
      </c>
      <c r="K59" s="847">
        <f t="shared" si="32"/>
        <v>0</v>
      </c>
      <c r="L59" s="851">
        <f t="shared" si="32"/>
        <v>0</v>
      </c>
      <c r="M59" s="847">
        <f t="shared" si="32"/>
        <v>0</v>
      </c>
      <c r="N59" s="853">
        <f t="shared" si="32"/>
        <v>0</v>
      </c>
      <c r="O59" s="847">
        <f t="shared" ref="O59:P59" si="33">O37+O48</f>
        <v>0</v>
      </c>
      <c r="P59" s="853">
        <f t="shared" si="33"/>
        <v>0</v>
      </c>
      <c r="Q59" s="878" t="s">
        <v>16</v>
      </c>
      <c r="R59" s="879" t="s">
        <v>16</v>
      </c>
      <c r="S59" s="854">
        <f t="shared" ref="S59:S69" si="34">S37+S48</f>
        <v>0</v>
      </c>
      <c r="U59" s="847">
        <f t="shared" si="3"/>
        <v>0</v>
      </c>
      <c r="V59" s="853">
        <f t="shared" si="4"/>
        <v>0</v>
      </c>
    </row>
    <row r="60" spans="1:24" ht="14.25" customHeight="1">
      <c r="A60" s="3436"/>
      <c r="B60" s="931" t="s">
        <v>554</v>
      </c>
      <c r="C60" s="972">
        <f t="shared" ref="C60:N61" si="35">C38+C49</f>
        <v>5</v>
      </c>
      <c r="D60" s="836">
        <f t="shared" si="35"/>
        <v>0.01</v>
      </c>
      <c r="E60" s="848">
        <f t="shared" si="35"/>
        <v>5</v>
      </c>
      <c r="F60" s="835">
        <f t="shared" si="35"/>
        <v>0.01</v>
      </c>
      <c r="G60" s="848">
        <f t="shared" si="35"/>
        <v>5</v>
      </c>
      <c r="H60" s="836">
        <f t="shared" si="35"/>
        <v>0.01</v>
      </c>
      <c r="I60" s="848">
        <f t="shared" si="35"/>
        <v>5</v>
      </c>
      <c r="J60" s="835">
        <f t="shared" si="35"/>
        <v>0.01</v>
      </c>
      <c r="K60" s="848">
        <f t="shared" si="35"/>
        <v>5</v>
      </c>
      <c r="L60" s="836">
        <f t="shared" si="35"/>
        <v>0.01</v>
      </c>
      <c r="M60" s="848">
        <f t="shared" si="35"/>
        <v>5</v>
      </c>
      <c r="N60" s="835">
        <f t="shared" si="35"/>
        <v>0.01</v>
      </c>
      <c r="O60" s="848">
        <f t="shared" ref="O60:P60" si="36">O38+O49</f>
        <v>5</v>
      </c>
      <c r="P60" s="835">
        <f t="shared" si="36"/>
        <v>0.01</v>
      </c>
      <c r="Q60" s="859">
        <f t="shared" si="1"/>
        <v>0</v>
      </c>
      <c r="R60" s="858">
        <f t="shared" si="2"/>
        <v>0</v>
      </c>
      <c r="S60" s="841">
        <f t="shared" si="34"/>
        <v>0.02</v>
      </c>
      <c r="U60" s="848">
        <f t="shared" si="3"/>
        <v>0</v>
      </c>
      <c r="V60" s="835">
        <f t="shared" si="4"/>
        <v>0</v>
      </c>
    </row>
    <row r="61" spans="1:24" ht="14.25" customHeight="1">
      <c r="A61" s="3436"/>
      <c r="B61" s="931" t="s">
        <v>555</v>
      </c>
      <c r="C61" s="972">
        <f t="shared" si="35"/>
        <v>0</v>
      </c>
      <c r="D61" s="836">
        <f t="shared" si="35"/>
        <v>0</v>
      </c>
      <c r="E61" s="848">
        <f t="shared" si="35"/>
        <v>0</v>
      </c>
      <c r="F61" s="835">
        <f t="shared" si="35"/>
        <v>0</v>
      </c>
      <c r="G61" s="848">
        <f t="shared" si="35"/>
        <v>0</v>
      </c>
      <c r="H61" s="836">
        <f t="shared" si="35"/>
        <v>0</v>
      </c>
      <c r="I61" s="848">
        <f t="shared" si="35"/>
        <v>0</v>
      </c>
      <c r="J61" s="835">
        <f t="shared" si="35"/>
        <v>0</v>
      </c>
      <c r="K61" s="848">
        <f t="shared" si="35"/>
        <v>0</v>
      </c>
      <c r="L61" s="836">
        <f t="shared" si="35"/>
        <v>0</v>
      </c>
      <c r="M61" s="848">
        <f t="shared" si="35"/>
        <v>0</v>
      </c>
      <c r="N61" s="835">
        <f t="shared" si="35"/>
        <v>0</v>
      </c>
      <c r="O61" s="848">
        <f t="shared" ref="O61:P61" si="37">O39+O50</f>
        <v>0</v>
      </c>
      <c r="P61" s="835">
        <f t="shared" si="37"/>
        <v>0</v>
      </c>
      <c r="Q61" s="859" t="s">
        <v>16</v>
      </c>
      <c r="R61" s="858" t="s">
        <v>16</v>
      </c>
      <c r="S61" s="841">
        <f t="shared" si="34"/>
        <v>0</v>
      </c>
      <c r="U61" s="848">
        <f t="shared" si="3"/>
        <v>0</v>
      </c>
      <c r="V61" s="835">
        <f t="shared" si="4"/>
        <v>0</v>
      </c>
    </row>
    <row r="62" spans="1:24" ht="14.25" customHeight="1">
      <c r="A62" s="3436"/>
      <c r="B62" s="931" t="s">
        <v>556</v>
      </c>
      <c r="C62" s="972">
        <f t="shared" ref="C62:N62" si="38">C40+C51</f>
        <v>45</v>
      </c>
      <c r="D62" s="836">
        <f t="shared" si="38"/>
        <v>0.04</v>
      </c>
      <c r="E62" s="848">
        <f t="shared" si="38"/>
        <v>45</v>
      </c>
      <c r="F62" s="835">
        <f t="shared" si="38"/>
        <v>0.05</v>
      </c>
      <c r="G62" s="848">
        <f t="shared" si="38"/>
        <v>45</v>
      </c>
      <c r="H62" s="836">
        <f t="shared" si="38"/>
        <v>0.05</v>
      </c>
      <c r="I62" s="848">
        <f t="shared" si="38"/>
        <v>45</v>
      </c>
      <c r="J62" s="835">
        <f t="shared" si="38"/>
        <v>0.06</v>
      </c>
      <c r="K62" s="848">
        <f t="shared" si="38"/>
        <v>45</v>
      </c>
      <c r="L62" s="836">
        <f t="shared" si="38"/>
        <v>0.06</v>
      </c>
      <c r="M62" s="848">
        <f t="shared" si="38"/>
        <v>45</v>
      </c>
      <c r="N62" s="835">
        <f t="shared" si="38"/>
        <v>0.06</v>
      </c>
      <c r="O62" s="848">
        <f t="shared" ref="O62:P62" si="39">O40+O51</f>
        <v>45</v>
      </c>
      <c r="P62" s="835">
        <f t="shared" si="39"/>
        <v>0.06</v>
      </c>
      <c r="Q62" s="838">
        <f t="shared" si="1"/>
        <v>0</v>
      </c>
      <c r="R62" s="840">
        <f t="shared" si="2"/>
        <v>0.5</v>
      </c>
      <c r="S62" s="841">
        <f t="shared" si="34"/>
        <v>0.08</v>
      </c>
      <c r="U62" s="848">
        <f t="shared" si="3"/>
        <v>0</v>
      </c>
      <c r="V62" s="835">
        <f t="shared" si="4"/>
        <v>0.02</v>
      </c>
    </row>
    <row r="63" spans="1:24" ht="14.25" customHeight="1">
      <c r="A63" s="3436"/>
      <c r="B63" s="931" t="s">
        <v>557</v>
      </c>
      <c r="C63" s="972">
        <f t="shared" ref="C63:N63" si="40">C41+C52</f>
        <v>14</v>
      </c>
      <c r="D63" s="836">
        <f t="shared" si="40"/>
        <v>0.02</v>
      </c>
      <c r="E63" s="848">
        <f t="shared" si="40"/>
        <v>14</v>
      </c>
      <c r="F63" s="835">
        <f t="shared" si="40"/>
        <v>0.02</v>
      </c>
      <c r="G63" s="848">
        <f t="shared" si="40"/>
        <v>14</v>
      </c>
      <c r="H63" s="836">
        <f t="shared" si="40"/>
        <v>0.02</v>
      </c>
      <c r="I63" s="848">
        <f t="shared" si="40"/>
        <v>14</v>
      </c>
      <c r="J63" s="835">
        <f t="shared" si="40"/>
        <v>0.02</v>
      </c>
      <c r="K63" s="848">
        <f t="shared" si="40"/>
        <v>14</v>
      </c>
      <c r="L63" s="836">
        <f t="shared" si="40"/>
        <v>0.02</v>
      </c>
      <c r="M63" s="848">
        <f t="shared" si="40"/>
        <v>14</v>
      </c>
      <c r="N63" s="835">
        <f t="shared" si="40"/>
        <v>0.02</v>
      </c>
      <c r="O63" s="848">
        <f t="shared" ref="O63:P63" si="41">O41+O52</f>
        <v>14</v>
      </c>
      <c r="P63" s="835">
        <f t="shared" si="41"/>
        <v>0.02</v>
      </c>
      <c r="Q63" s="838">
        <f t="shared" si="1"/>
        <v>0</v>
      </c>
      <c r="R63" s="840">
        <f t="shared" si="2"/>
        <v>0</v>
      </c>
      <c r="S63" s="841">
        <f t="shared" si="34"/>
        <v>0.03</v>
      </c>
      <c r="U63" s="848">
        <f t="shared" si="3"/>
        <v>0</v>
      </c>
      <c r="V63" s="835">
        <f t="shared" si="4"/>
        <v>0</v>
      </c>
    </row>
    <row r="64" spans="1:24" ht="14.25" customHeight="1">
      <c r="A64" s="3436"/>
      <c r="B64" s="931" t="s">
        <v>558</v>
      </c>
      <c r="C64" s="972">
        <f t="shared" ref="C64:N65" si="42">C42+C53</f>
        <v>134</v>
      </c>
      <c r="D64" s="836">
        <f t="shared" si="42"/>
        <v>0.2</v>
      </c>
      <c r="E64" s="848">
        <f t="shared" si="42"/>
        <v>134</v>
      </c>
      <c r="F64" s="835">
        <f t="shared" si="42"/>
        <v>0.24</v>
      </c>
      <c r="G64" s="848">
        <f t="shared" si="42"/>
        <v>134</v>
      </c>
      <c r="H64" s="836">
        <f t="shared" si="42"/>
        <v>0.25</v>
      </c>
      <c r="I64" s="848">
        <f t="shared" si="42"/>
        <v>134</v>
      </c>
      <c r="J64" s="835">
        <f t="shared" si="42"/>
        <v>0.25</v>
      </c>
      <c r="K64" s="848">
        <f t="shared" si="42"/>
        <v>134</v>
      </c>
      <c r="L64" s="836">
        <f t="shared" si="42"/>
        <v>0.25</v>
      </c>
      <c r="M64" s="848">
        <f t="shared" si="42"/>
        <v>134</v>
      </c>
      <c r="N64" s="835">
        <f t="shared" si="42"/>
        <v>0.26</v>
      </c>
      <c r="O64" s="848">
        <f t="shared" ref="O64:P64" si="43">O42+O53</f>
        <v>134</v>
      </c>
      <c r="P64" s="835">
        <f t="shared" si="43"/>
        <v>0.26</v>
      </c>
      <c r="Q64" s="838">
        <f t="shared" si="1"/>
        <v>0</v>
      </c>
      <c r="R64" s="840">
        <f t="shared" si="2"/>
        <v>0.3</v>
      </c>
      <c r="S64" s="841">
        <f t="shared" si="34"/>
        <v>0.28999999999999998</v>
      </c>
      <c r="U64" s="848">
        <f t="shared" si="3"/>
        <v>0</v>
      </c>
      <c r="V64" s="835">
        <f t="shared" si="4"/>
        <v>0.06</v>
      </c>
    </row>
    <row r="65" spans="1:22" ht="14.25" customHeight="1">
      <c r="A65" s="3436"/>
      <c r="B65" s="931" t="s">
        <v>559</v>
      </c>
      <c r="C65" s="972">
        <f t="shared" si="42"/>
        <v>10</v>
      </c>
      <c r="D65" s="836">
        <f t="shared" si="42"/>
        <v>0.01</v>
      </c>
      <c r="E65" s="848">
        <f t="shared" si="42"/>
        <v>10</v>
      </c>
      <c r="F65" s="835">
        <f t="shared" si="42"/>
        <v>0.01</v>
      </c>
      <c r="G65" s="848">
        <f t="shared" si="42"/>
        <v>10</v>
      </c>
      <c r="H65" s="836">
        <f t="shared" si="42"/>
        <v>0.01</v>
      </c>
      <c r="I65" s="848">
        <f t="shared" si="42"/>
        <v>10</v>
      </c>
      <c r="J65" s="835">
        <f t="shared" si="42"/>
        <v>0.01</v>
      </c>
      <c r="K65" s="848">
        <f t="shared" si="42"/>
        <v>10</v>
      </c>
      <c r="L65" s="836">
        <f t="shared" si="42"/>
        <v>0.01</v>
      </c>
      <c r="M65" s="848">
        <f t="shared" si="42"/>
        <v>10</v>
      </c>
      <c r="N65" s="835">
        <f t="shared" si="42"/>
        <v>0.02</v>
      </c>
      <c r="O65" s="848">
        <f t="shared" ref="O65:P65" si="44">O43+O54</f>
        <v>10</v>
      </c>
      <c r="P65" s="835">
        <f t="shared" si="44"/>
        <v>0.02</v>
      </c>
      <c r="Q65" s="838">
        <f t="shared" si="1"/>
        <v>0</v>
      </c>
      <c r="R65" s="840">
        <f t="shared" si="2"/>
        <v>1</v>
      </c>
      <c r="S65" s="841">
        <f t="shared" si="34"/>
        <v>0.03</v>
      </c>
      <c r="U65" s="848">
        <f t="shared" si="3"/>
        <v>0</v>
      </c>
      <c r="V65" s="835">
        <f t="shared" si="4"/>
        <v>0.01</v>
      </c>
    </row>
    <row r="66" spans="1:22" ht="14.25" customHeight="1">
      <c r="A66" s="3436"/>
      <c r="B66" s="931" t="s">
        <v>560</v>
      </c>
      <c r="C66" s="972">
        <f t="shared" ref="C66:N66" si="45">C44+C55</f>
        <v>0</v>
      </c>
      <c r="D66" s="836">
        <f t="shared" si="45"/>
        <v>0</v>
      </c>
      <c r="E66" s="848">
        <f t="shared" si="45"/>
        <v>0</v>
      </c>
      <c r="F66" s="835">
        <f t="shared" si="45"/>
        <v>0</v>
      </c>
      <c r="G66" s="848">
        <f t="shared" si="45"/>
        <v>0</v>
      </c>
      <c r="H66" s="836">
        <f t="shared" si="45"/>
        <v>0</v>
      </c>
      <c r="I66" s="848">
        <f t="shared" si="45"/>
        <v>0</v>
      </c>
      <c r="J66" s="835">
        <f t="shared" si="45"/>
        <v>0</v>
      </c>
      <c r="K66" s="848">
        <f t="shared" si="45"/>
        <v>0</v>
      </c>
      <c r="L66" s="836">
        <f t="shared" si="45"/>
        <v>0</v>
      </c>
      <c r="M66" s="848">
        <f t="shared" si="45"/>
        <v>0</v>
      </c>
      <c r="N66" s="835">
        <f t="shared" si="45"/>
        <v>0</v>
      </c>
      <c r="O66" s="848">
        <f t="shared" ref="O66:P66" si="46">O44+O55</f>
        <v>0</v>
      </c>
      <c r="P66" s="835">
        <f t="shared" si="46"/>
        <v>0</v>
      </c>
      <c r="Q66" s="859" t="s">
        <v>16</v>
      </c>
      <c r="R66" s="858" t="s">
        <v>16</v>
      </c>
      <c r="S66" s="841">
        <f t="shared" si="34"/>
        <v>0</v>
      </c>
      <c r="U66" s="848">
        <f t="shared" si="3"/>
        <v>0</v>
      </c>
      <c r="V66" s="835">
        <f t="shared" si="4"/>
        <v>0</v>
      </c>
    </row>
    <row r="67" spans="1:22" ht="14.25" customHeight="1">
      <c r="A67" s="3436"/>
      <c r="B67" s="931" t="s">
        <v>561</v>
      </c>
      <c r="C67" s="972">
        <f t="shared" ref="C67:N67" si="47">C45+C56</f>
        <v>0</v>
      </c>
      <c r="D67" s="836">
        <f t="shared" si="47"/>
        <v>0</v>
      </c>
      <c r="E67" s="848">
        <f t="shared" si="47"/>
        <v>0</v>
      </c>
      <c r="F67" s="835">
        <f t="shared" si="47"/>
        <v>0</v>
      </c>
      <c r="G67" s="848">
        <f t="shared" si="47"/>
        <v>0</v>
      </c>
      <c r="H67" s="836">
        <f t="shared" si="47"/>
        <v>0</v>
      </c>
      <c r="I67" s="848">
        <f t="shared" si="47"/>
        <v>0</v>
      </c>
      <c r="J67" s="835">
        <f t="shared" si="47"/>
        <v>0</v>
      </c>
      <c r="K67" s="848">
        <f t="shared" si="47"/>
        <v>0</v>
      </c>
      <c r="L67" s="836">
        <f t="shared" si="47"/>
        <v>0</v>
      </c>
      <c r="M67" s="848">
        <f t="shared" si="47"/>
        <v>0</v>
      </c>
      <c r="N67" s="835">
        <f t="shared" si="47"/>
        <v>0</v>
      </c>
      <c r="O67" s="848">
        <f t="shared" ref="O67:P67" si="48">O45+O56</f>
        <v>0</v>
      </c>
      <c r="P67" s="835">
        <f t="shared" si="48"/>
        <v>0</v>
      </c>
      <c r="Q67" s="859" t="s">
        <v>16</v>
      </c>
      <c r="R67" s="858" t="s">
        <v>16</v>
      </c>
      <c r="S67" s="841">
        <f t="shared" si="34"/>
        <v>0</v>
      </c>
      <c r="U67" s="848">
        <f t="shared" si="3"/>
        <v>0</v>
      </c>
      <c r="V67" s="835">
        <f t="shared" si="4"/>
        <v>0</v>
      </c>
    </row>
    <row r="68" spans="1:22" ht="14.25" customHeight="1" thickBot="1">
      <c r="A68" s="3436"/>
      <c r="B68" s="932" t="s">
        <v>562</v>
      </c>
      <c r="C68" s="1880">
        <f t="shared" ref="C68:N68" si="49">C46+C57</f>
        <v>0</v>
      </c>
      <c r="D68" s="1881">
        <f t="shared" si="49"/>
        <v>0.08</v>
      </c>
      <c r="E68" s="849">
        <f t="shared" si="49"/>
        <v>0</v>
      </c>
      <c r="F68" s="1885">
        <f t="shared" si="49"/>
        <v>0.1</v>
      </c>
      <c r="G68" s="849">
        <f t="shared" si="49"/>
        <v>0</v>
      </c>
      <c r="H68" s="1881">
        <f t="shared" si="49"/>
        <v>0.1</v>
      </c>
      <c r="I68" s="849">
        <f t="shared" si="49"/>
        <v>0</v>
      </c>
      <c r="J68" s="1885">
        <f t="shared" si="49"/>
        <v>0.1</v>
      </c>
      <c r="K68" s="849">
        <f t="shared" si="49"/>
        <v>0</v>
      </c>
      <c r="L68" s="1881">
        <f t="shared" si="49"/>
        <v>0.1</v>
      </c>
      <c r="M68" s="849">
        <f t="shared" si="49"/>
        <v>0</v>
      </c>
      <c r="N68" s="1885">
        <f t="shared" si="49"/>
        <v>0.1</v>
      </c>
      <c r="O68" s="849">
        <f t="shared" ref="O68:P68" si="50">O46+O57</f>
        <v>0</v>
      </c>
      <c r="P68" s="1885">
        <f t="shared" si="50"/>
        <v>0.1</v>
      </c>
      <c r="Q68" s="1886" t="s">
        <v>16</v>
      </c>
      <c r="R68" s="1888">
        <f t="shared" si="2"/>
        <v>0.25</v>
      </c>
      <c r="S68" s="846">
        <f t="shared" si="34"/>
        <v>0.1</v>
      </c>
      <c r="U68" s="849">
        <f t="shared" si="3"/>
        <v>0</v>
      </c>
      <c r="V68" s="1885">
        <f t="shared" si="4"/>
        <v>0.02</v>
      </c>
    </row>
    <row r="69" spans="1:22" ht="14.25" customHeight="1" thickTop="1" thickBot="1">
      <c r="A69" s="3437"/>
      <c r="B69" s="842" t="s">
        <v>18</v>
      </c>
      <c r="C69" s="973">
        <f t="shared" ref="C69:N69" si="51">C47+C58</f>
        <v>208</v>
      </c>
      <c r="D69" s="852">
        <f t="shared" si="51"/>
        <v>0.36</v>
      </c>
      <c r="E69" s="850">
        <f t="shared" si="51"/>
        <v>208</v>
      </c>
      <c r="F69" s="843">
        <f t="shared" si="51"/>
        <v>0.43</v>
      </c>
      <c r="G69" s="850">
        <f t="shared" si="51"/>
        <v>208</v>
      </c>
      <c r="H69" s="852">
        <f t="shared" si="51"/>
        <v>0.44</v>
      </c>
      <c r="I69" s="850">
        <f t="shared" si="51"/>
        <v>208</v>
      </c>
      <c r="J69" s="843">
        <f t="shared" si="51"/>
        <v>0.45</v>
      </c>
      <c r="K69" s="850">
        <f t="shared" si="51"/>
        <v>208</v>
      </c>
      <c r="L69" s="852">
        <f t="shared" si="51"/>
        <v>0.45</v>
      </c>
      <c r="M69" s="850">
        <f t="shared" si="51"/>
        <v>208</v>
      </c>
      <c r="N69" s="843">
        <f t="shared" si="51"/>
        <v>0.47</v>
      </c>
      <c r="O69" s="850">
        <f t="shared" ref="O69:P69" si="52">O47+O58</f>
        <v>208</v>
      </c>
      <c r="P69" s="843">
        <f t="shared" si="52"/>
        <v>0.47</v>
      </c>
      <c r="Q69" s="844">
        <f t="shared" ref="Q69:R69" si="53">(O69-C69)/C69</f>
        <v>0</v>
      </c>
      <c r="R69" s="845">
        <f t="shared" si="53"/>
        <v>0.31</v>
      </c>
      <c r="S69" s="855">
        <f t="shared" si="34"/>
        <v>0.55000000000000004</v>
      </c>
      <c r="U69" s="850">
        <f t="shared" ref="U69:V69" si="54">O69-C69</f>
        <v>0</v>
      </c>
      <c r="V69" s="843">
        <f t="shared" si="54"/>
        <v>0.11</v>
      </c>
    </row>
    <row r="70" spans="1:22" ht="28.5" customHeight="1" thickBot="1">
      <c r="A70" s="3224" t="s">
        <v>568</v>
      </c>
      <c r="B70" s="3224"/>
      <c r="C70" s="3224"/>
      <c r="D70" s="3224"/>
      <c r="E70" s="3224"/>
      <c r="F70" s="3224"/>
      <c r="G70" s="3224"/>
      <c r="H70" s="3224"/>
      <c r="I70" s="3224"/>
      <c r="J70" s="3224"/>
      <c r="K70" s="3224"/>
      <c r="L70" s="3224"/>
      <c r="M70" s="3224"/>
      <c r="N70" s="3224"/>
      <c r="O70" s="3224"/>
      <c r="P70" s="3224"/>
      <c r="Q70" s="3224"/>
      <c r="R70" s="3224"/>
      <c r="S70" s="3224"/>
    </row>
    <row r="71" spans="1:22" ht="29.25" customHeight="1">
      <c r="A71" s="3429" t="s">
        <v>85</v>
      </c>
      <c r="B71" s="3431" t="s">
        <v>541</v>
      </c>
      <c r="C71" s="3217" t="s">
        <v>542</v>
      </c>
      <c r="D71" s="3217"/>
      <c r="E71" s="3216" t="s">
        <v>543</v>
      </c>
      <c r="F71" s="3218"/>
      <c r="G71" s="3217" t="s">
        <v>544</v>
      </c>
      <c r="H71" s="3217"/>
      <c r="I71" s="3258" t="s">
        <v>545</v>
      </c>
      <c r="J71" s="3245"/>
      <c r="K71" s="3264" t="s">
        <v>546</v>
      </c>
      <c r="L71" s="3264"/>
      <c r="M71" s="3258" t="s">
        <v>547</v>
      </c>
      <c r="N71" s="3245"/>
      <c r="O71" s="3258" t="s">
        <v>548</v>
      </c>
      <c r="P71" s="3245"/>
      <c r="Q71" s="3264" t="s">
        <v>57</v>
      </c>
      <c r="R71" s="3264"/>
      <c r="S71" s="3433" t="s">
        <v>549</v>
      </c>
      <c r="T71" t="s">
        <v>36</v>
      </c>
      <c r="U71" s="3258" t="s">
        <v>59</v>
      </c>
      <c r="V71" s="3245"/>
    </row>
    <row r="72" spans="1:22" ht="15.75" thickBot="1">
      <c r="A72" s="3430"/>
      <c r="B72" s="3432"/>
      <c r="C72" s="1889" t="s">
        <v>550</v>
      </c>
      <c r="D72" s="831" t="s">
        <v>551</v>
      </c>
      <c r="E72" s="832" t="s">
        <v>550</v>
      </c>
      <c r="F72" s="833" t="s">
        <v>551</v>
      </c>
      <c r="G72" s="1889" t="s">
        <v>550</v>
      </c>
      <c r="H72" s="831" t="s">
        <v>551</v>
      </c>
      <c r="I72" s="834" t="s">
        <v>550</v>
      </c>
      <c r="J72" s="833" t="s">
        <v>551</v>
      </c>
      <c r="K72" s="1890" t="s">
        <v>550</v>
      </c>
      <c r="L72" s="831" t="s">
        <v>551</v>
      </c>
      <c r="M72" s="834" t="s">
        <v>550</v>
      </c>
      <c r="N72" s="833" t="s">
        <v>551</v>
      </c>
      <c r="O72" s="834" t="s">
        <v>550</v>
      </c>
      <c r="P72" s="833" t="s">
        <v>551</v>
      </c>
      <c r="Q72" s="1891" t="s">
        <v>529</v>
      </c>
      <c r="R72" s="831" t="s">
        <v>551</v>
      </c>
      <c r="S72" s="3434"/>
      <c r="U72" s="1645" t="s">
        <v>529</v>
      </c>
      <c r="V72" s="1646" t="s">
        <v>551</v>
      </c>
    </row>
    <row r="73" spans="1:22" ht="15" customHeight="1">
      <c r="A73" s="3435" t="s">
        <v>569</v>
      </c>
      <c r="B73" s="933" t="s">
        <v>553</v>
      </c>
      <c r="C73" s="971">
        <v>0</v>
      </c>
      <c r="D73" s="851">
        <v>0</v>
      </c>
      <c r="E73" s="847">
        <v>0</v>
      </c>
      <c r="F73" s="853">
        <v>0</v>
      </c>
      <c r="G73" s="847">
        <v>0</v>
      </c>
      <c r="H73" s="851">
        <v>0</v>
      </c>
      <c r="I73" s="847">
        <v>0</v>
      </c>
      <c r="J73" s="853">
        <v>0</v>
      </c>
      <c r="K73" s="847">
        <v>0</v>
      </c>
      <c r="L73" s="851">
        <v>0</v>
      </c>
      <c r="M73" s="847">
        <v>0</v>
      </c>
      <c r="N73" s="853">
        <v>0</v>
      </c>
      <c r="O73" s="847">
        <v>0</v>
      </c>
      <c r="P73" s="853">
        <v>0</v>
      </c>
      <c r="Q73" s="878" t="s">
        <v>16</v>
      </c>
      <c r="R73" s="879" t="s">
        <v>16</v>
      </c>
      <c r="S73" s="854">
        <v>0</v>
      </c>
      <c r="U73" s="847">
        <f>O73-C73</f>
        <v>0</v>
      </c>
      <c r="V73" s="853">
        <f>P73-D73</f>
        <v>0</v>
      </c>
    </row>
    <row r="74" spans="1:22">
      <c r="A74" s="3436"/>
      <c r="B74" s="931" t="s">
        <v>554</v>
      </c>
      <c r="C74" s="972">
        <v>0</v>
      </c>
      <c r="D74" s="836">
        <v>0</v>
      </c>
      <c r="E74" s="848">
        <v>0</v>
      </c>
      <c r="F74" s="835">
        <v>0</v>
      </c>
      <c r="G74" s="848">
        <v>0</v>
      </c>
      <c r="H74" s="836">
        <v>0</v>
      </c>
      <c r="I74" s="848">
        <v>0</v>
      </c>
      <c r="J74" s="835">
        <v>0</v>
      </c>
      <c r="K74" s="848">
        <v>0</v>
      </c>
      <c r="L74" s="836">
        <v>0</v>
      </c>
      <c r="M74" s="848">
        <v>0</v>
      </c>
      <c r="N74" s="835">
        <v>0</v>
      </c>
      <c r="O74" s="848">
        <v>0</v>
      </c>
      <c r="P74" s="835">
        <v>0</v>
      </c>
      <c r="Q74" s="859" t="s">
        <v>16</v>
      </c>
      <c r="R74" s="858" t="s">
        <v>16</v>
      </c>
      <c r="S74" s="841">
        <v>0</v>
      </c>
      <c r="U74" s="848">
        <f t="shared" ref="U74:U127" si="55">O74-C74</f>
        <v>0</v>
      </c>
      <c r="V74" s="835">
        <f t="shared" ref="V74:V127" si="56">P74-D74</f>
        <v>0</v>
      </c>
    </row>
    <row r="75" spans="1:22">
      <c r="A75" s="3436"/>
      <c r="B75" s="931" t="s">
        <v>555</v>
      </c>
      <c r="C75" s="972">
        <v>0</v>
      </c>
      <c r="D75" s="836">
        <v>0</v>
      </c>
      <c r="E75" s="848">
        <v>0</v>
      </c>
      <c r="F75" s="835">
        <v>0</v>
      </c>
      <c r="G75" s="848">
        <v>0</v>
      </c>
      <c r="H75" s="836">
        <v>0</v>
      </c>
      <c r="I75" s="848">
        <v>0</v>
      </c>
      <c r="J75" s="835">
        <v>0</v>
      </c>
      <c r="K75" s="848">
        <v>0</v>
      </c>
      <c r="L75" s="836">
        <v>0</v>
      </c>
      <c r="M75" s="848">
        <v>0</v>
      </c>
      <c r="N75" s="835">
        <v>0</v>
      </c>
      <c r="O75" s="848">
        <v>0</v>
      </c>
      <c r="P75" s="835">
        <v>0</v>
      </c>
      <c r="Q75" s="859" t="s">
        <v>16</v>
      </c>
      <c r="R75" s="858" t="s">
        <v>16</v>
      </c>
      <c r="S75" s="841">
        <v>0</v>
      </c>
      <c r="U75" s="848">
        <f t="shared" si="55"/>
        <v>0</v>
      </c>
      <c r="V75" s="835">
        <f t="shared" si="56"/>
        <v>0</v>
      </c>
    </row>
    <row r="76" spans="1:22">
      <c r="A76" s="3436"/>
      <c r="B76" s="931" t="s">
        <v>556</v>
      </c>
      <c r="C76" s="972">
        <v>0</v>
      </c>
      <c r="D76" s="836">
        <v>0</v>
      </c>
      <c r="E76" s="848">
        <v>0</v>
      </c>
      <c r="F76" s="835">
        <v>0</v>
      </c>
      <c r="G76" s="848">
        <v>0</v>
      </c>
      <c r="H76" s="836">
        <v>0</v>
      </c>
      <c r="I76" s="848">
        <v>0</v>
      </c>
      <c r="J76" s="835">
        <v>0</v>
      </c>
      <c r="K76" s="848">
        <v>0</v>
      </c>
      <c r="L76" s="836">
        <v>0</v>
      </c>
      <c r="M76" s="848">
        <v>0</v>
      </c>
      <c r="N76" s="835">
        <v>0</v>
      </c>
      <c r="O76" s="848">
        <v>0</v>
      </c>
      <c r="P76" s="835">
        <v>0</v>
      </c>
      <c r="Q76" s="859" t="s">
        <v>16</v>
      </c>
      <c r="R76" s="858" t="s">
        <v>16</v>
      </c>
      <c r="S76" s="841">
        <v>0</v>
      </c>
      <c r="U76" s="848">
        <f t="shared" si="55"/>
        <v>0</v>
      </c>
      <c r="V76" s="835">
        <f t="shared" si="56"/>
        <v>0</v>
      </c>
    </row>
    <row r="77" spans="1:22">
      <c r="A77" s="3436"/>
      <c r="B77" s="931" t="s">
        <v>557</v>
      </c>
      <c r="C77" s="972">
        <v>0</v>
      </c>
      <c r="D77" s="836">
        <v>0</v>
      </c>
      <c r="E77" s="848">
        <v>0</v>
      </c>
      <c r="F77" s="835">
        <v>0</v>
      </c>
      <c r="G77" s="848">
        <v>0</v>
      </c>
      <c r="H77" s="836">
        <v>0</v>
      </c>
      <c r="I77" s="848">
        <v>0</v>
      </c>
      <c r="J77" s="835">
        <v>0</v>
      </c>
      <c r="K77" s="848">
        <v>0</v>
      </c>
      <c r="L77" s="836">
        <v>0</v>
      </c>
      <c r="M77" s="848">
        <v>0</v>
      </c>
      <c r="N77" s="835">
        <v>0</v>
      </c>
      <c r="O77" s="848">
        <v>0</v>
      </c>
      <c r="P77" s="835">
        <v>0</v>
      </c>
      <c r="Q77" s="859" t="s">
        <v>16</v>
      </c>
      <c r="R77" s="858" t="s">
        <v>16</v>
      </c>
      <c r="S77" s="841">
        <v>0</v>
      </c>
      <c r="T77" t="s">
        <v>36</v>
      </c>
      <c r="U77" s="848">
        <f t="shared" si="55"/>
        <v>0</v>
      </c>
      <c r="V77" s="835">
        <f t="shared" si="56"/>
        <v>0</v>
      </c>
    </row>
    <row r="78" spans="1:22">
      <c r="A78" s="3436"/>
      <c r="B78" s="931" t="s">
        <v>558</v>
      </c>
      <c r="C78" s="972">
        <v>0</v>
      </c>
      <c r="D78" s="836">
        <v>0</v>
      </c>
      <c r="E78" s="848">
        <v>0</v>
      </c>
      <c r="F78" s="835">
        <v>0</v>
      </c>
      <c r="G78" s="848">
        <v>0</v>
      </c>
      <c r="H78" s="836">
        <v>0</v>
      </c>
      <c r="I78" s="848">
        <v>0</v>
      </c>
      <c r="J78" s="835">
        <v>0</v>
      </c>
      <c r="K78" s="848">
        <v>0</v>
      </c>
      <c r="L78" s="836">
        <v>0</v>
      </c>
      <c r="M78" s="848">
        <v>0</v>
      </c>
      <c r="N78" s="835">
        <v>0</v>
      </c>
      <c r="O78" s="848">
        <v>0</v>
      </c>
      <c r="P78" s="835">
        <v>0</v>
      </c>
      <c r="Q78" s="859" t="s">
        <v>16</v>
      </c>
      <c r="R78" s="858" t="s">
        <v>16</v>
      </c>
      <c r="S78" s="841">
        <v>0</v>
      </c>
      <c r="U78" s="848">
        <f t="shared" si="55"/>
        <v>0</v>
      </c>
      <c r="V78" s="835">
        <f t="shared" si="56"/>
        <v>0</v>
      </c>
    </row>
    <row r="79" spans="1:22">
      <c r="A79" s="3436"/>
      <c r="B79" s="931" t="s">
        <v>559</v>
      </c>
      <c r="C79" s="972">
        <v>0</v>
      </c>
      <c r="D79" s="836">
        <v>0</v>
      </c>
      <c r="E79" s="848">
        <v>0</v>
      </c>
      <c r="F79" s="835">
        <v>0</v>
      </c>
      <c r="G79" s="848">
        <v>0</v>
      </c>
      <c r="H79" s="836">
        <v>0</v>
      </c>
      <c r="I79" s="848">
        <v>0</v>
      </c>
      <c r="J79" s="835">
        <v>0</v>
      </c>
      <c r="K79" s="848">
        <v>0</v>
      </c>
      <c r="L79" s="836">
        <v>0</v>
      </c>
      <c r="M79" s="848">
        <v>0</v>
      </c>
      <c r="N79" s="835">
        <v>0</v>
      </c>
      <c r="O79" s="848">
        <v>0</v>
      </c>
      <c r="P79" s="835">
        <v>0</v>
      </c>
      <c r="Q79" s="859" t="s">
        <v>16</v>
      </c>
      <c r="R79" s="858" t="s">
        <v>16</v>
      </c>
      <c r="S79" s="841">
        <v>0</v>
      </c>
      <c r="U79" s="848">
        <f t="shared" si="55"/>
        <v>0</v>
      </c>
      <c r="V79" s="835">
        <f t="shared" si="56"/>
        <v>0</v>
      </c>
    </row>
    <row r="80" spans="1:22">
      <c r="A80" s="3436"/>
      <c r="B80" s="931" t="s">
        <v>560</v>
      </c>
      <c r="C80" s="972">
        <v>0</v>
      </c>
      <c r="D80" s="836">
        <v>0</v>
      </c>
      <c r="E80" s="848">
        <v>0</v>
      </c>
      <c r="F80" s="835">
        <v>0</v>
      </c>
      <c r="G80" s="848">
        <v>0</v>
      </c>
      <c r="H80" s="836">
        <v>0</v>
      </c>
      <c r="I80" s="848">
        <v>0</v>
      </c>
      <c r="J80" s="835">
        <v>0</v>
      </c>
      <c r="K80" s="848">
        <v>0</v>
      </c>
      <c r="L80" s="836">
        <v>0</v>
      </c>
      <c r="M80" s="848">
        <v>0</v>
      </c>
      <c r="N80" s="835">
        <v>0</v>
      </c>
      <c r="O80" s="848">
        <v>0</v>
      </c>
      <c r="P80" s="835">
        <v>0</v>
      </c>
      <c r="Q80" s="859" t="s">
        <v>16</v>
      </c>
      <c r="R80" s="858" t="s">
        <v>16</v>
      </c>
      <c r="S80" s="841">
        <v>0</v>
      </c>
      <c r="U80" s="848">
        <f t="shared" si="55"/>
        <v>0</v>
      </c>
      <c r="V80" s="835">
        <f t="shared" si="56"/>
        <v>0</v>
      </c>
    </row>
    <row r="81" spans="1:22">
      <c r="A81" s="3436"/>
      <c r="B81" s="931" t="s">
        <v>561</v>
      </c>
      <c r="C81" s="972">
        <v>0</v>
      </c>
      <c r="D81" s="836">
        <v>0</v>
      </c>
      <c r="E81" s="848">
        <v>0</v>
      </c>
      <c r="F81" s="835">
        <v>0</v>
      </c>
      <c r="G81" s="848">
        <v>0</v>
      </c>
      <c r="H81" s="836">
        <v>0</v>
      </c>
      <c r="I81" s="848">
        <v>0</v>
      </c>
      <c r="J81" s="835">
        <v>0</v>
      </c>
      <c r="K81" s="848">
        <v>0</v>
      </c>
      <c r="L81" s="836">
        <v>0</v>
      </c>
      <c r="M81" s="848">
        <v>0</v>
      </c>
      <c r="N81" s="835">
        <v>0</v>
      </c>
      <c r="O81" s="848">
        <v>0</v>
      </c>
      <c r="P81" s="835">
        <v>0</v>
      </c>
      <c r="Q81" s="859" t="s">
        <v>16</v>
      </c>
      <c r="R81" s="858" t="s">
        <v>16</v>
      </c>
      <c r="S81" s="841">
        <v>0</v>
      </c>
      <c r="U81" s="848">
        <f t="shared" si="55"/>
        <v>0</v>
      </c>
      <c r="V81" s="835">
        <f t="shared" si="56"/>
        <v>0</v>
      </c>
    </row>
    <row r="82" spans="1:22" ht="15.75" thickBot="1">
      <c r="A82" s="3436"/>
      <c r="B82" s="932" t="s">
        <v>562</v>
      </c>
      <c r="C82" s="1880">
        <v>0</v>
      </c>
      <c r="D82" s="1881">
        <v>0</v>
      </c>
      <c r="E82" s="849">
        <v>0</v>
      </c>
      <c r="F82" s="1885">
        <f>'Table 7b'!J11</f>
        <v>0</v>
      </c>
      <c r="G82" s="849">
        <v>0</v>
      </c>
      <c r="H82" s="1881">
        <v>0</v>
      </c>
      <c r="I82" s="849">
        <v>0</v>
      </c>
      <c r="J82" s="1885">
        <v>0</v>
      </c>
      <c r="K82" s="849">
        <v>0</v>
      </c>
      <c r="L82" s="1881">
        <v>0</v>
      </c>
      <c r="M82" s="849">
        <v>0</v>
      </c>
      <c r="N82" s="1885">
        <v>0</v>
      </c>
      <c r="O82" s="849">
        <v>0</v>
      </c>
      <c r="P82" s="1885">
        <v>0</v>
      </c>
      <c r="Q82" s="1886" t="s">
        <v>16</v>
      </c>
      <c r="R82" s="1888" t="s">
        <v>16</v>
      </c>
      <c r="S82" s="846">
        <v>0</v>
      </c>
      <c r="U82" s="849">
        <f t="shared" si="55"/>
        <v>0</v>
      </c>
      <c r="V82" s="1885">
        <f t="shared" si="56"/>
        <v>0</v>
      </c>
    </row>
    <row r="83" spans="1:22" ht="16.5" thickTop="1" thickBot="1">
      <c r="A83" s="3437"/>
      <c r="B83" s="842" t="s">
        <v>18</v>
      </c>
      <c r="C83" s="973">
        <f>SUM(C73:C82)</f>
        <v>0</v>
      </c>
      <c r="D83" s="852">
        <f>'Table 7'!E11</f>
        <v>0</v>
      </c>
      <c r="E83" s="850">
        <f t="shared" ref="E83:O83" si="57">SUM(E73:E82)</f>
        <v>0</v>
      </c>
      <c r="F83" s="843">
        <f t="shared" si="57"/>
        <v>0</v>
      </c>
      <c r="G83" s="850">
        <f t="shared" si="57"/>
        <v>0</v>
      </c>
      <c r="H83" s="852">
        <f t="shared" si="57"/>
        <v>0</v>
      </c>
      <c r="I83" s="850">
        <f t="shared" si="57"/>
        <v>0</v>
      </c>
      <c r="J83" s="843">
        <f t="shared" si="57"/>
        <v>0</v>
      </c>
      <c r="K83" s="850">
        <f t="shared" si="57"/>
        <v>0</v>
      </c>
      <c r="L83" s="852">
        <f t="shared" si="57"/>
        <v>0</v>
      </c>
      <c r="M83" s="850">
        <f t="shared" si="57"/>
        <v>0</v>
      </c>
      <c r="N83" s="843">
        <f t="shared" si="57"/>
        <v>0</v>
      </c>
      <c r="O83" s="850">
        <f t="shared" si="57"/>
        <v>0</v>
      </c>
      <c r="P83" s="843">
        <v>0</v>
      </c>
      <c r="Q83" s="880" t="s">
        <v>16</v>
      </c>
      <c r="R83" s="881" t="s">
        <v>16</v>
      </c>
      <c r="S83" s="855">
        <f>SUM(S73:S82)</f>
        <v>0</v>
      </c>
      <c r="U83" s="850">
        <f t="shared" si="55"/>
        <v>0</v>
      </c>
      <c r="V83" s="843">
        <f t="shared" si="56"/>
        <v>0</v>
      </c>
    </row>
    <row r="84" spans="1:22" ht="15.75" customHeight="1">
      <c r="A84" s="3435" t="s">
        <v>570</v>
      </c>
      <c r="B84" s="933" t="s">
        <v>553</v>
      </c>
      <c r="C84" s="971">
        <v>0</v>
      </c>
      <c r="D84" s="851">
        <f>(F84/$F$94)*$D$94</f>
        <v>0</v>
      </c>
      <c r="E84" s="847">
        <v>0</v>
      </c>
      <c r="F84" s="853">
        <v>0</v>
      </c>
      <c r="G84" s="847">
        <v>0</v>
      </c>
      <c r="H84" s="851">
        <v>0</v>
      </c>
      <c r="I84" s="847">
        <v>0</v>
      </c>
      <c r="J84" s="853">
        <v>0</v>
      </c>
      <c r="K84" s="847">
        <v>0</v>
      </c>
      <c r="L84" s="851">
        <v>0</v>
      </c>
      <c r="M84" s="847">
        <v>0</v>
      </c>
      <c r="N84" s="853">
        <v>0</v>
      </c>
      <c r="O84" s="847">
        <v>0</v>
      </c>
      <c r="P84" s="853">
        <v>0</v>
      </c>
      <c r="Q84" s="878" t="s">
        <v>16</v>
      </c>
      <c r="R84" s="879" t="s">
        <v>16</v>
      </c>
      <c r="S84" s="854">
        <v>0</v>
      </c>
      <c r="U84" s="847">
        <f t="shared" si="55"/>
        <v>0</v>
      </c>
      <c r="V84" s="853">
        <f t="shared" si="56"/>
        <v>0</v>
      </c>
    </row>
    <row r="85" spans="1:22">
      <c r="A85" s="3436"/>
      <c r="B85" s="931" t="s">
        <v>554</v>
      </c>
      <c r="C85" s="972">
        <v>26</v>
      </c>
      <c r="D85" s="836">
        <f t="shared" ref="D85:D93" si="58">(F85/$F$94)*$D$94</f>
        <v>0.04</v>
      </c>
      <c r="E85" s="848">
        <v>20</v>
      </c>
      <c r="F85" s="835">
        <v>0.04</v>
      </c>
      <c r="G85" s="848">
        <v>20</v>
      </c>
      <c r="H85" s="836">
        <v>0.04</v>
      </c>
      <c r="I85" s="848">
        <v>20</v>
      </c>
      <c r="J85" s="835">
        <v>0.04</v>
      </c>
      <c r="K85" s="848">
        <v>20</v>
      </c>
      <c r="L85" s="836">
        <v>0.05</v>
      </c>
      <c r="M85" s="848">
        <v>20</v>
      </c>
      <c r="N85" s="835">
        <v>0.05</v>
      </c>
      <c r="O85" s="848">
        <v>20</v>
      </c>
      <c r="P85" s="835">
        <v>0.05</v>
      </c>
      <c r="Q85" s="859">
        <f t="shared" ref="Q85:Q116" si="59">(O85-C85)/C85</f>
        <v>-0.23</v>
      </c>
      <c r="R85" s="858">
        <f t="shared" ref="R85:R116" si="60">(P85-D85)/D85</f>
        <v>0.25</v>
      </c>
      <c r="S85" s="841">
        <v>7.0000000000000007E-2</v>
      </c>
      <c r="U85" s="848">
        <f t="shared" si="55"/>
        <v>-6</v>
      </c>
      <c r="V85" s="835">
        <f t="shared" si="56"/>
        <v>0.01</v>
      </c>
    </row>
    <row r="86" spans="1:22">
      <c r="A86" s="3436"/>
      <c r="B86" s="931" t="s">
        <v>555</v>
      </c>
      <c r="C86" s="972">
        <v>0</v>
      </c>
      <c r="D86" s="836">
        <f t="shared" si="58"/>
        <v>0</v>
      </c>
      <c r="E86" s="848">
        <v>0</v>
      </c>
      <c r="F86" s="835">
        <v>0</v>
      </c>
      <c r="G86" s="848">
        <v>0</v>
      </c>
      <c r="H86" s="836">
        <v>0</v>
      </c>
      <c r="I86" s="848">
        <v>0</v>
      </c>
      <c r="J86" s="835">
        <v>0</v>
      </c>
      <c r="K86" s="848">
        <v>0</v>
      </c>
      <c r="L86" s="836">
        <v>0</v>
      </c>
      <c r="M86" s="848">
        <v>0</v>
      </c>
      <c r="N86" s="835">
        <v>0</v>
      </c>
      <c r="O86" s="848">
        <v>0</v>
      </c>
      <c r="P86" s="835">
        <v>0</v>
      </c>
      <c r="Q86" s="859" t="s">
        <v>16</v>
      </c>
      <c r="R86" s="858" t="s">
        <v>16</v>
      </c>
      <c r="S86" s="841">
        <v>0</v>
      </c>
      <c r="U86" s="848">
        <f t="shared" si="55"/>
        <v>0</v>
      </c>
      <c r="V86" s="835">
        <f t="shared" si="56"/>
        <v>0</v>
      </c>
    </row>
    <row r="87" spans="1:22">
      <c r="A87" s="3436"/>
      <c r="B87" s="931" t="s">
        <v>556</v>
      </c>
      <c r="C87" s="972">
        <v>306</v>
      </c>
      <c r="D87" s="836">
        <f t="shared" si="58"/>
        <v>0.39</v>
      </c>
      <c r="E87" s="848">
        <v>306</v>
      </c>
      <c r="F87" s="835">
        <v>0.41</v>
      </c>
      <c r="G87" s="848">
        <v>306</v>
      </c>
      <c r="H87" s="836">
        <v>0.41</v>
      </c>
      <c r="I87" s="848">
        <v>306</v>
      </c>
      <c r="J87" s="835">
        <v>0.42</v>
      </c>
      <c r="K87" s="848">
        <v>306</v>
      </c>
      <c r="L87" s="836">
        <v>0.42</v>
      </c>
      <c r="M87" s="848">
        <v>306</v>
      </c>
      <c r="N87" s="835">
        <v>0.42</v>
      </c>
      <c r="O87" s="848">
        <v>306</v>
      </c>
      <c r="P87" s="835">
        <v>0.43</v>
      </c>
      <c r="Q87" s="859">
        <f t="shared" si="59"/>
        <v>0</v>
      </c>
      <c r="R87" s="858">
        <f t="shared" si="60"/>
        <v>0.1</v>
      </c>
      <c r="S87" s="841">
        <v>0.56000000000000005</v>
      </c>
      <c r="U87" s="848">
        <f t="shared" si="55"/>
        <v>0</v>
      </c>
      <c r="V87" s="835">
        <f t="shared" si="56"/>
        <v>0.04</v>
      </c>
    </row>
    <row r="88" spans="1:22">
      <c r="A88" s="3436"/>
      <c r="B88" s="931" t="s">
        <v>557</v>
      </c>
      <c r="C88" s="972">
        <v>245</v>
      </c>
      <c r="D88" s="836">
        <f t="shared" si="58"/>
        <v>0.14000000000000001</v>
      </c>
      <c r="E88" s="848">
        <v>200</v>
      </c>
      <c r="F88" s="835">
        <v>0.15</v>
      </c>
      <c r="G88" s="848">
        <v>200</v>
      </c>
      <c r="H88" s="836">
        <v>0.15</v>
      </c>
      <c r="I88" s="848">
        <v>200</v>
      </c>
      <c r="J88" s="835">
        <v>0.15</v>
      </c>
      <c r="K88" s="848">
        <v>200</v>
      </c>
      <c r="L88" s="836">
        <v>0.16</v>
      </c>
      <c r="M88" s="848">
        <v>200</v>
      </c>
      <c r="N88" s="835">
        <v>0.16</v>
      </c>
      <c r="O88" s="848">
        <v>200</v>
      </c>
      <c r="P88" s="835">
        <v>0.16</v>
      </c>
      <c r="Q88" s="859">
        <f t="shared" si="59"/>
        <v>-0.18</v>
      </c>
      <c r="R88" s="858">
        <f t="shared" si="60"/>
        <v>0.14000000000000001</v>
      </c>
      <c r="S88" s="841">
        <v>0.2</v>
      </c>
      <c r="U88" s="848">
        <f t="shared" si="55"/>
        <v>-45</v>
      </c>
      <c r="V88" s="835">
        <f t="shared" si="56"/>
        <v>0.02</v>
      </c>
    </row>
    <row r="89" spans="1:22">
      <c r="A89" s="3436"/>
      <c r="B89" s="931" t="s">
        <v>558</v>
      </c>
      <c r="C89" s="972">
        <v>2</v>
      </c>
      <c r="D89" s="836">
        <f t="shared" si="58"/>
        <v>0</v>
      </c>
      <c r="E89" s="848">
        <v>2</v>
      </c>
      <c r="F89" s="835">
        <v>0</v>
      </c>
      <c r="G89" s="848">
        <v>2</v>
      </c>
      <c r="H89" s="836">
        <v>0</v>
      </c>
      <c r="I89" s="848">
        <v>2</v>
      </c>
      <c r="J89" s="835">
        <v>0</v>
      </c>
      <c r="K89" s="848">
        <v>2</v>
      </c>
      <c r="L89" s="836">
        <v>0</v>
      </c>
      <c r="M89" s="848">
        <v>2</v>
      </c>
      <c r="N89" s="835">
        <v>0</v>
      </c>
      <c r="O89" s="848">
        <v>2</v>
      </c>
      <c r="P89" s="835">
        <v>0</v>
      </c>
      <c r="Q89" s="859">
        <f t="shared" si="59"/>
        <v>0</v>
      </c>
      <c r="R89" s="858" t="s">
        <v>16</v>
      </c>
      <c r="S89" s="841">
        <v>0</v>
      </c>
      <c r="U89" s="848">
        <f t="shared" si="55"/>
        <v>0</v>
      </c>
      <c r="V89" s="835">
        <f t="shared" si="56"/>
        <v>0</v>
      </c>
    </row>
    <row r="90" spans="1:22">
      <c r="A90" s="3436"/>
      <c r="B90" s="931" t="s">
        <v>559</v>
      </c>
      <c r="C90" s="972">
        <v>1057</v>
      </c>
      <c r="D90" s="836">
        <f t="shared" si="58"/>
        <v>0.96</v>
      </c>
      <c r="E90" s="848">
        <v>971</v>
      </c>
      <c r="F90" s="835">
        <v>1</v>
      </c>
      <c r="G90" s="848">
        <v>971</v>
      </c>
      <c r="H90" s="836">
        <v>0.98</v>
      </c>
      <c r="I90" s="848">
        <v>971</v>
      </c>
      <c r="J90" s="835">
        <v>0.95</v>
      </c>
      <c r="K90" s="848">
        <v>971</v>
      </c>
      <c r="L90" s="836">
        <v>0.96</v>
      </c>
      <c r="M90" s="848">
        <v>971</v>
      </c>
      <c r="N90" s="835">
        <v>0.95</v>
      </c>
      <c r="O90" s="848">
        <v>971</v>
      </c>
      <c r="P90" s="835">
        <v>0.93</v>
      </c>
      <c r="Q90" s="838">
        <f t="shared" si="59"/>
        <v>-0.08</v>
      </c>
      <c r="R90" s="840">
        <f t="shared" si="60"/>
        <v>-0.03</v>
      </c>
      <c r="S90" s="841">
        <v>1.26</v>
      </c>
      <c r="U90" s="848">
        <f t="shared" si="55"/>
        <v>-86</v>
      </c>
      <c r="V90" s="835">
        <f t="shared" si="56"/>
        <v>-0.03</v>
      </c>
    </row>
    <row r="91" spans="1:22">
      <c r="A91" s="3436"/>
      <c r="B91" s="931" t="s">
        <v>560</v>
      </c>
      <c r="C91" s="972">
        <v>0</v>
      </c>
      <c r="D91" s="836">
        <f t="shared" si="58"/>
        <v>0</v>
      </c>
      <c r="E91" s="848">
        <v>0</v>
      </c>
      <c r="F91" s="835">
        <v>0</v>
      </c>
      <c r="G91" s="848">
        <v>0</v>
      </c>
      <c r="H91" s="836">
        <v>0</v>
      </c>
      <c r="I91" s="848">
        <v>0</v>
      </c>
      <c r="J91" s="835">
        <v>0</v>
      </c>
      <c r="K91" s="848">
        <v>0</v>
      </c>
      <c r="L91" s="836">
        <v>0</v>
      </c>
      <c r="M91" s="848">
        <v>0</v>
      </c>
      <c r="N91" s="835">
        <v>0</v>
      </c>
      <c r="O91" s="848">
        <v>0</v>
      </c>
      <c r="P91" s="835">
        <v>0</v>
      </c>
      <c r="Q91" s="859" t="s">
        <v>16</v>
      </c>
      <c r="R91" s="858" t="s">
        <v>16</v>
      </c>
      <c r="S91" s="841">
        <v>0</v>
      </c>
      <c r="U91" s="848">
        <f t="shared" si="55"/>
        <v>0</v>
      </c>
      <c r="V91" s="835">
        <f t="shared" si="56"/>
        <v>0</v>
      </c>
    </row>
    <row r="92" spans="1:22">
      <c r="A92" s="3436"/>
      <c r="B92" s="931" t="s">
        <v>561</v>
      </c>
      <c r="C92" s="972">
        <v>0</v>
      </c>
      <c r="D92" s="836">
        <f t="shared" si="58"/>
        <v>0</v>
      </c>
      <c r="E92" s="848">
        <v>0</v>
      </c>
      <c r="F92" s="835">
        <v>0</v>
      </c>
      <c r="G92" s="848">
        <v>0</v>
      </c>
      <c r="H92" s="836">
        <v>0</v>
      </c>
      <c r="I92" s="848">
        <v>0</v>
      </c>
      <c r="J92" s="835">
        <v>0</v>
      </c>
      <c r="K92" s="848">
        <v>0</v>
      </c>
      <c r="L92" s="836">
        <v>0</v>
      </c>
      <c r="M92" s="848">
        <v>0</v>
      </c>
      <c r="N92" s="835">
        <v>0</v>
      </c>
      <c r="O92" s="848">
        <v>0</v>
      </c>
      <c r="P92" s="835">
        <v>0</v>
      </c>
      <c r="Q92" s="859" t="s">
        <v>16</v>
      </c>
      <c r="R92" s="858" t="s">
        <v>16</v>
      </c>
      <c r="S92" s="841">
        <v>0</v>
      </c>
      <c r="U92" s="848">
        <f t="shared" si="55"/>
        <v>0</v>
      </c>
      <c r="V92" s="835">
        <f t="shared" si="56"/>
        <v>0</v>
      </c>
    </row>
    <row r="93" spans="1:22" ht="15.75" thickBot="1">
      <c r="A93" s="3436"/>
      <c r="B93" s="932" t="s">
        <v>562</v>
      </c>
      <c r="C93" s="1880">
        <v>0</v>
      </c>
      <c r="D93" s="1881">
        <f t="shared" si="58"/>
        <v>0.28000000000000003</v>
      </c>
      <c r="E93" s="849">
        <v>0</v>
      </c>
      <c r="F93" s="1885">
        <v>0.28999999999999998</v>
      </c>
      <c r="G93" s="849">
        <v>0</v>
      </c>
      <c r="H93" s="1881">
        <f>F93</f>
        <v>0.28999999999999998</v>
      </c>
      <c r="I93" s="849">
        <v>0</v>
      </c>
      <c r="J93" s="1885">
        <f>H93</f>
        <v>0.28999999999999998</v>
      </c>
      <c r="K93" s="849">
        <v>0</v>
      </c>
      <c r="L93" s="1881">
        <f>J93</f>
        <v>0.28999999999999998</v>
      </c>
      <c r="M93" s="849">
        <v>0</v>
      </c>
      <c r="N93" s="1885">
        <f>L93</f>
        <v>0.28999999999999998</v>
      </c>
      <c r="O93" s="849">
        <v>0</v>
      </c>
      <c r="P93" s="1885">
        <v>0.28999999999999998</v>
      </c>
      <c r="Q93" s="1886" t="s">
        <v>16</v>
      </c>
      <c r="R93" s="1888">
        <f t="shared" si="60"/>
        <v>0.04</v>
      </c>
      <c r="S93" s="846">
        <v>0.28999999999999998</v>
      </c>
      <c r="U93" s="849">
        <f t="shared" si="55"/>
        <v>0</v>
      </c>
      <c r="V93" s="1885">
        <f t="shared" si="56"/>
        <v>0.01</v>
      </c>
    </row>
    <row r="94" spans="1:22" ht="16.5" thickTop="1" thickBot="1">
      <c r="A94" s="3437"/>
      <c r="B94" s="842" t="s">
        <v>18</v>
      </c>
      <c r="C94" s="973">
        <f>SUM(C84:C93)</f>
        <v>1636</v>
      </c>
      <c r="D94" s="852">
        <f>'Table 7'!E12</f>
        <v>1.82</v>
      </c>
      <c r="E94" s="850">
        <f t="shared" ref="E94:P94" si="61">SUM(E84:E93)</f>
        <v>1499</v>
      </c>
      <c r="F94" s="843">
        <f t="shared" si="61"/>
        <v>1.89</v>
      </c>
      <c r="G94" s="850">
        <f t="shared" si="61"/>
        <v>1499</v>
      </c>
      <c r="H94" s="852">
        <f t="shared" si="61"/>
        <v>1.87</v>
      </c>
      <c r="I94" s="850">
        <f t="shared" si="61"/>
        <v>1499</v>
      </c>
      <c r="J94" s="843">
        <f t="shared" si="61"/>
        <v>1.85</v>
      </c>
      <c r="K94" s="850">
        <f t="shared" si="61"/>
        <v>1499</v>
      </c>
      <c r="L94" s="852">
        <f t="shared" si="61"/>
        <v>1.88</v>
      </c>
      <c r="M94" s="850">
        <f t="shared" si="61"/>
        <v>1499</v>
      </c>
      <c r="N94" s="843">
        <f t="shared" si="61"/>
        <v>1.87</v>
      </c>
      <c r="O94" s="850">
        <f t="shared" si="61"/>
        <v>1499</v>
      </c>
      <c r="P94" s="843">
        <f t="shared" si="61"/>
        <v>1.86</v>
      </c>
      <c r="Q94" s="844">
        <f t="shared" si="59"/>
        <v>-0.08</v>
      </c>
      <c r="R94" s="845">
        <f t="shared" si="60"/>
        <v>0.02</v>
      </c>
      <c r="S94" s="855">
        <f>SUM(S84:S93)</f>
        <v>2.38</v>
      </c>
      <c r="U94" s="850">
        <f t="shared" si="55"/>
        <v>-137</v>
      </c>
      <c r="V94" s="843">
        <f t="shared" si="56"/>
        <v>0.04</v>
      </c>
    </row>
    <row r="95" spans="1:22" ht="15" customHeight="1">
      <c r="A95" s="3435" t="s">
        <v>571</v>
      </c>
      <c r="B95" s="933" t="s">
        <v>553</v>
      </c>
      <c r="C95" s="971">
        <f>C84+C73</f>
        <v>0</v>
      </c>
      <c r="D95" s="851">
        <f t="shared" ref="D95:N95" si="62">D84+D73</f>
        <v>0</v>
      </c>
      <c r="E95" s="847">
        <f t="shared" si="62"/>
        <v>0</v>
      </c>
      <c r="F95" s="853">
        <f t="shared" si="62"/>
        <v>0</v>
      </c>
      <c r="G95" s="847">
        <f t="shared" si="62"/>
        <v>0</v>
      </c>
      <c r="H95" s="851">
        <f t="shared" si="62"/>
        <v>0</v>
      </c>
      <c r="I95" s="847">
        <f t="shared" si="62"/>
        <v>0</v>
      </c>
      <c r="J95" s="853">
        <f t="shared" si="62"/>
        <v>0</v>
      </c>
      <c r="K95" s="847">
        <f t="shared" si="62"/>
        <v>0</v>
      </c>
      <c r="L95" s="851">
        <f t="shared" si="62"/>
        <v>0</v>
      </c>
      <c r="M95" s="847">
        <f t="shared" si="62"/>
        <v>0</v>
      </c>
      <c r="N95" s="853">
        <f t="shared" si="62"/>
        <v>0</v>
      </c>
      <c r="O95" s="847">
        <f t="shared" ref="O95:P95" si="63">O84+O73</f>
        <v>0</v>
      </c>
      <c r="P95" s="853">
        <f t="shared" si="63"/>
        <v>0</v>
      </c>
      <c r="Q95" s="878" t="s">
        <v>16</v>
      </c>
      <c r="R95" s="879" t="s">
        <v>16</v>
      </c>
      <c r="S95" s="854">
        <f t="shared" ref="S95:S105" si="64">S84+S73</f>
        <v>0</v>
      </c>
      <c r="U95" s="847">
        <f t="shared" si="55"/>
        <v>0</v>
      </c>
      <c r="V95" s="853">
        <f t="shared" si="56"/>
        <v>0</v>
      </c>
    </row>
    <row r="96" spans="1:22">
      <c r="A96" s="3436"/>
      <c r="B96" s="931" t="s">
        <v>554</v>
      </c>
      <c r="C96" s="972">
        <f t="shared" ref="C96:N97" si="65">C85+C74</f>
        <v>26</v>
      </c>
      <c r="D96" s="836">
        <f t="shared" si="65"/>
        <v>0.04</v>
      </c>
      <c r="E96" s="848">
        <f t="shared" si="65"/>
        <v>20</v>
      </c>
      <c r="F96" s="835">
        <f t="shared" si="65"/>
        <v>0.04</v>
      </c>
      <c r="G96" s="848">
        <f t="shared" si="65"/>
        <v>20</v>
      </c>
      <c r="H96" s="836">
        <f t="shared" si="65"/>
        <v>0.04</v>
      </c>
      <c r="I96" s="848">
        <f t="shared" si="65"/>
        <v>20</v>
      </c>
      <c r="J96" s="835">
        <f t="shared" si="65"/>
        <v>0.04</v>
      </c>
      <c r="K96" s="848">
        <f t="shared" si="65"/>
        <v>20</v>
      </c>
      <c r="L96" s="836">
        <f t="shared" si="65"/>
        <v>0.05</v>
      </c>
      <c r="M96" s="848">
        <f t="shared" si="65"/>
        <v>20</v>
      </c>
      <c r="N96" s="835">
        <f t="shared" si="65"/>
        <v>0.05</v>
      </c>
      <c r="O96" s="848">
        <f t="shared" ref="O96:P96" si="66">O85+O74</f>
        <v>20</v>
      </c>
      <c r="P96" s="835">
        <f t="shared" si="66"/>
        <v>0.05</v>
      </c>
      <c r="Q96" s="859">
        <f t="shared" si="59"/>
        <v>-0.23</v>
      </c>
      <c r="R96" s="858">
        <f t="shared" si="60"/>
        <v>0.25</v>
      </c>
      <c r="S96" s="841">
        <f t="shared" si="64"/>
        <v>7.0000000000000007E-2</v>
      </c>
      <c r="U96" s="848">
        <f t="shared" si="55"/>
        <v>-6</v>
      </c>
      <c r="V96" s="835">
        <f t="shared" si="56"/>
        <v>0.01</v>
      </c>
    </row>
    <row r="97" spans="1:22">
      <c r="A97" s="3436"/>
      <c r="B97" s="931" t="s">
        <v>555</v>
      </c>
      <c r="C97" s="972">
        <f t="shared" si="65"/>
        <v>0</v>
      </c>
      <c r="D97" s="836">
        <f t="shared" si="65"/>
        <v>0</v>
      </c>
      <c r="E97" s="848">
        <f t="shared" si="65"/>
        <v>0</v>
      </c>
      <c r="F97" s="835">
        <f t="shared" si="65"/>
        <v>0</v>
      </c>
      <c r="G97" s="848">
        <f t="shared" si="65"/>
        <v>0</v>
      </c>
      <c r="H97" s="836">
        <f t="shared" si="65"/>
        <v>0</v>
      </c>
      <c r="I97" s="848">
        <f t="shared" si="65"/>
        <v>0</v>
      </c>
      <c r="J97" s="835">
        <f t="shared" si="65"/>
        <v>0</v>
      </c>
      <c r="K97" s="848">
        <f t="shared" si="65"/>
        <v>0</v>
      </c>
      <c r="L97" s="836">
        <f t="shared" si="65"/>
        <v>0</v>
      </c>
      <c r="M97" s="848">
        <f t="shared" si="65"/>
        <v>0</v>
      </c>
      <c r="N97" s="835">
        <f t="shared" si="65"/>
        <v>0</v>
      </c>
      <c r="O97" s="848">
        <f t="shared" ref="O97:P97" si="67">O86+O75</f>
        <v>0</v>
      </c>
      <c r="P97" s="835">
        <f t="shared" si="67"/>
        <v>0</v>
      </c>
      <c r="Q97" s="859" t="s">
        <v>16</v>
      </c>
      <c r="R97" s="858" t="s">
        <v>16</v>
      </c>
      <c r="S97" s="841">
        <f t="shared" si="64"/>
        <v>0</v>
      </c>
      <c r="U97" s="848">
        <f t="shared" si="55"/>
        <v>0</v>
      </c>
      <c r="V97" s="835">
        <f t="shared" si="56"/>
        <v>0</v>
      </c>
    </row>
    <row r="98" spans="1:22">
      <c r="A98" s="3436"/>
      <c r="B98" s="931" t="s">
        <v>556</v>
      </c>
      <c r="C98" s="972">
        <f t="shared" ref="C98:N98" si="68">C87+C76</f>
        <v>306</v>
      </c>
      <c r="D98" s="836">
        <f t="shared" si="68"/>
        <v>0.39</v>
      </c>
      <c r="E98" s="848">
        <f t="shared" si="68"/>
        <v>306</v>
      </c>
      <c r="F98" s="835">
        <f t="shared" si="68"/>
        <v>0.41</v>
      </c>
      <c r="G98" s="848">
        <f t="shared" si="68"/>
        <v>306</v>
      </c>
      <c r="H98" s="836">
        <f t="shared" si="68"/>
        <v>0.41</v>
      </c>
      <c r="I98" s="848">
        <f t="shared" si="68"/>
        <v>306</v>
      </c>
      <c r="J98" s="835">
        <f t="shared" si="68"/>
        <v>0.42</v>
      </c>
      <c r="K98" s="848">
        <f t="shared" si="68"/>
        <v>306</v>
      </c>
      <c r="L98" s="836">
        <f t="shared" si="68"/>
        <v>0.42</v>
      </c>
      <c r="M98" s="848">
        <f t="shared" si="68"/>
        <v>306</v>
      </c>
      <c r="N98" s="835">
        <f t="shared" si="68"/>
        <v>0.42</v>
      </c>
      <c r="O98" s="848">
        <f t="shared" ref="O98:P98" si="69">O87+O76</f>
        <v>306</v>
      </c>
      <c r="P98" s="835">
        <f t="shared" si="69"/>
        <v>0.43</v>
      </c>
      <c r="Q98" s="859">
        <f t="shared" si="59"/>
        <v>0</v>
      </c>
      <c r="R98" s="858">
        <f t="shared" si="60"/>
        <v>0.1</v>
      </c>
      <c r="S98" s="841">
        <f t="shared" si="64"/>
        <v>0.56000000000000005</v>
      </c>
      <c r="U98" s="848">
        <f t="shared" si="55"/>
        <v>0</v>
      </c>
      <c r="V98" s="835">
        <f t="shared" si="56"/>
        <v>0.04</v>
      </c>
    </row>
    <row r="99" spans="1:22">
      <c r="A99" s="3436"/>
      <c r="B99" s="931" t="s">
        <v>557</v>
      </c>
      <c r="C99" s="972">
        <f t="shared" ref="C99:N99" si="70">C88+C77</f>
        <v>245</v>
      </c>
      <c r="D99" s="836">
        <f t="shared" si="70"/>
        <v>0.14000000000000001</v>
      </c>
      <c r="E99" s="848">
        <f t="shared" si="70"/>
        <v>200</v>
      </c>
      <c r="F99" s="835">
        <f t="shared" si="70"/>
        <v>0.15</v>
      </c>
      <c r="G99" s="848">
        <f t="shared" si="70"/>
        <v>200</v>
      </c>
      <c r="H99" s="836">
        <f t="shared" si="70"/>
        <v>0.15</v>
      </c>
      <c r="I99" s="848">
        <f t="shared" si="70"/>
        <v>200</v>
      </c>
      <c r="J99" s="835">
        <f t="shared" si="70"/>
        <v>0.15</v>
      </c>
      <c r="K99" s="848">
        <f t="shared" si="70"/>
        <v>200</v>
      </c>
      <c r="L99" s="836">
        <f t="shared" si="70"/>
        <v>0.16</v>
      </c>
      <c r="M99" s="848">
        <f t="shared" si="70"/>
        <v>200</v>
      </c>
      <c r="N99" s="835">
        <f t="shared" si="70"/>
        <v>0.16</v>
      </c>
      <c r="O99" s="848">
        <f t="shared" ref="O99:P99" si="71">O88+O77</f>
        <v>200</v>
      </c>
      <c r="P99" s="835">
        <f t="shared" si="71"/>
        <v>0.16</v>
      </c>
      <c r="Q99" s="859">
        <f t="shared" si="59"/>
        <v>-0.18</v>
      </c>
      <c r="R99" s="858">
        <f t="shared" si="60"/>
        <v>0.14000000000000001</v>
      </c>
      <c r="S99" s="841">
        <f t="shared" si="64"/>
        <v>0.2</v>
      </c>
      <c r="U99" s="848">
        <f t="shared" si="55"/>
        <v>-45</v>
      </c>
      <c r="V99" s="835">
        <f t="shared" si="56"/>
        <v>0.02</v>
      </c>
    </row>
    <row r="100" spans="1:22">
      <c r="A100" s="3436"/>
      <c r="B100" s="931" t="s">
        <v>558</v>
      </c>
      <c r="C100" s="972">
        <f t="shared" ref="C100:N101" si="72">C89+C78</f>
        <v>2</v>
      </c>
      <c r="D100" s="836">
        <f t="shared" si="72"/>
        <v>0</v>
      </c>
      <c r="E100" s="848">
        <f t="shared" si="72"/>
        <v>2</v>
      </c>
      <c r="F100" s="835">
        <f t="shared" si="72"/>
        <v>0</v>
      </c>
      <c r="G100" s="848">
        <f t="shared" si="72"/>
        <v>2</v>
      </c>
      <c r="H100" s="836">
        <f t="shared" si="72"/>
        <v>0</v>
      </c>
      <c r="I100" s="848">
        <f t="shared" si="72"/>
        <v>2</v>
      </c>
      <c r="J100" s="835">
        <f t="shared" si="72"/>
        <v>0</v>
      </c>
      <c r="K100" s="848">
        <f t="shared" si="72"/>
        <v>2</v>
      </c>
      <c r="L100" s="836">
        <f t="shared" si="72"/>
        <v>0</v>
      </c>
      <c r="M100" s="848">
        <f t="shared" si="72"/>
        <v>2</v>
      </c>
      <c r="N100" s="835">
        <f t="shared" si="72"/>
        <v>0</v>
      </c>
      <c r="O100" s="848">
        <f t="shared" ref="O100:P100" si="73">O89+O78</f>
        <v>2</v>
      </c>
      <c r="P100" s="835">
        <f t="shared" si="73"/>
        <v>0</v>
      </c>
      <c r="Q100" s="859">
        <f t="shared" si="59"/>
        <v>0</v>
      </c>
      <c r="R100" s="858" t="s">
        <v>16</v>
      </c>
      <c r="S100" s="841">
        <f t="shared" si="64"/>
        <v>0</v>
      </c>
      <c r="U100" s="848">
        <f t="shared" si="55"/>
        <v>0</v>
      </c>
      <c r="V100" s="835">
        <f t="shared" si="56"/>
        <v>0</v>
      </c>
    </row>
    <row r="101" spans="1:22">
      <c r="A101" s="3436"/>
      <c r="B101" s="931" t="s">
        <v>559</v>
      </c>
      <c r="C101" s="972">
        <f t="shared" si="72"/>
        <v>1057</v>
      </c>
      <c r="D101" s="836">
        <f t="shared" si="72"/>
        <v>0.96</v>
      </c>
      <c r="E101" s="848">
        <f t="shared" si="72"/>
        <v>971</v>
      </c>
      <c r="F101" s="835">
        <f t="shared" si="72"/>
        <v>1</v>
      </c>
      <c r="G101" s="848">
        <f t="shared" si="72"/>
        <v>971</v>
      </c>
      <c r="H101" s="836">
        <f t="shared" si="72"/>
        <v>0.98</v>
      </c>
      <c r="I101" s="848">
        <f t="shared" si="72"/>
        <v>971</v>
      </c>
      <c r="J101" s="835">
        <f t="shared" si="72"/>
        <v>0.95</v>
      </c>
      <c r="K101" s="848">
        <f t="shared" si="72"/>
        <v>971</v>
      </c>
      <c r="L101" s="836">
        <f t="shared" si="72"/>
        <v>0.96</v>
      </c>
      <c r="M101" s="848">
        <f t="shared" si="72"/>
        <v>971</v>
      </c>
      <c r="N101" s="835">
        <f t="shared" si="72"/>
        <v>0.95</v>
      </c>
      <c r="O101" s="848">
        <f t="shared" ref="O101:P101" si="74">O90+O79</f>
        <v>971</v>
      </c>
      <c r="P101" s="835">
        <f t="shared" si="74"/>
        <v>0.93</v>
      </c>
      <c r="Q101" s="859">
        <f t="shared" si="59"/>
        <v>-0.08</v>
      </c>
      <c r="R101" s="858">
        <f t="shared" si="60"/>
        <v>-0.03</v>
      </c>
      <c r="S101" s="841">
        <f t="shared" si="64"/>
        <v>1.26</v>
      </c>
      <c r="U101" s="848">
        <f t="shared" si="55"/>
        <v>-86</v>
      </c>
      <c r="V101" s="835">
        <f t="shared" si="56"/>
        <v>-0.03</v>
      </c>
    </row>
    <row r="102" spans="1:22">
      <c r="A102" s="3436"/>
      <c r="B102" s="931" t="s">
        <v>560</v>
      </c>
      <c r="C102" s="972">
        <f t="shared" ref="C102:N102" si="75">C91+C80</f>
        <v>0</v>
      </c>
      <c r="D102" s="836">
        <f t="shared" si="75"/>
        <v>0</v>
      </c>
      <c r="E102" s="848">
        <f t="shared" si="75"/>
        <v>0</v>
      </c>
      <c r="F102" s="835">
        <f t="shared" si="75"/>
        <v>0</v>
      </c>
      <c r="G102" s="848">
        <f t="shared" si="75"/>
        <v>0</v>
      </c>
      <c r="H102" s="836">
        <f t="shared" si="75"/>
        <v>0</v>
      </c>
      <c r="I102" s="848">
        <f t="shared" si="75"/>
        <v>0</v>
      </c>
      <c r="J102" s="835">
        <f t="shared" si="75"/>
        <v>0</v>
      </c>
      <c r="K102" s="848">
        <f t="shared" si="75"/>
        <v>0</v>
      </c>
      <c r="L102" s="836">
        <f t="shared" si="75"/>
        <v>0</v>
      </c>
      <c r="M102" s="848">
        <f t="shared" si="75"/>
        <v>0</v>
      </c>
      <c r="N102" s="835">
        <f t="shared" si="75"/>
        <v>0</v>
      </c>
      <c r="O102" s="848">
        <f t="shared" ref="O102:P102" si="76">O91+O80</f>
        <v>0</v>
      </c>
      <c r="P102" s="835">
        <f t="shared" si="76"/>
        <v>0</v>
      </c>
      <c r="Q102" s="859" t="s">
        <v>16</v>
      </c>
      <c r="R102" s="858" t="s">
        <v>16</v>
      </c>
      <c r="S102" s="841">
        <f t="shared" si="64"/>
        <v>0</v>
      </c>
      <c r="U102" s="848">
        <f t="shared" si="55"/>
        <v>0</v>
      </c>
      <c r="V102" s="835">
        <f t="shared" si="56"/>
        <v>0</v>
      </c>
    </row>
    <row r="103" spans="1:22">
      <c r="A103" s="3436"/>
      <c r="B103" s="931" t="s">
        <v>561</v>
      </c>
      <c r="C103" s="972">
        <f t="shared" ref="C103:N103" si="77">C92+C81</f>
        <v>0</v>
      </c>
      <c r="D103" s="836">
        <f t="shared" si="77"/>
        <v>0</v>
      </c>
      <c r="E103" s="848">
        <f t="shared" si="77"/>
        <v>0</v>
      </c>
      <c r="F103" s="835">
        <f t="shared" si="77"/>
        <v>0</v>
      </c>
      <c r="G103" s="848">
        <f t="shared" si="77"/>
        <v>0</v>
      </c>
      <c r="H103" s="836">
        <f t="shared" si="77"/>
        <v>0</v>
      </c>
      <c r="I103" s="848">
        <f t="shared" si="77"/>
        <v>0</v>
      </c>
      <c r="J103" s="835">
        <f t="shared" si="77"/>
        <v>0</v>
      </c>
      <c r="K103" s="848">
        <f t="shared" si="77"/>
        <v>0</v>
      </c>
      <c r="L103" s="836">
        <f t="shared" si="77"/>
        <v>0</v>
      </c>
      <c r="M103" s="848">
        <f t="shared" si="77"/>
        <v>0</v>
      </c>
      <c r="N103" s="835">
        <f t="shared" si="77"/>
        <v>0</v>
      </c>
      <c r="O103" s="848">
        <f t="shared" ref="O103:P103" si="78">O92+O81</f>
        <v>0</v>
      </c>
      <c r="P103" s="835">
        <f t="shared" si="78"/>
        <v>0</v>
      </c>
      <c r="Q103" s="859" t="s">
        <v>16</v>
      </c>
      <c r="R103" s="858" t="s">
        <v>16</v>
      </c>
      <c r="S103" s="841">
        <f t="shared" si="64"/>
        <v>0</v>
      </c>
      <c r="U103" s="848">
        <f t="shared" si="55"/>
        <v>0</v>
      </c>
      <c r="V103" s="835">
        <f t="shared" si="56"/>
        <v>0</v>
      </c>
    </row>
    <row r="104" spans="1:22" ht="15.75" thickBot="1">
      <c r="A104" s="3436"/>
      <c r="B104" s="932" t="s">
        <v>562</v>
      </c>
      <c r="C104" s="1880">
        <f t="shared" ref="C104:N104" si="79">C93+C82</f>
        <v>0</v>
      </c>
      <c r="D104" s="1881">
        <f t="shared" si="79"/>
        <v>0.28000000000000003</v>
      </c>
      <c r="E104" s="849">
        <f t="shared" si="79"/>
        <v>0</v>
      </c>
      <c r="F104" s="1885">
        <f t="shared" si="79"/>
        <v>0.28999999999999998</v>
      </c>
      <c r="G104" s="849">
        <f t="shared" si="79"/>
        <v>0</v>
      </c>
      <c r="H104" s="1881">
        <f t="shared" si="79"/>
        <v>0.28999999999999998</v>
      </c>
      <c r="I104" s="849">
        <f t="shared" si="79"/>
        <v>0</v>
      </c>
      <c r="J104" s="1885">
        <f t="shared" si="79"/>
        <v>0.28999999999999998</v>
      </c>
      <c r="K104" s="849">
        <f t="shared" si="79"/>
        <v>0</v>
      </c>
      <c r="L104" s="1881">
        <f t="shared" si="79"/>
        <v>0.28999999999999998</v>
      </c>
      <c r="M104" s="849">
        <f t="shared" si="79"/>
        <v>0</v>
      </c>
      <c r="N104" s="1885">
        <f t="shared" si="79"/>
        <v>0.28999999999999998</v>
      </c>
      <c r="O104" s="849">
        <f t="shared" ref="O104:P104" si="80">O93+O82</f>
        <v>0</v>
      </c>
      <c r="P104" s="1885">
        <f t="shared" si="80"/>
        <v>0.28999999999999998</v>
      </c>
      <c r="Q104" s="1886" t="s">
        <v>16</v>
      </c>
      <c r="R104" s="1888">
        <f t="shared" si="60"/>
        <v>0.04</v>
      </c>
      <c r="S104" s="846">
        <f t="shared" si="64"/>
        <v>0.28999999999999998</v>
      </c>
      <c r="U104" s="849">
        <f t="shared" si="55"/>
        <v>0</v>
      </c>
      <c r="V104" s="1885">
        <f t="shared" si="56"/>
        <v>0.01</v>
      </c>
    </row>
    <row r="105" spans="1:22" ht="16.5" thickTop="1" thickBot="1">
      <c r="A105" s="3437"/>
      <c r="B105" s="842" t="s">
        <v>18</v>
      </c>
      <c r="C105" s="973">
        <f t="shared" ref="C105:N105" si="81">C94+C83</f>
        <v>1636</v>
      </c>
      <c r="D105" s="852">
        <f t="shared" si="81"/>
        <v>1.82</v>
      </c>
      <c r="E105" s="850">
        <f t="shared" si="81"/>
        <v>1499</v>
      </c>
      <c r="F105" s="843">
        <f t="shared" si="81"/>
        <v>1.89</v>
      </c>
      <c r="G105" s="850">
        <f t="shared" si="81"/>
        <v>1499</v>
      </c>
      <c r="H105" s="852">
        <f t="shared" si="81"/>
        <v>1.87</v>
      </c>
      <c r="I105" s="850">
        <f t="shared" si="81"/>
        <v>1499</v>
      </c>
      <c r="J105" s="843">
        <f t="shared" si="81"/>
        <v>1.85</v>
      </c>
      <c r="K105" s="850">
        <f t="shared" si="81"/>
        <v>1499</v>
      </c>
      <c r="L105" s="852">
        <f t="shared" si="81"/>
        <v>1.88</v>
      </c>
      <c r="M105" s="850">
        <f t="shared" si="81"/>
        <v>1499</v>
      </c>
      <c r="N105" s="843">
        <f t="shared" si="81"/>
        <v>1.87</v>
      </c>
      <c r="O105" s="850">
        <f t="shared" ref="O105:P105" si="82">O94+O83</f>
        <v>1499</v>
      </c>
      <c r="P105" s="843">
        <f t="shared" si="82"/>
        <v>1.86</v>
      </c>
      <c r="Q105" s="880">
        <f t="shared" si="59"/>
        <v>-0.08</v>
      </c>
      <c r="R105" s="881">
        <f t="shared" si="60"/>
        <v>0.02</v>
      </c>
      <c r="S105" s="855">
        <f t="shared" si="64"/>
        <v>2.38</v>
      </c>
      <c r="U105" s="850">
        <f t="shared" si="55"/>
        <v>-137</v>
      </c>
      <c r="V105" s="843">
        <f t="shared" si="56"/>
        <v>0.04</v>
      </c>
    </row>
    <row r="106" spans="1:22">
      <c r="A106" s="3435" t="s">
        <v>120</v>
      </c>
      <c r="B106" s="933" t="s">
        <v>553</v>
      </c>
      <c r="C106" s="971">
        <v>0</v>
      </c>
      <c r="D106" s="851">
        <f>(F106/$F$116)*$D$116</f>
        <v>0</v>
      </c>
      <c r="E106" s="847">
        <v>0</v>
      </c>
      <c r="F106" s="853">
        <v>0</v>
      </c>
      <c r="G106" s="847">
        <v>0</v>
      </c>
      <c r="H106" s="851">
        <v>0</v>
      </c>
      <c r="I106" s="847">
        <v>0</v>
      </c>
      <c r="J106" s="853">
        <v>0</v>
      </c>
      <c r="K106" s="847">
        <v>0</v>
      </c>
      <c r="L106" s="851">
        <v>0</v>
      </c>
      <c r="M106" s="847">
        <v>0</v>
      </c>
      <c r="N106" s="853">
        <v>0</v>
      </c>
      <c r="O106" s="847">
        <v>0</v>
      </c>
      <c r="P106" s="853">
        <v>0</v>
      </c>
      <c r="Q106" s="878" t="s">
        <v>16</v>
      </c>
      <c r="R106" s="879" t="s">
        <v>16</v>
      </c>
      <c r="S106" s="854">
        <v>0</v>
      </c>
      <c r="U106" s="847">
        <f t="shared" si="55"/>
        <v>0</v>
      </c>
      <c r="V106" s="853">
        <f t="shared" si="56"/>
        <v>0</v>
      </c>
    </row>
    <row r="107" spans="1:22">
      <c r="A107" s="3436"/>
      <c r="B107" s="931" t="s">
        <v>554</v>
      </c>
      <c r="C107" s="972">
        <v>0</v>
      </c>
      <c r="D107" s="836">
        <f t="shared" ref="D107:D115" si="83">(F107/$F$116)*$D$116</f>
        <v>0</v>
      </c>
      <c r="E107" s="848">
        <v>0</v>
      </c>
      <c r="F107" s="835">
        <v>0</v>
      </c>
      <c r="G107" s="848">
        <v>0</v>
      </c>
      <c r="H107" s="836">
        <v>0</v>
      </c>
      <c r="I107" s="848">
        <v>0</v>
      </c>
      <c r="J107" s="835">
        <v>0</v>
      </c>
      <c r="K107" s="848">
        <v>0</v>
      </c>
      <c r="L107" s="836">
        <v>0</v>
      </c>
      <c r="M107" s="848">
        <v>0</v>
      </c>
      <c r="N107" s="835">
        <v>0</v>
      </c>
      <c r="O107" s="848">
        <v>0</v>
      </c>
      <c r="P107" s="835">
        <v>0</v>
      </c>
      <c r="Q107" s="859" t="s">
        <v>16</v>
      </c>
      <c r="R107" s="858" t="s">
        <v>16</v>
      </c>
      <c r="S107" s="841">
        <v>0</v>
      </c>
      <c r="U107" s="848">
        <f t="shared" si="55"/>
        <v>0</v>
      </c>
      <c r="V107" s="835">
        <f t="shared" si="56"/>
        <v>0</v>
      </c>
    </row>
    <row r="108" spans="1:22">
      <c r="A108" s="3436"/>
      <c r="B108" s="931" t="s">
        <v>555</v>
      </c>
      <c r="C108" s="972">
        <v>0</v>
      </c>
      <c r="D108" s="836">
        <f t="shared" si="83"/>
        <v>0</v>
      </c>
      <c r="E108" s="848">
        <v>0</v>
      </c>
      <c r="F108" s="835">
        <v>0</v>
      </c>
      <c r="G108" s="848">
        <v>0</v>
      </c>
      <c r="H108" s="836">
        <v>0</v>
      </c>
      <c r="I108" s="848">
        <v>0</v>
      </c>
      <c r="J108" s="835">
        <v>0</v>
      </c>
      <c r="K108" s="848">
        <v>0</v>
      </c>
      <c r="L108" s="836">
        <v>0</v>
      </c>
      <c r="M108" s="848">
        <v>0</v>
      </c>
      <c r="N108" s="835">
        <v>0</v>
      </c>
      <c r="O108" s="848">
        <v>0</v>
      </c>
      <c r="P108" s="835">
        <v>0</v>
      </c>
      <c r="Q108" s="859" t="s">
        <v>16</v>
      </c>
      <c r="R108" s="858" t="s">
        <v>16</v>
      </c>
      <c r="S108" s="841">
        <v>0</v>
      </c>
      <c r="U108" s="848">
        <f t="shared" si="55"/>
        <v>0</v>
      </c>
      <c r="V108" s="835">
        <f t="shared" si="56"/>
        <v>0</v>
      </c>
    </row>
    <row r="109" spans="1:22">
      <c r="A109" s="3436"/>
      <c r="B109" s="931" t="s">
        <v>556</v>
      </c>
      <c r="C109" s="972">
        <v>0</v>
      </c>
      <c r="D109" s="836">
        <f t="shared" si="83"/>
        <v>0</v>
      </c>
      <c r="E109" s="848">
        <v>0</v>
      </c>
      <c r="F109" s="835">
        <v>0</v>
      </c>
      <c r="G109" s="848">
        <v>0</v>
      </c>
      <c r="H109" s="836">
        <v>0</v>
      </c>
      <c r="I109" s="848">
        <v>0</v>
      </c>
      <c r="J109" s="835">
        <v>0</v>
      </c>
      <c r="K109" s="848">
        <v>0</v>
      </c>
      <c r="L109" s="836">
        <v>0</v>
      </c>
      <c r="M109" s="848">
        <v>0</v>
      </c>
      <c r="N109" s="835">
        <v>0</v>
      </c>
      <c r="O109" s="848">
        <v>0</v>
      </c>
      <c r="P109" s="835">
        <v>0</v>
      </c>
      <c r="Q109" s="859" t="s">
        <v>16</v>
      </c>
      <c r="R109" s="858" t="s">
        <v>16</v>
      </c>
      <c r="S109" s="841">
        <v>0</v>
      </c>
      <c r="U109" s="848">
        <f t="shared" si="55"/>
        <v>0</v>
      </c>
      <c r="V109" s="835">
        <f t="shared" si="56"/>
        <v>0</v>
      </c>
    </row>
    <row r="110" spans="1:22">
      <c r="A110" s="3436"/>
      <c r="B110" s="931" t="s">
        <v>557</v>
      </c>
      <c r="C110" s="972">
        <v>0</v>
      </c>
      <c r="D110" s="836">
        <f t="shared" si="83"/>
        <v>0</v>
      </c>
      <c r="E110" s="848">
        <v>0</v>
      </c>
      <c r="F110" s="835">
        <v>0</v>
      </c>
      <c r="G110" s="848">
        <v>0</v>
      </c>
      <c r="H110" s="836">
        <v>0</v>
      </c>
      <c r="I110" s="848">
        <v>0</v>
      </c>
      <c r="J110" s="835">
        <v>0</v>
      </c>
      <c r="K110" s="848">
        <v>0</v>
      </c>
      <c r="L110" s="836">
        <v>0</v>
      </c>
      <c r="M110" s="848">
        <v>0</v>
      </c>
      <c r="N110" s="835">
        <v>0</v>
      </c>
      <c r="O110" s="848">
        <v>0</v>
      </c>
      <c r="P110" s="835">
        <v>0</v>
      </c>
      <c r="Q110" s="859" t="s">
        <v>16</v>
      </c>
      <c r="R110" s="858" t="s">
        <v>16</v>
      </c>
      <c r="S110" s="841">
        <v>0</v>
      </c>
      <c r="U110" s="848">
        <f t="shared" si="55"/>
        <v>0</v>
      </c>
      <c r="V110" s="835">
        <f t="shared" si="56"/>
        <v>0</v>
      </c>
    </row>
    <row r="111" spans="1:22">
      <c r="A111" s="3436"/>
      <c r="B111" s="931" t="s">
        <v>558</v>
      </c>
      <c r="C111" s="972">
        <v>450</v>
      </c>
      <c r="D111" s="836">
        <f t="shared" si="83"/>
        <v>0.97</v>
      </c>
      <c r="E111" s="848">
        <v>437</v>
      </c>
      <c r="F111" s="835">
        <v>1.08</v>
      </c>
      <c r="G111" s="848">
        <v>437</v>
      </c>
      <c r="H111" s="836">
        <v>1.1000000000000001</v>
      </c>
      <c r="I111" s="848">
        <v>437</v>
      </c>
      <c r="J111" s="835">
        <v>1.1000000000000001</v>
      </c>
      <c r="K111" s="848">
        <v>437</v>
      </c>
      <c r="L111" s="836">
        <v>1.1200000000000001</v>
      </c>
      <c r="M111" s="848">
        <v>437</v>
      </c>
      <c r="N111" s="835">
        <v>1.1399999999999999</v>
      </c>
      <c r="O111" s="848">
        <v>437</v>
      </c>
      <c r="P111" s="835">
        <v>1.1599999999999999</v>
      </c>
      <c r="Q111" s="859">
        <f t="shared" si="59"/>
        <v>-0.03</v>
      </c>
      <c r="R111" s="858">
        <f t="shared" si="60"/>
        <v>0.2</v>
      </c>
      <c r="S111" s="841">
        <v>1.32</v>
      </c>
      <c r="U111" s="848">
        <f t="shared" si="55"/>
        <v>-13</v>
      </c>
      <c r="V111" s="835">
        <f t="shared" si="56"/>
        <v>0.19</v>
      </c>
    </row>
    <row r="112" spans="1:22">
      <c r="A112" s="3436"/>
      <c r="B112" s="931" t="s">
        <v>559</v>
      </c>
      <c r="C112" s="972">
        <v>277</v>
      </c>
      <c r="D112" s="836">
        <f t="shared" si="83"/>
        <v>0.21</v>
      </c>
      <c r="E112" s="848">
        <v>277</v>
      </c>
      <c r="F112" s="835">
        <v>0.23</v>
      </c>
      <c r="G112" s="848">
        <v>277</v>
      </c>
      <c r="H112" s="836">
        <v>0.22</v>
      </c>
      <c r="I112" s="848">
        <v>277</v>
      </c>
      <c r="J112" s="835">
        <v>0.22</v>
      </c>
      <c r="K112" s="848">
        <v>277</v>
      </c>
      <c r="L112" s="836">
        <v>0.21</v>
      </c>
      <c r="M112" s="848">
        <v>277</v>
      </c>
      <c r="N112" s="835">
        <v>0.21</v>
      </c>
      <c r="O112" s="848">
        <v>277</v>
      </c>
      <c r="P112" s="835">
        <v>0.21</v>
      </c>
      <c r="Q112" s="859">
        <f t="shared" si="59"/>
        <v>0</v>
      </c>
      <c r="R112" s="858">
        <f t="shared" si="60"/>
        <v>0</v>
      </c>
      <c r="S112" s="841">
        <v>0.34</v>
      </c>
      <c r="U112" s="848">
        <f t="shared" si="55"/>
        <v>0</v>
      </c>
      <c r="V112" s="835">
        <f t="shared" si="56"/>
        <v>0</v>
      </c>
    </row>
    <row r="113" spans="1:22">
      <c r="A113" s="3436"/>
      <c r="B113" s="931" t="s">
        <v>560</v>
      </c>
      <c r="C113" s="972">
        <v>0</v>
      </c>
      <c r="D113" s="836">
        <f t="shared" si="83"/>
        <v>0</v>
      </c>
      <c r="E113" s="848">
        <v>0</v>
      </c>
      <c r="F113" s="835">
        <v>0</v>
      </c>
      <c r="G113" s="848">
        <v>0</v>
      </c>
      <c r="H113" s="836">
        <v>0</v>
      </c>
      <c r="I113" s="848">
        <v>0</v>
      </c>
      <c r="J113" s="835">
        <v>0</v>
      </c>
      <c r="K113" s="848">
        <v>0</v>
      </c>
      <c r="L113" s="836">
        <v>0</v>
      </c>
      <c r="M113" s="848">
        <v>0</v>
      </c>
      <c r="N113" s="835">
        <v>0</v>
      </c>
      <c r="O113" s="848">
        <v>0</v>
      </c>
      <c r="P113" s="835">
        <v>0</v>
      </c>
      <c r="Q113" s="859" t="s">
        <v>16</v>
      </c>
      <c r="R113" s="858" t="s">
        <v>16</v>
      </c>
      <c r="S113" s="841">
        <v>0</v>
      </c>
      <c r="U113" s="848">
        <f t="shared" si="55"/>
        <v>0</v>
      </c>
      <c r="V113" s="835">
        <f t="shared" si="56"/>
        <v>0</v>
      </c>
    </row>
    <row r="114" spans="1:22">
      <c r="A114" s="3436"/>
      <c r="B114" s="931" t="s">
        <v>561</v>
      </c>
      <c r="C114" s="972">
        <v>0</v>
      </c>
      <c r="D114" s="836">
        <f t="shared" si="83"/>
        <v>0</v>
      </c>
      <c r="E114" s="848">
        <v>0</v>
      </c>
      <c r="F114" s="835">
        <v>0</v>
      </c>
      <c r="G114" s="848">
        <v>0</v>
      </c>
      <c r="H114" s="836">
        <v>0</v>
      </c>
      <c r="I114" s="848">
        <v>0</v>
      </c>
      <c r="J114" s="835">
        <v>0</v>
      </c>
      <c r="K114" s="848">
        <v>0</v>
      </c>
      <c r="L114" s="836">
        <v>0</v>
      </c>
      <c r="M114" s="848">
        <v>0</v>
      </c>
      <c r="N114" s="835">
        <v>0</v>
      </c>
      <c r="O114" s="848">
        <v>0</v>
      </c>
      <c r="P114" s="835">
        <v>0</v>
      </c>
      <c r="Q114" s="859" t="s">
        <v>16</v>
      </c>
      <c r="R114" s="858" t="s">
        <v>16</v>
      </c>
      <c r="S114" s="841">
        <v>0</v>
      </c>
      <c r="U114" s="848">
        <f t="shared" si="55"/>
        <v>0</v>
      </c>
      <c r="V114" s="835">
        <f t="shared" si="56"/>
        <v>0</v>
      </c>
    </row>
    <row r="115" spans="1:22" ht="15.75" thickBot="1">
      <c r="A115" s="3436"/>
      <c r="B115" s="932" t="s">
        <v>562</v>
      </c>
      <c r="C115" s="1880">
        <v>0</v>
      </c>
      <c r="D115" s="1881">
        <f t="shared" si="83"/>
        <v>0.05</v>
      </c>
      <c r="E115" s="849">
        <v>0</v>
      </c>
      <c r="F115" s="1885">
        <v>0.06</v>
      </c>
      <c r="G115" s="849">
        <v>0</v>
      </c>
      <c r="H115" s="1881">
        <f>F115</f>
        <v>0.06</v>
      </c>
      <c r="I115" s="849">
        <v>0</v>
      </c>
      <c r="J115" s="1885">
        <f>H115</f>
        <v>0.06</v>
      </c>
      <c r="K115" s="849">
        <v>0</v>
      </c>
      <c r="L115" s="1881">
        <f>J115</f>
        <v>0.06</v>
      </c>
      <c r="M115" s="849">
        <v>0</v>
      </c>
      <c r="N115" s="1885">
        <f>L115</f>
        <v>0.06</v>
      </c>
      <c r="O115" s="849">
        <v>0</v>
      </c>
      <c r="P115" s="1885">
        <v>0.06</v>
      </c>
      <c r="Q115" s="1886" t="s">
        <v>16</v>
      </c>
      <c r="R115" s="1888">
        <f t="shared" si="60"/>
        <v>0.2</v>
      </c>
      <c r="S115" s="846">
        <f>N115</f>
        <v>0.06</v>
      </c>
      <c r="U115" s="849">
        <f t="shared" si="55"/>
        <v>0</v>
      </c>
      <c r="V115" s="1885">
        <f t="shared" si="56"/>
        <v>0.01</v>
      </c>
    </row>
    <row r="116" spans="1:22" ht="16.5" thickTop="1" thickBot="1">
      <c r="A116" s="3437"/>
      <c r="B116" s="842" t="s">
        <v>18</v>
      </c>
      <c r="C116" s="973">
        <f>SUM(C106:C115)</f>
        <v>727</v>
      </c>
      <c r="D116" s="852">
        <f>'Table 7'!E14</f>
        <v>1.23</v>
      </c>
      <c r="E116" s="850">
        <f t="shared" ref="E116:P116" si="84">SUM(E106:E115)</f>
        <v>714</v>
      </c>
      <c r="F116" s="843">
        <f t="shared" si="84"/>
        <v>1.37</v>
      </c>
      <c r="G116" s="850">
        <f t="shared" si="84"/>
        <v>714</v>
      </c>
      <c r="H116" s="852">
        <f t="shared" si="84"/>
        <v>1.38</v>
      </c>
      <c r="I116" s="850">
        <f t="shared" si="84"/>
        <v>714</v>
      </c>
      <c r="J116" s="843">
        <f t="shared" si="84"/>
        <v>1.38</v>
      </c>
      <c r="K116" s="850">
        <f t="shared" si="84"/>
        <v>714</v>
      </c>
      <c r="L116" s="852">
        <f t="shared" si="84"/>
        <v>1.39</v>
      </c>
      <c r="M116" s="850">
        <f t="shared" si="84"/>
        <v>714</v>
      </c>
      <c r="N116" s="843">
        <f t="shared" si="84"/>
        <v>1.41</v>
      </c>
      <c r="O116" s="850">
        <f t="shared" si="84"/>
        <v>714</v>
      </c>
      <c r="P116" s="843">
        <f t="shared" si="84"/>
        <v>1.43</v>
      </c>
      <c r="Q116" s="880">
        <f t="shared" si="59"/>
        <v>-0.02</v>
      </c>
      <c r="R116" s="881">
        <f t="shared" si="60"/>
        <v>0.16</v>
      </c>
      <c r="S116" s="855">
        <f>SUM(S106:S115)</f>
        <v>1.72</v>
      </c>
      <c r="U116" s="850">
        <f t="shared" si="55"/>
        <v>-13</v>
      </c>
      <c r="V116" s="843">
        <f t="shared" si="56"/>
        <v>0.2</v>
      </c>
    </row>
    <row r="117" spans="1:22">
      <c r="A117" s="3435" t="s">
        <v>130</v>
      </c>
      <c r="B117" s="933" t="s">
        <v>553</v>
      </c>
      <c r="C117" s="971">
        <v>0</v>
      </c>
      <c r="D117" s="851">
        <f>(F117/$F$127)*$D$127</f>
        <v>0</v>
      </c>
      <c r="E117" s="847">
        <v>0</v>
      </c>
      <c r="F117" s="853">
        <v>0</v>
      </c>
      <c r="G117" s="847">
        <v>0</v>
      </c>
      <c r="H117" s="851">
        <v>0</v>
      </c>
      <c r="I117" s="847">
        <v>0</v>
      </c>
      <c r="J117" s="853">
        <v>0</v>
      </c>
      <c r="K117" s="847">
        <v>0</v>
      </c>
      <c r="L117" s="851">
        <v>0</v>
      </c>
      <c r="M117" s="847">
        <v>0</v>
      </c>
      <c r="N117" s="853">
        <v>0</v>
      </c>
      <c r="O117" s="847">
        <v>0</v>
      </c>
      <c r="P117" s="853">
        <v>0</v>
      </c>
      <c r="Q117" s="878" t="s">
        <v>16</v>
      </c>
      <c r="R117" s="879" t="s">
        <v>16</v>
      </c>
      <c r="S117" s="854">
        <v>0</v>
      </c>
      <c r="U117" s="847">
        <f t="shared" si="55"/>
        <v>0</v>
      </c>
      <c r="V117" s="853">
        <f t="shared" si="56"/>
        <v>0</v>
      </c>
    </row>
    <row r="118" spans="1:22">
      <c r="A118" s="3436"/>
      <c r="B118" s="931" t="s">
        <v>554</v>
      </c>
      <c r="C118" s="972">
        <v>15</v>
      </c>
      <c r="D118" s="836">
        <f t="shared" ref="D118:D126" si="85">(F118/$F$127)*$D$127</f>
        <v>0.28999999999999998</v>
      </c>
      <c r="E118" s="848">
        <v>141</v>
      </c>
      <c r="F118" s="835">
        <v>0.27</v>
      </c>
      <c r="G118" s="848">
        <v>221</v>
      </c>
      <c r="H118" s="836">
        <v>0.41</v>
      </c>
      <c r="I118" s="848">
        <v>307</v>
      </c>
      <c r="J118" s="835">
        <v>0.56000000000000005</v>
      </c>
      <c r="K118" s="848">
        <v>427</v>
      </c>
      <c r="L118" s="836">
        <v>0.78</v>
      </c>
      <c r="M118" s="848">
        <v>536</v>
      </c>
      <c r="N118" s="835">
        <v>0.97</v>
      </c>
      <c r="O118" s="848">
        <v>611</v>
      </c>
      <c r="P118" s="835">
        <v>1.1100000000000001</v>
      </c>
      <c r="Q118" s="859">
        <f t="shared" ref="Q118:Q127" si="86">(O118-C118)/C118</f>
        <v>39.729999999999997</v>
      </c>
      <c r="R118" s="858">
        <f t="shared" ref="R118:R127" si="87">(P118-D118)/D118</f>
        <v>2.83</v>
      </c>
      <c r="S118" s="841">
        <v>1.56</v>
      </c>
      <c r="U118" s="848">
        <f t="shared" si="55"/>
        <v>596</v>
      </c>
      <c r="V118" s="835">
        <f t="shared" si="56"/>
        <v>0.82</v>
      </c>
    </row>
    <row r="119" spans="1:22">
      <c r="A119" s="3436"/>
      <c r="B119" s="931" t="s">
        <v>555</v>
      </c>
      <c r="C119" s="972">
        <v>0</v>
      </c>
      <c r="D119" s="836">
        <f t="shared" si="85"/>
        <v>0.03</v>
      </c>
      <c r="E119" s="848">
        <v>26</v>
      </c>
      <c r="F119" s="835">
        <v>0.03</v>
      </c>
      <c r="G119" s="848">
        <v>40</v>
      </c>
      <c r="H119" s="836">
        <v>0.05</v>
      </c>
      <c r="I119" s="848">
        <v>82</v>
      </c>
      <c r="J119" s="835">
        <v>0.09</v>
      </c>
      <c r="K119" s="848">
        <v>109</v>
      </c>
      <c r="L119" s="836">
        <v>0.12</v>
      </c>
      <c r="M119" s="848">
        <v>117</v>
      </c>
      <c r="N119" s="835">
        <v>0.13</v>
      </c>
      <c r="O119" s="848">
        <v>117</v>
      </c>
      <c r="P119" s="835">
        <v>0.13</v>
      </c>
      <c r="Q119" s="859" t="s">
        <v>16</v>
      </c>
      <c r="R119" s="858">
        <f t="shared" si="87"/>
        <v>3.33</v>
      </c>
      <c r="S119" s="841">
        <v>0.19</v>
      </c>
      <c r="U119" s="848">
        <f t="shared" si="55"/>
        <v>117</v>
      </c>
      <c r="V119" s="835">
        <f t="shared" si="56"/>
        <v>0.1</v>
      </c>
    </row>
    <row r="120" spans="1:22">
      <c r="A120" s="3436"/>
      <c r="B120" s="931" t="s">
        <v>556</v>
      </c>
      <c r="C120" s="972">
        <v>87</v>
      </c>
      <c r="D120" s="836">
        <f t="shared" si="85"/>
        <v>0.26</v>
      </c>
      <c r="E120" s="848">
        <v>196</v>
      </c>
      <c r="F120" s="835">
        <v>0.24</v>
      </c>
      <c r="G120" s="848">
        <v>482</v>
      </c>
      <c r="H120" s="836">
        <v>0.6</v>
      </c>
      <c r="I120" s="848">
        <v>874</v>
      </c>
      <c r="J120" s="835">
        <v>1.1000000000000001</v>
      </c>
      <c r="K120" s="848">
        <v>1125</v>
      </c>
      <c r="L120" s="836">
        <v>1.42</v>
      </c>
      <c r="M120" s="848">
        <v>1469</v>
      </c>
      <c r="N120" s="835">
        <v>1.85</v>
      </c>
      <c r="O120" s="848">
        <v>1758</v>
      </c>
      <c r="P120" s="835">
        <v>2.2200000000000002</v>
      </c>
      <c r="Q120" s="859">
        <f t="shared" si="86"/>
        <v>19.21</v>
      </c>
      <c r="R120" s="858">
        <f t="shared" si="87"/>
        <v>7.54</v>
      </c>
      <c r="S120" s="841">
        <v>2.91</v>
      </c>
      <c r="U120" s="848">
        <f t="shared" si="55"/>
        <v>1671</v>
      </c>
      <c r="V120" s="835">
        <f t="shared" si="56"/>
        <v>1.96</v>
      </c>
    </row>
    <row r="121" spans="1:22">
      <c r="A121" s="3436"/>
      <c r="B121" s="931" t="s">
        <v>557</v>
      </c>
      <c r="C121" s="972">
        <v>3196</v>
      </c>
      <c r="D121" s="836">
        <f t="shared" si="85"/>
        <v>2.59</v>
      </c>
      <c r="E121" s="848">
        <v>3232</v>
      </c>
      <c r="F121" s="835">
        <v>2.41</v>
      </c>
      <c r="G121" s="848">
        <v>3447</v>
      </c>
      <c r="H121" s="836">
        <v>2.59</v>
      </c>
      <c r="I121" s="848">
        <v>3617</v>
      </c>
      <c r="J121" s="835">
        <v>2.74</v>
      </c>
      <c r="K121" s="848">
        <v>4000</v>
      </c>
      <c r="L121" s="836">
        <v>3.06</v>
      </c>
      <c r="M121" s="848">
        <v>4175</v>
      </c>
      <c r="N121" s="835">
        <v>3.22</v>
      </c>
      <c r="O121" s="848">
        <v>4372</v>
      </c>
      <c r="P121" s="835">
        <v>3.4</v>
      </c>
      <c r="Q121" s="859">
        <f t="shared" si="86"/>
        <v>0.37</v>
      </c>
      <c r="R121" s="858">
        <f t="shared" si="87"/>
        <v>0.31</v>
      </c>
      <c r="S121" s="841">
        <v>4.3099999999999996</v>
      </c>
      <c r="U121" s="848">
        <f t="shared" si="55"/>
        <v>1176</v>
      </c>
      <c r="V121" s="835">
        <f t="shared" si="56"/>
        <v>0.81</v>
      </c>
    </row>
    <row r="122" spans="1:22">
      <c r="A122" s="3436"/>
      <c r="B122" s="931" t="s">
        <v>558</v>
      </c>
      <c r="C122" s="972">
        <v>201</v>
      </c>
      <c r="D122" s="836">
        <f t="shared" si="85"/>
        <v>0.61</v>
      </c>
      <c r="E122" s="848">
        <v>232</v>
      </c>
      <c r="F122" s="835">
        <v>0.56999999999999995</v>
      </c>
      <c r="G122" s="848">
        <v>415</v>
      </c>
      <c r="H122" s="836">
        <v>0.97</v>
      </c>
      <c r="I122" s="848">
        <v>415</v>
      </c>
      <c r="J122" s="835">
        <v>0.97</v>
      </c>
      <c r="K122" s="848">
        <v>437</v>
      </c>
      <c r="L122" s="836">
        <v>1.02</v>
      </c>
      <c r="M122" s="848">
        <v>591</v>
      </c>
      <c r="N122" s="835">
        <v>1.36</v>
      </c>
      <c r="O122" s="848">
        <v>771</v>
      </c>
      <c r="P122" s="835">
        <v>1.76</v>
      </c>
      <c r="Q122" s="859">
        <f t="shared" si="86"/>
        <v>2.84</v>
      </c>
      <c r="R122" s="858">
        <f t="shared" si="87"/>
        <v>1.89</v>
      </c>
      <c r="S122" s="841">
        <v>1.99</v>
      </c>
      <c r="U122" s="848">
        <f t="shared" si="55"/>
        <v>570</v>
      </c>
      <c r="V122" s="835">
        <f t="shared" si="56"/>
        <v>1.1499999999999999</v>
      </c>
    </row>
    <row r="123" spans="1:22">
      <c r="A123" s="3436"/>
      <c r="B123" s="931" t="s">
        <v>559</v>
      </c>
      <c r="C123" s="972">
        <v>383</v>
      </c>
      <c r="D123" s="836">
        <f t="shared" si="85"/>
        <v>0.5</v>
      </c>
      <c r="E123" s="848">
        <v>463</v>
      </c>
      <c r="F123" s="835">
        <v>0.47</v>
      </c>
      <c r="G123" s="848">
        <v>524</v>
      </c>
      <c r="H123" s="836">
        <v>0.5</v>
      </c>
      <c r="I123" s="848">
        <v>678</v>
      </c>
      <c r="J123" s="835">
        <v>0.6</v>
      </c>
      <c r="K123" s="848">
        <v>684</v>
      </c>
      <c r="L123" s="836">
        <v>0.6</v>
      </c>
      <c r="M123" s="848">
        <v>702</v>
      </c>
      <c r="N123" s="835">
        <v>0.61</v>
      </c>
      <c r="O123" s="848">
        <v>792</v>
      </c>
      <c r="P123" s="835">
        <v>0.67</v>
      </c>
      <c r="Q123" s="859">
        <f t="shared" si="86"/>
        <v>1.07</v>
      </c>
      <c r="R123" s="858">
        <f t="shared" si="87"/>
        <v>0.34</v>
      </c>
      <c r="S123" s="841">
        <v>0.91</v>
      </c>
      <c r="U123" s="848">
        <f t="shared" si="55"/>
        <v>409</v>
      </c>
      <c r="V123" s="835">
        <f t="shared" si="56"/>
        <v>0.17</v>
      </c>
    </row>
    <row r="124" spans="1:22">
      <c r="A124" s="3436"/>
      <c r="B124" s="931" t="s">
        <v>560</v>
      </c>
      <c r="C124" s="972">
        <v>0</v>
      </c>
      <c r="D124" s="836">
        <f t="shared" si="85"/>
        <v>0</v>
      </c>
      <c r="E124" s="848">
        <v>0</v>
      </c>
      <c r="F124" s="835">
        <v>0</v>
      </c>
      <c r="G124" s="848">
        <v>0</v>
      </c>
      <c r="H124" s="836">
        <v>0</v>
      </c>
      <c r="I124" s="848">
        <v>0</v>
      </c>
      <c r="J124" s="835">
        <v>0</v>
      </c>
      <c r="K124" s="848">
        <v>0</v>
      </c>
      <c r="L124" s="836">
        <v>0</v>
      </c>
      <c r="M124" s="848">
        <v>0</v>
      </c>
      <c r="N124" s="835">
        <v>0</v>
      </c>
      <c r="O124" s="848">
        <v>0</v>
      </c>
      <c r="P124" s="835">
        <v>0</v>
      </c>
      <c r="Q124" s="859" t="s">
        <v>16</v>
      </c>
      <c r="R124" s="858" t="s">
        <v>16</v>
      </c>
      <c r="S124" s="841">
        <v>0</v>
      </c>
      <c r="U124" s="848">
        <f t="shared" si="55"/>
        <v>0</v>
      </c>
      <c r="V124" s="835">
        <f t="shared" si="56"/>
        <v>0</v>
      </c>
    </row>
    <row r="125" spans="1:22">
      <c r="A125" s="3436"/>
      <c r="B125" s="931" t="s">
        <v>561</v>
      </c>
      <c r="C125" s="972">
        <v>0</v>
      </c>
      <c r="D125" s="836">
        <f t="shared" si="85"/>
        <v>0</v>
      </c>
      <c r="E125" s="848">
        <v>0</v>
      </c>
      <c r="F125" s="835">
        <v>0</v>
      </c>
      <c r="G125" s="848">
        <v>0</v>
      </c>
      <c r="H125" s="836">
        <v>0</v>
      </c>
      <c r="I125" s="848">
        <v>0</v>
      </c>
      <c r="J125" s="835">
        <v>0</v>
      </c>
      <c r="K125" s="848">
        <v>0</v>
      </c>
      <c r="L125" s="836">
        <v>0</v>
      </c>
      <c r="M125" s="848">
        <v>0</v>
      </c>
      <c r="N125" s="835">
        <v>0</v>
      </c>
      <c r="O125" s="848">
        <v>0</v>
      </c>
      <c r="P125" s="835">
        <v>0</v>
      </c>
      <c r="Q125" s="859" t="s">
        <v>16</v>
      </c>
      <c r="R125" s="858" t="s">
        <v>16</v>
      </c>
      <c r="S125" s="841">
        <v>0</v>
      </c>
      <c r="U125" s="848">
        <f t="shared" si="55"/>
        <v>0</v>
      </c>
      <c r="V125" s="835">
        <f t="shared" si="56"/>
        <v>0</v>
      </c>
    </row>
    <row r="126" spans="1:22" ht="15.75" thickBot="1">
      <c r="A126" s="3436"/>
      <c r="B126" s="932" t="s">
        <v>562</v>
      </c>
      <c r="C126" s="1880">
        <v>0</v>
      </c>
      <c r="D126" s="1881">
        <f t="shared" si="85"/>
        <v>0.38</v>
      </c>
      <c r="E126" s="849">
        <v>0</v>
      </c>
      <c r="F126" s="1885">
        <v>0.35</v>
      </c>
      <c r="G126" s="849">
        <v>0</v>
      </c>
      <c r="H126" s="1881">
        <f>F126</f>
        <v>0.35</v>
      </c>
      <c r="I126" s="849">
        <v>0</v>
      </c>
      <c r="J126" s="1885">
        <f>H126</f>
        <v>0.35</v>
      </c>
      <c r="K126" s="849">
        <v>0</v>
      </c>
      <c r="L126" s="1881">
        <f>J126</f>
        <v>0.35</v>
      </c>
      <c r="M126" s="849">
        <v>0</v>
      </c>
      <c r="N126" s="1885">
        <f>L126</f>
        <v>0.35</v>
      </c>
      <c r="O126" s="849">
        <v>0</v>
      </c>
      <c r="P126" s="1885">
        <v>0.35</v>
      </c>
      <c r="Q126" s="1886" t="s">
        <v>16</v>
      </c>
      <c r="R126" s="1888">
        <f t="shared" si="87"/>
        <v>-0.08</v>
      </c>
      <c r="S126" s="846">
        <f>N126</f>
        <v>0.35</v>
      </c>
      <c r="U126" s="849">
        <f t="shared" si="55"/>
        <v>0</v>
      </c>
      <c r="V126" s="1885">
        <f t="shared" si="56"/>
        <v>-0.03</v>
      </c>
    </row>
    <row r="127" spans="1:22" ht="16.5" thickTop="1" thickBot="1">
      <c r="A127" s="3437"/>
      <c r="B127" s="842" t="s">
        <v>18</v>
      </c>
      <c r="C127" s="973">
        <f>SUM(C117:C126)</f>
        <v>3882</v>
      </c>
      <c r="D127" s="852">
        <f>'Table 7'!E15</f>
        <v>4.66</v>
      </c>
      <c r="E127" s="850">
        <f t="shared" ref="E127:L127" si="88">SUM(E117:E126)</f>
        <v>4290</v>
      </c>
      <c r="F127" s="843">
        <f t="shared" si="88"/>
        <v>4.34</v>
      </c>
      <c r="G127" s="850">
        <f t="shared" si="88"/>
        <v>5129</v>
      </c>
      <c r="H127" s="852">
        <f t="shared" si="88"/>
        <v>5.47</v>
      </c>
      <c r="I127" s="850">
        <f t="shared" si="88"/>
        <v>5973</v>
      </c>
      <c r="J127" s="843">
        <f t="shared" si="88"/>
        <v>6.41</v>
      </c>
      <c r="K127" s="850">
        <f t="shared" si="88"/>
        <v>6782</v>
      </c>
      <c r="L127" s="852">
        <f t="shared" si="88"/>
        <v>7.35</v>
      </c>
      <c r="M127" s="850">
        <f>SUM(M117:M126)</f>
        <v>7590</v>
      </c>
      <c r="N127" s="843">
        <f>SUM(N117:N126)</f>
        <v>8.49</v>
      </c>
      <c r="O127" s="850">
        <f>SUM(O117:O126)</f>
        <v>8421</v>
      </c>
      <c r="P127" s="843">
        <f>SUM(P117:P126)</f>
        <v>9.64</v>
      </c>
      <c r="Q127" s="880">
        <f t="shared" si="86"/>
        <v>1.17</v>
      </c>
      <c r="R127" s="881">
        <f t="shared" si="87"/>
        <v>1.07</v>
      </c>
      <c r="S127" s="855">
        <f>SUM(S117:S126)</f>
        <v>12.22</v>
      </c>
      <c r="U127" s="850">
        <f t="shared" si="55"/>
        <v>4539</v>
      </c>
      <c r="V127" s="843">
        <f t="shared" si="56"/>
        <v>4.9800000000000004</v>
      </c>
    </row>
    <row r="128" spans="1:22" ht="28.5" customHeight="1" thickBot="1">
      <c r="A128" s="3224" t="s">
        <v>568</v>
      </c>
      <c r="B128" s="3224"/>
      <c r="C128" s="3224"/>
      <c r="D128" s="3224"/>
      <c r="E128" s="3224"/>
      <c r="F128" s="3224"/>
      <c r="G128" s="3224"/>
      <c r="H128" s="3224"/>
      <c r="I128" s="3224"/>
      <c r="J128" s="3224"/>
      <c r="K128" s="3224"/>
      <c r="L128" s="3224"/>
      <c r="M128" s="3224"/>
      <c r="N128" s="3224"/>
      <c r="O128" s="3224"/>
      <c r="P128" s="3224"/>
      <c r="Q128" s="3224"/>
      <c r="R128" s="3224"/>
      <c r="S128" s="3224"/>
    </row>
    <row r="129" spans="1:22" ht="29.25" customHeight="1">
      <c r="A129" s="3429" t="s">
        <v>85</v>
      </c>
      <c r="B129" s="3431" t="s">
        <v>541</v>
      </c>
      <c r="C129" s="3217" t="s">
        <v>542</v>
      </c>
      <c r="D129" s="3217"/>
      <c r="E129" s="3216" t="s">
        <v>543</v>
      </c>
      <c r="F129" s="3218"/>
      <c r="G129" s="3217" t="s">
        <v>544</v>
      </c>
      <c r="H129" s="3217"/>
      <c r="I129" s="3258" t="s">
        <v>545</v>
      </c>
      <c r="J129" s="3245"/>
      <c r="K129" s="3264" t="s">
        <v>546</v>
      </c>
      <c r="L129" s="3264"/>
      <c r="M129" s="3258" t="s">
        <v>547</v>
      </c>
      <c r="N129" s="3245"/>
      <c r="O129" s="3258" t="s">
        <v>548</v>
      </c>
      <c r="P129" s="3245"/>
      <c r="Q129" s="3264" t="s">
        <v>57</v>
      </c>
      <c r="R129" s="3264"/>
      <c r="S129" s="3433" t="s">
        <v>549</v>
      </c>
      <c r="U129" s="3258" t="s">
        <v>59</v>
      </c>
      <c r="V129" s="3245"/>
    </row>
    <row r="130" spans="1:22" ht="15.75" thickBot="1">
      <c r="A130" s="3430"/>
      <c r="B130" s="3432"/>
      <c r="C130" s="1889" t="s">
        <v>550</v>
      </c>
      <c r="D130" s="831" t="s">
        <v>551</v>
      </c>
      <c r="E130" s="832" t="s">
        <v>550</v>
      </c>
      <c r="F130" s="833" t="s">
        <v>551</v>
      </c>
      <c r="G130" s="1889" t="s">
        <v>550</v>
      </c>
      <c r="H130" s="831" t="s">
        <v>551</v>
      </c>
      <c r="I130" s="834" t="s">
        <v>550</v>
      </c>
      <c r="J130" s="833" t="s">
        <v>551</v>
      </c>
      <c r="K130" s="1890" t="s">
        <v>550</v>
      </c>
      <c r="L130" s="831" t="s">
        <v>551</v>
      </c>
      <c r="M130" s="834" t="s">
        <v>550</v>
      </c>
      <c r="N130" s="833" t="s">
        <v>551</v>
      </c>
      <c r="O130" s="834" t="s">
        <v>550</v>
      </c>
      <c r="P130" s="833" t="s">
        <v>551</v>
      </c>
      <c r="Q130" s="1891" t="s">
        <v>529</v>
      </c>
      <c r="R130" s="831" t="s">
        <v>551</v>
      </c>
      <c r="S130" s="3434"/>
      <c r="U130" s="1645" t="s">
        <v>529</v>
      </c>
      <c r="V130" s="1646" t="s">
        <v>551</v>
      </c>
    </row>
    <row r="131" spans="1:22">
      <c r="A131" s="3435" t="s">
        <v>136</v>
      </c>
      <c r="B131" s="933" t="s">
        <v>553</v>
      </c>
      <c r="C131" s="971">
        <v>0</v>
      </c>
      <c r="D131" s="974">
        <f>(F131/$F$141)*$D$141</f>
        <v>0</v>
      </c>
      <c r="E131" s="847">
        <v>0</v>
      </c>
      <c r="F131" s="853">
        <v>0</v>
      </c>
      <c r="G131" s="847">
        <v>0</v>
      </c>
      <c r="H131" s="851">
        <v>0</v>
      </c>
      <c r="I131" s="847">
        <v>0</v>
      </c>
      <c r="J131" s="853">
        <v>0</v>
      </c>
      <c r="K131" s="847">
        <v>0</v>
      </c>
      <c r="L131" s="851">
        <v>0</v>
      </c>
      <c r="M131" s="847">
        <v>0</v>
      </c>
      <c r="N131" s="853">
        <v>0</v>
      </c>
      <c r="O131" s="847">
        <v>0</v>
      </c>
      <c r="P131" s="853">
        <v>0</v>
      </c>
      <c r="Q131" s="878" t="s">
        <v>16</v>
      </c>
      <c r="R131" s="879" t="s">
        <v>16</v>
      </c>
      <c r="S131" s="854">
        <v>0</v>
      </c>
      <c r="U131" s="847">
        <f t="shared" ref="U131" si="89">O131-C131</f>
        <v>0</v>
      </c>
      <c r="V131" s="853">
        <f t="shared" ref="V131" si="90">P131-D131</f>
        <v>0</v>
      </c>
    </row>
    <row r="132" spans="1:22">
      <c r="A132" s="3436"/>
      <c r="B132" s="931" t="s">
        <v>554</v>
      </c>
      <c r="C132" s="972">
        <v>1</v>
      </c>
      <c r="D132" s="975">
        <f t="shared" ref="D132:D140" si="91">(F132/$F$141)*$D$141</f>
        <v>0</v>
      </c>
      <c r="E132" s="848">
        <v>1</v>
      </c>
      <c r="F132" s="835">
        <v>0</v>
      </c>
      <c r="G132" s="848">
        <v>1</v>
      </c>
      <c r="H132" s="836">
        <v>0</v>
      </c>
      <c r="I132" s="848">
        <v>1</v>
      </c>
      <c r="J132" s="835">
        <v>0</v>
      </c>
      <c r="K132" s="848">
        <v>1</v>
      </c>
      <c r="L132" s="836">
        <v>0</v>
      </c>
      <c r="M132" s="848">
        <v>1</v>
      </c>
      <c r="N132" s="835">
        <v>0</v>
      </c>
      <c r="O132" s="848">
        <v>1</v>
      </c>
      <c r="P132" s="835">
        <v>0</v>
      </c>
      <c r="Q132" s="859">
        <f t="shared" ref="Q132:Q185" si="92">(O132-C132)/C132</f>
        <v>0</v>
      </c>
      <c r="R132" s="858" t="s">
        <v>16</v>
      </c>
      <c r="S132" s="841">
        <v>0</v>
      </c>
      <c r="U132" s="848">
        <f t="shared" ref="U132:U185" si="93">O132-C132</f>
        <v>0</v>
      </c>
      <c r="V132" s="835">
        <f t="shared" ref="V132:V185" si="94">P132-D132</f>
        <v>0</v>
      </c>
    </row>
    <row r="133" spans="1:22">
      <c r="A133" s="3436"/>
      <c r="B133" s="931" t="s">
        <v>555</v>
      </c>
      <c r="C133" s="972">
        <v>0</v>
      </c>
      <c r="D133" s="975">
        <f t="shared" si="91"/>
        <v>0</v>
      </c>
      <c r="E133" s="848">
        <v>0</v>
      </c>
      <c r="F133" s="835">
        <v>0</v>
      </c>
      <c r="G133" s="848">
        <v>0</v>
      </c>
      <c r="H133" s="836">
        <v>0</v>
      </c>
      <c r="I133" s="848">
        <v>0</v>
      </c>
      <c r="J133" s="835">
        <v>0</v>
      </c>
      <c r="K133" s="848">
        <v>0</v>
      </c>
      <c r="L133" s="836">
        <v>0</v>
      </c>
      <c r="M133" s="848">
        <v>0</v>
      </c>
      <c r="N133" s="835">
        <v>0</v>
      </c>
      <c r="O133" s="848">
        <v>0</v>
      </c>
      <c r="P133" s="835">
        <v>0</v>
      </c>
      <c r="Q133" s="859" t="s">
        <v>16</v>
      </c>
      <c r="R133" s="858" t="s">
        <v>16</v>
      </c>
      <c r="S133" s="841">
        <v>0</v>
      </c>
      <c r="U133" s="848">
        <f t="shared" si="93"/>
        <v>0</v>
      </c>
      <c r="V133" s="835">
        <f t="shared" si="94"/>
        <v>0</v>
      </c>
    </row>
    <row r="134" spans="1:22">
      <c r="A134" s="3436"/>
      <c r="B134" s="931" t="s">
        <v>556</v>
      </c>
      <c r="C134" s="972">
        <v>0</v>
      </c>
      <c r="D134" s="975">
        <f t="shared" si="91"/>
        <v>0</v>
      </c>
      <c r="E134" s="848">
        <v>0</v>
      </c>
      <c r="F134" s="835">
        <v>0</v>
      </c>
      <c r="G134" s="848">
        <v>0</v>
      </c>
      <c r="H134" s="836">
        <v>0</v>
      </c>
      <c r="I134" s="848">
        <v>0</v>
      </c>
      <c r="J134" s="835">
        <v>0</v>
      </c>
      <c r="K134" s="848">
        <v>0</v>
      </c>
      <c r="L134" s="836">
        <v>0</v>
      </c>
      <c r="M134" s="848">
        <v>0</v>
      </c>
      <c r="N134" s="835">
        <v>0</v>
      </c>
      <c r="O134" s="848">
        <v>0</v>
      </c>
      <c r="P134" s="835">
        <v>0</v>
      </c>
      <c r="Q134" s="859" t="s">
        <v>16</v>
      </c>
      <c r="R134" s="858" t="s">
        <v>16</v>
      </c>
      <c r="S134" s="841">
        <v>0</v>
      </c>
      <c r="U134" s="848">
        <f t="shared" si="93"/>
        <v>0</v>
      </c>
      <c r="V134" s="835">
        <f t="shared" si="94"/>
        <v>0</v>
      </c>
    </row>
    <row r="135" spans="1:22">
      <c r="A135" s="3436"/>
      <c r="B135" s="931" t="s">
        <v>557</v>
      </c>
      <c r="C135" s="972">
        <v>146</v>
      </c>
      <c r="D135" s="975">
        <f t="shared" si="91"/>
        <v>0.1</v>
      </c>
      <c r="E135" s="848">
        <v>146</v>
      </c>
      <c r="F135" s="835">
        <v>0.09</v>
      </c>
      <c r="G135" s="848">
        <v>146</v>
      </c>
      <c r="H135" s="836">
        <v>0.09</v>
      </c>
      <c r="I135" s="848">
        <v>146</v>
      </c>
      <c r="J135" s="835">
        <v>0.1</v>
      </c>
      <c r="K135" s="848">
        <v>146</v>
      </c>
      <c r="L135" s="836">
        <v>0.1</v>
      </c>
      <c r="M135" s="848">
        <v>146</v>
      </c>
      <c r="N135" s="835">
        <v>0.1</v>
      </c>
      <c r="O135" s="848">
        <v>146</v>
      </c>
      <c r="P135" s="835">
        <v>0.1</v>
      </c>
      <c r="Q135" s="859">
        <f t="shared" si="92"/>
        <v>0</v>
      </c>
      <c r="R135" s="858">
        <f t="shared" ref="R135:R185" si="95">(P135-D135)/D135</f>
        <v>0</v>
      </c>
      <c r="S135" s="841">
        <v>0.15</v>
      </c>
      <c r="U135" s="848">
        <f t="shared" si="93"/>
        <v>0</v>
      </c>
      <c r="V135" s="835">
        <f t="shared" si="94"/>
        <v>0</v>
      </c>
    </row>
    <row r="136" spans="1:22">
      <c r="A136" s="3436"/>
      <c r="B136" s="931" t="s">
        <v>558</v>
      </c>
      <c r="C136" s="972">
        <v>304</v>
      </c>
      <c r="D136" s="975">
        <f t="shared" si="91"/>
        <v>0.8</v>
      </c>
      <c r="E136" s="848">
        <v>304</v>
      </c>
      <c r="F136" s="835">
        <v>0.73</v>
      </c>
      <c r="G136" s="848">
        <v>304</v>
      </c>
      <c r="H136" s="836">
        <v>0.73</v>
      </c>
      <c r="I136" s="848">
        <v>304</v>
      </c>
      <c r="J136" s="835">
        <v>0.74</v>
      </c>
      <c r="K136" s="848">
        <v>304</v>
      </c>
      <c r="L136" s="836">
        <v>0.74</v>
      </c>
      <c r="M136" s="848">
        <v>304</v>
      </c>
      <c r="N136" s="835">
        <v>0.75</v>
      </c>
      <c r="O136" s="848">
        <v>304</v>
      </c>
      <c r="P136" s="835">
        <v>0.75</v>
      </c>
      <c r="Q136" s="859">
        <f t="shared" si="92"/>
        <v>0</v>
      </c>
      <c r="R136" s="858">
        <f t="shared" si="95"/>
        <v>-0.06</v>
      </c>
      <c r="S136" s="841">
        <v>0.86</v>
      </c>
      <c r="U136" s="848">
        <f t="shared" si="93"/>
        <v>0</v>
      </c>
      <c r="V136" s="835">
        <f t="shared" si="94"/>
        <v>-0.05</v>
      </c>
    </row>
    <row r="137" spans="1:22">
      <c r="A137" s="3436"/>
      <c r="B137" s="931" t="s">
        <v>559</v>
      </c>
      <c r="C137" s="972">
        <v>0</v>
      </c>
      <c r="D137" s="975">
        <f t="shared" si="91"/>
        <v>0</v>
      </c>
      <c r="E137" s="848">
        <v>0</v>
      </c>
      <c r="F137" s="835">
        <v>0</v>
      </c>
      <c r="G137" s="848">
        <v>0</v>
      </c>
      <c r="H137" s="836">
        <v>0</v>
      </c>
      <c r="I137" s="848">
        <v>0</v>
      </c>
      <c r="J137" s="835">
        <v>0</v>
      </c>
      <c r="K137" s="848">
        <v>0</v>
      </c>
      <c r="L137" s="836">
        <v>0</v>
      </c>
      <c r="M137" s="848">
        <v>0</v>
      </c>
      <c r="N137" s="835">
        <v>0</v>
      </c>
      <c r="O137" s="848">
        <v>0</v>
      </c>
      <c r="P137" s="835">
        <v>0</v>
      </c>
      <c r="Q137" s="859" t="s">
        <v>16</v>
      </c>
      <c r="R137" s="858" t="s">
        <v>16</v>
      </c>
      <c r="S137" s="841">
        <v>0</v>
      </c>
      <c r="U137" s="848">
        <f t="shared" si="93"/>
        <v>0</v>
      </c>
      <c r="V137" s="835">
        <f t="shared" si="94"/>
        <v>0</v>
      </c>
    </row>
    <row r="138" spans="1:22">
      <c r="A138" s="3436"/>
      <c r="B138" s="931" t="s">
        <v>560</v>
      </c>
      <c r="C138" s="972">
        <v>836</v>
      </c>
      <c r="D138" s="975">
        <f t="shared" si="91"/>
        <v>0.63</v>
      </c>
      <c r="E138" s="848">
        <v>837</v>
      </c>
      <c r="F138" s="835">
        <v>0.56999999999999995</v>
      </c>
      <c r="G138" s="848">
        <v>837</v>
      </c>
      <c r="H138" s="836">
        <v>0.57999999999999996</v>
      </c>
      <c r="I138" s="848">
        <v>837</v>
      </c>
      <c r="J138" s="835">
        <v>0.56999999999999995</v>
      </c>
      <c r="K138" s="848">
        <v>837</v>
      </c>
      <c r="L138" s="836">
        <v>0.56000000000000005</v>
      </c>
      <c r="M138" s="848">
        <v>837</v>
      </c>
      <c r="N138" s="835">
        <v>0.56000000000000005</v>
      </c>
      <c r="O138" s="848">
        <v>837</v>
      </c>
      <c r="P138" s="835">
        <v>0.55000000000000004</v>
      </c>
      <c r="Q138" s="859">
        <f t="shared" si="92"/>
        <v>0</v>
      </c>
      <c r="R138" s="858">
        <f t="shared" si="95"/>
        <v>-0.13</v>
      </c>
      <c r="S138" s="841">
        <v>0.72</v>
      </c>
      <c r="U138" s="848">
        <f t="shared" si="93"/>
        <v>1</v>
      </c>
      <c r="V138" s="835">
        <f t="shared" si="94"/>
        <v>-0.08</v>
      </c>
    </row>
    <row r="139" spans="1:22">
      <c r="A139" s="3436"/>
      <c r="B139" s="931" t="s">
        <v>561</v>
      </c>
      <c r="C139" s="972">
        <v>0</v>
      </c>
      <c r="D139" s="975">
        <f t="shared" si="91"/>
        <v>0</v>
      </c>
      <c r="E139" s="848">
        <v>0</v>
      </c>
      <c r="F139" s="835">
        <v>0</v>
      </c>
      <c r="G139" s="848">
        <v>0</v>
      </c>
      <c r="H139" s="836">
        <v>0</v>
      </c>
      <c r="I139" s="848">
        <v>0</v>
      </c>
      <c r="J139" s="835">
        <v>0</v>
      </c>
      <c r="K139" s="848">
        <v>0</v>
      </c>
      <c r="L139" s="836">
        <v>0</v>
      </c>
      <c r="M139" s="848">
        <v>0</v>
      </c>
      <c r="N139" s="835">
        <v>0</v>
      </c>
      <c r="O139" s="848">
        <v>0</v>
      </c>
      <c r="P139" s="835">
        <v>0</v>
      </c>
      <c r="Q139" s="859" t="s">
        <v>16</v>
      </c>
      <c r="R139" s="858" t="s">
        <v>16</v>
      </c>
      <c r="S139" s="841">
        <v>0</v>
      </c>
      <c r="U139" s="848">
        <f t="shared" si="93"/>
        <v>0</v>
      </c>
      <c r="V139" s="835">
        <f t="shared" si="94"/>
        <v>0</v>
      </c>
    </row>
    <row r="140" spans="1:22" ht="15.75" thickBot="1">
      <c r="A140" s="3436"/>
      <c r="B140" s="932" t="s">
        <v>562</v>
      </c>
      <c r="C140" s="1880">
        <v>0</v>
      </c>
      <c r="D140" s="1882">
        <f t="shared" si="91"/>
        <v>0.23</v>
      </c>
      <c r="E140" s="849">
        <v>0</v>
      </c>
      <c r="F140" s="1885">
        <v>0.21</v>
      </c>
      <c r="G140" s="849">
        <v>0</v>
      </c>
      <c r="H140" s="1881">
        <f>F140</f>
        <v>0.21</v>
      </c>
      <c r="I140" s="849">
        <v>0</v>
      </c>
      <c r="J140" s="1885">
        <f>H140</f>
        <v>0.21</v>
      </c>
      <c r="K140" s="849">
        <v>0</v>
      </c>
      <c r="L140" s="1881">
        <f>J140</f>
        <v>0.21</v>
      </c>
      <c r="M140" s="849">
        <v>0</v>
      </c>
      <c r="N140" s="1885">
        <f>L140</f>
        <v>0.21</v>
      </c>
      <c r="O140" s="849">
        <v>0</v>
      </c>
      <c r="P140" s="1885">
        <v>0.21</v>
      </c>
      <c r="Q140" s="1886" t="s">
        <v>16</v>
      </c>
      <c r="R140" s="1888">
        <f t="shared" si="95"/>
        <v>-0.09</v>
      </c>
      <c r="S140" s="846">
        <f>N140</f>
        <v>0.21</v>
      </c>
      <c r="U140" s="849">
        <f t="shared" si="93"/>
        <v>0</v>
      </c>
      <c r="V140" s="1885">
        <f t="shared" si="94"/>
        <v>-0.02</v>
      </c>
    </row>
    <row r="141" spans="1:22" ht="16.5" thickTop="1" thickBot="1">
      <c r="A141" s="3437"/>
      <c r="B141" s="842" t="s">
        <v>18</v>
      </c>
      <c r="C141" s="973">
        <f>SUM(C131:C140)</f>
        <v>1287</v>
      </c>
      <c r="D141" s="976">
        <f>'Table 7'!E16</f>
        <v>1.76</v>
      </c>
      <c r="E141" s="850">
        <f t="shared" ref="E141:P141" si="96">SUM(E131:E140)</f>
        <v>1288</v>
      </c>
      <c r="F141" s="843">
        <f t="shared" si="96"/>
        <v>1.6</v>
      </c>
      <c r="G141" s="850">
        <f t="shared" si="96"/>
        <v>1288</v>
      </c>
      <c r="H141" s="852">
        <f t="shared" si="96"/>
        <v>1.61</v>
      </c>
      <c r="I141" s="850">
        <f t="shared" si="96"/>
        <v>1288</v>
      </c>
      <c r="J141" s="843">
        <f t="shared" si="96"/>
        <v>1.62</v>
      </c>
      <c r="K141" s="850">
        <f t="shared" si="96"/>
        <v>1288</v>
      </c>
      <c r="L141" s="852">
        <f t="shared" si="96"/>
        <v>1.61</v>
      </c>
      <c r="M141" s="850">
        <f t="shared" si="96"/>
        <v>1288</v>
      </c>
      <c r="N141" s="843">
        <f t="shared" si="96"/>
        <v>1.62</v>
      </c>
      <c r="O141" s="850">
        <f t="shared" si="96"/>
        <v>1288</v>
      </c>
      <c r="P141" s="843">
        <f t="shared" si="96"/>
        <v>1.61</v>
      </c>
      <c r="Q141" s="880">
        <f t="shared" si="92"/>
        <v>0</v>
      </c>
      <c r="R141" s="881">
        <f t="shared" si="95"/>
        <v>-0.09</v>
      </c>
      <c r="S141" s="855">
        <f>SUM(S131:S140)</f>
        <v>1.94</v>
      </c>
      <c r="U141" s="850">
        <f t="shared" si="93"/>
        <v>1</v>
      </c>
      <c r="V141" s="843">
        <f t="shared" si="94"/>
        <v>-0.15</v>
      </c>
    </row>
    <row r="142" spans="1:22">
      <c r="A142" s="3435" t="s">
        <v>153</v>
      </c>
      <c r="B142" s="933" t="s">
        <v>553</v>
      </c>
      <c r="C142" s="971">
        <v>0</v>
      </c>
      <c r="D142" s="851">
        <f>(F142/$F$152)*$D$152</f>
        <v>0</v>
      </c>
      <c r="E142" s="847">
        <v>0</v>
      </c>
      <c r="F142" s="853">
        <v>0</v>
      </c>
      <c r="G142" s="847">
        <v>0</v>
      </c>
      <c r="H142" s="851">
        <v>0</v>
      </c>
      <c r="I142" s="847">
        <v>0</v>
      </c>
      <c r="J142" s="853">
        <v>0</v>
      </c>
      <c r="K142" s="847">
        <v>0</v>
      </c>
      <c r="L142" s="851">
        <v>0</v>
      </c>
      <c r="M142" s="847">
        <v>0</v>
      </c>
      <c r="N142" s="853">
        <v>0</v>
      </c>
      <c r="O142" s="847">
        <v>0</v>
      </c>
      <c r="P142" s="853">
        <v>0</v>
      </c>
      <c r="Q142" s="878" t="s">
        <v>16</v>
      </c>
      <c r="R142" s="879" t="s">
        <v>16</v>
      </c>
      <c r="S142" s="854">
        <v>0</v>
      </c>
      <c r="U142" s="847">
        <f t="shared" si="93"/>
        <v>0</v>
      </c>
      <c r="V142" s="853">
        <f t="shared" si="94"/>
        <v>0</v>
      </c>
    </row>
    <row r="143" spans="1:22">
      <c r="A143" s="3436"/>
      <c r="B143" s="931" t="s">
        <v>554</v>
      </c>
      <c r="C143" s="972">
        <v>23</v>
      </c>
      <c r="D143" s="836">
        <f t="shared" ref="D143:D151" si="97">(F143/$F$152)*$D$152</f>
        <v>0.02</v>
      </c>
      <c r="E143" s="848">
        <v>23</v>
      </c>
      <c r="F143" s="835">
        <v>0.04</v>
      </c>
      <c r="G143" s="848">
        <v>23</v>
      </c>
      <c r="H143" s="836">
        <v>0.05</v>
      </c>
      <c r="I143" s="848">
        <v>23</v>
      </c>
      <c r="J143" s="835">
        <v>0.05</v>
      </c>
      <c r="K143" s="848">
        <v>23</v>
      </c>
      <c r="L143" s="836">
        <v>0.05</v>
      </c>
      <c r="M143" s="848">
        <v>7</v>
      </c>
      <c r="N143" s="835">
        <v>0.02</v>
      </c>
      <c r="O143" s="848">
        <v>7</v>
      </c>
      <c r="P143" s="835">
        <v>0.02</v>
      </c>
      <c r="Q143" s="859">
        <f t="shared" si="92"/>
        <v>-0.7</v>
      </c>
      <c r="R143" s="858">
        <f t="shared" si="95"/>
        <v>0</v>
      </c>
      <c r="S143" s="841">
        <v>0.03</v>
      </c>
      <c r="U143" s="848">
        <f t="shared" si="93"/>
        <v>-16</v>
      </c>
      <c r="V143" s="835">
        <f t="shared" si="94"/>
        <v>0</v>
      </c>
    </row>
    <row r="144" spans="1:22">
      <c r="A144" s="3436"/>
      <c r="B144" s="931" t="s">
        <v>555</v>
      </c>
      <c r="C144" s="972">
        <v>3492</v>
      </c>
      <c r="D144" s="836">
        <f t="shared" si="97"/>
        <v>2.82</v>
      </c>
      <c r="E144" s="848">
        <v>3816</v>
      </c>
      <c r="F144" s="835">
        <v>4.6100000000000003</v>
      </c>
      <c r="G144" s="848">
        <v>3816</v>
      </c>
      <c r="H144" s="836">
        <v>4.6399999999999997</v>
      </c>
      <c r="I144" s="848">
        <v>3665</v>
      </c>
      <c r="J144" s="835">
        <v>4.5</v>
      </c>
      <c r="K144" s="848">
        <v>3552</v>
      </c>
      <c r="L144" s="836">
        <v>4.3899999999999997</v>
      </c>
      <c r="M144" s="848">
        <v>3552</v>
      </c>
      <c r="N144" s="835">
        <v>4.42</v>
      </c>
      <c r="O144" s="848">
        <v>3490</v>
      </c>
      <c r="P144" s="835">
        <v>4.37</v>
      </c>
      <c r="Q144" s="859">
        <f t="shared" si="92"/>
        <v>0</v>
      </c>
      <c r="R144" s="858">
        <f t="shared" si="95"/>
        <v>0.55000000000000004</v>
      </c>
      <c r="S144" s="841">
        <v>6.68</v>
      </c>
      <c r="U144" s="848">
        <f t="shared" si="93"/>
        <v>-2</v>
      </c>
      <c r="V144" s="835">
        <f t="shared" si="94"/>
        <v>1.55</v>
      </c>
    </row>
    <row r="145" spans="1:22">
      <c r="A145" s="3436"/>
      <c r="B145" s="931" t="s">
        <v>556</v>
      </c>
      <c r="C145" s="972">
        <v>2030</v>
      </c>
      <c r="D145" s="836">
        <f t="shared" si="97"/>
        <v>1.62</v>
      </c>
      <c r="E145" s="848">
        <v>2030</v>
      </c>
      <c r="F145" s="835">
        <v>2.66</v>
      </c>
      <c r="G145" s="848">
        <v>2030</v>
      </c>
      <c r="H145" s="836">
        <v>2.7</v>
      </c>
      <c r="I145" s="848">
        <v>2030</v>
      </c>
      <c r="J145" s="835">
        <v>2.74</v>
      </c>
      <c r="K145" s="848">
        <v>2030</v>
      </c>
      <c r="L145" s="836">
        <v>2.77</v>
      </c>
      <c r="M145" s="848">
        <v>2030</v>
      </c>
      <c r="N145" s="835">
        <v>2.81</v>
      </c>
      <c r="O145" s="848">
        <v>2013</v>
      </c>
      <c r="P145" s="835">
        <v>2.81</v>
      </c>
      <c r="Q145" s="859">
        <f t="shared" si="92"/>
        <v>-0.01</v>
      </c>
      <c r="R145" s="858">
        <f t="shared" si="95"/>
        <v>0.73</v>
      </c>
      <c r="S145" s="841">
        <v>3.77</v>
      </c>
      <c r="U145" s="848">
        <f t="shared" si="93"/>
        <v>-17</v>
      </c>
      <c r="V145" s="835">
        <f t="shared" si="94"/>
        <v>1.19</v>
      </c>
    </row>
    <row r="146" spans="1:22">
      <c r="A146" s="3436"/>
      <c r="B146" s="931" t="s">
        <v>557</v>
      </c>
      <c r="C146" s="972">
        <v>283</v>
      </c>
      <c r="D146" s="836">
        <f t="shared" si="97"/>
        <v>0.15</v>
      </c>
      <c r="E146" s="848">
        <v>284</v>
      </c>
      <c r="F146" s="835">
        <v>0.25</v>
      </c>
      <c r="G146" s="848">
        <v>284</v>
      </c>
      <c r="H146" s="836">
        <v>0.26</v>
      </c>
      <c r="I146" s="848">
        <v>284</v>
      </c>
      <c r="J146" s="835">
        <v>0.26</v>
      </c>
      <c r="K146" s="848">
        <v>284</v>
      </c>
      <c r="L146" s="836">
        <v>0.26</v>
      </c>
      <c r="M146" s="848">
        <v>284</v>
      </c>
      <c r="N146" s="835">
        <v>0.26</v>
      </c>
      <c r="O146" s="848">
        <v>284</v>
      </c>
      <c r="P146" s="835">
        <v>0.27</v>
      </c>
      <c r="Q146" s="859">
        <f t="shared" si="92"/>
        <v>0</v>
      </c>
      <c r="R146" s="858">
        <f t="shared" si="95"/>
        <v>0.8</v>
      </c>
      <c r="S146" s="841">
        <v>0.39</v>
      </c>
      <c r="U146" s="848">
        <f t="shared" si="93"/>
        <v>1</v>
      </c>
      <c r="V146" s="835">
        <f t="shared" si="94"/>
        <v>0.12</v>
      </c>
    </row>
    <row r="147" spans="1:22">
      <c r="A147" s="3436"/>
      <c r="B147" s="931" t="s">
        <v>558</v>
      </c>
      <c r="C147" s="972">
        <v>515</v>
      </c>
      <c r="D147" s="836">
        <f t="shared" si="97"/>
        <v>0.7</v>
      </c>
      <c r="E147" s="848">
        <v>499</v>
      </c>
      <c r="F147" s="835">
        <v>1.1499999999999999</v>
      </c>
      <c r="G147" s="848">
        <v>499</v>
      </c>
      <c r="H147" s="836">
        <v>1.1599999999999999</v>
      </c>
      <c r="I147" s="848">
        <v>499</v>
      </c>
      <c r="J147" s="835">
        <v>1.1599999999999999</v>
      </c>
      <c r="K147" s="848">
        <v>499</v>
      </c>
      <c r="L147" s="836">
        <v>1.17</v>
      </c>
      <c r="M147" s="848">
        <v>484</v>
      </c>
      <c r="N147" s="835">
        <v>1.1399999999999999</v>
      </c>
      <c r="O147" s="848">
        <v>484</v>
      </c>
      <c r="P147" s="835">
        <v>1.1499999999999999</v>
      </c>
      <c r="Q147" s="859">
        <f t="shared" si="92"/>
        <v>-0.06</v>
      </c>
      <c r="R147" s="858">
        <f t="shared" si="95"/>
        <v>0.64</v>
      </c>
      <c r="S147" s="841">
        <v>1.31</v>
      </c>
      <c r="U147" s="848">
        <f t="shared" si="93"/>
        <v>-31</v>
      </c>
      <c r="V147" s="835">
        <f t="shared" si="94"/>
        <v>0.45</v>
      </c>
    </row>
    <row r="148" spans="1:22">
      <c r="A148" s="3436"/>
      <c r="B148" s="931" t="s">
        <v>559</v>
      </c>
      <c r="C148" s="972">
        <v>834</v>
      </c>
      <c r="D148" s="836">
        <f t="shared" si="97"/>
        <v>0.38</v>
      </c>
      <c r="E148" s="848">
        <v>636</v>
      </c>
      <c r="F148" s="835">
        <v>0.62</v>
      </c>
      <c r="G148" s="848">
        <v>636</v>
      </c>
      <c r="H148" s="836">
        <v>0.61</v>
      </c>
      <c r="I148" s="848">
        <v>636</v>
      </c>
      <c r="J148" s="835">
        <v>0.59</v>
      </c>
      <c r="K148" s="848">
        <v>636</v>
      </c>
      <c r="L148" s="836">
        <v>0.62</v>
      </c>
      <c r="M148" s="848">
        <v>578</v>
      </c>
      <c r="N148" s="835">
        <v>0.56000000000000005</v>
      </c>
      <c r="O148" s="848">
        <v>540</v>
      </c>
      <c r="P148" s="835">
        <v>0.49</v>
      </c>
      <c r="Q148" s="859">
        <f t="shared" si="92"/>
        <v>-0.35</v>
      </c>
      <c r="R148" s="858">
        <f t="shared" si="95"/>
        <v>0.28999999999999998</v>
      </c>
      <c r="S148" s="841">
        <v>0.81</v>
      </c>
      <c r="U148" s="848">
        <f t="shared" si="93"/>
        <v>-294</v>
      </c>
      <c r="V148" s="835">
        <f t="shared" si="94"/>
        <v>0.11</v>
      </c>
    </row>
    <row r="149" spans="1:22">
      <c r="A149" s="3436"/>
      <c r="B149" s="931" t="s">
        <v>560</v>
      </c>
      <c r="C149" s="972">
        <v>2327</v>
      </c>
      <c r="D149" s="836">
        <f t="shared" si="97"/>
        <v>1.1200000000000001</v>
      </c>
      <c r="E149" s="848">
        <v>2120</v>
      </c>
      <c r="F149" s="835">
        <v>1.83</v>
      </c>
      <c r="G149" s="848">
        <v>1924</v>
      </c>
      <c r="H149" s="836">
        <v>1.65</v>
      </c>
      <c r="I149" s="848">
        <v>1924</v>
      </c>
      <c r="J149" s="835">
        <v>1.63</v>
      </c>
      <c r="K149" s="848">
        <v>1924</v>
      </c>
      <c r="L149" s="836">
        <v>1.65</v>
      </c>
      <c r="M149" s="848">
        <v>1826</v>
      </c>
      <c r="N149" s="835">
        <v>1.57</v>
      </c>
      <c r="O149" s="848">
        <v>1826</v>
      </c>
      <c r="P149" s="835">
        <v>1.59</v>
      </c>
      <c r="Q149" s="859">
        <f t="shared" si="92"/>
        <v>-0.22</v>
      </c>
      <c r="R149" s="858">
        <f t="shared" si="95"/>
        <v>0.42</v>
      </c>
      <c r="S149" s="841">
        <v>2.08</v>
      </c>
      <c r="U149" s="848">
        <f t="shared" si="93"/>
        <v>-501</v>
      </c>
      <c r="V149" s="835">
        <f t="shared" si="94"/>
        <v>0.47</v>
      </c>
    </row>
    <row r="150" spans="1:22">
      <c r="A150" s="3436"/>
      <c r="B150" s="931" t="s">
        <v>561</v>
      </c>
      <c r="C150" s="972">
        <v>0</v>
      </c>
      <c r="D150" s="836">
        <f t="shared" si="97"/>
        <v>0</v>
      </c>
      <c r="E150" s="848">
        <v>0</v>
      </c>
      <c r="F150" s="835">
        <v>0</v>
      </c>
      <c r="G150" s="848">
        <v>0</v>
      </c>
      <c r="H150" s="836">
        <v>0</v>
      </c>
      <c r="I150" s="848">
        <v>0</v>
      </c>
      <c r="J150" s="835">
        <v>0</v>
      </c>
      <c r="K150" s="848">
        <v>0</v>
      </c>
      <c r="L150" s="836">
        <v>0</v>
      </c>
      <c r="M150" s="848">
        <v>0</v>
      </c>
      <c r="N150" s="835">
        <v>0</v>
      </c>
      <c r="O150" s="848">
        <v>0</v>
      </c>
      <c r="P150" s="835">
        <v>0</v>
      </c>
      <c r="Q150" s="859" t="s">
        <v>16</v>
      </c>
      <c r="R150" s="858" t="s">
        <v>16</v>
      </c>
      <c r="S150" s="841">
        <v>0</v>
      </c>
      <c r="U150" s="848">
        <f t="shared" si="93"/>
        <v>0</v>
      </c>
      <c r="V150" s="835">
        <f t="shared" si="94"/>
        <v>0</v>
      </c>
    </row>
    <row r="151" spans="1:22" ht="15.75" thickBot="1">
      <c r="A151" s="3436"/>
      <c r="B151" s="932" t="s">
        <v>562</v>
      </c>
      <c r="C151" s="1880">
        <v>0</v>
      </c>
      <c r="D151" s="1881">
        <f t="shared" si="97"/>
        <v>0.04</v>
      </c>
      <c r="E151" s="849">
        <v>0</v>
      </c>
      <c r="F151" s="1885">
        <v>7.0000000000000007E-2</v>
      </c>
      <c r="G151" s="849">
        <v>0</v>
      </c>
      <c r="H151" s="1881">
        <f>F151</f>
        <v>7.0000000000000007E-2</v>
      </c>
      <c r="I151" s="849">
        <v>0</v>
      </c>
      <c r="J151" s="1885">
        <f>H151</f>
        <v>7.0000000000000007E-2</v>
      </c>
      <c r="K151" s="849">
        <v>0</v>
      </c>
      <c r="L151" s="1881">
        <f>J151</f>
        <v>7.0000000000000007E-2</v>
      </c>
      <c r="M151" s="849">
        <v>0</v>
      </c>
      <c r="N151" s="1885">
        <f>L151</f>
        <v>7.0000000000000007E-2</v>
      </c>
      <c r="O151" s="849">
        <v>0</v>
      </c>
      <c r="P151" s="1885">
        <v>7.0000000000000007E-2</v>
      </c>
      <c r="Q151" s="1886" t="s">
        <v>16</v>
      </c>
      <c r="R151" s="1888">
        <f t="shared" si="95"/>
        <v>0.75</v>
      </c>
      <c r="S151" s="846">
        <f>N151</f>
        <v>7.0000000000000007E-2</v>
      </c>
      <c r="U151" s="849">
        <f t="shared" si="93"/>
        <v>0</v>
      </c>
      <c r="V151" s="1885">
        <f t="shared" si="94"/>
        <v>0.03</v>
      </c>
    </row>
    <row r="152" spans="1:22" ht="16.5" thickTop="1" thickBot="1">
      <c r="A152" s="3437"/>
      <c r="B152" s="842" t="s">
        <v>18</v>
      </c>
      <c r="C152" s="973">
        <f>SUM(C142:C151)</f>
        <v>9504</v>
      </c>
      <c r="D152" s="852">
        <f>'Table 7'!E17</f>
        <v>6.86</v>
      </c>
      <c r="E152" s="850">
        <f t="shared" ref="E152:P152" si="98">SUM(E142:E151)</f>
        <v>9408</v>
      </c>
      <c r="F152" s="843">
        <f t="shared" si="98"/>
        <v>11.23</v>
      </c>
      <c r="G152" s="850">
        <f t="shared" si="98"/>
        <v>9212</v>
      </c>
      <c r="H152" s="852">
        <f t="shared" si="98"/>
        <v>11.14</v>
      </c>
      <c r="I152" s="850">
        <f t="shared" si="98"/>
        <v>9061</v>
      </c>
      <c r="J152" s="843">
        <f t="shared" si="98"/>
        <v>11</v>
      </c>
      <c r="K152" s="850">
        <f t="shared" si="98"/>
        <v>8948</v>
      </c>
      <c r="L152" s="852">
        <f t="shared" si="98"/>
        <v>10.98</v>
      </c>
      <c r="M152" s="850">
        <f t="shared" si="98"/>
        <v>8761</v>
      </c>
      <c r="N152" s="843">
        <f t="shared" si="98"/>
        <v>10.85</v>
      </c>
      <c r="O152" s="850">
        <f t="shared" si="98"/>
        <v>8644</v>
      </c>
      <c r="P152" s="843">
        <f t="shared" si="98"/>
        <v>10.77</v>
      </c>
      <c r="Q152" s="880">
        <f t="shared" si="92"/>
        <v>-0.09</v>
      </c>
      <c r="R152" s="881">
        <f t="shared" si="95"/>
        <v>0.56999999999999995</v>
      </c>
      <c r="S152" s="855">
        <f>SUM(S142:S151)</f>
        <v>15.14</v>
      </c>
      <c r="U152" s="850">
        <f t="shared" si="93"/>
        <v>-860</v>
      </c>
      <c r="V152" s="843">
        <f t="shared" si="94"/>
        <v>3.91</v>
      </c>
    </row>
    <row r="153" spans="1:22">
      <c r="A153" s="3435" t="s">
        <v>170</v>
      </c>
      <c r="B153" s="933" t="s">
        <v>553</v>
      </c>
      <c r="C153" s="971">
        <v>0</v>
      </c>
      <c r="D153" s="851">
        <f>(F153/$F$163)*$D$163</f>
        <v>0</v>
      </c>
      <c r="E153" s="847">
        <v>0</v>
      </c>
      <c r="F153" s="853">
        <v>0</v>
      </c>
      <c r="G153" s="847">
        <v>0</v>
      </c>
      <c r="H153" s="851">
        <v>0</v>
      </c>
      <c r="I153" s="847">
        <v>0</v>
      </c>
      <c r="J153" s="853">
        <v>0</v>
      </c>
      <c r="K153" s="847">
        <v>0</v>
      </c>
      <c r="L153" s="851">
        <v>0</v>
      </c>
      <c r="M153" s="847">
        <v>0</v>
      </c>
      <c r="N153" s="853">
        <v>0</v>
      </c>
      <c r="O153" s="847">
        <v>0</v>
      </c>
      <c r="P153" s="853">
        <v>0</v>
      </c>
      <c r="Q153" s="878" t="s">
        <v>16</v>
      </c>
      <c r="R153" s="879" t="s">
        <v>16</v>
      </c>
      <c r="S153" s="854">
        <v>0</v>
      </c>
      <c r="U153" s="847">
        <f t="shared" si="93"/>
        <v>0</v>
      </c>
      <c r="V153" s="853">
        <f t="shared" si="94"/>
        <v>0</v>
      </c>
    </row>
    <row r="154" spans="1:22">
      <c r="A154" s="3436"/>
      <c r="B154" s="931" t="s">
        <v>554</v>
      </c>
      <c r="C154" s="972">
        <v>59</v>
      </c>
      <c r="D154" s="836">
        <f t="shared" ref="D154:D162" si="99">(F154/$F$163)*$D$163</f>
        <v>7.0000000000000007E-2</v>
      </c>
      <c r="E154" s="848">
        <v>39</v>
      </c>
      <c r="F154" s="835">
        <v>7.0000000000000007E-2</v>
      </c>
      <c r="G154" s="848">
        <v>102</v>
      </c>
      <c r="H154" s="836">
        <v>0.18</v>
      </c>
      <c r="I154" s="848">
        <v>176</v>
      </c>
      <c r="J154" s="835">
        <v>0.32</v>
      </c>
      <c r="K154" s="848">
        <v>196</v>
      </c>
      <c r="L154" s="836">
        <v>0.35</v>
      </c>
      <c r="M154" s="848">
        <v>228</v>
      </c>
      <c r="N154" s="835">
        <v>0.41</v>
      </c>
      <c r="O154" s="848">
        <v>228</v>
      </c>
      <c r="P154" s="835">
        <v>0.41</v>
      </c>
      <c r="Q154" s="859">
        <f t="shared" si="92"/>
        <v>2.86</v>
      </c>
      <c r="R154" s="858">
        <f t="shared" si="95"/>
        <v>4.8600000000000003</v>
      </c>
      <c r="S154" s="841">
        <v>0.56999999999999995</v>
      </c>
      <c r="U154" s="848">
        <f t="shared" si="93"/>
        <v>169</v>
      </c>
      <c r="V154" s="835">
        <f t="shared" si="94"/>
        <v>0.34</v>
      </c>
    </row>
    <row r="155" spans="1:22">
      <c r="A155" s="3436"/>
      <c r="B155" s="931" t="s">
        <v>555</v>
      </c>
      <c r="C155" s="972">
        <v>0</v>
      </c>
      <c r="D155" s="836">
        <f t="shared" si="99"/>
        <v>0</v>
      </c>
      <c r="E155" s="848">
        <v>0</v>
      </c>
      <c r="F155" s="835">
        <v>0</v>
      </c>
      <c r="G155" s="848">
        <v>8</v>
      </c>
      <c r="H155" s="836">
        <v>0.01</v>
      </c>
      <c r="I155" s="848">
        <v>8</v>
      </c>
      <c r="J155" s="835">
        <v>0.01</v>
      </c>
      <c r="K155" s="848">
        <v>8</v>
      </c>
      <c r="L155" s="836">
        <v>0.01</v>
      </c>
      <c r="M155" s="848">
        <v>47</v>
      </c>
      <c r="N155" s="835">
        <v>0.05</v>
      </c>
      <c r="O155" s="848">
        <v>125</v>
      </c>
      <c r="P155" s="835">
        <v>0.14000000000000001</v>
      </c>
      <c r="Q155" s="859" t="s">
        <v>16</v>
      </c>
      <c r="R155" s="858" t="s">
        <v>16</v>
      </c>
      <c r="S155" s="841">
        <v>0.21</v>
      </c>
      <c r="U155" s="848">
        <f t="shared" si="93"/>
        <v>125</v>
      </c>
      <c r="V155" s="835">
        <f t="shared" si="94"/>
        <v>0.14000000000000001</v>
      </c>
    </row>
    <row r="156" spans="1:22">
      <c r="A156" s="3436"/>
      <c r="B156" s="931" t="s">
        <v>556</v>
      </c>
      <c r="C156" s="972">
        <v>1459</v>
      </c>
      <c r="D156" s="836">
        <f t="shared" si="99"/>
        <v>2.5499999999999998</v>
      </c>
      <c r="E156" s="848">
        <v>1906</v>
      </c>
      <c r="F156" s="835">
        <v>2.5499999999999998</v>
      </c>
      <c r="G156" s="848">
        <v>2018</v>
      </c>
      <c r="H156" s="836">
        <v>2.72</v>
      </c>
      <c r="I156" s="848">
        <v>2200</v>
      </c>
      <c r="J156" s="835">
        <v>2.99</v>
      </c>
      <c r="K156" s="848">
        <v>2390</v>
      </c>
      <c r="L156" s="836">
        <v>3.27</v>
      </c>
      <c r="M156" s="848">
        <v>2425</v>
      </c>
      <c r="N156" s="835">
        <v>3.34</v>
      </c>
      <c r="O156" s="848">
        <v>2497</v>
      </c>
      <c r="P156" s="835">
        <v>3.46</v>
      </c>
      <c r="Q156" s="859">
        <f t="shared" si="92"/>
        <v>0.71</v>
      </c>
      <c r="R156" s="858">
        <f t="shared" si="95"/>
        <v>0.36</v>
      </c>
      <c r="S156" s="841">
        <v>4.54</v>
      </c>
      <c r="U156" s="848">
        <f t="shared" si="93"/>
        <v>1038</v>
      </c>
      <c r="V156" s="835">
        <f t="shared" si="94"/>
        <v>0.91</v>
      </c>
    </row>
    <row r="157" spans="1:22">
      <c r="A157" s="3436"/>
      <c r="B157" s="931" t="s">
        <v>557</v>
      </c>
      <c r="C157" s="972">
        <v>11811</v>
      </c>
      <c r="D157" s="836">
        <f t="shared" si="99"/>
        <v>12</v>
      </c>
      <c r="E157" s="848">
        <v>15828</v>
      </c>
      <c r="F157" s="835">
        <v>11.99</v>
      </c>
      <c r="G157" s="848">
        <v>15962</v>
      </c>
      <c r="H157" s="836">
        <v>12.19</v>
      </c>
      <c r="I157" s="848">
        <v>16088</v>
      </c>
      <c r="J157" s="835">
        <v>12.38</v>
      </c>
      <c r="K157" s="848">
        <v>16214</v>
      </c>
      <c r="L157" s="836">
        <v>12.65</v>
      </c>
      <c r="M157" s="848">
        <v>16443</v>
      </c>
      <c r="N157" s="835">
        <v>12.98</v>
      </c>
      <c r="O157" s="848">
        <v>16604</v>
      </c>
      <c r="P157" s="835">
        <v>13.25</v>
      </c>
      <c r="Q157" s="859">
        <f t="shared" si="92"/>
        <v>0.41</v>
      </c>
      <c r="R157" s="858">
        <f t="shared" si="95"/>
        <v>0.1</v>
      </c>
      <c r="S157" s="841">
        <v>16.829999999999998</v>
      </c>
      <c r="U157" s="848">
        <f t="shared" si="93"/>
        <v>4793</v>
      </c>
      <c r="V157" s="835">
        <f t="shared" si="94"/>
        <v>1.25</v>
      </c>
    </row>
    <row r="158" spans="1:22">
      <c r="A158" s="3436"/>
      <c r="B158" s="931" t="s">
        <v>558</v>
      </c>
      <c r="C158" s="972">
        <v>174</v>
      </c>
      <c r="D158" s="836">
        <f t="shared" si="99"/>
        <v>0.42</v>
      </c>
      <c r="E158" s="848">
        <v>174</v>
      </c>
      <c r="F158" s="835">
        <v>0.42</v>
      </c>
      <c r="G158" s="848">
        <v>225</v>
      </c>
      <c r="H158" s="836">
        <v>0.53</v>
      </c>
      <c r="I158" s="848">
        <v>225</v>
      </c>
      <c r="J158" s="835">
        <v>0.53</v>
      </c>
      <c r="K158" s="848">
        <v>306</v>
      </c>
      <c r="L158" s="836">
        <v>0.71</v>
      </c>
      <c r="M158" s="848">
        <v>409</v>
      </c>
      <c r="N158" s="835">
        <v>0.94</v>
      </c>
      <c r="O158" s="848">
        <v>555</v>
      </c>
      <c r="P158" s="835">
        <v>1.26</v>
      </c>
      <c r="Q158" s="859">
        <f t="shared" si="92"/>
        <v>2.19</v>
      </c>
      <c r="R158" s="858">
        <f t="shared" si="95"/>
        <v>2</v>
      </c>
      <c r="S158" s="841">
        <v>1.42</v>
      </c>
      <c r="U158" s="848">
        <f t="shared" si="93"/>
        <v>381</v>
      </c>
      <c r="V158" s="835">
        <f t="shared" si="94"/>
        <v>0.84</v>
      </c>
    </row>
    <row r="159" spans="1:22">
      <c r="A159" s="3436"/>
      <c r="B159" s="931" t="s">
        <v>559</v>
      </c>
      <c r="C159" s="972">
        <v>2057</v>
      </c>
      <c r="D159" s="836">
        <f t="shared" si="99"/>
        <v>1.84</v>
      </c>
      <c r="E159" s="848">
        <v>1987</v>
      </c>
      <c r="F159" s="835">
        <v>1.84</v>
      </c>
      <c r="G159" s="848">
        <v>2063</v>
      </c>
      <c r="H159" s="836">
        <v>1.89</v>
      </c>
      <c r="I159" s="848">
        <v>2126</v>
      </c>
      <c r="J159" s="835">
        <v>1.94</v>
      </c>
      <c r="K159" s="848">
        <v>2157</v>
      </c>
      <c r="L159" s="836">
        <v>1.94</v>
      </c>
      <c r="M159" s="848">
        <v>2182</v>
      </c>
      <c r="N159" s="835">
        <v>1.93</v>
      </c>
      <c r="O159" s="848">
        <v>2182</v>
      </c>
      <c r="P159" s="835">
        <v>1.92</v>
      </c>
      <c r="Q159" s="859">
        <f t="shared" si="92"/>
        <v>0.06</v>
      </c>
      <c r="R159" s="858">
        <f t="shared" si="95"/>
        <v>0.04</v>
      </c>
      <c r="S159" s="841">
        <v>2.62</v>
      </c>
      <c r="U159" s="848">
        <f t="shared" si="93"/>
        <v>125</v>
      </c>
      <c r="V159" s="835">
        <f t="shared" si="94"/>
        <v>0.08</v>
      </c>
    </row>
    <row r="160" spans="1:22">
      <c r="A160" s="3436"/>
      <c r="B160" s="931" t="s">
        <v>560</v>
      </c>
      <c r="C160" s="972">
        <v>0</v>
      </c>
      <c r="D160" s="836">
        <f t="shared" si="99"/>
        <v>0</v>
      </c>
      <c r="E160" s="848">
        <v>0</v>
      </c>
      <c r="F160" s="835">
        <v>0</v>
      </c>
      <c r="G160" s="848">
        <v>0</v>
      </c>
      <c r="H160" s="836">
        <v>0</v>
      </c>
      <c r="I160" s="848">
        <v>0</v>
      </c>
      <c r="J160" s="835">
        <v>0</v>
      </c>
      <c r="K160" s="848">
        <v>0</v>
      </c>
      <c r="L160" s="836">
        <v>0</v>
      </c>
      <c r="M160" s="848">
        <v>0</v>
      </c>
      <c r="N160" s="835">
        <v>0</v>
      </c>
      <c r="O160" s="848">
        <v>0</v>
      </c>
      <c r="P160" s="835">
        <v>0</v>
      </c>
      <c r="Q160" s="859" t="s">
        <v>16</v>
      </c>
      <c r="R160" s="858" t="s">
        <v>16</v>
      </c>
      <c r="S160" s="841">
        <v>0</v>
      </c>
      <c r="U160" s="848">
        <f t="shared" si="93"/>
        <v>0</v>
      </c>
      <c r="V160" s="835">
        <f t="shared" si="94"/>
        <v>0</v>
      </c>
    </row>
    <row r="161" spans="1:22">
      <c r="A161" s="3436"/>
      <c r="B161" s="931" t="s">
        <v>561</v>
      </c>
      <c r="C161" s="972">
        <v>0</v>
      </c>
      <c r="D161" s="836">
        <f t="shared" si="99"/>
        <v>0</v>
      </c>
      <c r="E161" s="848">
        <v>0</v>
      </c>
      <c r="F161" s="835">
        <v>0</v>
      </c>
      <c r="G161" s="848">
        <v>0</v>
      </c>
      <c r="H161" s="836">
        <v>0</v>
      </c>
      <c r="I161" s="848">
        <v>0</v>
      </c>
      <c r="J161" s="835">
        <v>0</v>
      </c>
      <c r="K161" s="848">
        <v>0</v>
      </c>
      <c r="L161" s="836">
        <v>0</v>
      </c>
      <c r="M161" s="848">
        <v>0</v>
      </c>
      <c r="N161" s="835">
        <v>0</v>
      </c>
      <c r="O161" s="848">
        <v>0</v>
      </c>
      <c r="P161" s="835">
        <v>0</v>
      </c>
      <c r="Q161" s="859" t="s">
        <v>16</v>
      </c>
      <c r="R161" s="858" t="s">
        <v>16</v>
      </c>
      <c r="S161" s="841">
        <v>0</v>
      </c>
      <c r="U161" s="848">
        <f t="shared" si="93"/>
        <v>0</v>
      </c>
      <c r="V161" s="835">
        <f t="shared" si="94"/>
        <v>0</v>
      </c>
    </row>
    <row r="162" spans="1:22" ht="15.75" thickBot="1">
      <c r="A162" s="3436"/>
      <c r="B162" s="932" t="s">
        <v>562</v>
      </c>
      <c r="C162" s="1880">
        <v>0</v>
      </c>
      <c r="D162" s="1881">
        <f t="shared" si="99"/>
        <v>2.13</v>
      </c>
      <c r="E162" s="849">
        <v>0</v>
      </c>
      <c r="F162" s="1885">
        <v>2.13</v>
      </c>
      <c r="G162" s="849">
        <v>0</v>
      </c>
      <c r="H162" s="1881">
        <f>F162</f>
        <v>2.13</v>
      </c>
      <c r="I162" s="849">
        <v>0</v>
      </c>
      <c r="J162" s="1885">
        <f>H162</f>
        <v>2.13</v>
      </c>
      <c r="K162" s="849">
        <v>0</v>
      </c>
      <c r="L162" s="1881">
        <f>J162</f>
        <v>2.13</v>
      </c>
      <c r="M162" s="849">
        <v>0</v>
      </c>
      <c r="N162" s="1885">
        <f>L162</f>
        <v>2.13</v>
      </c>
      <c r="O162" s="849">
        <v>0</v>
      </c>
      <c r="P162" s="1885">
        <v>2.13</v>
      </c>
      <c r="Q162" s="1886" t="s">
        <v>16</v>
      </c>
      <c r="R162" s="1888">
        <f t="shared" si="95"/>
        <v>0</v>
      </c>
      <c r="S162" s="846">
        <v>2.13</v>
      </c>
      <c r="U162" s="849">
        <f t="shared" si="93"/>
        <v>0</v>
      </c>
      <c r="V162" s="1885">
        <f t="shared" si="94"/>
        <v>0</v>
      </c>
    </row>
    <row r="163" spans="1:22" ht="16.5" thickTop="1" thickBot="1">
      <c r="A163" s="3437"/>
      <c r="B163" s="842" t="s">
        <v>18</v>
      </c>
      <c r="C163" s="973">
        <f>SUM(C153:C162)</f>
        <v>15560</v>
      </c>
      <c r="D163" s="852">
        <f>'Table 7'!E18</f>
        <v>19.010000000000002</v>
      </c>
      <c r="E163" s="850">
        <f t="shared" ref="E163:P163" si="100">SUM(E153:E162)</f>
        <v>19934</v>
      </c>
      <c r="F163" s="843">
        <f t="shared" si="100"/>
        <v>19</v>
      </c>
      <c r="G163" s="850">
        <f t="shared" si="100"/>
        <v>20378</v>
      </c>
      <c r="H163" s="852">
        <f t="shared" si="100"/>
        <v>19.649999999999999</v>
      </c>
      <c r="I163" s="850">
        <f t="shared" si="100"/>
        <v>20823</v>
      </c>
      <c r="J163" s="843">
        <f t="shared" si="100"/>
        <v>20.3</v>
      </c>
      <c r="K163" s="850">
        <f t="shared" si="100"/>
        <v>21271</v>
      </c>
      <c r="L163" s="852">
        <f t="shared" si="100"/>
        <v>21.06</v>
      </c>
      <c r="M163" s="850">
        <f t="shared" si="100"/>
        <v>21734</v>
      </c>
      <c r="N163" s="843">
        <f t="shared" si="100"/>
        <v>21.78</v>
      </c>
      <c r="O163" s="850">
        <f t="shared" si="100"/>
        <v>22191</v>
      </c>
      <c r="P163" s="843">
        <f t="shared" si="100"/>
        <v>22.57</v>
      </c>
      <c r="Q163" s="880">
        <f t="shared" si="92"/>
        <v>0.43</v>
      </c>
      <c r="R163" s="881">
        <f t="shared" si="95"/>
        <v>0.19</v>
      </c>
      <c r="S163" s="855">
        <f>SUM(S153:S162)</f>
        <v>28.32</v>
      </c>
      <c r="U163" s="850">
        <f t="shared" si="93"/>
        <v>6631</v>
      </c>
      <c r="V163" s="843">
        <f t="shared" si="94"/>
        <v>3.56</v>
      </c>
    </row>
    <row r="164" spans="1:22">
      <c r="A164" s="3435" t="s">
        <v>174</v>
      </c>
      <c r="B164" s="933" t="s">
        <v>553</v>
      </c>
      <c r="C164" s="971">
        <v>0</v>
      </c>
      <c r="D164" s="851">
        <f>(F164/$F$174)*$D$174</f>
        <v>0</v>
      </c>
      <c r="E164" s="847">
        <v>0</v>
      </c>
      <c r="F164" s="853">
        <v>0</v>
      </c>
      <c r="G164" s="847">
        <v>0</v>
      </c>
      <c r="H164" s="851">
        <v>0</v>
      </c>
      <c r="I164" s="847">
        <v>0</v>
      </c>
      <c r="J164" s="853">
        <v>0</v>
      </c>
      <c r="K164" s="847">
        <v>0</v>
      </c>
      <c r="L164" s="851">
        <v>0</v>
      </c>
      <c r="M164" s="847">
        <v>0</v>
      </c>
      <c r="N164" s="853">
        <v>0</v>
      </c>
      <c r="O164" s="847">
        <v>0</v>
      </c>
      <c r="P164" s="853">
        <v>0</v>
      </c>
      <c r="Q164" s="878" t="s">
        <v>16</v>
      </c>
      <c r="R164" s="879" t="s">
        <v>16</v>
      </c>
      <c r="S164" s="854">
        <v>0</v>
      </c>
      <c r="U164" s="847">
        <f t="shared" si="93"/>
        <v>0</v>
      </c>
      <c r="V164" s="853">
        <f t="shared" si="94"/>
        <v>0</v>
      </c>
    </row>
    <row r="165" spans="1:22">
      <c r="A165" s="3436"/>
      <c r="B165" s="931" t="s">
        <v>554</v>
      </c>
      <c r="C165" s="972">
        <v>0</v>
      </c>
      <c r="D165" s="836">
        <f t="shared" ref="D165:D173" si="101">(F165/$F$174)*$D$174</f>
        <v>7.0000000000000007E-2</v>
      </c>
      <c r="E165" s="848">
        <v>32</v>
      </c>
      <c r="F165" s="835">
        <v>0.06</v>
      </c>
      <c r="G165" s="848">
        <v>90</v>
      </c>
      <c r="H165" s="836">
        <v>0.16</v>
      </c>
      <c r="I165" s="848">
        <v>143</v>
      </c>
      <c r="J165" s="835">
        <v>0.26</v>
      </c>
      <c r="K165" s="848">
        <v>167</v>
      </c>
      <c r="L165" s="836">
        <v>0.3</v>
      </c>
      <c r="M165" s="848">
        <v>234</v>
      </c>
      <c r="N165" s="835">
        <v>0.42</v>
      </c>
      <c r="O165" s="848">
        <v>261</v>
      </c>
      <c r="P165" s="835">
        <v>0.47</v>
      </c>
      <c r="Q165" s="859" t="s">
        <v>16</v>
      </c>
      <c r="R165" s="858">
        <f t="shared" si="95"/>
        <v>5.71</v>
      </c>
      <c r="S165" s="841">
        <v>0.66</v>
      </c>
      <c r="U165" s="848">
        <f t="shared" si="93"/>
        <v>261</v>
      </c>
      <c r="V165" s="835">
        <f t="shared" si="94"/>
        <v>0.4</v>
      </c>
    </row>
    <row r="166" spans="1:22">
      <c r="A166" s="3436"/>
      <c r="B166" s="931" t="s">
        <v>555</v>
      </c>
      <c r="C166" s="972">
        <v>241</v>
      </c>
      <c r="D166" s="836">
        <f t="shared" si="101"/>
        <v>0.36</v>
      </c>
      <c r="E166" s="848">
        <v>276</v>
      </c>
      <c r="F166" s="835">
        <v>0.31</v>
      </c>
      <c r="G166" s="848">
        <v>276</v>
      </c>
      <c r="H166" s="836">
        <v>0.31</v>
      </c>
      <c r="I166" s="848">
        <v>276</v>
      </c>
      <c r="J166" s="835">
        <v>0.31</v>
      </c>
      <c r="K166" s="848">
        <v>317</v>
      </c>
      <c r="L166" s="836">
        <v>0.36</v>
      </c>
      <c r="M166" s="848">
        <v>317</v>
      </c>
      <c r="N166" s="835">
        <v>0.36</v>
      </c>
      <c r="O166" s="848">
        <v>317</v>
      </c>
      <c r="P166" s="835">
        <v>0.37</v>
      </c>
      <c r="Q166" s="859">
        <f t="shared" si="92"/>
        <v>0.32</v>
      </c>
      <c r="R166" s="858">
        <f t="shared" si="95"/>
        <v>0.03</v>
      </c>
      <c r="S166" s="841">
        <v>0.53</v>
      </c>
      <c r="U166" s="848">
        <f t="shared" si="93"/>
        <v>76</v>
      </c>
      <c r="V166" s="835">
        <f t="shared" si="94"/>
        <v>0.01</v>
      </c>
    </row>
    <row r="167" spans="1:22">
      <c r="A167" s="3436"/>
      <c r="B167" s="931" t="s">
        <v>556</v>
      </c>
      <c r="C167" s="972">
        <v>3734</v>
      </c>
      <c r="D167" s="836">
        <f t="shared" si="101"/>
        <v>5.47</v>
      </c>
      <c r="E167" s="848">
        <v>3667</v>
      </c>
      <c r="F167" s="835">
        <v>4.74</v>
      </c>
      <c r="G167" s="848">
        <v>3883</v>
      </c>
      <c r="H167" s="836">
        <v>5.07</v>
      </c>
      <c r="I167" s="848">
        <v>4072</v>
      </c>
      <c r="J167" s="835">
        <v>5.35</v>
      </c>
      <c r="K167" s="848">
        <v>4192</v>
      </c>
      <c r="L167" s="836">
        <v>5.55</v>
      </c>
      <c r="M167" s="848">
        <v>4331</v>
      </c>
      <c r="N167" s="835">
        <v>5.78</v>
      </c>
      <c r="O167" s="848">
        <v>4516</v>
      </c>
      <c r="P167" s="835">
        <v>6.05</v>
      </c>
      <c r="Q167" s="859">
        <f t="shared" si="92"/>
        <v>0.21</v>
      </c>
      <c r="R167" s="858">
        <f t="shared" si="95"/>
        <v>0.11</v>
      </c>
      <c r="S167" s="841">
        <v>7.93</v>
      </c>
      <c r="U167" s="848">
        <f t="shared" si="93"/>
        <v>782</v>
      </c>
      <c r="V167" s="835">
        <f t="shared" si="94"/>
        <v>0.57999999999999996</v>
      </c>
    </row>
    <row r="168" spans="1:22">
      <c r="A168" s="3436"/>
      <c r="B168" s="931" t="s">
        <v>557</v>
      </c>
      <c r="C168" s="972">
        <v>8610</v>
      </c>
      <c r="D168" s="836">
        <f t="shared" si="101"/>
        <v>7.88</v>
      </c>
      <c r="E168" s="848">
        <v>8931</v>
      </c>
      <c r="F168" s="835">
        <v>6.83</v>
      </c>
      <c r="G168" s="848">
        <v>9020</v>
      </c>
      <c r="H168" s="836">
        <v>6.97</v>
      </c>
      <c r="I168" s="848">
        <v>9153</v>
      </c>
      <c r="J168" s="835">
        <v>7.16</v>
      </c>
      <c r="K168" s="848">
        <v>9376</v>
      </c>
      <c r="L168" s="836">
        <v>7.46</v>
      </c>
      <c r="M168" s="848">
        <v>9580</v>
      </c>
      <c r="N168" s="835">
        <v>7.75</v>
      </c>
      <c r="O168" s="848">
        <v>9816</v>
      </c>
      <c r="P168" s="835">
        <v>8.0500000000000007</v>
      </c>
      <c r="Q168" s="859">
        <f t="shared" si="92"/>
        <v>0.14000000000000001</v>
      </c>
      <c r="R168" s="858">
        <f t="shared" si="95"/>
        <v>0.02</v>
      </c>
      <c r="S168" s="841">
        <v>10.220000000000001</v>
      </c>
      <c r="U168" s="848">
        <f t="shared" si="93"/>
        <v>1206</v>
      </c>
      <c r="V168" s="835">
        <f t="shared" si="94"/>
        <v>0.17</v>
      </c>
    </row>
    <row r="169" spans="1:22">
      <c r="A169" s="3436"/>
      <c r="B169" s="931" t="s">
        <v>558</v>
      </c>
      <c r="C169" s="972">
        <v>440</v>
      </c>
      <c r="D169" s="836">
        <f t="shared" si="101"/>
        <v>1.26</v>
      </c>
      <c r="E169" s="848">
        <v>440</v>
      </c>
      <c r="F169" s="835">
        <v>1.0900000000000001</v>
      </c>
      <c r="G169" s="848">
        <v>498</v>
      </c>
      <c r="H169" s="836">
        <v>1.22</v>
      </c>
      <c r="I169" s="848">
        <v>537</v>
      </c>
      <c r="J169" s="835">
        <v>1.3</v>
      </c>
      <c r="K169" s="848">
        <v>600</v>
      </c>
      <c r="L169" s="836">
        <v>1.44</v>
      </c>
      <c r="M169" s="848">
        <v>642</v>
      </c>
      <c r="N169" s="835">
        <v>1.54</v>
      </c>
      <c r="O169" s="848">
        <v>672</v>
      </c>
      <c r="P169" s="835">
        <v>1.61</v>
      </c>
      <c r="Q169" s="859">
        <f t="shared" si="92"/>
        <v>0.53</v>
      </c>
      <c r="R169" s="858">
        <f t="shared" si="95"/>
        <v>0.28000000000000003</v>
      </c>
      <c r="S169" s="841">
        <v>1.82</v>
      </c>
      <c r="U169" s="848">
        <f t="shared" si="93"/>
        <v>232</v>
      </c>
      <c r="V169" s="835">
        <f t="shared" si="94"/>
        <v>0.35</v>
      </c>
    </row>
    <row r="170" spans="1:22">
      <c r="A170" s="3436"/>
      <c r="B170" s="931" t="s">
        <v>559</v>
      </c>
      <c r="C170" s="972">
        <v>667</v>
      </c>
      <c r="D170" s="836">
        <f t="shared" si="101"/>
        <v>0.82</v>
      </c>
      <c r="E170" s="848">
        <v>650</v>
      </c>
      <c r="F170" s="835">
        <v>0.71</v>
      </c>
      <c r="G170" s="848">
        <v>716</v>
      </c>
      <c r="H170" s="836">
        <v>0.75</v>
      </c>
      <c r="I170" s="848">
        <v>778</v>
      </c>
      <c r="J170" s="835">
        <v>0.77</v>
      </c>
      <c r="K170" s="848">
        <v>796</v>
      </c>
      <c r="L170" s="836">
        <v>0.78</v>
      </c>
      <c r="M170" s="848">
        <v>847</v>
      </c>
      <c r="N170" s="835">
        <v>0.8</v>
      </c>
      <c r="O170" s="848">
        <v>847</v>
      </c>
      <c r="P170" s="835">
        <v>0.79</v>
      </c>
      <c r="Q170" s="859">
        <f t="shared" si="92"/>
        <v>0.27</v>
      </c>
      <c r="R170" s="858">
        <f t="shared" si="95"/>
        <v>-0.04</v>
      </c>
      <c r="S170" s="841">
        <v>1.08</v>
      </c>
      <c r="U170" s="848">
        <f t="shared" si="93"/>
        <v>180</v>
      </c>
      <c r="V170" s="835">
        <f t="shared" si="94"/>
        <v>-0.03</v>
      </c>
    </row>
    <row r="171" spans="1:22">
      <c r="A171" s="3436"/>
      <c r="B171" s="931" t="s">
        <v>560</v>
      </c>
      <c r="C171" s="972">
        <v>0</v>
      </c>
      <c r="D171" s="836">
        <f t="shared" si="101"/>
        <v>0</v>
      </c>
      <c r="E171" s="848">
        <v>0</v>
      </c>
      <c r="F171" s="835">
        <v>0</v>
      </c>
      <c r="G171" s="848">
        <v>0</v>
      </c>
      <c r="H171" s="836">
        <v>0</v>
      </c>
      <c r="I171" s="848">
        <v>0</v>
      </c>
      <c r="J171" s="835">
        <v>0</v>
      </c>
      <c r="K171" s="848">
        <v>0</v>
      </c>
      <c r="L171" s="836">
        <v>0</v>
      </c>
      <c r="M171" s="848">
        <v>0</v>
      </c>
      <c r="N171" s="835">
        <v>0</v>
      </c>
      <c r="O171" s="848">
        <v>0</v>
      </c>
      <c r="P171" s="835">
        <v>0</v>
      </c>
      <c r="Q171" s="859" t="s">
        <v>16</v>
      </c>
      <c r="R171" s="858" t="s">
        <v>16</v>
      </c>
      <c r="S171" s="841">
        <v>0</v>
      </c>
      <c r="U171" s="848">
        <f t="shared" si="93"/>
        <v>0</v>
      </c>
      <c r="V171" s="835">
        <f t="shared" si="94"/>
        <v>0</v>
      </c>
    </row>
    <row r="172" spans="1:22">
      <c r="A172" s="3436"/>
      <c r="B172" s="931" t="s">
        <v>561</v>
      </c>
      <c r="C172" s="972">
        <v>0</v>
      </c>
      <c r="D172" s="836">
        <f t="shared" si="101"/>
        <v>0</v>
      </c>
      <c r="E172" s="848">
        <v>0</v>
      </c>
      <c r="F172" s="835">
        <v>0</v>
      </c>
      <c r="G172" s="848">
        <v>0</v>
      </c>
      <c r="H172" s="836">
        <v>0</v>
      </c>
      <c r="I172" s="848">
        <v>0</v>
      </c>
      <c r="J172" s="835">
        <v>0</v>
      </c>
      <c r="K172" s="848">
        <v>0</v>
      </c>
      <c r="L172" s="836">
        <v>0</v>
      </c>
      <c r="M172" s="848">
        <v>0</v>
      </c>
      <c r="N172" s="835">
        <v>0</v>
      </c>
      <c r="O172" s="848">
        <v>0</v>
      </c>
      <c r="P172" s="835">
        <v>0</v>
      </c>
      <c r="Q172" s="859" t="s">
        <v>16</v>
      </c>
      <c r="R172" s="858" t="s">
        <v>16</v>
      </c>
      <c r="S172" s="841">
        <v>0</v>
      </c>
      <c r="U172" s="848">
        <f t="shared" si="93"/>
        <v>0</v>
      </c>
      <c r="V172" s="835">
        <f t="shared" si="94"/>
        <v>0</v>
      </c>
    </row>
    <row r="173" spans="1:22" ht="15.75" thickBot="1">
      <c r="A173" s="3436"/>
      <c r="B173" s="932" t="s">
        <v>562</v>
      </c>
      <c r="C173" s="1880">
        <v>0</v>
      </c>
      <c r="D173" s="1881">
        <f t="shared" si="101"/>
        <v>0.24</v>
      </c>
      <c r="E173" s="849">
        <v>0</v>
      </c>
      <c r="F173" s="1885">
        <v>0.21</v>
      </c>
      <c r="G173" s="849">
        <v>0</v>
      </c>
      <c r="H173" s="1881">
        <f>F173</f>
        <v>0.21</v>
      </c>
      <c r="I173" s="849">
        <v>0</v>
      </c>
      <c r="J173" s="1885">
        <f>H173</f>
        <v>0.21</v>
      </c>
      <c r="K173" s="849">
        <v>0</v>
      </c>
      <c r="L173" s="1881">
        <f>J173</f>
        <v>0.21</v>
      </c>
      <c r="M173" s="849">
        <v>0</v>
      </c>
      <c r="N173" s="1885">
        <f>L173</f>
        <v>0.21</v>
      </c>
      <c r="O173" s="849">
        <v>0</v>
      </c>
      <c r="P173" s="1885">
        <v>0.21</v>
      </c>
      <c r="Q173" s="1886" t="s">
        <v>16</v>
      </c>
      <c r="R173" s="1888">
        <f t="shared" si="95"/>
        <v>-0.13</v>
      </c>
      <c r="S173" s="846">
        <f>N173</f>
        <v>0.21</v>
      </c>
      <c r="U173" s="849">
        <f t="shared" si="93"/>
        <v>0</v>
      </c>
      <c r="V173" s="1885">
        <f t="shared" si="94"/>
        <v>-0.03</v>
      </c>
    </row>
    <row r="174" spans="1:22" ht="16.5" thickTop="1" thickBot="1">
      <c r="A174" s="3437"/>
      <c r="B174" s="842" t="s">
        <v>18</v>
      </c>
      <c r="C174" s="973">
        <f>SUM(C164:C173)</f>
        <v>13692</v>
      </c>
      <c r="D174" s="852">
        <f>'Table 7'!E19</f>
        <v>16.100000000000001</v>
      </c>
      <c r="E174" s="850">
        <f t="shared" ref="E174:P174" si="102">SUM(E164:E173)</f>
        <v>13996</v>
      </c>
      <c r="F174" s="843">
        <f t="shared" si="102"/>
        <v>13.95</v>
      </c>
      <c r="G174" s="850">
        <f t="shared" si="102"/>
        <v>14483</v>
      </c>
      <c r="H174" s="852">
        <f t="shared" si="102"/>
        <v>14.69</v>
      </c>
      <c r="I174" s="850">
        <f t="shared" si="102"/>
        <v>14959</v>
      </c>
      <c r="J174" s="843">
        <f t="shared" si="102"/>
        <v>15.36</v>
      </c>
      <c r="K174" s="850">
        <f t="shared" si="102"/>
        <v>15448</v>
      </c>
      <c r="L174" s="852">
        <f t="shared" si="102"/>
        <v>16.100000000000001</v>
      </c>
      <c r="M174" s="850">
        <f t="shared" si="102"/>
        <v>15951</v>
      </c>
      <c r="N174" s="843">
        <f t="shared" si="102"/>
        <v>16.86</v>
      </c>
      <c r="O174" s="850">
        <f t="shared" si="102"/>
        <v>16429</v>
      </c>
      <c r="P174" s="843">
        <f t="shared" si="102"/>
        <v>17.55</v>
      </c>
      <c r="Q174" s="880">
        <f t="shared" si="92"/>
        <v>0.2</v>
      </c>
      <c r="R174" s="881">
        <f t="shared" si="95"/>
        <v>0.09</v>
      </c>
      <c r="S174" s="855">
        <f>SUM(S164:S173)</f>
        <v>22.45</v>
      </c>
      <c r="U174" s="850">
        <f t="shared" si="93"/>
        <v>2737</v>
      </c>
      <c r="V174" s="843">
        <f t="shared" si="94"/>
        <v>1.45</v>
      </c>
    </row>
    <row r="175" spans="1:22">
      <c r="A175" s="3435" t="s">
        <v>184</v>
      </c>
      <c r="B175" s="933" t="s">
        <v>553</v>
      </c>
      <c r="C175" s="971">
        <v>0</v>
      </c>
      <c r="D175" s="851">
        <f>(F175/$F$185)*$D$185</f>
        <v>0</v>
      </c>
      <c r="E175" s="847">
        <v>0</v>
      </c>
      <c r="F175" s="853">
        <v>0</v>
      </c>
      <c r="G175" s="847">
        <v>0</v>
      </c>
      <c r="H175" s="851">
        <v>0</v>
      </c>
      <c r="I175" s="847">
        <v>0</v>
      </c>
      <c r="J175" s="853">
        <v>0</v>
      </c>
      <c r="K175" s="847">
        <v>0</v>
      </c>
      <c r="L175" s="851">
        <v>0</v>
      </c>
      <c r="M175" s="847">
        <v>0</v>
      </c>
      <c r="N175" s="853">
        <v>0</v>
      </c>
      <c r="O175" s="847">
        <v>0</v>
      </c>
      <c r="P175" s="853">
        <v>0</v>
      </c>
      <c r="Q175" s="878" t="s">
        <v>16</v>
      </c>
      <c r="R175" s="879" t="s">
        <v>16</v>
      </c>
      <c r="S175" s="854">
        <v>0</v>
      </c>
      <c r="U175" s="847">
        <f t="shared" si="93"/>
        <v>0</v>
      </c>
      <c r="V175" s="853">
        <f t="shared" si="94"/>
        <v>0</v>
      </c>
    </row>
    <row r="176" spans="1:22">
      <c r="A176" s="3436"/>
      <c r="B176" s="931" t="s">
        <v>554</v>
      </c>
      <c r="C176" s="972">
        <v>33</v>
      </c>
      <c r="D176" s="836">
        <f t="shared" ref="D176:D184" si="103">(F176/$F$185)*$D$185</f>
        <v>0.04</v>
      </c>
      <c r="E176" s="848">
        <v>33</v>
      </c>
      <c r="F176" s="835">
        <v>0.05</v>
      </c>
      <c r="G176" s="848">
        <v>33</v>
      </c>
      <c r="H176" s="836">
        <v>0.06</v>
      </c>
      <c r="I176" s="848">
        <v>33</v>
      </c>
      <c r="J176" s="835">
        <v>0.06</v>
      </c>
      <c r="K176" s="848">
        <v>33</v>
      </c>
      <c r="L176" s="836">
        <v>0.06</v>
      </c>
      <c r="M176" s="848">
        <v>33</v>
      </c>
      <c r="N176" s="835">
        <v>0.06</v>
      </c>
      <c r="O176" s="848">
        <v>33</v>
      </c>
      <c r="P176" s="835">
        <v>0.06</v>
      </c>
      <c r="Q176" s="859">
        <f t="shared" si="92"/>
        <v>0</v>
      </c>
      <c r="R176" s="858">
        <f t="shared" si="95"/>
        <v>0.5</v>
      </c>
      <c r="S176" s="841">
        <v>0.09</v>
      </c>
      <c r="U176" s="848">
        <f t="shared" si="93"/>
        <v>0</v>
      </c>
      <c r="V176" s="835">
        <f t="shared" si="94"/>
        <v>0.02</v>
      </c>
    </row>
    <row r="177" spans="1:22">
      <c r="A177" s="3436"/>
      <c r="B177" s="931" t="s">
        <v>555</v>
      </c>
      <c r="C177" s="972">
        <v>0</v>
      </c>
      <c r="D177" s="836">
        <f t="shared" si="103"/>
        <v>0</v>
      </c>
      <c r="E177" s="848">
        <v>0</v>
      </c>
      <c r="F177" s="835">
        <v>0</v>
      </c>
      <c r="G177" s="848">
        <v>0</v>
      </c>
      <c r="H177" s="836">
        <v>0</v>
      </c>
      <c r="I177" s="848">
        <v>0</v>
      </c>
      <c r="J177" s="835">
        <v>0</v>
      </c>
      <c r="K177" s="848">
        <v>0</v>
      </c>
      <c r="L177" s="836">
        <v>0</v>
      </c>
      <c r="M177" s="848">
        <v>0</v>
      </c>
      <c r="N177" s="835">
        <v>0</v>
      </c>
      <c r="O177" s="848">
        <v>0</v>
      </c>
      <c r="P177" s="835">
        <v>0</v>
      </c>
      <c r="Q177" s="859" t="s">
        <v>16</v>
      </c>
      <c r="R177" s="858" t="s">
        <v>16</v>
      </c>
      <c r="S177" s="841">
        <v>0</v>
      </c>
      <c r="U177" s="848">
        <f t="shared" si="93"/>
        <v>0</v>
      </c>
      <c r="V177" s="835">
        <f t="shared" si="94"/>
        <v>0</v>
      </c>
    </row>
    <row r="178" spans="1:22">
      <c r="A178" s="3436"/>
      <c r="B178" s="931" t="s">
        <v>556</v>
      </c>
      <c r="C178" s="972">
        <v>18</v>
      </c>
      <c r="D178" s="836">
        <f t="shared" si="103"/>
        <v>0.01</v>
      </c>
      <c r="E178" s="848">
        <v>18</v>
      </c>
      <c r="F178" s="835">
        <v>0.02</v>
      </c>
      <c r="G178" s="848">
        <v>18</v>
      </c>
      <c r="H178" s="836">
        <v>0.02</v>
      </c>
      <c r="I178" s="848">
        <v>18</v>
      </c>
      <c r="J178" s="835">
        <v>0.02</v>
      </c>
      <c r="K178" s="848">
        <v>18</v>
      </c>
      <c r="L178" s="836">
        <v>0.02</v>
      </c>
      <c r="M178" s="848">
        <v>18</v>
      </c>
      <c r="N178" s="835">
        <v>0.02</v>
      </c>
      <c r="O178" s="848">
        <v>18</v>
      </c>
      <c r="P178" s="835">
        <v>0.2</v>
      </c>
      <c r="Q178" s="859">
        <f t="shared" si="92"/>
        <v>0</v>
      </c>
      <c r="R178" s="858">
        <f t="shared" si="95"/>
        <v>19</v>
      </c>
      <c r="S178" s="841">
        <v>0.03</v>
      </c>
      <c r="U178" s="848">
        <f t="shared" si="93"/>
        <v>0</v>
      </c>
      <c r="V178" s="835">
        <f t="shared" si="94"/>
        <v>0.19</v>
      </c>
    </row>
    <row r="179" spans="1:22">
      <c r="A179" s="3436"/>
      <c r="B179" s="931" t="s">
        <v>557</v>
      </c>
      <c r="C179" s="972">
        <v>681</v>
      </c>
      <c r="D179" s="836">
        <f t="shared" si="103"/>
        <v>0.33</v>
      </c>
      <c r="E179" s="848">
        <v>681</v>
      </c>
      <c r="F179" s="835">
        <v>0.47</v>
      </c>
      <c r="G179" s="848">
        <v>681</v>
      </c>
      <c r="H179" s="836">
        <v>0.47</v>
      </c>
      <c r="I179" s="848">
        <v>681</v>
      </c>
      <c r="J179" s="835">
        <v>0.47</v>
      </c>
      <c r="K179" s="848">
        <v>681</v>
      </c>
      <c r="L179" s="836">
        <v>0.47</v>
      </c>
      <c r="M179" s="848">
        <v>681</v>
      </c>
      <c r="N179" s="835">
        <v>0.47</v>
      </c>
      <c r="O179" s="848">
        <v>681</v>
      </c>
      <c r="P179" s="835">
        <v>0.47</v>
      </c>
      <c r="Q179" s="859">
        <f t="shared" si="92"/>
        <v>0</v>
      </c>
      <c r="R179" s="858">
        <f t="shared" si="95"/>
        <v>0.42</v>
      </c>
      <c r="S179" s="841">
        <v>0.7</v>
      </c>
      <c r="U179" s="848">
        <f t="shared" si="93"/>
        <v>0</v>
      </c>
      <c r="V179" s="835">
        <f t="shared" si="94"/>
        <v>0.14000000000000001</v>
      </c>
    </row>
    <row r="180" spans="1:22">
      <c r="A180" s="3436"/>
      <c r="B180" s="931" t="s">
        <v>558</v>
      </c>
      <c r="C180" s="972">
        <v>93</v>
      </c>
      <c r="D180" s="836">
        <f t="shared" si="103"/>
        <v>0.16</v>
      </c>
      <c r="E180" s="848">
        <v>89</v>
      </c>
      <c r="F180" s="835">
        <v>0.22</v>
      </c>
      <c r="G180" s="848">
        <v>89</v>
      </c>
      <c r="H180" s="836">
        <v>0.23</v>
      </c>
      <c r="I180" s="848">
        <v>89</v>
      </c>
      <c r="J180" s="835">
        <v>0.23</v>
      </c>
      <c r="K180" s="848">
        <v>89</v>
      </c>
      <c r="L180" s="836">
        <v>0.24</v>
      </c>
      <c r="M180" s="848">
        <v>89</v>
      </c>
      <c r="N180" s="835">
        <v>0.24</v>
      </c>
      <c r="O180" s="848">
        <v>89</v>
      </c>
      <c r="P180" s="835">
        <v>0.25</v>
      </c>
      <c r="Q180" s="859">
        <f t="shared" si="92"/>
        <v>-0.04</v>
      </c>
      <c r="R180" s="858">
        <f t="shared" si="95"/>
        <v>0.56000000000000005</v>
      </c>
      <c r="S180" s="841">
        <v>0.28000000000000003</v>
      </c>
      <c r="U180" s="848">
        <f t="shared" si="93"/>
        <v>-4</v>
      </c>
      <c r="V180" s="835">
        <f t="shared" si="94"/>
        <v>0.09</v>
      </c>
    </row>
    <row r="181" spans="1:22">
      <c r="A181" s="3436"/>
      <c r="B181" s="931" t="s">
        <v>559</v>
      </c>
      <c r="C181" s="972">
        <v>0</v>
      </c>
      <c r="D181" s="836">
        <f t="shared" si="103"/>
        <v>0</v>
      </c>
      <c r="E181" s="848">
        <v>0</v>
      </c>
      <c r="F181" s="835">
        <v>0</v>
      </c>
      <c r="G181" s="848">
        <v>0</v>
      </c>
      <c r="H181" s="836">
        <v>0</v>
      </c>
      <c r="I181" s="848">
        <v>0</v>
      </c>
      <c r="J181" s="835">
        <v>0</v>
      </c>
      <c r="K181" s="848">
        <v>0</v>
      </c>
      <c r="L181" s="836">
        <v>0</v>
      </c>
      <c r="M181" s="848">
        <v>0</v>
      </c>
      <c r="N181" s="835">
        <v>0</v>
      </c>
      <c r="O181" s="848">
        <v>0</v>
      </c>
      <c r="P181" s="835">
        <v>0</v>
      </c>
      <c r="Q181" s="859" t="s">
        <v>16</v>
      </c>
      <c r="R181" s="858" t="s">
        <v>16</v>
      </c>
      <c r="S181" s="841">
        <v>0</v>
      </c>
      <c r="U181" s="848">
        <f t="shared" si="93"/>
        <v>0</v>
      </c>
      <c r="V181" s="835">
        <f t="shared" si="94"/>
        <v>0</v>
      </c>
    </row>
    <row r="182" spans="1:22">
      <c r="A182" s="3436"/>
      <c r="B182" s="931" t="s">
        <v>560</v>
      </c>
      <c r="C182" s="972">
        <v>0</v>
      </c>
      <c r="D182" s="836">
        <f t="shared" si="103"/>
        <v>0</v>
      </c>
      <c r="E182" s="848">
        <v>0</v>
      </c>
      <c r="F182" s="835">
        <v>0</v>
      </c>
      <c r="G182" s="848">
        <v>0</v>
      </c>
      <c r="H182" s="836">
        <v>0</v>
      </c>
      <c r="I182" s="848">
        <v>0</v>
      </c>
      <c r="J182" s="835">
        <v>0</v>
      </c>
      <c r="K182" s="848">
        <v>0</v>
      </c>
      <c r="L182" s="836">
        <v>0</v>
      </c>
      <c r="M182" s="848">
        <v>0</v>
      </c>
      <c r="N182" s="835">
        <v>0</v>
      </c>
      <c r="O182" s="848">
        <v>0</v>
      </c>
      <c r="P182" s="835">
        <v>0</v>
      </c>
      <c r="Q182" s="859" t="s">
        <v>16</v>
      </c>
      <c r="R182" s="858" t="s">
        <v>16</v>
      </c>
      <c r="S182" s="841">
        <v>0</v>
      </c>
      <c r="U182" s="848">
        <f t="shared" si="93"/>
        <v>0</v>
      </c>
      <c r="V182" s="835">
        <f t="shared" si="94"/>
        <v>0</v>
      </c>
    </row>
    <row r="183" spans="1:22">
      <c r="A183" s="3436"/>
      <c r="B183" s="931" t="s">
        <v>561</v>
      </c>
      <c r="C183" s="972">
        <v>0</v>
      </c>
      <c r="D183" s="836">
        <f t="shared" si="103"/>
        <v>0</v>
      </c>
      <c r="E183" s="848">
        <v>0</v>
      </c>
      <c r="F183" s="835">
        <v>0</v>
      </c>
      <c r="G183" s="848">
        <v>0</v>
      </c>
      <c r="H183" s="836">
        <v>0</v>
      </c>
      <c r="I183" s="848">
        <v>0</v>
      </c>
      <c r="J183" s="835">
        <v>0</v>
      </c>
      <c r="K183" s="848">
        <v>0</v>
      </c>
      <c r="L183" s="836">
        <v>0</v>
      </c>
      <c r="M183" s="848">
        <v>0</v>
      </c>
      <c r="N183" s="835">
        <v>0</v>
      </c>
      <c r="O183" s="848">
        <v>0</v>
      </c>
      <c r="P183" s="835">
        <v>0</v>
      </c>
      <c r="Q183" s="859" t="s">
        <v>16</v>
      </c>
      <c r="R183" s="858" t="s">
        <v>16</v>
      </c>
      <c r="S183" s="841">
        <v>0</v>
      </c>
      <c r="U183" s="848">
        <f t="shared" si="93"/>
        <v>0</v>
      </c>
      <c r="V183" s="835">
        <f t="shared" si="94"/>
        <v>0</v>
      </c>
    </row>
    <row r="184" spans="1:22" ht="15.75" thickBot="1">
      <c r="A184" s="3436"/>
      <c r="B184" s="932" t="s">
        <v>562</v>
      </c>
      <c r="C184" s="1880">
        <v>0</v>
      </c>
      <c r="D184" s="1881">
        <f t="shared" si="103"/>
        <v>0.13</v>
      </c>
      <c r="E184" s="849">
        <v>0</v>
      </c>
      <c r="F184" s="1885">
        <v>0.19</v>
      </c>
      <c r="G184" s="849">
        <v>0</v>
      </c>
      <c r="H184" s="1881">
        <f>F184</f>
        <v>0.19</v>
      </c>
      <c r="I184" s="849">
        <v>0</v>
      </c>
      <c r="J184" s="1885">
        <f>H184</f>
        <v>0.19</v>
      </c>
      <c r="K184" s="849">
        <v>0</v>
      </c>
      <c r="L184" s="1881">
        <f>J184</f>
        <v>0.19</v>
      </c>
      <c r="M184" s="849">
        <v>0</v>
      </c>
      <c r="N184" s="1885">
        <f>L184</f>
        <v>0.19</v>
      </c>
      <c r="O184" s="849">
        <v>0</v>
      </c>
      <c r="P184" s="1885">
        <v>0.19</v>
      </c>
      <c r="Q184" s="1886" t="s">
        <v>16</v>
      </c>
      <c r="R184" s="1888">
        <f t="shared" si="95"/>
        <v>0.46</v>
      </c>
      <c r="S184" s="846">
        <f>N184</f>
        <v>0.19</v>
      </c>
      <c r="U184" s="849">
        <f t="shared" si="93"/>
        <v>0</v>
      </c>
      <c r="V184" s="1885">
        <f t="shared" si="94"/>
        <v>0.06</v>
      </c>
    </row>
    <row r="185" spans="1:22" ht="16.5" thickTop="1" thickBot="1">
      <c r="A185" s="3437"/>
      <c r="B185" s="842" t="s">
        <v>18</v>
      </c>
      <c r="C185" s="973">
        <f>SUM(C175:C184)</f>
        <v>825</v>
      </c>
      <c r="D185" s="852">
        <f>'Table 7'!E20</f>
        <v>0.67</v>
      </c>
      <c r="E185" s="850">
        <f t="shared" ref="E185:P185" si="104">SUM(E175:E184)</f>
        <v>821</v>
      </c>
      <c r="F185" s="843">
        <f t="shared" si="104"/>
        <v>0.95</v>
      </c>
      <c r="G185" s="850">
        <f t="shared" si="104"/>
        <v>821</v>
      </c>
      <c r="H185" s="852">
        <f t="shared" si="104"/>
        <v>0.97</v>
      </c>
      <c r="I185" s="850">
        <f t="shared" si="104"/>
        <v>821</v>
      </c>
      <c r="J185" s="843">
        <f t="shared" si="104"/>
        <v>0.97</v>
      </c>
      <c r="K185" s="850">
        <f t="shared" si="104"/>
        <v>821</v>
      </c>
      <c r="L185" s="852">
        <f t="shared" si="104"/>
        <v>0.98</v>
      </c>
      <c r="M185" s="850">
        <f t="shared" si="104"/>
        <v>821</v>
      </c>
      <c r="N185" s="843">
        <f t="shared" si="104"/>
        <v>0.98</v>
      </c>
      <c r="O185" s="850">
        <f t="shared" si="104"/>
        <v>821</v>
      </c>
      <c r="P185" s="843">
        <f t="shared" si="104"/>
        <v>1.17</v>
      </c>
      <c r="Q185" s="880">
        <f t="shared" si="92"/>
        <v>0</v>
      </c>
      <c r="R185" s="881">
        <f t="shared" si="95"/>
        <v>0.75</v>
      </c>
      <c r="S185" s="855">
        <f>SUM(S175:S184)</f>
        <v>1.29</v>
      </c>
      <c r="U185" s="850">
        <f t="shared" si="93"/>
        <v>-4</v>
      </c>
      <c r="V185" s="843">
        <f t="shared" si="94"/>
        <v>0.5</v>
      </c>
    </row>
    <row r="186" spans="1:22" ht="30" customHeight="1" thickBot="1">
      <c r="A186" s="3224" t="s">
        <v>568</v>
      </c>
      <c r="B186" s="3224"/>
      <c r="C186" s="3224"/>
      <c r="D186" s="3224"/>
      <c r="E186" s="3224"/>
      <c r="F186" s="3224"/>
      <c r="G186" s="3224"/>
      <c r="H186" s="3224"/>
      <c r="I186" s="3224"/>
      <c r="J186" s="3224"/>
      <c r="K186" s="3224"/>
      <c r="L186" s="3224"/>
      <c r="M186" s="3224"/>
      <c r="N186" s="3224"/>
      <c r="O186" s="3224"/>
      <c r="P186" s="3224"/>
      <c r="Q186" s="3224"/>
      <c r="R186" s="3224"/>
      <c r="S186" s="3224"/>
    </row>
    <row r="187" spans="1:22" ht="29.25" customHeight="1">
      <c r="A187" s="3429" t="s">
        <v>85</v>
      </c>
      <c r="B187" s="3431" t="s">
        <v>541</v>
      </c>
      <c r="C187" s="3217" t="s">
        <v>542</v>
      </c>
      <c r="D187" s="3217"/>
      <c r="E187" s="3216" t="s">
        <v>543</v>
      </c>
      <c r="F187" s="3218"/>
      <c r="G187" s="3217" t="s">
        <v>544</v>
      </c>
      <c r="H187" s="3217"/>
      <c r="I187" s="3258" t="s">
        <v>545</v>
      </c>
      <c r="J187" s="3245"/>
      <c r="K187" s="3264" t="s">
        <v>546</v>
      </c>
      <c r="L187" s="3264"/>
      <c r="M187" s="3258" t="s">
        <v>547</v>
      </c>
      <c r="N187" s="3245"/>
      <c r="O187" s="3258" t="s">
        <v>548</v>
      </c>
      <c r="P187" s="3245"/>
      <c r="Q187" s="3264" t="s">
        <v>57</v>
      </c>
      <c r="R187" s="3264"/>
      <c r="S187" s="3433" t="s">
        <v>549</v>
      </c>
      <c r="U187" s="3258" t="s">
        <v>59</v>
      </c>
      <c r="V187" s="3245"/>
    </row>
    <row r="188" spans="1:22" ht="15.75" thickBot="1">
      <c r="A188" s="3430"/>
      <c r="B188" s="3432"/>
      <c r="C188" s="1889" t="s">
        <v>550</v>
      </c>
      <c r="D188" s="831" t="s">
        <v>551</v>
      </c>
      <c r="E188" s="832" t="s">
        <v>550</v>
      </c>
      <c r="F188" s="833" t="s">
        <v>551</v>
      </c>
      <c r="G188" s="1889" t="s">
        <v>550</v>
      </c>
      <c r="H188" s="831" t="s">
        <v>551</v>
      </c>
      <c r="I188" s="834" t="s">
        <v>550</v>
      </c>
      <c r="J188" s="833" t="s">
        <v>551</v>
      </c>
      <c r="K188" s="1890" t="s">
        <v>550</v>
      </c>
      <c r="L188" s="831" t="s">
        <v>551</v>
      </c>
      <c r="M188" s="834" t="s">
        <v>550</v>
      </c>
      <c r="N188" s="833" t="s">
        <v>551</v>
      </c>
      <c r="O188" s="834" t="s">
        <v>550</v>
      </c>
      <c r="P188" s="833" t="s">
        <v>551</v>
      </c>
      <c r="Q188" s="1891" t="s">
        <v>529</v>
      </c>
      <c r="R188" s="831" t="s">
        <v>551</v>
      </c>
      <c r="S188" s="3434"/>
      <c r="U188" s="1645" t="s">
        <v>529</v>
      </c>
      <c r="V188" s="1646" t="s">
        <v>551</v>
      </c>
    </row>
    <row r="189" spans="1:22">
      <c r="A189" s="3435" t="s">
        <v>195</v>
      </c>
      <c r="B189" s="933" t="s">
        <v>553</v>
      </c>
      <c r="C189" s="977">
        <v>233</v>
      </c>
      <c r="D189" s="978">
        <f>(F189/$F$199)*$D$199</f>
        <v>0.12</v>
      </c>
      <c r="E189" s="847">
        <v>199</v>
      </c>
      <c r="F189" s="853">
        <v>0.13</v>
      </c>
      <c r="G189" s="847">
        <v>199</v>
      </c>
      <c r="H189" s="851">
        <v>0.14000000000000001</v>
      </c>
      <c r="I189" s="847">
        <v>199</v>
      </c>
      <c r="J189" s="853">
        <v>0.14000000000000001</v>
      </c>
      <c r="K189" s="847">
        <v>199</v>
      </c>
      <c r="L189" s="851">
        <v>0.14000000000000001</v>
      </c>
      <c r="M189" s="847">
        <v>199</v>
      </c>
      <c r="N189" s="853">
        <v>0.15</v>
      </c>
      <c r="O189" s="847">
        <v>199</v>
      </c>
      <c r="P189" s="853">
        <v>0.14000000000000001</v>
      </c>
      <c r="Q189" s="837">
        <f t="shared" ref="Q189:Q232" si="105">(O189-C189)/C189</f>
        <v>-0.15</v>
      </c>
      <c r="R189" s="839">
        <f t="shared" ref="R189:R232" si="106">(P189-D189)/D189</f>
        <v>0.17</v>
      </c>
      <c r="S189" s="854">
        <v>0.23</v>
      </c>
      <c r="U189" s="847">
        <f t="shared" ref="U189" si="107">O189-C189</f>
        <v>-34</v>
      </c>
      <c r="V189" s="853">
        <f t="shared" ref="V189" si="108">P189-D189</f>
        <v>0.02</v>
      </c>
    </row>
    <row r="190" spans="1:22">
      <c r="A190" s="3436"/>
      <c r="B190" s="931" t="s">
        <v>554</v>
      </c>
      <c r="C190" s="979">
        <v>619</v>
      </c>
      <c r="D190" s="980">
        <f t="shared" ref="D190:D198" si="109">(F190/$F$199)*$D$199</f>
        <v>1.05</v>
      </c>
      <c r="E190" s="848">
        <v>611</v>
      </c>
      <c r="F190" s="835">
        <v>1.1299999999999999</v>
      </c>
      <c r="G190" s="848">
        <v>663</v>
      </c>
      <c r="H190" s="836">
        <v>1.24</v>
      </c>
      <c r="I190" s="848">
        <v>877</v>
      </c>
      <c r="J190" s="835">
        <v>1.64</v>
      </c>
      <c r="K190" s="848">
        <v>939</v>
      </c>
      <c r="L190" s="836">
        <v>1.77</v>
      </c>
      <c r="M190" s="848">
        <v>1015</v>
      </c>
      <c r="N190" s="835">
        <v>1.92</v>
      </c>
      <c r="O190" s="848">
        <v>1015</v>
      </c>
      <c r="P190" s="835">
        <v>1.94</v>
      </c>
      <c r="Q190" s="838">
        <f t="shared" si="105"/>
        <v>0.64</v>
      </c>
      <c r="R190" s="840">
        <f t="shared" si="106"/>
        <v>0.85</v>
      </c>
      <c r="S190" s="841">
        <v>2.79</v>
      </c>
      <c r="U190" s="848">
        <f t="shared" ref="U190:U232" si="110">O190-C190</f>
        <v>396</v>
      </c>
      <c r="V190" s="835">
        <f t="shared" ref="V190:V232" si="111">P190-D190</f>
        <v>0.89</v>
      </c>
    </row>
    <row r="191" spans="1:22">
      <c r="A191" s="3436"/>
      <c r="B191" s="931" t="s">
        <v>555</v>
      </c>
      <c r="C191" s="979">
        <v>4672</v>
      </c>
      <c r="D191" s="981">
        <f t="shared" si="109"/>
        <v>5.64</v>
      </c>
      <c r="E191" s="848">
        <v>4675</v>
      </c>
      <c r="F191" s="835">
        <v>6.09</v>
      </c>
      <c r="G191" s="848">
        <v>4681</v>
      </c>
      <c r="H191" s="836">
        <v>6.19</v>
      </c>
      <c r="I191" s="848">
        <v>4681</v>
      </c>
      <c r="J191" s="835">
        <v>6.26</v>
      </c>
      <c r="K191" s="848">
        <v>4695</v>
      </c>
      <c r="L191" s="836">
        <v>6.31</v>
      </c>
      <c r="M191" s="848">
        <v>4702</v>
      </c>
      <c r="N191" s="835">
        <v>6.39</v>
      </c>
      <c r="O191" s="848">
        <v>4752</v>
      </c>
      <c r="P191" s="835">
        <v>6.52</v>
      </c>
      <c r="Q191" s="838">
        <f t="shared" si="105"/>
        <v>0.02</v>
      </c>
      <c r="R191" s="840">
        <f t="shared" si="106"/>
        <v>0.16</v>
      </c>
      <c r="S191" s="841">
        <v>9.9700000000000006</v>
      </c>
      <c r="U191" s="848">
        <f t="shared" si="110"/>
        <v>80</v>
      </c>
      <c r="V191" s="835">
        <f t="shared" si="111"/>
        <v>0.88</v>
      </c>
    </row>
    <row r="192" spans="1:22">
      <c r="A192" s="3436"/>
      <c r="B192" s="931" t="s">
        <v>556</v>
      </c>
      <c r="C192" s="979">
        <v>1365</v>
      </c>
      <c r="D192" s="981">
        <f t="shared" si="109"/>
        <v>1.8</v>
      </c>
      <c r="E192" s="848">
        <v>1546</v>
      </c>
      <c r="F192" s="835">
        <v>1.95</v>
      </c>
      <c r="G192" s="848">
        <v>1797</v>
      </c>
      <c r="H192" s="836">
        <v>2.29</v>
      </c>
      <c r="I192" s="848">
        <v>1959</v>
      </c>
      <c r="J192" s="835">
        <v>2.5299999999999998</v>
      </c>
      <c r="K192" s="848">
        <v>2117</v>
      </c>
      <c r="L192" s="836">
        <v>2.76</v>
      </c>
      <c r="M192" s="848">
        <v>2298</v>
      </c>
      <c r="N192" s="835">
        <v>3.02</v>
      </c>
      <c r="O192" s="848">
        <v>2487</v>
      </c>
      <c r="P192" s="835">
        <v>3.29</v>
      </c>
      <c r="Q192" s="838">
        <f t="shared" si="105"/>
        <v>0.82</v>
      </c>
      <c r="R192" s="840">
        <f t="shared" si="106"/>
        <v>0.83</v>
      </c>
      <c r="S192" s="841">
        <v>4.41</v>
      </c>
      <c r="U192" s="848">
        <f t="shared" si="110"/>
        <v>1122</v>
      </c>
      <c r="V192" s="835">
        <f t="shared" si="111"/>
        <v>1.49</v>
      </c>
    </row>
    <row r="193" spans="1:23">
      <c r="A193" s="3436"/>
      <c r="B193" s="931" t="s">
        <v>557</v>
      </c>
      <c r="C193" s="979">
        <v>322</v>
      </c>
      <c r="D193" s="981">
        <f t="shared" si="109"/>
        <v>0.23</v>
      </c>
      <c r="E193" s="848">
        <v>343</v>
      </c>
      <c r="F193" s="835">
        <v>0.25</v>
      </c>
      <c r="G193" s="848">
        <v>424</v>
      </c>
      <c r="H193" s="836">
        <v>0.32</v>
      </c>
      <c r="I193" s="848">
        <v>550</v>
      </c>
      <c r="J193" s="835">
        <v>0.41</v>
      </c>
      <c r="K193" s="848">
        <v>841</v>
      </c>
      <c r="L193" s="836">
        <v>0.64</v>
      </c>
      <c r="M193" s="848">
        <v>1106</v>
      </c>
      <c r="N193" s="835">
        <v>0.85</v>
      </c>
      <c r="O193" s="848">
        <v>1337</v>
      </c>
      <c r="P193" s="835">
        <v>1.03</v>
      </c>
      <c r="Q193" s="838">
        <f t="shared" si="105"/>
        <v>3.15</v>
      </c>
      <c r="R193" s="840">
        <f t="shared" si="106"/>
        <v>3.48</v>
      </c>
      <c r="S193" s="841">
        <v>1.53</v>
      </c>
      <c r="U193" s="848">
        <f t="shared" si="110"/>
        <v>1015</v>
      </c>
      <c r="V193" s="835">
        <f t="shared" si="111"/>
        <v>0.8</v>
      </c>
    </row>
    <row r="194" spans="1:23">
      <c r="A194" s="3436"/>
      <c r="B194" s="931" t="s">
        <v>558</v>
      </c>
      <c r="C194" s="979">
        <v>2623</v>
      </c>
      <c r="D194" s="981">
        <f t="shared" si="109"/>
        <v>5.65</v>
      </c>
      <c r="E194" s="848">
        <v>2508</v>
      </c>
      <c r="F194" s="835">
        <v>6.1</v>
      </c>
      <c r="G194" s="848">
        <v>2624</v>
      </c>
      <c r="H194" s="836">
        <v>6.43</v>
      </c>
      <c r="I194" s="848">
        <v>2624</v>
      </c>
      <c r="J194" s="835">
        <v>6.43</v>
      </c>
      <c r="K194" s="848">
        <v>2665</v>
      </c>
      <c r="L194" s="836">
        <v>6.6</v>
      </c>
      <c r="M194" s="848">
        <v>2735</v>
      </c>
      <c r="N194" s="835">
        <v>6.83</v>
      </c>
      <c r="O194" s="848">
        <v>2860</v>
      </c>
      <c r="P194" s="835">
        <v>7.19</v>
      </c>
      <c r="Q194" s="838">
        <f t="shared" si="105"/>
        <v>0.09</v>
      </c>
      <c r="R194" s="840">
        <f t="shared" si="106"/>
        <v>0.27</v>
      </c>
      <c r="S194" s="841">
        <v>8.1999999999999993</v>
      </c>
      <c r="U194" s="848">
        <f t="shared" si="110"/>
        <v>237</v>
      </c>
      <c r="V194" s="835">
        <f t="shared" si="111"/>
        <v>1.54</v>
      </c>
    </row>
    <row r="195" spans="1:23">
      <c r="A195" s="3436"/>
      <c r="B195" s="931" t="s">
        <v>559</v>
      </c>
      <c r="C195" s="979">
        <v>1108</v>
      </c>
      <c r="D195" s="981">
        <f t="shared" si="109"/>
        <v>0.51</v>
      </c>
      <c r="E195" s="848">
        <v>563</v>
      </c>
      <c r="F195" s="835">
        <v>0.55000000000000004</v>
      </c>
      <c r="G195" s="848">
        <v>650</v>
      </c>
      <c r="H195" s="836">
        <v>0.61</v>
      </c>
      <c r="I195" s="848">
        <v>744</v>
      </c>
      <c r="J195" s="835">
        <v>0.71</v>
      </c>
      <c r="K195" s="848">
        <v>772</v>
      </c>
      <c r="L195" s="836">
        <v>0.73</v>
      </c>
      <c r="M195" s="848">
        <v>772</v>
      </c>
      <c r="N195" s="835">
        <v>0.72</v>
      </c>
      <c r="O195" s="848">
        <v>782</v>
      </c>
      <c r="P195" s="835">
        <v>0.71</v>
      </c>
      <c r="Q195" s="838">
        <f t="shared" si="105"/>
        <v>-0.28999999999999998</v>
      </c>
      <c r="R195" s="840">
        <f t="shared" si="106"/>
        <v>0.39</v>
      </c>
      <c r="S195" s="841">
        <v>1.17</v>
      </c>
      <c r="U195" s="848">
        <f t="shared" si="110"/>
        <v>-326</v>
      </c>
      <c r="V195" s="835">
        <f t="shared" si="111"/>
        <v>0.2</v>
      </c>
    </row>
    <row r="196" spans="1:23">
      <c r="A196" s="3436"/>
      <c r="B196" s="931" t="s">
        <v>560</v>
      </c>
      <c r="C196" s="979">
        <v>207</v>
      </c>
      <c r="D196" s="981">
        <f t="shared" si="109"/>
        <v>0.31</v>
      </c>
      <c r="E196" s="848">
        <v>356</v>
      </c>
      <c r="F196" s="835">
        <v>0.33</v>
      </c>
      <c r="G196" s="848">
        <v>356</v>
      </c>
      <c r="H196" s="836">
        <v>0.33</v>
      </c>
      <c r="I196" s="848">
        <v>356</v>
      </c>
      <c r="J196" s="835">
        <v>0.33</v>
      </c>
      <c r="K196" s="848">
        <v>356</v>
      </c>
      <c r="L196" s="836">
        <v>0.33</v>
      </c>
      <c r="M196" s="848">
        <v>356</v>
      </c>
      <c r="N196" s="835">
        <v>0.34</v>
      </c>
      <c r="O196" s="848">
        <v>356</v>
      </c>
      <c r="P196" s="835">
        <v>0.34</v>
      </c>
      <c r="Q196" s="838">
        <f t="shared" si="105"/>
        <v>0.72</v>
      </c>
      <c r="R196" s="840">
        <f t="shared" si="106"/>
        <v>0.1</v>
      </c>
      <c r="S196" s="841">
        <v>0.45</v>
      </c>
      <c r="U196" s="848">
        <f t="shared" si="110"/>
        <v>149</v>
      </c>
      <c r="V196" s="835">
        <f t="shared" si="111"/>
        <v>0.03</v>
      </c>
    </row>
    <row r="197" spans="1:23">
      <c r="A197" s="3436"/>
      <c r="B197" s="931" t="s">
        <v>561</v>
      </c>
      <c r="C197" s="979">
        <v>0</v>
      </c>
      <c r="D197" s="981">
        <f t="shared" si="109"/>
        <v>0</v>
      </c>
      <c r="E197" s="848">
        <v>0</v>
      </c>
      <c r="F197" s="835">
        <v>0</v>
      </c>
      <c r="G197" s="848">
        <v>0</v>
      </c>
      <c r="H197" s="836">
        <v>0</v>
      </c>
      <c r="I197" s="848">
        <v>0</v>
      </c>
      <c r="J197" s="835">
        <v>0</v>
      </c>
      <c r="K197" s="848">
        <v>0</v>
      </c>
      <c r="L197" s="836">
        <v>0</v>
      </c>
      <c r="M197" s="848">
        <v>0</v>
      </c>
      <c r="N197" s="835">
        <v>0</v>
      </c>
      <c r="O197" s="848">
        <v>0</v>
      </c>
      <c r="P197" s="835">
        <v>0</v>
      </c>
      <c r="Q197" s="859" t="s">
        <v>16</v>
      </c>
      <c r="R197" s="858" t="s">
        <v>16</v>
      </c>
      <c r="S197" s="841">
        <v>0</v>
      </c>
      <c r="U197" s="848">
        <f t="shared" si="110"/>
        <v>0</v>
      </c>
      <c r="V197" s="835">
        <f t="shared" si="111"/>
        <v>0</v>
      </c>
    </row>
    <row r="198" spans="1:23" ht="15.75" thickBot="1">
      <c r="A198" s="3436"/>
      <c r="B198" s="932" t="s">
        <v>562</v>
      </c>
      <c r="C198" s="982">
        <v>0</v>
      </c>
      <c r="D198" s="983">
        <f t="shared" si="109"/>
        <v>0.46</v>
      </c>
      <c r="E198" s="849">
        <v>0</v>
      </c>
      <c r="F198" s="1885">
        <v>0.5</v>
      </c>
      <c r="G198" s="849">
        <v>0</v>
      </c>
      <c r="H198" s="1881">
        <f>F198</f>
        <v>0.5</v>
      </c>
      <c r="I198" s="849">
        <v>0</v>
      </c>
      <c r="J198" s="1885">
        <f>H198</f>
        <v>0.5</v>
      </c>
      <c r="K198" s="849">
        <v>0</v>
      </c>
      <c r="L198" s="1881">
        <f>J198</f>
        <v>0.5</v>
      </c>
      <c r="M198" s="849">
        <v>0</v>
      </c>
      <c r="N198" s="1885">
        <f>L198</f>
        <v>0.5</v>
      </c>
      <c r="O198" s="849">
        <v>0</v>
      </c>
      <c r="P198" s="1885">
        <v>0.5</v>
      </c>
      <c r="Q198" s="1886" t="s">
        <v>16</v>
      </c>
      <c r="R198" s="1888">
        <f t="shared" si="106"/>
        <v>0.09</v>
      </c>
      <c r="S198" s="846">
        <f>N198</f>
        <v>0.5</v>
      </c>
      <c r="U198" s="849">
        <f t="shared" si="110"/>
        <v>0</v>
      </c>
      <c r="V198" s="1885">
        <f t="shared" si="111"/>
        <v>0.04</v>
      </c>
    </row>
    <row r="199" spans="1:23" ht="16.5" thickTop="1" thickBot="1">
      <c r="A199" s="3437"/>
      <c r="B199" s="842" t="s">
        <v>18</v>
      </c>
      <c r="C199" s="984">
        <f>SUM(C189:C198)</f>
        <v>11149</v>
      </c>
      <c r="D199" s="985">
        <f>'Table 7'!E21</f>
        <v>15.76</v>
      </c>
      <c r="E199" s="850">
        <f t="shared" ref="E199:P199" si="112">SUM(E189:E198)</f>
        <v>10801</v>
      </c>
      <c r="F199" s="843">
        <f t="shared" si="112"/>
        <v>17.03</v>
      </c>
      <c r="G199" s="850">
        <f t="shared" si="112"/>
        <v>11394</v>
      </c>
      <c r="H199" s="852">
        <f t="shared" si="112"/>
        <v>18.05</v>
      </c>
      <c r="I199" s="850">
        <f t="shared" si="112"/>
        <v>11990</v>
      </c>
      <c r="J199" s="843">
        <f t="shared" si="112"/>
        <v>18.95</v>
      </c>
      <c r="K199" s="850">
        <f t="shared" si="112"/>
        <v>12584</v>
      </c>
      <c r="L199" s="852">
        <f t="shared" si="112"/>
        <v>19.78</v>
      </c>
      <c r="M199" s="850">
        <f t="shared" si="112"/>
        <v>13183</v>
      </c>
      <c r="N199" s="843">
        <f t="shared" si="112"/>
        <v>20.72</v>
      </c>
      <c r="O199" s="850">
        <f t="shared" si="112"/>
        <v>13788</v>
      </c>
      <c r="P199" s="843">
        <f t="shared" si="112"/>
        <v>21.66</v>
      </c>
      <c r="Q199" s="880">
        <f t="shared" si="105"/>
        <v>0.24</v>
      </c>
      <c r="R199" s="881">
        <f t="shared" si="106"/>
        <v>0.37</v>
      </c>
      <c r="S199" s="855">
        <f>SUM(S189:S198)</f>
        <v>29.25</v>
      </c>
      <c r="U199" s="850">
        <f t="shared" si="110"/>
        <v>2639</v>
      </c>
      <c r="V199" s="843">
        <f t="shared" si="111"/>
        <v>5.9</v>
      </c>
      <c r="W199" t="s">
        <v>36</v>
      </c>
    </row>
    <row r="200" spans="1:23">
      <c r="A200" s="3435" t="s">
        <v>205</v>
      </c>
      <c r="B200" s="933" t="s">
        <v>553</v>
      </c>
      <c r="C200" s="971">
        <v>0</v>
      </c>
      <c r="D200" s="853">
        <f>(F200/$F$210)*$D$210</f>
        <v>0</v>
      </c>
      <c r="E200" s="847">
        <v>0</v>
      </c>
      <c r="F200" s="853">
        <v>0</v>
      </c>
      <c r="G200" s="847">
        <v>0</v>
      </c>
      <c r="H200" s="851">
        <v>0</v>
      </c>
      <c r="I200" s="847">
        <v>0</v>
      </c>
      <c r="J200" s="853">
        <v>0</v>
      </c>
      <c r="K200" s="847">
        <v>0</v>
      </c>
      <c r="L200" s="851">
        <v>0</v>
      </c>
      <c r="M200" s="847">
        <v>0</v>
      </c>
      <c r="N200" s="853">
        <v>0</v>
      </c>
      <c r="O200" s="847">
        <v>0</v>
      </c>
      <c r="P200" s="853">
        <v>0</v>
      </c>
      <c r="Q200" s="878" t="s">
        <v>16</v>
      </c>
      <c r="R200" s="879" t="s">
        <v>16</v>
      </c>
      <c r="S200" s="854">
        <v>0</v>
      </c>
      <c r="U200" s="847">
        <f t="shared" si="110"/>
        <v>0</v>
      </c>
      <c r="V200" s="853">
        <f t="shared" si="111"/>
        <v>0</v>
      </c>
    </row>
    <row r="201" spans="1:23">
      <c r="A201" s="3436"/>
      <c r="B201" s="931" t="s">
        <v>554</v>
      </c>
      <c r="C201" s="972">
        <v>0</v>
      </c>
      <c r="D201" s="836">
        <f t="shared" ref="D201:D209" si="113">(F201/$F$210)*$D$210</f>
        <v>0</v>
      </c>
      <c r="E201" s="848">
        <v>0</v>
      </c>
      <c r="F201" s="835">
        <v>0</v>
      </c>
      <c r="G201" s="848">
        <v>0</v>
      </c>
      <c r="H201" s="836">
        <v>0</v>
      </c>
      <c r="I201" s="848">
        <v>0</v>
      </c>
      <c r="J201" s="835">
        <v>0</v>
      </c>
      <c r="K201" s="848">
        <v>0</v>
      </c>
      <c r="L201" s="836">
        <v>0</v>
      </c>
      <c r="M201" s="848">
        <v>0</v>
      </c>
      <c r="N201" s="835">
        <v>0</v>
      </c>
      <c r="O201" s="848">
        <v>0</v>
      </c>
      <c r="P201" s="835">
        <v>0</v>
      </c>
      <c r="Q201" s="859" t="s">
        <v>16</v>
      </c>
      <c r="R201" s="858" t="s">
        <v>16</v>
      </c>
      <c r="S201" s="841">
        <v>0</v>
      </c>
      <c r="U201" s="848">
        <f t="shared" si="110"/>
        <v>0</v>
      </c>
      <c r="V201" s="835">
        <f t="shared" si="111"/>
        <v>0</v>
      </c>
    </row>
    <row r="202" spans="1:23">
      <c r="A202" s="3436"/>
      <c r="B202" s="931" t="s">
        <v>555</v>
      </c>
      <c r="C202" s="972">
        <v>12772</v>
      </c>
      <c r="D202" s="836">
        <f t="shared" si="113"/>
        <v>10.92</v>
      </c>
      <c r="E202" s="848">
        <v>12620</v>
      </c>
      <c r="F202" s="835">
        <v>15.47</v>
      </c>
      <c r="G202" s="848">
        <v>12399</v>
      </c>
      <c r="H202" s="836">
        <v>15.32</v>
      </c>
      <c r="I202" s="848">
        <v>11932</v>
      </c>
      <c r="J202" s="835">
        <v>14.83</v>
      </c>
      <c r="K202" s="848">
        <v>11527</v>
      </c>
      <c r="L202" s="836">
        <v>14.45</v>
      </c>
      <c r="M202" s="848">
        <v>11224</v>
      </c>
      <c r="N202" s="835">
        <v>14.14</v>
      </c>
      <c r="O202" s="848">
        <v>11019</v>
      </c>
      <c r="P202" s="835">
        <v>13.95</v>
      </c>
      <c r="Q202" s="859">
        <f t="shared" si="105"/>
        <v>-0.14000000000000001</v>
      </c>
      <c r="R202" s="858">
        <f t="shared" si="106"/>
        <v>0.28000000000000003</v>
      </c>
      <c r="S202" s="841">
        <v>21.34</v>
      </c>
      <c r="U202" s="848">
        <f t="shared" si="110"/>
        <v>-1753</v>
      </c>
      <c r="V202" s="835">
        <f t="shared" si="111"/>
        <v>3.03</v>
      </c>
    </row>
    <row r="203" spans="1:23">
      <c r="A203" s="3436"/>
      <c r="B203" s="931" t="s">
        <v>556</v>
      </c>
      <c r="C203" s="972">
        <v>4777</v>
      </c>
      <c r="D203" s="836">
        <f t="shared" si="113"/>
        <v>4.3899999999999997</v>
      </c>
      <c r="E203" s="848">
        <v>4721</v>
      </c>
      <c r="F203" s="835">
        <v>6.22</v>
      </c>
      <c r="G203" s="848">
        <v>4641</v>
      </c>
      <c r="H203" s="836">
        <v>6.18</v>
      </c>
      <c r="I203" s="848">
        <v>4630</v>
      </c>
      <c r="J203" s="835">
        <v>6.23</v>
      </c>
      <c r="K203" s="848">
        <v>4564</v>
      </c>
      <c r="L203" s="836">
        <v>6.19</v>
      </c>
      <c r="M203" s="848">
        <v>4432</v>
      </c>
      <c r="N203" s="835">
        <v>6.07</v>
      </c>
      <c r="O203" s="848">
        <v>4284</v>
      </c>
      <c r="P203" s="835">
        <v>5.91</v>
      </c>
      <c r="Q203" s="859">
        <f t="shared" si="105"/>
        <v>-0.1</v>
      </c>
      <c r="R203" s="858">
        <f t="shared" si="106"/>
        <v>0.35</v>
      </c>
      <c r="S203" s="841">
        <v>7.92</v>
      </c>
      <c r="U203" s="848">
        <f t="shared" si="110"/>
        <v>-493</v>
      </c>
      <c r="V203" s="835">
        <f t="shared" si="111"/>
        <v>1.52</v>
      </c>
    </row>
    <row r="204" spans="1:23">
      <c r="A204" s="3436"/>
      <c r="B204" s="931" t="s">
        <v>557</v>
      </c>
      <c r="C204" s="972">
        <v>2210</v>
      </c>
      <c r="D204" s="836">
        <f t="shared" si="113"/>
        <v>1.28</v>
      </c>
      <c r="E204" s="848">
        <v>2071</v>
      </c>
      <c r="F204" s="835">
        <v>1.81</v>
      </c>
      <c r="G204" s="848">
        <v>2071</v>
      </c>
      <c r="H204" s="836">
        <v>1.83</v>
      </c>
      <c r="I204" s="848">
        <v>2071</v>
      </c>
      <c r="J204" s="835">
        <v>1.81</v>
      </c>
      <c r="K204" s="848">
        <v>2071</v>
      </c>
      <c r="L204" s="836">
        <v>1.87</v>
      </c>
      <c r="M204" s="848">
        <v>1953</v>
      </c>
      <c r="N204" s="835">
        <v>1.74</v>
      </c>
      <c r="O204" s="848">
        <v>1819</v>
      </c>
      <c r="P204" s="835">
        <v>1.61</v>
      </c>
      <c r="Q204" s="859">
        <f t="shared" si="105"/>
        <v>-0.18</v>
      </c>
      <c r="R204" s="858">
        <f t="shared" si="106"/>
        <v>0.26</v>
      </c>
      <c r="S204" s="841">
        <v>2.39</v>
      </c>
      <c r="U204" s="848">
        <f t="shared" si="110"/>
        <v>-391</v>
      </c>
      <c r="V204" s="835">
        <f t="shared" si="111"/>
        <v>0.33</v>
      </c>
    </row>
    <row r="205" spans="1:23">
      <c r="A205" s="3436"/>
      <c r="B205" s="931" t="s">
        <v>558</v>
      </c>
      <c r="C205" s="972">
        <v>292</v>
      </c>
      <c r="D205" s="836">
        <f t="shared" si="113"/>
        <v>0.36</v>
      </c>
      <c r="E205" s="848">
        <v>195</v>
      </c>
      <c r="F205" s="835">
        <v>0.51</v>
      </c>
      <c r="G205" s="848">
        <v>158</v>
      </c>
      <c r="H205" s="836">
        <v>0.44</v>
      </c>
      <c r="I205" s="848">
        <v>158</v>
      </c>
      <c r="J205" s="835">
        <v>0.44</v>
      </c>
      <c r="K205" s="848">
        <v>133</v>
      </c>
      <c r="L205" s="836">
        <v>0.38</v>
      </c>
      <c r="M205" s="848">
        <v>133</v>
      </c>
      <c r="N205" s="835">
        <v>0.38</v>
      </c>
      <c r="O205" s="848">
        <v>133</v>
      </c>
      <c r="P205" s="835">
        <v>0.37</v>
      </c>
      <c r="Q205" s="859">
        <f t="shared" si="105"/>
        <v>-0.54</v>
      </c>
      <c r="R205" s="858">
        <f t="shared" si="106"/>
        <v>0.03</v>
      </c>
      <c r="S205" s="841">
        <v>0.43</v>
      </c>
      <c r="U205" s="848">
        <f t="shared" si="110"/>
        <v>-159</v>
      </c>
      <c r="V205" s="835">
        <f t="shared" si="111"/>
        <v>0.01</v>
      </c>
    </row>
    <row r="206" spans="1:23">
      <c r="A206" s="3436"/>
      <c r="B206" s="931" t="s">
        <v>559</v>
      </c>
      <c r="C206" s="972">
        <v>549</v>
      </c>
      <c r="D206" s="836">
        <f t="shared" si="113"/>
        <v>0.3</v>
      </c>
      <c r="E206" s="848">
        <v>405</v>
      </c>
      <c r="F206" s="835">
        <v>0.43</v>
      </c>
      <c r="G206" s="848">
        <v>405</v>
      </c>
      <c r="H206" s="836">
        <v>0.44</v>
      </c>
      <c r="I206" s="848">
        <v>405</v>
      </c>
      <c r="J206" s="835">
        <v>0.43</v>
      </c>
      <c r="K206" s="848">
        <v>405</v>
      </c>
      <c r="L206" s="836">
        <v>0.43</v>
      </c>
      <c r="M206" s="848">
        <v>405</v>
      </c>
      <c r="N206" s="835">
        <v>0.44</v>
      </c>
      <c r="O206" s="848">
        <v>382</v>
      </c>
      <c r="P206" s="835">
        <v>0.41</v>
      </c>
      <c r="Q206" s="859">
        <f t="shared" si="105"/>
        <v>-0.3</v>
      </c>
      <c r="R206" s="858">
        <f t="shared" si="106"/>
        <v>0.37</v>
      </c>
      <c r="S206" s="841">
        <v>0.67</v>
      </c>
      <c r="U206" s="848">
        <f t="shared" si="110"/>
        <v>-167</v>
      </c>
      <c r="V206" s="835">
        <f t="shared" si="111"/>
        <v>0.11</v>
      </c>
    </row>
    <row r="207" spans="1:23">
      <c r="A207" s="3436"/>
      <c r="B207" s="931" t="s">
        <v>560</v>
      </c>
      <c r="C207" s="972">
        <v>1444</v>
      </c>
      <c r="D207" s="836">
        <f t="shared" si="113"/>
        <v>0.89</v>
      </c>
      <c r="E207" s="848">
        <v>1362</v>
      </c>
      <c r="F207" s="835">
        <v>1.26</v>
      </c>
      <c r="G207" s="848">
        <v>1172</v>
      </c>
      <c r="H207" s="836">
        <v>1.08</v>
      </c>
      <c r="I207" s="848">
        <v>1172</v>
      </c>
      <c r="J207" s="835">
        <v>1.07</v>
      </c>
      <c r="K207" s="848">
        <v>1172</v>
      </c>
      <c r="L207" s="836">
        <v>1.08</v>
      </c>
      <c r="M207" s="848">
        <v>1172</v>
      </c>
      <c r="N207" s="835">
        <v>1.0900000000000001</v>
      </c>
      <c r="O207" s="848">
        <v>1172</v>
      </c>
      <c r="P207" s="835">
        <v>1.1000000000000001</v>
      </c>
      <c r="Q207" s="859">
        <f t="shared" si="105"/>
        <v>-0.19</v>
      </c>
      <c r="R207" s="858">
        <f t="shared" si="106"/>
        <v>0.24</v>
      </c>
      <c r="S207" s="841">
        <v>1.44</v>
      </c>
      <c r="U207" s="848">
        <f t="shared" si="110"/>
        <v>-272</v>
      </c>
      <c r="V207" s="835">
        <f t="shared" si="111"/>
        <v>0.21</v>
      </c>
    </row>
    <row r="208" spans="1:23">
      <c r="A208" s="3436"/>
      <c r="B208" s="931" t="s">
        <v>561</v>
      </c>
      <c r="C208" s="972">
        <v>0</v>
      </c>
      <c r="D208" s="836">
        <f t="shared" si="113"/>
        <v>0</v>
      </c>
      <c r="E208" s="848">
        <v>0</v>
      </c>
      <c r="F208" s="835">
        <v>0</v>
      </c>
      <c r="G208" s="848">
        <v>0</v>
      </c>
      <c r="H208" s="836">
        <v>0</v>
      </c>
      <c r="I208" s="848">
        <v>0</v>
      </c>
      <c r="J208" s="835">
        <v>0</v>
      </c>
      <c r="K208" s="848">
        <v>0</v>
      </c>
      <c r="L208" s="836">
        <v>0</v>
      </c>
      <c r="M208" s="848">
        <v>0</v>
      </c>
      <c r="N208" s="835">
        <v>0</v>
      </c>
      <c r="O208" s="848">
        <v>0</v>
      </c>
      <c r="P208" s="835">
        <v>0</v>
      </c>
      <c r="Q208" s="859" t="s">
        <v>16</v>
      </c>
      <c r="R208" s="858" t="s">
        <v>16</v>
      </c>
      <c r="S208" s="841">
        <v>0</v>
      </c>
      <c r="U208" s="848">
        <f t="shared" si="110"/>
        <v>0</v>
      </c>
      <c r="V208" s="835">
        <f t="shared" si="111"/>
        <v>0</v>
      </c>
    </row>
    <row r="209" spans="1:22" ht="15.75" thickBot="1">
      <c r="A209" s="3436"/>
      <c r="B209" s="932" t="s">
        <v>562</v>
      </c>
      <c r="C209" s="1880">
        <v>0</v>
      </c>
      <c r="D209" s="1881">
        <f t="shared" si="113"/>
        <v>0.04</v>
      </c>
      <c r="E209" s="849">
        <v>0</v>
      </c>
      <c r="F209" s="1885">
        <v>0.06</v>
      </c>
      <c r="G209" s="849">
        <v>0</v>
      </c>
      <c r="H209" s="1881">
        <f>F209</f>
        <v>0.06</v>
      </c>
      <c r="I209" s="849">
        <v>0</v>
      </c>
      <c r="J209" s="1885">
        <f>H209</f>
        <v>0.06</v>
      </c>
      <c r="K209" s="849">
        <v>0</v>
      </c>
      <c r="L209" s="1881">
        <f>J209</f>
        <v>0.06</v>
      </c>
      <c r="M209" s="849">
        <v>0</v>
      </c>
      <c r="N209" s="1885">
        <f>L209</f>
        <v>0.06</v>
      </c>
      <c r="O209" s="849">
        <v>0</v>
      </c>
      <c r="P209" s="1885">
        <v>0.06</v>
      </c>
      <c r="Q209" s="1886" t="s">
        <v>16</v>
      </c>
      <c r="R209" s="1888">
        <f t="shared" si="106"/>
        <v>0.5</v>
      </c>
      <c r="S209" s="846">
        <f>N209</f>
        <v>0.06</v>
      </c>
      <c r="U209" s="849">
        <f t="shared" si="110"/>
        <v>0</v>
      </c>
      <c r="V209" s="1885">
        <f t="shared" si="111"/>
        <v>0.02</v>
      </c>
    </row>
    <row r="210" spans="1:22" ht="16.5" thickTop="1" thickBot="1">
      <c r="A210" s="3437"/>
      <c r="B210" s="842" t="s">
        <v>18</v>
      </c>
      <c r="C210" s="973">
        <f>SUM(C200:C209)</f>
        <v>22044</v>
      </c>
      <c r="D210" s="852">
        <f>'Table 7'!E22</f>
        <v>18.18</v>
      </c>
      <c r="E210" s="850">
        <f t="shared" ref="E210:P210" si="114">SUM(E200:E209)</f>
        <v>21374</v>
      </c>
      <c r="F210" s="843">
        <f t="shared" si="114"/>
        <v>25.76</v>
      </c>
      <c r="G210" s="850">
        <f t="shared" si="114"/>
        <v>20846</v>
      </c>
      <c r="H210" s="852">
        <f t="shared" si="114"/>
        <v>25.35</v>
      </c>
      <c r="I210" s="850">
        <f t="shared" si="114"/>
        <v>20368</v>
      </c>
      <c r="J210" s="843">
        <f t="shared" si="114"/>
        <v>24.87</v>
      </c>
      <c r="K210" s="850">
        <f t="shared" si="114"/>
        <v>19872</v>
      </c>
      <c r="L210" s="852">
        <f t="shared" si="114"/>
        <v>24.46</v>
      </c>
      <c r="M210" s="850">
        <f t="shared" si="114"/>
        <v>19319</v>
      </c>
      <c r="N210" s="843">
        <f t="shared" si="114"/>
        <v>23.92</v>
      </c>
      <c r="O210" s="850">
        <f t="shared" si="114"/>
        <v>18809</v>
      </c>
      <c r="P210" s="843">
        <f t="shared" si="114"/>
        <v>23.41</v>
      </c>
      <c r="Q210" s="880">
        <f t="shared" si="105"/>
        <v>-0.15</v>
      </c>
      <c r="R210" s="881">
        <f t="shared" si="106"/>
        <v>0.28999999999999998</v>
      </c>
      <c r="S210" s="855">
        <f>SUM(S200:S209)</f>
        <v>34.25</v>
      </c>
      <c r="U210" s="850">
        <f t="shared" si="110"/>
        <v>-3235</v>
      </c>
      <c r="V210" s="843">
        <f t="shared" si="111"/>
        <v>5.23</v>
      </c>
    </row>
    <row r="211" spans="1:22">
      <c r="A211" s="3435" t="s">
        <v>213</v>
      </c>
      <c r="B211" s="933" t="s">
        <v>553</v>
      </c>
      <c r="C211" s="971">
        <v>0</v>
      </c>
      <c r="D211" s="853">
        <f>(F211/$F$221)*$D$221</f>
        <v>0</v>
      </c>
      <c r="E211" s="847">
        <v>0</v>
      </c>
      <c r="F211" s="853">
        <v>0</v>
      </c>
      <c r="G211" s="847">
        <v>0</v>
      </c>
      <c r="H211" s="851">
        <v>0</v>
      </c>
      <c r="I211" s="847">
        <v>0</v>
      </c>
      <c r="J211" s="853">
        <v>0</v>
      </c>
      <c r="K211" s="847">
        <v>0</v>
      </c>
      <c r="L211" s="851">
        <v>0</v>
      </c>
      <c r="M211" s="847">
        <v>0</v>
      </c>
      <c r="N211" s="853">
        <v>0</v>
      </c>
      <c r="O211" s="847">
        <v>0</v>
      </c>
      <c r="P211" s="853">
        <v>0</v>
      </c>
      <c r="Q211" s="878" t="s">
        <v>16</v>
      </c>
      <c r="R211" s="879" t="s">
        <v>16</v>
      </c>
      <c r="S211" s="854">
        <v>0</v>
      </c>
      <c r="U211" s="847">
        <f t="shared" si="110"/>
        <v>0</v>
      </c>
      <c r="V211" s="853">
        <f t="shared" si="111"/>
        <v>0</v>
      </c>
    </row>
    <row r="212" spans="1:22">
      <c r="A212" s="3436"/>
      <c r="B212" s="931" t="s">
        <v>554</v>
      </c>
      <c r="C212" s="972">
        <v>110</v>
      </c>
      <c r="D212" s="986">
        <f t="shared" ref="D212:D220" si="115">(F212/$F$221)*$D$221</f>
        <v>0.59</v>
      </c>
      <c r="E212" s="848">
        <v>311</v>
      </c>
      <c r="F212" s="835">
        <v>0.63</v>
      </c>
      <c r="G212" s="848">
        <v>475</v>
      </c>
      <c r="H212" s="836">
        <v>0.93</v>
      </c>
      <c r="I212" s="848">
        <v>579</v>
      </c>
      <c r="J212" s="835">
        <v>1.1000000000000001</v>
      </c>
      <c r="K212" s="848">
        <v>652</v>
      </c>
      <c r="L212" s="836">
        <v>1.23</v>
      </c>
      <c r="M212" s="848">
        <v>721</v>
      </c>
      <c r="N212" s="835">
        <v>1.36</v>
      </c>
      <c r="O212" s="848">
        <v>923</v>
      </c>
      <c r="P212" s="835">
        <v>1.72</v>
      </c>
      <c r="Q212" s="859">
        <f t="shared" si="105"/>
        <v>7.39</v>
      </c>
      <c r="R212" s="858">
        <f t="shared" si="106"/>
        <v>1.92</v>
      </c>
      <c r="S212" s="841">
        <v>2.42</v>
      </c>
      <c r="U212" s="848">
        <f t="shared" si="110"/>
        <v>813</v>
      </c>
      <c r="V212" s="835">
        <f t="shared" si="111"/>
        <v>1.1299999999999999</v>
      </c>
    </row>
    <row r="213" spans="1:22">
      <c r="A213" s="3436"/>
      <c r="B213" s="931" t="s">
        <v>555</v>
      </c>
      <c r="C213" s="972">
        <v>1294</v>
      </c>
      <c r="D213" s="836">
        <f t="shared" si="115"/>
        <v>1.65</v>
      </c>
      <c r="E213" s="848">
        <v>1617</v>
      </c>
      <c r="F213" s="835">
        <v>1.77</v>
      </c>
      <c r="G213" s="848">
        <v>1617</v>
      </c>
      <c r="H213" s="836">
        <v>1.77</v>
      </c>
      <c r="I213" s="848">
        <v>1631</v>
      </c>
      <c r="J213" s="835">
        <v>1.8</v>
      </c>
      <c r="K213" s="848">
        <v>1681</v>
      </c>
      <c r="L213" s="836">
        <v>1.86</v>
      </c>
      <c r="M213" s="848">
        <v>1705</v>
      </c>
      <c r="N213" s="835">
        <v>1.89</v>
      </c>
      <c r="O213" s="848">
        <v>1705</v>
      </c>
      <c r="P213" s="835">
        <v>1.9</v>
      </c>
      <c r="Q213" s="859">
        <f t="shared" si="105"/>
        <v>0.32</v>
      </c>
      <c r="R213" s="858">
        <f t="shared" si="106"/>
        <v>0.15</v>
      </c>
      <c r="S213" s="841">
        <v>2.76</v>
      </c>
      <c r="U213" s="848">
        <f t="shared" si="110"/>
        <v>411</v>
      </c>
      <c r="V213" s="835">
        <f t="shared" si="111"/>
        <v>0.25</v>
      </c>
    </row>
    <row r="214" spans="1:22">
      <c r="A214" s="3436"/>
      <c r="B214" s="931" t="s">
        <v>556</v>
      </c>
      <c r="C214" s="972">
        <v>4317</v>
      </c>
      <c r="D214" s="836">
        <f t="shared" si="115"/>
        <v>6.01</v>
      </c>
      <c r="E214" s="848">
        <v>5080</v>
      </c>
      <c r="F214" s="835">
        <v>6.45</v>
      </c>
      <c r="G214" s="848">
        <v>5609</v>
      </c>
      <c r="H214" s="836">
        <v>7.18</v>
      </c>
      <c r="I214" s="848">
        <v>6061</v>
      </c>
      <c r="J214" s="835">
        <v>7.82</v>
      </c>
      <c r="K214" s="848">
        <v>6622</v>
      </c>
      <c r="L214" s="836">
        <v>8.6</v>
      </c>
      <c r="M214" s="848">
        <v>7102</v>
      </c>
      <c r="N214" s="835">
        <v>9.27</v>
      </c>
      <c r="O214" s="848">
        <v>7540</v>
      </c>
      <c r="P214" s="835">
        <v>9.8800000000000008</v>
      </c>
      <c r="Q214" s="859">
        <f t="shared" si="105"/>
        <v>0.75</v>
      </c>
      <c r="R214" s="858">
        <f t="shared" si="106"/>
        <v>0.64</v>
      </c>
      <c r="S214" s="841">
        <v>12.94</v>
      </c>
      <c r="T214" t="s">
        <v>36</v>
      </c>
      <c r="U214" s="848">
        <f t="shared" si="110"/>
        <v>3223</v>
      </c>
      <c r="V214" s="835">
        <f t="shared" si="111"/>
        <v>3.87</v>
      </c>
    </row>
    <row r="215" spans="1:22">
      <c r="A215" s="3436"/>
      <c r="B215" s="931" t="s">
        <v>557</v>
      </c>
      <c r="C215" s="972">
        <v>17067</v>
      </c>
      <c r="D215" s="836">
        <f t="shared" si="115"/>
        <v>16.04</v>
      </c>
      <c r="E215" s="848">
        <v>22944</v>
      </c>
      <c r="F215" s="835">
        <v>17.22</v>
      </c>
      <c r="G215" s="848">
        <v>23201</v>
      </c>
      <c r="H215" s="836">
        <v>17.559999999999999</v>
      </c>
      <c r="I215" s="848">
        <v>23504</v>
      </c>
      <c r="J215" s="835">
        <v>17.93</v>
      </c>
      <c r="K215" s="848">
        <v>23862</v>
      </c>
      <c r="L215" s="836">
        <v>18.46</v>
      </c>
      <c r="M215" s="848">
        <v>24313</v>
      </c>
      <c r="N215" s="835">
        <v>19.04</v>
      </c>
      <c r="O215" s="848">
        <v>24684</v>
      </c>
      <c r="P215" s="835">
        <v>19.52</v>
      </c>
      <c r="Q215" s="859">
        <f t="shared" si="105"/>
        <v>0.45</v>
      </c>
      <c r="R215" s="858">
        <f t="shared" si="106"/>
        <v>0.22</v>
      </c>
      <c r="S215" s="841">
        <v>24.79</v>
      </c>
      <c r="U215" s="848">
        <f t="shared" si="110"/>
        <v>7617</v>
      </c>
      <c r="V215" s="835">
        <f t="shared" si="111"/>
        <v>3.48</v>
      </c>
    </row>
    <row r="216" spans="1:22">
      <c r="A216" s="3436"/>
      <c r="B216" s="931" t="s">
        <v>558</v>
      </c>
      <c r="C216" s="972">
        <v>780</v>
      </c>
      <c r="D216" s="836">
        <f t="shared" si="115"/>
        <v>2.2400000000000002</v>
      </c>
      <c r="E216" s="848">
        <v>946</v>
      </c>
      <c r="F216" s="835">
        <v>2.4</v>
      </c>
      <c r="G216" s="848">
        <v>1235</v>
      </c>
      <c r="H216" s="836">
        <v>3.05</v>
      </c>
      <c r="I216" s="848">
        <v>1235</v>
      </c>
      <c r="J216" s="835">
        <v>3.05</v>
      </c>
      <c r="K216" s="848">
        <v>1398</v>
      </c>
      <c r="L216" s="836">
        <v>3.41</v>
      </c>
      <c r="M216" s="848">
        <v>1568</v>
      </c>
      <c r="N216" s="835">
        <v>3.8</v>
      </c>
      <c r="O216" s="848">
        <v>1793</v>
      </c>
      <c r="P216" s="835">
        <v>4.3099999999999996</v>
      </c>
      <c r="Q216" s="859">
        <f t="shared" si="105"/>
        <v>1.3</v>
      </c>
      <c r="R216" s="858">
        <f t="shared" si="106"/>
        <v>0.92</v>
      </c>
      <c r="S216" s="841">
        <v>4.87</v>
      </c>
      <c r="U216" s="848">
        <f t="shared" si="110"/>
        <v>1013</v>
      </c>
      <c r="V216" s="835">
        <f t="shared" si="111"/>
        <v>2.0699999999999998</v>
      </c>
    </row>
    <row r="217" spans="1:22">
      <c r="A217" s="3436"/>
      <c r="B217" s="931" t="s">
        <v>559</v>
      </c>
      <c r="C217" s="972">
        <v>4366</v>
      </c>
      <c r="D217" s="836">
        <f t="shared" si="115"/>
        <v>5.1100000000000003</v>
      </c>
      <c r="E217" s="848">
        <v>5693</v>
      </c>
      <c r="F217" s="835">
        <v>5.49</v>
      </c>
      <c r="G217" s="848">
        <v>5737</v>
      </c>
      <c r="H217" s="836">
        <v>5.55</v>
      </c>
      <c r="I217" s="848">
        <v>6117</v>
      </c>
      <c r="J217" s="835">
        <v>5.87</v>
      </c>
      <c r="K217" s="848">
        <v>6172</v>
      </c>
      <c r="L217" s="836">
        <v>5.85</v>
      </c>
      <c r="M217" s="848">
        <v>6233</v>
      </c>
      <c r="N217" s="835">
        <v>5.86</v>
      </c>
      <c r="O217" s="848">
        <v>6294</v>
      </c>
      <c r="P217" s="835">
        <v>5.82</v>
      </c>
      <c r="Q217" s="859">
        <f t="shared" si="105"/>
        <v>0.44</v>
      </c>
      <c r="R217" s="858">
        <f t="shared" si="106"/>
        <v>0.14000000000000001</v>
      </c>
      <c r="S217" s="841">
        <v>7.91</v>
      </c>
      <c r="U217" s="848">
        <f t="shared" si="110"/>
        <v>1928</v>
      </c>
      <c r="V217" s="835">
        <f t="shared" si="111"/>
        <v>0.71</v>
      </c>
    </row>
    <row r="218" spans="1:22">
      <c r="A218" s="3436"/>
      <c r="B218" s="931" t="s">
        <v>560</v>
      </c>
      <c r="C218" s="972">
        <v>68</v>
      </c>
      <c r="D218" s="836">
        <f t="shared" si="115"/>
        <v>0.06</v>
      </c>
      <c r="E218" s="848">
        <v>86</v>
      </c>
      <c r="F218" s="835">
        <v>0.06</v>
      </c>
      <c r="G218" s="848">
        <v>86</v>
      </c>
      <c r="H218" s="836">
        <v>0.06</v>
      </c>
      <c r="I218" s="848">
        <v>86</v>
      </c>
      <c r="J218" s="835">
        <v>0.05</v>
      </c>
      <c r="K218" s="848">
        <v>86</v>
      </c>
      <c r="L218" s="836">
        <v>0.06</v>
      </c>
      <c r="M218" s="848">
        <v>86</v>
      </c>
      <c r="N218" s="835">
        <v>0.06</v>
      </c>
      <c r="O218" s="848">
        <v>86</v>
      </c>
      <c r="P218" s="835">
        <v>0.06</v>
      </c>
      <c r="Q218" s="859">
        <f t="shared" si="105"/>
        <v>0.26</v>
      </c>
      <c r="R218" s="858">
        <f t="shared" si="106"/>
        <v>0</v>
      </c>
      <c r="S218" s="841">
        <v>7.0000000000000007E-2</v>
      </c>
      <c r="U218" s="848">
        <f t="shared" si="110"/>
        <v>18</v>
      </c>
      <c r="V218" s="835">
        <f t="shared" si="111"/>
        <v>0</v>
      </c>
    </row>
    <row r="219" spans="1:22">
      <c r="A219" s="3436"/>
      <c r="B219" s="931" t="s">
        <v>561</v>
      </c>
      <c r="C219" s="972">
        <v>0</v>
      </c>
      <c r="D219" s="836">
        <f t="shared" si="115"/>
        <v>0</v>
      </c>
      <c r="E219" s="848">
        <v>0</v>
      </c>
      <c r="F219" s="835">
        <v>0</v>
      </c>
      <c r="G219" s="848">
        <v>0</v>
      </c>
      <c r="H219" s="836">
        <v>0</v>
      </c>
      <c r="I219" s="848">
        <v>0</v>
      </c>
      <c r="J219" s="835">
        <v>0</v>
      </c>
      <c r="K219" s="848">
        <v>0</v>
      </c>
      <c r="L219" s="836">
        <v>0</v>
      </c>
      <c r="M219" s="848">
        <v>0</v>
      </c>
      <c r="N219" s="835">
        <v>0</v>
      </c>
      <c r="O219" s="848">
        <v>0</v>
      </c>
      <c r="P219" s="835">
        <v>0</v>
      </c>
      <c r="Q219" s="859" t="s">
        <v>16</v>
      </c>
      <c r="R219" s="858" t="s">
        <v>16</v>
      </c>
      <c r="S219" s="841">
        <v>0</v>
      </c>
      <c r="U219" s="848">
        <f t="shared" si="110"/>
        <v>0</v>
      </c>
      <c r="V219" s="835">
        <f t="shared" si="111"/>
        <v>0</v>
      </c>
    </row>
    <row r="220" spans="1:22" ht="15.75" thickBot="1">
      <c r="A220" s="3436"/>
      <c r="B220" s="932" t="s">
        <v>562</v>
      </c>
      <c r="C220" s="1880">
        <v>0</v>
      </c>
      <c r="D220" s="1881">
        <f t="shared" si="115"/>
        <v>2.21</v>
      </c>
      <c r="E220" s="849">
        <v>0</v>
      </c>
      <c r="F220" s="1885">
        <v>2.37</v>
      </c>
      <c r="G220" s="849">
        <v>0</v>
      </c>
      <c r="H220" s="1881">
        <f>F220</f>
        <v>2.37</v>
      </c>
      <c r="I220" s="849">
        <v>0</v>
      </c>
      <c r="J220" s="1885">
        <f>H220</f>
        <v>2.37</v>
      </c>
      <c r="K220" s="849">
        <v>0</v>
      </c>
      <c r="L220" s="1881">
        <f>J220</f>
        <v>2.37</v>
      </c>
      <c r="M220" s="849">
        <v>0</v>
      </c>
      <c r="N220" s="1885">
        <f>L220</f>
        <v>2.37</v>
      </c>
      <c r="O220" s="849">
        <v>0</v>
      </c>
      <c r="P220" s="1885">
        <v>2.37</v>
      </c>
      <c r="Q220" s="1886" t="s">
        <v>16</v>
      </c>
      <c r="R220" s="1888">
        <f t="shared" si="106"/>
        <v>7.0000000000000007E-2</v>
      </c>
      <c r="S220" s="846">
        <f>N220</f>
        <v>2.37</v>
      </c>
      <c r="U220" s="849">
        <f t="shared" si="110"/>
        <v>0</v>
      </c>
      <c r="V220" s="1885">
        <f t="shared" si="111"/>
        <v>0.16</v>
      </c>
    </row>
    <row r="221" spans="1:22" ht="16.5" thickTop="1" thickBot="1">
      <c r="A221" s="3437"/>
      <c r="B221" s="842" t="s">
        <v>18</v>
      </c>
      <c r="C221" s="973">
        <f>SUM(C211:C220)</f>
        <v>28002</v>
      </c>
      <c r="D221" s="852">
        <f>'Table 7'!E23</f>
        <v>33.9</v>
      </c>
      <c r="E221" s="850">
        <f t="shared" ref="E221:P221" si="116">SUM(E211:E220)</f>
        <v>36677</v>
      </c>
      <c r="F221" s="843">
        <f t="shared" si="116"/>
        <v>36.39</v>
      </c>
      <c r="G221" s="850">
        <f t="shared" si="116"/>
        <v>37960</v>
      </c>
      <c r="H221" s="852">
        <f t="shared" si="116"/>
        <v>38.47</v>
      </c>
      <c r="I221" s="850">
        <f t="shared" si="116"/>
        <v>39213</v>
      </c>
      <c r="J221" s="843">
        <f t="shared" si="116"/>
        <v>39.99</v>
      </c>
      <c r="K221" s="850">
        <f t="shared" si="116"/>
        <v>40473</v>
      </c>
      <c r="L221" s="852">
        <f t="shared" si="116"/>
        <v>41.84</v>
      </c>
      <c r="M221" s="850">
        <f t="shared" si="116"/>
        <v>41728</v>
      </c>
      <c r="N221" s="843">
        <f t="shared" si="116"/>
        <v>43.65</v>
      </c>
      <c r="O221" s="850">
        <f t="shared" si="116"/>
        <v>43025</v>
      </c>
      <c r="P221" s="843">
        <f t="shared" si="116"/>
        <v>45.58</v>
      </c>
      <c r="Q221" s="880">
        <f t="shared" si="105"/>
        <v>0.54</v>
      </c>
      <c r="R221" s="881">
        <f t="shared" si="106"/>
        <v>0.34</v>
      </c>
      <c r="S221" s="855">
        <f>SUM(S211:S220)</f>
        <v>58.13</v>
      </c>
      <c r="U221" s="850">
        <f t="shared" si="110"/>
        <v>15023</v>
      </c>
      <c r="V221" s="843">
        <f t="shared" si="111"/>
        <v>11.68</v>
      </c>
    </row>
    <row r="222" spans="1:22">
      <c r="A222" s="3435" t="s">
        <v>219</v>
      </c>
      <c r="B222" s="933" t="s">
        <v>553</v>
      </c>
      <c r="C222" s="971">
        <v>0</v>
      </c>
      <c r="D222" s="853">
        <f>(F222/$F$232)*$D$232</f>
        <v>0</v>
      </c>
      <c r="E222" s="847">
        <v>0</v>
      </c>
      <c r="F222" s="853">
        <v>0</v>
      </c>
      <c r="G222" s="847">
        <v>0</v>
      </c>
      <c r="H222" s="851">
        <v>0</v>
      </c>
      <c r="I222" s="847">
        <v>0</v>
      </c>
      <c r="J222" s="853">
        <v>0</v>
      </c>
      <c r="K222" s="847">
        <v>0</v>
      </c>
      <c r="L222" s="851">
        <v>0</v>
      </c>
      <c r="M222" s="847">
        <v>0</v>
      </c>
      <c r="N222" s="853">
        <v>0</v>
      </c>
      <c r="O222" s="847">
        <v>0</v>
      </c>
      <c r="P222" s="853">
        <v>0</v>
      </c>
      <c r="Q222" s="878" t="s">
        <v>16</v>
      </c>
      <c r="R222" s="879" t="s">
        <v>16</v>
      </c>
      <c r="S222" s="854">
        <v>0</v>
      </c>
      <c r="U222" s="847">
        <f t="shared" si="110"/>
        <v>0</v>
      </c>
      <c r="V222" s="853">
        <f t="shared" si="111"/>
        <v>0</v>
      </c>
    </row>
    <row r="223" spans="1:22">
      <c r="A223" s="3436"/>
      <c r="B223" s="931" t="s">
        <v>554</v>
      </c>
      <c r="C223" s="972">
        <v>203</v>
      </c>
      <c r="D223" s="986">
        <f t="shared" ref="D223:D231" si="117">(F223/$F$232)*$D$232</f>
        <v>0.35</v>
      </c>
      <c r="E223" s="848">
        <v>222</v>
      </c>
      <c r="F223" s="835">
        <v>0.38</v>
      </c>
      <c r="G223" s="848">
        <v>263</v>
      </c>
      <c r="H223" s="836">
        <v>0.46</v>
      </c>
      <c r="I223" s="848">
        <v>263</v>
      </c>
      <c r="J223" s="835">
        <v>0.46</v>
      </c>
      <c r="K223" s="848">
        <v>263</v>
      </c>
      <c r="L223" s="836">
        <v>0.46</v>
      </c>
      <c r="M223" s="848">
        <v>300</v>
      </c>
      <c r="N223" s="835">
        <v>0.53</v>
      </c>
      <c r="O223" s="848">
        <v>300</v>
      </c>
      <c r="P223" s="835">
        <v>0.53</v>
      </c>
      <c r="Q223" s="859">
        <f t="shared" si="105"/>
        <v>0.48</v>
      </c>
      <c r="R223" s="858">
        <f t="shared" si="106"/>
        <v>0.51</v>
      </c>
      <c r="S223" s="841">
        <v>0.74</v>
      </c>
      <c r="U223" s="848">
        <f t="shared" si="110"/>
        <v>97</v>
      </c>
      <c r="V223" s="835">
        <f t="shared" si="111"/>
        <v>0.18</v>
      </c>
    </row>
    <row r="224" spans="1:22">
      <c r="A224" s="3436"/>
      <c r="B224" s="931" t="s">
        <v>555</v>
      </c>
      <c r="C224" s="972">
        <v>0</v>
      </c>
      <c r="D224" s="836">
        <f t="shared" si="117"/>
        <v>0</v>
      </c>
      <c r="E224" s="848">
        <v>0</v>
      </c>
      <c r="F224" s="835">
        <v>0</v>
      </c>
      <c r="G224" s="848">
        <v>0</v>
      </c>
      <c r="H224" s="836">
        <v>0</v>
      </c>
      <c r="I224" s="848">
        <v>0</v>
      </c>
      <c r="J224" s="835">
        <v>0</v>
      </c>
      <c r="K224" s="848">
        <v>0</v>
      </c>
      <c r="L224" s="836">
        <v>0</v>
      </c>
      <c r="M224" s="848">
        <v>0</v>
      </c>
      <c r="N224" s="835">
        <v>0</v>
      </c>
      <c r="O224" s="848">
        <v>0</v>
      </c>
      <c r="P224" s="835">
        <v>0</v>
      </c>
      <c r="Q224" s="859" t="s">
        <v>16</v>
      </c>
      <c r="R224" s="858" t="s">
        <v>16</v>
      </c>
      <c r="S224" s="841">
        <v>0</v>
      </c>
      <c r="U224" s="848">
        <f t="shared" si="110"/>
        <v>0</v>
      </c>
      <c r="V224" s="835">
        <f t="shared" si="111"/>
        <v>0</v>
      </c>
    </row>
    <row r="225" spans="1:22">
      <c r="A225" s="3436"/>
      <c r="B225" s="931" t="s">
        <v>556</v>
      </c>
      <c r="C225" s="972">
        <v>343</v>
      </c>
      <c r="D225" s="836">
        <f t="shared" si="117"/>
        <v>0.56999999999999995</v>
      </c>
      <c r="E225" s="848">
        <v>456</v>
      </c>
      <c r="F225" s="835">
        <v>0.62</v>
      </c>
      <c r="G225" s="848">
        <v>502</v>
      </c>
      <c r="H225" s="836">
        <v>0.68</v>
      </c>
      <c r="I225" s="848">
        <v>589</v>
      </c>
      <c r="J225" s="835">
        <v>0.8</v>
      </c>
      <c r="K225" s="848">
        <v>615</v>
      </c>
      <c r="L225" s="836">
        <v>0.84</v>
      </c>
      <c r="M225" s="848">
        <v>644</v>
      </c>
      <c r="N225" s="835">
        <v>0.88</v>
      </c>
      <c r="O225" s="848">
        <v>706</v>
      </c>
      <c r="P225" s="835">
        <v>0.96</v>
      </c>
      <c r="Q225" s="859">
        <f t="shared" si="105"/>
        <v>1.06</v>
      </c>
      <c r="R225" s="858">
        <f t="shared" si="106"/>
        <v>0.68</v>
      </c>
      <c r="S225" s="841">
        <v>1.26</v>
      </c>
      <c r="U225" s="848">
        <f t="shared" si="110"/>
        <v>363</v>
      </c>
      <c r="V225" s="835">
        <f t="shared" si="111"/>
        <v>0.39</v>
      </c>
    </row>
    <row r="226" spans="1:22">
      <c r="A226" s="3436"/>
      <c r="B226" s="931" t="s">
        <v>557</v>
      </c>
      <c r="C226" s="972">
        <v>46</v>
      </c>
      <c r="D226" s="836">
        <f t="shared" si="117"/>
        <v>0</v>
      </c>
      <c r="E226" s="848">
        <v>6</v>
      </c>
      <c r="F226" s="835">
        <v>0</v>
      </c>
      <c r="G226" s="848">
        <v>33</v>
      </c>
      <c r="H226" s="836">
        <v>0.03</v>
      </c>
      <c r="I226" s="848">
        <v>33</v>
      </c>
      <c r="J226" s="835">
        <v>0.03</v>
      </c>
      <c r="K226" s="848">
        <v>97</v>
      </c>
      <c r="L226" s="836">
        <v>7.0000000000000007E-2</v>
      </c>
      <c r="M226" s="848">
        <v>109</v>
      </c>
      <c r="N226" s="835">
        <v>0.08</v>
      </c>
      <c r="O226" s="848">
        <v>137</v>
      </c>
      <c r="P226" s="835">
        <v>0.1</v>
      </c>
      <c r="Q226" s="859">
        <f t="shared" si="105"/>
        <v>1.98</v>
      </c>
      <c r="R226" s="858" t="s">
        <v>16</v>
      </c>
      <c r="S226" s="841">
        <v>0.13</v>
      </c>
      <c r="U226" s="848">
        <f t="shared" si="110"/>
        <v>91</v>
      </c>
      <c r="V226" s="835">
        <f t="shared" si="111"/>
        <v>0.1</v>
      </c>
    </row>
    <row r="227" spans="1:22">
      <c r="A227" s="3436"/>
      <c r="B227" s="931" t="s">
        <v>558</v>
      </c>
      <c r="C227" s="972">
        <v>25</v>
      </c>
      <c r="D227" s="836">
        <f t="shared" si="117"/>
        <v>0.03</v>
      </c>
      <c r="E227" s="848">
        <v>25</v>
      </c>
      <c r="F227" s="835">
        <v>0.03</v>
      </c>
      <c r="G227" s="848">
        <v>40</v>
      </c>
      <c r="H227" s="836">
        <v>7.0000000000000007E-2</v>
      </c>
      <c r="I227" s="848">
        <v>40</v>
      </c>
      <c r="J227" s="835">
        <v>7.0000000000000007E-2</v>
      </c>
      <c r="K227" s="848">
        <v>47</v>
      </c>
      <c r="L227" s="836">
        <v>0.08</v>
      </c>
      <c r="M227" s="848">
        <v>47</v>
      </c>
      <c r="N227" s="835">
        <v>0.08</v>
      </c>
      <c r="O227" s="848">
        <v>54</v>
      </c>
      <c r="P227" s="835">
        <v>0.1</v>
      </c>
      <c r="Q227" s="859">
        <f t="shared" si="105"/>
        <v>1.1599999999999999</v>
      </c>
      <c r="R227" s="858">
        <f t="shared" si="106"/>
        <v>2.33</v>
      </c>
      <c r="S227" s="841">
        <v>0.11</v>
      </c>
      <c r="U227" s="848">
        <f t="shared" si="110"/>
        <v>29</v>
      </c>
      <c r="V227" s="835">
        <f t="shared" si="111"/>
        <v>7.0000000000000007E-2</v>
      </c>
    </row>
    <row r="228" spans="1:22">
      <c r="A228" s="3436"/>
      <c r="B228" s="931" t="s">
        <v>559</v>
      </c>
      <c r="C228" s="972">
        <v>97</v>
      </c>
      <c r="D228" s="836">
        <f t="shared" si="117"/>
        <v>0.12</v>
      </c>
      <c r="E228" s="848">
        <v>161</v>
      </c>
      <c r="F228" s="835">
        <v>0.13</v>
      </c>
      <c r="G228" s="848">
        <v>161</v>
      </c>
      <c r="H228" s="836">
        <v>0.13</v>
      </c>
      <c r="I228" s="848">
        <v>168</v>
      </c>
      <c r="J228" s="835">
        <v>0.16</v>
      </c>
      <c r="K228" s="848">
        <v>174</v>
      </c>
      <c r="L228" s="836">
        <v>0.16</v>
      </c>
      <c r="M228" s="848">
        <v>205</v>
      </c>
      <c r="N228" s="835">
        <v>0.21</v>
      </c>
      <c r="O228" s="848">
        <v>205</v>
      </c>
      <c r="P228" s="835">
        <v>0.21</v>
      </c>
      <c r="Q228" s="859">
        <f t="shared" si="105"/>
        <v>1.1100000000000001</v>
      </c>
      <c r="R228" s="858">
        <f t="shared" si="106"/>
        <v>0.75</v>
      </c>
      <c r="S228" s="841">
        <v>0.28000000000000003</v>
      </c>
      <c r="U228" s="848">
        <f t="shared" si="110"/>
        <v>108</v>
      </c>
      <c r="V228" s="835">
        <f t="shared" si="111"/>
        <v>0.09</v>
      </c>
    </row>
    <row r="229" spans="1:22">
      <c r="A229" s="3436"/>
      <c r="B229" s="931" t="s">
        <v>560</v>
      </c>
      <c r="C229" s="972">
        <v>41</v>
      </c>
      <c r="D229" s="836">
        <f t="shared" si="117"/>
        <v>0</v>
      </c>
      <c r="E229" s="848">
        <v>0</v>
      </c>
      <c r="F229" s="835">
        <v>0</v>
      </c>
      <c r="G229" s="848">
        <v>0</v>
      </c>
      <c r="H229" s="836">
        <v>0</v>
      </c>
      <c r="I229" s="848">
        <v>0</v>
      </c>
      <c r="J229" s="835">
        <v>0</v>
      </c>
      <c r="K229" s="848">
        <v>0</v>
      </c>
      <c r="L229" s="836">
        <v>0</v>
      </c>
      <c r="M229" s="848">
        <v>0</v>
      </c>
      <c r="N229" s="835">
        <v>0</v>
      </c>
      <c r="O229" s="848">
        <v>0</v>
      </c>
      <c r="P229" s="835">
        <v>0</v>
      </c>
      <c r="Q229" s="859">
        <f t="shared" si="105"/>
        <v>-1</v>
      </c>
      <c r="R229" s="858" t="s">
        <v>16</v>
      </c>
      <c r="S229" s="841">
        <v>0</v>
      </c>
      <c r="U229" s="848">
        <f t="shared" si="110"/>
        <v>-41</v>
      </c>
      <c r="V229" s="835">
        <f t="shared" si="111"/>
        <v>0</v>
      </c>
    </row>
    <row r="230" spans="1:22">
      <c r="A230" s="3436"/>
      <c r="B230" s="931" t="s">
        <v>561</v>
      </c>
      <c r="C230" s="972">
        <v>0</v>
      </c>
      <c r="D230" s="836">
        <f t="shared" si="117"/>
        <v>0</v>
      </c>
      <c r="E230" s="848">
        <v>0</v>
      </c>
      <c r="F230" s="835">
        <v>0</v>
      </c>
      <c r="G230" s="848">
        <v>0</v>
      </c>
      <c r="H230" s="836">
        <v>0</v>
      </c>
      <c r="I230" s="848">
        <v>0</v>
      </c>
      <c r="J230" s="835">
        <v>0</v>
      </c>
      <c r="K230" s="848">
        <v>0</v>
      </c>
      <c r="L230" s="836">
        <v>0</v>
      </c>
      <c r="M230" s="848">
        <v>0</v>
      </c>
      <c r="N230" s="835">
        <v>0</v>
      </c>
      <c r="O230" s="848">
        <v>0</v>
      </c>
      <c r="P230" s="835">
        <v>0</v>
      </c>
      <c r="Q230" s="859" t="s">
        <v>16</v>
      </c>
      <c r="R230" s="858" t="s">
        <v>16</v>
      </c>
      <c r="S230" s="841">
        <v>0</v>
      </c>
      <c r="U230" s="848">
        <f t="shared" si="110"/>
        <v>0</v>
      </c>
      <c r="V230" s="835">
        <f t="shared" si="111"/>
        <v>0</v>
      </c>
    </row>
    <row r="231" spans="1:22" ht="15.75" thickBot="1">
      <c r="A231" s="3436"/>
      <c r="B231" s="932" t="s">
        <v>562</v>
      </c>
      <c r="C231" s="1880">
        <v>0</v>
      </c>
      <c r="D231" s="1881">
        <f t="shared" si="117"/>
        <v>0.15</v>
      </c>
      <c r="E231" s="849">
        <v>0</v>
      </c>
      <c r="F231" s="1885">
        <v>0.16</v>
      </c>
      <c r="G231" s="849">
        <v>0</v>
      </c>
      <c r="H231" s="1881">
        <f>F231</f>
        <v>0.16</v>
      </c>
      <c r="I231" s="849">
        <v>0</v>
      </c>
      <c r="J231" s="1885">
        <f>H231</f>
        <v>0.16</v>
      </c>
      <c r="K231" s="849">
        <v>0</v>
      </c>
      <c r="L231" s="1881">
        <f>J231</f>
        <v>0.16</v>
      </c>
      <c r="M231" s="849">
        <v>0</v>
      </c>
      <c r="N231" s="1885">
        <f>L231</f>
        <v>0.16</v>
      </c>
      <c r="O231" s="849">
        <v>0</v>
      </c>
      <c r="P231" s="1885">
        <v>0.16</v>
      </c>
      <c r="Q231" s="1886" t="s">
        <v>16</v>
      </c>
      <c r="R231" s="1888">
        <f t="shared" si="106"/>
        <v>7.0000000000000007E-2</v>
      </c>
      <c r="S231" s="846">
        <f>N231</f>
        <v>0.16</v>
      </c>
      <c r="U231" s="849">
        <f t="shared" si="110"/>
        <v>0</v>
      </c>
      <c r="V231" s="1885">
        <f t="shared" si="111"/>
        <v>0.01</v>
      </c>
    </row>
    <row r="232" spans="1:22" ht="16.5" thickTop="1" thickBot="1">
      <c r="A232" s="3437"/>
      <c r="B232" s="842" t="s">
        <v>18</v>
      </c>
      <c r="C232" s="973">
        <f>SUM(C222:C231)</f>
        <v>755</v>
      </c>
      <c r="D232" s="852">
        <f>'Table 7'!E24</f>
        <v>1.22</v>
      </c>
      <c r="E232" s="850">
        <f t="shared" ref="E232:P232" si="118">SUM(E222:E231)</f>
        <v>870</v>
      </c>
      <c r="F232" s="843">
        <f t="shared" si="118"/>
        <v>1.32</v>
      </c>
      <c r="G232" s="850">
        <f t="shared" si="118"/>
        <v>999</v>
      </c>
      <c r="H232" s="852">
        <f t="shared" si="118"/>
        <v>1.53</v>
      </c>
      <c r="I232" s="850">
        <f t="shared" si="118"/>
        <v>1093</v>
      </c>
      <c r="J232" s="843">
        <f t="shared" si="118"/>
        <v>1.68</v>
      </c>
      <c r="K232" s="850">
        <f t="shared" si="118"/>
        <v>1196</v>
      </c>
      <c r="L232" s="852">
        <f t="shared" si="118"/>
        <v>1.77</v>
      </c>
      <c r="M232" s="850">
        <f t="shared" si="118"/>
        <v>1305</v>
      </c>
      <c r="N232" s="843">
        <f t="shared" si="118"/>
        <v>1.94</v>
      </c>
      <c r="O232" s="850">
        <f t="shared" si="118"/>
        <v>1402</v>
      </c>
      <c r="P232" s="843">
        <f t="shared" si="118"/>
        <v>2.06</v>
      </c>
      <c r="Q232" s="880">
        <f t="shared" si="105"/>
        <v>0.86</v>
      </c>
      <c r="R232" s="881">
        <f t="shared" si="106"/>
        <v>0.69</v>
      </c>
      <c r="S232" s="855">
        <f>SUM(S222:S231)</f>
        <v>2.68</v>
      </c>
      <c r="U232" s="850">
        <f t="shared" si="110"/>
        <v>647</v>
      </c>
      <c r="V232" s="843">
        <f t="shared" si="111"/>
        <v>0.84</v>
      </c>
    </row>
    <row r="233" spans="1:22" ht="30" customHeight="1" thickBot="1">
      <c r="A233" s="3224" t="s">
        <v>568</v>
      </c>
      <c r="B233" s="3224"/>
      <c r="C233" s="3224"/>
      <c r="D233" s="3224"/>
      <c r="E233" s="3224"/>
      <c r="F233" s="3224"/>
      <c r="G233" s="3224"/>
      <c r="H233" s="3224"/>
      <c r="I233" s="3224"/>
      <c r="J233" s="3224"/>
      <c r="K233" s="3224"/>
      <c r="L233" s="3224"/>
      <c r="M233" s="3224"/>
      <c r="N233" s="3224"/>
      <c r="O233" s="3224"/>
      <c r="P233" s="3224"/>
      <c r="Q233" s="3224"/>
      <c r="R233" s="3224"/>
      <c r="S233" s="3224"/>
    </row>
    <row r="234" spans="1:22" ht="29.25" customHeight="1">
      <c r="A234" s="3429" t="s">
        <v>85</v>
      </c>
      <c r="B234" s="3431" t="s">
        <v>541</v>
      </c>
      <c r="C234" s="3217" t="s">
        <v>542</v>
      </c>
      <c r="D234" s="3217"/>
      <c r="E234" s="3216" t="s">
        <v>543</v>
      </c>
      <c r="F234" s="3218"/>
      <c r="G234" s="3217" t="s">
        <v>544</v>
      </c>
      <c r="H234" s="3217"/>
      <c r="I234" s="3258" t="s">
        <v>545</v>
      </c>
      <c r="J234" s="3245"/>
      <c r="K234" s="3264" t="s">
        <v>546</v>
      </c>
      <c r="L234" s="3264"/>
      <c r="M234" s="3258" t="s">
        <v>547</v>
      </c>
      <c r="N234" s="3245"/>
      <c r="O234" s="3258" t="s">
        <v>548</v>
      </c>
      <c r="P234" s="3245"/>
      <c r="Q234" s="3264" t="s">
        <v>57</v>
      </c>
      <c r="R234" s="3264"/>
      <c r="S234" s="3433" t="s">
        <v>549</v>
      </c>
      <c r="U234" s="3258" t="s">
        <v>59</v>
      </c>
      <c r="V234" s="3245"/>
    </row>
    <row r="235" spans="1:22" ht="15.75" thickBot="1">
      <c r="A235" s="3430"/>
      <c r="B235" s="3432"/>
      <c r="C235" s="1889" t="s">
        <v>550</v>
      </c>
      <c r="D235" s="831" t="s">
        <v>551</v>
      </c>
      <c r="E235" s="832" t="s">
        <v>550</v>
      </c>
      <c r="F235" s="833" t="s">
        <v>551</v>
      </c>
      <c r="G235" s="1889" t="s">
        <v>550</v>
      </c>
      <c r="H235" s="831" t="s">
        <v>551</v>
      </c>
      <c r="I235" s="834" t="s">
        <v>550</v>
      </c>
      <c r="J235" s="833" t="s">
        <v>551</v>
      </c>
      <c r="K235" s="1890" t="s">
        <v>550</v>
      </c>
      <c r="L235" s="831" t="s">
        <v>551</v>
      </c>
      <c r="M235" s="834" t="s">
        <v>550</v>
      </c>
      <c r="N235" s="833" t="s">
        <v>551</v>
      </c>
      <c r="O235" s="834" t="s">
        <v>550</v>
      </c>
      <c r="P235" s="833" t="s">
        <v>551</v>
      </c>
      <c r="Q235" s="1891" t="s">
        <v>529</v>
      </c>
      <c r="R235" s="831" t="s">
        <v>551</v>
      </c>
      <c r="S235" s="3434"/>
      <c r="U235" s="1645" t="s">
        <v>529</v>
      </c>
      <c r="V235" s="1646" t="s">
        <v>551</v>
      </c>
    </row>
    <row r="236" spans="1:22">
      <c r="A236" s="3435" t="s">
        <v>32</v>
      </c>
      <c r="B236" s="933" t="s">
        <v>553</v>
      </c>
      <c r="C236" s="971">
        <f t="shared" ref="C236:P236" si="119">C4+C37+C73+C106+C131+C142+C175+C189+C200</f>
        <v>253</v>
      </c>
      <c r="D236" s="974">
        <f t="shared" si="119"/>
        <v>0.12</v>
      </c>
      <c r="E236" s="847">
        <f t="shared" si="119"/>
        <v>199</v>
      </c>
      <c r="F236" s="853">
        <f t="shared" si="119"/>
        <v>0.13</v>
      </c>
      <c r="G236" s="847">
        <f t="shared" si="119"/>
        <v>199</v>
      </c>
      <c r="H236" s="851">
        <f t="shared" si="119"/>
        <v>0.14000000000000001</v>
      </c>
      <c r="I236" s="847">
        <f t="shared" si="119"/>
        <v>199</v>
      </c>
      <c r="J236" s="853">
        <f t="shared" si="119"/>
        <v>0.14000000000000001</v>
      </c>
      <c r="K236" s="847">
        <f t="shared" si="119"/>
        <v>199</v>
      </c>
      <c r="L236" s="851">
        <f t="shared" si="119"/>
        <v>0.14000000000000001</v>
      </c>
      <c r="M236" s="847">
        <f t="shared" si="119"/>
        <v>199</v>
      </c>
      <c r="N236" s="853">
        <f t="shared" si="119"/>
        <v>0.15</v>
      </c>
      <c r="O236" s="847">
        <f t="shared" si="119"/>
        <v>199</v>
      </c>
      <c r="P236" s="853">
        <f t="shared" si="119"/>
        <v>0.14000000000000001</v>
      </c>
      <c r="Q236" s="837">
        <f t="shared" ref="Q236:Q268" si="120">(O236-C236)/C236</f>
        <v>-0.21</v>
      </c>
      <c r="R236" s="839">
        <f t="shared" ref="R236:R268" si="121">(P236-D236)/D236</f>
        <v>0.17</v>
      </c>
      <c r="S236" s="854">
        <f t="shared" ref="S236:S245" si="122">S4+S37+S73+S106+S131+S142+S175+S189+S200</f>
        <v>0.23</v>
      </c>
      <c r="U236" s="847">
        <f t="shared" ref="U236" si="123">O236-C236</f>
        <v>-54</v>
      </c>
      <c r="V236" s="853">
        <f t="shared" ref="V236" si="124">P236-D236</f>
        <v>0.02</v>
      </c>
    </row>
    <row r="237" spans="1:22">
      <c r="A237" s="3436"/>
      <c r="B237" s="931" t="s">
        <v>554</v>
      </c>
      <c r="C237" s="972">
        <f t="shared" ref="C237:P237" si="125">C5+C38+C74+C107+C132+C143+C176+C190+C201</f>
        <v>1797</v>
      </c>
      <c r="D237" s="975">
        <f t="shared" si="125"/>
        <v>3.29</v>
      </c>
      <c r="E237" s="848">
        <f t="shared" si="125"/>
        <v>1791</v>
      </c>
      <c r="F237" s="835">
        <f t="shared" si="125"/>
        <v>3.5</v>
      </c>
      <c r="G237" s="848">
        <f t="shared" si="125"/>
        <v>1843</v>
      </c>
      <c r="H237" s="836">
        <f t="shared" si="125"/>
        <v>3.67</v>
      </c>
      <c r="I237" s="848">
        <f t="shared" si="125"/>
        <v>2057</v>
      </c>
      <c r="J237" s="835">
        <f t="shared" si="125"/>
        <v>4.08</v>
      </c>
      <c r="K237" s="848">
        <f t="shared" si="125"/>
        <v>2128</v>
      </c>
      <c r="L237" s="836">
        <f t="shared" si="125"/>
        <v>4.2699999999999996</v>
      </c>
      <c r="M237" s="848">
        <f t="shared" si="125"/>
        <v>2188</v>
      </c>
      <c r="N237" s="835">
        <f t="shared" si="125"/>
        <v>4.4000000000000004</v>
      </c>
      <c r="O237" s="848">
        <f t="shared" si="125"/>
        <v>2188</v>
      </c>
      <c r="P237" s="835">
        <f t="shared" si="125"/>
        <v>4.42</v>
      </c>
      <c r="Q237" s="838">
        <f t="shared" si="120"/>
        <v>0.22</v>
      </c>
      <c r="R237" s="840">
        <f t="shared" si="121"/>
        <v>0.34</v>
      </c>
      <c r="S237" s="841">
        <f t="shared" si="122"/>
        <v>6.38</v>
      </c>
      <c r="U237" s="848">
        <f t="shared" ref="U237:U267" si="126">O237-C237</f>
        <v>391</v>
      </c>
      <c r="V237" s="835">
        <f t="shared" ref="V237:V267" si="127">P237-D237</f>
        <v>1.1299999999999999</v>
      </c>
    </row>
    <row r="238" spans="1:22">
      <c r="A238" s="3436"/>
      <c r="B238" s="931" t="s">
        <v>555</v>
      </c>
      <c r="C238" s="972">
        <f t="shared" ref="C238:P238" si="128">C6+C39+C75+C108+C133+C144+C177+C191+C202</f>
        <v>20936</v>
      </c>
      <c r="D238" s="975">
        <f t="shared" si="128"/>
        <v>19.38</v>
      </c>
      <c r="E238" s="848">
        <f t="shared" si="128"/>
        <v>21111</v>
      </c>
      <c r="F238" s="835">
        <f t="shared" si="128"/>
        <v>26.17</v>
      </c>
      <c r="G238" s="848">
        <f t="shared" si="128"/>
        <v>20896</v>
      </c>
      <c r="H238" s="836">
        <f t="shared" si="128"/>
        <v>26.15</v>
      </c>
      <c r="I238" s="848">
        <f t="shared" si="128"/>
        <v>20278</v>
      </c>
      <c r="J238" s="835">
        <f t="shared" si="128"/>
        <v>25.59</v>
      </c>
      <c r="K238" s="848">
        <f t="shared" si="128"/>
        <v>19774</v>
      </c>
      <c r="L238" s="836">
        <f t="shared" si="128"/>
        <v>25.15</v>
      </c>
      <c r="M238" s="848">
        <f t="shared" si="128"/>
        <v>19478</v>
      </c>
      <c r="N238" s="835">
        <f t="shared" si="128"/>
        <v>24.95</v>
      </c>
      <c r="O238" s="848">
        <f t="shared" si="128"/>
        <v>19261</v>
      </c>
      <c r="P238" s="835">
        <f t="shared" si="128"/>
        <v>24.84</v>
      </c>
      <c r="Q238" s="838">
        <f t="shared" si="120"/>
        <v>-0.08</v>
      </c>
      <c r="R238" s="840">
        <f t="shared" si="121"/>
        <v>0.28000000000000003</v>
      </c>
      <c r="S238" s="841">
        <f t="shared" si="122"/>
        <v>37.99</v>
      </c>
      <c r="U238" s="848">
        <f t="shared" si="126"/>
        <v>-1675</v>
      </c>
      <c r="V238" s="835">
        <f t="shared" si="127"/>
        <v>5.46</v>
      </c>
    </row>
    <row r="239" spans="1:22">
      <c r="A239" s="3436"/>
      <c r="B239" s="931" t="s">
        <v>556</v>
      </c>
      <c r="C239" s="972">
        <f t="shared" ref="C239:P239" si="129">C7+C40+C76+C109+C134+C145+C178+C192+C203</f>
        <v>8344</v>
      </c>
      <c r="D239" s="975">
        <f t="shared" si="129"/>
        <v>7.97</v>
      </c>
      <c r="E239" s="848">
        <f t="shared" si="129"/>
        <v>8450</v>
      </c>
      <c r="F239" s="835">
        <f t="shared" si="129"/>
        <v>11.01</v>
      </c>
      <c r="G239" s="848">
        <f t="shared" si="129"/>
        <v>8630</v>
      </c>
      <c r="H239" s="836">
        <f t="shared" si="129"/>
        <v>11.36</v>
      </c>
      <c r="I239" s="848">
        <f t="shared" si="129"/>
        <v>8781</v>
      </c>
      <c r="J239" s="835">
        <f t="shared" si="129"/>
        <v>11.7</v>
      </c>
      <c r="K239" s="848">
        <f t="shared" si="129"/>
        <v>8911</v>
      </c>
      <c r="L239" s="836">
        <f t="shared" si="129"/>
        <v>11.97</v>
      </c>
      <c r="M239" s="848">
        <f t="shared" si="129"/>
        <v>9005</v>
      </c>
      <c r="N239" s="835">
        <f t="shared" si="129"/>
        <v>12.21</v>
      </c>
      <c r="O239" s="848">
        <f t="shared" si="129"/>
        <v>9049</v>
      </c>
      <c r="P239" s="835">
        <f t="shared" si="129"/>
        <v>12.53</v>
      </c>
      <c r="Q239" s="838">
        <f t="shared" si="120"/>
        <v>0.08</v>
      </c>
      <c r="R239" s="840">
        <f t="shared" si="121"/>
        <v>0.56999999999999995</v>
      </c>
      <c r="S239" s="841">
        <f t="shared" si="122"/>
        <v>16.55</v>
      </c>
      <c r="T239" t="s">
        <v>36</v>
      </c>
      <c r="U239" s="848">
        <f t="shared" si="126"/>
        <v>705</v>
      </c>
      <c r="V239" s="835">
        <f t="shared" si="127"/>
        <v>4.5599999999999996</v>
      </c>
    </row>
    <row r="240" spans="1:22">
      <c r="A240" s="3436"/>
      <c r="B240" s="931" t="s">
        <v>557</v>
      </c>
      <c r="C240" s="972">
        <f t="shared" ref="C240:P240" si="130">C8+C41+C77+C110+C135+C146+C179+C193+C204</f>
        <v>3902</v>
      </c>
      <c r="D240" s="975">
        <f t="shared" si="130"/>
        <v>2.2200000000000002</v>
      </c>
      <c r="E240" s="848">
        <f t="shared" si="130"/>
        <v>3786</v>
      </c>
      <c r="F240" s="835">
        <f t="shared" si="130"/>
        <v>3</v>
      </c>
      <c r="G240" s="848">
        <f t="shared" si="130"/>
        <v>3867</v>
      </c>
      <c r="H240" s="836">
        <f t="shared" si="130"/>
        <v>3.11</v>
      </c>
      <c r="I240" s="848">
        <f t="shared" si="130"/>
        <v>4115</v>
      </c>
      <c r="J240" s="835">
        <f t="shared" si="130"/>
        <v>3.28</v>
      </c>
      <c r="K240" s="848">
        <f t="shared" si="130"/>
        <v>4414</v>
      </c>
      <c r="L240" s="836">
        <f t="shared" si="130"/>
        <v>3.58</v>
      </c>
      <c r="M240" s="848">
        <f t="shared" si="130"/>
        <v>4561</v>
      </c>
      <c r="N240" s="835">
        <f t="shared" si="130"/>
        <v>3.67</v>
      </c>
      <c r="O240" s="848">
        <f t="shared" si="130"/>
        <v>4658</v>
      </c>
      <c r="P240" s="835">
        <f t="shared" si="130"/>
        <v>3.73</v>
      </c>
      <c r="Q240" s="838">
        <f t="shared" si="120"/>
        <v>0.19</v>
      </c>
      <c r="R240" s="840">
        <f t="shared" si="121"/>
        <v>0.68</v>
      </c>
      <c r="S240" s="841">
        <f t="shared" si="122"/>
        <v>5.53</v>
      </c>
      <c r="U240" s="848">
        <f t="shared" si="126"/>
        <v>756</v>
      </c>
      <c r="V240" s="835">
        <f t="shared" si="127"/>
        <v>1.51</v>
      </c>
    </row>
    <row r="241" spans="1:22">
      <c r="A241" s="3436"/>
      <c r="B241" s="931" t="s">
        <v>558</v>
      </c>
      <c r="C241" s="972">
        <f t="shared" ref="C241:P241" si="131">C9+C42+C78+C111+C136+C147+C180+C194+C205</f>
        <v>4470</v>
      </c>
      <c r="D241" s="975">
        <f t="shared" si="131"/>
        <v>8.98</v>
      </c>
      <c r="E241" s="848">
        <f t="shared" si="131"/>
        <v>4220</v>
      </c>
      <c r="F241" s="835">
        <f t="shared" si="131"/>
        <v>10.18</v>
      </c>
      <c r="G241" s="848">
        <f t="shared" si="131"/>
        <v>4299</v>
      </c>
      <c r="H241" s="836">
        <f t="shared" si="131"/>
        <v>10.49</v>
      </c>
      <c r="I241" s="848">
        <f t="shared" si="131"/>
        <v>4299</v>
      </c>
      <c r="J241" s="835">
        <f t="shared" si="131"/>
        <v>10.5</v>
      </c>
      <c r="K241" s="848">
        <f t="shared" si="131"/>
        <v>4315</v>
      </c>
      <c r="L241" s="836">
        <f t="shared" si="131"/>
        <v>10.66</v>
      </c>
      <c r="M241" s="848">
        <f t="shared" si="131"/>
        <v>4397</v>
      </c>
      <c r="N241" s="835">
        <f t="shared" si="131"/>
        <v>10.96</v>
      </c>
      <c r="O241" s="848">
        <f t="shared" si="131"/>
        <v>4522</v>
      </c>
      <c r="P241" s="835">
        <f t="shared" si="131"/>
        <v>11.36</v>
      </c>
      <c r="Q241" s="838">
        <f t="shared" si="120"/>
        <v>0.01</v>
      </c>
      <c r="R241" s="840">
        <f t="shared" si="121"/>
        <v>0.27</v>
      </c>
      <c r="S241" s="841">
        <f t="shared" si="122"/>
        <v>12.95</v>
      </c>
      <c r="U241" s="848">
        <f t="shared" si="126"/>
        <v>52</v>
      </c>
      <c r="V241" s="835">
        <f t="shared" si="127"/>
        <v>2.38</v>
      </c>
    </row>
    <row r="242" spans="1:22">
      <c r="A242" s="3436"/>
      <c r="B242" s="931" t="s">
        <v>559</v>
      </c>
      <c r="C242" s="972">
        <f t="shared" ref="C242:P242" si="132">C10+C43+C79+C112+C137+C148+C181+C195+C206</f>
        <v>3139</v>
      </c>
      <c r="D242" s="975">
        <f t="shared" si="132"/>
        <v>1.69</v>
      </c>
      <c r="E242" s="848">
        <f t="shared" si="132"/>
        <v>2202</v>
      </c>
      <c r="F242" s="835">
        <f t="shared" si="132"/>
        <v>2.13</v>
      </c>
      <c r="G242" s="848">
        <f t="shared" si="132"/>
        <v>2289</v>
      </c>
      <c r="H242" s="836">
        <f t="shared" si="132"/>
        <v>2.17</v>
      </c>
      <c r="I242" s="848">
        <f t="shared" si="132"/>
        <v>2383</v>
      </c>
      <c r="J242" s="835">
        <f t="shared" si="132"/>
        <v>2.23</v>
      </c>
      <c r="K242" s="848">
        <f t="shared" si="132"/>
        <v>2411</v>
      </c>
      <c r="L242" s="836">
        <f t="shared" si="132"/>
        <v>2.2599999999999998</v>
      </c>
      <c r="M242" s="848">
        <f t="shared" si="132"/>
        <v>2353</v>
      </c>
      <c r="N242" s="835">
        <f t="shared" si="132"/>
        <v>2.2000000000000002</v>
      </c>
      <c r="O242" s="848">
        <f t="shared" si="132"/>
        <v>2302</v>
      </c>
      <c r="P242" s="835">
        <f t="shared" si="132"/>
        <v>2.09</v>
      </c>
      <c r="Q242" s="838">
        <f t="shared" si="120"/>
        <v>-0.27</v>
      </c>
      <c r="R242" s="840">
        <f t="shared" si="121"/>
        <v>0.24</v>
      </c>
      <c r="S242" s="841">
        <f t="shared" si="122"/>
        <v>3.42</v>
      </c>
      <c r="U242" s="848">
        <f t="shared" si="126"/>
        <v>-837</v>
      </c>
      <c r="V242" s="835">
        <f t="shared" si="127"/>
        <v>0.4</v>
      </c>
    </row>
    <row r="243" spans="1:22">
      <c r="A243" s="3436"/>
      <c r="B243" s="931" t="s">
        <v>560</v>
      </c>
      <c r="C243" s="972">
        <f t="shared" ref="C243:P243" si="133">C11+C44+C80+C113+C138+C149+C182+C196+C207</f>
        <v>4814</v>
      </c>
      <c r="D243" s="975">
        <f t="shared" si="133"/>
        <v>2.95</v>
      </c>
      <c r="E243" s="848">
        <f t="shared" si="133"/>
        <v>4675</v>
      </c>
      <c r="F243" s="835">
        <f t="shared" si="133"/>
        <v>3.99</v>
      </c>
      <c r="G243" s="848">
        <f t="shared" si="133"/>
        <v>4289</v>
      </c>
      <c r="H243" s="836">
        <f t="shared" si="133"/>
        <v>3.64</v>
      </c>
      <c r="I243" s="848">
        <f t="shared" si="133"/>
        <v>4289</v>
      </c>
      <c r="J243" s="835">
        <f t="shared" si="133"/>
        <v>3.6</v>
      </c>
      <c r="K243" s="848">
        <f t="shared" si="133"/>
        <v>4289</v>
      </c>
      <c r="L243" s="836">
        <f t="shared" si="133"/>
        <v>3.62</v>
      </c>
      <c r="M243" s="848">
        <f t="shared" si="133"/>
        <v>4191</v>
      </c>
      <c r="N243" s="835">
        <f t="shared" si="133"/>
        <v>3.56</v>
      </c>
      <c r="O243" s="848">
        <f t="shared" si="133"/>
        <v>4191</v>
      </c>
      <c r="P243" s="835">
        <f t="shared" si="133"/>
        <v>3.58</v>
      </c>
      <c r="Q243" s="838">
        <f t="shared" si="120"/>
        <v>-0.13</v>
      </c>
      <c r="R243" s="840">
        <f t="shared" si="121"/>
        <v>0.21</v>
      </c>
      <c r="S243" s="841">
        <f t="shared" si="122"/>
        <v>5.14</v>
      </c>
      <c r="U243" s="848">
        <f t="shared" si="126"/>
        <v>-623</v>
      </c>
      <c r="V243" s="835">
        <f t="shared" si="127"/>
        <v>0.63</v>
      </c>
    </row>
    <row r="244" spans="1:22">
      <c r="A244" s="3436"/>
      <c r="B244" s="931" t="s">
        <v>561</v>
      </c>
      <c r="C244" s="972">
        <f t="shared" ref="C244:P244" si="134">C12+C45+C81+C114+C139+C150+C183+C197+C208</f>
        <v>0</v>
      </c>
      <c r="D244" s="975">
        <f t="shared" si="134"/>
        <v>0</v>
      </c>
      <c r="E244" s="848">
        <f t="shared" si="134"/>
        <v>0</v>
      </c>
      <c r="F244" s="835">
        <f t="shared" si="134"/>
        <v>0</v>
      </c>
      <c r="G244" s="848">
        <f t="shared" si="134"/>
        <v>0</v>
      </c>
      <c r="H244" s="836">
        <f t="shared" si="134"/>
        <v>0</v>
      </c>
      <c r="I244" s="848">
        <f t="shared" si="134"/>
        <v>0</v>
      </c>
      <c r="J244" s="835">
        <f t="shared" si="134"/>
        <v>0</v>
      </c>
      <c r="K244" s="848">
        <f t="shared" si="134"/>
        <v>0</v>
      </c>
      <c r="L244" s="836">
        <f t="shared" si="134"/>
        <v>0</v>
      </c>
      <c r="M244" s="848">
        <f t="shared" si="134"/>
        <v>0</v>
      </c>
      <c r="N244" s="835">
        <f t="shared" si="134"/>
        <v>0</v>
      </c>
      <c r="O244" s="848">
        <f t="shared" si="134"/>
        <v>0</v>
      </c>
      <c r="P244" s="835">
        <f t="shared" si="134"/>
        <v>0</v>
      </c>
      <c r="Q244" s="859" t="s">
        <v>16</v>
      </c>
      <c r="R244" s="858" t="s">
        <v>16</v>
      </c>
      <c r="S244" s="841">
        <f t="shared" si="122"/>
        <v>0</v>
      </c>
      <c r="U244" s="848">
        <f t="shared" si="126"/>
        <v>0</v>
      </c>
      <c r="V244" s="835">
        <f t="shared" si="127"/>
        <v>0</v>
      </c>
    </row>
    <row r="245" spans="1:22" ht="15.75" thickBot="1">
      <c r="A245" s="3436"/>
      <c r="B245" s="932" t="s">
        <v>562</v>
      </c>
      <c r="C245" s="1880">
        <f t="shared" ref="C245:P245" si="135">C13+C46+C82+C115+C140+C151+C184+C198+C209</f>
        <v>0</v>
      </c>
      <c r="D245" s="1882">
        <f t="shared" si="135"/>
        <v>1.22</v>
      </c>
      <c r="E245" s="849">
        <f t="shared" si="135"/>
        <v>0</v>
      </c>
      <c r="F245" s="1885">
        <f t="shared" si="135"/>
        <v>1.39</v>
      </c>
      <c r="G245" s="849">
        <f t="shared" si="135"/>
        <v>0</v>
      </c>
      <c r="H245" s="1881">
        <f t="shared" si="135"/>
        <v>1.39</v>
      </c>
      <c r="I245" s="849">
        <f t="shared" si="135"/>
        <v>0</v>
      </c>
      <c r="J245" s="1885">
        <f t="shared" si="135"/>
        <v>1.39</v>
      </c>
      <c r="K245" s="849">
        <f t="shared" si="135"/>
        <v>0</v>
      </c>
      <c r="L245" s="1881">
        <f t="shared" si="135"/>
        <v>1.39</v>
      </c>
      <c r="M245" s="849">
        <f t="shared" si="135"/>
        <v>0</v>
      </c>
      <c r="N245" s="1885">
        <f t="shared" si="135"/>
        <v>1.39</v>
      </c>
      <c r="O245" s="849">
        <f t="shared" si="135"/>
        <v>0</v>
      </c>
      <c r="P245" s="1885">
        <f t="shared" si="135"/>
        <v>1.39</v>
      </c>
      <c r="Q245" s="1886" t="s">
        <v>16</v>
      </c>
      <c r="R245" s="1888">
        <f t="shared" si="121"/>
        <v>0.14000000000000001</v>
      </c>
      <c r="S245" s="846">
        <f t="shared" si="122"/>
        <v>1.39</v>
      </c>
      <c r="U245" s="849">
        <f t="shared" si="126"/>
        <v>0</v>
      </c>
      <c r="V245" s="1885">
        <f t="shared" si="127"/>
        <v>0.17</v>
      </c>
    </row>
    <row r="246" spans="1:22" ht="16.5" thickTop="1" thickBot="1">
      <c r="A246" s="3437"/>
      <c r="B246" s="842" t="s">
        <v>18</v>
      </c>
      <c r="C246" s="973">
        <f>SUM(C236:C245)</f>
        <v>47655</v>
      </c>
      <c r="D246" s="976">
        <f>SUM(D236:D245)</f>
        <v>47.82</v>
      </c>
      <c r="E246" s="850">
        <f t="shared" ref="E246:P246" si="136">SUM(E236:E245)</f>
        <v>46434</v>
      </c>
      <c r="F246" s="843">
        <f t="shared" si="136"/>
        <v>61.5</v>
      </c>
      <c r="G246" s="850">
        <f t="shared" si="136"/>
        <v>46312</v>
      </c>
      <c r="H246" s="852">
        <f t="shared" si="136"/>
        <v>62.12</v>
      </c>
      <c r="I246" s="850">
        <f t="shared" si="136"/>
        <v>46401</v>
      </c>
      <c r="J246" s="843">
        <f t="shared" si="136"/>
        <v>62.51</v>
      </c>
      <c r="K246" s="850">
        <f t="shared" si="136"/>
        <v>46441</v>
      </c>
      <c r="L246" s="852">
        <f t="shared" si="136"/>
        <v>63.04</v>
      </c>
      <c r="M246" s="850">
        <f t="shared" si="136"/>
        <v>46372</v>
      </c>
      <c r="N246" s="843">
        <f t="shared" si="136"/>
        <v>63.49</v>
      </c>
      <c r="O246" s="850">
        <f t="shared" si="136"/>
        <v>46370</v>
      </c>
      <c r="P246" s="843">
        <f t="shared" si="136"/>
        <v>64.08</v>
      </c>
      <c r="Q246" s="880">
        <f t="shared" si="120"/>
        <v>-0.03</v>
      </c>
      <c r="R246" s="881">
        <f t="shared" si="121"/>
        <v>0.34</v>
      </c>
      <c r="S246" s="855">
        <f t="shared" ref="S246" si="137">SUM(S236:S245)</f>
        <v>89.58</v>
      </c>
      <c r="U246" s="850">
        <f t="shared" si="126"/>
        <v>-1285</v>
      </c>
      <c r="V246" s="843">
        <f t="shared" si="127"/>
        <v>16.260000000000002</v>
      </c>
    </row>
    <row r="247" spans="1:22">
      <c r="A247" s="3435" t="s">
        <v>33</v>
      </c>
      <c r="B247" s="933" t="s">
        <v>553</v>
      </c>
      <c r="C247" s="987">
        <f>C15+C48+C84+C117+C153+C164+C211+C222</f>
        <v>0</v>
      </c>
      <c r="D247" s="974">
        <f t="shared" ref="D247:P247" si="138">D15+D48+D84+D117+D153+D164+D211+D222</f>
        <v>0</v>
      </c>
      <c r="E247" s="847">
        <f t="shared" si="138"/>
        <v>0</v>
      </c>
      <c r="F247" s="853">
        <f t="shared" si="138"/>
        <v>0</v>
      </c>
      <c r="G247" s="847">
        <f t="shared" si="138"/>
        <v>0</v>
      </c>
      <c r="H247" s="851">
        <f t="shared" si="138"/>
        <v>0</v>
      </c>
      <c r="I247" s="847">
        <f t="shared" si="138"/>
        <v>0</v>
      </c>
      <c r="J247" s="853">
        <f t="shared" si="138"/>
        <v>0</v>
      </c>
      <c r="K247" s="847">
        <f t="shared" si="138"/>
        <v>0</v>
      </c>
      <c r="L247" s="851">
        <f t="shared" si="138"/>
        <v>0</v>
      </c>
      <c r="M247" s="847">
        <f t="shared" si="138"/>
        <v>0</v>
      </c>
      <c r="N247" s="853">
        <f t="shared" si="138"/>
        <v>0</v>
      </c>
      <c r="O247" s="847">
        <f t="shared" si="138"/>
        <v>0</v>
      </c>
      <c r="P247" s="853">
        <f t="shared" si="138"/>
        <v>0</v>
      </c>
      <c r="Q247" s="878" t="s">
        <v>16</v>
      </c>
      <c r="R247" s="879" t="s">
        <v>16</v>
      </c>
      <c r="S247" s="854">
        <f t="shared" ref="S247" si="139">S15+S48+S84+S117+S153+S164+S211+S222</f>
        <v>0</v>
      </c>
      <c r="U247" s="847">
        <f t="shared" si="126"/>
        <v>0</v>
      </c>
      <c r="V247" s="853">
        <f t="shared" si="127"/>
        <v>0</v>
      </c>
    </row>
    <row r="248" spans="1:22">
      <c r="A248" s="3436"/>
      <c r="B248" s="931" t="s">
        <v>554</v>
      </c>
      <c r="C248" s="979">
        <f t="shared" ref="C248:P248" si="140">C16+C49+C85+C118+C154+C165+C212+C223</f>
        <v>1005</v>
      </c>
      <c r="D248" s="975">
        <f t="shared" si="140"/>
        <v>2.84</v>
      </c>
      <c r="E248" s="848">
        <f t="shared" si="140"/>
        <v>1357</v>
      </c>
      <c r="F248" s="835">
        <f t="shared" si="140"/>
        <v>2.77</v>
      </c>
      <c r="G248" s="848">
        <f t="shared" si="140"/>
        <v>1763</v>
      </c>
      <c r="H248" s="836">
        <f t="shared" si="140"/>
        <v>3.51</v>
      </c>
      <c r="I248" s="848">
        <f t="shared" si="140"/>
        <v>2080</v>
      </c>
      <c r="J248" s="835">
        <f t="shared" si="140"/>
        <v>4.0599999999999996</v>
      </c>
      <c r="K248" s="848">
        <f t="shared" si="140"/>
        <v>2317</v>
      </c>
      <c r="L248" s="836">
        <f t="shared" si="140"/>
        <v>4.5199999999999996</v>
      </c>
      <c r="M248" s="848">
        <f t="shared" si="140"/>
        <v>2631</v>
      </c>
      <c r="N248" s="835">
        <f t="shared" si="140"/>
        <v>5.09</v>
      </c>
      <c r="O248" s="848">
        <f t="shared" si="140"/>
        <v>2951</v>
      </c>
      <c r="P248" s="835">
        <f t="shared" si="140"/>
        <v>5.67</v>
      </c>
      <c r="Q248" s="859">
        <f t="shared" si="120"/>
        <v>1.94</v>
      </c>
      <c r="R248" s="858">
        <f t="shared" si="121"/>
        <v>1</v>
      </c>
      <c r="S248" s="841">
        <f t="shared" ref="S248" si="141">S16+S49+S85+S118+S154+S165+S212+S223</f>
        <v>8.18</v>
      </c>
      <c r="U248" s="848">
        <f t="shared" si="126"/>
        <v>1946</v>
      </c>
      <c r="V248" s="835">
        <f t="shared" si="127"/>
        <v>2.83</v>
      </c>
    </row>
    <row r="249" spans="1:22">
      <c r="A249" s="3436"/>
      <c r="B249" s="931" t="s">
        <v>555</v>
      </c>
      <c r="C249" s="979">
        <f t="shared" ref="C249:P249" si="142">C17+C50+C86+C119+C155+C166+C213+C224</f>
        <v>1535</v>
      </c>
      <c r="D249" s="975">
        <f t="shared" si="142"/>
        <v>2.04</v>
      </c>
      <c r="E249" s="848">
        <f t="shared" si="142"/>
        <v>1919</v>
      </c>
      <c r="F249" s="835">
        <f t="shared" si="142"/>
        <v>2.11</v>
      </c>
      <c r="G249" s="848">
        <f t="shared" si="142"/>
        <v>1941</v>
      </c>
      <c r="H249" s="836">
        <f t="shared" si="142"/>
        <v>2.14</v>
      </c>
      <c r="I249" s="848">
        <f t="shared" si="142"/>
        <v>1997</v>
      </c>
      <c r="J249" s="835">
        <f t="shared" si="142"/>
        <v>2.21</v>
      </c>
      <c r="K249" s="848">
        <f t="shared" si="142"/>
        <v>2115</v>
      </c>
      <c r="L249" s="836">
        <f t="shared" si="142"/>
        <v>2.35</v>
      </c>
      <c r="M249" s="848">
        <f t="shared" si="142"/>
        <v>2186</v>
      </c>
      <c r="N249" s="835">
        <f t="shared" si="142"/>
        <v>2.4300000000000002</v>
      </c>
      <c r="O249" s="848">
        <f t="shared" si="142"/>
        <v>2264</v>
      </c>
      <c r="P249" s="835">
        <f t="shared" si="142"/>
        <v>2.54</v>
      </c>
      <c r="Q249" s="859">
        <f t="shared" si="120"/>
        <v>0.47</v>
      </c>
      <c r="R249" s="858">
        <f t="shared" si="121"/>
        <v>0.25</v>
      </c>
      <c r="S249" s="841">
        <f t="shared" ref="S249" si="143">S17+S50+S86+S119+S155+S166+S213+S224</f>
        <v>3.69</v>
      </c>
      <c r="U249" s="848">
        <f t="shared" si="126"/>
        <v>729</v>
      </c>
      <c r="V249" s="835">
        <f t="shared" si="127"/>
        <v>0.5</v>
      </c>
    </row>
    <row r="250" spans="1:22">
      <c r="A250" s="3436"/>
      <c r="B250" s="931" t="s">
        <v>556</v>
      </c>
      <c r="C250" s="979">
        <f t="shared" ref="C250:P250" si="144">C18+C51+C87+C120+C156+C167+C214+C225</f>
        <v>10670</v>
      </c>
      <c r="D250" s="975">
        <f t="shared" si="144"/>
        <v>15.83</v>
      </c>
      <c r="E250" s="848">
        <f t="shared" si="144"/>
        <v>12070</v>
      </c>
      <c r="F250" s="835">
        <f t="shared" si="144"/>
        <v>15.54</v>
      </c>
      <c r="G250" s="848">
        <f t="shared" si="144"/>
        <v>13309</v>
      </c>
      <c r="H250" s="836">
        <f t="shared" si="144"/>
        <v>17.260000000000002</v>
      </c>
      <c r="I250" s="848">
        <f t="shared" si="144"/>
        <v>14627</v>
      </c>
      <c r="J250" s="835">
        <f t="shared" si="144"/>
        <v>19.11</v>
      </c>
      <c r="K250" s="848">
        <f t="shared" si="144"/>
        <v>15859</v>
      </c>
      <c r="L250" s="836">
        <f t="shared" si="144"/>
        <v>20.85</v>
      </c>
      <c r="M250" s="848">
        <f t="shared" si="144"/>
        <v>16932</v>
      </c>
      <c r="N250" s="835">
        <f t="shared" si="144"/>
        <v>22.35</v>
      </c>
      <c r="O250" s="848">
        <f t="shared" si="144"/>
        <v>18039</v>
      </c>
      <c r="P250" s="835">
        <f t="shared" si="144"/>
        <v>23.9</v>
      </c>
      <c r="Q250" s="859">
        <f t="shared" si="120"/>
        <v>0.69</v>
      </c>
      <c r="R250" s="858">
        <f t="shared" si="121"/>
        <v>0.51</v>
      </c>
      <c r="S250" s="841">
        <f t="shared" ref="S250" si="145">S18+S51+S87+S120+S156+S167+S214+S225</f>
        <v>31.31</v>
      </c>
      <c r="U250" s="848">
        <f t="shared" si="126"/>
        <v>7369</v>
      </c>
      <c r="V250" s="835">
        <f t="shared" si="127"/>
        <v>8.07</v>
      </c>
    </row>
    <row r="251" spans="1:22">
      <c r="A251" s="3436"/>
      <c r="B251" s="931" t="s">
        <v>557</v>
      </c>
      <c r="C251" s="979">
        <f t="shared" ref="C251:P251" si="146">C19+C52+C88+C121+C157+C168+C215+C226</f>
        <v>46175</v>
      </c>
      <c r="D251" s="975">
        <f t="shared" si="146"/>
        <v>43.22</v>
      </c>
      <c r="E251" s="848">
        <f t="shared" si="146"/>
        <v>56701</v>
      </c>
      <c r="F251" s="835">
        <f t="shared" si="146"/>
        <v>42.81</v>
      </c>
      <c r="G251" s="848">
        <f t="shared" si="146"/>
        <v>57468</v>
      </c>
      <c r="H251" s="836">
        <f t="shared" si="146"/>
        <v>43.77</v>
      </c>
      <c r="I251" s="848">
        <f t="shared" si="146"/>
        <v>58228</v>
      </c>
      <c r="J251" s="835">
        <f t="shared" si="146"/>
        <v>44.73</v>
      </c>
      <c r="K251" s="848">
        <f t="shared" si="146"/>
        <v>59420</v>
      </c>
      <c r="L251" s="836">
        <f t="shared" si="146"/>
        <v>46.3</v>
      </c>
      <c r="M251" s="848">
        <f t="shared" si="146"/>
        <v>60542</v>
      </c>
      <c r="N251" s="835">
        <f t="shared" si="146"/>
        <v>47.78</v>
      </c>
      <c r="O251" s="848">
        <f t="shared" si="146"/>
        <v>61631</v>
      </c>
      <c r="P251" s="835">
        <f t="shared" si="146"/>
        <v>49.16</v>
      </c>
      <c r="Q251" s="859">
        <f t="shared" si="120"/>
        <v>0.33</v>
      </c>
      <c r="R251" s="858">
        <f t="shared" si="121"/>
        <v>0.14000000000000001</v>
      </c>
      <c r="S251" s="841">
        <f t="shared" ref="S251" si="147">S19+S52+S88+S121+S157+S168+S215+S226</f>
        <v>62.42</v>
      </c>
      <c r="U251" s="848">
        <f t="shared" si="126"/>
        <v>15456</v>
      </c>
      <c r="V251" s="835">
        <f t="shared" si="127"/>
        <v>5.94</v>
      </c>
    </row>
    <row r="252" spans="1:22">
      <c r="A252" s="3436"/>
      <c r="B252" s="931" t="s">
        <v>558</v>
      </c>
      <c r="C252" s="979">
        <f t="shared" ref="C252:P252" si="148">C20+C53+C89+C122+C158+C169+C216+C227</f>
        <v>2517</v>
      </c>
      <c r="D252" s="975">
        <f t="shared" si="148"/>
        <v>6.74</v>
      </c>
      <c r="E252" s="848">
        <f t="shared" si="148"/>
        <v>2650</v>
      </c>
      <c r="F252" s="835">
        <f t="shared" si="148"/>
        <v>6.52</v>
      </c>
      <c r="G252" s="848">
        <f t="shared" si="148"/>
        <v>3246</v>
      </c>
      <c r="H252" s="836">
        <f t="shared" si="148"/>
        <v>7.86</v>
      </c>
      <c r="I252" s="848">
        <f t="shared" si="148"/>
        <v>3285</v>
      </c>
      <c r="J252" s="835">
        <f t="shared" si="148"/>
        <v>7.94</v>
      </c>
      <c r="K252" s="848">
        <f t="shared" si="148"/>
        <v>3630</v>
      </c>
      <c r="L252" s="836">
        <f t="shared" si="148"/>
        <v>8.7100000000000009</v>
      </c>
      <c r="M252" s="848">
        <f t="shared" si="148"/>
        <v>4099</v>
      </c>
      <c r="N252" s="835">
        <f t="shared" si="148"/>
        <v>9.7899999999999991</v>
      </c>
      <c r="O252" s="848">
        <f t="shared" si="148"/>
        <v>4702</v>
      </c>
      <c r="P252" s="835">
        <f t="shared" si="148"/>
        <v>11.15</v>
      </c>
      <c r="Q252" s="859">
        <f t="shared" si="120"/>
        <v>0.87</v>
      </c>
      <c r="R252" s="858">
        <f t="shared" si="121"/>
        <v>0.65</v>
      </c>
      <c r="S252" s="841">
        <f t="shared" ref="S252" si="149">S20+S53+S89+S122+S158+S169+S216+S227</f>
        <v>12.6</v>
      </c>
      <c r="U252" s="848">
        <f t="shared" si="126"/>
        <v>2185</v>
      </c>
      <c r="V252" s="835">
        <f t="shared" si="127"/>
        <v>4.41</v>
      </c>
    </row>
    <row r="253" spans="1:22">
      <c r="A253" s="3436"/>
      <c r="B253" s="931" t="s">
        <v>559</v>
      </c>
      <c r="C253" s="979">
        <f t="shared" ref="C253:P253" si="150">C21+C54+C90+C123+C159+C170+C217+C228</f>
        <v>11293</v>
      </c>
      <c r="D253" s="975">
        <f t="shared" si="150"/>
        <v>12.04</v>
      </c>
      <c r="E253" s="848">
        <f t="shared" si="150"/>
        <v>12722</v>
      </c>
      <c r="F253" s="835">
        <f t="shared" si="150"/>
        <v>12.12</v>
      </c>
      <c r="G253" s="848">
        <f t="shared" si="150"/>
        <v>13040</v>
      </c>
      <c r="H253" s="836">
        <f t="shared" si="150"/>
        <v>12.32</v>
      </c>
      <c r="I253" s="848">
        <f t="shared" si="150"/>
        <v>13727</v>
      </c>
      <c r="J253" s="835">
        <f t="shared" si="150"/>
        <v>12.82</v>
      </c>
      <c r="K253" s="848">
        <f t="shared" si="150"/>
        <v>13843</v>
      </c>
      <c r="L253" s="836">
        <f t="shared" si="150"/>
        <v>12.79</v>
      </c>
      <c r="M253" s="848">
        <f t="shared" si="150"/>
        <v>14052</v>
      </c>
      <c r="N253" s="835">
        <f t="shared" si="150"/>
        <v>12.85</v>
      </c>
      <c r="O253" s="848">
        <f t="shared" si="150"/>
        <v>14203</v>
      </c>
      <c r="P253" s="835">
        <f t="shared" si="150"/>
        <v>12.81</v>
      </c>
      <c r="Q253" s="859">
        <f t="shared" si="120"/>
        <v>0.26</v>
      </c>
      <c r="R253" s="858">
        <f t="shared" si="121"/>
        <v>0.06</v>
      </c>
      <c r="S253" s="841">
        <f t="shared" ref="S253" si="151">S21+S54+S90+S123+S159+S170+S217+S228</f>
        <v>17.420000000000002</v>
      </c>
      <c r="U253" s="848">
        <f t="shared" si="126"/>
        <v>2910</v>
      </c>
      <c r="V253" s="835">
        <f t="shared" si="127"/>
        <v>0.77</v>
      </c>
    </row>
    <row r="254" spans="1:22">
      <c r="A254" s="3436"/>
      <c r="B254" s="931" t="s">
        <v>560</v>
      </c>
      <c r="C254" s="979">
        <f t="shared" ref="C254:P254" si="152">C22+C55+C91+C124+C160+C171+C218+C229</f>
        <v>109</v>
      </c>
      <c r="D254" s="975">
        <f t="shared" si="152"/>
        <v>0.06</v>
      </c>
      <c r="E254" s="848">
        <f t="shared" si="152"/>
        <v>86</v>
      </c>
      <c r="F254" s="835">
        <f t="shared" si="152"/>
        <v>0.06</v>
      </c>
      <c r="G254" s="848">
        <f t="shared" si="152"/>
        <v>86</v>
      </c>
      <c r="H254" s="836">
        <f t="shared" si="152"/>
        <v>0.06</v>
      </c>
      <c r="I254" s="848">
        <f t="shared" si="152"/>
        <v>86</v>
      </c>
      <c r="J254" s="835">
        <f t="shared" si="152"/>
        <v>0.05</v>
      </c>
      <c r="K254" s="848">
        <f t="shared" si="152"/>
        <v>86</v>
      </c>
      <c r="L254" s="836">
        <f t="shared" si="152"/>
        <v>0.06</v>
      </c>
      <c r="M254" s="848">
        <f t="shared" si="152"/>
        <v>86</v>
      </c>
      <c r="N254" s="835">
        <f t="shared" si="152"/>
        <v>0.06</v>
      </c>
      <c r="O254" s="848">
        <f t="shared" si="152"/>
        <v>86</v>
      </c>
      <c r="P254" s="835">
        <f t="shared" si="152"/>
        <v>0.06</v>
      </c>
      <c r="Q254" s="859">
        <f t="shared" si="120"/>
        <v>-0.21</v>
      </c>
      <c r="R254" s="858">
        <f t="shared" si="121"/>
        <v>0</v>
      </c>
      <c r="S254" s="841">
        <f t="shared" ref="S254" si="153">S22+S55+S91+S124+S160+S171+S218+S229</f>
        <v>7.0000000000000007E-2</v>
      </c>
      <c r="U254" s="848">
        <f t="shared" si="126"/>
        <v>-23</v>
      </c>
      <c r="V254" s="835">
        <f t="shared" si="127"/>
        <v>0</v>
      </c>
    </row>
    <row r="255" spans="1:22">
      <c r="A255" s="3436"/>
      <c r="B255" s="931" t="s">
        <v>561</v>
      </c>
      <c r="C255" s="979">
        <f t="shared" ref="C255:P255" si="154">C23+C56+C92+C125+C161+C172+C219+C230</f>
        <v>0</v>
      </c>
      <c r="D255" s="975">
        <f t="shared" si="154"/>
        <v>0</v>
      </c>
      <c r="E255" s="848">
        <f t="shared" si="154"/>
        <v>0</v>
      </c>
      <c r="F255" s="835">
        <f t="shared" si="154"/>
        <v>0</v>
      </c>
      <c r="G255" s="848">
        <f t="shared" si="154"/>
        <v>0</v>
      </c>
      <c r="H255" s="836">
        <f t="shared" si="154"/>
        <v>0</v>
      </c>
      <c r="I255" s="848">
        <f t="shared" si="154"/>
        <v>0</v>
      </c>
      <c r="J255" s="835">
        <f t="shared" si="154"/>
        <v>0</v>
      </c>
      <c r="K255" s="848">
        <f t="shared" si="154"/>
        <v>0</v>
      </c>
      <c r="L255" s="836">
        <f t="shared" si="154"/>
        <v>0</v>
      </c>
      <c r="M255" s="848">
        <f t="shared" si="154"/>
        <v>0</v>
      </c>
      <c r="N255" s="835">
        <f t="shared" si="154"/>
        <v>0</v>
      </c>
      <c r="O255" s="848">
        <f t="shared" si="154"/>
        <v>0</v>
      </c>
      <c r="P255" s="835">
        <f t="shared" si="154"/>
        <v>0</v>
      </c>
      <c r="Q255" s="859" t="s">
        <v>16</v>
      </c>
      <c r="R255" s="858" t="s">
        <v>16</v>
      </c>
      <c r="S255" s="841">
        <f t="shared" ref="S255" si="155">S23+S56+S92+S125+S161+S172+S219+S230</f>
        <v>0</v>
      </c>
      <c r="T255" t="s">
        <v>36</v>
      </c>
      <c r="U255" s="848">
        <f t="shared" si="126"/>
        <v>0</v>
      </c>
      <c r="V255" s="835">
        <f t="shared" si="127"/>
        <v>0</v>
      </c>
    </row>
    <row r="256" spans="1:22" ht="15.75" thickBot="1">
      <c r="A256" s="3436"/>
      <c r="B256" s="932" t="s">
        <v>562</v>
      </c>
      <c r="C256" s="937">
        <f t="shared" ref="C256:P256" si="156">C24+C57+C93+C126+C162+C173+C220+C231</f>
        <v>0</v>
      </c>
      <c r="D256" s="1882">
        <f t="shared" si="156"/>
        <v>6.15</v>
      </c>
      <c r="E256" s="849">
        <f t="shared" si="156"/>
        <v>0</v>
      </c>
      <c r="F256" s="1885">
        <f t="shared" si="156"/>
        <v>6.21</v>
      </c>
      <c r="G256" s="849">
        <f t="shared" si="156"/>
        <v>0</v>
      </c>
      <c r="H256" s="1881">
        <f t="shared" si="156"/>
        <v>6.21</v>
      </c>
      <c r="I256" s="849">
        <f t="shared" si="156"/>
        <v>0</v>
      </c>
      <c r="J256" s="1885">
        <f t="shared" si="156"/>
        <v>6.21</v>
      </c>
      <c r="K256" s="849">
        <f t="shared" si="156"/>
        <v>0</v>
      </c>
      <c r="L256" s="1881">
        <f t="shared" si="156"/>
        <v>6.21</v>
      </c>
      <c r="M256" s="849">
        <f t="shared" si="156"/>
        <v>0</v>
      </c>
      <c r="N256" s="1885">
        <f t="shared" si="156"/>
        <v>6.21</v>
      </c>
      <c r="O256" s="849">
        <f t="shared" si="156"/>
        <v>0</v>
      </c>
      <c r="P256" s="1885">
        <f t="shared" si="156"/>
        <v>6.21</v>
      </c>
      <c r="Q256" s="1886" t="s">
        <v>16</v>
      </c>
      <c r="R256" s="1888">
        <f t="shared" si="121"/>
        <v>0.01</v>
      </c>
      <c r="S256" s="846">
        <f t="shared" ref="S256" si="157">S24+S57+S93+S126+S162+S173+S220+S231</f>
        <v>6.21</v>
      </c>
      <c r="U256" s="849">
        <f t="shared" si="126"/>
        <v>0</v>
      </c>
      <c r="V256" s="1885">
        <f t="shared" si="127"/>
        <v>0.06</v>
      </c>
    </row>
    <row r="257" spans="1:23" ht="16.5" thickTop="1" thickBot="1">
      <c r="A257" s="3437"/>
      <c r="B257" s="842" t="s">
        <v>18</v>
      </c>
      <c r="C257" s="973">
        <f>SUM(C247:C256)</f>
        <v>73304</v>
      </c>
      <c r="D257" s="976">
        <f t="shared" ref="D257:N257" si="158">SUM(D247:D256)</f>
        <v>88.92</v>
      </c>
      <c r="E257" s="850">
        <f t="shared" si="158"/>
        <v>87505</v>
      </c>
      <c r="F257" s="843">
        <f t="shared" si="158"/>
        <v>88.14</v>
      </c>
      <c r="G257" s="850">
        <f t="shared" si="158"/>
        <v>90853</v>
      </c>
      <c r="H257" s="852">
        <f t="shared" si="158"/>
        <v>93.13</v>
      </c>
      <c r="I257" s="850">
        <f t="shared" si="158"/>
        <v>94030</v>
      </c>
      <c r="J257" s="843">
        <f t="shared" si="158"/>
        <v>97.13</v>
      </c>
      <c r="K257" s="850">
        <f t="shared" si="158"/>
        <v>97270</v>
      </c>
      <c r="L257" s="852">
        <f t="shared" si="158"/>
        <v>101.79</v>
      </c>
      <c r="M257" s="850">
        <f t="shared" si="158"/>
        <v>100528</v>
      </c>
      <c r="N257" s="843">
        <f t="shared" si="158"/>
        <v>106.56</v>
      </c>
      <c r="O257" s="850">
        <f t="shared" ref="O257:P257" si="159">SUM(O247:O256)</f>
        <v>103876</v>
      </c>
      <c r="P257" s="843">
        <f t="shared" si="159"/>
        <v>111.5</v>
      </c>
      <c r="Q257" s="880">
        <f t="shared" si="120"/>
        <v>0.42</v>
      </c>
      <c r="R257" s="881">
        <f t="shared" si="121"/>
        <v>0.25</v>
      </c>
      <c r="S257" s="855">
        <f>SUM(S247:S256)</f>
        <v>141.9</v>
      </c>
      <c r="U257" s="850">
        <f t="shared" si="126"/>
        <v>30572</v>
      </c>
      <c r="V257" s="843">
        <f t="shared" si="127"/>
        <v>22.58</v>
      </c>
    </row>
    <row r="258" spans="1:23">
      <c r="A258" s="3435" t="s">
        <v>34</v>
      </c>
      <c r="B258" s="933" t="s">
        <v>553</v>
      </c>
      <c r="C258" s="971">
        <f t="shared" ref="C258:C267" si="160">C236+C247</f>
        <v>253</v>
      </c>
      <c r="D258" s="974">
        <f t="shared" ref="D258:N258" si="161">D236+D247</f>
        <v>0.12</v>
      </c>
      <c r="E258" s="847">
        <f t="shared" si="161"/>
        <v>199</v>
      </c>
      <c r="F258" s="853">
        <f t="shared" si="161"/>
        <v>0.13</v>
      </c>
      <c r="G258" s="847">
        <f t="shared" si="161"/>
        <v>199</v>
      </c>
      <c r="H258" s="851">
        <f t="shared" si="161"/>
        <v>0.14000000000000001</v>
      </c>
      <c r="I258" s="847">
        <f t="shared" si="161"/>
        <v>199</v>
      </c>
      <c r="J258" s="853">
        <f t="shared" si="161"/>
        <v>0.14000000000000001</v>
      </c>
      <c r="K258" s="847">
        <f t="shared" si="161"/>
        <v>199</v>
      </c>
      <c r="L258" s="851">
        <f t="shared" si="161"/>
        <v>0.14000000000000001</v>
      </c>
      <c r="M258" s="847">
        <f t="shared" si="161"/>
        <v>199</v>
      </c>
      <c r="N258" s="853">
        <f t="shared" si="161"/>
        <v>0.15</v>
      </c>
      <c r="O258" s="847">
        <f t="shared" ref="O258:P258" si="162">O236+O247</f>
        <v>199</v>
      </c>
      <c r="P258" s="853">
        <f t="shared" si="162"/>
        <v>0.14000000000000001</v>
      </c>
      <c r="Q258" s="878">
        <f t="shared" si="120"/>
        <v>-0.21</v>
      </c>
      <c r="R258" s="879">
        <f t="shared" si="121"/>
        <v>0.17</v>
      </c>
      <c r="S258" s="854">
        <f t="shared" ref="S258:S267" si="163">S236+S247</f>
        <v>0.23</v>
      </c>
      <c r="U258" s="847">
        <f t="shared" si="126"/>
        <v>-54</v>
      </c>
      <c r="V258" s="853">
        <f t="shared" si="127"/>
        <v>0.02</v>
      </c>
    </row>
    <row r="259" spans="1:23">
      <c r="A259" s="3436"/>
      <c r="B259" s="931" t="s">
        <v>554</v>
      </c>
      <c r="C259" s="972">
        <f t="shared" si="160"/>
        <v>2802</v>
      </c>
      <c r="D259" s="975">
        <f t="shared" ref="D259:N259" si="164">D237+D248</f>
        <v>6.13</v>
      </c>
      <c r="E259" s="848">
        <f t="shared" si="164"/>
        <v>3148</v>
      </c>
      <c r="F259" s="835">
        <f t="shared" si="164"/>
        <v>6.27</v>
      </c>
      <c r="G259" s="848">
        <f t="shared" si="164"/>
        <v>3606</v>
      </c>
      <c r="H259" s="836">
        <f t="shared" si="164"/>
        <v>7.18</v>
      </c>
      <c r="I259" s="848">
        <f t="shared" si="164"/>
        <v>4137</v>
      </c>
      <c r="J259" s="835">
        <f t="shared" si="164"/>
        <v>8.14</v>
      </c>
      <c r="K259" s="848">
        <f t="shared" si="164"/>
        <v>4445</v>
      </c>
      <c r="L259" s="836">
        <f t="shared" si="164"/>
        <v>8.7899999999999991</v>
      </c>
      <c r="M259" s="848">
        <f t="shared" si="164"/>
        <v>4819</v>
      </c>
      <c r="N259" s="835">
        <f t="shared" si="164"/>
        <v>9.49</v>
      </c>
      <c r="O259" s="848">
        <f t="shared" ref="O259:P259" si="165">O237+O248</f>
        <v>5139</v>
      </c>
      <c r="P259" s="835">
        <f t="shared" si="165"/>
        <v>10.09</v>
      </c>
      <c r="Q259" s="838">
        <f t="shared" si="120"/>
        <v>0.83</v>
      </c>
      <c r="R259" s="840">
        <f t="shared" si="121"/>
        <v>0.65</v>
      </c>
      <c r="S259" s="841">
        <f t="shared" si="163"/>
        <v>14.56</v>
      </c>
      <c r="U259" s="848">
        <f t="shared" si="126"/>
        <v>2337</v>
      </c>
      <c r="V259" s="835">
        <f t="shared" si="127"/>
        <v>3.96</v>
      </c>
    </row>
    <row r="260" spans="1:23">
      <c r="A260" s="3436"/>
      <c r="B260" s="931" t="s">
        <v>555</v>
      </c>
      <c r="C260" s="972">
        <f t="shared" si="160"/>
        <v>22471</v>
      </c>
      <c r="D260" s="975">
        <f t="shared" ref="D260:N260" si="166">D238+D249</f>
        <v>21.42</v>
      </c>
      <c r="E260" s="848">
        <f t="shared" si="166"/>
        <v>23030</v>
      </c>
      <c r="F260" s="835">
        <f t="shared" si="166"/>
        <v>28.28</v>
      </c>
      <c r="G260" s="848">
        <f t="shared" si="166"/>
        <v>22837</v>
      </c>
      <c r="H260" s="836">
        <f t="shared" si="166"/>
        <v>28.29</v>
      </c>
      <c r="I260" s="848">
        <f t="shared" si="166"/>
        <v>22275</v>
      </c>
      <c r="J260" s="835">
        <f t="shared" si="166"/>
        <v>27.8</v>
      </c>
      <c r="K260" s="848">
        <f t="shared" si="166"/>
        <v>21889</v>
      </c>
      <c r="L260" s="836">
        <f t="shared" si="166"/>
        <v>27.5</v>
      </c>
      <c r="M260" s="848">
        <f t="shared" si="166"/>
        <v>21664</v>
      </c>
      <c r="N260" s="835">
        <f t="shared" si="166"/>
        <v>27.38</v>
      </c>
      <c r="O260" s="848">
        <f t="shared" ref="O260:P260" si="167">O238+O249</f>
        <v>21525</v>
      </c>
      <c r="P260" s="835">
        <f t="shared" si="167"/>
        <v>27.38</v>
      </c>
      <c r="Q260" s="838">
        <f t="shared" si="120"/>
        <v>-0.04</v>
      </c>
      <c r="R260" s="840">
        <f t="shared" si="121"/>
        <v>0.28000000000000003</v>
      </c>
      <c r="S260" s="841">
        <f t="shared" si="163"/>
        <v>41.68</v>
      </c>
      <c r="U260" s="848">
        <f t="shared" si="126"/>
        <v>-946</v>
      </c>
      <c r="V260" s="835">
        <f t="shared" si="127"/>
        <v>5.96</v>
      </c>
    </row>
    <row r="261" spans="1:23">
      <c r="A261" s="3436"/>
      <c r="B261" s="931" t="s">
        <v>556</v>
      </c>
      <c r="C261" s="972">
        <f t="shared" si="160"/>
        <v>19014</v>
      </c>
      <c r="D261" s="975">
        <f t="shared" ref="D261:N261" si="168">D239+D250</f>
        <v>23.8</v>
      </c>
      <c r="E261" s="848">
        <f t="shared" si="168"/>
        <v>20520</v>
      </c>
      <c r="F261" s="835">
        <f t="shared" si="168"/>
        <v>26.55</v>
      </c>
      <c r="G261" s="848">
        <f t="shared" si="168"/>
        <v>21939</v>
      </c>
      <c r="H261" s="836">
        <f t="shared" si="168"/>
        <v>28.62</v>
      </c>
      <c r="I261" s="848">
        <f t="shared" si="168"/>
        <v>23408</v>
      </c>
      <c r="J261" s="835">
        <f t="shared" si="168"/>
        <v>30.81</v>
      </c>
      <c r="K261" s="848">
        <f t="shared" si="168"/>
        <v>24770</v>
      </c>
      <c r="L261" s="836">
        <f t="shared" si="168"/>
        <v>32.82</v>
      </c>
      <c r="M261" s="848">
        <f t="shared" si="168"/>
        <v>25937</v>
      </c>
      <c r="N261" s="835">
        <f t="shared" si="168"/>
        <v>34.56</v>
      </c>
      <c r="O261" s="848">
        <f t="shared" ref="O261:P261" si="169">O239+O250</f>
        <v>27088</v>
      </c>
      <c r="P261" s="835">
        <f t="shared" si="169"/>
        <v>36.43</v>
      </c>
      <c r="Q261" s="838">
        <f t="shared" si="120"/>
        <v>0.42</v>
      </c>
      <c r="R261" s="840">
        <f t="shared" si="121"/>
        <v>0.53</v>
      </c>
      <c r="S261" s="841">
        <f t="shared" si="163"/>
        <v>47.86</v>
      </c>
      <c r="T261" t="s">
        <v>36</v>
      </c>
      <c r="U261" s="848">
        <f t="shared" si="126"/>
        <v>8074</v>
      </c>
      <c r="V261" s="835">
        <f t="shared" si="127"/>
        <v>12.63</v>
      </c>
    </row>
    <row r="262" spans="1:23">
      <c r="A262" s="3436"/>
      <c r="B262" s="931" t="s">
        <v>557</v>
      </c>
      <c r="C262" s="972">
        <f t="shared" si="160"/>
        <v>50077</v>
      </c>
      <c r="D262" s="975">
        <f t="shared" ref="D262:N262" si="170">D240+D251</f>
        <v>45.44</v>
      </c>
      <c r="E262" s="848">
        <f t="shared" si="170"/>
        <v>60487</v>
      </c>
      <c r="F262" s="835">
        <f t="shared" si="170"/>
        <v>45.81</v>
      </c>
      <c r="G262" s="848">
        <f t="shared" si="170"/>
        <v>61335</v>
      </c>
      <c r="H262" s="836">
        <f t="shared" si="170"/>
        <v>46.88</v>
      </c>
      <c r="I262" s="848">
        <f t="shared" si="170"/>
        <v>62343</v>
      </c>
      <c r="J262" s="835">
        <f t="shared" si="170"/>
        <v>48.01</v>
      </c>
      <c r="K262" s="848">
        <f t="shared" si="170"/>
        <v>63834</v>
      </c>
      <c r="L262" s="836">
        <f t="shared" si="170"/>
        <v>49.88</v>
      </c>
      <c r="M262" s="848">
        <f t="shared" si="170"/>
        <v>65103</v>
      </c>
      <c r="N262" s="835">
        <f t="shared" si="170"/>
        <v>51.45</v>
      </c>
      <c r="O262" s="848">
        <f t="shared" ref="O262:P262" si="171">O240+O251</f>
        <v>66289</v>
      </c>
      <c r="P262" s="835">
        <f t="shared" si="171"/>
        <v>52.89</v>
      </c>
      <c r="Q262" s="838">
        <f t="shared" si="120"/>
        <v>0.32</v>
      </c>
      <c r="R262" s="840">
        <f t="shared" si="121"/>
        <v>0.16</v>
      </c>
      <c r="S262" s="841">
        <f t="shared" si="163"/>
        <v>67.95</v>
      </c>
      <c r="U262" s="848">
        <f t="shared" si="126"/>
        <v>16212</v>
      </c>
      <c r="V262" s="835">
        <f t="shared" si="127"/>
        <v>7.45</v>
      </c>
    </row>
    <row r="263" spans="1:23">
      <c r="A263" s="3436"/>
      <c r="B263" s="931" t="s">
        <v>558</v>
      </c>
      <c r="C263" s="972">
        <f t="shared" si="160"/>
        <v>6987</v>
      </c>
      <c r="D263" s="975">
        <f t="shared" ref="D263:N263" si="172">D241+D252</f>
        <v>15.72</v>
      </c>
      <c r="E263" s="848">
        <f t="shared" si="172"/>
        <v>6870</v>
      </c>
      <c r="F263" s="835">
        <f t="shared" si="172"/>
        <v>16.7</v>
      </c>
      <c r="G263" s="848">
        <f t="shared" si="172"/>
        <v>7545</v>
      </c>
      <c r="H263" s="836">
        <f t="shared" si="172"/>
        <v>18.350000000000001</v>
      </c>
      <c r="I263" s="848">
        <f t="shared" si="172"/>
        <v>7584</v>
      </c>
      <c r="J263" s="835">
        <f t="shared" si="172"/>
        <v>18.440000000000001</v>
      </c>
      <c r="K263" s="848">
        <f t="shared" si="172"/>
        <v>7945</v>
      </c>
      <c r="L263" s="836">
        <f t="shared" si="172"/>
        <v>19.37</v>
      </c>
      <c r="M263" s="848">
        <f t="shared" si="172"/>
        <v>8496</v>
      </c>
      <c r="N263" s="835">
        <f t="shared" si="172"/>
        <v>20.75</v>
      </c>
      <c r="O263" s="848">
        <f t="shared" ref="O263:P263" si="173">O241+O252</f>
        <v>9224</v>
      </c>
      <c r="P263" s="835">
        <f t="shared" si="173"/>
        <v>22.51</v>
      </c>
      <c r="Q263" s="838">
        <f t="shared" si="120"/>
        <v>0.32</v>
      </c>
      <c r="R263" s="840">
        <f t="shared" si="121"/>
        <v>0.43</v>
      </c>
      <c r="S263" s="841">
        <f t="shared" si="163"/>
        <v>25.55</v>
      </c>
      <c r="U263" s="848">
        <f t="shared" si="126"/>
        <v>2237</v>
      </c>
      <c r="V263" s="835">
        <f t="shared" si="127"/>
        <v>6.79</v>
      </c>
      <c r="W263" t="s">
        <v>36</v>
      </c>
    </row>
    <row r="264" spans="1:23">
      <c r="A264" s="3436"/>
      <c r="B264" s="931" t="s">
        <v>559</v>
      </c>
      <c r="C264" s="972">
        <f t="shared" si="160"/>
        <v>14432</v>
      </c>
      <c r="D264" s="975">
        <f t="shared" ref="D264:N264" si="174">D242+D253</f>
        <v>13.73</v>
      </c>
      <c r="E264" s="848">
        <f t="shared" si="174"/>
        <v>14924</v>
      </c>
      <c r="F264" s="835">
        <f t="shared" si="174"/>
        <v>14.25</v>
      </c>
      <c r="G264" s="848">
        <f t="shared" si="174"/>
        <v>15329</v>
      </c>
      <c r="H264" s="836">
        <f t="shared" si="174"/>
        <v>14.49</v>
      </c>
      <c r="I264" s="848">
        <f t="shared" si="174"/>
        <v>16110</v>
      </c>
      <c r="J264" s="835">
        <f t="shared" si="174"/>
        <v>15.05</v>
      </c>
      <c r="K264" s="848">
        <f t="shared" si="174"/>
        <v>16254</v>
      </c>
      <c r="L264" s="836">
        <f t="shared" si="174"/>
        <v>15.05</v>
      </c>
      <c r="M264" s="848">
        <f t="shared" si="174"/>
        <v>16405</v>
      </c>
      <c r="N264" s="835">
        <f t="shared" si="174"/>
        <v>15.05</v>
      </c>
      <c r="O264" s="848">
        <f t="shared" ref="O264:P264" si="175">O242+O253</f>
        <v>16505</v>
      </c>
      <c r="P264" s="835">
        <f t="shared" si="175"/>
        <v>14.9</v>
      </c>
      <c r="Q264" s="838">
        <f t="shared" si="120"/>
        <v>0.14000000000000001</v>
      </c>
      <c r="R264" s="840">
        <f t="shared" si="121"/>
        <v>0.09</v>
      </c>
      <c r="S264" s="841">
        <f t="shared" si="163"/>
        <v>20.84</v>
      </c>
      <c r="U264" s="848">
        <f t="shared" si="126"/>
        <v>2073</v>
      </c>
      <c r="V264" s="835">
        <f t="shared" si="127"/>
        <v>1.17</v>
      </c>
    </row>
    <row r="265" spans="1:23">
      <c r="A265" s="3436"/>
      <c r="B265" s="931" t="s">
        <v>560</v>
      </c>
      <c r="C265" s="972">
        <f t="shared" si="160"/>
        <v>4923</v>
      </c>
      <c r="D265" s="975">
        <f t="shared" ref="D265:N265" si="176">D243+D254</f>
        <v>3.01</v>
      </c>
      <c r="E265" s="848">
        <f t="shared" si="176"/>
        <v>4761</v>
      </c>
      <c r="F265" s="835">
        <f t="shared" si="176"/>
        <v>4.05</v>
      </c>
      <c r="G265" s="848">
        <f t="shared" si="176"/>
        <v>4375</v>
      </c>
      <c r="H265" s="836">
        <f t="shared" si="176"/>
        <v>3.7</v>
      </c>
      <c r="I265" s="848">
        <f t="shared" si="176"/>
        <v>4375</v>
      </c>
      <c r="J265" s="835">
        <f t="shared" si="176"/>
        <v>3.65</v>
      </c>
      <c r="K265" s="848">
        <f t="shared" si="176"/>
        <v>4375</v>
      </c>
      <c r="L265" s="836">
        <f t="shared" si="176"/>
        <v>3.68</v>
      </c>
      <c r="M265" s="848">
        <f t="shared" si="176"/>
        <v>4277</v>
      </c>
      <c r="N265" s="835">
        <f t="shared" si="176"/>
        <v>3.62</v>
      </c>
      <c r="O265" s="848">
        <f t="shared" ref="O265:P265" si="177">O243+O254</f>
        <v>4277</v>
      </c>
      <c r="P265" s="835">
        <f t="shared" si="177"/>
        <v>3.64</v>
      </c>
      <c r="Q265" s="838">
        <f t="shared" si="120"/>
        <v>-0.13</v>
      </c>
      <c r="R265" s="840">
        <f t="shared" si="121"/>
        <v>0.21</v>
      </c>
      <c r="S265" s="841">
        <f t="shared" si="163"/>
        <v>5.21</v>
      </c>
      <c r="U265" s="848">
        <f t="shared" si="126"/>
        <v>-646</v>
      </c>
      <c r="V265" s="835">
        <f t="shared" si="127"/>
        <v>0.63</v>
      </c>
    </row>
    <row r="266" spans="1:23">
      <c r="A266" s="3436"/>
      <c r="B266" s="931" t="s">
        <v>561</v>
      </c>
      <c r="C266" s="972">
        <f t="shared" si="160"/>
        <v>0</v>
      </c>
      <c r="D266" s="975">
        <f t="shared" ref="D266:N266" si="178">D244+D255</f>
        <v>0</v>
      </c>
      <c r="E266" s="848">
        <f t="shared" si="178"/>
        <v>0</v>
      </c>
      <c r="F266" s="835">
        <f t="shared" si="178"/>
        <v>0</v>
      </c>
      <c r="G266" s="848">
        <f t="shared" si="178"/>
        <v>0</v>
      </c>
      <c r="H266" s="836">
        <f t="shared" si="178"/>
        <v>0</v>
      </c>
      <c r="I266" s="848">
        <f t="shared" si="178"/>
        <v>0</v>
      </c>
      <c r="J266" s="835">
        <f t="shared" si="178"/>
        <v>0</v>
      </c>
      <c r="K266" s="848">
        <f t="shared" si="178"/>
        <v>0</v>
      </c>
      <c r="L266" s="836">
        <f t="shared" si="178"/>
        <v>0</v>
      </c>
      <c r="M266" s="848">
        <f t="shared" si="178"/>
        <v>0</v>
      </c>
      <c r="N266" s="835">
        <f t="shared" si="178"/>
        <v>0</v>
      </c>
      <c r="O266" s="848">
        <f t="shared" ref="O266:P266" si="179">O244+O255</f>
        <v>0</v>
      </c>
      <c r="P266" s="835">
        <f t="shared" si="179"/>
        <v>0</v>
      </c>
      <c r="Q266" s="859" t="s">
        <v>16</v>
      </c>
      <c r="R266" s="858" t="s">
        <v>16</v>
      </c>
      <c r="S266" s="841">
        <f t="shared" si="163"/>
        <v>0</v>
      </c>
      <c r="U266" s="848">
        <f t="shared" si="126"/>
        <v>0</v>
      </c>
      <c r="V266" s="835">
        <f t="shared" si="127"/>
        <v>0</v>
      </c>
    </row>
    <row r="267" spans="1:23" ht="15.75" thickBot="1">
      <c r="A267" s="3436"/>
      <c r="B267" s="932" t="s">
        <v>562</v>
      </c>
      <c r="C267" s="1880">
        <f t="shared" si="160"/>
        <v>0</v>
      </c>
      <c r="D267" s="1882">
        <f t="shared" ref="D267:N267" si="180">D245+D256</f>
        <v>7.37</v>
      </c>
      <c r="E267" s="849">
        <f t="shared" si="180"/>
        <v>0</v>
      </c>
      <c r="F267" s="1885">
        <f t="shared" si="180"/>
        <v>7.6</v>
      </c>
      <c r="G267" s="849">
        <f t="shared" si="180"/>
        <v>0</v>
      </c>
      <c r="H267" s="1881">
        <f t="shared" si="180"/>
        <v>7.6</v>
      </c>
      <c r="I267" s="849">
        <f t="shared" si="180"/>
        <v>0</v>
      </c>
      <c r="J267" s="1885">
        <f t="shared" si="180"/>
        <v>7.6</v>
      </c>
      <c r="K267" s="849">
        <f t="shared" si="180"/>
        <v>0</v>
      </c>
      <c r="L267" s="1881">
        <f t="shared" si="180"/>
        <v>7.6</v>
      </c>
      <c r="M267" s="849">
        <f t="shared" si="180"/>
        <v>0</v>
      </c>
      <c r="N267" s="1885">
        <f t="shared" si="180"/>
        <v>7.6</v>
      </c>
      <c r="O267" s="849">
        <f t="shared" ref="O267:P267" si="181">O245+O256</f>
        <v>0</v>
      </c>
      <c r="P267" s="1885">
        <f t="shared" si="181"/>
        <v>7.6</v>
      </c>
      <c r="Q267" s="1886" t="s">
        <v>16</v>
      </c>
      <c r="R267" s="1887">
        <f t="shared" si="121"/>
        <v>0.03</v>
      </c>
      <c r="S267" s="846">
        <f t="shared" si="163"/>
        <v>7.6</v>
      </c>
      <c r="U267" s="849">
        <f t="shared" si="126"/>
        <v>0</v>
      </c>
      <c r="V267" s="1885">
        <f t="shared" si="127"/>
        <v>0.23</v>
      </c>
    </row>
    <row r="268" spans="1:23" ht="16.5" thickTop="1" thickBot="1">
      <c r="A268" s="3437"/>
      <c r="B268" s="842" t="s">
        <v>18</v>
      </c>
      <c r="C268" s="973">
        <f>SUM(C258:C267)</f>
        <v>120959</v>
      </c>
      <c r="D268" s="976">
        <f t="shared" ref="D268:N268" si="182">SUM(D258:D267)</f>
        <v>136.74</v>
      </c>
      <c r="E268" s="850">
        <f t="shared" si="182"/>
        <v>133939</v>
      </c>
      <c r="F268" s="843">
        <f t="shared" si="182"/>
        <v>149.63999999999999</v>
      </c>
      <c r="G268" s="850">
        <f t="shared" si="182"/>
        <v>137165</v>
      </c>
      <c r="H268" s="852">
        <f t="shared" si="182"/>
        <v>155.25</v>
      </c>
      <c r="I268" s="850">
        <f t="shared" si="182"/>
        <v>140431</v>
      </c>
      <c r="J268" s="843">
        <f t="shared" si="182"/>
        <v>159.63999999999999</v>
      </c>
      <c r="K268" s="850">
        <f t="shared" si="182"/>
        <v>143711</v>
      </c>
      <c r="L268" s="852">
        <f t="shared" si="182"/>
        <v>164.83</v>
      </c>
      <c r="M268" s="850">
        <f t="shared" si="182"/>
        <v>146900</v>
      </c>
      <c r="N268" s="843">
        <f t="shared" si="182"/>
        <v>170.05</v>
      </c>
      <c r="O268" s="850">
        <f t="shared" ref="O268:P268" si="183">SUM(O258:O267)</f>
        <v>150246</v>
      </c>
      <c r="P268" s="843">
        <f t="shared" si="183"/>
        <v>175.58</v>
      </c>
      <c r="Q268" s="844">
        <f t="shared" si="120"/>
        <v>0.24</v>
      </c>
      <c r="R268" s="845">
        <f t="shared" si="121"/>
        <v>0.28000000000000003</v>
      </c>
      <c r="S268" s="855">
        <f>SUM(S258:S267)</f>
        <v>231.48</v>
      </c>
      <c r="U268" s="850">
        <f t="shared" ref="U268" si="184">O268-C268</f>
        <v>29287</v>
      </c>
      <c r="V268" s="843">
        <f t="shared" ref="V268" si="185">P268-D268</f>
        <v>38.840000000000003</v>
      </c>
    </row>
    <row r="269" spans="1:23">
      <c r="A269" s="89" t="s">
        <v>35</v>
      </c>
    </row>
    <row r="270" spans="1:23">
      <c r="A270" s="1" t="s">
        <v>68</v>
      </c>
      <c r="Q270" t="s">
        <v>36</v>
      </c>
    </row>
    <row r="271" spans="1:23">
      <c r="A271" s="1" t="s">
        <v>69</v>
      </c>
      <c r="C271" s="935"/>
      <c r="E271" s="862"/>
      <c r="G271" s="862"/>
      <c r="I271" s="862"/>
      <c r="K271" s="862"/>
      <c r="M271" s="862"/>
    </row>
    <row r="272" spans="1:23">
      <c r="A272" s="3304" t="s">
        <v>572</v>
      </c>
      <c r="B272" s="3304"/>
      <c r="C272" s="3304"/>
      <c r="D272" s="3304"/>
      <c r="E272" s="3304"/>
      <c r="F272" s="3304"/>
      <c r="G272" s="3304"/>
      <c r="H272" s="3304"/>
      <c r="I272" s="3304"/>
      <c r="J272" s="3304"/>
      <c r="K272" s="3304"/>
      <c r="L272" s="3304"/>
      <c r="M272" s="3304"/>
      <c r="N272" s="3304"/>
      <c r="O272" s="3304"/>
      <c r="P272" s="3304"/>
      <c r="Q272" s="3304"/>
      <c r="R272" s="3304"/>
      <c r="S272" s="3304"/>
    </row>
    <row r="273" spans="1:22">
      <c r="A273" s="255" t="s">
        <v>535</v>
      </c>
      <c r="B273" s="3025"/>
      <c r="C273" s="3025"/>
      <c r="D273" s="3025"/>
      <c r="E273" s="3025"/>
      <c r="F273" s="3025"/>
      <c r="G273" s="3025"/>
      <c r="H273" s="3025"/>
      <c r="I273" s="3025"/>
      <c r="J273" s="3025"/>
      <c r="K273" s="3025"/>
      <c r="L273" s="3025"/>
      <c r="M273" s="3025"/>
      <c r="N273" s="3025"/>
      <c r="O273" s="3025"/>
      <c r="P273" s="3025"/>
      <c r="Q273" s="3025"/>
      <c r="R273" s="3025"/>
      <c r="S273" s="3025"/>
    </row>
    <row r="274" spans="1:22">
      <c r="A274" s="3304" t="s">
        <v>573</v>
      </c>
      <c r="B274" s="3304"/>
      <c r="C274" s="3304"/>
      <c r="D274" s="3304"/>
      <c r="E274" s="3304"/>
      <c r="F274" s="3304"/>
      <c r="G274" s="3304"/>
      <c r="H274" s="3304"/>
      <c r="I274" s="3304"/>
      <c r="J274" s="3304"/>
      <c r="K274" s="3304"/>
      <c r="L274" s="3304"/>
      <c r="M274" s="3304"/>
      <c r="N274" s="3304"/>
      <c r="O274" s="3304"/>
      <c r="P274" s="3304"/>
      <c r="Q274" s="3304"/>
      <c r="R274" s="3304"/>
      <c r="S274" s="3304"/>
    </row>
    <row r="275" spans="1:22" ht="17.25" customHeight="1">
      <c r="A275" s="3025"/>
      <c r="B275" s="3025"/>
      <c r="C275" s="936"/>
      <c r="D275" s="3025"/>
      <c r="E275" s="3025"/>
      <c r="F275" s="3025"/>
      <c r="G275" s="3025"/>
      <c r="H275" s="3025"/>
      <c r="I275" s="3025"/>
      <c r="J275" s="3025"/>
      <c r="K275" s="3025"/>
      <c r="L275" s="3025"/>
      <c r="M275" s="3025"/>
      <c r="N275" s="3025"/>
      <c r="O275" s="3025"/>
      <c r="P275" s="3025"/>
      <c r="Q275" s="3025"/>
      <c r="R275" s="3025"/>
      <c r="S275" s="3025"/>
    </row>
    <row r="276" spans="1:22" ht="27" customHeight="1" thickBot="1">
      <c r="A276" s="3224" t="s">
        <v>574</v>
      </c>
      <c r="B276" s="3224"/>
      <c r="C276" s="3224"/>
      <c r="D276" s="3224"/>
      <c r="E276" s="3224"/>
      <c r="F276" s="3224"/>
      <c r="G276" s="3224"/>
      <c r="H276" s="3224"/>
      <c r="I276" s="3224"/>
      <c r="J276" s="3224"/>
      <c r="K276" s="3224"/>
      <c r="L276" s="3224"/>
      <c r="M276" s="3224"/>
      <c r="N276" s="3224"/>
      <c r="O276" s="3224"/>
      <c r="P276" s="3224"/>
      <c r="Q276" s="3224"/>
      <c r="R276" s="3224"/>
      <c r="S276" s="3224"/>
    </row>
    <row r="277" spans="1:22" ht="26.25" customHeight="1">
      <c r="A277" s="3429" t="s">
        <v>85</v>
      </c>
      <c r="B277" s="3431" t="s">
        <v>541</v>
      </c>
      <c r="C277" s="3217" t="s">
        <v>542</v>
      </c>
      <c r="D277" s="3217"/>
      <c r="E277" s="3216" t="s">
        <v>543</v>
      </c>
      <c r="F277" s="3218"/>
      <c r="G277" s="3217" t="s">
        <v>544</v>
      </c>
      <c r="H277" s="3217"/>
      <c r="I277" s="3258" t="s">
        <v>545</v>
      </c>
      <c r="J277" s="3245"/>
      <c r="K277" s="3264" t="s">
        <v>546</v>
      </c>
      <c r="L277" s="3264"/>
      <c r="M277" s="3258" t="s">
        <v>547</v>
      </c>
      <c r="N277" s="3245"/>
      <c r="O277" s="3258" t="s">
        <v>548</v>
      </c>
      <c r="P277" s="3245"/>
      <c r="Q277" s="3264" t="s">
        <v>57</v>
      </c>
      <c r="R277" s="3264"/>
      <c r="S277" s="3433" t="s">
        <v>549</v>
      </c>
      <c r="U277" s="3258" t="s">
        <v>59</v>
      </c>
      <c r="V277" s="3245"/>
    </row>
    <row r="278" spans="1:22" ht="15.75" thickBot="1">
      <c r="A278" s="3430"/>
      <c r="B278" s="3432"/>
      <c r="C278" s="1889" t="s">
        <v>550</v>
      </c>
      <c r="D278" s="831" t="s">
        <v>551</v>
      </c>
      <c r="E278" s="832" t="s">
        <v>550</v>
      </c>
      <c r="F278" s="833" t="s">
        <v>551</v>
      </c>
      <c r="G278" s="1889" t="s">
        <v>550</v>
      </c>
      <c r="H278" s="831" t="s">
        <v>551</v>
      </c>
      <c r="I278" s="834" t="s">
        <v>550</v>
      </c>
      <c r="J278" s="833" t="s">
        <v>551</v>
      </c>
      <c r="K278" s="1890" t="s">
        <v>550</v>
      </c>
      <c r="L278" s="831" t="s">
        <v>551</v>
      </c>
      <c r="M278" s="834" t="s">
        <v>550</v>
      </c>
      <c r="N278" s="833" t="s">
        <v>551</v>
      </c>
      <c r="O278" s="834" t="s">
        <v>550</v>
      </c>
      <c r="P278" s="833" t="s">
        <v>551</v>
      </c>
      <c r="Q278" s="1891" t="s">
        <v>529</v>
      </c>
      <c r="R278" s="831" t="s">
        <v>551</v>
      </c>
      <c r="S278" s="3434"/>
      <c r="U278" s="1645" t="s">
        <v>529</v>
      </c>
      <c r="V278" s="1646" t="s">
        <v>551</v>
      </c>
    </row>
    <row r="279" spans="1:22">
      <c r="A279" s="3435" t="s">
        <v>230</v>
      </c>
      <c r="B279" s="933" t="s">
        <v>553</v>
      </c>
      <c r="C279" s="977">
        <v>0</v>
      </c>
      <c r="D279" s="978">
        <f>(F279/$F$289)*$D$289</f>
        <v>0</v>
      </c>
      <c r="E279" s="847">
        <v>0</v>
      </c>
      <c r="F279" s="853">
        <v>0</v>
      </c>
      <c r="G279" s="847">
        <v>0</v>
      </c>
      <c r="H279" s="851">
        <v>0</v>
      </c>
      <c r="I279" s="847">
        <v>0</v>
      </c>
      <c r="J279" s="853">
        <v>0</v>
      </c>
      <c r="K279" s="847">
        <v>0</v>
      </c>
      <c r="L279" s="851">
        <v>0</v>
      </c>
      <c r="M279" s="847">
        <v>0</v>
      </c>
      <c r="N279" s="853">
        <v>0</v>
      </c>
      <c r="O279" s="847">
        <v>0</v>
      </c>
      <c r="P279" s="853">
        <v>0</v>
      </c>
      <c r="Q279" s="878" t="s">
        <v>16</v>
      </c>
      <c r="R279" s="879" t="s">
        <v>16</v>
      </c>
      <c r="S279" s="854">
        <v>0</v>
      </c>
      <c r="U279" s="847">
        <f t="shared" ref="U279" si="186">O279-C279</f>
        <v>0</v>
      </c>
      <c r="V279" s="853">
        <f t="shared" ref="V279" si="187">P279-D279</f>
        <v>0</v>
      </c>
    </row>
    <row r="280" spans="1:22">
      <c r="A280" s="3436"/>
      <c r="B280" s="931" t="s">
        <v>554</v>
      </c>
      <c r="C280" s="979">
        <v>0</v>
      </c>
      <c r="D280" s="981">
        <f t="shared" ref="D280:D288" si="188">(F280/$F$289)*$D$289</f>
        <v>0</v>
      </c>
      <c r="E280" s="848">
        <v>0</v>
      </c>
      <c r="F280" s="835">
        <v>0</v>
      </c>
      <c r="G280" s="848">
        <v>0</v>
      </c>
      <c r="H280" s="836">
        <v>0</v>
      </c>
      <c r="I280" s="848">
        <v>28</v>
      </c>
      <c r="J280" s="835">
        <v>0.05</v>
      </c>
      <c r="K280" s="848">
        <v>64</v>
      </c>
      <c r="L280" s="836">
        <v>0.11</v>
      </c>
      <c r="M280" s="848">
        <v>64</v>
      </c>
      <c r="N280" s="835">
        <v>0.11</v>
      </c>
      <c r="O280" s="848">
        <v>117</v>
      </c>
      <c r="P280" s="835">
        <v>0.21</v>
      </c>
      <c r="Q280" s="859" t="s">
        <v>16</v>
      </c>
      <c r="R280" s="858" t="s">
        <v>16</v>
      </c>
      <c r="S280" s="841">
        <v>0.28999999999999998</v>
      </c>
      <c r="U280" s="848">
        <f t="shared" ref="U280:U346" si="189">O280-C280</f>
        <v>117</v>
      </c>
      <c r="V280" s="835">
        <f t="shared" ref="V280:V346" si="190">P280-D280</f>
        <v>0.21</v>
      </c>
    </row>
    <row r="281" spans="1:22">
      <c r="A281" s="3436"/>
      <c r="B281" s="931" t="s">
        <v>555</v>
      </c>
      <c r="C281" s="979">
        <v>0</v>
      </c>
      <c r="D281" s="981">
        <f t="shared" si="188"/>
        <v>0</v>
      </c>
      <c r="E281" s="848">
        <v>0</v>
      </c>
      <c r="F281" s="835">
        <v>0</v>
      </c>
      <c r="G281" s="848">
        <v>22</v>
      </c>
      <c r="H281" s="836">
        <v>0.02</v>
      </c>
      <c r="I281" s="848">
        <v>22</v>
      </c>
      <c r="J281" s="835">
        <v>0.02</v>
      </c>
      <c r="K281" s="848">
        <v>22</v>
      </c>
      <c r="L281" s="836">
        <v>0.02</v>
      </c>
      <c r="M281" s="848">
        <v>22</v>
      </c>
      <c r="N281" s="835">
        <v>0.02</v>
      </c>
      <c r="O281" s="848">
        <v>47</v>
      </c>
      <c r="P281" s="835">
        <v>0.05</v>
      </c>
      <c r="Q281" s="859" t="s">
        <v>16</v>
      </c>
      <c r="R281" s="858" t="s">
        <v>16</v>
      </c>
      <c r="S281" s="841">
        <v>0.08</v>
      </c>
      <c r="U281" s="848">
        <f t="shared" si="189"/>
        <v>47</v>
      </c>
      <c r="V281" s="835">
        <f t="shared" si="190"/>
        <v>0.05</v>
      </c>
    </row>
    <row r="282" spans="1:22">
      <c r="A282" s="3436"/>
      <c r="B282" s="931" t="s">
        <v>556</v>
      </c>
      <c r="C282" s="979">
        <v>212</v>
      </c>
      <c r="D282" s="981">
        <f t="shared" si="188"/>
        <v>0.38</v>
      </c>
      <c r="E282" s="848">
        <v>257</v>
      </c>
      <c r="F282" s="835">
        <v>0.31</v>
      </c>
      <c r="G282" s="848">
        <v>524</v>
      </c>
      <c r="H282" s="836">
        <v>0.65</v>
      </c>
      <c r="I282" s="848">
        <v>750</v>
      </c>
      <c r="J282" s="835">
        <v>0.93</v>
      </c>
      <c r="K282" s="848">
        <v>883</v>
      </c>
      <c r="L282" s="836">
        <v>1.1000000000000001</v>
      </c>
      <c r="M282" s="848">
        <v>933</v>
      </c>
      <c r="N282" s="835">
        <v>1.17</v>
      </c>
      <c r="O282" s="848">
        <v>1032</v>
      </c>
      <c r="P282" s="835">
        <v>1.3</v>
      </c>
      <c r="Q282" s="859">
        <f t="shared" ref="Q282:Q343" si="191">(O282-C282)/C282</f>
        <v>3.87</v>
      </c>
      <c r="R282" s="858">
        <f t="shared" ref="R282:R343" si="192">(P282-D282)/D282</f>
        <v>2.42</v>
      </c>
      <c r="S282" s="841">
        <v>1.7</v>
      </c>
      <c r="U282" s="848">
        <f t="shared" si="189"/>
        <v>820</v>
      </c>
      <c r="V282" s="835">
        <f t="shared" si="190"/>
        <v>0.92</v>
      </c>
    </row>
    <row r="283" spans="1:22">
      <c r="A283" s="3436"/>
      <c r="B283" s="931" t="s">
        <v>557</v>
      </c>
      <c r="C283" s="979">
        <v>5625</v>
      </c>
      <c r="D283" s="981">
        <f t="shared" si="188"/>
        <v>5.84</v>
      </c>
      <c r="E283" s="848">
        <v>6338</v>
      </c>
      <c r="F283" s="835">
        <v>4.7699999999999996</v>
      </c>
      <c r="G283" s="848">
        <v>6338</v>
      </c>
      <c r="H283" s="836">
        <v>4.8</v>
      </c>
      <c r="I283" s="848">
        <v>6417</v>
      </c>
      <c r="J283" s="835">
        <v>4.9000000000000004</v>
      </c>
      <c r="K283" s="848">
        <v>6586</v>
      </c>
      <c r="L283" s="836">
        <v>5.08</v>
      </c>
      <c r="M283" s="848">
        <v>6728</v>
      </c>
      <c r="N283" s="835">
        <v>5.25</v>
      </c>
      <c r="O283" s="848">
        <v>6829</v>
      </c>
      <c r="P283" s="835">
        <v>5.37</v>
      </c>
      <c r="Q283" s="859">
        <f t="shared" si="191"/>
        <v>0.21</v>
      </c>
      <c r="R283" s="858">
        <f t="shared" si="192"/>
        <v>-0.08</v>
      </c>
      <c r="S283" s="841">
        <v>6.82</v>
      </c>
      <c r="U283" s="848">
        <f t="shared" si="189"/>
        <v>1204</v>
      </c>
      <c r="V283" s="835">
        <f t="shared" si="190"/>
        <v>-0.47</v>
      </c>
    </row>
    <row r="284" spans="1:22">
      <c r="A284" s="3436"/>
      <c r="B284" s="931" t="s">
        <v>558</v>
      </c>
      <c r="C284" s="979">
        <v>9</v>
      </c>
      <c r="D284" s="981">
        <f t="shared" si="188"/>
        <v>0.04</v>
      </c>
      <c r="E284" s="848">
        <v>9</v>
      </c>
      <c r="F284" s="835">
        <v>0.03</v>
      </c>
      <c r="G284" s="848">
        <v>17</v>
      </c>
      <c r="H284" s="836">
        <v>0.05</v>
      </c>
      <c r="I284" s="848">
        <v>17</v>
      </c>
      <c r="J284" s="835">
        <v>0.05</v>
      </c>
      <c r="K284" s="848">
        <v>17</v>
      </c>
      <c r="L284" s="836">
        <v>0.05</v>
      </c>
      <c r="M284" s="848">
        <v>131</v>
      </c>
      <c r="N284" s="835">
        <v>0.3</v>
      </c>
      <c r="O284" s="848">
        <v>174</v>
      </c>
      <c r="P284" s="835">
        <v>0.28999999999999998</v>
      </c>
      <c r="Q284" s="859">
        <f t="shared" si="191"/>
        <v>18.329999999999998</v>
      </c>
      <c r="R284" s="858">
        <f t="shared" si="192"/>
        <v>6.25</v>
      </c>
      <c r="S284" s="841">
        <v>0.44</v>
      </c>
      <c r="U284" s="848">
        <f t="shared" si="189"/>
        <v>165</v>
      </c>
      <c r="V284" s="835">
        <f t="shared" si="190"/>
        <v>0.25</v>
      </c>
    </row>
    <row r="285" spans="1:22">
      <c r="A285" s="3436"/>
      <c r="B285" s="931" t="s">
        <v>559</v>
      </c>
      <c r="C285" s="979">
        <v>158</v>
      </c>
      <c r="D285" s="981">
        <f t="shared" si="188"/>
        <v>0.23</v>
      </c>
      <c r="E285" s="848">
        <v>205</v>
      </c>
      <c r="F285" s="835">
        <v>0.19</v>
      </c>
      <c r="G285" s="848">
        <v>264</v>
      </c>
      <c r="H285" s="836">
        <v>0.23</v>
      </c>
      <c r="I285" s="848">
        <v>283</v>
      </c>
      <c r="J285" s="835">
        <v>0.24</v>
      </c>
      <c r="K285" s="848">
        <v>283</v>
      </c>
      <c r="L285" s="836">
        <v>0.24</v>
      </c>
      <c r="M285" s="848">
        <v>301</v>
      </c>
      <c r="N285" s="835">
        <v>0.25</v>
      </c>
      <c r="O285" s="848">
        <v>315</v>
      </c>
      <c r="P285" s="835">
        <v>0.25</v>
      </c>
      <c r="Q285" s="859">
        <f t="shared" si="191"/>
        <v>0.99</v>
      </c>
      <c r="R285" s="858">
        <f t="shared" si="192"/>
        <v>0.09</v>
      </c>
      <c r="S285" s="841">
        <v>0.35</v>
      </c>
      <c r="U285" s="848">
        <f t="shared" si="189"/>
        <v>157</v>
      </c>
      <c r="V285" s="835">
        <f t="shared" si="190"/>
        <v>0.02</v>
      </c>
    </row>
    <row r="286" spans="1:22">
      <c r="A286" s="3436"/>
      <c r="B286" s="931" t="s">
        <v>560</v>
      </c>
      <c r="C286" s="979">
        <v>191</v>
      </c>
      <c r="D286" s="981">
        <f t="shared" si="188"/>
        <v>0.2</v>
      </c>
      <c r="E286" s="848">
        <v>191</v>
      </c>
      <c r="F286" s="835">
        <v>0.16</v>
      </c>
      <c r="G286" s="848">
        <v>191</v>
      </c>
      <c r="H286" s="836">
        <v>0.16</v>
      </c>
      <c r="I286" s="848">
        <v>191</v>
      </c>
      <c r="J286" s="835">
        <v>0.16</v>
      </c>
      <c r="K286" s="848">
        <v>191</v>
      </c>
      <c r="L286" s="836">
        <v>0.16</v>
      </c>
      <c r="M286" s="848">
        <v>191</v>
      </c>
      <c r="N286" s="835">
        <v>0.16</v>
      </c>
      <c r="O286" s="848">
        <v>191</v>
      </c>
      <c r="P286" s="835">
        <v>0.16</v>
      </c>
      <c r="Q286" s="859">
        <f t="shared" si="191"/>
        <v>0</v>
      </c>
      <c r="R286" s="858">
        <f t="shared" si="192"/>
        <v>-0.2</v>
      </c>
      <c r="S286" s="841">
        <v>0.19</v>
      </c>
      <c r="U286" s="848">
        <f t="shared" si="189"/>
        <v>0</v>
      </c>
      <c r="V286" s="835">
        <f t="shared" si="190"/>
        <v>-0.04</v>
      </c>
    </row>
    <row r="287" spans="1:22">
      <c r="A287" s="3436"/>
      <c r="B287" s="931" t="s">
        <v>561</v>
      </c>
      <c r="C287" s="979">
        <v>0</v>
      </c>
      <c r="D287" s="981">
        <f t="shared" si="188"/>
        <v>0</v>
      </c>
      <c r="E287" s="848">
        <v>0</v>
      </c>
      <c r="F287" s="835">
        <v>0</v>
      </c>
      <c r="G287" s="848">
        <v>0</v>
      </c>
      <c r="H287" s="836">
        <v>0</v>
      </c>
      <c r="I287" s="848">
        <v>0</v>
      </c>
      <c r="J287" s="835">
        <v>0</v>
      </c>
      <c r="K287" s="848">
        <v>0</v>
      </c>
      <c r="L287" s="836">
        <v>0</v>
      </c>
      <c r="M287" s="848">
        <v>0</v>
      </c>
      <c r="N287" s="835">
        <v>0</v>
      </c>
      <c r="O287" s="848">
        <v>0</v>
      </c>
      <c r="P287" s="835">
        <v>0</v>
      </c>
      <c r="Q287" s="859" t="s">
        <v>16</v>
      </c>
      <c r="R287" s="858" t="s">
        <v>16</v>
      </c>
      <c r="S287" s="841">
        <v>0</v>
      </c>
      <c r="U287" s="848">
        <f t="shared" si="189"/>
        <v>0</v>
      </c>
      <c r="V287" s="835">
        <f t="shared" si="190"/>
        <v>0</v>
      </c>
    </row>
    <row r="288" spans="1:22" ht="15.75" thickBot="1">
      <c r="A288" s="3436"/>
      <c r="B288" s="932" t="s">
        <v>562</v>
      </c>
      <c r="C288" s="982">
        <v>0</v>
      </c>
      <c r="D288" s="983">
        <f t="shared" si="188"/>
        <v>0.12</v>
      </c>
      <c r="E288" s="849">
        <v>0</v>
      </c>
      <c r="F288" s="1885">
        <v>0.1</v>
      </c>
      <c r="G288" s="849">
        <v>0</v>
      </c>
      <c r="H288" s="1881">
        <f>F288</f>
        <v>0.1</v>
      </c>
      <c r="I288" s="849">
        <v>0</v>
      </c>
      <c r="J288" s="1885">
        <f>H288</f>
        <v>0.1</v>
      </c>
      <c r="K288" s="849">
        <v>0</v>
      </c>
      <c r="L288" s="1881">
        <f>J288</f>
        <v>0.1</v>
      </c>
      <c r="M288" s="849">
        <v>0</v>
      </c>
      <c r="N288" s="1885">
        <f>L288</f>
        <v>0.1</v>
      </c>
      <c r="O288" s="849">
        <v>0</v>
      </c>
      <c r="P288" s="1885">
        <v>0.1</v>
      </c>
      <c r="Q288" s="1886" t="s">
        <v>16</v>
      </c>
      <c r="R288" s="1888">
        <f t="shared" si="192"/>
        <v>-0.17</v>
      </c>
      <c r="S288" s="846">
        <f>N288</f>
        <v>0.1</v>
      </c>
      <c r="U288" s="849">
        <f t="shared" si="189"/>
        <v>0</v>
      </c>
      <c r="V288" s="1885">
        <f t="shared" si="190"/>
        <v>-0.02</v>
      </c>
    </row>
    <row r="289" spans="1:23" ht="16.5" thickTop="1" thickBot="1">
      <c r="A289" s="3437"/>
      <c r="B289" s="842" t="s">
        <v>18</v>
      </c>
      <c r="C289" s="984">
        <f>SUM(C279:C288)</f>
        <v>6195</v>
      </c>
      <c r="D289" s="985">
        <f>'Table 7'!E40</f>
        <v>6.81</v>
      </c>
      <c r="E289" s="850">
        <f t="shared" ref="E289:P289" si="193">SUM(E279:E288)</f>
        <v>7000</v>
      </c>
      <c r="F289" s="843">
        <f t="shared" si="193"/>
        <v>5.56</v>
      </c>
      <c r="G289" s="850">
        <f t="shared" si="193"/>
        <v>7356</v>
      </c>
      <c r="H289" s="852">
        <f t="shared" si="193"/>
        <v>6.01</v>
      </c>
      <c r="I289" s="850">
        <f t="shared" si="193"/>
        <v>7708</v>
      </c>
      <c r="J289" s="843">
        <f t="shared" si="193"/>
        <v>6.45</v>
      </c>
      <c r="K289" s="850">
        <f t="shared" si="193"/>
        <v>8046</v>
      </c>
      <c r="L289" s="852">
        <f t="shared" si="193"/>
        <v>6.86</v>
      </c>
      <c r="M289" s="850">
        <f t="shared" si="193"/>
        <v>8370</v>
      </c>
      <c r="N289" s="843">
        <f t="shared" si="193"/>
        <v>7.36</v>
      </c>
      <c r="O289" s="850">
        <f t="shared" si="193"/>
        <v>8705</v>
      </c>
      <c r="P289" s="843">
        <f t="shared" si="193"/>
        <v>7.73</v>
      </c>
      <c r="Q289" s="880">
        <f t="shared" si="191"/>
        <v>0.41</v>
      </c>
      <c r="R289" s="881">
        <f t="shared" si="192"/>
        <v>0.14000000000000001</v>
      </c>
      <c r="S289" s="855">
        <f>SUM(S279:S288)</f>
        <v>9.9700000000000006</v>
      </c>
      <c r="U289" s="850">
        <f t="shared" si="189"/>
        <v>2510</v>
      </c>
      <c r="V289" s="843">
        <f t="shared" si="190"/>
        <v>0.92</v>
      </c>
    </row>
    <row r="290" spans="1:23">
      <c r="A290" s="3435" t="s">
        <v>236</v>
      </c>
      <c r="B290" s="933" t="s">
        <v>553</v>
      </c>
      <c r="C290" s="971">
        <v>0</v>
      </c>
      <c r="D290" s="978">
        <f>(F290/$F$300)*$D$300</f>
        <v>0</v>
      </c>
      <c r="E290" s="847">
        <v>0</v>
      </c>
      <c r="F290" s="853">
        <v>0</v>
      </c>
      <c r="G290" s="847">
        <v>0</v>
      </c>
      <c r="H290" s="851">
        <v>0</v>
      </c>
      <c r="I290" s="847">
        <v>0</v>
      </c>
      <c r="J290" s="853">
        <v>0</v>
      </c>
      <c r="K290" s="847">
        <v>0</v>
      </c>
      <c r="L290" s="851">
        <v>0</v>
      </c>
      <c r="M290" s="847">
        <v>0</v>
      </c>
      <c r="N290" s="853">
        <v>0</v>
      </c>
      <c r="O290" s="847">
        <v>0</v>
      </c>
      <c r="P290" s="853">
        <v>0</v>
      </c>
      <c r="Q290" s="878" t="s">
        <v>16</v>
      </c>
      <c r="R290" s="879" t="s">
        <v>16</v>
      </c>
      <c r="S290" s="854">
        <v>0</v>
      </c>
      <c r="U290" s="847">
        <f t="shared" si="189"/>
        <v>0</v>
      </c>
      <c r="V290" s="853">
        <f t="shared" si="190"/>
        <v>0</v>
      </c>
    </row>
    <row r="291" spans="1:23">
      <c r="A291" s="3436"/>
      <c r="B291" s="931" t="s">
        <v>554</v>
      </c>
      <c r="C291" s="972">
        <v>124</v>
      </c>
      <c r="D291" s="836">
        <f t="shared" ref="D291:D299" si="194">(F291/$F$300)*$D$300</f>
        <v>0.26</v>
      </c>
      <c r="E291" s="848">
        <v>124</v>
      </c>
      <c r="F291" s="835">
        <v>0.22</v>
      </c>
      <c r="G291" s="848">
        <v>124</v>
      </c>
      <c r="H291" s="836">
        <v>0.22</v>
      </c>
      <c r="I291" s="848">
        <v>124</v>
      </c>
      <c r="J291" s="835">
        <v>0.22</v>
      </c>
      <c r="K291" s="848">
        <v>124</v>
      </c>
      <c r="L291" s="836">
        <v>0.22</v>
      </c>
      <c r="M291" s="848">
        <v>124</v>
      </c>
      <c r="N291" s="835">
        <v>0.22</v>
      </c>
      <c r="O291" s="848">
        <v>124</v>
      </c>
      <c r="P291" s="835">
        <v>0.22</v>
      </c>
      <c r="Q291" s="859">
        <f t="shared" si="191"/>
        <v>0</v>
      </c>
      <c r="R291" s="858">
        <f t="shared" si="192"/>
        <v>-0.15</v>
      </c>
      <c r="S291" s="841">
        <v>0.32</v>
      </c>
      <c r="U291" s="848">
        <f t="shared" si="189"/>
        <v>0</v>
      </c>
      <c r="V291" s="835">
        <f t="shared" si="190"/>
        <v>-0.04</v>
      </c>
      <c r="W291" t="s">
        <v>36</v>
      </c>
    </row>
    <row r="292" spans="1:23">
      <c r="A292" s="3436"/>
      <c r="B292" s="931" t="s">
        <v>555</v>
      </c>
      <c r="C292" s="972">
        <v>0</v>
      </c>
      <c r="D292" s="836">
        <f t="shared" si="194"/>
        <v>0</v>
      </c>
      <c r="E292" s="848">
        <v>0</v>
      </c>
      <c r="F292" s="835">
        <v>0</v>
      </c>
      <c r="G292" s="848">
        <v>0</v>
      </c>
      <c r="H292" s="836">
        <v>0</v>
      </c>
      <c r="I292" s="848">
        <v>0</v>
      </c>
      <c r="J292" s="835">
        <v>0</v>
      </c>
      <c r="K292" s="848">
        <v>0</v>
      </c>
      <c r="L292" s="836">
        <v>0</v>
      </c>
      <c r="M292" s="848">
        <v>0</v>
      </c>
      <c r="N292" s="835">
        <v>0</v>
      </c>
      <c r="O292" s="848">
        <v>0</v>
      </c>
      <c r="P292" s="835">
        <v>0</v>
      </c>
      <c r="Q292" s="859" t="s">
        <v>16</v>
      </c>
      <c r="R292" s="858" t="s">
        <v>16</v>
      </c>
      <c r="S292" s="841">
        <v>0</v>
      </c>
      <c r="U292" s="848">
        <f t="shared" si="189"/>
        <v>0</v>
      </c>
      <c r="V292" s="835">
        <f t="shared" si="190"/>
        <v>0</v>
      </c>
    </row>
    <row r="293" spans="1:23">
      <c r="A293" s="3436"/>
      <c r="B293" s="931" t="s">
        <v>556</v>
      </c>
      <c r="C293" s="972">
        <v>35</v>
      </c>
      <c r="D293" s="836">
        <f t="shared" si="194"/>
        <v>0.01</v>
      </c>
      <c r="E293" s="848">
        <v>9</v>
      </c>
      <c r="F293" s="835">
        <v>0.01</v>
      </c>
      <c r="G293" s="848">
        <v>9</v>
      </c>
      <c r="H293" s="836">
        <v>0.01</v>
      </c>
      <c r="I293" s="848">
        <v>9</v>
      </c>
      <c r="J293" s="835">
        <v>0.01</v>
      </c>
      <c r="K293" s="848">
        <v>9</v>
      </c>
      <c r="L293" s="836">
        <v>0.01</v>
      </c>
      <c r="M293" s="848">
        <v>9</v>
      </c>
      <c r="N293" s="835">
        <v>0.01</v>
      </c>
      <c r="O293" s="848">
        <v>9</v>
      </c>
      <c r="P293" s="835">
        <v>0.01</v>
      </c>
      <c r="Q293" s="859">
        <f t="shared" si="191"/>
        <v>-0.74</v>
      </c>
      <c r="R293" s="858">
        <f t="shared" si="192"/>
        <v>0</v>
      </c>
      <c r="S293" s="841">
        <v>0.02</v>
      </c>
      <c r="U293" s="848">
        <f t="shared" si="189"/>
        <v>-26</v>
      </c>
      <c r="V293" s="835">
        <f t="shared" si="190"/>
        <v>0</v>
      </c>
    </row>
    <row r="294" spans="1:23">
      <c r="A294" s="3436"/>
      <c r="B294" s="931" t="s">
        <v>557</v>
      </c>
      <c r="C294" s="972">
        <v>1124</v>
      </c>
      <c r="D294" s="836">
        <f t="shared" si="194"/>
        <v>1.56</v>
      </c>
      <c r="E294" s="848">
        <v>1816</v>
      </c>
      <c r="F294" s="835">
        <v>1.3</v>
      </c>
      <c r="G294" s="848">
        <v>1816</v>
      </c>
      <c r="H294" s="836">
        <v>1.31</v>
      </c>
      <c r="I294" s="848">
        <v>1816</v>
      </c>
      <c r="J294" s="835">
        <v>1.32</v>
      </c>
      <c r="K294" s="848">
        <v>1816</v>
      </c>
      <c r="L294" s="836">
        <v>1.34</v>
      </c>
      <c r="M294" s="848">
        <v>1816</v>
      </c>
      <c r="N294" s="835">
        <v>1.35</v>
      </c>
      <c r="O294" s="848">
        <v>1816</v>
      </c>
      <c r="P294" s="835">
        <v>1.37</v>
      </c>
      <c r="Q294" s="859">
        <f t="shared" si="191"/>
        <v>0.62</v>
      </c>
      <c r="R294" s="858">
        <f t="shared" si="192"/>
        <v>-0.12</v>
      </c>
      <c r="S294" s="841">
        <v>1.74</v>
      </c>
      <c r="U294" s="848">
        <f t="shared" si="189"/>
        <v>692</v>
      </c>
      <c r="V294" s="835">
        <f t="shared" si="190"/>
        <v>-0.19</v>
      </c>
    </row>
    <row r="295" spans="1:23">
      <c r="A295" s="3436"/>
      <c r="B295" s="931" t="s">
        <v>558</v>
      </c>
      <c r="C295" s="972">
        <v>407</v>
      </c>
      <c r="D295" s="836">
        <f t="shared" si="194"/>
        <v>1.1299999999999999</v>
      </c>
      <c r="E295" s="848">
        <v>388</v>
      </c>
      <c r="F295" s="835">
        <v>0.94</v>
      </c>
      <c r="G295" s="848">
        <v>388</v>
      </c>
      <c r="H295" s="836">
        <v>0.94</v>
      </c>
      <c r="I295" s="848">
        <v>388</v>
      </c>
      <c r="J295" s="835">
        <v>0.94</v>
      </c>
      <c r="K295" s="848">
        <v>388</v>
      </c>
      <c r="L295" s="836">
        <v>0.95</v>
      </c>
      <c r="M295" s="848">
        <v>388</v>
      </c>
      <c r="N295" s="835">
        <v>0.95</v>
      </c>
      <c r="O295" s="848">
        <v>388</v>
      </c>
      <c r="P295" s="835">
        <v>0.96</v>
      </c>
      <c r="Q295" s="859">
        <f t="shared" si="191"/>
        <v>-0.05</v>
      </c>
      <c r="R295" s="858">
        <f t="shared" si="192"/>
        <v>-0.15</v>
      </c>
      <c r="S295" s="841">
        <v>1.0900000000000001</v>
      </c>
      <c r="U295" s="848">
        <f t="shared" si="189"/>
        <v>-19</v>
      </c>
      <c r="V295" s="835">
        <f t="shared" si="190"/>
        <v>-0.17</v>
      </c>
    </row>
    <row r="296" spans="1:23">
      <c r="A296" s="3436"/>
      <c r="B296" s="931" t="s">
        <v>559</v>
      </c>
      <c r="C296" s="972">
        <v>20</v>
      </c>
      <c r="D296" s="836">
        <f t="shared" si="194"/>
        <v>7.0000000000000007E-2</v>
      </c>
      <c r="E296" s="848">
        <v>64</v>
      </c>
      <c r="F296" s="835">
        <v>0.06</v>
      </c>
      <c r="G296" s="848">
        <v>64</v>
      </c>
      <c r="H296" s="836">
        <v>0.06</v>
      </c>
      <c r="I296" s="848">
        <v>64</v>
      </c>
      <c r="J296" s="835">
        <v>0.06</v>
      </c>
      <c r="K296" s="848">
        <v>64</v>
      </c>
      <c r="L296" s="836">
        <v>0.06</v>
      </c>
      <c r="M296" s="848">
        <v>64</v>
      </c>
      <c r="N296" s="835">
        <v>0.06</v>
      </c>
      <c r="O296" s="848">
        <v>64</v>
      </c>
      <c r="P296" s="835">
        <v>0.06</v>
      </c>
      <c r="Q296" s="859">
        <f t="shared" si="191"/>
        <v>2.2000000000000002</v>
      </c>
      <c r="R296" s="858">
        <f t="shared" si="192"/>
        <v>-0.14000000000000001</v>
      </c>
      <c r="S296" s="841">
        <v>0.08</v>
      </c>
      <c r="U296" s="848">
        <f t="shared" si="189"/>
        <v>44</v>
      </c>
      <c r="V296" s="835">
        <f t="shared" si="190"/>
        <v>-0.01</v>
      </c>
    </row>
    <row r="297" spans="1:23">
      <c r="A297" s="3436"/>
      <c r="B297" s="931" t="s">
        <v>560</v>
      </c>
      <c r="C297" s="972">
        <v>623</v>
      </c>
      <c r="D297" s="836">
        <f t="shared" si="194"/>
        <v>0</v>
      </c>
      <c r="E297" s="848">
        <v>0</v>
      </c>
      <c r="F297" s="835">
        <v>0</v>
      </c>
      <c r="G297" s="848">
        <v>0</v>
      </c>
      <c r="H297" s="836">
        <v>0</v>
      </c>
      <c r="I297" s="848">
        <v>0</v>
      </c>
      <c r="J297" s="835">
        <v>0</v>
      </c>
      <c r="K297" s="848">
        <v>0</v>
      </c>
      <c r="L297" s="836">
        <v>0</v>
      </c>
      <c r="M297" s="848">
        <v>0</v>
      </c>
      <c r="N297" s="835">
        <v>0</v>
      </c>
      <c r="O297" s="848">
        <v>0</v>
      </c>
      <c r="P297" s="835">
        <v>0</v>
      </c>
      <c r="Q297" s="859">
        <f t="shared" si="191"/>
        <v>-1</v>
      </c>
      <c r="R297" s="858" t="s">
        <v>16</v>
      </c>
      <c r="S297" s="841">
        <v>0</v>
      </c>
      <c r="U297" s="848">
        <f t="shared" si="189"/>
        <v>-623</v>
      </c>
      <c r="V297" s="835">
        <f t="shared" si="190"/>
        <v>0</v>
      </c>
    </row>
    <row r="298" spans="1:23">
      <c r="A298" s="3436"/>
      <c r="B298" s="931" t="s">
        <v>561</v>
      </c>
      <c r="C298" s="972">
        <v>0</v>
      </c>
      <c r="D298" s="836">
        <f t="shared" si="194"/>
        <v>0</v>
      </c>
      <c r="E298" s="848">
        <v>0</v>
      </c>
      <c r="F298" s="835">
        <v>0</v>
      </c>
      <c r="G298" s="848">
        <v>0</v>
      </c>
      <c r="H298" s="836">
        <v>0</v>
      </c>
      <c r="I298" s="848">
        <v>0</v>
      </c>
      <c r="J298" s="835">
        <v>0</v>
      </c>
      <c r="K298" s="848">
        <v>0</v>
      </c>
      <c r="L298" s="836">
        <v>0</v>
      </c>
      <c r="M298" s="848">
        <v>0</v>
      </c>
      <c r="N298" s="835">
        <v>0</v>
      </c>
      <c r="O298" s="848">
        <v>0</v>
      </c>
      <c r="P298" s="835">
        <v>0</v>
      </c>
      <c r="Q298" s="859" t="s">
        <v>16</v>
      </c>
      <c r="R298" s="858" t="s">
        <v>16</v>
      </c>
      <c r="S298" s="841">
        <v>0</v>
      </c>
      <c r="U298" s="848">
        <f t="shared" si="189"/>
        <v>0</v>
      </c>
      <c r="V298" s="835">
        <f t="shared" si="190"/>
        <v>0</v>
      </c>
    </row>
    <row r="299" spans="1:23" ht="15.75" thickBot="1">
      <c r="A299" s="3436"/>
      <c r="B299" s="932" t="s">
        <v>562</v>
      </c>
      <c r="C299" s="1880">
        <v>0</v>
      </c>
      <c r="D299" s="1881">
        <f t="shared" si="194"/>
        <v>0.25</v>
      </c>
      <c r="E299" s="849">
        <v>0</v>
      </c>
      <c r="F299" s="1885">
        <v>0.21</v>
      </c>
      <c r="G299" s="849">
        <v>0</v>
      </c>
      <c r="H299" s="1881">
        <f>F299</f>
        <v>0.21</v>
      </c>
      <c r="I299" s="849">
        <v>0</v>
      </c>
      <c r="J299" s="1885">
        <f>H299</f>
        <v>0.21</v>
      </c>
      <c r="K299" s="849">
        <v>0</v>
      </c>
      <c r="L299" s="1881">
        <f>J299</f>
        <v>0.21</v>
      </c>
      <c r="M299" s="849">
        <v>0</v>
      </c>
      <c r="N299" s="1885">
        <f>L299</f>
        <v>0.21</v>
      </c>
      <c r="O299" s="849">
        <v>0</v>
      </c>
      <c r="P299" s="1885">
        <v>0.21</v>
      </c>
      <c r="Q299" s="1886" t="s">
        <v>16</v>
      </c>
      <c r="R299" s="1888">
        <f t="shared" si="192"/>
        <v>-0.16</v>
      </c>
      <c r="S299" s="846">
        <f>N299</f>
        <v>0.21</v>
      </c>
      <c r="U299" s="849">
        <f t="shared" si="189"/>
        <v>0</v>
      </c>
      <c r="V299" s="1885">
        <f t="shared" si="190"/>
        <v>-0.04</v>
      </c>
    </row>
    <row r="300" spans="1:23" ht="16.5" thickTop="1" thickBot="1">
      <c r="A300" s="3437"/>
      <c r="B300" s="842" t="s">
        <v>18</v>
      </c>
      <c r="C300" s="973">
        <f>SUM(C290:C299)</f>
        <v>2333</v>
      </c>
      <c r="D300" s="852">
        <f>'Table 7'!E41</f>
        <v>3.29</v>
      </c>
      <c r="E300" s="850">
        <f t="shared" ref="E300:P300" si="195">SUM(E290:E299)</f>
        <v>2401</v>
      </c>
      <c r="F300" s="843">
        <f t="shared" si="195"/>
        <v>2.74</v>
      </c>
      <c r="G300" s="850">
        <f t="shared" si="195"/>
        <v>2401</v>
      </c>
      <c r="H300" s="852">
        <f t="shared" si="195"/>
        <v>2.75</v>
      </c>
      <c r="I300" s="850">
        <f t="shared" si="195"/>
        <v>2401</v>
      </c>
      <c r="J300" s="843">
        <f t="shared" si="195"/>
        <v>2.76</v>
      </c>
      <c r="K300" s="850">
        <f t="shared" si="195"/>
        <v>2401</v>
      </c>
      <c r="L300" s="852">
        <f t="shared" si="195"/>
        <v>2.79</v>
      </c>
      <c r="M300" s="850">
        <f t="shared" si="195"/>
        <v>2401</v>
      </c>
      <c r="N300" s="843">
        <f t="shared" si="195"/>
        <v>2.8</v>
      </c>
      <c r="O300" s="850">
        <f t="shared" si="195"/>
        <v>2401</v>
      </c>
      <c r="P300" s="843">
        <f t="shared" si="195"/>
        <v>2.83</v>
      </c>
      <c r="Q300" s="880">
        <f t="shared" si="191"/>
        <v>0.03</v>
      </c>
      <c r="R300" s="881">
        <f t="shared" si="192"/>
        <v>-0.14000000000000001</v>
      </c>
      <c r="S300" s="855">
        <f>SUM(S290:S299)</f>
        <v>3.46</v>
      </c>
      <c r="U300" s="850">
        <f t="shared" si="189"/>
        <v>68</v>
      </c>
      <c r="V300" s="843">
        <f t="shared" si="190"/>
        <v>-0.46</v>
      </c>
    </row>
    <row r="301" spans="1:23">
      <c r="A301" s="3435" t="s">
        <v>239</v>
      </c>
      <c r="B301" s="933" t="s">
        <v>553</v>
      </c>
      <c r="C301" s="971">
        <v>0</v>
      </c>
      <c r="D301" s="853">
        <f>(F301/$F$311)*$D$311</f>
        <v>0</v>
      </c>
      <c r="E301" s="847">
        <v>0</v>
      </c>
      <c r="F301" s="853">
        <v>0</v>
      </c>
      <c r="G301" s="847">
        <v>0</v>
      </c>
      <c r="H301" s="851">
        <v>0</v>
      </c>
      <c r="I301" s="847">
        <v>0</v>
      </c>
      <c r="J301" s="853">
        <v>0</v>
      </c>
      <c r="K301" s="847">
        <v>0</v>
      </c>
      <c r="L301" s="851">
        <v>0</v>
      </c>
      <c r="M301" s="847">
        <v>0</v>
      </c>
      <c r="N301" s="853">
        <v>0</v>
      </c>
      <c r="O301" s="847">
        <v>0</v>
      </c>
      <c r="P301" s="853">
        <v>0</v>
      </c>
      <c r="Q301" s="878" t="s">
        <v>16</v>
      </c>
      <c r="R301" s="879" t="s">
        <v>16</v>
      </c>
      <c r="S301" s="854">
        <v>0</v>
      </c>
      <c r="U301" s="847">
        <f t="shared" si="189"/>
        <v>0</v>
      </c>
      <c r="V301" s="853">
        <f t="shared" si="190"/>
        <v>0</v>
      </c>
    </row>
    <row r="302" spans="1:23">
      <c r="A302" s="3436"/>
      <c r="B302" s="931" t="s">
        <v>554</v>
      </c>
      <c r="C302" s="972">
        <v>0</v>
      </c>
      <c r="D302" s="836">
        <f t="shared" ref="D302:D310" si="196">(F302/$F$311)*$D$311</f>
        <v>0.18</v>
      </c>
      <c r="E302" s="848">
        <v>88</v>
      </c>
      <c r="F302" s="835">
        <v>0.17</v>
      </c>
      <c r="G302" s="848">
        <v>242</v>
      </c>
      <c r="H302" s="836">
        <v>0.45</v>
      </c>
      <c r="I302" s="848">
        <v>378</v>
      </c>
      <c r="J302" s="835">
        <v>0.69</v>
      </c>
      <c r="K302" s="848">
        <v>385</v>
      </c>
      <c r="L302" s="836">
        <v>0.7</v>
      </c>
      <c r="M302" s="848">
        <v>512</v>
      </c>
      <c r="N302" s="835">
        <v>0.93</v>
      </c>
      <c r="O302" s="848">
        <v>564</v>
      </c>
      <c r="P302" s="835">
        <v>1.02</v>
      </c>
      <c r="Q302" s="859" t="s">
        <v>16</v>
      </c>
      <c r="R302" s="858">
        <f t="shared" si="192"/>
        <v>4.67</v>
      </c>
      <c r="S302" s="841">
        <v>1.44</v>
      </c>
      <c r="U302" s="848">
        <f t="shared" si="189"/>
        <v>564</v>
      </c>
      <c r="V302" s="835">
        <f t="shared" si="190"/>
        <v>0.84</v>
      </c>
    </row>
    <row r="303" spans="1:23">
      <c r="A303" s="3436"/>
      <c r="B303" s="931" t="s">
        <v>555</v>
      </c>
      <c r="C303" s="972">
        <v>0</v>
      </c>
      <c r="D303" s="836">
        <f t="shared" si="196"/>
        <v>0</v>
      </c>
      <c r="E303" s="848">
        <v>0</v>
      </c>
      <c r="F303" s="835">
        <v>0</v>
      </c>
      <c r="G303" s="848">
        <v>35</v>
      </c>
      <c r="H303" s="836">
        <v>0.04</v>
      </c>
      <c r="I303" s="848">
        <v>35</v>
      </c>
      <c r="J303" s="835">
        <v>0.04</v>
      </c>
      <c r="K303" s="848">
        <v>68</v>
      </c>
      <c r="L303" s="836">
        <v>0.08</v>
      </c>
      <c r="M303" s="848">
        <v>78</v>
      </c>
      <c r="N303" s="835">
        <v>0.09</v>
      </c>
      <c r="O303" s="848">
        <v>89</v>
      </c>
      <c r="P303" s="835">
        <v>0.1</v>
      </c>
      <c r="Q303" s="859" t="s">
        <v>16</v>
      </c>
      <c r="R303" s="858" t="s">
        <v>16</v>
      </c>
      <c r="S303" s="841">
        <v>0.15</v>
      </c>
      <c r="U303" s="848">
        <f t="shared" si="189"/>
        <v>89</v>
      </c>
      <c r="V303" s="835">
        <f t="shared" si="190"/>
        <v>0.1</v>
      </c>
    </row>
    <row r="304" spans="1:23">
      <c r="A304" s="3436"/>
      <c r="B304" s="931" t="s">
        <v>556</v>
      </c>
      <c r="C304" s="972">
        <v>498</v>
      </c>
      <c r="D304" s="836">
        <f t="shared" si="196"/>
        <v>0.98</v>
      </c>
      <c r="E304" s="848">
        <v>757</v>
      </c>
      <c r="F304" s="835">
        <v>0.95</v>
      </c>
      <c r="G304" s="848">
        <v>1045</v>
      </c>
      <c r="H304" s="836">
        <v>1.33</v>
      </c>
      <c r="I304" s="848">
        <v>1388</v>
      </c>
      <c r="J304" s="835">
        <v>1.77</v>
      </c>
      <c r="K304" s="848">
        <v>1727</v>
      </c>
      <c r="L304" s="836">
        <v>2.21</v>
      </c>
      <c r="M304" s="848">
        <v>1911</v>
      </c>
      <c r="N304" s="835">
        <v>2.46</v>
      </c>
      <c r="O304" s="848">
        <v>2137</v>
      </c>
      <c r="P304" s="835">
        <v>2.75</v>
      </c>
      <c r="Q304" s="859">
        <f t="shared" si="191"/>
        <v>3.29</v>
      </c>
      <c r="R304" s="858">
        <f t="shared" si="192"/>
        <v>1.81</v>
      </c>
      <c r="S304" s="841">
        <v>3.61</v>
      </c>
      <c r="U304" s="848">
        <f t="shared" si="189"/>
        <v>1639</v>
      </c>
      <c r="V304" s="835">
        <f t="shared" si="190"/>
        <v>1.77</v>
      </c>
    </row>
    <row r="305" spans="1:22">
      <c r="A305" s="3436"/>
      <c r="B305" s="931" t="s">
        <v>557</v>
      </c>
      <c r="C305" s="972">
        <v>6862</v>
      </c>
      <c r="D305" s="836">
        <f t="shared" si="196"/>
        <v>6.46</v>
      </c>
      <c r="E305" s="848">
        <v>8545</v>
      </c>
      <c r="F305" s="835">
        <v>6.26</v>
      </c>
      <c r="G305" s="848">
        <v>8679</v>
      </c>
      <c r="H305" s="836">
        <v>6.42</v>
      </c>
      <c r="I305" s="848">
        <v>8852</v>
      </c>
      <c r="J305" s="835">
        <v>6.6</v>
      </c>
      <c r="K305" s="848">
        <v>9107</v>
      </c>
      <c r="L305" s="836">
        <v>6.9</v>
      </c>
      <c r="M305" s="848">
        <v>9399</v>
      </c>
      <c r="N305" s="835">
        <v>7.22</v>
      </c>
      <c r="O305" s="848">
        <v>9631</v>
      </c>
      <c r="P305" s="835">
        <v>7.49</v>
      </c>
      <c r="Q305" s="859">
        <f t="shared" si="191"/>
        <v>0.4</v>
      </c>
      <c r="R305" s="858">
        <f t="shared" si="192"/>
        <v>0.16</v>
      </c>
      <c r="S305" s="841">
        <v>9.51</v>
      </c>
      <c r="U305" s="848">
        <f t="shared" si="189"/>
        <v>2769</v>
      </c>
      <c r="V305" s="835">
        <f t="shared" si="190"/>
        <v>1.03</v>
      </c>
    </row>
    <row r="306" spans="1:22">
      <c r="A306" s="3436"/>
      <c r="B306" s="931" t="s">
        <v>558</v>
      </c>
      <c r="C306" s="972">
        <v>68</v>
      </c>
      <c r="D306" s="836">
        <f t="shared" si="196"/>
        <v>0.27</v>
      </c>
      <c r="E306" s="848">
        <v>115</v>
      </c>
      <c r="F306" s="835">
        <v>0.26</v>
      </c>
      <c r="G306" s="848">
        <v>182</v>
      </c>
      <c r="H306" s="836">
        <v>0.4</v>
      </c>
      <c r="I306" s="848">
        <v>202</v>
      </c>
      <c r="J306" s="835">
        <v>0.45</v>
      </c>
      <c r="K306" s="848">
        <v>241</v>
      </c>
      <c r="L306" s="836">
        <v>0.53</v>
      </c>
      <c r="M306" s="848">
        <v>326</v>
      </c>
      <c r="N306" s="835">
        <v>0.72</v>
      </c>
      <c r="O306" s="848">
        <v>454</v>
      </c>
      <c r="P306" s="835">
        <v>1</v>
      </c>
      <c r="Q306" s="859">
        <f t="shared" si="191"/>
        <v>5.68</v>
      </c>
      <c r="R306" s="858">
        <f t="shared" si="192"/>
        <v>2.7</v>
      </c>
      <c r="S306" s="841">
        <v>1.1299999999999999</v>
      </c>
      <c r="U306" s="848">
        <f t="shared" si="189"/>
        <v>386</v>
      </c>
      <c r="V306" s="835">
        <f t="shared" si="190"/>
        <v>0.73</v>
      </c>
    </row>
    <row r="307" spans="1:22">
      <c r="A307" s="3436"/>
      <c r="B307" s="931" t="s">
        <v>559</v>
      </c>
      <c r="C307" s="972">
        <v>1896</v>
      </c>
      <c r="D307" s="836">
        <f t="shared" si="196"/>
        <v>2.16</v>
      </c>
      <c r="E307" s="848">
        <v>2027</v>
      </c>
      <c r="F307" s="835">
        <v>2.09</v>
      </c>
      <c r="G307" s="848">
        <v>2067</v>
      </c>
      <c r="H307" s="836">
        <v>2.12</v>
      </c>
      <c r="I307" s="848">
        <v>2108</v>
      </c>
      <c r="J307" s="835">
        <v>2.14</v>
      </c>
      <c r="K307" s="848">
        <v>2135</v>
      </c>
      <c r="L307" s="836">
        <v>2.1800000000000002</v>
      </c>
      <c r="M307" s="848">
        <v>2135</v>
      </c>
      <c r="N307" s="835">
        <v>2.21</v>
      </c>
      <c r="O307" s="848">
        <v>2185</v>
      </c>
      <c r="P307" s="835">
        <v>2.2000000000000002</v>
      </c>
      <c r="Q307" s="859">
        <f t="shared" si="191"/>
        <v>0.15</v>
      </c>
      <c r="R307" s="858">
        <f t="shared" si="192"/>
        <v>0.02</v>
      </c>
      <c r="S307" s="841">
        <v>2.99</v>
      </c>
      <c r="U307" s="848">
        <f t="shared" si="189"/>
        <v>289</v>
      </c>
      <c r="V307" s="835">
        <f t="shared" si="190"/>
        <v>0.04</v>
      </c>
    </row>
    <row r="308" spans="1:22">
      <c r="A308" s="3436"/>
      <c r="B308" s="931" t="s">
        <v>560</v>
      </c>
      <c r="C308" s="972">
        <v>0</v>
      </c>
      <c r="D308" s="836">
        <f t="shared" si="196"/>
        <v>0</v>
      </c>
      <c r="E308" s="848">
        <v>0</v>
      </c>
      <c r="F308" s="835">
        <v>0</v>
      </c>
      <c r="G308" s="848">
        <v>0</v>
      </c>
      <c r="H308" s="836">
        <v>0</v>
      </c>
      <c r="I308" s="848">
        <v>0</v>
      </c>
      <c r="J308" s="835">
        <v>0</v>
      </c>
      <c r="K308" s="848">
        <v>0</v>
      </c>
      <c r="L308" s="836">
        <v>0</v>
      </c>
      <c r="M308" s="848">
        <v>0</v>
      </c>
      <c r="N308" s="835">
        <v>0</v>
      </c>
      <c r="O308" s="848">
        <v>0</v>
      </c>
      <c r="P308" s="835">
        <v>0</v>
      </c>
      <c r="Q308" s="859" t="s">
        <v>16</v>
      </c>
      <c r="R308" s="858" t="s">
        <v>16</v>
      </c>
      <c r="S308" s="841">
        <v>0</v>
      </c>
      <c r="U308" s="848">
        <f t="shared" si="189"/>
        <v>0</v>
      </c>
      <c r="V308" s="835">
        <f t="shared" si="190"/>
        <v>0</v>
      </c>
    </row>
    <row r="309" spans="1:22">
      <c r="A309" s="3436"/>
      <c r="B309" s="931" t="s">
        <v>561</v>
      </c>
      <c r="C309" s="972">
        <v>0</v>
      </c>
      <c r="D309" s="836">
        <f t="shared" si="196"/>
        <v>0</v>
      </c>
      <c r="E309" s="848">
        <v>0</v>
      </c>
      <c r="F309" s="835">
        <v>0</v>
      </c>
      <c r="G309" s="848">
        <v>0</v>
      </c>
      <c r="H309" s="836">
        <v>0</v>
      </c>
      <c r="I309" s="848">
        <v>0</v>
      </c>
      <c r="J309" s="835">
        <v>0</v>
      </c>
      <c r="K309" s="848">
        <v>0</v>
      </c>
      <c r="L309" s="836">
        <v>0</v>
      </c>
      <c r="M309" s="848">
        <v>0</v>
      </c>
      <c r="N309" s="835">
        <v>0</v>
      </c>
      <c r="O309" s="848">
        <v>0</v>
      </c>
      <c r="P309" s="835">
        <v>0</v>
      </c>
      <c r="Q309" s="859" t="s">
        <v>16</v>
      </c>
      <c r="R309" s="858" t="s">
        <v>16</v>
      </c>
      <c r="S309" s="841">
        <v>0</v>
      </c>
      <c r="U309" s="848">
        <f t="shared" si="189"/>
        <v>0</v>
      </c>
      <c r="V309" s="835">
        <f t="shared" si="190"/>
        <v>0</v>
      </c>
    </row>
    <row r="310" spans="1:22" ht="15.75" thickBot="1">
      <c r="A310" s="3436"/>
      <c r="B310" s="932" t="s">
        <v>562</v>
      </c>
      <c r="C310" s="1880">
        <v>0</v>
      </c>
      <c r="D310" s="1881">
        <f t="shared" si="196"/>
        <v>1.72</v>
      </c>
      <c r="E310" s="849">
        <v>0</v>
      </c>
      <c r="F310" s="1885">
        <v>1.67</v>
      </c>
      <c r="G310" s="849">
        <v>0</v>
      </c>
      <c r="H310" s="1881">
        <f>F310</f>
        <v>1.67</v>
      </c>
      <c r="I310" s="849">
        <v>0</v>
      </c>
      <c r="J310" s="1885">
        <f>H310</f>
        <v>1.67</v>
      </c>
      <c r="K310" s="849">
        <v>0</v>
      </c>
      <c r="L310" s="1881">
        <f>J310</f>
        <v>1.67</v>
      </c>
      <c r="M310" s="849">
        <v>0</v>
      </c>
      <c r="N310" s="1885">
        <f>L310</f>
        <v>1.67</v>
      </c>
      <c r="O310" s="849">
        <v>0</v>
      </c>
      <c r="P310" s="1885">
        <v>1.67</v>
      </c>
      <c r="Q310" s="1886" t="s">
        <v>16</v>
      </c>
      <c r="R310" s="1888">
        <f t="shared" si="192"/>
        <v>-0.03</v>
      </c>
      <c r="S310" s="846">
        <f>N310</f>
        <v>1.67</v>
      </c>
      <c r="U310" s="849">
        <f t="shared" si="189"/>
        <v>0</v>
      </c>
      <c r="V310" s="1885">
        <f t="shared" si="190"/>
        <v>-0.05</v>
      </c>
    </row>
    <row r="311" spans="1:22" ht="16.5" thickTop="1" thickBot="1">
      <c r="A311" s="3437"/>
      <c r="B311" s="842" t="s">
        <v>18</v>
      </c>
      <c r="C311" s="973">
        <f>SUM(C301:C310)</f>
        <v>9324</v>
      </c>
      <c r="D311" s="852">
        <f>'Table 7'!E42</f>
        <v>11.76</v>
      </c>
      <c r="E311" s="850">
        <f t="shared" ref="E311:P311" si="197">SUM(E301:E310)</f>
        <v>11532</v>
      </c>
      <c r="F311" s="843">
        <f t="shared" si="197"/>
        <v>11.4</v>
      </c>
      <c r="G311" s="850">
        <f t="shared" si="197"/>
        <v>12250</v>
      </c>
      <c r="H311" s="852">
        <f t="shared" si="197"/>
        <v>12.43</v>
      </c>
      <c r="I311" s="850">
        <f t="shared" si="197"/>
        <v>12963</v>
      </c>
      <c r="J311" s="843">
        <f t="shared" si="197"/>
        <v>13.36</v>
      </c>
      <c r="K311" s="850">
        <f t="shared" si="197"/>
        <v>13663</v>
      </c>
      <c r="L311" s="852">
        <f t="shared" si="197"/>
        <v>14.27</v>
      </c>
      <c r="M311" s="850">
        <f t="shared" si="197"/>
        <v>14361</v>
      </c>
      <c r="N311" s="843">
        <f t="shared" si="197"/>
        <v>15.3</v>
      </c>
      <c r="O311" s="850">
        <f t="shared" si="197"/>
        <v>15060</v>
      </c>
      <c r="P311" s="843">
        <f t="shared" si="197"/>
        <v>16.23</v>
      </c>
      <c r="Q311" s="880">
        <f t="shared" si="191"/>
        <v>0.62</v>
      </c>
      <c r="R311" s="881">
        <f t="shared" si="192"/>
        <v>0.38</v>
      </c>
      <c r="S311" s="855">
        <f>SUM(S301:S310)</f>
        <v>20.5</v>
      </c>
      <c r="U311" s="850">
        <f t="shared" si="189"/>
        <v>5736</v>
      </c>
      <c r="V311" s="843">
        <f t="shared" si="190"/>
        <v>4.47</v>
      </c>
    </row>
    <row r="312" spans="1:22">
      <c r="A312" s="3435" t="s">
        <v>242</v>
      </c>
      <c r="B312" s="933" t="s">
        <v>553</v>
      </c>
      <c r="C312" s="971">
        <v>0</v>
      </c>
      <c r="D312" s="853">
        <f>(F312/$F$322)*$D$322</f>
        <v>0</v>
      </c>
      <c r="E312" s="847">
        <v>0</v>
      </c>
      <c r="F312" s="853">
        <v>0</v>
      </c>
      <c r="G312" s="847">
        <v>0</v>
      </c>
      <c r="H312" s="851">
        <v>0</v>
      </c>
      <c r="I312" s="847">
        <v>0</v>
      </c>
      <c r="J312" s="853">
        <v>0</v>
      </c>
      <c r="K312" s="847">
        <v>0</v>
      </c>
      <c r="L312" s="851">
        <v>0</v>
      </c>
      <c r="M312" s="847">
        <v>0</v>
      </c>
      <c r="N312" s="853">
        <v>0</v>
      </c>
      <c r="O312" s="847">
        <v>0</v>
      </c>
      <c r="P312" s="853">
        <v>0</v>
      </c>
      <c r="Q312" s="878" t="s">
        <v>16</v>
      </c>
      <c r="R312" s="879" t="s">
        <v>16</v>
      </c>
      <c r="S312" s="854">
        <v>0</v>
      </c>
      <c r="U312" s="847">
        <f t="shared" si="189"/>
        <v>0</v>
      </c>
      <c r="V312" s="853">
        <f t="shared" si="190"/>
        <v>0</v>
      </c>
    </row>
    <row r="313" spans="1:22">
      <c r="A313" s="3436"/>
      <c r="B313" s="931" t="s">
        <v>554</v>
      </c>
      <c r="C313" s="972">
        <v>0</v>
      </c>
      <c r="D313" s="836">
        <f t="shared" ref="D313:D321" si="198">(F313/$F$322)*$D$322</f>
        <v>0.18</v>
      </c>
      <c r="E313" s="848">
        <v>101</v>
      </c>
      <c r="F313" s="835">
        <v>0.17</v>
      </c>
      <c r="G313" s="848">
        <v>333</v>
      </c>
      <c r="H313" s="836">
        <v>0.59</v>
      </c>
      <c r="I313" s="848">
        <v>580</v>
      </c>
      <c r="J313" s="835">
        <v>1.03</v>
      </c>
      <c r="K313" s="848">
        <v>812</v>
      </c>
      <c r="L313" s="836">
        <v>1.44</v>
      </c>
      <c r="M313" s="848">
        <v>855</v>
      </c>
      <c r="N313" s="835">
        <v>1.52</v>
      </c>
      <c r="O313" s="848">
        <v>1017</v>
      </c>
      <c r="P313" s="835">
        <v>1.81</v>
      </c>
      <c r="Q313" s="859" t="s">
        <v>16</v>
      </c>
      <c r="R313" s="858">
        <f t="shared" si="192"/>
        <v>9.06</v>
      </c>
      <c r="S313" s="841">
        <v>2.5499999999999998</v>
      </c>
      <c r="U313" s="848">
        <f t="shared" si="189"/>
        <v>1017</v>
      </c>
      <c r="V313" s="835">
        <f t="shared" si="190"/>
        <v>1.63</v>
      </c>
    </row>
    <row r="314" spans="1:22">
      <c r="A314" s="3436"/>
      <c r="B314" s="931" t="s">
        <v>555</v>
      </c>
      <c r="C314" s="972">
        <v>0</v>
      </c>
      <c r="D314" s="836">
        <f t="shared" si="198"/>
        <v>0</v>
      </c>
      <c r="E314" s="848">
        <v>0</v>
      </c>
      <c r="F314" s="835">
        <v>0</v>
      </c>
      <c r="G314" s="848">
        <v>0</v>
      </c>
      <c r="H314" s="836">
        <v>0</v>
      </c>
      <c r="I314" s="848">
        <v>116</v>
      </c>
      <c r="J314" s="835">
        <v>0.13</v>
      </c>
      <c r="K314" s="848">
        <v>129</v>
      </c>
      <c r="L314" s="836">
        <v>0.15</v>
      </c>
      <c r="M314" s="848">
        <v>209</v>
      </c>
      <c r="N314" s="835">
        <v>0.24</v>
      </c>
      <c r="O314" s="848">
        <v>224</v>
      </c>
      <c r="P314" s="835">
        <v>0.26</v>
      </c>
      <c r="Q314" s="859" t="s">
        <v>16</v>
      </c>
      <c r="R314" s="858" t="s">
        <v>16</v>
      </c>
      <c r="S314" s="841">
        <v>0.37</v>
      </c>
      <c r="U314" s="848">
        <f t="shared" si="189"/>
        <v>224</v>
      </c>
      <c r="V314" s="835">
        <f t="shared" si="190"/>
        <v>0.26</v>
      </c>
    </row>
    <row r="315" spans="1:22">
      <c r="A315" s="3436"/>
      <c r="B315" s="931" t="s">
        <v>556</v>
      </c>
      <c r="C315" s="972">
        <v>1452</v>
      </c>
      <c r="D315" s="836">
        <f t="shared" si="198"/>
        <v>3.63</v>
      </c>
      <c r="E315" s="848">
        <v>2472</v>
      </c>
      <c r="F315" s="835">
        <v>3.5</v>
      </c>
      <c r="G315" s="848">
        <v>2938</v>
      </c>
      <c r="H315" s="836">
        <v>4.1100000000000003</v>
      </c>
      <c r="I315" s="848">
        <v>3257</v>
      </c>
      <c r="J315" s="835">
        <v>4.54</v>
      </c>
      <c r="K315" s="848">
        <v>3363</v>
      </c>
      <c r="L315" s="836">
        <v>4.7</v>
      </c>
      <c r="M315" s="848">
        <v>3621</v>
      </c>
      <c r="N315" s="835">
        <v>5.0599999999999996</v>
      </c>
      <c r="O315" s="848">
        <v>3884</v>
      </c>
      <c r="P315" s="835">
        <v>5.42</v>
      </c>
      <c r="Q315" s="859">
        <f t="shared" si="191"/>
        <v>1.67</v>
      </c>
      <c r="R315" s="858">
        <f t="shared" si="192"/>
        <v>0.49</v>
      </c>
      <c r="S315" s="841">
        <v>7.09</v>
      </c>
      <c r="U315" s="848">
        <f t="shared" si="189"/>
        <v>2432</v>
      </c>
      <c r="V315" s="835">
        <f t="shared" si="190"/>
        <v>1.79</v>
      </c>
    </row>
    <row r="316" spans="1:22">
      <c r="A316" s="3436"/>
      <c r="B316" s="931" t="s">
        <v>557</v>
      </c>
      <c r="C316" s="972">
        <v>7610</v>
      </c>
      <c r="D316" s="836">
        <f t="shared" si="198"/>
        <v>7.13</v>
      </c>
      <c r="E316" s="848">
        <v>9017</v>
      </c>
      <c r="F316" s="835">
        <v>6.88</v>
      </c>
      <c r="G316" s="848">
        <v>9196</v>
      </c>
      <c r="H316" s="836">
        <v>7.06</v>
      </c>
      <c r="I316" s="848">
        <v>9367</v>
      </c>
      <c r="J316" s="835">
        <v>7.24</v>
      </c>
      <c r="K316" s="848">
        <v>9562</v>
      </c>
      <c r="L316" s="836">
        <v>7.47</v>
      </c>
      <c r="M316" s="848">
        <v>9825</v>
      </c>
      <c r="N316" s="835">
        <v>7.74</v>
      </c>
      <c r="O316" s="848">
        <v>9910</v>
      </c>
      <c r="P316" s="835">
        <v>7.88</v>
      </c>
      <c r="Q316" s="859">
        <f t="shared" si="191"/>
        <v>0.3</v>
      </c>
      <c r="R316" s="858">
        <f t="shared" si="192"/>
        <v>0.11</v>
      </c>
      <c r="S316" s="841">
        <v>10</v>
      </c>
      <c r="U316" s="848">
        <f t="shared" si="189"/>
        <v>2300</v>
      </c>
      <c r="V316" s="835">
        <f t="shared" si="190"/>
        <v>0.75</v>
      </c>
    </row>
    <row r="317" spans="1:22">
      <c r="A317" s="3436"/>
      <c r="B317" s="931" t="s">
        <v>558</v>
      </c>
      <c r="C317" s="972">
        <v>844</v>
      </c>
      <c r="D317" s="836">
        <f t="shared" si="198"/>
        <v>2.31</v>
      </c>
      <c r="E317" s="848">
        <v>880</v>
      </c>
      <c r="F317" s="835">
        <v>2.23</v>
      </c>
      <c r="G317" s="848">
        <v>954</v>
      </c>
      <c r="H317" s="836">
        <v>2.4</v>
      </c>
      <c r="I317" s="848">
        <v>973</v>
      </c>
      <c r="J317" s="835">
        <v>2.4500000000000002</v>
      </c>
      <c r="K317" s="848">
        <v>1144</v>
      </c>
      <c r="L317" s="836">
        <v>2.83</v>
      </c>
      <c r="M317" s="848">
        <v>1318</v>
      </c>
      <c r="N317" s="835">
        <v>3.23</v>
      </c>
      <c r="O317" s="848">
        <v>1495</v>
      </c>
      <c r="P317" s="835">
        <v>3.63</v>
      </c>
      <c r="Q317" s="859">
        <f t="shared" si="191"/>
        <v>0.77</v>
      </c>
      <c r="R317" s="858">
        <f t="shared" si="192"/>
        <v>0.56999999999999995</v>
      </c>
      <c r="S317" s="841">
        <v>4.0999999999999996</v>
      </c>
      <c r="U317" s="848">
        <f t="shared" si="189"/>
        <v>651</v>
      </c>
      <c r="V317" s="835">
        <f t="shared" si="190"/>
        <v>1.32</v>
      </c>
    </row>
    <row r="318" spans="1:22">
      <c r="A318" s="3436"/>
      <c r="B318" s="931" t="s">
        <v>559</v>
      </c>
      <c r="C318" s="972">
        <v>1248</v>
      </c>
      <c r="D318" s="836">
        <f t="shared" si="198"/>
        <v>0.84</v>
      </c>
      <c r="E318" s="848">
        <v>947</v>
      </c>
      <c r="F318" s="835">
        <v>0.81</v>
      </c>
      <c r="G318" s="848">
        <v>1058</v>
      </c>
      <c r="H318" s="836">
        <v>0.91</v>
      </c>
      <c r="I318" s="848">
        <v>1283</v>
      </c>
      <c r="J318" s="835">
        <v>1.06</v>
      </c>
      <c r="K318" s="848">
        <v>1293</v>
      </c>
      <c r="L318" s="836">
        <v>1.08</v>
      </c>
      <c r="M318" s="848">
        <v>1519</v>
      </c>
      <c r="N318" s="835">
        <v>1.27</v>
      </c>
      <c r="O318" s="848">
        <v>1537</v>
      </c>
      <c r="P318" s="835">
        <v>1.27</v>
      </c>
      <c r="Q318" s="859">
        <f t="shared" si="191"/>
        <v>0.23</v>
      </c>
      <c r="R318" s="858">
        <f t="shared" si="192"/>
        <v>0.51</v>
      </c>
      <c r="S318" s="841">
        <v>1.73</v>
      </c>
      <c r="U318" s="848">
        <f t="shared" si="189"/>
        <v>289</v>
      </c>
      <c r="V318" s="835">
        <f t="shared" si="190"/>
        <v>0.43</v>
      </c>
    </row>
    <row r="319" spans="1:22">
      <c r="A319" s="3436"/>
      <c r="B319" s="931" t="s">
        <v>560</v>
      </c>
      <c r="C319" s="972">
        <v>0</v>
      </c>
      <c r="D319" s="836">
        <f t="shared" si="198"/>
        <v>0</v>
      </c>
      <c r="E319" s="848">
        <v>0</v>
      </c>
      <c r="F319" s="835">
        <v>0</v>
      </c>
      <c r="G319" s="848">
        <v>0</v>
      </c>
      <c r="H319" s="836">
        <v>0</v>
      </c>
      <c r="I319" s="848">
        <v>0</v>
      </c>
      <c r="J319" s="835">
        <v>0</v>
      </c>
      <c r="K319" s="848">
        <v>0</v>
      </c>
      <c r="L319" s="836">
        <v>0</v>
      </c>
      <c r="M319" s="848">
        <v>0</v>
      </c>
      <c r="N319" s="835">
        <v>0</v>
      </c>
      <c r="O319" s="848">
        <v>0</v>
      </c>
      <c r="P319" s="835">
        <v>0</v>
      </c>
      <c r="Q319" s="859" t="s">
        <v>16</v>
      </c>
      <c r="R319" s="858" t="s">
        <v>16</v>
      </c>
      <c r="S319" s="841">
        <v>0</v>
      </c>
      <c r="U319" s="848">
        <f t="shared" si="189"/>
        <v>0</v>
      </c>
      <c r="V319" s="835">
        <f t="shared" si="190"/>
        <v>0</v>
      </c>
    </row>
    <row r="320" spans="1:22">
      <c r="A320" s="3436"/>
      <c r="B320" s="931" t="s">
        <v>561</v>
      </c>
      <c r="C320" s="972">
        <v>0</v>
      </c>
      <c r="D320" s="836">
        <f t="shared" si="198"/>
        <v>0</v>
      </c>
      <c r="E320" s="848">
        <v>0</v>
      </c>
      <c r="F320" s="835">
        <v>0</v>
      </c>
      <c r="G320" s="848">
        <v>0</v>
      </c>
      <c r="H320" s="836">
        <v>0</v>
      </c>
      <c r="I320" s="848">
        <v>0</v>
      </c>
      <c r="J320" s="835">
        <v>0</v>
      </c>
      <c r="K320" s="848">
        <v>0</v>
      </c>
      <c r="L320" s="836">
        <v>0</v>
      </c>
      <c r="M320" s="848">
        <v>0</v>
      </c>
      <c r="N320" s="835">
        <v>0</v>
      </c>
      <c r="O320" s="848">
        <v>0</v>
      </c>
      <c r="P320" s="835">
        <v>0</v>
      </c>
      <c r="Q320" s="859" t="s">
        <v>16</v>
      </c>
      <c r="R320" s="858" t="s">
        <v>16</v>
      </c>
      <c r="S320" s="841">
        <v>0</v>
      </c>
      <c r="U320" s="848">
        <f t="shared" si="189"/>
        <v>0</v>
      </c>
      <c r="V320" s="835">
        <f t="shared" si="190"/>
        <v>0</v>
      </c>
    </row>
    <row r="321" spans="1:22" ht="15.75" thickBot="1">
      <c r="A321" s="3436"/>
      <c r="B321" s="932" t="s">
        <v>562</v>
      </c>
      <c r="C321" s="1880">
        <v>0</v>
      </c>
      <c r="D321" s="1881">
        <f t="shared" si="198"/>
        <v>0.72</v>
      </c>
      <c r="E321" s="849">
        <v>0</v>
      </c>
      <c r="F321" s="1885">
        <v>0.69</v>
      </c>
      <c r="G321" s="849">
        <v>0</v>
      </c>
      <c r="H321" s="1881">
        <f>F321</f>
        <v>0.69</v>
      </c>
      <c r="I321" s="849">
        <v>0</v>
      </c>
      <c r="J321" s="1885">
        <f>H321</f>
        <v>0.69</v>
      </c>
      <c r="K321" s="849">
        <v>0</v>
      </c>
      <c r="L321" s="1881">
        <f>J321</f>
        <v>0.69</v>
      </c>
      <c r="M321" s="849">
        <v>0</v>
      </c>
      <c r="N321" s="1885">
        <f>L321</f>
        <v>0.69</v>
      </c>
      <c r="O321" s="849">
        <v>0</v>
      </c>
      <c r="P321" s="1885">
        <v>0.69</v>
      </c>
      <c r="Q321" s="1886" t="s">
        <v>16</v>
      </c>
      <c r="R321" s="1888">
        <f t="shared" si="192"/>
        <v>-0.04</v>
      </c>
      <c r="S321" s="846">
        <f>N321</f>
        <v>0.69</v>
      </c>
      <c r="U321" s="849">
        <f t="shared" si="189"/>
        <v>0</v>
      </c>
      <c r="V321" s="1885">
        <f t="shared" si="190"/>
        <v>-0.03</v>
      </c>
    </row>
    <row r="322" spans="1:22" ht="16.5" thickTop="1" thickBot="1">
      <c r="A322" s="3437"/>
      <c r="B322" s="842" t="s">
        <v>18</v>
      </c>
      <c r="C322" s="973">
        <f>SUM(C312:C321)</f>
        <v>11154</v>
      </c>
      <c r="D322" s="852">
        <f>'Table 7'!E43</f>
        <v>14.8</v>
      </c>
      <c r="E322" s="850">
        <f t="shared" ref="E322:P322" si="199">SUM(E312:E321)</f>
        <v>13417</v>
      </c>
      <c r="F322" s="843">
        <f t="shared" si="199"/>
        <v>14.28</v>
      </c>
      <c r="G322" s="850">
        <f t="shared" si="199"/>
        <v>14479</v>
      </c>
      <c r="H322" s="852">
        <f t="shared" si="199"/>
        <v>15.76</v>
      </c>
      <c r="I322" s="850">
        <f t="shared" si="199"/>
        <v>15576</v>
      </c>
      <c r="J322" s="843">
        <f t="shared" si="199"/>
        <v>17.14</v>
      </c>
      <c r="K322" s="850">
        <f t="shared" si="199"/>
        <v>16303</v>
      </c>
      <c r="L322" s="852">
        <f t="shared" si="199"/>
        <v>18.36</v>
      </c>
      <c r="M322" s="850">
        <f t="shared" si="199"/>
        <v>17347</v>
      </c>
      <c r="N322" s="843">
        <f t="shared" si="199"/>
        <v>19.75</v>
      </c>
      <c r="O322" s="850">
        <f t="shared" si="199"/>
        <v>18067</v>
      </c>
      <c r="P322" s="843">
        <f t="shared" si="199"/>
        <v>20.96</v>
      </c>
      <c r="Q322" s="880">
        <f t="shared" si="191"/>
        <v>0.62</v>
      </c>
      <c r="R322" s="881">
        <f t="shared" si="192"/>
        <v>0.42</v>
      </c>
      <c r="S322" s="855">
        <f>SUM(S312:S321)</f>
        <v>26.53</v>
      </c>
      <c r="U322" s="850">
        <f t="shared" si="189"/>
        <v>6913</v>
      </c>
      <c r="V322" s="843">
        <f t="shared" si="190"/>
        <v>6.16</v>
      </c>
    </row>
    <row r="323" spans="1:22" ht="27" customHeight="1" thickBot="1">
      <c r="A323" s="3224" t="s">
        <v>575</v>
      </c>
      <c r="B323" s="3224"/>
      <c r="C323" s="3224"/>
      <c r="D323" s="3224"/>
      <c r="E323" s="3224"/>
      <c r="F323" s="3224"/>
      <c r="G323" s="3224"/>
      <c r="H323" s="3224"/>
      <c r="I323" s="3224"/>
      <c r="J323" s="3224"/>
      <c r="K323" s="3224"/>
      <c r="L323" s="3224"/>
      <c r="M323" s="3224"/>
      <c r="N323" s="3224"/>
      <c r="O323" s="3224"/>
      <c r="P323" s="3224"/>
      <c r="Q323" s="3224"/>
      <c r="R323" s="3224"/>
      <c r="S323" s="3224"/>
    </row>
    <row r="324" spans="1:22" ht="26.25" customHeight="1">
      <c r="A324" s="3429" t="s">
        <v>85</v>
      </c>
      <c r="B324" s="3431" t="s">
        <v>541</v>
      </c>
      <c r="C324" s="3217" t="s">
        <v>542</v>
      </c>
      <c r="D324" s="3217"/>
      <c r="E324" s="3216" t="s">
        <v>543</v>
      </c>
      <c r="F324" s="3218"/>
      <c r="G324" s="3217" t="s">
        <v>544</v>
      </c>
      <c r="H324" s="3217"/>
      <c r="I324" s="3258" t="s">
        <v>545</v>
      </c>
      <c r="J324" s="3245"/>
      <c r="K324" s="3264" t="s">
        <v>546</v>
      </c>
      <c r="L324" s="3264"/>
      <c r="M324" s="3258" t="s">
        <v>547</v>
      </c>
      <c r="N324" s="3245"/>
      <c r="O324" s="3258" t="s">
        <v>548</v>
      </c>
      <c r="P324" s="3245"/>
      <c r="Q324" s="3264" t="s">
        <v>57</v>
      </c>
      <c r="R324" s="3264"/>
      <c r="S324" s="3433" t="s">
        <v>549</v>
      </c>
      <c r="U324" s="3258" t="s">
        <v>59</v>
      </c>
      <c r="V324" s="3245"/>
    </row>
    <row r="325" spans="1:22" ht="15.75" thickBot="1">
      <c r="A325" s="3430"/>
      <c r="B325" s="3432"/>
      <c r="C325" s="1889" t="s">
        <v>550</v>
      </c>
      <c r="D325" s="831" t="s">
        <v>551</v>
      </c>
      <c r="E325" s="832" t="s">
        <v>550</v>
      </c>
      <c r="F325" s="833" t="s">
        <v>551</v>
      </c>
      <c r="G325" s="1889" t="s">
        <v>550</v>
      </c>
      <c r="H325" s="831" t="s">
        <v>551</v>
      </c>
      <c r="I325" s="834" t="s">
        <v>550</v>
      </c>
      <c r="J325" s="833" t="s">
        <v>551</v>
      </c>
      <c r="K325" s="1890" t="s">
        <v>550</v>
      </c>
      <c r="L325" s="831" t="s">
        <v>551</v>
      </c>
      <c r="M325" s="834" t="s">
        <v>550</v>
      </c>
      <c r="N325" s="833" t="s">
        <v>551</v>
      </c>
      <c r="O325" s="834" t="s">
        <v>550</v>
      </c>
      <c r="P325" s="833" t="s">
        <v>551</v>
      </c>
      <c r="Q325" s="1891" t="s">
        <v>529</v>
      </c>
      <c r="R325" s="831" t="s">
        <v>551</v>
      </c>
      <c r="S325" s="3434"/>
      <c r="U325" s="1645" t="s">
        <v>529</v>
      </c>
      <c r="V325" s="1646" t="s">
        <v>551</v>
      </c>
    </row>
    <row r="326" spans="1:22">
      <c r="A326" s="3435" t="s">
        <v>252</v>
      </c>
      <c r="B326" s="933" t="s">
        <v>553</v>
      </c>
      <c r="C326" s="971">
        <v>0</v>
      </c>
      <c r="D326" s="853">
        <f>(F326/$F$336)*$D$336</f>
        <v>0.02</v>
      </c>
      <c r="E326" s="847">
        <v>27</v>
      </c>
      <c r="F326" s="853">
        <v>0.02</v>
      </c>
      <c r="G326" s="847">
        <v>27</v>
      </c>
      <c r="H326" s="851">
        <v>0.03</v>
      </c>
      <c r="I326" s="847">
        <v>27</v>
      </c>
      <c r="J326" s="853">
        <v>0.03</v>
      </c>
      <c r="K326" s="847">
        <v>27</v>
      </c>
      <c r="L326" s="851">
        <v>0.03</v>
      </c>
      <c r="M326" s="847">
        <v>27</v>
      </c>
      <c r="N326" s="853">
        <v>0.03</v>
      </c>
      <c r="O326" s="847">
        <v>27</v>
      </c>
      <c r="P326" s="853">
        <v>0.03</v>
      </c>
      <c r="Q326" s="878" t="s">
        <v>16</v>
      </c>
      <c r="R326" s="879">
        <f t="shared" si="192"/>
        <v>0.5</v>
      </c>
      <c r="S326" s="854">
        <v>0.04</v>
      </c>
      <c r="U326" s="847">
        <f t="shared" si="189"/>
        <v>27</v>
      </c>
      <c r="V326" s="853">
        <f t="shared" si="190"/>
        <v>0.01</v>
      </c>
    </row>
    <row r="327" spans="1:22">
      <c r="A327" s="3436"/>
      <c r="B327" s="931" t="s">
        <v>554</v>
      </c>
      <c r="C327" s="972">
        <v>7</v>
      </c>
      <c r="D327" s="836">
        <f t="shared" ref="D327:D335" si="200">(F327/$F$336)*$D$336</f>
        <v>0.11</v>
      </c>
      <c r="E327" s="848">
        <v>60</v>
      </c>
      <c r="F327" s="835">
        <v>0.11</v>
      </c>
      <c r="G327" s="848">
        <v>221</v>
      </c>
      <c r="H327" s="836">
        <v>0.4</v>
      </c>
      <c r="I327" s="848">
        <v>331</v>
      </c>
      <c r="J327" s="835">
        <v>0.6</v>
      </c>
      <c r="K327" s="848">
        <v>421</v>
      </c>
      <c r="L327" s="836">
        <v>0.76</v>
      </c>
      <c r="M327" s="848">
        <v>543</v>
      </c>
      <c r="N327" s="835">
        <v>0.97</v>
      </c>
      <c r="O327" s="848">
        <v>681</v>
      </c>
      <c r="P327" s="835">
        <v>1.22</v>
      </c>
      <c r="Q327" s="859">
        <f t="shared" si="191"/>
        <v>96.29</v>
      </c>
      <c r="R327" s="858">
        <f t="shared" si="192"/>
        <v>10.09</v>
      </c>
      <c r="S327" s="841">
        <v>1.72</v>
      </c>
      <c r="U327" s="848">
        <f t="shared" si="189"/>
        <v>674</v>
      </c>
      <c r="V327" s="835">
        <f t="shared" si="190"/>
        <v>1.1100000000000001</v>
      </c>
    </row>
    <row r="328" spans="1:22">
      <c r="A328" s="3436"/>
      <c r="B328" s="931" t="s">
        <v>555</v>
      </c>
      <c r="C328" s="972">
        <v>0</v>
      </c>
      <c r="D328" s="836">
        <f t="shared" si="200"/>
        <v>0</v>
      </c>
      <c r="E328" s="848">
        <v>0</v>
      </c>
      <c r="F328" s="835">
        <v>0</v>
      </c>
      <c r="G328" s="848">
        <v>0</v>
      </c>
      <c r="H328" s="836">
        <v>0</v>
      </c>
      <c r="I328" s="848">
        <v>75</v>
      </c>
      <c r="J328" s="835">
        <v>0.09</v>
      </c>
      <c r="K328" s="848">
        <v>75</v>
      </c>
      <c r="L328" s="836">
        <v>0.09</v>
      </c>
      <c r="M328" s="848">
        <v>75</v>
      </c>
      <c r="N328" s="835">
        <v>0.09</v>
      </c>
      <c r="O328" s="848">
        <v>75</v>
      </c>
      <c r="P328" s="835">
        <v>0.09</v>
      </c>
      <c r="Q328" s="859" t="s">
        <v>16</v>
      </c>
      <c r="R328" s="858" t="s">
        <v>16</v>
      </c>
      <c r="S328" s="841">
        <v>0.12</v>
      </c>
      <c r="U328" s="848">
        <f t="shared" si="189"/>
        <v>75</v>
      </c>
      <c r="V328" s="835">
        <f t="shared" si="190"/>
        <v>0.09</v>
      </c>
    </row>
    <row r="329" spans="1:22">
      <c r="A329" s="3436"/>
      <c r="B329" s="931" t="s">
        <v>556</v>
      </c>
      <c r="C329" s="972">
        <v>1617</v>
      </c>
      <c r="D329" s="836">
        <f t="shared" si="200"/>
        <v>3.53</v>
      </c>
      <c r="E329" s="848">
        <v>3019</v>
      </c>
      <c r="F329" s="835">
        <v>3.64</v>
      </c>
      <c r="G329" s="848">
        <v>3239</v>
      </c>
      <c r="H329" s="836">
        <v>3.96</v>
      </c>
      <c r="I329" s="848">
        <v>3381</v>
      </c>
      <c r="J329" s="835">
        <v>4.18</v>
      </c>
      <c r="K329" s="848">
        <v>3452</v>
      </c>
      <c r="L329" s="836">
        <v>4.3099999999999996</v>
      </c>
      <c r="M329" s="848">
        <v>3684</v>
      </c>
      <c r="N329" s="835">
        <v>4.6399999999999997</v>
      </c>
      <c r="O329" s="848">
        <v>3794</v>
      </c>
      <c r="P329" s="835">
        <v>4.8099999999999996</v>
      </c>
      <c r="Q329" s="859">
        <f t="shared" si="191"/>
        <v>1.35</v>
      </c>
      <c r="R329" s="858">
        <f t="shared" si="192"/>
        <v>0.36</v>
      </c>
      <c r="S329" s="841">
        <v>6.3</v>
      </c>
      <c r="U329" s="848">
        <f t="shared" si="189"/>
        <v>2177</v>
      </c>
      <c r="V329" s="835">
        <f t="shared" si="190"/>
        <v>1.28</v>
      </c>
    </row>
    <row r="330" spans="1:22">
      <c r="A330" s="3436"/>
      <c r="B330" s="931" t="s">
        <v>557</v>
      </c>
      <c r="C330" s="972">
        <v>16679</v>
      </c>
      <c r="D330" s="836">
        <f t="shared" si="200"/>
        <v>13.96</v>
      </c>
      <c r="E330" s="848">
        <v>19361</v>
      </c>
      <c r="F330" s="835">
        <v>14.38</v>
      </c>
      <c r="G330" s="848">
        <v>19462</v>
      </c>
      <c r="H330" s="836">
        <v>14.55</v>
      </c>
      <c r="I330" s="848">
        <v>19658</v>
      </c>
      <c r="J330" s="835">
        <v>14.8</v>
      </c>
      <c r="K330" s="848">
        <v>19859</v>
      </c>
      <c r="L330" s="836">
        <v>15.14</v>
      </c>
      <c r="M330" s="848">
        <v>20006</v>
      </c>
      <c r="N330" s="835">
        <v>15.41</v>
      </c>
      <c r="O330" s="848">
        <v>20205</v>
      </c>
      <c r="P330" s="835">
        <v>15.71</v>
      </c>
      <c r="Q330" s="859">
        <f t="shared" si="191"/>
        <v>0.21</v>
      </c>
      <c r="R330" s="858">
        <f t="shared" si="192"/>
        <v>0.13</v>
      </c>
      <c r="S330" s="841">
        <v>19.95</v>
      </c>
      <c r="U330" s="848">
        <f t="shared" si="189"/>
        <v>3526</v>
      </c>
      <c r="V330" s="835">
        <f t="shared" si="190"/>
        <v>1.75</v>
      </c>
    </row>
    <row r="331" spans="1:22">
      <c r="A331" s="3436"/>
      <c r="B331" s="931" t="s">
        <v>558</v>
      </c>
      <c r="C331" s="972">
        <v>342</v>
      </c>
      <c r="D331" s="836">
        <f t="shared" si="200"/>
        <v>0.76</v>
      </c>
      <c r="E331" s="848">
        <v>370</v>
      </c>
      <c r="F331" s="835">
        <v>0.78</v>
      </c>
      <c r="G331" s="848">
        <v>431</v>
      </c>
      <c r="H331" s="836">
        <v>0.92</v>
      </c>
      <c r="I331" s="848">
        <v>431</v>
      </c>
      <c r="J331" s="835">
        <v>0.92</v>
      </c>
      <c r="K331" s="848">
        <v>515</v>
      </c>
      <c r="L331" s="836">
        <v>1.1100000000000001</v>
      </c>
      <c r="M331" s="848">
        <v>583</v>
      </c>
      <c r="N331" s="835">
        <v>1.26</v>
      </c>
      <c r="O331" s="848">
        <v>705</v>
      </c>
      <c r="P331" s="835">
        <v>1.53</v>
      </c>
      <c r="Q331" s="859">
        <f t="shared" si="191"/>
        <v>1.06</v>
      </c>
      <c r="R331" s="858">
        <f t="shared" si="192"/>
        <v>1.01</v>
      </c>
      <c r="S331" s="841">
        <v>1.73</v>
      </c>
      <c r="U331" s="848">
        <f t="shared" si="189"/>
        <v>363</v>
      </c>
      <c r="V331" s="835">
        <f t="shared" si="190"/>
        <v>0.77</v>
      </c>
    </row>
    <row r="332" spans="1:22">
      <c r="A332" s="3436"/>
      <c r="B332" s="931" t="s">
        <v>559</v>
      </c>
      <c r="C332" s="972">
        <v>267</v>
      </c>
      <c r="D332" s="836">
        <f t="shared" si="200"/>
        <v>1.31</v>
      </c>
      <c r="E332" s="848">
        <v>1547</v>
      </c>
      <c r="F332" s="835">
        <v>1.35</v>
      </c>
      <c r="G332" s="848">
        <v>1578</v>
      </c>
      <c r="H332" s="836">
        <v>1.35</v>
      </c>
      <c r="I332" s="848">
        <v>1632</v>
      </c>
      <c r="J332" s="835">
        <v>1.36</v>
      </c>
      <c r="K332" s="848">
        <v>1754</v>
      </c>
      <c r="L332" s="836">
        <v>1.46</v>
      </c>
      <c r="M332" s="848">
        <v>1754</v>
      </c>
      <c r="N332" s="835">
        <v>1.44</v>
      </c>
      <c r="O332" s="848">
        <v>1754</v>
      </c>
      <c r="P332" s="835">
        <v>1.42</v>
      </c>
      <c r="Q332" s="859">
        <f t="shared" si="191"/>
        <v>5.57</v>
      </c>
      <c r="R332" s="858">
        <f t="shared" si="192"/>
        <v>0.08</v>
      </c>
      <c r="S332" s="841">
        <v>1.93</v>
      </c>
      <c r="U332" s="848">
        <f t="shared" si="189"/>
        <v>1487</v>
      </c>
      <c r="V332" s="835">
        <f t="shared" si="190"/>
        <v>0.11</v>
      </c>
    </row>
    <row r="333" spans="1:22">
      <c r="A333" s="3436"/>
      <c r="B333" s="931" t="s">
        <v>560</v>
      </c>
      <c r="C333" s="972">
        <v>0</v>
      </c>
      <c r="D333" s="836">
        <f t="shared" si="200"/>
        <v>0</v>
      </c>
      <c r="E333" s="848">
        <v>0</v>
      </c>
      <c r="F333" s="835">
        <v>0</v>
      </c>
      <c r="G333" s="848">
        <v>0</v>
      </c>
      <c r="H333" s="836">
        <v>0</v>
      </c>
      <c r="I333" s="848">
        <v>0</v>
      </c>
      <c r="J333" s="835">
        <v>0</v>
      </c>
      <c r="K333" s="848">
        <v>0</v>
      </c>
      <c r="L333" s="836">
        <v>0</v>
      </c>
      <c r="M333" s="848">
        <v>0</v>
      </c>
      <c r="N333" s="835">
        <v>0</v>
      </c>
      <c r="O333" s="848">
        <v>0</v>
      </c>
      <c r="P333" s="835">
        <v>0</v>
      </c>
      <c r="Q333" s="859" t="s">
        <v>16</v>
      </c>
      <c r="R333" s="858" t="s">
        <v>16</v>
      </c>
      <c r="S333" s="841">
        <v>0</v>
      </c>
      <c r="U333" s="848">
        <f t="shared" si="189"/>
        <v>0</v>
      </c>
      <c r="V333" s="835">
        <f t="shared" si="190"/>
        <v>0</v>
      </c>
    </row>
    <row r="334" spans="1:22">
      <c r="A334" s="3436"/>
      <c r="B334" s="931" t="s">
        <v>561</v>
      </c>
      <c r="C334" s="972">
        <v>0</v>
      </c>
      <c r="D334" s="836">
        <f t="shared" si="200"/>
        <v>0</v>
      </c>
      <c r="E334" s="848">
        <v>0</v>
      </c>
      <c r="F334" s="835">
        <v>0</v>
      </c>
      <c r="G334" s="848">
        <v>0</v>
      </c>
      <c r="H334" s="836">
        <v>0</v>
      </c>
      <c r="I334" s="848">
        <v>0</v>
      </c>
      <c r="J334" s="835">
        <v>0</v>
      </c>
      <c r="K334" s="848">
        <v>0</v>
      </c>
      <c r="L334" s="836">
        <v>0</v>
      </c>
      <c r="M334" s="848">
        <v>0</v>
      </c>
      <c r="N334" s="835">
        <v>0</v>
      </c>
      <c r="O334" s="848">
        <v>0</v>
      </c>
      <c r="P334" s="835">
        <v>0</v>
      </c>
      <c r="Q334" s="859" t="s">
        <v>16</v>
      </c>
      <c r="R334" s="858" t="s">
        <v>16</v>
      </c>
      <c r="S334" s="841">
        <v>0</v>
      </c>
      <c r="U334" s="848">
        <f t="shared" si="189"/>
        <v>0</v>
      </c>
      <c r="V334" s="835">
        <f t="shared" si="190"/>
        <v>0</v>
      </c>
    </row>
    <row r="335" spans="1:22" ht="15.75" thickBot="1">
      <c r="A335" s="3436"/>
      <c r="B335" s="932" t="s">
        <v>562</v>
      </c>
      <c r="C335" s="1880">
        <v>0</v>
      </c>
      <c r="D335" s="1881">
        <f t="shared" si="200"/>
        <v>1.18</v>
      </c>
      <c r="E335" s="849">
        <v>0</v>
      </c>
      <c r="F335" s="1885">
        <v>1.22</v>
      </c>
      <c r="G335" s="849">
        <v>0</v>
      </c>
      <c r="H335" s="1881">
        <f>F335</f>
        <v>1.22</v>
      </c>
      <c r="I335" s="849">
        <v>0</v>
      </c>
      <c r="J335" s="1885">
        <f>H335</f>
        <v>1.22</v>
      </c>
      <c r="K335" s="849">
        <v>0</v>
      </c>
      <c r="L335" s="1881">
        <f>J335</f>
        <v>1.22</v>
      </c>
      <c r="M335" s="849">
        <v>0</v>
      </c>
      <c r="N335" s="1885">
        <f>L335</f>
        <v>1.22</v>
      </c>
      <c r="O335" s="849">
        <v>0</v>
      </c>
      <c r="P335" s="1885">
        <v>1.22</v>
      </c>
      <c r="Q335" s="1886" t="s">
        <v>16</v>
      </c>
      <c r="R335" s="1888">
        <f t="shared" si="192"/>
        <v>0.03</v>
      </c>
      <c r="S335" s="846">
        <f>N335</f>
        <v>1.22</v>
      </c>
      <c r="U335" s="849">
        <f t="shared" si="189"/>
        <v>0</v>
      </c>
      <c r="V335" s="1885">
        <f t="shared" si="190"/>
        <v>0.04</v>
      </c>
    </row>
    <row r="336" spans="1:22" ht="16.5" thickTop="1" thickBot="1">
      <c r="A336" s="3437"/>
      <c r="B336" s="842" t="s">
        <v>18</v>
      </c>
      <c r="C336" s="973">
        <f>SUM(C326:C335)</f>
        <v>18912</v>
      </c>
      <c r="D336" s="852">
        <f>'Table 7'!E44</f>
        <v>20.87</v>
      </c>
      <c r="E336" s="850">
        <f t="shared" ref="E336:P336" si="201">SUM(E326:E335)</f>
        <v>24384</v>
      </c>
      <c r="F336" s="843">
        <f t="shared" si="201"/>
        <v>21.5</v>
      </c>
      <c r="G336" s="850">
        <f t="shared" si="201"/>
        <v>24958</v>
      </c>
      <c r="H336" s="852">
        <f t="shared" si="201"/>
        <v>22.43</v>
      </c>
      <c r="I336" s="850">
        <f t="shared" si="201"/>
        <v>25535</v>
      </c>
      <c r="J336" s="843">
        <f t="shared" si="201"/>
        <v>23.2</v>
      </c>
      <c r="K336" s="850">
        <f t="shared" si="201"/>
        <v>26103</v>
      </c>
      <c r="L336" s="852">
        <f t="shared" si="201"/>
        <v>24.12</v>
      </c>
      <c r="M336" s="850">
        <f t="shared" si="201"/>
        <v>26672</v>
      </c>
      <c r="N336" s="843">
        <f t="shared" si="201"/>
        <v>25.06</v>
      </c>
      <c r="O336" s="850">
        <f t="shared" si="201"/>
        <v>27241</v>
      </c>
      <c r="P336" s="843">
        <f t="shared" si="201"/>
        <v>26.03</v>
      </c>
      <c r="Q336" s="880">
        <f t="shared" si="191"/>
        <v>0.44</v>
      </c>
      <c r="R336" s="881">
        <f t="shared" si="192"/>
        <v>0.25</v>
      </c>
      <c r="S336" s="855">
        <f>SUM(S326:S335)</f>
        <v>33.01</v>
      </c>
      <c r="U336" s="850">
        <f t="shared" si="189"/>
        <v>8329</v>
      </c>
      <c r="V336" s="843">
        <f t="shared" si="190"/>
        <v>5.16</v>
      </c>
    </row>
    <row r="337" spans="1:22">
      <c r="A337" s="3435" t="s">
        <v>262</v>
      </c>
      <c r="B337" s="933" t="s">
        <v>553</v>
      </c>
      <c r="C337" s="971">
        <v>0</v>
      </c>
      <c r="D337" s="853">
        <f>(F337/$F$347)*$D$347</f>
        <v>0.04</v>
      </c>
      <c r="E337" s="847">
        <v>39</v>
      </c>
      <c r="F337" s="853">
        <v>0.04</v>
      </c>
      <c r="G337" s="847">
        <v>39</v>
      </c>
      <c r="H337" s="851">
        <v>0.04</v>
      </c>
      <c r="I337" s="847">
        <v>39</v>
      </c>
      <c r="J337" s="853">
        <v>0.04</v>
      </c>
      <c r="K337" s="847">
        <v>39</v>
      </c>
      <c r="L337" s="851">
        <v>0.04</v>
      </c>
      <c r="M337" s="847">
        <v>39</v>
      </c>
      <c r="N337" s="853">
        <v>0.04</v>
      </c>
      <c r="O337" s="847">
        <v>39</v>
      </c>
      <c r="P337" s="853">
        <v>0.04</v>
      </c>
      <c r="Q337" s="878" t="s">
        <v>16</v>
      </c>
      <c r="R337" s="879">
        <f t="shared" si="192"/>
        <v>0</v>
      </c>
      <c r="S337" s="854">
        <v>0.06</v>
      </c>
      <c r="U337" s="847">
        <f t="shared" si="189"/>
        <v>39</v>
      </c>
      <c r="V337" s="853">
        <f t="shared" si="190"/>
        <v>0</v>
      </c>
    </row>
    <row r="338" spans="1:22">
      <c r="A338" s="3436"/>
      <c r="B338" s="931" t="s">
        <v>554</v>
      </c>
      <c r="C338" s="972">
        <v>0</v>
      </c>
      <c r="D338" s="836">
        <f t="shared" ref="D338:D346" si="202">(F338/$F$347)*$D$347</f>
        <v>0</v>
      </c>
      <c r="E338" s="848">
        <v>0</v>
      </c>
      <c r="F338" s="835">
        <v>0</v>
      </c>
      <c r="G338" s="848">
        <v>0</v>
      </c>
      <c r="H338" s="836">
        <v>0</v>
      </c>
      <c r="I338" s="848">
        <v>0</v>
      </c>
      <c r="J338" s="835">
        <v>0</v>
      </c>
      <c r="K338" s="848">
        <v>0</v>
      </c>
      <c r="L338" s="836">
        <v>0</v>
      </c>
      <c r="M338" s="848">
        <v>0</v>
      </c>
      <c r="N338" s="835">
        <v>0</v>
      </c>
      <c r="O338" s="848">
        <v>0</v>
      </c>
      <c r="P338" s="835">
        <v>0</v>
      </c>
      <c r="Q338" s="859" t="s">
        <v>16</v>
      </c>
      <c r="R338" s="858" t="s">
        <v>16</v>
      </c>
      <c r="S338" s="841">
        <v>0</v>
      </c>
      <c r="U338" s="848">
        <f t="shared" si="189"/>
        <v>0</v>
      </c>
      <c r="V338" s="835">
        <f t="shared" si="190"/>
        <v>0</v>
      </c>
    </row>
    <row r="339" spans="1:22">
      <c r="A339" s="3436"/>
      <c r="B339" s="931" t="s">
        <v>555</v>
      </c>
      <c r="C339" s="972">
        <v>0</v>
      </c>
      <c r="D339" s="836">
        <f t="shared" si="202"/>
        <v>0</v>
      </c>
      <c r="E339" s="848">
        <v>0</v>
      </c>
      <c r="F339" s="835">
        <v>0</v>
      </c>
      <c r="G339" s="848">
        <v>0</v>
      </c>
      <c r="H339" s="836">
        <v>0</v>
      </c>
      <c r="I339" s="848">
        <v>0</v>
      </c>
      <c r="J339" s="835">
        <v>0</v>
      </c>
      <c r="K339" s="848">
        <v>0</v>
      </c>
      <c r="L339" s="836">
        <v>0</v>
      </c>
      <c r="M339" s="848">
        <v>0</v>
      </c>
      <c r="N339" s="835">
        <v>0</v>
      </c>
      <c r="O339" s="848">
        <v>0</v>
      </c>
      <c r="P339" s="835">
        <v>0</v>
      </c>
      <c r="Q339" s="859" t="s">
        <v>16</v>
      </c>
      <c r="R339" s="858" t="s">
        <v>16</v>
      </c>
      <c r="S339" s="841">
        <v>0</v>
      </c>
      <c r="U339" s="848">
        <f t="shared" si="189"/>
        <v>0</v>
      </c>
      <c r="V339" s="835">
        <f t="shared" si="190"/>
        <v>0</v>
      </c>
    </row>
    <row r="340" spans="1:22">
      <c r="A340" s="3436"/>
      <c r="B340" s="931" t="s">
        <v>556</v>
      </c>
      <c r="C340" s="972">
        <v>0</v>
      </c>
      <c r="D340" s="836">
        <f t="shared" si="202"/>
        <v>0</v>
      </c>
      <c r="E340" s="848">
        <v>0</v>
      </c>
      <c r="F340" s="835">
        <v>0</v>
      </c>
      <c r="G340" s="848">
        <v>0</v>
      </c>
      <c r="H340" s="836">
        <v>0</v>
      </c>
      <c r="I340" s="848">
        <v>0</v>
      </c>
      <c r="J340" s="835">
        <v>0</v>
      </c>
      <c r="K340" s="848">
        <v>0</v>
      </c>
      <c r="L340" s="836">
        <v>0</v>
      </c>
      <c r="M340" s="848">
        <v>0</v>
      </c>
      <c r="N340" s="835">
        <v>0</v>
      </c>
      <c r="O340" s="848">
        <v>0</v>
      </c>
      <c r="P340" s="835">
        <v>0</v>
      </c>
      <c r="Q340" s="859" t="s">
        <v>16</v>
      </c>
      <c r="R340" s="858" t="s">
        <v>16</v>
      </c>
      <c r="S340" s="841">
        <v>0</v>
      </c>
      <c r="U340" s="848">
        <f t="shared" si="189"/>
        <v>0</v>
      </c>
      <c r="V340" s="835">
        <f t="shared" si="190"/>
        <v>0</v>
      </c>
    </row>
    <row r="341" spans="1:22">
      <c r="A341" s="3436"/>
      <c r="B341" s="931" t="s">
        <v>557</v>
      </c>
      <c r="C341" s="972">
        <v>0</v>
      </c>
      <c r="D341" s="836">
        <f t="shared" si="202"/>
        <v>0</v>
      </c>
      <c r="E341" s="848">
        <v>0</v>
      </c>
      <c r="F341" s="835">
        <v>0</v>
      </c>
      <c r="G341" s="848">
        <v>0</v>
      </c>
      <c r="H341" s="836">
        <v>0</v>
      </c>
      <c r="I341" s="848">
        <v>0</v>
      </c>
      <c r="J341" s="835">
        <v>0</v>
      </c>
      <c r="K341" s="848">
        <v>0</v>
      </c>
      <c r="L341" s="836">
        <v>0</v>
      </c>
      <c r="M341" s="848">
        <v>0</v>
      </c>
      <c r="N341" s="835">
        <v>0</v>
      </c>
      <c r="O341" s="848">
        <v>0</v>
      </c>
      <c r="P341" s="835">
        <v>0</v>
      </c>
      <c r="Q341" s="859" t="s">
        <v>16</v>
      </c>
      <c r="R341" s="858" t="s">
        <v>16</v>
      </c>
      <c r="S341" s="841">
        <v>0</v>
      </c>
      <c r="U341" s="848">
        <f t="shared" si="189"/>
        <v>0</v>
      </c>
      <c r="V341" s="835">
        <f t="shared" si="190"/>
        <v>0</v>
      </c>
    </row>
    <row r="342" spans="1:22">
      <c r="A342" s="3436"/>
      <c r="B342" s="931" t="s">
        <v>558</v>
      </c>
      <c r="C342" s="972">
        <v>7</v>
      </c>
      <c r="D342" s="836">
        <f t="shared" si="202"/>
        <v>0.01</v>
      </c>
      <c r="E342" s="848">
        <v>7</v>
      </c>
      <c r="F342" s="835">
        <v>0.01</v>
      </c>
      <c r="G342" s="848">
        <v>7</v>
      </c>
      <c r="H342" s="836">
        <v>0.01</v>
      </c>
      <c r="I342" s="848">
        <v>7</v>
      </c>
      <c r="J342" s="835">
        <v>0.01</v>
      </c>
      <c r="K342" s="848">
        <v>7</v>
      </c>
      <c r="L342" s="836">
        <v>0.01</v>
      </c>
      <c r="M342" s="848">
        <v>7</v>
      </c>
      <c r="N342" s="835">
        <v>0.01</v>
      </c>
      <c r="O342" s="848">
        <v>7</v>
      </c>
      <c r="P342" s="835">
        <v>0.01</v>
      </c>
      <c r="Q342" s="859">
        <f t="shared" si="191"/>
        <v>0</v>
      </c>
      <c r="R342" s="858">
        <f t="shared" si="192"/>
        <v>0</v>
      </c>
      <c r="S342" s="841">
        <v>0.01</v>
      </c>
      <c r="U342" s="848">
        <f t="shared" si="189"/>
        <v>0</v>
      </c>
      <c r="V342" s="835">
        <f t="shared" si="190"/>
        <v>0</v>
      </c>
    </row>
    <row r="343" spans="1:22">
      <c r="A343" s="3436"/>
      <c r="B343" s="931" t="s">
        <v>559</v>
      </c>
      <c r="C343" s="972">
        <v>469</v>
      </c>
      <c r="D343" s="836">
        <f t="shared" si="202"/>
        <v>0.34</v>
      </c>
      <c r="E343" s="848">
        <v>469</v>
      </c>
      <c r="F343" s="835">
        <v>0.38</v>
      </c>
      <c r="G343" s="848">
        <v>469</v>
      </c>
      <c r="H343" s="836">
        <v>0.37</v>
      </c>
      <c r="I343" s="848">
        <v>469</v>
      </c>
      <c r="J343" s="835">
        <v>0.37</v>
      </c>
      <c r="K343" s="848">
        <v>469</v>
      </c>
      <c r="L343" s="836">
        <v>0.36</v>
      </c>
      <c r="M343" s="848">
        <v>469</v>
      </c>
      <c r="N343" s="835">
        <v>0.36</v>
      </c>
      <c r="O343" s="848">
        <v>469</v>
      </c>
      <c r="P343" s="835">
        <v>0.35</v>
      </c>
      <c r="Q343" s="859">
        <f t="shared" si="191"/>
        <v>0</v>
      </c>
      <c r="R343" s="858">
        <f t="shared" si="192"/>
        <v>0.03</v>
      </c>
      <c r="S343" s="841">
        <v>0.48</v>
      </c>
      <c r="U343" s="848">
        <f t="shared" si="189"/>
        <v>0</v>
      </c>
      <c r="V343" s="835">
        <f t="shared" si="190"/>
        <v>0.01</v>
      </c>
    </row>
    <row r="344" spans="1:22">
      <c r="A344" s="3436"/>
      <c r="B344" s="931" t="s">
        <v>560</v>
      </c>
      <c r="C344" s="972">
        <v>0</v>
      </c>
      <c r="D344" s="836">
        <f t="shared" si="202"/>
        <v>0</v>
      </c>
      <c r="E344" s="848">
        <v>0</v>
      </c>
      <c r="F344" s="835">
        <v>0</v>
      </c>
      <c r="G344" s="848">
        <v>0</v>
      </c>
      <c r="H344" s="836">
        <v>0</v>
      </c>
      <c r="I344" s="848">
        <v>0</v>
      </c>
      <c r="J344" s="835">
        <v>0</v>
      </c>
      <c r="K344" s="848">
        <v>0</v>
      </c>
      <c r="L344" s="836">
        <v>0</v>
      </c>
      <c r="M344" s="848">
        <v>0</v>
      </c>
      <c r="N344" s="835">
        <v>0</v>
      </c>
      <c r="O344" s="848">
        <v>0</v>
      </c>
      <c r="P344" s="835">
        <v>0</v>
      </c>
      <c r="Q344" s="859" t="s">
        <v>16</v>
      </c>
      <c r="R344" s="858" t="s">
        <v>16</v>
      </c>
      <c r="S344" s="841">
        <v>0</v>
      </c>
      <c r="U344" s="848">
        <f t="shared" si="189"/>
        <v>0</v>
      </c>
      <c r="V344" s="835">
        <f t="shared" si="190"/>
        <v>0</v>
      </c>
    </row>
    <row r="345" spans="1:22">
      <c r="A345" s="3436"/>
      <c r="B345" s="931" t="s">
        <v>561</v>
      </c>
      <c r="C345" s="972">
        <v>0</v>
      </c>
      <c r="D345" s="836">
        <f t="shared" si="202"/>
        <v>0</v>
      </c>
      <c r="E345" s="848">
        <v>0</v>
      </c>
      <c r="F345" s="835">
        <v>0</v>
      </c>
      <c r="G345" s="848">
        <v>0</v>
      </c>
      <c r="H345" s="836">
        <v>0</v>
      </c>
      <c r="I345" s="848">
        <v>0</v>
      </c>
      <c r="J345" s="835">
        <v>0</v>
      </c>
      <c r="K345" s="848">
        <v>0</v>
      </c>
      <c r="L345" s="836">
        <v>0</v>
      </c>
      <c r="M345" s="848">
        <v>0</v>
      </c>
      <c r="N345" s="835">
        <v>0</v>
      </c>
      <c r="O345" s="848">
        <v>0</v>
      </c>
      <c r="P345" s="835">
        <v>0</v>
      </c>
      <c r="Q345" s="859" t="s">
        <v>16</v>
      </c>
      <c r="R345" s="858" t="s">
        <v>16</v>
      </c>
      <c r="S345" s="841">
        <v>0</v>
      </c>
      <c r="U345" s="848">
        <f t="shared" si="189"/>
        <v>0</v>
      </c>
      <c r="V345" s="835">
        <f t="shared" si="190"/>
        <v>0</v>
      </c>
    </row>
    <row r="346" spans="1:22" ht="15.75" thickBot="1">
      <c r="A346" s="3436"/>
      <c r="B346" s="932" t="s">
        <v>562</v>
      </c>
      <c r="C346" s="1880">
        <v>0</v>
      </c>
      <c r="D346" s="1881">
        <f t="shared" si="202"/>
        <v>0.08</v>
      </c>
      <c r="E346" s="849">
        <v>0</v>
      </c>
      <c r="F346" s="1885">
        <v>0.09</v>
      </c>
      <c r="G346" s="849">
        <v>0</v>
      </c>
      <c r="H346" s="1881">
        <f>F346</f>
        <v>0.09</v>
      </c>
      <c r="I346" s="849">
        <v>0</v>
      </c>
      <c r="J346" s="1885">
        <f>H346</f>
        <v>0.09</v>
      </c>
      <c r="K346" s="849">
        <v>0</v>
      </c>
      <c r="L346" s="1881">
        <f>J346</f>
        <v>0.09</v>
      </c>
      <c r="M346" s="849">
        <v>0</v>
      </c>
      <c r="N346" s="1885">
        <f>L346</f>
        <v>0.09</v>
      </c>
      <c r="O346" s="849">
        <v>0</v>
      </c>
      <c r="P346" s="1885">
        <v>0.09</v>
      </c>
      <c r="Q346" s="1886" t="s">
        <v>16</v>
      </c>
      <c r="R346" s="1888">
        <f t="shared" ref="R346:R347" si="203">(P346-D346)/D346</f>
        <v>0.13</v>
      </c>
      <c r="S346" s="846">
        <f>N346</f>
        <v>0.09</v>
      </c>
      <c r="U346" s="849">
        <f t="shared" si="189"/>
        <v>0</v>
      </c>
      <c r="V346" s="1885">
        <f t="shared" si="190"/>
        <v>0.01</v>
      </c>
    </row>
    <row r="347" spans="1:22" ht="16.5" thickTop="1" thickBot="1">
      <c r="A347" s="3437"/>
      <c r="B347" s="842" t="s">
        <v>18</v>
      </c>
      <c r="C347" s="973">
        <f>SUM(C337:C346)</f>
        <v>476</v>
      </c>
      <c r="D347" s="852">
        <f>'Table 7'!E45</f>
        <v>0.46</v>
      </c>
      <c r="E347" s="850">
        <f t="shared" ref="E347:P347" si="204">SUM(E337:E346)</f>
        <v>515</v>
      </c>
      <c r="F347" s="843">
        <f t="shared" si="204"/>
        <v>0.52</v>
      </c>
      <c r="G347" s="850">
        <f t="shared" si="204"/>
        <v>515</v>
      </c>
      <c r="H347" s="852">
        <f t="shared" si="204"/>
        <v>0.51</v>
      </c>
      <c r="I347" s="850">
        <f t="shared" si="204"/>
        <v>515</v>
      </c>
      <c r="J347" s="843">
        <f t="shared" si="204"/>
        <v>0.51</v>
      </c>
      <c r="K347" s="850">
        <f t="shared" si="204"/>
        <v>515</v>
      </c>
      <c r="L347" s="852">
        <f t="shared" si="204"/>
        <v>0.5</v>
      </c>
      <c r="M347" s="850">
        <f t="shared" si="204"/>
        <v>515</v>
      </c>
      <c r="N347" s="843">
        <f t="shared" si="204"/>
        <v>0.5</v>
      </c>
      <c r="O347" s="850">
        <f t="shared" si="204"/>
        <v>515</v>
      </c>
      <c r="P347" s="843">
        <f t="shared" si="204"/>
        <v>0.49</v>
      </c>
      <c r="Q347" s="880">
        <f t="shared" ref="Q347" si="205">(O347-C347)/C347</f>
        <v>0.08</v>
      </c>
      <c r="R347" s="881">
        <f t="shared" si="203"/>
        <v>7.0000000000000007E-2</v>
      </c>
      <c r="S347" s="855">
        <f>SUM(S337:S346)</f>
        <v>0.64</v>
      </c>
      <c r="U347" s="850">
        <f t="shared" ref="U347:U358" si="206">O347-C347</f>
        <v>39</v>
      </c>
      <c r="V347" s="843">
        <f t="shared" ref="V347:V358" si="207">P347-D347</f>
        <v>0.03</v>
      </c>
    </row>
    <row r="348" spans="1:22">
      <c r="A348" s="3435" t="s">
        <v>576</v>
      </c>
      <c r="B348" s="933" t="s">
        <v>553</v>
      </c>
      <c r="C348" s="971">
        <f t="shared" ref="C348:C358" si="208">C279+C290+C301+C312+C326+C337</f>
        <v>0</v>
      </c>
      <c r="D348" s="851">
        <f t="shared" ref="D348:P348" si="209">D279+D290+D301+D312+D326+D337</f>
        <v>0.06</v>
      </c>
      <c r="E348" s="847">
        <f t="shared" si="209"/>
        <v>66</v>
      </c>
      <c r="F348" s="853">
        <f t="shared" si="209"/>
        <v>0.06</v>
      </c>
      <c r="G348" s="847">
        <f t="shared" si="209"/>
        <v>66</v>
      </c>
      <c r="H348" s="851">
        <f t="shared" si="209"/>
        <v>7.0000000000000007E-2</v>
      </c>
      <c r="I348" s="847">
        <f t="shared" si="209"/>
        <v>66</v>
      </c>
      <c r="J348" s="853">
        <f t="shared" si="209"/>
        <v>7.0000000000000007E-2</v>
      </c>
      <c r="K348" s="847">
        <f t="shared" si="209"/>
        <v>66</v>
      </c>
      <c r="L348" s="851">
        <f t="shared" si="209"/>
        <v>7.0000000000000007E-2</v>
      </c>
      <c r="M348" s="847">
        <f t="shared" si="209"/>
        <v>66</v>
      </c>
      <c r="N348" s="853">
        <f t="shared" si="209"/>
        <v>7.0000000000000007E-2</v>
      </c>
      <c r="O348" s="847">
        <f t="shared" si="209"/>
        <v>66</v>
      </c>
      <c r="P348" s="853">
        <f t="shared" si="209"/>
        <v>7.0000000000000007E-2</v>
      </c>
      <c r="Q348" s="878" t="s">
        <v>16</v>
      </c>
      <c r="R348" s="879">
        <f t="shared" ref="R348:R358" si="210">(P348-D348)/D348</f>
        <v>0.17</v>
      </c>
      <c r="S348" s="854">
        <f t="shared" ref="S348" si="211">S279+S290+S301+S312+S326+S337</f>
        <v>0.1</v>
      </c>
      <c r="U348" s="847">
        <f t="shared" si="206"/>
        <v>66</v>
      </c>
      <c r="V348" s="853">
        <f t="shared" si="207"/>
        <v>0.01</v>
      </c>
    </row>
    <row r="349" spans="1:22">
      <c r="A349" s="3436"/>
      <c r="B349" s="931" t="s">
        <v>554</v>
      </c>
      <c r="C349" s="972">
        <f t="shared" si="208"/>
        <v>131</v>
      </c>
      <c r="D349" s="836">
        <f t="shared" ref="D349:P349" si="212">D280+D291+D302+D313+D327+D338</f>
        <v>0.73</v>
      </c>
      <c r="E349" s="848">
        <f t="shared" si="212"/>
        <v>373</v>
      </c>
      <c r="F349" s="835">
        <f t="shared" si="212"/>
        <v>0.67</v>
      </c>
      <c r="G349" s="848">
        <f t="shared" si="212"/>
        <v>920</v>
      </c>
      <c r="H349" s="836">
        <f t="shared" si="212"/>
        <v>1.66</v>
      </c>
      <c r="I349" s="848">
        <f t="shared" si="212"/>
        <v>1441</v>
      </c>
      <c r="J349" s="835">
        <f t="shared" si="212"/>
        <v>2.59</v>
      </c>
      <c r="K349" s="848">
        <f t="shared" si="212"/>
        <v>1806</v>
      </c>
      <c r="L349" s="836">
        <f t="shared" si="212"/>
        <v>3.23</v>
      </c>
      <c r="M349" s="848">
        <f t="shared" si="212"/>
        <v>2098</v>
      </c>
      <c r="N349" s="835">
        <f t="shared" si="212"/>
        <v>3.75</v>
      </c>
      <c r="O349" s="848">
        <f t="shared" si="212"/>
        <v>2503</v>
      </c>
      <c r="P349" s="835">
        <f t="shared" si="212"/>
        <v>4.4800000000000004</v>
      </c>
      <c r="Q349" s="859">
        <f t="shared" ref="Q349:Q358" si="213">(O349-C349)/C349</f>
        <v>18.11</v>
      </c>
      <c r="R349" s="858">
        <f t="shared" si="210"/>
        <v>5.14</v>
      </c>
      <c r="S349" s="841">
        <f t="shared" ref="S349" si="214">S280+S291+S302+S313+S327+S338</f>
        <v>6.32</v>
      </c>
      <c r="U349" s="848">
        <f t="shared" si="206"/>
        <v>2372</v>
      </c>
      <c r="V349" s="835">
        <f t="shared" si="207"/>
        <v>3.75</v>
      </c>
    </row>
    <row r="350" spans="1:22">
      <c r="A350" s="3436"/>
      <c r="B350" s="931" t="s">
        <v>555</v>
      </c>
      <c r="C350" s="972">
        <f t="shared" si="208"/>
        <v>0</v>
      </c>
      <c r="D350" s="836">
        <f t="shared" ref="D350:P350" si="215">D281+D292+D303+D314+D328+D339</f>
        <v>0</v>
      </c>
      <c r="E350" s="848">
        <f t="shared" si="215"/>
        <v>0</v>
      </c>
      <c r="F350" s="835">
        <f t="shared" si="215"/>
        <v>0</v>
      </c>
      <c r="G350" s="848">
        <f t="shared" si="215"/>
        <v>57</v>
      </c>
      <c r="H350" s="836">
        <f t="shared" si="215"/>
        <v>0.06</v>
      </c>
      <c r="I350" s="848">
        <f t="shared" si="215"/>
        <v>248</v>
      </c>
      <c r="J350" s="835">
        <f t="shared" si="215"/>
        <v>0.28000000000000003</v>
      </c>
      <c r="K350" s="848">
        <f t="shared" si="215"/>
        <v>294</v>
      </c>
      <c r="L350" s="836">
        <f t="shared" si="215"/>
        <v>0.34</v>
      </c>
      <c r="M350" s="848">
        <f t="shared" si="215"/>
        <v>384</v>
      </c>
      <c r="N350" s="835">
        <f t="shared" si="215"/>
        <v>0.44</v>
      </c>
      <c r="O350" s="848">
        <f t="shared" si="215"/>
        <v>435</v>
      </c>
      <c r="P350" s="835">
        <f t="shared" si="215"/>
        <v>0.5</v>
      </c>
      <c r="Q350" s="859" t="s">
        <v>16</v>
      </c>
      <c r="R350" s="858" t="s">
        <v>16</v>
      </c>
      <c r="S350" s="841">
        <f t="shared" ref="S350" si="216">S281+S292+S303+S314+S328+S339</f>
        <v>0.72</v>
      </c>
      <c r="U350" s="848">
        <f t="shared" si="206"/>
        <v>435</v>
      </c>
      <c r="V350" s="835">
        <f t="shared" si="207"/>
        <v>0.5</v>
      </c>
    </row>
    <row r="351" spans="1:22">
      <c r="A351" s="3436"/>
      <c r="B351" s="931" t="s">
        <v>556</v>
      </c>
      <c r="C351" s="972">
        <f t="shared" si="208"/>
        <v>3814</v>
      </c>
      <c r="D351" s="836">
        <f t="shared" ref="D351:P351" si="217">D282+D293+D304+D315+D329+D340</f>
        <v>8.5299999999999994</v>
      </c>
      <c r="E351" s="848">
        <f t="shared" si="217"/>
        <v>6514</v>
      </c>
      <c r="F351" s="835">
        <f t="shared" si="217"/>
        <v>8.41</v>
      </c>
      <c r="G351" s="848">
        <f t="shared" si="217"/>
        <v>7755</v>
      </c>
      <c r="H351" s="836">
        <f t="shared" si="217"/>
        <v>10.06</v>
      </c>
      <c r="I351" s="848">
        <f t="shared" si="217"/>
        <v>8785</v>
      </c>
      <c r="J351" s="835">
        <f t="shared" si="217"/>
        <v>11.43</v>
      </c>
      <c r="K351" s="848">
        <f t="shared" si="217"/>
        <v>9434</v>
      </c>
      <c r="L351" s="836">
        <f t="shared" si="217"/>
        <v>12.33</v>
      </c>
      <c r="M351" s="848">
        <f t="shared" si="217"/>
        <v>10158</v>
      </c>
      <c r="N351" s="835">
        <f t="shared" si="217"/>
        <v>13.34</v>
      </c>
      <c r="O351" s="848">
        <f t="shared" si="217"/>
        <v>10856</v>
      </c>
      <c r="P351" s="835">
        <f t="shared" si="217"/>
        <v>14.29</v>
      </c>
      <c r="Q351" s="859">
        <f t="shared" si="213"/>
        <v>1.85</v>
      </c>
      <c r="R351" s="858">
        <f t="shared" si="210"/>
        <v>0.68</v>
      </c>
      <c r="S351" s="841">
        <f t="shared" ref="S351" si="218">S282+S293+S304+S315+S329+S340</f>
        <v>18.72</v>
      </c>
      <c r="U351" s="848">
        <f t="shared" si="206"/>
        <v>7042</v>
      </c>
      <c r="V351" s="835">
        <f t="shared" si="207"/>
        <v>5.76</v>
      </c>
    </row>
    <row r="352" spans="1:22">
      <c r="A352" s="3436"/>
      <c r="B352" s="931" t="s">
        <v>557</v>
      </c>
      <c r="C352" s="972">
        <f t="shared" si="208"/>
        <v>37900</v>
      </c>
      <c r="D352" s="836">
        <f t="shared" ref="D352:P352" si="219">D283+D294+D305+D316+D330+D341</f>
        <v>34.950000000000003</v>
      </c>
      <c r="E352" s="848">
        <f t="shared" si="219"/>
        <v>45077</v>
      </c>
      <c r="F352" s="835">
        <f t="shared" si="219"/>
        <v>33.590000000000003</v>
      </c>
      <c r="G352" s="848">
        <f t="shared" si="219"/>
        <v>45491</v>
      </c>
      <c r="H352" s="836">
        <f t="shared" si="219"/>
        <v>34.14</v>
      </c>
      <c r="I352" s="848">
        <f t="shared" si="219"/>
        <v>46110</v>
      </c>
      <c r="J352" s="835">
        <f t="shared" si="219"/>
        <v>34.86</v>
      </c>
      <c r="K352" s="848">
        <f t="shared" si="219"/>
        <v>46930</v>
      </c>
      <c r="L352" s="836">
        <f t="shared" si="219"/>
        <v>35.93</v>
      </c>
      <c r="M352" s="848">
        <f t="shared" si="219"/>
        <v>47774</v>
      </c>
      <c r="N352" s="835">
        <f t="shared" si="219"/>
        <v>36.97</v>
      </c>
      <c r="O352" s="848">
        <f t="shared" si="219"/>
        <v>48391</v>
      </c>
      <c r="P352" s="835">
        <f t="shared" si="219"/>
        <v>37.82</v>
      </c>
      <c r="Q352" s="859">
        <f t="shared" si="213"/>
        <v>0.28000000000000003</v>
      </c>
      <c r="R352" s="858">
        <f t="shared" si="210"/>
        <v>0.08</v>
      </c>
      <c r="S352" s="841">
        <f t="shared" ref="S352" si="220">S283+S294+S305+S316+S330+S341</f>
        <v>48.02</v>
      </c>
      <c r="U352" s="848">
        <f t="shared" si="206"/>
        <v>10491</v>
      </c>
      <c r="V352" s="835">
        <f t="shared" si="207"/>
        <v>2.87</v>
      </c>
    </row>
    <row r="353" spans="1:22">
      <c r="A353" s="3436"/>
      <c r="B353" s="931" t="s">
        <v>558</v>
      </c>
      <c r="C353" s="972">
        <f t="shared" si="208"/>
        <v>1677</v>
      </c>
      <c r="D353" s="836">
        <f t="shared" ref="D353:P353" si="221">D284+D295+D306+D317+D331+D342</f>
        <v>4.5199999999999996</v>
      </c>
      <c r="E353" s="848">
        <f t="shared" si="221"/>
        <v>1769</v>
      </c>
      <c r="F353" s="835">
        <f t="shared" si="221"/>
        <v>4.25</v>
      </c>
      <c r="G353" s="848">
        <f t="shared" si="221"/>
        <v>1979</v>
      </c>
      <c r="H353" s="836">
        <f t="shared" si="221"/>
        <v>4.72</v>
      </c>
      <c r="I353" s="848">
        <f t="shared" si="221"/>
        <v>2018</v>
      </c>
      <c r="J353" s="835">
        <f t="shared" si="221"/>
        <v>4.82</v>
      </c>
      <c r="K353" s="848">
        <f t="shared" si="221"/>
        <v>2312</v>
      </c>
      <c r="L353" s="836">
        <f t="shared" si="221"/>
        <v>5.48</v>
      </c>
      <c r="M353" s="848">
        <f t="shared" si="221"/>
        <v>2753</v>
      </c>
      <c r="N353" s="835">
        <f t="shared" si="221"/>
        <v>6.47</v>
      </c>
      <c r="O353" s="848">
        <f t="shared" si="221"/>
        <v>3223</v>
      </c>
      <c r="P353" s="835">
        <f t="shared" si="221"/>
        <v>7.42</v>
      </c>
      <c r="Q353" s="859">
        <f t="shared" si="213"/>
        <v>0.92</v>
      </c>
      <c r="R353" s="858">
        <f t="shared" si="210"/>
        <v>0.64</v>
      </c>
      <c r="S353" s="841">
        <f t="shared" ref="S353" si="222">S284+S295+S306+S317+S331+S342</f>
        <v>8.5</v>
      </c>
      <c r="U353" s="848">
        <f t="shared" si="206"/>
        <v>1546</v>
      </c>
      <c r="V353" s="835">
        <f t="shared" si="207"/>
        <v>2.9</v>
      </c>
    </row>
    <row r="354" spans="1:22">
      <c r="A354" s="3436"/>
      <c r="B354" s="931" t="s">
        <v>559</v>
      </c>
      <c r="C354" s="972">
        <f t="shared" si="208"/>
        <v>4058</v>
      </c>
      <c r="D354" s="836">
        <f t="shared" ref="D354:P354" si="223">D285+D296+D307+D318+D332+D343</f>
        <v>4.95</v>
      </c>
      <c r="E354" s="848">
        <f t="shared" si="223"/>
        <v>5259</v>
      </c>
      <c r="F354" s="835">
        <f t="shared" si="223"/>
        <v>4.88</v>
      </c>
      <c r="G354" s="848">
        <f t="shared" si="223"/>
        <v>5500</v>
      </c>
      <c r="H354" s="836">
        <f t="shared" si="223"/>
        <v>5.04</v>
      </c>
      <c r="I354" s="848">
        <f t="shared" si="223"/>
        <v>5839</v>
      </c>
      <c r="J354" s="835">
        <f t="shared" si="223"/>
        <v>5.23</v>
      </c>
      <c r="K354" s="848">
        <f t="shared" si="223"/>
        <v>5998</v>
      </c>
      <c r="L354" s="836">
        <f t="shared" si="223"/>
        <v>5.38</v>
      </c>
      <c r="M354" s="848">
        <f t="shared" si="223"/>
        <v>6242</v>
      </c>
      <c r="N354" s="835">
        <f t="shared" si="223"/>
        <v>5.59</v>
      </c>
      <c r="O354" s="848">
        <f t="shared" si="223"/>
        <v>6324</v>
      </c>
      <c r="P354" s="835">
        <f t="shared" si="223"/>
        <v>5.55</v>
      </c>
      <c r="Q354" s="859">
        <f t="shared" si="213"/>
        <v>0.56000000000000005</v>
      </c>
      <c r="R354" s="858">
        <f t="shared" si="210"/>
        <v>0.12</v>
      </c>
      <c r="S354" s="841">
        <f t="shared" ref="S354" si="224">S285+S296+S307+S318+S332+S343</f>
        <v>7.56</v>
      </c>
      <c r="U354" s="848">
        <f t="shared" si="206"/>
        <v>2266</v>
      </c>
      <c r="V354" s="835">
        <f t="shared" si="207"/>
        <v>0.6</v>
      </c>
    </row>
    <row r="355" spans="1:22">
      <c r="A355" s="3436"/>
      <c r="B355" s="931" t="s">
        <v>560</v>
      </c>
      <c r="C355" s="972">
        <f t="shared" si="208"/>
        <v>814</v>
      </c>
      <c r="D355" s="836">
        <f t="shared" ref="D355:P355" si="225">D286+D297+D308+D319+D333+D344</f>
        <v>0.2</v>
      </c>
      <c r="E355" s="848">
        <f t="shared" si="225"/>
        <v>191</v>
      </c>
      <c r="F355" s="835">
        <f t="shared" si="225"/>
        <v>0.16</v>
      </c>
      <c r="G355" s="848">
        <f t="shared" si="225"/>
        <v>191</v>
      </c>
      <c r="H355" s="836">
        <f t="shared" si="225"/>
        <v>0.16</v>
      </c>
      <c r="I355" s="848">
        <f t="shared" si="225"/>
        <v>191</v>
      </c>
      <c r="J355" s="835">
        <f t="shared" si="225"/>
        <v>0.16</v>
      </c>
      <c r="K355" s="848">
        <f t="shared" si="225"/>
        <v>191</v>
      </c>
      <c r="L355" s="836">
        <f t="shared" si="225"/>
        <v>0.16</v>
      </c>
      <c r="M355" s="848">
        <f t="shared" si="225"/>
        <v>191</v>
      </c>
      <c r="N355" s="835">
        <f t="shared" si="225"/>
        <v>0.16</v>
      </c>
      <c r="O355" s="848">
        <f t="shared" si="225"/>
        <v>191</v>
      </c>
      <c r="P355" s="835">
        <f t="shared" si="225"/>
        <v>0.16</v>
      </c>
      <c r="Q355" s="859">
        <f t="shared" si="213"/>
        <v>-0.77</v>
      </c>
      <c r="R355" s="858">
        <f t="shared" si="210"/>
        <v>-0.2</v>
      </c>
      <c r="S355" s="841">
        <f t="shared" ref="S355" si="226">S286+S297+S308+S319+S333+S344</f>
        <v>0.19</v>
      </c>
      <c r="U355" s="848">
        <f t="shared" si="206"/>
        <v>-623</v>
      </c>
      <c r="V355" s="835">
        <f t="shared" si="207"/>
        <v>-0.04</v>
      </c>
    </row>
    <row r="356" spans="1:22">
      <c r="A356" s="3436"/>
      <c r="B356" s="931" t="s">
        <v>561</v>
      </c>
      <c r="C356" s="972">
        <f t="shared" si="208"/>
        <v>0</v>
      </c>
      <c r="D356" s="836">
        <f t="shared" ref="D356:P356" si="227">D287+D298+D309+D320+D334+D345</f>
        <v>0</v>
      </c>
      <c r="E356" s="848">
        <f t="shared" si="227"/>
        <v>0</v>
      </c>
      <c r="F356" s="835">
        <f t="shared" si="227"/>
        <v>0</v>
      </c>
      <c r="G356" s="848">
        <f t="shared" si="227"/>
        <v>0</v>
      </c>
      <c r="H356" s="836">
        <f t="shared" si="227"/>
        <v>0</v>
      </c>
      <c r="I356" s="848">
        <f t="shared" si="227"/>
        <v>0</v>
      </c>
      <c r="J356" s="835">
        <f t="shared" si="227"/>
        <v>0</v>
      </c>
      <c r="K356" s="848">
        <f t="shared" si="227"/>
        <v>0</v>
      </c>
      <c r="L356" s="836">
        <f t="shared" si="227"/>
        <v>0</v>
      </c>
      <c r="M356" s="848">
        <f t="shared" si="227"/>
        <v>0</v>
      </c>
      <c r="N356" s="835">
        <f t="shared" si="227"/>
        <v>0</v>
      </c>
      <c r="O356" s="848">
        <f t="shared" si="227"/>
        <v>0</v>
      </c>
      <c r="P356" s="835">
        <f t="shared" si="227"/>
        <v>0</v>
      </c>
      <c r="Q356" s="859" t="s">
        <v>16</v>
      </c>
      <c r="R356" s="858" t="s">
        <v>16</v>
      </c>
      <c r="S356" s="841">
        <f t="shared" ref="S356" si="228">S287+S298+S309+S320+S334+S345</f>
        <v>0</v>
      </c>
      <c r="U356" s="848">
        <f t="shared" si="206"/>
        <v>0</v>
      </c>
      <c r="V356" s="835">
        <f t="shared" si="207"/>
        <v>0</v>
      </c>
    </row>
    <row r="357" spans="1:22" ht="15.75" thickBot="1">
      <c r="A357" s="3436"/>
      <c r="B357" s="932" t="s">
        <v>562</v>
      </c>
      <c r="C357" s="1880">
        <f t="shared" si="208"/>
        <v>0</v>
      </c>
      <c r="D357" s="1881">
        <f t="shared" ref="D357:P357" si="229">D288+D299+D310+D321+D335+D346</f>
        <v>4.07</v>
      </c>
      <c r="E357" s="849">
        <f t="shared" si="229"/>
        <v>0</v>
      </c>
      <c r="F357" s="1885">
        <f t="shared" si="229"/>
        <v>3.98</v>
      </c>
      <c r="G357" s="849">
        <f t="shared" si="229"/>
        <v>0</v>
      </c>
      <c r="H357" s="1881">
        <f t="shared" si="229"/>
        <v>3.98</v>
      </c>
      <c r="I357" s="849">
        <f t="shared" si="229"/>
        <v>0</v>
      </c>
      <c r="J357" s="1885">
        <f t="shared" si="229"/>
        <v>3.98</v>
      </c>
      <c r="K357" s="849">
        <f t="shared" si="229"/>
        <v>0</v>
      </c>
      <c r="L357" s="1881">
        <f t="shared" si="229"/>
        <v>3.98</v>
      </c>
      <c r="M357" s="849">
        <f t="shared" si="229"/>
        <v>0</v>
      </c>
      <c r="N357" s="1885">
        <f t="shared" si="229"/>
        <v>3.98</v>
      </c>
      <c r="O357" s="849">
        <f t="shared" si="229"/>
        <v>0</v>
      </c>
      <c r="P357" s="1885">
        <f t="shared" si="229"/>
        <v>3.98</v>
      </c>
      <c r="Q357" s="1886" t="s">
        <v>16</v>
      </c>
      <c r="R357" s="1888">
        <f t="shared" si="210"/>
        <v>-0.02</v>
      </c>
      <c r="S357" s="846">
        <f t="shared" ref="S357" si="230">S288+S299+S310+S321+S335+S346</f>
        <v>3.98</v>
      </c>
      <c r="U357" s="849">
        <f t="shared" si="206"/>
        <v>0</v>
      </c>
      <c r="V357" s="1885">
        <f t="shared" si="207"/>
        <v>-0.09</v>
      </c>
    </row>
    <row r="358" spans="1:22" ht="16.5" thickTop="1" thickBot="1">
      <c r="A358" s="3437"/>
      <c r="B358" s="842" t="s">
        <v>18</v>
      </c>
      <c r="C358" s="973">
        <f t="shared" si="208"/>
        <v>48394</v>
      </c>
      <c r="D358" s="852">
        <f t="shared" ref="D358:P358" si="231">D289+D300+D311+D322+D336+D347</f>
        <v>57.99</v>
      </c>
      <c r="E358" s="850">
        <f t="shared" si="231"/>
        <v>59249</v>
      </c>
      <c r="F358" s="843">
        <f t="shared" si="231"/>
        <v>56</v>
      </c>
      <c r="G358" s="850">
        <f t="shared" si="231"/>
        <v>61959</v>
      </c>
      <c r="H358" s="852">
        <f t="shared" si="231"/>
        <v>59.89</v>
      </c>
      <c r="I358" s="850">
        <f t="shared" si="231"/>
        <v>64698</v>
      </c>
      <c r="J358" s="843">
        <f t="shared" si="231"/>
        <v>63.42</v>
      </c>
      <c r="K358" s="850">
        <f t="shared" si="231"/>
        <v>67031</v>
      </c>
      <c r="L358" s="852">
        <f t="shared" si="231"/>
        <v>66.900000000000006</v>
      </c>
      <c r="M358" s="850">
        <f t="shared" si="231"/>
        <v>69666</v>
      </c>
      <c r="N358" s="843">
        <f t="shared" si="231"/>
        <v>70.77</v>
      </c>
      <c r="O358" s="850">
        <f t="shared" si="231"/>
        <v>71989</v>
      </c>
      <c r="P358" s="843">
        <f t="shared" si="231"/>
        <v>74.27</v>
      </c>
      <c r="Q358" s="880">
        <f t="shared" si="213"/>
        <v>0.49</v>
      </c>
      <c r="R358" s="881">
        <f t="shared" si="210"/>
        <v>0.28000000000000003</v>
      </c>
      <c r="S358" s="855">
        <f t="shared" ref="S358" si="232">S289+S300+S311+S322+S336+S347</f>
        <v>94.11</v>
      </c>
      <c r="U358" s="850">
        <f t="shared" si="206"/>
        <v>23595</v>
      </c>
      <c r="V358" s="843">
        <f t="shared" si="207"/>
        <v>16.28</v>
      </c>
    </row>
    <row r="359" spans="1:22">
      <c r="A359" s="89" t="s">
        <v>35</v>
      </c>
    </row>
    <row r="360" spans="1:22">
      <c r="A360" s="1" t="s">
        <v>68</v>
      </c>
      <c r="Q360" t="s">
        <v>36</v>
      </c>
    </row>
    <row r="361" spans="1:22">
      <c r="A361" s="1" t="s">
        <v>69</v>
      </c>
      <c r="C361" s="935"/>
      <c r="E361" s="862"/>
      <c r="G361" s="862"/>
      <c r="I361" s="862"/>
      <c r="K361" s="862"/>
      <c r="M361" s="862"/>
    </row>
    <row r="362" spans="1:22" ht="15" customHeight="1">
      <c r="A362" s="3304" t="s">
        <v>572</v>
      </c>
      <c r="B362" s="3304"/>
      <c r="C362" s="3304"/>
      <c r="D362" s="3304"/>
      <c r="E362" s="3304"/>
      <c r="F362" s="3304"/>
      <c r="G362" s="3304"/>
      <c r="H362" s="3304"/>
      <c r="I362" s="3304"/>
      <c r="J362" s="3304"/>
      <c r="K362" s="3304"/>
      <c r="L362" s="3304"/>
      <c r="M362" s="3304"/>
      <c r="N362" s="3304"/>
      <c r="O362" s="3304"/>
      <c r="P362" s="3304"/>
      <c r="Q362" s="3304"/>
      <c r="R362" s="3304"/>
      <c r="S362" s="3304"/>
    </row>
    <row r="363" spans="1:22">
      <c r="A363" s="255" t="s">
        <v>535</v>
      </c>
      <c r="B363" s="3025"/>
      <c r="C363" s="3025"/>
      <c r="D363" s="3025"/>
      <c r="E363" s="3025"/>
      <c r="F363" s="3025"/>
      <c r="G363" s="3025"/>
      <c r="H363" s="3025"/>
      <c r="I363" s="3025"/>
      <c r="J363" s="3025"/>
      <c r="K363" s="3025"/>
      <c r="L363" s="3025"/>
      <c r="M363" s="3025"/>
      <c r="N363" s="3025"/>
      <c r="O363" s="3025"/>
      <c r="P363" s="3025"/>
      <c r="Q363" s="3025"/>
      <c r="R363" s="3025"/>
      <c r="S363" s="3025"/>
    </row>
    <row r="364" spans="1:22">
      <c r="A364" s="3304" t="s">
        <v>573</v>
      </c>
      <c r="B364" s="3304"/>
      <c r="C364" s="3304"/>
      <c r="D364" s="3304"/>
      <c r="E364" s="3304"/>
      <c r="F364" s="3304"/>
      <c r="G364" s="3304"/>
      <c r="H364" s="3304"/>
      <c r="I364" s="3304"/>
      <c r="J364" s="3304"/>
      <c r="K364" s="3304"/>
      <c r="L364" s="3304"/>
      <c r="M364" s="3304"/>
      <c r="N364" s="3304"/>
      <c r="O364" s="3304"/>
      <c r="P364" s="3304"/>
      <c r="Q364" s="3304"/>
      <c r="R364" s="3304"/>
      <c r="S364" s="3304"/>
    </row>
    <row r="365" spans="1:22">
      <c r="F365" s="863" t="s">
        <v>36</v>
      </c>
    </row>
  </sheetData>
  <mergeCells count="125">
    <mergeCell ref="A348:A358"/>
    <mergeCell ref="O71:P71"/>
    <mergeCell ref="O129:P129"/>
    <mergeCell ref="O187:P187"/>
    <mergeCell ref="O234:P234"/>
    <mergeCell ref="A279:A289"/>
    <mergeCell ref="A131:A141"/>
    <mergeCell ref="A142:A152"/>
    <mergeCell ref="E129:F129"/>
    <mergeCell ref="G129:H129"/>
    <mergeCell ref="A117:A127"/>
    <mergeCell ref="A290:A300"/>
    <mergeCell ref="A301:A311"/>
    <mergeCell ref="A153:A163"/>
    <mergeCell ref="A164:A174"/>
    <mergeCell ref="A128:S128"/>
    <mergeCell ref="A129:A130"/>
    <mergeCell ref="B129:B130"/>
    <mergeCell ref="C129:D129"/>
    <mergeCell ref="A84:A94"/>
    <mergeCell ref="A95:A105"/>
    <mergeCell ref="A106:A116"/>
    <mergeCell ref="S129:S130"/>
    <mergeCell ref="B71:B72"/>
    <mergeCell ref="M129:N129"/>
    <mergeCell ref="Q129:R129"/>
    <mergeCell ref="A15:A25"/>
    <mergeCell ref="A26:A36"/>
    <mergeCell ref="A37:A47"/>
    <mergeCell ref="A48:A58"/>
    <mergeCell ref="A59:A69"/>
    <mergeCell ref="A70:S70"/>
    <mergeCell ref="C71:D71"/>
    <mergeCell ref="E71:F71"/>
    <mergeCell ref="G71:H71"/>
    <mergeCell ref="I71:J71"/>
    <mergeCell ref="A73:A83"/>
    <mergeCell ref="K71:L71"/>
    <mergeCell ref="M71:N71"/>
    <mergeCell ref="Q71:R71"/>
    <mergeCell ref="I129:J129"/>
    <mergeCell ref="A71:A72"/>
    <mergeCell ref="A1:S1"/>
    <mergeCell ref="A4:A14"/>
    <mergeCell ref="C2:D2"/>
    <mergeCell ref="E2:F2"/>
    <mergeCell ref="G2:H2"/>
    <mergeCell ref="I2:J2"/>
    <mergeCell ref="K2:L2"/>
    <mergeCell ref="M2:N2"/>
    <mergeCell ref="Q2:R2"/>
    <mergeCell ref="S2:S3"/>
    <mergeCell ref="B2:B3"/>
    <mergeCell ref="A2:A3"/>
    <mergeCell ref="O2:P2"/>
    <mergeCell ref="A326:A336"/>
    <mergeCell ref="A175:A185"/>
    <mergeCell ref="A189:A199"/>
    <mergeCell ref="A186:S186"/>
    <mergeCell ref="A187:A188"/>
    <mergeCell ref="B187:B188"/>
    <mergeCell ref="C187:D187"/>
    <mergeCell ref="E187:F187"/>
    <mergeCell ref="G187:H187"/>
    <mergeCell ref="I187:J187"/>
    <mergeCell ref="K187:L187"/>
    <mergeCell ref="M187:N187"/>
    <mergeCell ref="Q187:R187"/>
    <mergeCell ref="S187:S188"/>
    <mergeCell ref="A200:A210"/>
    <mergeCell ref="A211:A221"/>
    <mergeCell ref="I277:J277"/>
    <mergeCell ref="K277:L277"/>
    <mergeCell ref="M277:N277"/>
    <mergeCell ref="O277:P277"/>
    <mergeCell ref="Q277:R277"/>
    <mergeCell ref="S277:S278"/>
    <mergeCell ref="A362:S362"/>
    <mergeCell ref="A364:S364"/>
    <mergeCell ref="A337:A347"/>
    <mergeCell ref="A222:A232"/>
    <mergeCell ref="A233:S233"/>
    <mergeCell ref="A234:A235"/>
    <mergeCell ref="B234:B235"/>
    <mergeCell ref="C234:D234"/>
    <mergeCell ref="E234:F234"/>
    <mergeCell ref="G234:H234"/>
    <mergeCell ref="I234:J234"/>
    <mergeCell ref="K234:L234"/>
    <mergeCell ref="M234:N234"/>
    <mergeCell ref="Q234:R234"/>
    <mergeCell ref="S234:S235"/>
    <mergeCell ref="A236:A246"/>
    <mergeCell ref="A247:A257"/>
    <mergeCell ref="A258:A268"/>
    <mergeCell ref="A272:S272"/>
    <mergeCell ref="A274:S274"/>
    <mergeCell ref="A276:S276"/>
    <mergeCell ref="A277:A278"/>
    <mergeCell ref="B277:B278"/>
    <mergeCell ref="C277:D277"/>
    <mergeCell ref="U2:V2"/>
    <mergeCell ref="U71:V71"/>
    <mergeCell ref="U129:V129"/>
    <mergeCell ref="U187:V187"/>
    <mergeCell ref="U234:V234"/>
    <mergeCell ref="U277:V277"/>
    <mergeCell ref="A323:S323"/>
    <mergeCell ref="A324:A325"/>
    <mergeCell ref="B324:B325"/>
    <mergeCell ref="C324:D324"/>
    <mergeCell ref="E324:F324"/>
    <mergeCell ref="G324:H324"/>
    <mergeCell ref="I324:J324"/>
    <mergeCell ref="K324:L324"/>
    <mergeCell ref="M324:N324"/>
    <mergeCell ref="O324:P324"/>
    <mergeCell ref="Q324:R324"/>
    <mergeCell ref="S324:S325"/>
    <mergeCell ref="U324:V324"/>
    <mergeCell ref="E277:F277"/>
    <mergeCell ref="G277:H277"/>
    <mergeCell ref="A312:A322"/>
    <mergeCell ref="S71:S72"/>
    <mergeCell ref="K129:L129"/>
  </mergeCells>
  <pageMargins left="0.7" right="0.7" top="0.75" bottom="0.75" header="0.3" footer="0.3"/>
  <pageSetup paperSize="3" scale="70" orientation="landscape" r:id="rId1"/>
  <rowBreaks count="6" manualBreakCount="6">
    <brk id="69" max="16383" man="1"/>
    <brk id="127" max="16383" man="1"/>
    <brk id="185" max="16383" man="1"/>
    <brk id="232" max="16383" man="1"/>
    <brk id="275" max="16383" man="1"/>
    <brk id="3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51"/>
  <sheetViews>
    <sheetView workbookViewId="0">
      <pane ySplit="1" topLeftCell="A2" activePane="bottomLeft" state="frozen"/>
      <selection pane="bottomLeft" activeCell="A54" sqref="A54"/>
    </sheetView>
  </sheetViews>
  <sheetFormatPr defaultColWidth="9.140625" defaultRowHeight="12.75"/>
  <cols>
    <col min="1" max="1" width="22.5703125" style="1" customWidth="1"/>
    <col min="2" max="2" width="15.140625" style="1" customWidth="1"/>
    <col min="3" max="5" width="14.140625" style="1" customWidth="1"/>
    <col min="6" max="6" width="14.140625" style="22" customWidth="1"/>
    <col min="7" max="9" width="14.140625" style="256" customWidth="1"/>
    <col min="10" max="10" width="14.140625" style="1" customWidth="1"/>
    <col min="11" max="11" width="11.7109375" style="1" customWidth="1"/>
    <col min="12" max="12" width="9.140625" style="1"/>
    <col min="13" max="13" width="0" style="1" hidden="1" customWidth="1"/>
    <col min="14" max="14" width="9.28515625" style="1" hidden="1" customWidth="1"/>
    <col min="15" max="16" width="12.140625" style="1" hidden="1" customWidth="1"/>
    <col min="17" max="18" width="0" style="1" hidden="1" customWidth="1"/>
    <col min="19" max="19" width="14.28515625" style="1" hidden="1" customWidth="1"/>
    <col min="20" max="16384" width="9.140625" style="1"/>
  </cols>
  <sheetData>
    <row r="1" spans="1:21" ht="27.75" customHeight="1" thickBot="1">
      <c r="A1" s="3224" t="s">
        <v>577</v>
      </c>
      <c r="B1" s="3224"/>
      <c r="C1" s="3224"/>
      <c r="D1" s="3224"/>
      <c r="E1" s="3224"/>
      <c r="F1" s="3224"/>
      <c r="G1" s="3224"/>
      <c r="H1" s="3224"/>
      <c r="I1" s="3224"/>
      <c r="J1" s="3224"/>
      <c r="K1" s="3224"/>
    </row>
    <row r="2" spans="1:21" ht="15" customHeight="1">
      <c r="A2" s="3204" t="s">
        <v>1</v>
      </c>
      <c r="B2" s="3206" t="s">
        <v>2</v>
      </c>
      <c r="C2" s="3446" t="s">
        <v>578</v>
      </c>
      <c r="D2" s="3447"/>
      <c r="E2" s="3447"/>
      <c r="F2" s="3448"/>
      <c r="G2" s="3446" t="s">
        <v>579</v>
      </c>
      <c r="H2" s="3447"/>
      <c r="I2" s="3447"/>
      <c r="J2" s="3448"/>
      <c r="K2" s="3442" t="s">
        <v>57</v>
      </c>
      <c r="M2" s="3365" t="s">
        <v>80</v>
      </c>
      <c r="N2" s="3366"/>
      <c r="O2" s="3366"/>
      <c r="P2" s="3318"/>
      <c r="Q2" s="3365" t="s">
        <v>580</v>
      </c>
      <c r="R2" s="3366"/>
      <c r="S2" s="3318"/>
    </row>
    <row r="3" spans="1:21" ht="13.5" thickBot="1">
      <c r="A3" s="3205"/>
      <c r="B3" s="3207"/>
      <c r="C3" s="3449"/>
      <c r="D3" s="3450"/>
      <c r="E3" s="3450"/>
      <c r="F3" s="3451"/>
      <c r="G3" s="3449"/>
      <c r="H3" s="3450"/>
      <c r="I3" s="3450"/>
      <c r="J3" s="3451"/>
      <c r="K3" s="3443"/>
      <c r="M3" s="3367"/>
      <c r="N3" s="3368"/>
      <c r="O3" s="3368"/>
      <c r="P3" s="3374"/>
      <c r="Q3" s="3367"/>
      <c r="R3" s="3368"/>
      <c r="S3" s="3374"/>
    </row>
    <row r="4" spans="1:21" ht="13.5" thickBot="1">
      <c r="A4" s="3485"/>
      <c r="B4" s="3208"/>
      <c r="C4" s="1130" t="s">
        <v>581</v>
      </c>
      <c r="D4" s="1697" t="s">
        <v>582</v>
      </c>
      <c r="E4" s="1131" t="s">
        <v>583</v>
      </c>
      <c r="F4" s="1132" t="s">
        <v>18</v>
      </c>
      <c r="G4" s="1130" t="s">
        <v>581</v>
      </c>
      <c r="H4" s="1697" t="s">
        <v>582</v>
      </c>
      <c r="I4" s="1131" t="s">
        <v>583</v>
      </c>
      <c r="J4" s="1132" t="s">
        <v>18</v>
      </c>
      <c r="K4" s="3444"/>
      <c r="M4" s="1945" t="s">
        <v>581</v>
      </c>
      <c r="N4" s="1682" t="s">
        <v>582</v>
      </c>
      <c r="O4" s="1707" t="s">
        <v>583</v>
      </c>
      <c r="P4" s="3042" t="s">
        <v>18</v>
      </c>
      <c r="Q4" s="3047" t="s">
        <v>581</v>
      </c>
      <c r="R4" s="994" t="s">
        <v>582</v>
      </c>
      <c r="S4" s="3048" t="s">
        <v>583</v>
      </c>
    </row>
    <row r="5" spans="1:21">
      <c r="A5" s="443" t="s">
        <v>14</v>
      </c>
      <c r="B5" s="443" t="s">
        <v>15</v>
      </c>
      <c r="C5" s="47">
        <f>(G5/J5)*F5</f>
        <v>0.06</v>
      </c>
      <c r="D5" s="181">
        <f t="shared" ref="D5:D6" si="0">(H5/J5)*F5</f>
        <v>0.13</v>
      </c>
      <c r="E5" s="14">
        <f t="shared" ref="E5:E6" si="1">(I5/J5)*F5</f>
        <v>0</v>
      </c>
      <c r="F5" s="15">
        <f>'Table 7a '!D13</f>
        <v>0.19</v>
      </c>
      <c r="G5" s="47">
        <v>0.06</v>
      </c>
      <c r="H5" s="181">
        <v>0.14000000000000001</v>
      </c>
      <c r="I5" s="14">
        <v>0</v>
      </c>
      <c r="J5" s="15">
        <f>'Table 7a '!P13</f>
        <v>0.2</v>
      </c>
      <c r="K5" s="211">
        <f>(J5-F5)/F5</f>
        <v>0.05</v>
      </c>
      <c r="L5" s="23"/>
      <c r="M5" s="47">
        <f>G5-C5</f>
        <v>0</v>
      </c>
      <c r="N5" s="181">
        <f>H5-D5</f>
        <v>0.01</v>
      </c>
      <c r="O5" s="14">
        <f>I5-E5</f>
        <v>0</v>
      </c>
      <c r="P5" s="15">
        <f>J5-F5</f>
        <v>0.01</v>
      </c>
      <c r="Q5" s="1717">
        <f>M5/C5</f>
        <v>0</v>
      </c>
      <c r="R5" s="1718">
        <f>N5/D5</f>
        <v>0.08</v>
      </c>
      <c r="S5" s="240" t="s">
        <v>16</v>
      </c>
    </row>
    <row r="6" spans="1:21" ht="13.5" thickBot="1">
      <c r="A6" s="579" t="s">
        <v>14</v>
      </c>
      <c r="B6" s="579" t="s">
        <v>17</v>
      </c>
      <c r="C6" s="48">
        <f>(G6/J6)*F6</f>
        <v>0.21</v>
      </c>
      <c r="D6" s="712">
        <f t="shared" si="0"/>
        <v>0.47</v>
      </c>
      <c r="E6" s="366">
        <f t="shared" si="1"/>
        <v>0.09</v>
      </c>
      <c r="F6" s="874">
        <f>'Table 7a '!D24</f>
        <v>0.76</v>
      </c>
      <c r="G6" s="48">
        <v>0.19</v>
      </c>
      <c r="H6" s="712">
        <v>0.43</v>
      </c>
      <c r="I6" s="366">
        <v>0.08</v>
      </c>
      <c r="J6" s="874">
        <f>'Table 7a '!P24</f>
        <v>0.7</v>
      </c>
      <c r="K6" s="1705">
        <f t="shared" ref="K6:K27" si="2">(J6-F6)/F6</f>
        <v>-0.08</v>
      </c>
      <c r="L6" s="23"/>
      <c r="M6" s="48">
        <f t="shared" ref="M6:M27" si="3">G6-C6</f>
        <v>-0.02</v>
      </c>
      <c r="N6" s="712">
        <f t="shared" ref="N6:N27" si="4">H6-D6</f>
        <v>-0.04</v>
      </c>
      <c r="O6" s="366">
        <f t="shared" ref="O6:O27" si="5">I6-E6</f>
        <v>-0.01</v>
      </c>
      <c r="P6" s="874">
        <f t="shared" ref="P6:P27" si="6">J6-F6</f>
        <v>-0.06</v>
      </c>
      <c r="Q6" s="1708">
        <f t="shared" ref="Q6:Q27" si="7">M6/C6</f>
        <v>-0.1</v>
      </c>
      <c r="R6" s="1713">
        <f t="shared" ref="R6:R27" si="8">N6/D6</f>
        <v>-0.09</v>
      </c>
      <c r="S6" s="1712">
        <f t="shared" ref="S6:S27" si="9">O6/E6</f>
        <v>-0.11</v>
      </c>
    </row>
    <row r="7" spans="1:21" ht="14.25" thickTop="1" thickBot="1">
      <c r="A7" s="476" t="s">
        <v>14</v>
      </c>
      <c r="B7" s="476" t="s">
        <v>18</v>
      </c>
      <c r="C7" s="139">
        <f t="shared" ref="C7:J7" si="10">SUM(C5:C6)</f>
        <v>0.27</v>
      </c>
      <c r="D7" s="701">
        <f t="shared" si="10"/>
        <v>0.6</v>
      </c>
      <c r="E7" s="104">
        <f t="shared" si="10"/>
        <v>0.09</v>
      </c>
      <c r="F7" s="61">
        <f t="shared" si="10"/>
        <v>0.95</v>
      </c>
      <c r="G7" s="139">
        <f t="shared" si="10"/>
        <v>0.25</v>
      </c>
      <c r="H7" s="701">
        <f t="shared" si="10"/>
        <v>0.56999999999999995</v>
      </c>
      <c r="I7" s="104">
        <f t="shared" si="10"/>
        <v>0.08</v>
      </c>
      <c r="J7" s="61">
        <f t="shared" si="10"/>
        <v>0.9</v>
      </c>
      <c r="K7" s="1698">
        <f t="shared" si="2"/>
        <v>-0.05</v>
      </c>
      <c r="L7" s="23"/>
      <c r="M7" s="139">
        <f t="shared" si="3"/>
        <v>-0.02</v>
      </c>
      <c r="N7" s="701">
        <f t="shared" si="4"/>
        <v>-0.03</v>
      </c>
      <c r="O7" s="104">
        <f t="shared" si="5"/>
        <v>-0.01</v>
      </c>
      <c r="P7" s="61">
        <f t="shared" si="6"/>
        <v>-0.05</v>
      </c>
      <c r="Q7" s="1719">
        <f t="shared" si="7"/>
        <v>-7.0000000000000007E-2</v>
      </c>
      <c r="R7" s="1720">
        <f t="shared" si="8"/>
        <v>-0.05</v>
      </c>
      <c r="S7" s="1721">
        <f t="shared" si="9"/>
        <v>-0.11</v>
      </c>
    </row>
    <row r="8" spans="1:21">
      <c r="A8" s="475" t="s">
        <v>19</v>
      </c>
      <c r="B8" s="475" t="s">
        <v>15</v>
      </c>
      <c r="C8" s="149">
        <v>0</v>
      </c>
      <c r="D8" s="702">
        <f>(H8/J8)*F8</f>
        <v>0.06</v>
      </c>
      <c r="E8" s="159">
        <f>(I8/J8)*F8</f>
        <v>0.02</v>
      </c>
      <c r="F8" s="150">
        <f>'Table 7a '!D46</f>
        <v>0.08</v>
      </c>
      <c r="G8" s="149">
        <v>0</v>
      </c>
      <c r="H8" s="702">
        <v>7.0000000000000007E-2</v>
      </c>
      <c r="I8" s="159">
        <v>0.03</v>
      </c>
      <c r="J8" s="150">
        <f>'Table 7a '!P46</f>
        <v>0.1</v>
      </c>
      <c r="K8" s="1702">
        <f t="shared" si="2"/>
        <v>0.25</v>
      </c>
      <c r="L8" s="23"/>
      <c r="M8" s="149">
        <f t="shared" si="3"/>
        <v>0</v>
      </c>
      <c r="N8" s="702">
        <f t="shared" si="4"/>
        <v>0.01</v>
      </c>
      <c r="O8" s="159">
        <f t="shared" si="5"/>
        <v>0.01</v>
      </c>
      <c r="P8" s="150">
        <f t="shared" si="6"/>
        <v>0.02</v>
      </c>
      <c r="Q8" s="1722" t="s">
        <v>16</v>
      </c>
      <c r="R8" s="1723">
        <f t="shared" si="8"/>
        <v>0.17</v>
      </c>
      <c r="S8" s="1724">
        <f t="shared" si="9"/>
        <v>0.5</v>
      </c>
    </row>
    <row r="9" spans="1:21" ht="13.5" thickBot="1">
      <c r="A9" s="579" t="s">
        <v>19</v>
      </c>
      <c r="B9" s="579" t="s">
        <v>17</v>
      </c>
      <c r="C9" s="48">
        <v>0</v>
      </c>
      <c r="D9" s="712">
        <v>0</v>
      </c>
      <c r="E9" s="366">
        <v>0</v>
      </c>
      <c r="F9" s="874">
        <f>'Table 7a '!F57</f>
        <v>0</v>
      </c>
      <c r="G9" s="48">
        <v>0</v>
      </c>
      <c r="H9" s="712">
        <v>0</v>
      </c>
      <c r="I9" s="366">
        <v>0</v>
      </c>
      <c r="J9" s="874">
        <f>'Table 7a '!P57</f>
        <v>0</v>
      </c>
      <c r="K9" s="1712" t="s">
        <v>16</v>
      </c>
      <c r="L9" s="23"/>
      <c r="M9" s="48">
        <f t="shared" si="3"/>
        <v>0</v>
      </c>
      <c r="N9" s="712">
        <f t="shared" si="4"/>
        <v>0</v>
      </c>
      <c r="O9" s="366">
        <f t="shared" si="5"/>
        <v>0</v>
      </c>
      <c r="P9" s="874">
        <f t="shared" si="6"/>
        <v>0</v>
      </c>
      <c r="Q9" s="1708" t="s">
        <v>16</v>
      </c>
      <c r="R9" s="1713" t="s">
        <v>16</v>
      </c>
      <c r="S9" s="1712" t="s">
        <v>16</v>
      </c>
    </row>
    <row r="10" spans="1:21" ht="14.25" thickTop="1" thickBot="1">
      <c r="A10" s="279" t="s">
        <v>19</v>
      </c>
      <c r="B10" s="279" t="s">
        <v>18</v>
      </c>
      <c r="C10" s="34">
        <f t="shared" ref="C10:J10" si="11">SUM(C8:C9)</f>
        <v>0</v>
      </c>
      <c r="D10" s="774">
        <f t="shared" si="11"/>
        <v>0.06</v>
      </c>
      <c r="E10" s="20">
        <f t="shared" si="11"/>
        <v>0.02</v>
      </c>
      <c r="F10" s="21">
        <f t="shared" si="11"/>
        <v>0.08</v>
      </c>
      <c r="G10" s="34">
        <f t="shared" si="11"/>
        <v>0</v>
      </c>
      <c r="H10" s="774">
        <f t="shared" si="11"/>
        <v>7.0000000000000007E-2</v>
      </c>
      <c r="I10" s="20">
        <f t="shared" si="11"/>
        <v>0.03</v>
      </c>
      <c r="J10" s="21">
        <f t="shared" si="11"/>
        <v>0.1</v>
      </c>
      <c r="K10" s="1699">
        <f t="shared" si="2"/>
        <v>0.25</v>
      </c>
      <c r="L10" s="23"/>
      <c r="M10" s="34">
        <f t="shared" si="3"/>
        <v>0</v>
      </c>
      <c r="N10" s="774">
        <f t="shared" si="4"/>
        <v>0.01</v>
      </c>
      <c r="O10" s="20">
        <f t="shared" si="5"/>
        <v>0.01</v>
      </c>
      <c r="P10" s="21">
        <f t="shared" si="6"/>
        <v>0.02</v>
      </c>
      <c r="Q10" s="1725" t="s">
        <v>16</v>
      </c>
      <c r="R10" s="1726">
        <f t="shared" si="8"/>
        <v>0.17</v>
      </c>
      <c r="S10" s="1727">
        <f t="shared" si="9"/>
        <v>0.5</v>
      </c>
    </row>
    <row r="11" spans="1:21">
      <c r="A11" s="475" t="s">
        <v>20</v>
      </c>
      <c r="B11" s="475" t="s">
        <v>15</v>
      </c>
      <c r="C11" s="47">
        <v>0</v>
      </c>
      <c r="D11" s="181">
        <v>0</v>
      </c>
      <c r="E11" s="14">
        <v>0</v>
      </c>
      <c r="F11" s="15">
        <f>'Table 7a '!D82</f>
        <v>0</v>
      </c>
      <c r="G11" s="47">
        <v>0</v>
      </c>
      <c r="H11" s="181">
        <v>0</v>
      </c>
      <c r="I11" s="14">
        <v>0</v>
      </c>
      <c r="J11" s="15">
        <f>'Table 7a '!P82</f>
        <v>0</v>
      </c>
      <c r="K11" s="1706" t="s">
        <v>16</v>
      </c>
      <c r="L11" s="23"/>
      <c r="M11" s="47">
        <f t="shared" si="3"/>
        <v>0</v>
      </c>
      <c r="N11" s="181">
        <f t="shared" si="4"/>
        <v>0</v>
      </c>
      <c r="O11" s="14">
        <f t="shared" si="5"/>
        <v>0</v>
      </c>
      <c r="P11" s="15">
        <f t="shared" si="6"/>
        <v>0</v>
      </c>
      <c r="Q11" s="1710" t="s">
        <v>16</v>
      </c>
      <c r="R11" s="1715" t="s">
        <v>16</v>
      </c>
      <c r="S11" s="1706" t="s">
        <v>16</v>
      </c>
    </row>
    <row r="12" spans="1:21" ht="13.5" thickBot="1">
      <c r="A12" s="579" t="s">
        <v>20</v>
      </c>
      <c r="B12" s="579" t="s">
        <v>17</v>
      </c>
      <c r="C12" s="48">
        <v>0</v>
      </c>
      <c r="D12" s="712">
        <f>(H12/J12)*F12</f>
        <v>0.13</v>
      </c>
      <c r="E12" s="366">
        <f>(I12/J12)*F12</f>
        <v>0.15</v>
      </c>
      <c r="F12" s="874">
        <f>'Table 7a '!D93</f>
        <v>0.28000000000000003</v>
      </c>
      <c r="G12" s="48">
        <v>0</v>
      </c>
      <c r="H12" s="712">
        <v>0.13</v>
      </c>
      <c r="I12" s="366">
        <v>0.16</v>
      </c>
      <c r="J12" s="874">
        <f>'Table 7a '!P93</f>
        <v>0.28999999999999998</v>
      </c>
      <c r="K12" s="1705">
        <f t="shared" si="2"/>
        <v>0.04</v>
      </c>
      <c r="L12" s="23"/>
      <c r="M12" s="48">
        <f t="shared" si="3"/>
        <v>0</v>
      </c>
      <c r="N12" s="712">
        <f t="shared" si="4"/>
        <v>0</v>
      </c>
      <c r="O12" s="366">
        <f t="shared" si="5"/>
        <v>0.01</v>
      </c>
      <c r="P12" s="874">
        <f t="shared" si="6"/>
        <v>0.01</v>
      </c>
      <c r="Q12" s="1708" t="s">
        <v>16</v>
      </c>
      <c r="R12" s="1713">
        <f t="shared" si="8"/>
        <v>0</v>
      </c>
      <c r="S12" s="1712">
        <f t="shared" si="9"/>
        <v>7.0000000000000007E-2</v>
      </c>
    </row>
    <row r="13" spans="1:21" ht="14.25" thickTop="1" thickBot="1">
      <c r="A13" s="939" t="s">
        <v>20</v>
      </c>
      <c r="B13" s="939" t="s">
        <v>18</v>
      </c>
      <c r="C13" s="184">
        <f t="shared" ref="C13:J13" si="12">SUM(C11:C12)</f>
        <v>0</v>
      </c>
      <c r="D13" s="721">
        <f t="shared" si="12"/>
        <v>0.13</v>
      </c>
      <c r="E13" s="323">
        <f t="shared" si="12"/>
        <v>0.15</v>
      </c>
      <c r="F13" s="320">
        <f t="shared" si="12"/>
        <v>0.28000000000000003</v>
      </c>
      <c r="G13" s="184">
        <f t="shared" si="12"/>
        <v>0</v>
      </c>
      <c r="H13" s="721">
        <f t="shared" si="12"/>
        <v>0.13</v>
      </c>
      <c r="I13" s="323">
        <f t="shared" si="12"/>
        <v>0.16</v>
      </c>
      <c r="J13" s="320">
        <f t="shared" si="12"/>
        <v>0.28999999999999998</v>
      </c>
      <c r="K13" s="1700">
        <f t="shared" si="2"/>
        <v>0.04</v>
      </c>
      <c r="L13" s="23"/>
      <c r="M13" s="184">
        <f t="shared" si="3"/>
        <v>0</v>
      </c>
      <c r="N13" s="721">
        <f t="shared" si="4"/>
        <v>0</v>
      </c>
      <c r="O13" s="323">
        <f t="shared" si="5"/>
        <v>0.01</v>
      </c>
      <c r="P13" s="320">
        <f t="shared" si="6"/>
        <v>0.01</v>
      </c>
      <c r="Q13" s="1728" t="s">
        <v>16</v>
      </c>
      <c r="R13" s="1729">
        <f t="shared" si="8"/>
        <v>0</v>
      </c>
      <c r="S13" s="1730">
        <f t="shared" si="9"/>
        <v>7.0000000000000007E-2</v>
      </c>
    </row>
    <row r="14" spans="1:21">
      <c r="A14" s="443" t="s">
        <v>21</v>
      </c>
      <c r="B14" s="443" t="s">
        <v>15</v>
      </c>
      <c r="C14" s="47">
        <v>0</v>
      </c>
      <c r="D14" s="181">
        <v>0.05</v>
      </c>
      <c r="E14" s="14">
        <v>0</v>
      </c>
      <c r="F14" s="15">
        <f>'Table 7a '!D115</f>
        <v>0.05</v>
      </c>
      <c r="G14" s="47">
        <v>0</v>
      </c>
      <c r="H14" s="181">
        <v>0.06</v>
      </c>
      <c r="I14" s="14">
        <v>0</v>
      </c>
      <c r="J14" s="15">
        <f>'Table 7a '!P115</f>
        <v>0.06</v>
      </c>
      <c r="K14" s="1703">
        <f t="shared" si="2"/>
        <v>0.2</v>
      </c>
      <c r="L14" s="23"/>
      <c r="M14" s="47">
        <f t="shared" si="3"/>
        <v>0</v>
      </c>
      <c r="N14" s="181">
        <f t="shared" si="4"/>
        <v>0.01</v>
      </c>
      <c r="O14" s="14">
        <f t="shared" si="5"/>
        <v>0</v>
      </c>
      <c r="P14" s="15">
        <f t="shared" si="6"/>
        <v>0.01</v>
      </c>
      <c r="Q14" s="1710" t="s">
        <v>16</v>
      </c>
      <c r="R14" s="1715">
        <f t="shared" si="8"/>
        <v>0.2</v>
      </c>
      <c r="S14" s="1706" t="s">
        <v>16</v>
      </c>
    </row>
    <row r="15" spans="1:21">
      <c r="A15" s="455" t="s">
        <v>22</v>
      </c>
      <c r="B15" s="455" t="s">
        <v>17</v>
      </c>
      <c r="C15" s="823">
        <v>0</v>
      </c>
      <c r="D15" s="802">
        <f t="shared" ref="D15:D18" si="13">(H15/J15)*F15</f>
        <v>0.37</v>
      </c>
      <c r="E15" s="322">
        <f t="shared" ref="E15:E16" si="14">(I15/J15)*F15</f>
        <v>0.02</v>
      </c>
      <c r="F15" s="830">
        <f>'Table 7a '!D126</f>
        <v>0.38</v>
      </c>
      <c r="G15" s="823">
        <v>0</v>
      </c>
      <c r="H15" s="802">
        <v>0.34</v>
      </c>
      <c r="I15" s="322">
        <v>0.02</v>
      </c>
      <c r="J15" s="830">
        <f>'Table 7a '!P126</f>
        <v>0.35</v>
      </c>
      <c r="K15" s="1704">
        <f t="shared" si="2"/>
        <v>-0.08</v>
      </c>
      <c r="L15" s="23"/>
      <c r="M15" s="823">
        <f t="shared" si="3"/>
        <v>0</v>
      </c>
      <c r="N15" s="802">
        <f t="shared" si="4"/>
        <v>-0.03</v>
      </c>
      <c r="O15" s="322">
        <f t="shared" si="5"/>
        <v>0</v>
      </c>
      <c r="P15" s="830">
        <f t="shared" si="6"/>
        <v>-0.03</v>
      </c>
      <c r="Q15" s="1731" t="s">
        <v>16</v>
      </c>
      <c r="R15" s="1732">
        <f t="shared" si="8"/>
        <v>-0.08</v>
      </c>
      <c r="S15" s="1733">
        <f t="shared" si="9"/>
        <v>0</v>
      </c>
    </row>
    <row r="16" spans="1:21">
      <c r="A16" s="455" t="s">
        <v>23</v>
      </c>
      <c r="B16" s="455" t="s">
        <v>15</v>
      </c>
      <c r="C16" s="823">
        <v>0</v>
      </c>
      <c r="D16" s="802">
        <f t="shared" si="13"/>
        <v>0.09</v>
      </c>
      <c r="E16" s="322">
        <f t="shared" si="14"/>
        <v>0.14000000000000001</v>
      </c>
      <c r="F16" s="830">
        <f>'Table 7a '!D140</f>
        <v>0.23</v>
      </c>
      <c r="G16" s="823">
        <v>0</v>
      </c>
      <c r="H16" s="802">
        <v>0.08</v>
      </c>
      <c r="I16" s="322">
        <v>0.13</v>
      </c>
      <c r="J16" s="830">
        <f>'Table 7a '!P140</f>
        <v>0.21</v>
      </c>
      <c r="K16" s="1704">
        <f t="shared" si="2"/>
        <v>-0.09</v>
      </c>
      <c r="L16" s="23"/>
      <c r="M16" s="823">
        <f t="shared" si="3"/>
        <v>0</v>
      </c>
      <c r="N16" s="802">
        <f t="shared" si="4"/>
        <v>-0.01</v>
      </c>
      <c r="O16" s="322">
        <f t="shared" si="5"/>
        <v>-0.01</v>
      </c>
      <c r="P16" s="830">
        <f t="shared" si="6"/>
        <v>-0.02</v>
      </c>
      <c r="Q16" s="1731" t="s">
        <v>16</v>
      </c>
      <c r="R16" s="1732">
        <f t="shared" si="8"/>
        <v>-0.11</v>
      </c>
      <c r="S16" s="1733">
        <f t="shared" si="9"/>
        <v>-7.0000000000000007E-2</v>
      </c>
      <c r="U16" s="1" t="s">
        <v>36</v>
      </c>
    </row>
    <row r="17" spans="1:19">
      <c r="A17" s="455" t="s">
        <v>24</v>
      </c>
      <c r="B17" s="455" t="s">
        <v>15</v>
      </c>
      <c r="C17" s="823">
        <v>0</v>
      </c>
      <c r="D17" s="802">
        <f t="shared" si="13"/>
        <v>0.04</v>
      </c>
      <c r="E17" s="322">
        <v>0</v>
      </c>
      <c r="F17" s="830">
        <f>'Table 7a '!D151</f>
        <v>0.04</v>
      </c>
      <c r="G17" s="823">
        <v>0</v>
      </c>
      <c r="H17" s="802">
        <v>7.0000000000000007E-2</v>
      </c>
      <c r="I17" s="322">
        <v>0</v>
      </c>
      <c r="J17" s="830">
        <f>'Table 7a '!P151</f>
        <v>7.0000000000000007E-2</v>
      </c>
      <c r="K17" s="1704">
        <f t="shared" si="2"/>
        <v>0.75</v>
      </c>
      <c r="L17" s="23"/>
      <c r="M17" s="823">
        <f t="shared" si="3"/>
        <v>0</v>
      </c>
      <c r="N17" s="802">
        <f t="shared" si="4"/>
        <v>0.03</v>
      </c>
      <c r="O17" s="322">
        <f t="shared" si="5"/>
        <v>0</v>
      </c>
      <c r="P17" s="830">
        <f t="shared" si="6"/>
        <v>0.03</v>
      </c>
      <c r="Q17" s="1731" t="s">
        <v>16</v>
      </c>
      <c r="R17" s="1732">
        <f t="shared" si="8"/>
        <v>0.75</v>
      </c>
      <c r="S17" s="1733" t="s">
        <v>16</v>
      </c>
    </row>
    <row r="18" spans="1:19">
      <c r="A18" s="456" t="s">
        <v>533</v>
      </c>
      <c r="B18" s="456" t="s">
        <v>17</v>
      </c>
      <c r="C18" s="823">
        <f>(G18/J18)*F18</f>
        <v>1.78</v>
      </c>
      <c r="D18" s="802">
        <f t="shared" si="13"/>
        <v>0.45</v>
      </c>
      <c r="E18" s="322">
        <v>0</v>
      </c>
      <c r="F18" s="830">
        <f>'Table 7a '!D162</f>
        <v>2.13</v>
      </c>
      <c r="G18" s="823">
        <v>1.78</v>
      </c>
      <c r="H18" s="802">
        <v>0.45</v>
      </c>
      <c r="I18" s="322">
        <v>0</v>
      </c>
      <c r="J18" s="830">
        <f>'Table 7a '!P162</f>
        <v>2.13</v>
      </c>
      <c r="K18" s="1704">
        <f t="shared" si="2"/>
        <v>0</v>
      </c>
      <c r="L18" s="23"/>
      <c r="M18" s="823">
        <f t="shared" si="3"/>
        <v>0</v>
      </c>
      <c r="N18" s="802">
        <f t="shared" si="4"/>
        <v>0</v>
      </c>
      <c r="O18" s="322">
        <f t="shared" si="5"/>
        <v>0</v>
      </c>
      <c r="P18" s="830">
        <f t="shared" si="6"/>
        <v>0</v>
      </c>
      <c r="Q18" s="1731">
        <f t="shared" si="7"/>
        <v>0</v>
      </c>
      <c r="R18" s="1732">
        <f t="shared" si="8"/>
        <v>0</v>
      </c>
      <c r="S18" s="1733" t="s">
        <v>16</v>
      </c>
    </row>
    <row r="19" spans="1:19">
      <c r="A19" s="456" t="s">
        <v>26</v>
      </c>
      <c r="B19" s="456" t="s">
        <v>17</v>
      </c>
      <c r="C19" s="823">
        <v>0</v>
      </c>
      <c r="D19" s="802">
        <v>0.24</v>
      </c>
      <c r="E19" s="322">
        <v>0</v>
      </c>
      <c r="F19" s="830">
        <f>'Table 7a '!D173</f>
        <v>0.24</v>
      </c>
      <c r="G19" s="823">
        <v>0</v>
      </c>
      <c r="H19" s="802">
        <v>0.21</v>
      </c>
      <c r="I19" s="322">
        <v>0</v>
      </c>
      <c r="J19" s="830">
        <f>'Table 7a '!P173</f>
        <v>0.21</v>
      </c>
      <c r="K19" s="1704">
        <f t="shared" si="2"/>
        <v>-0.13</v>
      </c>
      <c r="L19" s="23"/>
      <c r="M19" s="823">
        <f t="shared" si="3"/>
        <v>0</v>
      </c>
      <c r="N19" s="802">
        <f t="shared" si="4"/>
        <v>-0.03</v>
      </c>
      <c r="O19" s="322">
        <f t="shared" si="5"/>
        <v>0</v>
      </c>
      <c r="P19" s="830">
        <f t="shared" si="6"/>
        <v>-0.03</v>
      </c>
      <c r="Q19" s="1731" t="s">
        <v>16</v>
      </c>
      <c r="R19" s="1732">
        <f t="shared" si="8"/>
        <v>-0.13</v>
      </c>
      <c r="S19" s="1733" t="s">
        <v>16</v>
      </c>
    </row>
    <row r="20" spans="1:19">
      <c r="A20" s="365" t="s">
        <v>27</v>
      </c>
      <c r="B20" s="365" t="s">
        <v>15</v>
      </c>
      <c r="C20" s="823">
        <f t="shared" ref="C20:C21" si="15">(G20/J20)*F20</f>
        <v>0.03</v>
      </c>
      <c r="D20" s="802">
        <f t="shared" ref="D20:D23" si="16">(H20/J20)*F20</f>
        <v>0.05</v>
      </c>
      <c r="E20" s="322">
        <f t="shared" ref="E20:E23" si="17">(I20/J20)*F20</f>
        <v>0.05</v>
      </c>
      <c r="F20" s="830">
        <f>'Table 7a '!D184</f>
        <v>0.13</v>
      </c>
      <c r="G20" s="823">
        <v>0.04</v>
      </c>
      <c r="H20" s="802">
        <v>0.08</v>
      </c>
      <c r="I20" s="322">
        <v>7.0000000000000007E-2</v>
      </c>
      <c r="J20" s="830">
        <f>'Table 7a '!P184</f>
        <v>0.19</v>
      </c>
      <c r="K20" s="1704">
        <f t="shared" si="2"/>
        <v>0.46</v>
      </c>
      <c r="L20" s="23"/>
      <c r="M20" s="823">
        <f t="shared" si="3"/>
        <v>0.01</v>
      </c>
      <c r="N20" s="802">
        <f t="shared" si="4"/>
        <v>0.03</v>
      </c>
      <c r="O20" s="322">
        <f t="shared" si="5"/>
        <v>0.02</v>
      </c>
      <c r="P20" s="830">
        <f t="shared" si="6"/>
        <v>0.06</v>
      </c>
      <c r="Q20" s="1731">
        <f t="shared" si="7"/>
        <v>0.33</v>
      </c>
      <c r="R20" s="1732">
        <f t="shared" si="8"/>
        <v>0.6</v>
      </c>
      <c r="S20" s="1733">
        <f t="shared" si="9"/>
        <v>0.4</v>
      </c>
    </row>
    <row r="21" spans="1:19">
      <c r="A21" s="365" t="s">
        <v>28</v>
      </c>
      <c r="B21" s="365" t="s">
        <v>15</v>
      </c>
      <c r="C21" s="823">
        <f t="shared" si="15"/>
        <v>0.13</v>
      </c>
      <c r="D21" s="802">
        <f t="shared" si="16"/>
        <v>0.14000000000000001</v>
      </c>
      <c r="E21" s="322">
        <f t="shared" si="17"/>
        <v>0.19</v>
      </c>
      <c r="F21" s="830">
        <f>'Table 7a '!D198</f>
        <v>0.46</v>
      </c>
      <c r="G21" s="823">
        <v>0.14000000000000001</v>
      </c>
      <c r="H21" s="802">
        <v>0.15</v>
      </c>
      <c r="I21" s="322">
        <v>0.21</v>
      </c>
      <c r="J21" s="830">
        <f>'Table 7a '!P198</f>
        <v>0.5</v>
      </c>
      <c r="K21" s="1704">
        <f t="shared" si="2"/>
        <v>0.09</v>
      </c>
      <c r="L21" s="23"/>
      <c r="M21" s="823">
        <f t="shared" si="3"/>
        <v>0.01</v>
      </c>
      <c r="N21" s="802">
        <f t="shared" si="4"/>
        <v>0.01</v>
      </c>
      <c r="O21" s="322">
        <f t="shared" si="5"/>
        <v>0.02</v>
      </c>
      <c r="P21" s="830">
        <f t="shared" si="6"/>
        <v>0.04</v>
      </c>
      <c r="Q21" s="1731">
        <f t="shared" si="7"/>
        <v>0.08</v>
      </c>
      <c r="R21" s="1732">
        <f t="shared" si="8"/>
        <v>7.0000000000000007E-2</v>
      </c>
      <c r="S21" s="1733">
        <f t="shared" si="9"/>
        <v>0.11</v>
      </c>
    </row>
    <row r="22" spans="1:19">
      <c r="A22" s="365" t="s">
        <v>29</v>
      </c>
      <c r="B22" s="365" t="s">
        <v>15</v>
      </c>
      <c r="C22" s="823">
        <v>0</v>
      </c>
      <c r="D22" s="802">
        <f t="shared" si="16"/>
        <v>0.03</v>
      </c>
      <c r="E22" s="322">
        <f t="shared" si="17"/>
        <v>0.01</v>
      </c>
      <c r="F22" s="830">
        <f>'Table 7a '!D209</f>
        <v>0.04</v>
      </c>
      <c r="G22" s="823">
        <v>0</v>
      </c>
      <c r="H22" s="802">
        <v>0.04</v>
      </c>
      <c r="I22" s="322">
        <v>0.02</v>
      </c>
      <c r="J22" s="830">
        <f>'Table 7a '!P209</f>
        <v>0.06</v>
      </c>
      <c r="K22" s="1704">
        <f t="shared" si="2"/>
        <v>0.5</v>
      </c>
      <c r="L22" s="23"/>
      <c r="M22" s="823">
        <f t="shared" si="3"/>
        <v>0</v>
      </c>
      <c r="N22" s="802">
        <f t="shared" si="4"/>
        <v>0.01</v>
      </c>
      <c r="O22" s="322">
        <f t="shared" si="5"/>
        <v>0.01</v>
      </c>
      <c r="P22" s="830">
        <f t="shared" si="6"/>
        <v>0.02</v>
      </c>
      <c r="Q22" s="1731" t="s">
        <v>16</v>
      </c>
      <c r="R22" s="1732">
        <f t="shared" si="8"/>
        <v>0.33</v>
      </c>
      <c r="S22" s="1733">
        <f t="shared" si="9"/>
        <v>1</v>
      </c>
    </row>
    <row r="23" spans="1:19">
      <c r="A23" s="357" t="s">
        <v>30</v>
      </c>
      <c r="B23" s="357" t="s">
        <v>17</v>
      </c>
      <c r="C23" s="823">
        <f>(G23/J23)*F23</f>
        <v>1.04</v>
      </c>
      <c r="D23" s="802">
        <f t="shared" si="16"/>
        <v>1.1599999999999999</v>
      </c>
      <c r="E23" s="322">
        <f t="shared" si="17"/>
        <v>0.01</v>
      </c>
      <c r="F23" s="830">
        <f>'Table 7a '!D220</f>
        <v>2.21</v>
      </c>
      <c r="G23" s="823">
        <v>1.1200000000000001</v>
      </c>
      <c r="H23" s="802">
        <v>1.24</v>
      </c>
      <c r="I23" s="322">
        <v>0.01</v>
      </c>
      <c r="J23" s="830">
        <f>'Table 7a '!P220</f>
        <v>2.37</v>
      </c>
      <c r="K23" s="1704">
        <f t="shared" si="2"/>
        <v>7.0000000000000007E-2</v>
      </c>
      <c r="L23" s="23"/>
      <c r="M23" s="823">
        <f t="shared" si="3"/>
        <v>0.08</v>
      </c>
      <c r="N23" s="802">
        <f t="shared" si="4"/>
        <v>0.08</v>
      </c>
      <c r="O23" s="322">
        <f t="shared" si="5"/>
        <v>0</v>
      </c>
      <c r="P23" s="830">
        <f t="shared" si="6"/>
        <v>0.16</v>
      </c>
      <c r="Q23" s="1731">
        <f t="shared" si="7"/>
        <v>0.08</v>
      </c>
      <c r="R23" s="1732">
        <f t="shared" si="8"/>
        <v>7.0000000000000007E-2</v>
      </c>
      <c r="S23" s="1733">
        <f t="shared" si="9"/>
        <v>0</v>
      </c>
    </row>
    <row r="24" spans="1:19" ht="13.5" thickBot="1">
      <c r="A24" s="357" t="s">
        <v>31</v>
      </c>
      <c r="B24" s="133" t="s">
        <v>17</v>
      </c>
      <c r="C24" s="48">
        <v>0</v>
      </c>
      <c r="D24" s="712">
        <v>0.15</v>
      </c>
      <c r="E24" s="366">
        <v>0</v>
      </c>
      <c r="F24" s="874">
        <f>'Table 7a '!D231</f>
        <v>0.15</v>
      </c>
      <c r="G24" s="48">
        <v>0</v>
      </c>
      <c r="H24" s="712">
        <v>0.15</v>
      </c>
      <c r="I24" s="366">
        <v>0.16</v>
      </c>
      <c r="J24" s="874">
        <f>'Table 7a '!P231</f>
        <v>0.16</v>
      </c>
      <c r="K24" s="1705">
        <f t="shared" si="2"/>
        <v>7.0000000000000007E-2</v>
      </c>
      <c r="L24" s="23"/>
      <c r="M24" s="48">
        <f t="shared" si="3"/>
        <v>0</v>
      </c>
      <c r="N24" s="712">
        <f t="shared" si="4"/>
        <v>0</v>
      </c>
      <c r="O24" s="366">
        <f t="shared" si="5"/>
        <v>0.16</v>
      </c>
      <c r="P24" s="874">
        <f t="shared" si="6"/>
        <v>0.01</v>
      </c>
      <c r="Q24" s="1708" t="s">
        <v>16</v>
      </c>
      <c r="R24" s="1713">
        <f t="shared" si="8"/>
        <v>0</v>
      </c>
      <c r="S24" s="1712" t="s">
        <v>16</v>
      </c>
    </row>
    <row r="25" spans="1:19" ht="14.25" thickTop="1" thickBot="1">
      <c r="A25" s="3409" t="s">
        <v>32</v>
      </c>
      <c r="B25" s="3408"/>
      <c r="C25" s="34">
        <f>C5+C8+C11+C14+C16+C17+C20+C21+C22</f>
        <v>0.22</v>
      </c>
      <c r="D25" s="774">
        <f t="shared" ref="D25:F25" si="18">D5+D8+D11+D14+D16+D17+D20+D21+D22</f>
        <v>0.59</v>
      </c>
      <c r="E25" s="20">
        <f t="shared" si="18"/>
        <v>0.41</v>
      </c>
      <c r="F25" s="21">
        <f t="shared" si="18"/>
        <v>1.22</v>
      </c>
      <c r="G25" s="34">
        <f t="shared" ref="G25:I25" si="19">G5+G8+G11+G14+G16+G17+G20+G21+G22</f>
        <v>0.24</v>
      </c>
      <c r="H25" s="774">
        <f t="shared" si="19"/>
        <v>0.69</v>
      </c>
      <c r="I25" s="20">
        <f t="shared" si="19"/>
        <v>0.46</v>
      </c>
      <c r="J25" s="21">
        <f t="shared" ref="J25" si="20">J5+J8+J11+J14+J16+J17+J20+J21+J22</f>
        <v>1.39</v>
      </c>
      <c r="K25" s="1699">
        <f t="shared" si="2"/>
        <v>0.14000000000000001</v>
      </c>
      <c r="L25" s="23"/>
      <c r="M25" s="34">
        <f t="shared" si="3"/>
        <v>0.02</v>
      </c>
      <c r="N25" s="774">
        <f t="shared" si="4"/>
        <v>0.1</v>
      </c>
      <c r="O25" s="20">
        <f t="shared" si="5"/>
        <v>0.05</v>
      </c>
      <c r="P25" s="21">
        <f t="shared" si="6"/>
        <v>0.17</v>
      </c>
      <c r="Q25" s="1709">
        <f t="shared" si="7"/>
        <v>0.09</v>
      </c>
      <c r="R25" s="1714">
        <f t="shared" si="8"/>
        <v>0.17</v>
      </c>
      <c r="S25" s="1699">
        <f t="shared" si="9"/>
        <v>0.12</v>
      </c>
    </row>
    <row r="26" spans="1:19" ht="13.5" thickBot="1">
      <c r="A26" s="3427" t="s">
        <v>33</v>
      </c>
      <c r="B26" s="3428"/>
      <c r="C26" s="192">
        <f>C6+C9+C12+C15+C18+C19+C23+C24</f>
        <v>3.03</v>
      </c>
      <c r="D26" s="706">
        <f t="shared" ref="D26:F26" si="21">D6+D9+D12+D15+D18+D19+D23+D24</f>
        <v>2.97</v>
      </c>
      <c r="E26" s="253">
        <f t="shared" si="21"/>
        <v>0.27</v>
      </c>
      <c r="F26" s="191">
        <f t="shared" si="21"/>
        <v>6.15</v>
      </c>
      <c r="G26" s="192">
        <f t="shared" ref="G26:I26" si="22">G6+G9+G12+G15+G18+G19+G23+G24</f>
        <v>3.09</v>
      </c>
      <c r="H26" s="706">
        <f t="shared" si="22"/>
        <v>2.95</v>
      </c>
      <c r="I26" s="253">
        <f t="shared" si="22"/>
        <v>0.43</v>
      </c>
      <c r="J26" s="191">
        <f t="shared" ref="J26" si="23">J6+J9+J12+J15+J18+J19+J23+J24</f>
        <v>6.21</v>
      </c>
      <c r="K26" s="1701">
        <f t="shared" si="2"/>
        <v>0.01</v>
      </c>
      <c r="L26" s="23"/>
      <c r="M26" s="192">
        <f t="shared" si="3"/>
        <v>0.06</v>
      </c>
      <c r="N26" s="706">
        <f t="shared" si="4"/>
        <v>-0.02</v>
      </c>
      <c r="O26" s="253">
        <f t="shared" si="5"/>
        <v>0.16</v>
      </c>
      <c r="P26" s="191">
        <f t="shared" si="6"/>
        <v>0.06</v>
      </c>
      <c r="Q26" s="1711">
        <f t="shared" si="7"/>
        <v>0.02</v>
      </c>
      <c r="R26" s="1716">
        <f t="shared" si="8"/>
        <v>-0.01</v>
      </c>
      <c r="S26" s="1701">
        <f t="shared" si="9"/>
        <v>0.59</v>
      </c>
    </row>
    <row r="27" spans="1:19" ht="13.5" thickBot="1">
      <c r="A27" s="3427" t="s">
        <v>34</v>
      </c>
      <c r="B27" s="3445"/>
      <c r="C27" s="34">
        <f>C25+C26</f>
        <v>3.25</v>
      </c>
      <c r="D27" s="774">
        <f t="shared" ref="D27:F27" si="24">D25+D26</f>
        <v>3.56</v>
      </c>
      <c r="E27" s="20">
        <f t="shared" si="24"/>
        <v>0.68</v>
      </c>
      <c r="F27" s="21">
        <f t="shared" si="24"/>
        <v>7.37</v>
      </c>
      <c r="G27" s="34">
        <f t="shared" ref="G27" si="25">G25+G26</f>
        <v>3.33</v>
      </c>
      <c r="H27" s="774">
        <f t="shared" ref="H27" si="26">H25+H26</f>
        <v>3.64</v>
      </c>
      <c r="I27" s="20">
        <f t="shared" ref="I27:J27" si="27">I25+I26</f>
        <v>0.89</v>
      </c>
      <c r="J27" s="21">
        <f t="shared" si="27"/>
        <v>7.6</v>
      </c>
      <c r="K27" s="1699">
        <f t="shared" si="2"/>
        <v>0.03</v>
      </c>
      <c r="L27" s="23"/>
      <c r="M27" s="34">
        <f t="shared" si="3"/>
        <v>0.08</v>
      </c>
      <c r="N27" s="774">
        <f t="shared" si="4"/>
        <v>0.08</v>
      </c>
      <c r="O27" s="20">
        <f t="shared" si="5"/>
        <v>0.21</v>
      </c>
      <c r="P27" s="21">
        <f t="shared" si="6"/>
        <v>0.23</v>
      </c>
      <c r="Q27" s="1709">
        <f t="shared" si="7"/>
        <v>0.02</v>
      </c>
      <c r="R27" s="1714">
        <f t="shared" si="8"/>
        <v>0.02</v>
      </c>
      <c r="S27" s="1699">
        <f t="shared" si="9"/>
        <v>0.31</v>
      </c>
    </row>
    <row r="28" spans="1:19">
      <c r="A28" s="89" t="s">
        <v>35</v>
      </c>
      <c r="H28" s="256" t="s">
        <v>36</v>
      </c>
    </row>
    <row r="29" spans="1:19">
      <c r="A29" s="1" t="s">
        <v>68</v>
      </c>
    </row>
    <row r="30" spans="1:19">
      <c r="A30" s="1" t="s">
        <v>69</v>
      </c>
    </row>
    <row r="31" spans="1:19">
      <c r="A31" s="3304" t="s">
        <v>584</v>
      </c>
      <c r="B31" s="3304"/>
      <c r="C31" s="3304"/>
      <c r="D31" s="3304"/>
      <c r="E31" s="3304"/>
      <c r="F31" s="3304"/>
      <c r="G31" s="3304"/>
      <c r="H31" s="3304"/>
      <c r="I31" s="3304"/>
      <c r="J31" s="3304"/>
      <c r="K31" s="3304"/>
      <c r="L31" s="570"/>
      <c r="M31" s="570"/>
      <c r="N31" s="570"/>
      <c r="O31" s="570"/>
      <c r="P31" s="570"/>
      <c r="Q31" s="570"/>
      <c r="R31" s="570"/>
      <c r="S31" s="570"/>
    </row>
    <row r="32" spans="1:19">
      <c r="A32" s="3304" t="s">
        <v>585</v>
      </c>
      <c r="B32" s="3304"/>
      <c r="C32" s="3304"/>
      <c r="D32" s="3304"/>
      <c r="E32" s="3304"/>
      <c r="F32" s="3304"/>
      <c r="G32" s="3304"/>
      <c r="H32" s="3304"/>
      <c r="I32" s="3304"/>
      <c r="J32" s="3304"/>
      <c r="K32" s="3304"/>
      <c r="P32" s="1" t="s">
        <v>36</v>
      </c>
    </row>
    <row r="33" spans="1:19">
      <c r="A33" s="3304" t="s">
        <v>586</v>
      </c>
      <c r="B33" s="3304"/>
      <c r="C33" s="3304"/>
      <c r="D33" s="3304"/>
      <c r="E33" s="3304"/>
      <c r="F33" s="3304"/>
      <c r="G33" s="3304"/>
      <c r="H33" s="3304"/>
      <c r="I33" s="3304"/>
      <c r="J33" s="3304"/>
      <c r="K33" s="3304"/>
    </row>
    <row r="35" spans="1:19" ht="28.5" customHeight="1" thickBot="1">
      <c r="A35" s="3224" t="s">
        <v>587</v>
      </c>
      <c r="B35" s="3224"/>
      <c r="C35" s="3224"/>
      <c r="D35" s="3224"/>
      <c r="E35" s="3224"/>
      <c r="F35" s="3224"/>
      <c r="G35" s="3224"/>
      <c r="H35" s="3224"/>
      <c r="I35" s="3224"/>
      <c r="J35" s="3224"/>
    </row>
    <row r="36" spans="1:19">
      <c r="A36" s="3204" t="s">
        <v>1</v>
      </c>
      <c r="B36" s="3206" t="s">
        <v>2</v>
      </c>
      <c r="C36" s="3446" t="s">
        <v>578</v>
      </c>
      <c r="D36" s="3447"/>
      <c r="E36" s="3447"/>
      <c r="F36" s="3448"/>
      <c r="G36" s="3446" t="s">
        <v>579</v>
      </c>
      <c r="H36" s="3447"/>
      <c r="I36" s="3447"/>
      <c r="J36" s="3448"/>
      <c r="K36" s="3442" t="s">
        <v>57</v>
      </c>
      <c r="M36" s="3365" t="s">
        <v>80</v>
      </c>
      <c r="N36" s="3366"/>
      <c r="O36" s="3366"/>
      <c r="P36" s="3318"/>
      <c r="Q36" s="3365" t="s">
        <v>580</v>
      </c>
      <c r="R36" s="3366"/>
      <c r="S36" s="3318"/>
    </row>
    <row r="37" spans="1:19" ht="13.5" thickBot="1">
      <c r="A37" s="3205"/>
      <c r="B37" s="3207"/>
      <c r="C37" s="3449"/>
      <c r="D37" s="3450"/>
      <c r="E37" s="3450"/>
      <c r="F37" s="3451"/>
      <c r="G37" s="3449"/>
      <c r="H37" s="3450"/>
      <c r="I37" s="3450"/>
      <c r="J37" s="3451"/>
      <c r="K37" s="3443"/>
      <c r="M37" s="3367"/>
      <c r="N37" s="3368"/>
      <c r="O37" s="3368"/>
      <c r="P37" s="3374"/>
      <c r="Q37" s="3367"/>
      <c r="R37" s="3368"/>
      <c r="S37" s="3374"/>
    </row>
    <row r="38" spans="1:19" ht="13.5" thickBot="1">
      <c r="A38" s="3485"/>
      <c r="B38" s="3208"/>
      <c r="C38" s="1130" t="s">
        <v>581</v>
      </c>
      <c r="D38" s="1697" t="s">
        <v>582</v>
      </c>
      <c r="E38" s="1131" t="s">
        <v>583</v>
      </c>
      <c r="F38" s="1132" t="s">
        <v>18</v>
      </c>
      <c r="G38" s="1130" t="s">
        <v>581</v>
      </c>
      <c r="H38" s="1697" t="s">
        <v>582</v>
      </c>
      <c r="I38" s="1131" t="s">
        <v>583</v>
      </c>
      <c r="J38" s="1132" t="s">
        <v>18</v>
      </c>
      <c r="K38" s="3444"/>
      <c r="M38" s="1945" t="s">
        <v>581</v>
      </c>
      <c r="N38" s="1682" t="s">
        <v>582</v>
      </c>
      <c r="O38" s="1707" t="s">
        <v>583</v>
      </c>
      <c r="P38" s="3042" t="s">
        <v>18</v>
      </c>
      <c r="Q38" s="3047" t="s">
        <v>581</v>
      </c>
      <c r="R38" s="994" t="s">
        <v>582</v>
      </c>
      <c r="S38" s="3048" t="s">
        <v>583</v>
      </c>
    </row>
    <row r="39" spans="1:19">
      <c r="A39" s="443" t="s">
        <v>46</v>
      </c>
      <c r="B39" s="443" t="s">
        <v>17</v>
      </c>
      <c r="C39" s="47">
        <v>0</v>
      </c>
      <c r="D39" s="181">
        <f t="shared" ref="D39:D41" si="28">(H39/J39)*F39</f>
        <v>0.06</v>
      </c>
      <c r="E39" s="14">
        <f t="shared" ref="E39:E41" si="29">(I39/J39)*F39</f>
        <v>0.05</v>
      </c>
      <c r="F39" s="15">
        <f>'Table 7a '!D288</f>
        <v>0.12</v>
      </c>
      <c r="G39" s="47">
        <v>0</v>
      </c>
      <c r="H39" s="181">
        <v>0.05</v>
      </c>
      <c r="I39" s="14">
        <v>0.04</v>
      </c>
      <c r="J39" s="784">
        <f>'Table 7a '!P288</f>
        <v>0.1</v>
      </c>
      <c r="K39" s="193">
        <f>(J39-F39)/F39</f>
        <v>-0.17</v>
      </c>
      <c r="L39" s="23"/>
      <c r="M39" s="47">
        <f>G39-C39</f>
        <v>0</v>
      </c>
      <c r="N39" s="181">
        <f>H39-D39</f>
        <v>-0.01</v>
      </c>
      <c r="O39" s="14">
        <f>I39-E39</f>
        <v>-0.01</v>
      </c>
      <c r="P39" s="15">
        <f>J39-F39</f>
        <v>-0.02</v>
      </c>
      <c r="Q39" s="1717" t="s">
        <v>16</v>
      </c>
      <c r="R39" s="1718">
        <f>N39/D39</f>
        <v>-0.17</v>
      </c>
      <c r="S39" s="240">
        <f t="shared" ref="S39:S45" si="30">O39/E39</f>
        <v>-0.2</v>
      </c>
    </row>
    <row r="40" spans="1:19">
      <c r="A40" s="455" t="s">
        <v>47</v>
      </c>
      <c r="B40" s="455" t="s">
        <v>17</v>
      </c>
      <c r="C40" s="823">
        <v>0</v>
      </c>
      <c r="D40" s="802">
        <f t="shared" si="28"/>
        <v>0.18</v>
      </c>
      <c r="E40" s="322">
        <f t="shared" si="29"/>
        <v>0.06</v>
      </c>
      <c r="F40" s="830">
        <f>'Table 7a '!D299</f>
        <v>0.25</v>
      </c>
      <c r="G40" s="823">
        <v>0</v>
      </c>
      <c r="H40" s="802">
        <v>0.15</v>
      </c>
      <c r="I40" s="322">
        <v>0.05</v>
      </c>
      <c r="J40" s="998">
        <f>'Table 7a '!P299</f>
        <v>0.21</v>
      </c>
      <c r="K40" s="319">
        <f t="shared" ref="K40:K45" si="31">(J40-F40)/F40</f>
        <v>-0.16</v>
      </c>
      <c r="L40" s="23"/>
      <c r="M40" s="47">
        <f t="shared" ref="M40:M45" si="32">G40-C40</f>
        <v>0</v>
      </c>
      <c r="N40" s="181">
        <f t="shared" ref="N40:N45" si="33">H40-D40</f>
        <v>-0.03</v>
      </c>
      <c r="O40" s="14">
        <f t="shared" ref="O40:O45" si="34">I40-E40</f>
        <v>-0.01</v>
      </c>
      <c r="P40" s="15">
        <f t="shared" ref="P40:P45" si="35">J40-F40</f>
        <v>-0.04</v>
      </c>
      <c r="Q40" s="1717" t="s">
        <v>16</v>
      </c>
      <c r="R40" s="1718">
        <f t="shared" ref="R40:R45" si="36">N40/D40</f>
        <v>-0.17</v>
      </c>
      <c r="S40" s="240">
        <f t="shared" si="30"/>
        <v>-0.17</v>
      </c>
    </row>
    <row r="41" spans="1:19">
      <c r="A41" s="455" t="s">
        <v>48</v>
      </c>
      <c r="B41" s="455" t="s">
        <v>17</v>
      </c>
      <c r="C41" s="823">
        <f>(G41/J41)*F41</f>
        <v>1.3</v>
      </c>
      <c r="D41" s="802">
        <f t="shared" si="28"/>
        <v>0.42</v>
      </c>
      <c r="E41" s="322">
        <f t="shared" si="29"/>
        <v>0.01</v>
      </c>
      <c r="F41" s="830">
        <f>'Table 7a '!D310</f>
        <v>1.72</v>
      </c>
      <c r="G41" s="823">
        <v>1.26</v>
      </c>
      <c r="H41" s="802">
        <v>0.41</v>
      </c>
      <c r="I41" s="322">
        <v>0.01</v>
      </c>
      <c r="J41" s="998">
        <f>'Table 7a '!P310</f>
        <v>1.67</v>
      </c>
      <c r="K41" s="319">
        <f t="shared" si="31"/>
        <v>-0.03</v>
      </c>
      <c r="L41" s="23"/>
      <c r="M41" s="47">
        <f t="shared" si="32"/>
        <v>-0.04</v>
      </c>
      <c r="N41" s="181">
        <f t="shared" si="33"/>
        <v>-0.01</v>
      </c>
      <c r="O41" s="14">
        <f t="shared" si="34"/>
        <v>0</v>
      </c>
      <c r="P41" s="15">
        <f t="shared" si="35"/>
        <v>-0.05</v>
      </c>
      <c r="Q41" s="1717">
        <f t="shared" ref="Q41:Q45" si="37">M41/C41</f>
        <v>-0.03</v>
      </c>
      <c r="R41" s="1718">
        <f t="shared" si="36"/>
        <v>-0.02</v>
      </c>
      <c r="S41" s="240">
        <f t="shared" si="30"/>
        <v>0</v>
      </c>
    </row>
    <row r="42" spans="1:19">
      <c r="A42" s="134" t="s">
        <v>539</v>
      </c>
      <c r="B42" s="134" t="s">
        <v>17</v>
      </c>
      <c r="C42" s="47">
        <v>0</v>
      </c>
      <c r="D42" s="181">
        <v>0.71</v>
      </c>
      <c r="E42" s="14">
        <v>0</v>
      </c>
      <c r="F42" s="15">
        <f>'Table 7a '!D321</f>
        <v>0.72</v>
      </c>
      <c r="G42" s="47">
        <v>0</v>
      </c>
      <c r="H42" s="181">
        <v>0.69</v>
      </c>
      <c r="I42" s="14">
        <v>0</v>
      </c>
      <c r="J42" s="784">
        <f>'Table 7a '!P321</f>
        <v>0.69</v>
      </c>
      <c r="K42" s="319">
        <f t="shared" si="31"/>
        <v>-0.04</v>
      </c>
      <c r="L42" s="23"/>
      <c r="M42" s="47">
        <f t="shared" si="32"/>
        <v>0</v>
      </c>
      <c r="N42" s="181">
        <f t="shared" si="33"/>
        <v>-0.02</v>
      </c>
      <c r="O42" s="14">
        <f t="shared" si="34"/>
        <v>0</v>
      </c>
      <c r="P42" s="15">
        <f t="shared" si="35"/>
        <v>-0.03</v>
      </c>
      <c r="Q42" s="1717" t="s">
        <v>16</v>
      </c>
      <c r="R42" s="1718">
        <f t="shared" si="36"/>
        <v>-0.03</v>
      </c>
      <c r="S42" s="240" t="s">
        <v>16</v>
      </c>
    </row>
    <row r="43" spans="1:19">
      <c r="A43" s="365" t="s">
        <v>50</v>
      </c>
      <c r="B43" s="365" t="s">
        <v>17</v>
      </c>
      <c r="C43" s="823">
        <f>(G43/J43)*F43</f>
        <v>0.69</v>
      </c>
      <c r="D43" s="802">
        <f t="shared" ref="D43:D44" si="38">(H43/J43)*F43</f>
        <v>0.47</v>
      </c>
      <c r="E43" s="322">
        <f t="shared" ref="E43:E44" si="39">(I43/J43)*F43</f>
        <v>0.02</v>
      </c>
      <c r="F43" s="830">
        <f>'Table 7a '!D335</f>
        <v>1.18</v>
      </c>
      <c r="G43" s="823">
        <v>0.71</v>
      </c>
      <c r="H43" s="802">
        <v>0.49</v>
      </c>
      <c r="I43" s="322">
        <v>0.02</v>
      </c>
      <c r="J43" s="998">
        <f>'Table 7a '!P335</f>
        <v>1.22</v>
      </c>
      <c r="K43" s="319">
        <f t="shared" si="31"/>
        <v>0.03</v>
      </c>
      <c r="L43" s="23"/>
      <c r="M43" s="47">
        <f t="shared" si="32"/>
        <v>0.02</v>
      </c>
      <c r="N43" s="181">
        <f t="shared" si="33"/>
        <v>0.02</v>
      </c>
      <c r="O43" s="14">
        <f t="shared" si="34"/>
        <v>0</v>
      </c>
      <c r="P43" s="15">
        <f t="shared" si="35"/>
        <v>0.04</v>
      </c>
      <c r="Q43" s="1717">
        <f t="shared" si="37"/>
        <v>0.03</v>
      </c>
      <c r="R43" s="1718">
        <f t="shared" si="36"/>
        <v>0.04</v>
      </c>
      <c r="S43" s="240">
        <f t="shared" si="30"/>
        <v>0</v>
      </c>
    </row>
    <row r="44" spans="1:19" ht="13.5" thickBot="1">
      <c r="A44" s="133" t="s">
        <v>51</v>
      </c>
      <c r="B44" s="133" t="s">
        <v>17</v>
      </c>
      <c r="C44" s="48">
        <v>0</v>
      </c>
      <c r="D44" s="712">
        <f t="shared" si="38"/>
        <v>7.0000000000000007E-2</v>
      </c>
      <c r="E44" s="366">
        <f t="shared" si="39"/>
        <v>0.01</v>
      </c>
      <c r="F44" s="874">
        <f>'Table 7a '!D346</f>
        <v>0.08</v>
      </c>
      <c r="G44" s="48">
        <v>0</v>
      </c>
      <c r="H44" s="712">
        <v>0.08</v>
      </c>
      <c r="I44" s="366">
        <v>0.01</v>
      </c>
      <c r="J44" s="1734">
        <f>'Table 7a '!P346</f>
        <v>0.09</v>
      </c>
      <c r="K44" s="194">
        <f t="shared" si="31"/>
        <v>0.13</v>
      </c>
      <c r="L44" s="23"/>
      <c r="M44" s="48">
        <f t="shared" si="32"/>
        <v>0</v>
      </c>
      <c r="N44" s="712">
        <f t="shared" si="33"/>
        <v>0.01</v>
      </c>
      <c r="O44" s="366">
        <f t="shared" si="34"/>
        <v>0</v>
      </c>
      <c r="P44" s="874">
        <f t="shared" si="35"/>
        <v>0.01</v>
      </c>
      <c r="Q44" s="1735" t="s">
        <v>16</v>
      </c>
      <c r="R44" s="1736">
        <f t="shared" si="36"/>
        <v>0.14000000000000001</v>
      </c>
      <c r="S44" s="1737">
        <f t="shared" si="30"/>
        <v>0</v>
      </c>
    </row>
    <row r="45" spans="1:19" ht="14.25" thickTop="1" thickBot="1">
      <c r="A45" s="3406" t="s">
        <v>52</v>
      </c>
      <c r="B45" s="3408"/>
      <c r="C45" s="34">
        <f>SUM(C39:C44)</f>
        <v>1.99</v>
      </c>
      <c r="D45" s="774">
        <f t="shared" ref="D45:J45" si="40">SUM(D39:D44)</f>
        <v>1.91</v>
      </c>
      <c r="E45" s="20">
        <f t="shared" si="40"/>
        <v>0.15</v>
      </c>
      <c r="F45" s="21">
        <f t="shared" si="40"/>
        <v>4.07</v>
      </c>
      <c r="G45" s="34">
        <f t="shared" si="40"/>
        <v>1.97</v>
      </c>
      <c r="H45" s="774">
        <f t="shared" si="40"/>
        <v>1.87</v>
      </c>
      <c r="I45" s="20">
        <f t="shared" si="40"/>
        <v>0.13</v>
      </c>
      <c r="J45" s="303">
        <f t="shared" si="40"/>
        <v>3.98</v>
      </c>
      <c r="K45" s="195">
        <f t="shared" si="31"/>
        <v>-0.02</v>
      </c>
      <c r="L45" s="23"/>
      <c r="M45" s="34">
        <f t="shared" si="32"/>
        <v>-0.02</v>
      </c>
      <c r="N45" s="774">
        <f t="shared" si="33"/>
        <v>-0.04</v>
      </c>
      <c r="O45" s="20">
        <f t="shared" si="34"/>
        <v>-0.02</v>
      </c>
      <c r="P45" s="21">
        <f t="shared" si="35"/>
        <v>-0.09</v>
      </c>
      <c r="Q45" s="1738">
        <f t="shared" si="37"/>
        <v>-0.01</v>
      </c>
      <c r="R45" s="1739">
        <f t="shared" si="36"/>
        <v>-0.02</v>
      </c>
      <c r="S45" s="334">
        <f t="shared" si="30"/>
        <v>-0.13</v>
      </c>
    </row>
    <row r="46" spans="1:19">
      <c r="A46" s="89" t="s">
        <v>35</v>
      </c>
      <c r="H46" s="256" t="s">
        <v>36</v>
      </c>
    </row>
    <row r="47" spans="1:19">
      <c r="A47" s="1" t="s">
        <v>68</v>
      </c>
    </row>
    <row r="48" spans="1:19">
      <c r="A48" s="1" t="s">
        <v>69</v>
      </c>
    </row>
    <row r="49" spans="1:11" ht="12.75" customHeight="1">
      <c r="A49" s="3304" t="s">
        <v>584</v>
      </c>
      <c r="B49" s="3304"/>
      <c r="C49" s="3304"/>
      <c r="D49" s="3304"/>
      <c r="E49" s="3304"/>
      <c r="F49" s="3304"/>
      <c r="G49" s="3304"/>
      <c r="H49" s="3304"/>
      <c r="I49" s="3304"/>
      <c r="J49" s="3304"/>
      <c r="K49" s="3304"/>
    </row>
    <row r="50" spans="1:11">
      <c r="A50" s="3304" t="s">
        <v>585</v>
      </c>
      <c r="B50" s="3304"/>
      <c r="C50" s="3304"/>
      <c r="D50" s="3304"/>
      <c r="E50" s="3304"/>
      <c r="F50" s="3304"/>
      <c r="G50" s="3304"/>
      <c r="H50" s="3304"/>
      <c r="I50" s="3304"/>
      <c r="J50" s="3304"/>
      <c r="K50" s="3304"/>
    </row>
    <row r="51" spans="1:11">
      <c r="A51" s="3304" t="s">
        <v>586</v>
      </c>
      <c r="B51" s="3304"/>
      <c r="C51" s="3304"/>
      <c r="D51" s="3304"/>
      <c r="E51" s="3304"/>
      <c r="F51" s="3304"/>
      <c r="G51" s="3304"/>
      <c r="H51" s="3304"/>
      <c r="I51" s="3304"/>
      <c r="J51" s="3304"/>
      <c r="K51" s="3304"/>
    </row>
  </sheetData>
  <mergeCells count="26">
    <mergeCell ref="A49:K49"/>
    <mergeCell ref="K36:K38"/>
    <mergeCell ref="A51:K51"/>
    <mergeCell ref="A50:K50"/>
    <mergeCell ref="A31:K31"/>
    <mergeCell ref="A32:K32"/>
    <mergeCell ref="A35:J35"/>
    <mergeCell ref="B36:B38"/>
    <mergeCell ref="C36:F37"/>
    <mergeCell ref="G36:J37"/>
    <mergeCell ref="A25:B25"/>
    <mergeCell ref="A26:B26"/>
    <mergeCell ref="A27:B27"/>
    <mergeCell ref="C2:F3"/>
    <mergeCell ref="G2:J3"/>
    <mergeCell ref="K2:K4"/>
    <mergeCell ref="A1:K1"/>
    <mergeCell ref="M2:P3"/>
    <mergeCell ref="Q2:S3"/>
    <mergeCell ref="A2:A4"/>
    <mergeCell ref="B2:B4"/>
    <mergeCell ref="M36:P37"/>
    <mergeCell ref="Q36:S37"/>
    <mergeCell ref="A45:B45"/>
    <mergeCell ref="A36:A38"/>
    <mergeCell ref="A33:K33"/>
  </mergeCells>
  <pageMargins left="0.7" right="0.7" top="0.75" bottom="0.75" header="0.3" footer="0.3"/>
  <pageSetup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52"/>
  <sheetViews>
    <sheetView workbookViewId="0">
      <pane xSplit="1" ySplit="4" topLeftCell="B34" activePane="bottomRight" state="frozen"/>
      <selection pane="bottomRight" activeCell="A34" sqref="A34"/>
      <selection pane="bottomLeft" activeCell="A5" sqref="A5"/>
      <selection pane="topRight" activeCell="B1" sqref="B1"/>
    </sheetView>
  </sheetViews>
  <sheetFormatPr defaultColWidth="9.140625" defaultRowHeight="12.75"/>
  <cols>
    <col min="1" max="1" width="13.42578125" style="1" customWidth="1"/>
    <col min="2" max="7" width="9.140625" style="1" customWidth="1"/>
    <col min="8" max="19" width="9.140625" style="1"/>
    <col min="20" max="23" width="9.140625" style="1" customWidth="1"/>
    <col min="24" max="24" width="10.28515625" style="1" customWidth="1"/>
    <col min="25" max="25" width="9.7109375" style="1" customWidth="1"/>
    <col min="26" max="26" width="9.140625" style="1" customWidth="1"/>
    <col min="27" max="27" width="9" style="1" customWidth="1"/>
    <col min="28" max="28" width="11.140625" style="1" customWidth="1"/>
    <col min="29" max="29" width="11.140625" style="1" hidden="1" customWidth="1"/>
    <col min="30" max="34" width="9.140625" style="1" customWidth="1"/>
    <col min="35" max="35" width="9.140625" style="1"/>
    <col min="36" max="39" width="10.7109375" style="1" hidden="1" customWidth="1"/>
    <col min="40" max="16384" width="9.140625" style="1"/>
  </cols>
  <sheetData>
    <row r="1" spans="1:39" ht="26.25" customHeight="1" thickBot="1">
      <c r="A1" s="3402" t="s">
        <v>588</v>
      </c>
      <c r="B1" s="3402"/>
      <c r="C1" s="3402"/>
      <c r="D1" s="3402"/>
      <c r="E1" s="3402"/>
      <c r="F1" s="3402"/>
      <c r="G1" s="3402"/>
      <c r="H1" s="3402"/>
      <c r="I1" s="3402"/>
      <c r="J1" s="3402"/>
      <c r="K1" s="3402"/>
      <c r="L1" s="3402"/>
      <c r="M1" s="3402"/>
      <c r="N1" s="3402"/>
      <c r="O1" s="3402"/>
      <c r="P1" s="3402"/>
      <c r="Q1" s="3402"/>
      <c r="R1" s="3402"/>
      <c r="S1" s="3402"/>
      <c r="T1" s="3402"/>
      <c r="U1" s="3402"/>
      <c r="V1" s="3402"/>
      <c r="W1" s="3402"/>
      <c r="X1" s="3402"/>
      <c r="Y1" s="3402"/>
      <c r="Z1" s="3402"/>
      <c r="AA1" s="3402"/>
      <c r="AJ1" s="3416" t="s">
        <v>528</v>
      </c>
      <c r="AK1" s="3416"/>
      <c r="AL1" s="3416" t="s">
        <v>529</v>
      </c>
      <c r="AM1" s="3416"/>
    </row>
    <row r="2" spans="1:39" ht="15.75" customHeight="1" thickBot="1">
      <c r="A2" s="3181" t="s">
        <v>1</v>
      </c>
      <c r="B2" s="3362" t="s">
        <v>2</v>
      </c>
      <c r="C2" s="3262" t="s">
        <v>55</v>
      </c>
      <c r="D2" s="3262"/>
      <c r="E2" s="3263"/>
      <c r="F2" s="3261" t="s">
        <v>56</v>
      </c>
      <c r="G2" s="3262"/>
      <c r="H2" s="3262"/>
      <c r="I2" s="3262"/>
      <c r="J2" s="3262"/>
      <c r="K2" s="3262"/>
      <c r="L2" s="3262"/>
      <c r="M2" s="3262"/>
      <c r="N2" s="3262"/>
      <c r="O2" s="3262"/>
      <c r="P2" s="3262"/>
      <c r="Q2" s="3262"/>
      <c r="R2" s="3262"/>
      <c r="S2" s="3262"/>
      <c r="T2" s="3262"/>
      <c r="U2" s="3262"/>
      <c r="V2" s="3262"/>
      <c r="W2" s="3263"/>
      <c r="X2" s="3300" t="s">
        <v>57</v>
      </c>
      <c r="Y2" s="3261" t="s">
        <v>58</v>
      </c>
      <c r="Z2" s="3262"/>
      <c r="AA2" s="3263"/>
      <c r="AB2" s="185"/>
      <c r="AC2" s="3300" t="s">
        <v>80</v>
      </c>
    </row>
    <row r="3" spans="1:39" ht="15" customHeight="1">
      <c r="A3" s="3361"/>
      <c r="B3" s="3363"/>
      <c r="C3" s="3351">
        <v>2015</v>
      </c>
      <c r="D3" s="3352"/>
      <c r="E3" s="3353"/>
      <c r="F3" s="3373">
        <v>2020</v>
      </c>
      <c r="G3" s="3349"/>
      <c r="H3" s="3350"/>
      <c r="I3" s="3351">
        <v>2025</v>
      </c>
      <c r="J3" s="3352"/>
      <c r="K3" s="3353"/>
      <c r="L3" s="3258">
        <v>2030</v>
      </c>
      <c r="M3" s="3264"/>
      <c r="N3" s="3245"/>
      <c r="O3" s="3351">
        <v>2035</v>
      </c>
      <c r="P3" s="3352"/>
      <c r="Q3" s="3353"/>
      <c r="R3" s="3373">
        <v>2040</v>
      </c>
      <c r="S3" s="3349"/>
      <c r="T3" s="3350"/>
      <c r="U3" s="3373">
        <v>2045</v>
      </c>
      <c r="V3" s="3349"/>
      <c r="W3" s="3350"/>
      <c r="X3" s="3301"/>
      <c r="Y3" s="3357">
        <v>2045</v>
      </c>
      <c r="Z3" s="3357"/>
      <c r="AA3" s="3358"/>
      <c r="AC3" s="3301"/>
    </row>
    <row r="4" spans="1:39" ht="15.75" customHeight="1" thickBot="1">
      <c r="A4" s="3488"/>
      <c r="B4" s="3364"/>
      <c r="C4" s="1127" t="s">
        <v>60</v>
      </c>
      <c r="D4" s="1128" t="s">
        <v>61</v>
      </c>
      <c r="E4" s="1129" t="s">
        <v>18</v>
      </c>
      <c r="F4" s="1130" t="s">
        <v>60</v>
      </c>
      <c r="G4" s="1131" t="s">
        <v>61</v>
      </c>
      <c r="H4" s="1132" t="s">
        <v>18</v>
      </c>
      <c r="I4" s="1127" t="s">
        <v>60</v>
      </c>
      <c r="J4" s="1128" t="s">
        <v>61</v>
      </c>
      <c r="K4" s="1129" t="s">
        <v>18</v>
      </c>
      <c r="L4" s="1130" t="s">
        <v>60</v>
      </c>
      <c r="M4" s="1131" t="s">
        <v>61</v>
      </c>
      <c r="N4" s="1132" t="s">
        <v>18</v>
      </c>
      <c r="O4" s="1127" t="s">
        <v>60</v>
      </c>
      <c r="P4" s="1128" t="s">
        <v>61</v>
      </c>
      <c r="Q4" s="1129" t="s">
        <v>18</v>
      </c>
      <c r="R4" s="1130" t="s">
        <v>60</v>
      </c>
      <c r="S4" s="1131" t="s">
        <v>61</v>
      </c>
      <c r="T4" s="1132" t="s">
        <v>18</v>
      </c>
      <c r="U4" s="1130" t="s">
        <v>60</v>
      </c>
      <c r="V4" s="1131" t="s">
        <v>61</v>
      </c>
      <c r="W4" s="1132" t="s">
        <v>18</v>
      </c>
      <c r="X4" s="3302"/>
      <c r="Y4" s="1133" t="s">
        <v>60</v>
      </c>
      <c r="Z4" s="1134" t="s">
        <v>61</v>
      </c>
      <c r="AA4" s="1135" t="s">
        <v>18</v>
      </c>
      <c r="AC4" s="3302"/>
    </row>
    <row r="5" spans="1:39">
      <c r="A5" s="443" t="s">
        <v>278</v>
      </c>
      <c r="B5" s="1120" t="s">
        <v>15</v>
      </c>
      <c r="C5" s="1121">
        <v>0.19</v>
      </c>
      <c r="D5" s="1122">
        <f>E5-C5</f>
        <v>0.08</v>
      </c>
      <c r="E5" s="1123">
        <f>'Table 8a'!D4</f>
        <v>0.27</v>
      </c>
      <c r="F5" s="1124">
        <f>H5-G5</f>
        <v>0.2</v>
      </c>
      <c r="G5" s="1125">
        <f>($D5/$E5)*H5</f>
        <v>0.08</v>
      </c>
      <c r="H5" s="1126">
        <f>E5+'Table 8a'!AD4</f>
        <v>0.28000000000000003</v>
      </c>
      <c r="I5" s="1121">
        <f>K5-J5</f>
        <v>0.2</v>
      </c>
      <c r="J5" s="1122">
        <f>($D5/$E5)*K5</f>
        <v>0.08</v>
      </c>
      <c r="K5" s="1123">
        <f>H5+'Table 8a'!AE4</f>
        <v>0.28000000000000003</v>
      </c>
      <c r="L5" s="1124">
        <f>N5-M5</f>
        <v>0.2</v>
      </c>
      <c r="M5" s="1125">
        <f>($D5/$E5)*N5</f>
        <v>0.08</v>
      </c>
      <c r="N5" s="1126">
        <f>K5+'Table 8a'!AF4</f>
        <v>0.28000000000000003</v>
      </c>
      <c r="O5" s="584">
        <f>Q5-P5</f>
        <v>0.2</v>
      </c>
      <c r="P5" s="445">
        <f>($D5/$E5)*Q5</f>
        <v>0.08</v>
      </c>
      <c r="Q5" s="449">
        <f>N5+'Table 8a'!AG4</f>
        <v>0.28000000000000003</v>
      </c>
      <c r="R5" s="444">
        <f>T5-S5</f>
        <v>0.2</v>
      </c>
      <c r="S5" s="585">
        <f>($D5/$E5)*T5</f>
        <v>0.08</v>
      </c>
      <c r="T5" s="450">
        <f>Q5+'Table 8a'!AH4</f>
        <v>0.28000000000000003</v>
      </c>
      <c r="U5" s="444">
        <f>W5-V5</f>
        <v>0.2</v>
      </c>
      <c r="V5" s="585">
        <f>($D5/$E5)*W5</f>
        <v>0.08</v>
      </c>
      <c r="W5" s="450">
        <f>T5+'Table 8a'!AI4</f>
        <v>0.28000000000000003</v>
      </c>
      <c r="X5" s="744">
        <f>(W5-E5)/E5</f>
        <v>0.04</v>
      </c>
      <c r="Y5" s="47">
        <f>AA5-Z5</f>
        <v>0.34</v>
      </c>
      <c r="Z5" s="761">
        <f>($D5/$E5)*AA5</f>
        <v>0.14000000000000001</v>
      </c>
      <c r="AA5" s="141">
        <f>(W5*'Table 8a'!J4)+'Table 8'!W5</f>
        <v>0.48</v>
      </c>
      <c r="AC5" s="1597">
        <f>W5-E5</f>
        <v>0.01</v>
      </c>
    </row>
    <row r="6" spans="1:39" ht="13.5" thickBot="1">
      <c r="A6" s="607" t="s">
        <v>278</v>
      </c>
      <c r="B6" s="608" t="s">
        <v>17</v>
      </c>
      <c r="C6" s="609">
        <v>1.04</v>
      </c>
      <c r="D6" s="610">
        <f>E6-C6</f>
        <v>0</v>
      </c>
      <c r="E6" s="611">
        <f>'Table 8a'!D5</f>
        <v>1.04</v>
      </c>
      <c r="F6" s="612">
        <f>H6-G6</f>
        <v>1.21</v>
      </c>
      <c r="G6" s="613">
        <f>($D6/$E6)*H6</f>
        <v>0</v>
      </c>
      <c r="H6" s="614">
        <f>E6+'Table 8a'!AD5</f>
        <v>1.21</v>
      </c>
      <c r="I6" s="609">
        <f>K6-J6</f>
        <v>1.34</v>
      </c>
      <c r="J6" s="610">
        <f>($D6/$E6)*K6</f>
        <v>0</v>
      </c>
      <c r="K6" s="611">
        <f>H6+'Table 8a'!AE5</f>
        <v>1.34</v>
      </c>
      <c r="L6" s="612">
        <f>N6-M6</f>
        <v>1.45</v>
      </c>
      <c r="M6" s="613">
        <f>($D6/$E6)*N6</f>
        <v>0</v>
      </c>
      <c r="N6" s="614">
        <f>K6+'Table 8a'!AF5</f>
        <v>1.45</v>
      </c>
      <c r="O6" s="615">
        <f>Q6-P6</f>
        <v>1.6</v>
      </c>
      <c r="P6" s="616">
        <f>($D6/$E6)*Q6</f>
        <v>0</v>
      </c>
      <c r="Q6" s="617">
        <f>N6+'Table 8a'!AG5</f>
        <v>1.6</v>
      </c>
      <c r="R6" s="556">
        <f>T6-S6</f>
        <v>1.7</v>
      </c>
      <c r="S6" s="557">
        <f>($D6/$E6)*T6</f>
        <v>0</v>
      </c>
      <c r="T6" s="558">
        <f>Q6+'Table 8a'!AH5</f>
        <v>1.7</v>
      </c>
      <c r="U6" s="556">
        <f>W6-V6</f>
        <v>1.78</v>
      </c>
      <c r="V6" s="557">
        <f>($D6/$E6)*W6</f>
        <v>0</v>
      </c>
      <c r="W6" s="558">
        <f>T6+'Table 8a'!AI5</f>
        <v>1.78</v>
      </c>
      <c r="X6" s="648">
        <f t="shared" ref="X6:X27" si="0">(W6-E6)/E6</f>
        <v>0.71</v>
      </c>
      <c r="Y6" s="136">
        <f>AA6-Z6</f>
        <v>1.8</v>
      </c>
      <c r="Z6" s="604">
        <f>($D6/$E6)*AA6</f>
        <v>0</v>
      </c>
      <c r="AA6" s="327">
        <f>(W6*'Table 8a'!J5)+'Table 8'!W6</f>
        <v>1.8</v>
      </c>
      <c r="AC6" s="1595">
        <f t="shared" ref="AC6:AC27" si="1">W6-E6</f>
        <v>0.74</v>
      </c>
    </row>
    <row r="7" spans="1:39" s="22" customFormat="1" ht="14.25" thickTop="1" thickBot="1">
      <c r="A7" s="476" t="s">
        <v>278</v>
      </c>
      <c r="B7" s="618" t="s">
        <v>18</v>
      </c>
      <c r="C7" s="619">
        <f>SUM(C5:C6)</f>
        <v>1.23</v>
      </c>
      <c r="D7" s="620">
        <f t="shared" ref="D7:W7" si="2">SUM(D5:D6)</f>
        <v>0.08</v>
      </c>
      <c r="E7" s="621">
        <f t="shared" si="2"/>
        <v>1.31</v>
      </c>
      <c r="F7" s="622">
        <f t="shared" si="2"/>
        <v>1.41</v>
      </c>
      <c r="G7" s="623">
        <f t="shared" si="2"/>
        <v>0.08</v>
      </c>
      <c r="H7" s="624">
        <f t="shared" si="2"/>
        <v>1.49</v>
      </c>
      <c r="I7" s="619">
        <f t="shared" si="2"/>
        <v>1.54</v>
      </c>
      <c r="J7" s="620">
        <f>SUM(J5:J6)</f>
        <v>0.08</v>
      </c>
      <c r="K7" s="621">
        <f t="shared" si="2"/>
        <v>1.62</v>
      </c>
      <c r="L7" s="622">
        <f t="shared" si="2"/>
        <v>1.65</v>
      </c>
      <c r="M7" s="623">
        <f>SUM(M5:M6)</f>
        <v>0.08</v>
      </c>
      <c r="N7" s="624">
        <f t="shared" si="2"/>
        <v>1.73</v>
      </c>
      <c r="O7" s="587">
        <f t="shared" si="2"/>
        <v>1.8</v>
      </c>
      <c r="P7" s="483">
        <f>SUM(P5:P6)</f>
        <v>0.08</v>
      </c>
      <c r="Q7" s="484">
        <f t="shared" si="2"/>
        <v>1.88</v>
      </c>
      <c r="R7" s="482">
        <f t="shared" si="2"/>
        <v>1.9</v>
      </c>
      <c r="S7" s="554">
        <f>SUM(S5:S6)</f>
        <v>0.08</v>
      </c>
      <c r="T7" s="486">
        <f t="shared" si="2"/>
        <v>1.98</v>
      </c>
      <c r="U7" s="482">
        <f t="shared" si="2"/>
        <v>1.98</v>
      </c>
      <c r="V7" s="554">
        <f t="shared" si="2"/>
        <v>0.08</v>
      </c>
      <c r="W7" s="486">
        <f t="shared" si="2"/>
        <v>2.06</v>
      </c>
      <c r="X7" s="649">
        <f t="shared" si="0"/>
        <v>0.56999999999999995</v>
      </c>
      <c r="Y7" s="139">
        <f>SUM(Y5:Y6)</f>
        <v>2.14</v>
      </c>
      <c r="Z7" s="758">
        <f>SUM(Z5:Z6)</f>
        <v>0.14000000000000001</v>
      </c>
      <c r="AA7" s="105">
        <f>SUM(AA5:AA6)</f>
        <v>2.2799999999999998</v>
      </c>
      <c r="AC7" s="1596">
        <f t="shared" si="1"/>
        <v>0.75</v>
      </c>
    </row>
    <row r="8" spans="1:39">
      <c r="A8" s="475" t="s">
        <v>294</v>
      </c>
      <c r="B8" s="163" t="s">
        <v>15</v>
      </c>
      <c r="C8" s="625">
        <v>0</v>
      </c>
      <c r="D8" s="511">
        <f t="shared" ref="D8:D9" si="3">E8-C8</f>
        <v>0</v>
      </c>
      <c r="E8" s="521">
        <f>'Table 8a'!D7</f>
        <v>0</v>
      </c>
      <c r="F8" s="510">
        <v>0</v>
      </c>
      <c r="G8" s="626">
        <v>0</v>
      </c>
      <c r="H8" s="519">
        <f>E8+'Table 8a'!AD7</f>
        <v>0</v>
      </c>
      <c r="I8" s="625">
        <f>K8-J8</f>
        <v>0</v>
      </c>
      <c r="J8" s="511">
        <v>0</v>
      </c>
      <c r="K8" s="521">
        <f>H8+'Table 8a'!AE7</f>
        <v>0</v>
      </c>
      <c r="L8" s="510">
        <f>N8-M8</f>
        <v>0</v>
      </c>
      <c r="M8" s="626">
        <v>0</v>
      </c>
      <c r="N8" s="519">
        <f>K8+'Table 8a'!AF7</f>
        <v>0</v>
      </c>
      <c r="O8" s="588">
        <f>Q8-P8</f>
        <v>0</v>
      </c>
      <c r="P8" s="465">
        <v>0</v>
      </c>
      <c r="Q8" s="520">
        <f>N8+'Table 8a'!AG7</f>
        <v>0</v>
      </c>
      <c r="R8" s="464">
        <f>T8-S8</f>
        <v>0</v>
      </c>
      <c r="S8" s="559">
        <v>0</v>
      </c>
      <c r="T8" s="518">
        <f>Q8+'Table 8a'!AH7</f>
        <v>0</v>
      </c>
      <c r="U8" s="464">
        <f t="shared" ref="U8:U9" si="4">W8-V8</f>
        <v>0</v>
      </c>
      <c r="V8" s="559">
        <v>0</v>
      </c>
      <c r="W8" s="518">
        <f>T8+'Table 8a'!AI7</f>
        <v>0</v>
      </c>
      <c r="X8" s="226" t="s">
        <v>16</v>
      </c>
      <c r="Y8" s="149">
        <f>AA8-Z8</f>
        <v>0</v>
      </c>
      <c r="Z8" s="605">
        <v>0</v>
      </c>
      <c r="AA8" s="141">
        <f>(W8*'Table 8a'!J7)+'Table 8'!W8</f>
        <v>0</v>
      </c>
      <c r="AC8" s="1597">
        <f t="shared" si="1"/>
        <v>0</v>
      </c>
    </row>
    <row r="9" spans="1:39" ht="13.5" thickBot="1">
      <c r="A9" s="607" t="s">
        <v>294</v>
      </c>
      <c r="B9" s="608" t="s">
        <v>17</v>
      </c>
      <c r="C9" s="609">
        <v>0</v>
      </c>
      <c r="D9" s="610">
        <f t="shared" si="3"/>
        <v>0</v>
      </c>
      <c r="E9" s="611">
        <f>'Table 8a'!D8</f>
        <v>0</v>
      </c>
      <c r="F9" s="612">
        <v>0</v>
      </c>
      <c r="G9" s="613">
        <v>0</v>
      </c>
      <c r="H9" s="614">
        <f>E9+'Table 8a'!AD8</f>
        <v>0</v>
      </c>
      <c r="I9" s="609">
        <f>K9-J9</f>
        <v>0</v>
      </c>
      <c r="J9" s="610">
        <v>0</v>
      </c>
      <c r="K9" s="611">
        <f>H9+'Table 8a'!AE8</f>
        <v>0</v>
      </c>
      <c r="L9" s="612">
        <f>N9-M9</f>
        <v>0</v>
      </c>
      <c r="M9" s="613">
        <v>0</v>
      </c>
      <c r="N9" s="614">
        <f>K9+'Table 8a'!AF8</f>
        <v>0</v>
      </c>
      <c r="O9" s="615">
        <f>Q9-P9</f>
        <v>0</v>
      </c>
      <c r="P9" s="616">
        <v>0</v>
      </c>
      <c r="Q9" s="617">
        <f>N9+'Table 8a'!AG8</f>
        <v>0</v>
      </c>
      <c r="R9" s="556">
        <f>T9-S9</f>
        <v>0</v>
      </c>
      <c r="S9" s="557">
        <v>0</v>
      </c>
      <c r="T9" s="558">
        <f>Q9+'Table 8a'!AH8</f>
        <v>0</v>
      </c>
      <c r="U9" s="556">
        <f t="shared" si="4"/>
        <v>0</v>
      </c>
      <c r="V9" s="557">
        <v>0</v>
      </c>
      <c r="W9" s="558">
        <f>T9+'Table 8a'!AI8</f>
        <v>0</v>
      </c>
      <c r="X9" s="713" t="s">
        <v>16</v>
      </c>
      <c r="Y9" s="136">
        <f>AA9-Z9</f>
        <v>0</v>
      </c>
      <c r="Z9" s="606">
        <v>0</v>
      </c>
      <c r="AA9" s="49">
        <f>(W9*'Table 8a'!J8)+'Table 8'!W9</f>
        <v>0</v>
      </c>
      <c r="AC9" s="1595">
        <f t="shared" si="1"/>
        <v>0</v>
      </c>
    </row>
    <row r="10" spans="1:39" s="22" customFormat="1" ht="14.25" thickTop="1" thickBot="1">
      <c r="A10" s="476" t="s">
        <v>294</v>
      </c>
      <c r="B10" s="618" t="s">
        <v>18</v>
      </c>
      <c r="C10" s="619">
        <f>SUM(C8:C9)</f>
        <v>0</v>
      </c>
      <c r="D10" s="620">
        <f t="shared" ref="D10:W10" si="5">SUM(D8:D9)</f>
        <v>0</v>
      </c>
      <c r="E10" s="621">
        <f t="shared" si="5"/>
        <v>0</v>
      </c>
      <c r="F10" s="622">
        <f t="shared" si="5"/>
        <v>0</v>
      </c>
      <c r="G10" s="623">
        <f t="shared" si="5"/>
        <v>0</v>
      </c>
      <c r="H10" s="624">
        <f t="shared" si="5"/>
        <v>0</v>
      </c>
      <c r="I10" s="619">
        <f t="shared" si="5"/>
        <v>0</v>
      </c>
      <c r="J10" s="620">
        <f>SUM(J8:J9)</f>
        <v>0</v>
      </c>
      <c r="K10" s="621">
        <f t="shared" si="5"/>
        <v>0</v>
      </c>
      <c r="L10" s="622">
        <f t="shared" si="5"/>
        <v>0</v>
      </c>
      <c r="M10" s="623">
        <f>SUM(M8:M9)</f>
        <v>0</v>
      </c>
      <c r="N10" s="624">
        <f t="shared" si="5"/>
        <v>0</v>
      </c>
      <c r="O10" s="587">
        <f t="shared" si="5"/>
        <v>0</v>
      </c>
      <c r="P10" s="483">
        <f>SUM(P8:P9)</f>
        <v>0</v>
      </c>
      <c r="Q10" s="484">
        <f t="shared" si="5"/>
        <v>0</v>
      </c>
      <c r="R10" s="482">
        <f t="shared" si="5"/>
        <v>0</v>
      </c>
      <c r="S10" s="554">
        <f>SUM(S8:S9)</f>
        <v>0</v>
      </c>
      <c r="T10" s="486">
        <f t="shared" si="5"/>
        <v>0</v>
      </c>
      <c r="U10" s="482">
        <f t="shared" si="5"/>
        <v>0</v>
      </c>
      <c r="V10" s="554">
        <f t="shared" si="5"/>
        <v>0</v>
      </c>
      <c r="W10" s="486">
        <f t="shared" si="5"/>
        <v>0</v>
      </c>
      <c r="X10" s="225" t="s">
        <v>16</v>
      </c>
      <c r="Y10" s="34">
        <f>SUM(Y8:Y9)</f>
        <v>0</v>
      </c>
      <c r="Z10" s="103">
        <f>SUM(Z8:Z9)</f>
        <v>0</v>
      </c>
      <c r="AA10" s="56">
        <f>SUM(AA8:AA9)</f>
        <v>0</v>
      </c>
      <c r="AC10" s="1596">
        <f t="shared" si="1"/>
        <v>0</v>
      </c>
    </row>
    <row r="11" spans="1:39">
      <c r="A11" s="475" t="s">
        <v>297</v>
      </c>
      <c r="B11" s="163" t="s">
        <v>15</v>
      </c>
      <c r="C11" s="625">
        <v>0</v>
      </c>
      <c r="D11" s="511">
        <f t="shared" ref="D11:D12" si="6">E11-C11</f>
        <v>0</v>
      </c>
      <c r="E11" s="521">
        <f>'Table 8a'!D10</f>
        <v>0</v>
      </c>
      <c r="F11" s="510">
        <v>0</v>
      </c>
      <c r="G11" s="626">
        <v>0</v>
      </c>
      <c r="H11" s="519">
        <f>E11+'Table 8a'!AD10</f>
        <v>0</v>
      </c>
      <c r="I11" s="625">
        <f>K11-J11</f>
        <v>0</v>
      </c>
      <c r="J11" s="511">
        <v>0</v>
      </c>
      <c r="K11" s="521">
        <f>H11+'Table 8a'!AE10</f>
        <v>0</v>
      </c>
      <c r="L11" s="510">
        <f>N11-M11</f>
        <v>0</v>
      </c>
      <c r="M11" s="626">
        <v>0</v>
      </c>
      <c r="N11" s="519">
        <f>K11+'Table 8a'!AF10</f>
        <v>0</v>
      </c>
      <c r="O11" s="588">
        <f>Q11-P11</f>
        <v>0</v>
      </c>
      <c r="P11" s="465">
        <v>0</v>
      </c>
      <c r="Q11" s="520">
        <f>N11+'Table 8a'!AG10</f>
        <v>0</v>
      </c>
      <c r="R11" s="464">
        <f>T11-S11</f>
        <v>0</v>
      </c>
      <c r="S11" s="559">
        <v>0</v>
      </c>
      <c r="T11" s="518">
        <f>Q11+'Table 8a'!AH10</f>
        <v>0</v>
      </c>
      <c r="U11" s="464">
        <f t="shared" ref="U11:U12" si="7">W11-V11</f>
        <v>0</v>
      </c>
      <c r="V11" s="559">
        <v>0</v>
      </c>
      <c r="W11" s="518">
        <f>T11+'Table 8a'!AI10</f>
        <v>0</v>
      </c>
      <c r="X11" s="226" t="s">
        <v>16</v>
      </c>
      <c r="Y11" s="149">
        <f>AA11-Z11</f>
        <v>0</v>
      </c>
      <c r="Z11" s="757">
        <v>0</v>
      </c>
      <c r="AA11" s="160">
        <f>(W11*'Table 8a'!J10)+'Table 8'!W11</f>
        <v>0</v>
      </c>
      <c r="AC11" s="1597">
        <f t="shared" si="1"/>
        <v>0</v>
      </c>
    </row>
    <row r="12" spans="1:39" ht="13.5" thickBot="1">
      <c r="A12" s="579" t="s">
        <v>297</v>
      </c>
      <c r="B12" s="1262" t="s">
        <v>17</v>
      </c>
      <c r="C12" s="1253">
        <v>0.3</v>
      </c>
      <c r="D12" s="541">
        <f t="shared" si="6"/>
        <v>0</v>
      </c>
      <c r="E12" s="542">
        <f>'Table 8a'!D11</f>
        <v>0.3</v>
      </c>
      <c r="F12" s="41">
        <f>H12-G12</f>
        <v>0.3</v>
      </c>
      <c r="G12" s="627">
        <f>($D12/$E12)*H12</f>
        <v>0</v>
      </c>
      <c r="H12" s="1546">
        <f>E12+'Table 8a'!AD11</f>
        <v>0.3</v>
      </c>
      <c r="I12" s="1253">
        <f>K12-J12</f>
        <v>0.3</v>
      </c>
      <c r="J12" s="541">
        <f>($D12/$E12)*K12</f>
        <v>0</v>
      </c>
      <c r="K12" s="542">
        <f>H12+'Table 8a'!AE11</f>
        <v>0.3</v>
      </c>
      <c r="L12" s="41">
        <f>N12-M12</f>
        <v>0.3</v>
      </c>
      <c r="M12" s="627">
        <f>($D12/$E12)*N12</f>
        <v>0</v>
      </c>
      <c r="N12" s="1546">
        <f>K12+'Table 8a'!AF11</f>
        <v>0.3</v>
      </c>
      <c r="O12" s="1137">
        <f>Q12-P12</f>
        <v>0.3</v>
      </c>
      <c r="P12" s="531">
        <f>($D12/$E12)*Q12</f>
        <v>0</v>
      </c>
      <c r="Q12" s="523">
        <f>N12+'Table 8a'!AG11</f>
        <v>0.3</v>
      </c>
      <c r="R12" s="467">
        <f>T12-S12</f>
        <v>0.3</v>
      </c>
      <c r="S12" s="562">
        <f>($D12/$E12)*T12</f>
        <v>0</v>
      </c>
      <c r="T12" s="943">
        <f>Q12+'Table 8a'!AH11</f>
        <v>0.3</v>
      </c>
      <c r="U12" s="467">
        <f t="shared" si="7"/>
        <v>0.3</v>
      </c>
      <c r="V12" s="562">
        <f>($D12/$E12)*W12</f>
        <v>0</v>
      </c>
      <c r="W12" s="943">
        <f>T12+'Table 8a'!AI11</f>
        <v>0.3</v>
      </c>
      <c r="X12" s="227">
        <f t="shared" si="0"/>
        <v>0</v>
      </c>
      <c r="Y12" s="48">
        <f>AA12-Z12</f>
        <v>0.35</v>
      </c>
      <c r="Z12" s="366">
        <f>($D12/$E12)*AA12</f>
        <v>0</v>
      </c>
      <c r="AA12" s="49">
        <f>(W12*'Table 8a'!J11)+'Table 8'!W12</f>
        <v>0.35</v>
      </c>
      <c r="AC12" s="1741">
        <f t="shared" si="1"/>
        <v>0</v>
      </c>
    </row>
    <row r="13" spans="1:39" s="22" customFormat="1" ht="14.25" thickTop="1" thickBot="1">
      <c r="A13" s="279" t="s">
        <v>297</v>
      </c>
      <c r="B13" s="628" t="s">
        <v>18</v>
      </c>
      <c r="C13" s="592">
        <f>SUM(C11:C12)</f>
        <v>0.3</v>
      </c>
      <c r="D13" s="536">
        <f t="shared" ref="D13:W13" si="8">SUM(D11:D12)</f>
        <v>0</v>
      </c>
      <c r="E13" s="537">
        <f t="shared" si="8"/>
        <v>0.3</v>
      </c>
      <c r="F13" s="535">
        <f t="shared" si="8"/>
        <v>0.3</v>
      </c>
      <c r="G13" s="593">
        <f t="shared" si="8"/>
        <v>0</v>
      </c>
      <c r="H13" s="539">
        <f t="shared" si="8"/>
        <v>0.3</v>
      </c>
      <c r="I13" s="592">
        <f t="shared" si="8"/>
        <v>0.3</v>
      </c>
      <c r="J13" s="536">
        <f>SUM(J11:J12)</f>
        <v>0</v>
      </c>
      <c r="K13" s="537">
        <f t="shared" si="8"/>
        <v>0.3</v>
      </c>
      <c r="L13" s="535">
        <f t="shared" si="8"/>
        <v>0.3</v>
      </c>
      <c r="M13" s="593">
        <f>SUM(M11:M12)</f>
        <v>0</v>
      </c>
      <c r="N13" s="539">
        <f t="shared" si="8"/>
        <v>0.3</v>
      </c>
      <c r="O13" s="589">
        <f t="shared" si="8"/>
        <v>0.3</v>
      </c>
      <c r="P13" s="471">
        <f>SUM(P11:P12)</f>
        <v>0</v>
      </c>
      <c r="Q13" s="472">
        <f t="shared" si="8"/>
        <v>0.3</v>
      </c>
      <c r="R13" s="470">
        <f t="shared" si="8"/>
        <v>0.3</v>
      </c>
      <c r="S13" s="555">
        <f>SUM(S11:S12)</f>
        <v>0</v>
      </c>
      <c r="T13" s="474">
        <f t="shared" si="8"/>
        <v>0.3</v>
      </c>
      <c r="U13" s="470">
        <f t="shared" si="8"/>
        <v>0.3</v>
      </c>
      <c r="V13" s="555">
        <f t="shared" si="8"/>
        <v>0</v>
      </c>
      <c r="W13" s="474">
        <f t="shared" si="8"/>
        <v>0.3</v>
      </c>
      <c r="X13" s="714">
        <f t="shared" si="0"/>
        <v>0</v>
      </c>
      <c r="Y13" s="34">
        <f>SUM(Y11:Y12)</f>
        <v>0.35</v>
      </c>
      <c r="Z13" s="758">
        <f>SUM(Z11:Z12)</f>
        <v>0</v>
      </c>
      <c r="AA13" s="105">
        <f>SUM(AA11:AA12)</f>
        <v>0.35</v>
      </c>
      <c r="AC13" s="1598">
        <f t="shared" si="1"/>
        <v>0</v>
      </c>
    </row>
    <row r="14" spans="1:39">
      <c r="A14" s="455" t="s">
        <v>302</v>
      </c>
      <c r="B14" s="1138" t="s">
        <v>15</v>
      </c>
      <c r="C14" s="1139">
        <v>0.21</v>
      </c>
      <c r="D14" s="1140">
        <f t="shared" ref="D14:D24" si="9">E14-C14</f>
        <v>0.2</v>
      </c>
      <c r="E14" s="629">
        <f>'Table 8a'!D13</f>
        <v>0.41</v>
      </c>
      <c r="F14" s="1141">
        <f t="shared" ref="F14:F17" si="10">H14-G14</f>
        <v>0.23</v>
      </c>
      <c r="G14" s="630">
        <f t="shared" ref="G14:G23" si="11">($D14/$E14)*H14</f>
        <v>0.22</v>
      </c>
      <c r="H14" s="1142">
        <f>E14+'Table 8a'!AD13</f>
        <v>0.45</v>
      </c>
      <c r="I14" s="1139">
        <f t="shared" ref="I14:I19" si="12">K14-J14</f>
        <v>0.26</v>
      </c>
      <c r="J14" s="1140">
        <f t="shared" ref="J14:J23" si="13">($D14/$E14)*K14</f>
        <v>0.24</v>
      </c>
      <c r="K14" s="629">
        <f>H14+'Table 8a'!AE13</f>
        <v>0.5</v>
      </c>
      <c r="L14" s="1141">
        <f t="shared" ref="L14:L19" si="14">N14-M14</f>
        <v>0.28000000000000003</v>
      </c>
      <c r="M14" s="630">
        <f t="shared" ref="M14:M23" si="15">($D14/$E14)*N14</f>
        <v>0.26</v>
      </c>
      <c r="N14" s="1142">
        <f>K14+'Table 8a'!AF13</f>
        <v>0.54</v>
      </c>
      <c r="O14" s="915">
        <f t="shared" ref="O14:O19" si="16">Q14-P14</f>
        <v>0.3</v>
      </c>
      <c r="P14" s="916">
        <f t="shared" ref="P14:P23" si="17">($D14/$E14)*Q14</f>
        <v>0.28999999999999998</v>
      </c>
      <c r="Q14" s="454">
        <f>N14+'Table 8a'!AG13</f>
        <v>0.59</v>
      </c>
      <c r="R14" s="827">
        <f t="shared" ref="R14:R19" si="18">T14-S14</f>
        <v>0.32</v>
      </c>
      <c r="S14" s="560">
        <f t="shared" ref="S14:S23" si="19">($D14/$E14)*T14</f>
        <v>0.3</v>
      </c>
      <c r="T14" s="940">
        <f>Q14+'Table 8a'!AH13</f>
        <v>0.62</v>
      </c>
      <c r="U14" s="827">
        <f t="shared" ref="U14:U24" si="20">W14-V14</f>
        <v>0.33</v>
      </c>
      <c r="V14" s="560">
        <f t="shared" ref="V14:V23" si="21">($D14/$E14)*W14</f>
        <v>0.32</v>
      </c>
      <c r="W14" s="940">
        <f>T14+'Table 8a'!AI13</f>
        <v>0.65</v>
      </c>
      <c r="X14" s="715">
        <f t="shared" si="0"/>
        <v>0.59</v>
      </c>
      <c r="Y14" s="823">
        <f t="shared" ref="Y14:Y19" si="22">AA14-Z14</f>
        <v>0.46</v>
      </c>
      <c r="Z14" s="860">
        <f t="shared" ref="Z14:Z23" si="23">($D14/$E14)*AA14</f>
        <v>0.44</v>
      </c>
      <c r="AA14" s="367">
        <f>(W14*'Table 8a'!J13)+'Table 8'!W14</f>
        <v>0.9</v>
      </c>
      <c r="AC14" s="1599">
        <f t="shared" si="1"/>
        <v>0.24</v>
      </c>
      <c r="AE14" s="1" t="s">
        <v>36</v>
      </c>
    </row>
    <row r="15" spans="1:39">
      <c r="A15" s="455" t="s">
        <v>22</v>
      </c>
      <c r="B15" s="1138" t="s">
        <v>17</v>
      </c>
      <c r="C15" s="1139">
        <v>0.73</v>
      </c>
      <c r="D15" s="1140">
        <f t="shared" si="9"/>
        <v>0</v>
      </c>
      <c r="E15" s="629">
        <f>'Table 8a'!D14</f>
        <v>0.73</v>
      </c>
      <c r="F15" s="1141">
        <f t="shared" si="10"/>
        <v>0.76</v>
      </c>
      <c r="G15" s="630">
        <f t="shared" si="11"/>
        <v>0</v>
      </c>
      <c r="H15" s="1142">
        <f>E15+'Table 8a'!AD14</f>
        <v>0.76</v>
      </c>
      <c r="I15" s="1139">
        <f t="shared" si="12"/>
        <v>0.79</v>
      </c>
      <c r="J15" s="1140">
        <f t="shared" si="13"/>
        <v>0</v>
      </c>
      <c r="K15" s="629">
        <f>H15+'Table 8a'!AE14</f>
        <v>0.79</v>
      </c>
      <c r="L15" s="1141">
        <f t="shared" si="14"/>
        <v>0.82</v>
      </c>
      <c r="M15" s="630">
        <f t="shared" si="15"/>
        <v>0</v>
      </c>
      <c r="N15" s="1142">
        <f>K15+'Table 8a'!AF14</f>
        <v>0.82</v>
      </c>
      <c r="O15" s="915">
        <f t="shared" si="16"/>
        <v>0.84</v>
      </c>
      <c r="P15" s="916">
        <f t="shared" si="17"/>
        <v>0</v>
      </c>
      <c r="Q15" s="454">
        <f>N15+'Table 8a'!AG14</f>
        <v>0.84</v>
      </c>
      <c r="R15" s="827">
        <f t="shared" si="18"/>
        <v>0.86</v>
      </c>
      <c r="S15" s="560">
        <f t="shared" si="19"/>
        <v>0</v>
      </c>
      <c r="T15" s="940">
        <f>Q15+'Table 8a'!AH14</f>
        <v>0.86</v>
      </c>
      <c r="U15" s="827">
        <f t="shared" si="20"/>
        <v>0.88</v>
      </c>
      <c r="V15" s="560">
        <f t="shared" si="21"/>
        <v>0</v>
      </c>
      <c r="W15" s="940">
        <f>T15+'Table 8a'!AI14</f>
        <v>0.88</v>
      </c>
      <c r="X15" s="715">
        <f t="shared" si="0"/>
        <v>0.21</v>
      </c>
      <c r="Y15" s="823">
        <f t="shared" si="22"/>
        <v>0.91</v>
      </c>
      <c r="Z15" s="860">
        <f t="shared" si="23"/>
        <v>0</v>
      </c>
      <c r="AA15" s="367">
        <f>(W15*'Table 8a'!J14)+'Table 8'!W15</f>
        <v>0.91</v>
      </c>
      <c r="AC15" s="1599">
        <f t="shared" si="1"/>
        <v>0.15</v>
      </c>
    </row>
    <row r="16" spans="1:39">
      <c r="A16" s="455" t="s">
        <v>589</v>
      </c>
      <c r="B16" s="1138" t="s">
        <v>15</v>
      </c>
      <c r="C16" s="1139">
        <v>1.64</v>
      </c>
      <c r="D16" s="1140">
        <f t="shared" si="9"/>
        <v>3.19</v>
      </c>
      <c r="E16" s="629">
        <f>'Table 8a'!D15</f>
        <v>4.83</v>
      </c>
      <c r="F16" s="1141">
        <f t="shared" si="10"/>
        <v>1.75</v>
      </c>
      <c r="G16" s="630">
        <f t="shared" si="11"/>
        <v>3.4</v>
      </c>
      <c r="H16" s="1142">
        <f>E16+'Table 8a'!AD15</f>
        <v>5.15</v>
      </c>
      <c r="I16" s="1139">
        <f t="shared" si="12"/>
        <v>1.86</v>
      </c>
      <c r="J16" s="1140">
        <f t="shared" si="13"/>
        <v>3.62</v>
      </c>
      <c r="K16" s="629">
        <f>H16+'Table 8a'!AE15</f>
        <v>5.48</v>
      </c>
      <c r="L16" s="1141">
        <f t="shared" si="14"/>
        <v>1.95</v>
      </c>
      <c r="M16" s="630">
        <f t="shared" si="15"/>
        <v>3.79</v>
      </c>
      <c r="N16" s="1142">
        <f>K16+'Table 8a'!AF15</f>
        <v>5.74</v>
      </c>
      <c r="O16" s="915">
        <f t="shared" si="16"/>
        <v>2.02</v>
      </c>
      <c r="P16" s="916">
        <f t="shared" si="17"/>
        <v>3.94</v>
      </c>
      <c r="Q16" s="454">
        <f>N16+'Table 8a'!AG15</f>
        <v>5.96</v>
      </c>
      <c r="R16" s="827">
        <f t="shared" si="18"/>
        <v>2.08</v>
      </c>
      <c r="S16" s="560">
        <f t="shared" si="19"/>
        <v>4.0599999999999996</v>
      </c>
      <c r="T16" s="940">
        <f>Q16+'Table 8a'!AH15</f>
        <v>6.14</v>
      </c>
      <c r="U16" s="827">
        <f t="shared" si="20"/>
        <v>2.14</v>
      </c>
      <c r="V16" s="560">
        <f t="shared" si="21"/>
        <v>4.16</v>
      </c>
      <c r="W16" s="940">
        <f>T16+'Table 8a'!AI15</f>
        <v>6.3</v>
      </c>
      <c r="X16" s="715">
        <f t="shared" si="0"/>
        <v>0.3</v>
      </c>
      <c r="Y16" s="823">
        <f t="shared" si="22"/>
        <v>2.95</v>
      </c>
      <c r="Z16" s="860">
        <f t="shared" si="23"/>
        <v>5.74</v>
      </c>
      <c r="AA16" s="367">
        <f>(W16*'Table 8a'!J15)+'Table 8'!W16</f>
        <v>8.69</v>
      </c>
      <c r="AC16" s="1599">
        <f t="shared" si="1"/>
        <v>1.47</v>
      </c>
    </row>
    <row r="17" spans="1:29">
      <c r="A17" s="455" t="s">
        <v>309</v>
      </c>
      <c r="B17" s="1138" t="s">
        <v>15</v>
      </c>
      <c r="C17" s="1139">
        <v>0.43</v>
      </c>
      <c r="D17" s="1140">
        <f t="shared" si="9"/>
        <v>1.41</v>
      </c>
      <c r="E17" s="629">
        <f>'Table 8a'!D16</f>
        <v>1.84</v>
      </c>
      <c r="F17" s="1141">
        <f t="shared" si="10"/>
        <v>0.48</v>
      </c>
      <c r="G17" s="630">
        <f t="shared" si="11"/>
        <v>1.59</v>
      </c>
      <c r="H17" s="1142">
        <f>E17+'Table 8a'!AD16</f>
        <v>2.0699999999999998</v>
      </c>
      <c r="I17" s="1139">
        <f t="shared" si="12"/>
        <v>0.54</v>
      </c>
      <c r="J17" s="1140">
        <f t="shared" si="13"/>
        <v>1.75</v>
      </c>
      <c r="K17" s="629">
        <f>H17+'Table 8a'!AE16</f>
        <v>2.29</v>
      </c>
      <c r="L17" s="1141">
        <f t="shared" si="14"/>
        <v>0.57999999999999996</v>
      </c>
      <c r="M17" s="630">
        <f t="shared" si="15"/>
        <v>1.9</v>
      </c>
      <c r="N17" s="1142">
        <f>K17+'Table 8a'!AF16</f>
        <v>2.48</v>
      </c>
      <c r="O17" s="915">
        <f t="shared" si="16"/>
        <v>0.61</v>
      </c>
      <c r="P17" s="916">
        <f t="shared" si="17"/>
        <v>2.02</v>
      </c>
      <c r="Q17" s="454">
        <f>N17+'Table 8a'!AG16</f>
        <v>2.63</v>
      </c>
      <c r="R17" s="827">
        <f t="shared" si="18"/>
        <v>0.64</v>
      </c>
      <c r="S17" s="560">
        <f t="shared" si="19"/>
        <v>2.09</v>
      </c>
      <c r="T17" s="940">
        <f>Q17+'Table 8a'!AH16</f>
        <v>2.73</v>
      </c>
      <c r="U17" s="827">
        <f t="shared" si="20"/>
        <v>0.66</v>
      </c>
      <c r="V17" s="560">
        <f t="shared" si="21"/>
        <v>2.15</v>
      </c>
      <c r="W17" s="940">
        <f>T17+'Table 8a'!AI16</f>
        <v>2.81</v>
      </c>
      <c r="X17" s="715">
        <f t="shared" si="0"/>
        <v>0.53</v>
      </c>
      <c r="Y17" s="823">
        <f t="shared" si="22"/>
        <v>0.76</v>
      </c>
      <c r="Z17" s="860">
        <f t="shared" si="23"/>
        <v>2.5</v>
      </c>
      <c r="AA17" s="367">
        <f>(W17*'Table 8a'!J16)+'Table 8'!W17</f>
        <v>3.26</v>
      </c>
      <c r="AC17" s="1599">
        <f t="shared" si="1"/>
        <v>0.97</v>
      </c>
    </row>
    <row r="18" spans="1:29">
      <c r="A18" s="456" t="s">
        <v>25</v>
      </c>
      <c r="B18" s="1892" t="s">
        <v>17</v>
      </c>
      <c r="C18" s="1250">
        <v>0.16</v>
      </c>
      <c r="D18" s="1249">
        <f t="shared" si="9"/>
        <v>0</v>
      </c>
      <c r="E18" s="631">
        <f>'Table 8a'!D17</f>
        <v>0.16</v>
      </c>
      <c r="F18" s="1248">
        <v>0</v>
      </c>
      <c r="G18" s="1893">
        <v>0</v>
      </c>
      <c r="H18" s="1894">
        <f>E18+'Table 8a'!AD17</f>
        <v>0.17</v>
      </c>
      <c r="I18" s="1250">
        <f t="shared" si="12"/>
        <v>0.18</v>
      </c>
      <c r="J18" s="1249">
        <v>0</v>
      </c>
      <c r="K18" s="631">
        <f>H18+'Table 8a'!AE17</f>
        <v>0.18</v>
      </c>
      <c r="L18" s="1248">
        <f t="shared" si="14"/>
        <v>0.19</v>
      </c>
      <c r="M18" s="1893">
        <v>0</v>
      </c>
      <c r="N18" s="1894">
        <f>K18+'Table 8a'!AF17</f>
        <v>0.19</v>
      </c>
      <c r="O18" s="1136">
        <f t="shared" si="16"/>
        <v>0.2</v>
      </c>
      <c r="P18" s="1055">
        <v>0</v>
      </c>
      <c r="Q18" s="522">
        <f>N18+'Table 8a'!AG17</f>
        <v>0.2</v>
      </c>
      <c r="R18" s="1050">
        <f t="shared" si="18"/>
        <v>0.21</v>
      </c>
      <c r="S18" s="1594">
        <v>0</v>
      </c>
      <c r="T18" s="1856">
        <f>Q18+'Table 8a'!AH17</f>
        <v>0.21</v>
      </c>
      <c r="U18" s="1050">
        <f t="shared" si="20"/>
        <v>0.22</v>
      </c>
      <c r="V18" s="1594">
        <v>0</v>
      </c>
      <c r="W18" s="1856">
        <f>T18+'Table 8a'!AI17</f>
        <v>0.22</v>
      </c>
      <c r="X18" s="716">
        <f t="shared" si="0"/>
        <v>0.38</v>
      </c>
      <c r="Y18" s="820">
        <f t="shared" si="22"/>
        <v>0.23</v>
      </c>
      <c r="Z18" s="1895">
        <v>0</v>
      </c>
      <c r="AA18" s="603">
        <f>(W18*'Table 8a'!J17)+'Table 8'!W18</f>
        <v>0.23</v>
      </c>
      <c r="AC18" s="1742">
        <f t="shared" si="1"/>
        <v>0.06</v>
      </c>
    </row>
    <row r="19" spans="1:29">
      <c r="A19" s="456" t="s">
        <v>26</v>
      </c>
      <c r="B19" s="1892" t="s">
        <v>17</v>
      </c>
      <c r="C19" s="1250">
        <v>0.1</v>
      </c>
      <c r="D19" s="1249">
        <f t="shared" si="9"/>
        <v>0</v>
      </c>
      <c r="E19" s="631">
        <f>'Table 8a'!D18</f>
        <v>0.1</v>
      </c>
      <c r="F19" s="1248">
        <v>0</v>
      </c>
      <c r="G19" s="1893">
        <v>0</v>
      </c>
      <c r="H19" s="1894">
        <f>E19+'Table 8a'!AD18</f>
        <v>0.1</v>
      </c>
      <c r="I19" s="1250">
        <f t="shared" si="12"/>
        <v>0.1</v>
      </c>
      <c r="J19" s="1249">
        <v>0</v>
      </c>
      <c r="K19" s="631">
        <f>H19+'Table 8a'!AE18</f>
        <v>0.1</v>
      </c>
      <c r="L19" s="1248">
        <f t="shared" si="14"/>
        <v>0.1</v>
      </c>
      <c r="M19" s="1893">
        <v>0</v>
      </c>
      <c r="N19" s="1894">
        <f>K19+'Table 8a'!AF18</f>
        <v>0.1</v>
      </c>
      <c r="O19" s="1136">
        <f t="shared" si="16"/>
        <v>0.1</v>
      </c>
      <c r="P19" s="1594">
        <v>0</v>
      </c>
      <c r="Q19" s="1896">
        <f>N19+'Table 8a'!AG18</f>
        <v>0.1</v>
      </c>
      <c r="R19" s="1050">
        <f t="shared" si="18"/>
        <v>0.1</v>
      </c>
      <c r="S19" s="1594">
        <v>0</v>
      </c>
      <c r="T19" s="1856">
        <f>Q19+'Table 8a'!AH18</f>
        <v>0.1</v>
      </c>
      <c r="U19" s="1050">
        <f t="shared" si="20"/>
        <v>0.1</v>
      </c>
      <c r="V19" s="1594">
        <v>0</v>
      </c>
      <c r="W19" s="1856">
        <f>T19+'Table 8a'!AI18</f>
        <v>0.1</v>
      </c>
      <c r="X19" s="716">
        <f t="shared" si="0"/>
        <v>0</v>
      </c>
      <c r="Y19" s="820">
        <f t="shared" si="22"/>
        <v>0.17</v>
      </c>
      <c r="Z19" s="1895">
        <v>0</v>
      </c>
      <c r="AA19" s="603">
        <f>(W19*'Table 8a'!J18)+'Table 8'!W19</f>
        <v>0.17</v>
      </c>
      <c r="AC19" s="1742">
        <f t="shared" si="1"/>
        <v>0</v>
      </c>
    </row>
    <row r="20" spans="1:29">
      <c r="A20" s="455" t="s">
        <v>322</v>
      </c>
      <c r="B20" s="455" t="s">
        <v>15</v>
      </c>
      <c r="C20" s="915">
        <v>0.86</v>
      </c>
      <c r="D20" s="916">
        <f t="shared" si="9"/>
        <v>1.64</v>
      </c>
      <c r="E20" s="641">
        <f>'Table 8a'!D19</f>
        <v>2.5</v>
      </c>
      <c r="F20" s="915">
        <f t="shared" ref="F20:F23" si="24">H20-G20</f>
        <v>0.95</v>
      </c>
      <c r="G20" s="560">
        <f t="shared" si="11"/>
        <v>1.8</v>
      </c>
      <c r="H20" s="910">
        <f>E20+'Table 8a'!AD19</f>
        <v>2.75</v>
      </c>
      <c r="I20" s="827">
        <f t="shared" ref="I20:I24" si="25">K20-J20</f>
        <v>1.05</v>
      </c>
      <c r="J20" s="916">
        <f t="shared" si="13"/>
        <v>1.99</v>
      </c>
      <c r="K20" s="641">
        <f>H20+'Table 8a'!AE19</f>
        <v>3.04</v>
      </c>
      <c r="L20" s="915">
        <f t="shared" ref="L20:L24" si="26">N20-M20</f>
        <v>1.1200000000000001</v>
      </c>
      <c r="M20" s="916">
        <f t="shared" si="15"/>
        <v>2.14</v>
      </c>
      <c r="N20" s="454">
        <f>K20+'Table 8a'!AF19</f>
        <v>3.26</v>
      </c>
      <c r="O20" s="827">
        <f t="shared" ref="O20:O24" si="27">Q20-P20</f>
        <v>1.19</v>
      </c>
      <c r="P20" s="560">
        <f t="shared" si="17"/>
        <v>2.2599999999999998</v>
      </c>
      <c r="Q20" s="940">
        <f>N20+'Table 8a'!AG19</f>
        <v>3.45</v>
      </c>
      <c r="R20" s="827">
        <f t="shared" ref="R20:R24" si="28">T20-S20</f>
        <v>1.24</v>
      </c>
      <c r="S20" s="916">
        <f t="shared" si="19"/>
        <v>2.37</v>
      </c>
      <c r="T20" s="641">
        <f>Q20+'Table 8a'!AH19</f>
        <v>3.61</v>
      </c>
      <c r="U20" s="827">
        <f t="shared" si="20"/>
        <v>1.29</v>
      </c>
      <c r="V20" s="916">
        <f t="shared" si="21"/>
        <v>2.46</v>
      </c>
      <c r="W20" s="641">
        <f>T20+'Table 8a'!AI19</f>
        <v>3.75</v>
      </c>
      <c r="X20" s="715">
        <f t="shared" si="0"/>
        <v>0.5</v>
      </c>
      <c r="Y20" s="823">
        <f t="shared" ref="Y20:Y24" si="29">AA20-Z20</f>
        <v>1.58</v>
      </c>
      <c r="Z20" s="322">
        <f t="shared" si="23"/>
        <v>3</v>
      </c>
      <c r="AA20" s="830">
        <f>(W20*'Table 8a'!J19)+'Table 8'!W20</f>
        <v>4.58</v>
      </c>
      <c r="AC20" s="1599">
        <f t="shared" si="1"/>
        <v>1.25</v>
      </c>
    </row>
    <row r="21" spans="1:29">
      <c r="A21" s="455" t="s">
        <v>326</v>
      </c>
      <c r="B21" s="455" t="s">
        <v>15</v>
      </c>
      <c r="C21" s="915">
        <v>0.37</v>
      </c>
      <c r="D21" s="916">
        <f t="shared" si="9"/>
        <v>0.49</v>
      </c>
      <c r="E21" s="641">
        <f>'Table 8a'!D20</f>
        <v>0.86</v>
      </c>
      <c r="F21" s="915">
        <f t="shared" si="24"/>
        <v>0.37</v>
      </c>
      <c r="G21" s="560">
        <f t="shared" si="11"/>
        <v>0.5</v>
      </c>
      <c r="H21" s="910">
        <f>E21+'Table 8a'!AD20</f>
        <v>0.87</v>
      </c>
      <c r="I21" s="827">
        <f t="shared" si="25"/>
        <v>0.37</v>
      </c>
      <c r="J21" s="916">
        <f t="shared" si="13"/>
        <v>0.5</v>
      </c>
      <c r="K21" s="641">
        <f>H21+'Table 8a'!AE20</f>
        <v>0.87</v>
      </c>
      <c r="L21" s="915">
        <f t="shared" si="26"/>
        <v>0.37</v>
      </c>
      <c r="M21" s="916">
        <f t="shared" si="15"/>
        <v>0.5</v>
      </c>
      <c r="N21" s="454">
        <f>K21+'Table 8a'!AF20</f>
        <v>0.87</v>
      </c>
      <c r="O21" s="827">
        <f t="shared" si="27"/>
        <v>0.37</v>
      </c>
      <c r="P21" s="916">
        <f t="shared" si="17"/>
        <v>0.5</v>
      </c>
      <c r="Q21" s="641">
        <f>N21+'Table 8a'!AG20</f>
        <v>0.87</v>
      </c>
      <c r="R21" s="827">
        <f t="shared" si="28"/>
        <v>0.37</v>
      </c>
      <c r="S21" s="916">
        <f t="shared" si="19"/>
        <v>0.5</v>
      </c>
      <c r="T21" s="641">
        <f>Q21+'Table 8a'!AH20</f>
        <v>0.87</v>
      </c>
      <c r="U21" s="827">
        <f t="shared" si="20"/>
        <v>0.37</v>
      </c>
      <c r="V21" s="916">
        <f t="shared" si="21"/>
        <v>0.5</v>
      </c>
      <c r="W21" s="641">
        <f>T21+'Table 8a'!AI20</f>
        <v>0.87</v>
      </c>
      <c r="X21" s="715">
        <f t="shared" si="0"/>
        <v>0.01</v>
      </c>
      <c r="Y21" s="823">
        <f t="shared" si="29"/>
        <v>0.68</v>
      </c>
      <c r="Z21" s="322">
        <f t="shared" si="23"/>
        <v>0.9</v>
      </c>
      <c r="AA21" s="830">
        <f>(W21*'Table 8a'!J20)+'Table 8'!W21</f>
        <v>1.58</v>
      </c>
      <c r="AC21" s="1599">
        <f t="shared" si="1"/>
        <v>0.01</v>
      </c>
    </row>
    <row r="22" spans="1:29">
      <c r="A22" s="455" t="s">
        <v>330</v>
      </c>
      <c r="B22" s="455" t="s">
        <v>15</v>
      </c>
      <c r="C22" s="915">
        <v>0.52</v>
      </c>
      <c r="D22" s="916">
        <f t="shared" si="9"/>
        <v>4.1900000000000004</v>
      </c>
      <c r="E22" s="641">
        <f>'Table 8a'!D21</f>
        <v>4.71</v>
      </c>
      <c r="F22" s="915">
        <f t="shared" si="24"/>
        <v>0.61</v>
      </c>
      <c r="G22" s="916">
        <f t="shared" si="11"/>
        <v>4.93</v>
      </c>
      <c r="H22" s="454">
        <f>E22+'Table 8a'!AD21</f>
        <v>5.54</v>
      </c>
      <c r="I22" s="827">
        <f t="shared" si="25"/>
        <v>0.72</v>
      </c>
      <c r="J22" s="916">
        <f t="shared" si="13"/>
        <v>5.81</v>
      </c>
      <c r="K22" s="641">
        <f>H22+'Table 8a'!AE21</f>
        <v>6.53</v>
      </c>
      <c r="L22" s="915">
        <f t="shared" si="26"/>
        <v>0.81</v>
      </c>
      <c r="M22" s="916">
        <f t="shared" si="15"/>
        <v>6.57</v>
      </c>
      <c r="N22" s="454">
        <f>K22+'Table 8a'!AF21</f>
        <v>7.38</v>
      </c>
      <c r="O22" s="827">
        <f t="shared" si="27"/>
        <v>0.89</v>
      </c>
      <c r="P22" s="916">
        <f t="shared" si="17"/>
        <v>7.18</v>
      </c>
      <c r="Q22" s="641">
        <f>N22+'Table 8a'!AG21</f>
        <v>8.07</v>
      </c>
      <c r="R22" s="827">
        <f t="shared" si="28"/>
        <v>0.96</v>
      </c>
      <c r="S22" s="916">
        <f t="shared" si="19"/>
        <v>7.74</v>
      </c>
      <c r="T22" s="641">
        <f>Q22+'Table 8a'!AH21</f>
        <v>8.6999999999999993</v>
      </c>
      <c r="U22" s="827">
        <f t="shared" si="20"/>
        <v>1.03</v>
      </c>
      <c r="V22" s="916">
        <f t="shared" si="21"/>
        <v>8.27</v>
      </c>
      <c r="W22" s="641">
        <f>T22+'Table 8a'!AI21</f>
        <v>9.3000000000000007</v>
      </c>
      <c r="X22" s="715">
        <f t="shared" si="0"/>
        <v>0.97</v>
      </c>
      <c r="Y22" s="823">
        <f t="shared" si="29"/>
        <v>1.23</v>
      </c>
      <c r="Z22" s="322">
        <f t="shared" si="23"/>
        <v>9.93</v>
      </c>
      <c r="AA22" s="830">
        <f>(W22*'Table 8a'!J21)+'Table 8'!W22</f>
        <v>11.16</v>
      </c>
      <c r="AC22" s="1599">
        <f t="shared" si="1"/>
        <v>4.59</v>
      </c>
    </row>
    <row r="23" spans="1:29">
      <c r="A23" s="456" t="s">
        <v>30</v>
      </c>
      <c r="B23" s="456" t="s">
        <v>17</v>
      </c>
      <c r="C23" s="1136">
        <v>0.41</v>
      </c>
      <c r="D23" s="1055">
        <f t="shared" si="9"/>
        <v>0</v>
      </c>
      <c r="E23" s="643">
        <f>'Table 8a'!D22</f>
        <v>0.41</v>
      </c>
      <c r="F23" s="1136">
        <f t="shared" si="24"/>
        <v>0.43</v>
      </c>
      <c r="G23" s="1055">
        <f t="shared" si="11"/>
        <v>0</v>
      </c>
      <c r="H23" s="522">
        <f>E23+'Table 8a'!AD22</f>
        <v>0.43</v>
      </c>
      <c r="I23" s="1050">
        <f t="shared" si="25"/>
        <v>0.45</v>
      </c>
      <c r="J23" s="1055">
        <f t="shared" si="13"/>
        <v>0</v>
      </c>
      <c r="K23" s="643">
        <f>H23+'Table 8a'!AE22</f>
        <v>0.45</v>
      </c>
      <c r="L23" s="1136">
        <f t="shared" si="26"/>
        <v>0.47</v>
      </c>
      <c r="M23" s="1055">
        <f t="shared" si="15"/>
        <v>0</v>
      </c>
      <c r="N23" s="522">
        <f>K23+'Table 8a'!AF22</f>
        <v>0.47</v>
      </c>
      <c r="O23" s="1050">
        <f t="shared" si="27"/>
        <v>0.49</v>
      </c>
      <c r="P23" s="1055">
        <f t="shared" si="17"/>
        <v>0</v>
      </c>
      <c r="Q23" s="643">
        <f>N23+'Table 8a'!AG22</f>
        <v>0.49</v>
      </c>
      <c r="R23" s="1050">
        <f t="shared" si="28"/>
        <v>0.5</v>
      </c>
      <c r="S23" s="1055">
        <f t="shared" si="19"/>
        <v>0</v>
      </c>
      <c r="T23" s="643">
        <f>Q23+'Table 8a'!AH22</f>
        <v>0.5</v>
      </c>
      <c r="U23" s="1050">
        <f t="shared" si="20"/>
        <v>0.51</v>
      </c>
      <c r="V23" s="1055">
        <f t="shared" si="21"/>
        <v>0</v>
      </c>
      <c r="W23" s="643">
        <f>T23+'Table 8a'!AI22</f>
        <v>0.51</v>
      </c>
      <c r="X23" s="716">
        <f t="shared" si="0"/>
        <v>0.24</v>
      </c>
      <c r="Y23" s="820">
        <f t="shared" si="29"/>
        <v>0.62</v>
      </c>
      <c r="Z23" s="1872">
        <f t="shared" si="23"/>
        <v>0</v>
      </c>
      <c r="AA23" s="1002">
        <f>(W23*'Table 8a'!J22)+'Table 8'!W23</f>
        <v>0.62</v>
      </c>
      <c r="AC23" s="1742">
        <f t="shared" si="1"/>
        <v>0.1</v>
      </c>
    </row>
    <row r="24" spans="1:29">
      <c r="A24" s="579" t="s">
        <v>31</v>
      </c>
      <c r="B24" s="579" t="s">
        <v>17</v>
      </c>
      <c r="C24" s="1137">
        <v>0.1</v>
      </c>
      <c r="D24" s="531">
        <f t="shared" si="9"/>
        <v>0</v>
      </c>
      <c r="E24" s="644">
        <f>'Table 8a'!D23</f>
        <v>0.1</v>
      </c>
      <c r="F24" s="1137">
        <v>0</v>
      </c>
      <c r="G24" s="531">
        <v>0</v>
      </c>
      <c r="H24" s="523">
        <f>E24+'Table 8a'!AD23</f>
        <v>0.1</v>
      </c>
      <c r="I24" s="467">
        <f t="shared" si="25"/>
        <v>0.1</v>
      </c>
      <c r="J24" s="531">
        <v>0</v>
      </c>
      <c r="K24" s="644">
        <f>H24+'Table 8a'!AE23</f>
        <v>0.1</v>
      </c>
      <c r="L24" s="1137">
        <f t="shared" si="26"/>
        <v>0.1</v>
      </c>
      <c r="M24" s="531">
        <v>0</v>
      </c>
      <c r="N24" s="523">
        <f>K24+'Table 8a'!AF23</f>
        <v>0.1</v>
      </c>
      <c r="O24" s="467">
        <f t="shared" si="27"/>
        <v>0.1</v>
      </c>
      <c r="P24" s="531">
        <v>0</v>
      </c>
      <c r="Q24" s="644">
        <f>N24+'Table 8a'!AG23</f>
        <v>0.1</v>
      </c>
      <c r="R24" s="467">
        <f t="shared" si="28"/>
        <v>0.1</v>
      </c>
      <c r="S24" s="531">
        <v>0</v>
      </c>
      <c r="T24" s="644">
        <f>Q24+'Table 8a'!AH23</f>
        <v>0.1</v>
      </c>
      <c r="U24" s="467">
        <f t="shared" si="20"/>
        <v>0.1</v>
      </c>
      <c r="V24" s="531">
        <v>0</v>
      </c>
      <c r="W24" s="644">
        <f>T24+'Table 8a'!AI23</f>
        <v>0.1</v>
      </c>
      <c r="X24" s="227">
        <f t="shared" si="0"/>
        <v>0</v>
      </c>
      <c r="Y24" s="48">
        <f t="shared" si="29"/>
        <v>0.14000000000000001</v>
      </c>
      <c r="Z24" s="366">
        <v>0</v>
      </c>
      <c r="AA24" s="874">
        <f>(W24*'Table 8a'!J23)+'Table 8'!W24</f>
        <v>0.14000000000000001</v>
      </c>
      <c r="AC24" s="1741">
        <f t="shared" si="1"/>
        <v>0</v>
      </c>
    </row>
    <row r="25" spans="1:29" ht="14.25" thickTop="1" thickBot="1">
      <c r="A25" s="3202" t="s">
        <v>32</v>
      </c>
      <c r="B25" s="3203"/>
      <c r="C25" s="589">
        <f>C5+C8+C11+C14+C16+C17+C20+C21+C22</f>
        <v>4.22</v>
      </c>
      <c r="D25" s="639">
        <f t="shared" ref="D25:W25" si="30">D5+D8+D11+D14+D16+D17+D20+D21+D22</f>
        <v>11.2</v>
      </c>
      <c r="E25" s="640">
        <f t="shared" si="30"/>
        <v>15.42</v>
      </c>
      <c r="F25" s="587">
        <f t="shared" si="30"/>
        <v>4.59</v>
      </c>
      <c r="G25" s="639">
        <f t="shared" si="30"/>
        <v>12.52</v>
      </c>
      <c r="H25" s="484">
        <f t="shared" si="30"/>
        <v>17.11</v>
      </c>
      <c r="I25" s="482">
        <f t="shared" si="30"/>
        <v>5</v>
      </c>
      <c r="J25" s="639">
        <f t="shared" si="30"/>
        <v>13.99</v>
      </c>
      <c r="K25" s="640">
        <f t="shared" si="30"/>
        <v>18.989999999999998</v>
      </c>
      <c r="L25" s="587">
        <f t="shared" si="30"/>
        <v>5.31</v>
      </c>
      <c r="M25" s="639">
        <f t="shared" si="30"/>
        <v>15.24</v>
      </c>
      <c r="N25" s="484">
        <f t="shared" si="30"/>
        <v>20.55</v>
      </c>
      <c r="O25" s="482">
        <f t="shared" si="30"/>
        <v>5.58</v>
      </c>
      <c r="P25" s="639">
        <f t="shared" si="30"/>
        <v>16.27</v>
      </c>
      <c r="Q25" s="640">
        <f t="shared" si="30"/>
        <v>21.85</v>
      </c>
      <c r="R25" s="482">
        <f t="shared" si="30"/>
        <v>5.81</v>
      </c>
      <c r="S25" s="639">
        <f t="shared" si="30"/>
        <v>17.14</v>
      </c>
      <c r="T25" s="640">
        <f t="shared" si="30"/>
        <v>22.95</v>
      </c>
      <c r="U25" s="482">
        <f t="shared" si="30"/>
        <v>6.02</v>
      </c>
      <c r="V25" s="639">
        <f t="shared" si="30"/>
        <v>17.940000000000001</v>
      </c>
      <c r="W25" s="640">
        <f t="shared" si="30"/>
        <v>23.96</v>
      </c>
      <c r="X25" s="649">
        <f t="shared" si="0"/>
        <v>0.55000000000000004</v>
      </c>
      <c r="Y25" s="139">
        <f t="shared" ref="Y25:AA25" si="31">Y5+Y8+Y11+Y14+Y16+Y17+Y20+Y21+Y22</f>
        <v>8</v>
      </c>
      <c r="Z25" s="104">
        <f t="shared" si="31"/>
        <v>22.65</v>
      </c>
      <c r="AA25" s="61">
        <f t="shared" si="31"/>
        <v>30.65</v>
      </c>
      <c r="AC25" s="1596">
        <f t="shared" si="1"/>
        <v>8.5399999999999991</v>
      </c>
    </row>
    <row r="26" spans="1:29" ht="13.5" thickBot="1">
      <c r="A26" s="3229" t="s">
        <v>33</v>
      </c>
      <c r="B26" s="3230"/>
      <c r="C26" s="650">
        <f>C6+C9+C12+C15+C18+C19+C23+C24</f>
        <v>2.84</v>
      </c>
      <c r="D26" s="651">
        <f t="shared" ref="D26:W26" si="32">D6+D9+D12+D15+D18+D19+D23+D24</f>
        <v>0</v>
      </c>
      <c r="E26" s="645">
        <f t="shared" si="32"/>
        <v>2.84</v>
      </c>
      <c r="F26" s="650">
        <f t="shared" si="32"/>
        <v>2.7</v>
      </c>
      <c r="G26" s="651">
        <f t="shared" si="32"/>
        <v>0</v>
      </c>
      <c r="H26" s="495">
        <f t="shared" si="32"/>
        <v>3.07</v>
      </c>
      <c r="I26" s="493">
        <f t="shared" si="32"/>
        <v>3.26</v>
      </c>
      <c r="J26" s="651">
        <f t="shared" si="32"/>
        <v>0</v>
      </c>
      <c r="K26" s="645">
        <f t="shared" si="32"/>
        <v>3.26</v>
      </c>
      <c r="L26" s="650">
        <f t="shared" si="32"/>
        <v>3.43</v>
      </c>
      <c r="M26" s="651">
        <f t="shared" si="32"/>
        <v>0</v>
      </c>
      <c r="N26" s="495">
        <f t="shared" si="32"/>
        <v>3.43</v>
      </c>
      <c r="O26" s="493">
        <f t="shared" si="32"/>
        <v>3.63</v>
      </c>
      <c r="P26" s="651">
        <f t="shared" si="32"/>
        <v>0</v>
      </c>
      <c r="Q26" s="645">
        <f t="shared" si="32"/>
        <v>3.63</v>
      </c>
      <c r="R26" s="493">
        <f t="shared" si="32"/>
        <v>3.77</v>
      </c>
      <c r="S26" s="651">
        <f t="shared" si="32"/>
        <v>0</v>
      </c>
      <c r="T26" s="645">
        <f t="shared" si="32"/>
        <v>3.77</v>
      </c>
      <c r="U26" s="493">
        <f t="shared" si="32"/>
        <v>3.89</v>
      </c>
      <c r="V26" s="651">
        <f t="shared" si="32"/>
        <v>0</v>
      </c>
      <c r="W26" s="645">
        <f t="shared" si="32"/>
        <v>3.89</v>
      </c>
      <c r="X26" s="652">
        <f t="shared" si="0"/>
        <v>0.37</v>
      </c>
      <c r="Y26" s="192">
        <f t="shared" ref="Y26:AA26" si="33">Y6+Y9+Y12+Y15+Y18+Y19+Y23+Y24</f>
        <v>4.22</v>
      </c>
      <c r="Z26" s="253">
        <f t="shared" si="33"/>
        <v>0</v>
      </c>
      <c r="AA26" s="191">
        <f t="shared" si="33"/>
        <v>4.22</v>
      </c>
      <c r="AC26" s="1600">
        <f t="shared" si="1"/>
        <v>1.05</v>
      </c>
    </row>
    <row r="27" spans="1:29" s="22" customFormat="1" ht="13.5" thickBot="1">
      <c r="A27" s="3229" t="s">
        <v>34</v>
      </c>
      <c r="B27" s="3230"/>
      <c r="C27" s="592">
        <f>C25+C26</f>
        <v>7.06</v>
      </c>
      <c r="D27" s="646">
        <f t="shared" ref="D27:W27" si="34">D25+D26</f>
        <v>11.2</v>
      </c>
      <c r="E27" s="647">
        <f t="shared" si="34"/>
        <v>18.260000000000002</v>
      </c>
      <c r="F27" s="592">
        <f t="shared" si="34"/>
        <v>7.29</v>
      </c>
      <c r="G27" s="646">
        <f t="shared" si="34"/>
        <v>12.52</v>
      </c>
      <c r="H27" s="537">
        <f t="shared" si="34"/>
        <v>20.18</v>
      </c>
      <c r="I27" s="535">
        <f t="shared" si="34"/>
        <v>8.26</v>
      </c>
      <c r="J27" s="646">
        <f t="shared" si="34"/>
        <v>13.99</v>
      </c>
      <c r="K27" s="647">
        <f t="shared" si="34"/>
        <v>22.25</v>
      </c>
      <c r="L27" s="592">
        <f t="shared" si="34"/>
        <v>8.74</v>
      </c>
      <c r="M27" s="646">
        <f t="shared" si="34"/>
        <v>15.24</v>
      </c>
      <c r="N27" s="537">
        <f t="shared" si="34"/>
        <v>23.98</v>
      </c>
      <c r="O27" s="535">
        <f t="shared" si="34"/>
        <v>9.2100000000000009</v>
      </c>
      <c r="P27" s="646">
        <f t="shared" si="34"/>
        <v>16.27</v>
      </c>
      <c r="Q27" s="647">
        <f t="shared" si="34"/>
        <v>25.48</v>
      </c>
      <c r="R27" s="535">
        <f t="shared" si="34"/>
        <v>9.58</v>
      </c>
      <c r="S27" s="646">
        <f t="shared" si="34"/>
        <v>17.14</v>
      </c>
      <c r="T27" s="647">
        <f t="shared" si="34"/>
        <v>26.72</v>
      </c>
      <c r="U27" s="535">
        <f t="shared" si="34"/>
        <v>9.91</v>
      </c>
      <c r="V27" s="646">
        <f t="shared" si="34"/>
        <v>17.940000000000001</v>
      </c>
      <c r="W27" s="647">
        <f t="shared" si="34"/>
        <v>27.85</v>
      </c>
      <c r="X27" s="233">
        <f t="shared" si="0"/>
        <v>0.53</v>
      </c>
      <c r="Y27" s="25">
        <f t="shared" ref="Y27:AA27" si="35">Y25+Y26</f>
        <v>12.22</v>
      </c>
      <c r="Z27" s="29">
        <f t="shared" si="35"/>
        <v>22.65</v>
      </c>
      <c r="AA27" s="30">
        <f t="shared" si="35"/>
        <v>34.869999999999997</v>
      </c>
      <c r="AC27" s="1580">
        <f t="shared" si="1"/>
        <v>9.59</v>
      </c>
    </row>
    <row r="28" spans="1:29">
      <c r="A28" s="89" t="s">
        <v>35</v>
      </c>
    </row>
    <row r="29" spans="1:29">
      <c r="A29" s="1" t="s">
        <v>68</v>
      </c>
      <c r="B29" s="23"/>
      <c r="C29" s="23"/>
      <c r="D29" s="23"/>
      <c r="E29" s="23"/>
      <c r="F29" s="23"/>
      <c r="G29" s="23"/>
      <c r="H29" s="23"/>
      <c r="I29" s="23"/>
      <c r="J29" s="23"/>
      <c r="K29" s="23"/>
      <c r="L29" s="23"/>
      <c r="M29" s="23"/>
      <c r="N29" s="42"/>
      <c r="O29" s="42"/>
      <c r="P29" s="42"/>
    </row>
    <row r="30" spans="1:29">
      <c r="A30" s="1" t="s">
        <v>69</v>
      </c>
      <c r="J30" s="23"/>
    </row>
    <row r="31" spans="1:29">
      <c r="A31" s="3304" t="s">
        <v>590</v>
      </c>
      <c r="B31" s="3304"/>
      <c r="C31" s="3304"/>
      <c r="D31" s="3304"/>
      <c r="E31" s="3304"/>
      <c r="F31" s="3304"/>
      <c r="G31" s="3304"/>
      <c r="H31" s="3304"/>
      <c r="I31" s="3304"/>
      <c r="J31" s="3304"/>
      <c r="K31" s="3304"/>
      <c r="L31" s="3304"/>
      <c r="M31" s="3304"/>
      <c r="N31" s="3304"/>
      <c r="O31" s="3304"/>
      <c r="P31" s="3304"/>
      <c r="Q31" s="3304"/>
      <c r="R31" s="3304"/>
      <c r="S31" s="3304"/>
    </row>
    <row r="32" spans="1:29">
      <c r="A32" s="2" t="s">
        <v>591</v>
      </c>
      <c r="J32" s="23"/>
      <c r="V32" s="1" t="s">
        <v>36</v>
      </c>
    </row>
    <row r="33" spans="1:29" s="2" customFormat="1">
      <c r="A33" s="2" t="s">
        <v>592</v>
      </c>
    </row>
    <row r="35" spans="1:29" ht="13.5" thickBot="1">
      <c r="A35" s="800" t="s">
        <v>593</v>
      </c>
      <c r="B35" s="800"/>
      <c r="C35" s="800"/>
      <c r="D35" s="800"/>
      <c r="E35" s="800"/>
      <c r="F35" s="800"/>
      <c r="G35" s="800"/>
      <c r="H35" s="800"/>
      <c r="I35" s="800"/>
      <c r="J35" s="800"/>
      <c r="K35" s="800"/>
      <c r="L35" s="800"/>
      <c r="M35" s="800"/>
      <c r="N35" s="800"/>
      <c r="O35" s="800"/>
      <c r="P35" s="800"/>
      <c r="Q35" s="800"/>
      <c r="R35" s="800"/>
      <c r="T35" s="800"/>
      <c r="U35" s="800"/>
      <c r="V35" s="800"/>
      <c r="W35" s="800"/>
      <c r="X35" s="800"/>
      <c r="Y35" s="800"/>
      <c r="Z35" s="800"/>
    </row>
    <row r="36" spans="1:29" ht="15.75" customHeight="1" thickBot="1">
      <c r="A36" s="3181" t="s">
        <v>1</v>
      </c>
      <c r="B36" s="3362" t="s">
        <v>2</v>
      </c>
      <c r="C36" s="3262" t="s">
        <v>55</v>
      </c>
      <c r="D36" s="3262"/>
      <c r="E36" s="3263"/>
      <c r="F36" s="3261" t="s">
        <v>56</v>
      </c>
      <c r="G36" s="3262"/>
      <c r="H36" s="3262"/>
      <c r="I36" s="3262"/>
      <c r="J36" s="3262"/>
      <c r="K36" s="3262"/>
      <c r="L36" s="3262"/>
      <c r="M36" s="3262"/>
      <c r="N36" s="3262"/>
      <c r="O36" s="3262"/>
      <c r="P36" s="3262"/>
      <c r="Q36" s="3262"/>
      <c r="R36" s="3262"/>
      <c r="S36" s="3262"/>
      <c r="T36" s="3262"/>
      <c r="U36" s="3262"/>
      <c r="V36" s="3262"/>
      <c r="W36" s="3263"/>
      <c r="X36" s="3300" t="s">
        <v>57</v>
      </c>
      <c r="Y36" s="3261" t="s">
        <v>58</v>
      </c>
      <c r="Z36" s="3262"/>
      <c r="AA36" s="3263"/>
      <c r="AB36" s="185"/>
      <c r="AC36" s="3300" t="s">
        <v>80</v>
      </c>
    </row>
    <row r="37" spans="1:29" ht="15" customHeight="1">
      <c r="A37" s="3361"/>
      <c r="B37" s="3363"/>
      <c r="C37" s="3351">
        <v>2015</v>
      </c>
      <c r="D37" s="3352"/>
      <c r="E37" s="3353"/>
      <c r="F37" s="3373">
        <v>2020</v>
      </c>
      <c r="G37" s="3349"/>
      <c r="H37" s="3350"/>
      <c r="I37" s="3351">
        <v>2025</v>
      </c>
      <c r="J37" s="3352"/>
      <c r="K37" s="3353"/>
      <c r="L37" s="3258">
        <v>2030</v>
      </c>
      <c r="M37" s="3264"/>
      <c r="N37" s="3245"/>
      <c r="O37" s="3351">
        <v>2035</v>
      </c>
      <c r="P37" s="3352"/>
      <c r="Q37" s="3353"/>
      <c r="R37" s="3373">
        <v>2040</v>
      </c>
      <c r="S37" s="3349"/>
      <c r="T37" s="3350"/>
      <c r="U37" s="3373">
        <v>2045</v>
      </c>
      <c r="V37" s="3349"/>
      <c r="W37" s="3350"/>
      <c r="X37" s="3301"/>
      <c r="Y37" s="3357">
        <v>2045</v>
      </c>
      <c r="Z37" s="3357"/>
      <c r="AA37" s="3358"/>
      <c r="AC37" s="3301"/>
    </row>
    <row r="38" spans="1:29" ht="15.75" customHeight="1" thickBot="1">
      <c r="A38" s="3488"/>
      <c r="B38" s="3364"/>
      <c r="C38" s="1127" t="s">
        <v>60</v>
      </c>
      <c r="D38" s="1128" t="s">
        <v>61</v>
      </c>
      <c r="E38" s="1129" t="s">
        <v>18</v>
      </c>
      <c r="F38" s="1130" t="s">
        <v>60</v>
      </c>
      <c r="G38" s="1131" t="s">
        <v>61</v>
      </c>
      <c r="H38" s="1132" t="s">
        <v>18</v>
      </c>
      <c r="I38" s="1127" t="s">
        <v>60</v>
      </c>
      <c r="J38" s="1128" t="s">
        <v>61</v>
      </c>
      <c r="K38" s="1129" t="s">
        <v>18</v>
      </c>
      <c r="L38" s="1130" t="s">
        <v>60</v>
      </c>
      <c r="M38" s="1131" t="s">
        <v>61</v>
      </c>
      <c r="N38" s="1132" t="s">
        <v>18</v>
      </c>
      <c r="O38" s="1127" t="s">
        <v>60</v>
      </c>
      <c r="P38" s="1128" t="s">
        <v>61</v>
      </c>
      <c r="Q38" s="1129" t="s">
        <v>18</v>
      </c>
      <c r="R38" s="1130" t="s">
        <v>60</v>
      </c>
      <c r="S38" s="1131" t="s">
        <v>61</v>
      </c>
      <c r="T38" s="1132" t="s">
        <v>18</v>
      </c>
      <c r="U38" s="1130" t="s">
        <v>60</v>
      </c>
      <c r="V38" s="1131" t="s">
        <v>61</v>
      </c>
      <c r="W38" s="1132" t="s">
        <v>18</v>
      </c>
      <c r="X38" s="3302"/>
      <c r="Y38" s="1133" t="s">
        <v>60</v>
      </c>
      <c r="Z38" s="1134" t="s">
        <v>61</v>
      </c>
      <c r="AA38" s="1135" t="s">
        <v>18</v>
      </c>
      <c r="AC38" s="3302"/>
    </row>
    <row r="39" spans="1:29">
      <c r="A39" s="443" t="s">
        <v>46</v>
      </c>
      <c r="B39" s="1120" t="s">
        <v>17</v>
      </c>
      <c r="C39" s="1121">
        <v>0.12</v>
      </c>
      <c r="D39" s="1122">
        <f t="shared" ref="D39:D44" si="36">E39-C39</f>
        <v>0</v>
      </c>
      <c r="E39" s="1123">
        <f>'Table 8a'!D37</f>
        <v>0.12</v>
      </c>
      <c r="F39" s="1124">
        <v>0</v>
      </c>
      <c r="G39" s="1125">
        <v>0</v>
      </c>
      <c r="H39" s="1126">
        <f>E39+'Table 8a'!AD37</f>
        <v>0.12</v>
      </c>
      <c r="I39" s="1121">
        <f t="shared" ref="I39:I44" si="37">K39-J39</f>
        <v>0.12</v>
      </c>
      <c r="J39" s="1122">
        <v>0</v>
      </c>
      <c r="K39" s="1123">
        <f>H39+'Table 8a'!AE37</f>
        <v>0.12</v>
      </c>
      <c r="L39" s="1124">
        <f t="shared" ref="L39:L44" si="38">N39-M39</f>
        <v>0.12</v>
      </c>
      <c r="M39" s="1125">
        <v>0</v>
      </c>
      <c r="N39" s="1126">
        <f>K39+'Table 8a'!AF37</f>
        <v>0.12</v>
      </c>
      <c r="O39" s="584">
        <f t="shared" ref="O39:O44" si="39">Q39-P39</f>
        <v>0.12</v>
      </c>
      <c r="P39" s="445">
        <v>0</v>
      </c>
      <c r="Q39" s="449">
        <f>N39+'Table 8a'!AG37</f>
        <v>0.12</v>
      </c>
      <c r="R39" s="444">
        <f t="shared" ref="R39:R44" si="40">T39-S39</f>
        <v>0.12</v>
      </c>
      <c r="S39" s="585">
        <v>0</v>
      </c>
      <c r="T39" s="450">
        <f>Q39+'Table 8a'!AH37</f>
        <v>0.12</v>
      </c>
      <c r="U39" s="464">
        <f t="shared" ref="U39:U44" si="41">W39-V39</f>
        <v>0.12</v>
      </c>
      <c r="V39" s="585">
        <v>0</v>
      </c>
      <c r="W39" s="450">
        <f>T39+'Table 8a'!AI37</f>
        <v>0.12</v>
      </c>
      <c r="X39" s="1740">
        <f t="shared" ref="X39:X44" si="42">(W39-E39)/E39</f>
        <v>0</v>
      </c>
      <c r="Y39" s="47">
        <f t="shared" ref="Y39:Y44" si="43">AA39-Z39</f>
        <v>0.12</v>
      </c>
      <c r="Z39" s="761">
        <v>0</v>
      </c>
      <c r="AA39" s="141">
        <f>(W39*'Table 8a'!J37)+'Table 8'!W39</f>
        <v>0.12</v>
      </c>
      <c r="AC39" s="1597">
        <f>W39-E39</f>
        <v>0</v>
      </c>
    </row>
    <row r="40" spans="1:29">
      <c r="A40" s="455" t="s">
        <v>47</v>
      </c>
      <c r="B40" s="1138" t="s">
        <v>17</v>
      </c>
      <c r="C40" s="1139">
        <v>0.09</v>
      </c>
      <c r="D40" s="1140">
        <f t="shared" si="36"/>
        <v>0</v>
      </c>
      <c r="E40" s="629">
        <f>'Table 8a'!D38</f>
        <v>0.09</v>
      </c>
      <c r="F40" s="1141">
        <f>H40-G40</f>
        <v>0.09</v>
      </c>
      <c r="G40" s="630">
        <f>($D40/$E40)*H40</f>
        <v>0</v>
      </c>
      <c r="H40" s="1142">
        <f>E40+'Table 8a'!AD38</f>
        <v>0.09</v>
      </c>
      <c r="I40" s="1139">
        <f t="shared" si="37"/>
        <v>0.09</v>
      </c>
      <c r="J40" s="1140">
        <f>($D40/$E40)*K40</f>
        <v>0</v>
      </c>
      <c r="K40" s="629">
        <f>H40+'Table 8a'!AE38</f>
        <v>0.09</v>
      </c>
      <c r="L40" s="1141">
        <f t="shared" si="38"/>
        <v>0.09</v>
      </c>
      <c r="M40" s="1140">
        <f>($D40/$E40)*N40</f>
        <v>0</v>
      </c>
      <c r="N40" s="633">
        <f>K40+'Table 8a'!AF38</f>
        <v>0.09</v>
      </c>
      <c r="O40" s="915">
        <f t="shared" si="39"/>
        <v>0.09</v>
      </c>
      <c r="P40" s="560">
        <f>($D40/$E40)*Q40</f>
        <v>0</v>
      </c>
      <c r="Q40" s="910">
        <f>N40+'Table 8a'!AG38</f>
        <v>0.09</v>
      </c>
      <c r="R40" s="827">
        <f t="shared" si="40"/>
        <v>0.09</v>
      </c>
      <c r="S40" s="560">
        <f>($D40/$E40)*T40</f>
        <v>0</v>
      </c>
      <c r="T40" s="940">
        <f>Q40+'Table 8a'!AH38</f>
        <v>0.09</v>
      </c>
      <c r="U40" s="827">
        <f t="shared" si="41"/>
        <v>0.09</v>
      </c>
      <c r="V40" s="560">
        <f>($D40/$E40)*W40</f>
        <v>0</v>
      </c>
      <c r="W40" s="940">
        <f>T40+'Table 8a'!AI38</f>
        <v>0.09</v>
      </c>
      <c r="X40" s="715">
        <f t="shared" si="42"/>
        <v>0</v>
      </c>
      <c r="Y40" s="823">
        <f t="shared" si="43"/>
        <v>0.12</v>
      </c>
      <c r="Z40" s="322">
        <f>($D40/$E40)*AA40</f>
        <v>0</v>
      </c>
      <c r="AA40" s="830">
        <f>(W40*'Table 8a'!J38)+'Table 8'!W40</f>
        <v>0.12</v>
      </c>
      <c r="AC40" s="1599">
        <f t="shared" ref="AC40:AC45" si="44">W40-E40</f>
        <v>0</v>
      </c>
    </row>
    <row r="41" spans="1:29">
      <c r="A41" s="455" t="s">
        <v>48</v>
      </c>
      <c r="B41" s="1138" t="s">
        <v>17</v>
      </c>
      <c r="C41" s="1139">
        <v>0.06</v>
      </c>
      <c r="D41" s="1140">
        <f t="shared" si="36"/>
        <v>0</v>
      </c>
      <c r="E41" s="629">
        <f>'Table 8a'!D39</f>
        <v>0.06</v>
      </c>
      <c r="F41" s="1141">
        <v>0</v>
      </c>
      <c r="G41" s="630">
        <v>0</v>
      </c>
      <c r="H41" s="1142">
        <f>E41+'Table 8a'!AD39</f>
        <v>0.06</v>
      </c>
      <c r="I41" s="1139">
        <f t="shared" si="37"/>
        <v>0.06</v>
      </c>
      <c r="J41" s="1140">
        <v>0</v>
      </c>
      <c r="K41" s="629">
        <f>H41+'Table 8a'!AE39</f>
        <v>0.06</v>
      </c>
      <c r="L41" s="1141">
        <f t="shared" si="38"/>
        <v>0.06</v>
      </c>
      <c r="M41" s="1140">
        <v>0</v>
      </c>
      <c r="N41" s="633">
        <f>K41+'Table 8a'!AF39</f>
        <v>0.06</v>
      </c>
      <c r="O41" s="915">
        <f t="shared" si="39"/>
        <v>0.06</v>
      </c>
      <c r="P41" s="560">
        <v>0</v>
      </c>
      <c r="Q41" s="910">
        <f>N41+'Table 8a'!AG39</f>
        <v>0.06</v>
      </c>
      <c r="R41" s="827">
        <f t="shared" si="40"/>
        <v>0.06</v>
      </c>
      <c r="S41" s="560">
        <v>0</v>
      </c>
      <c r="T41" s="940">
        <f>Q41+'Table 8a'!AH39</f>
        <v>0.06</v>
      </c>
      <c r="U41" s="827">
        <f t="shared" si="41"/>
        <v>0.06</v>
      </c>
      <c r="V41" s="560">
        <v>0</v>
      </c>
      <c r="W41" s="940">
        <f>T41+'Table 8a'!AI39</f>
        <v>0.06</v>
      </c>
      <c r="X41" s="715">
        <f t="shared" si="42"/>
        <v>0</v>
      </c>
      <c r="Y41" s="823">
        <f t="shared" si="43"/>
        <v>0.06</v>
      </c>
      <c r="Z41" s="322">
        <v>0</v>
      </c>
      <c r="AA41" s="830">
        <f>(W41*'Table 8a'!J39)+'Table 8'!W41</f>
        <v>0.06</v>
      </c>
      <c r="AC41" s="1599">
        <f t="shared" si="44"/>
        <v>0</v>
      </c>
    </row>
    <row r="42" spans="1:29">
      <c r="A42" s="458" t="s">
        <v>49</v>
      </c>
      <c r="B42" s="458" t="s">
        <v>17</v>
      </c>
      <c r="C42" s="591">
        <v>0.21</v>
      </c>
      <c r="D42" s="460">
        <f t="shared" si="36"/>
        <v>0</v>
      </c>
      <c r="E42" s="640">
        <f>'Table 8a'!D40</f>
        <v>0.21</v>
      </c>
      <c r="F42" s="591">
        <f>H42-G42</f>
        <v>0.21</v>
      </c>
      <c r="G42" s="590">
        <f>($D42/$E42)*H42</f>
        <v>0</v>
      </c>
      <c r="H42" s="639">
        <f>E42+'Table 8a'!AD40</f>
        <v>0.21</v>
      </c>
      <c r="I42" s="459">
        <f t="shared" si="37"/>
        <v>0.22</v>
      </c>
      <c r="J42" s="460">
        <f>($D42/$E42)*K42</f>
        <v>0</v>
      </c>
      <c r="K42" s="640">
        <f>H42+'Table 8a'!AE40</f>
        <v>0.22</v>
      </c>
      <c r="L42" s="591">
        <f t="shared" si="38"/>
        <v>0.22</v>
      </c>
      <c r="M42" s="460">
        <f>($D42/$E42)*N42</f>
        <v>0</v>
      </c>
      <c r="N42" s="484">
        <f>K42+'Table 8a'!AF40</f>
        <v>0.22</v>
      </c>
      <c r="O42" s="459">
        <f t="shared" si="39"/>
        <v>0.22</v>
      </c>
      <c r="P42" s="590">
        <f>($D42/$E42)*Q42</f>
        <v>0</v>
      </c>
      <c r="Q42" s="486">
        <f>N42+'Table 8a'!AG40</f>
        <v>0.22</v>
      </c>
      <c r="R42" s="459">
        <f t="shared" si="40"/>
        <v>0.22</v>
      </c>
      <c r="S42" s="590">
        <f>($D42/$E42)*T42</f>
        <v>0</v>
      </c>
      <c r="T42" s="486">
        <f>Q42+'Table 8a'!AH40</f>
        <v>0.22</v>
      </c>
      <c r="U42" s="459">
        <f t="shared" si="41"/>
        <v>0.22</v>
      </c>
      <c r="V42" s="590">
        <f>($D42/$E42)*W42</f>
        <v>0</v>
      </c>
      <c r="W42" s="486">
        <f>T42+'Table 8a'!AI40</f>
        <v>0.22</v>
      </c>
      <c r="X42" s="717">
        <f t="shared" si="42"/>
        <v>0.05</v>
      </c>
      <c r="Y42" s="245">
        <f t="shared" si="43"/>
        <v>0.26</v>
      </c>
      <c r="Z42" s="360">
        <f>($D42/$E42)*AA42</f>
        <v>0</v>
      </c>
      <c r="AA42" s="61">
        <f>(W42*'Table 8a'!J40)+'Table 8'!W42</f>
        <v>0.26</v>
      </c>
      <c r="AC42" s="1602">
        <f t="shared" si="44"/>
        <v>0.01</v>
      </c>
    </row>
    <row r="43" spans="1:29">
      <c r="A43" s="455" t="s">
        <v>50</v>
      </c>
      <c r="B43" s="455" t="s">
        <v>17</v>
      </c>
      <c r="C43" s="915">
        <v>0.32</v>
      </c>
      <c r="D43" s="916">
        <f t="shared" si="36"/>
        <v>0</v>
      </c>
      <c r="E43" s="641">
        <f>'Table 8a'!D41</f>
        <v>0.32</v>
      </c>
      <c r="F43" s="915">
        <f>H43-G43</f>
        <v>0.32</v>
      </c>
      <c r="G43" s="560">
        <f>($D43/$E43)*H43</f>
        <v>0</v>
      </c>
      <c r="H43" s="910">
        <f>E43+'Table 8a'!AD41</f>
        <v>0.32</v>
      </c>
      <c r="I43" s="827">
        <f t="shared" si="37"/>
        <v>0.33</v>
      </c>
      <c r="J43" s="916">
        <f>($D43/$E43)*K43</f>
        <v>0</v>
      </c>
      <c r="K43" s="641">
        <f>H43+'Table 8a'!AE41</f>
        <v>0.33</v>
      </c>
      <c r="L43" s="915">
        <f t="shared" si="38"/>
        <v>0.33</v>
      </c>
      <c r="M43" s="916">
        <f>($D43/$E43)*N43</f>
        <v>0</v>
      </c>
      <c r="N43" s="454">
        <f>K43+'Table 8a'!AF41</f>
        <v>0.33</v>
      </c>
      <c r="O43" s="827">
        <f t="shared" si="39"/>
        <v>0.33</v>
      </c>
      <c r="P43" s="560">
        <f>($D43/$E43)*Q43</f>
        <v>0</v>
      </c>
      <c r="Q43" s="940">
        <f>N43+'Table 8a'!AG41</f>
        <v>0.33</v>
      </c>
      <c r="R43" s="827">
        <f t="shared" si="40"/>
        <v>0.33</v>
      </c>
      <c r="S43" s="560">
        <f>($D43/$E43)*T43</f>
        <v>0</v>
      </c>
      <c r="T43" s="940">
        <f>Q43+'Table 8a'!AH41</f>
        <v>0.33</v>
      </c>
      <c r="U43" s="827">
        <f t="shared" si="41"/>
        <v>0.33</v>
      </c>
      <c r="V43" s="560">
        <f>($D43/$E43)*W43</f>
        <v>0</v>
      </c>
      <c r="W43" s="940">
        <f>T43+'Table 8a'!AI41</f>
        <v>0.33</v>
      </c>
      <c r="X43" s="715">
        <f t="shared" si="42"/>
        <v>0.03</v>
      </c>
      <c r="Y43" s="870">
        <f t="shared" si="43"/>
        <v>0.35</v>
      </c>
      <c r="Z43" s="322">
        <f>($D43/$E43)*AA43</f>
        <v>0</v>
      </c>
      <c r="AA43" s="830">
        <f>(W43*'Table 8a'!J41)+'Table 8'!W43</f>
        <v>0.35</v>
      </c>
      <c r="AC43" s="1599">
        <f t="shared" si="44"/>
        <v>0.01</v>
      </c>
    </row>
    <row r="44" spans="1:29">
      <c r="A44" s="579" t="s">
        <v>51</v>
      </c>
      <c r="B44" s="579" t="s">
        <v>17</v>
      </c>
      <c r="C44" s="1137">
        <v>0.35</v>
      </c>
      <c r="D44" s="531">
        <f t="shared" si="36"/>
        <v>0</v>
      </c>
      <c r="E44" s="644">
        <f>'Table 8a'!D42</f>
        <v>0.35</v>
      </c>
      <c r="F44" s="1137">
        <f>H44-G44</f>
        <v>0.36</v>
      </c>
      <c r="G44" s="531">
        <f>($D44/$E44)*H44</f>
        <v>0</v>
      </c>
      <c r="H44" s="523">
        <f>E44+'Table 8a'!AD42</f>
        <v>0.36</v>
      </c>
      <c r="I44" s="467">
        <f t="shared" si="37"/>
        <v>0.37</v>
      </c>
      <c r="J44" s="531">
        <f>($D44/$E44)*K44</f>
        <v>0</v>
      </c>
      <c r="K44" s="644">
        <f>H44+'Table 8a'!AE42</f>
        <v>0.37</v>
      </c>
      <c r="L44" s="1137">
        <f t="shared" si="38"/>
        <v>0.38</v>
      </c>
      <c r="M44" s="531">
        <f>($D44/$E44)*N44</f>
        <v>0</v>
      </c>
      <c r="N44" s="523">
        <f>K44+'Table 8a'!AF42</f>
        <v>0.38</v>
      </c>
      <c r="O44" s="467">
        <f t="shared" si="39"/>
        <v>0.39</v>
      </c>
      <c r="P44" s="531">
        <f>($D44/$E44)*Q44</f>
        <v>0</v>
      </c>
      <c r="Q44" s="644">
        <f>N44+'Table 8a'!AG42</f>
        <v>0.39</v>
      </c>
      <c r="R44" s="467">
        <f t="shared" si="40"/>
        <v>0.39</v>
      </c>
      <c r="S44" s="531">
        <f>($D44/$E44)*T44</f>
        <v>0</v>
      </c>
      <c r="T44" s="644">
        <f>Q44+'Table 8a'!AH42</f>
        <v>0.39</v>
      </c>
      <c r="U44" s="467">
        <f t="shared" si="41"/>
        <v>0.4</v>
      </c>
      <c r="V44" s="562">
        <f>($D44/$E44)*W44</f>
        <v>0</v>
      </c>
      <c r="W44" s="943">
        <f>T44+'Table 8a'!AI42</f>
        <v>0.4</v>
      </c>
      <c r="X44" s="227">
        <f t="shared" si="42"/>
        <v>0.14000000000000001</v>
      </c>
      <c r="Y44" s="48">
        <f t="shared" si="43"/>
        <v>0.45</v>
      </c>
      <c r="Z44" s="366">
        <f>($D44/$E44)*AA44</f>
        <v>0</v>
      </c>
      <c r="AA44" s="874">
        <f>(W44*'Table 8a'!J42)+'Table 8'!W44</f>
        <v>0.45</v>
      </c>
      <c r="AC44" s="1741">
        <f t="shared" si="44"/>
        <v>0.05</v>
      </c>
    </row>
    <row r="45" spans="1:29" s="22" customFormat="1" ht="27" customHeight="1" thickTop="1" thickBot="1">
      <c r="A45" s="3236" t="s">
        <v>52</v>
      </c>
      <c r="B45" s="3237"/>
      <c r="C45" s="589">
        <f>SUM(C39:C44)</f>
        <v>1.1499999999999999</v>
      </c>
      <c r="D45" s="471">
        <f t="shared" ref="D45:AA45" si="45">SUM(D39:D44)</f>
        <v>0</v>
      </c>
      <c r="E45" s="657">
        <f t="shared" si="45"/>
        <v>1.1499999999999999</v>
      </c>
      <c r="F45" s="589">
        <f t="shared" si="45"/>
        <v>0.98</v>
      </c>
      <c r="G45" s="471">
        <f t="shared" si="45"/>
        <v>0</v>
      </c>
      <c r="H45" s="472">
        <f t="shared" si="45"/>
        <v>1.1599999999999999</v>
      </c>
      <c r="I45" s="470">
        <f t="shared" si="45"/>
        <v>1.19</v>
      </c>
      <c r="J45" s="471">
        <f t="shared" si="45"/>
        <v>0</v>
      </c>
      <c r="K45" s="657">
        <f t="shared" si="45"/>
        <v>1.19</v>
      </c>
      <c r="L45" s="589">
        <f t="shared" si="45"/>
        <v>1.2</v>
      </c>
      <c r="M45" s="471">
        <f t="shared" si="45"/>
        <v>0</v>
      </c>
      <c r="N45" s="472">
        <f t="shared" si="45"/>
        <v>1.2</v>
      </c>
      <c r="O45" s="470">
        <f t="shared" si="45"/>
        <v>1.21</v>
      </c>
      <c r="P45" s="471">
        <f t="shared" si="45"/>
        <v>0</v>
      </c>
      <c r="Q45" s="657">
        <f t="shared" si="45"/>
        <v>1.21</v>
      </c>
      <c r="R45" s="470">
        <f t="shared" si="45"/>
        <v>1.21</v>
      </c>
      <c r="S45" s="471">
        <f t="shared" si="45"/>
        <v>0</v>
      </c>
      <c r="T45" s="657">
        <f t="shared" si="45"/>
        <v>1.21</v>
      </c>
      <c r="U45" s="470">
        <f t="shared" si="45"/>
        <v>1.22</v>
      </c>
      <c r="V45" s="555">
        <f t="shared" si="45"/>
        <v>0</v>
      </c>
      <c r="W45" s="474">
        <f t="shared" si="45"/>
        <v>1.22</v>
      </c>
      <c r="X45" s="714">
        <f t="shared" si="45"/>
        <v>0.22</v>
      </c>
      <c r="Y45" s="34">
        <f t="shared" si="45"/>
        <v>1.36</v>
      </c>
      <c r="Z45" s="20">
        <f t="shared" si="45"/>
        <v>0</v>
      </c>
      <c r="AA45" s="21">
        <f t="shared" si="45"/>
        <v>1.36</v>
      </c>
      <c r="AC45" s="1598">
        <f t="shared" si="44"/>
        <v>7.0000000000000007E-2</v>
      </c>
    </row>
    <row r="46" spans="1:29">
      <c r="A46" s="89" t="s">
        <v>35</v>
      </c>
    </row>
    <row r="47" spans="1:29">
      <c r="A47" s="1" t="s">
        <v>68</v>
      </c>
      <c r="B47" s="23"/>
      <c r="C47" s="23"/>
      <c r="D47" s="23"/>
      <c r="E47" s="23"/>
      <c r="F47" s="23"/>
      <c r="G47" s="23"/>
      <c r="H47" s="23"/>
      <c r="I47" s="23"/>
      <c r="J47" s="23"/>
      <c r="K47" s="23"/>
      <c r="L47" s="23"/>
      <c r="M47" s="23"/>
      <c r="N47" s="42"/>
      <c r="O47" s="42"/>
      <c r="P47" s="42"/>
      <c r="Z47" s="1" t="s">
        <v>36</v>
      </c>
    </row>
    <row r="48" spans="1:29">
      <c r="A48" s="1" t="s">
        <v>69</v>
      </c>
      <c r="J48" s="23"/>
    </row>
    <row r="49" spans="1:19">
      <c r="A49" s="3304" t="s">
        <v>590</v>
      </c>
      <c r="B49" s="3304"/>
      <c r="C49" s="3304"/>
      <c r="D49" s="3304"/>
      <c r="E49" s="3304"/>
      <c r="F49" s="3304"/>
      <c r="G49" s="3304"/>
      <c r="H49" s="3304"/>
      <c r="I49" s="3304"/>
      <c r="J49" s="3304"/>
      <c r="K49" s="3304"/>
      <c r="L49" s="3304"/>
      <c r="M49" s="3304"/>
      <c r="N49" s="3304"/>
      <c r="O49" s="3304"/>
      <c r="P49" s="3304"/>
      <c r="Q49" s="3304"/>
      <c r="R49" s="3304"/>
      <c r="S49" s="3304"/>
    </row>
    <row r="50" spans="1:19">
      <c r="A50" s="2" t="s">
        <v>591</v>
      </c>
      <c r="J50" s="23"/>
    </row>
    <row r="51" spans="1:19">
      <c r="A51" s="2" t="s">
        <v>592</v>
      </c>
      <c r="B51" s="2"/>
      <c r="C51" s="2"/>
      <c r="D51" s="2"/>
      <c r="E51" s="2"/>
      <c r="F51" s="2"/>
      <c r="G51" s="2"/>
      <c r="H51" s="2"/>
      <c r="I51" s="2"/>
      <c r="J51" s="2"/>
      <c r="K51" s="2"/>
      <c r="L51" s="2"/>
      <c r="M51" s="2"/>
      <c r="N51" s="2"/>
      <c r="O51" s="2"/>
      <c r="P51" s="2"/>
      <c r="Q51" s="2"/>
      <c r="R51" s="2"/>
      <c r="S51" s="2"/>
    </row>
    <row r="52" spans="1:19">
      <c r="O52" s="1" t="s">
        <v>36</v>
      </c>
    </row>
  </sheetData>
  <mergeCells count="39">
    <mergeCell ref="A49:S49"/>
    <mergeCell ref="AJ1:AK1"/>
    <mergeCell ref="A45:B45"/>
    <mergeCell ref="A36:A38"/>
    <mergeCell ref="B36:B38"/>
    <mergeCell ref="C36:E36"/>
    <mergeCell ref="F36:W36"/>
    <mergeCell ref="X36:X38"/>
    <mergeCell ref="Y36:AA36"/>
    <mergeCell ref="C37:E37"/>
    <mergeCell ref="F37:H37"/>
    <mergeCell ref="I37:K37"/>
    <mergeCell ref="L37:N37"/>
    <mergeCell ref="I3:K3"/>
    <mergeCell ref="AC2:AC4"/>
    <mergeCell ref="AC36:AC38"/>
    <mergeCell ref="AL1:AM1"/>
    <mergeCell ref="Y3:AA3"/>
    <mergeCell ref="U3:W3"/>
    <mergeCell ref="F2:W2"/>
    <mergeCell ref="A31:S31"/>
    <mergeCell ref="A1:AA1"/>
    <mergeCell ref="X2:X4"/>
    <mergeCell ref="C2:E2"/>
    <mergeCell ref="Y2:AA2"/>
    <mergeCell ref="A25:B25"/>
    <mergeCell ref="A26:B26"/>
    <mergeCell ref="A27:B27"/>
    <mergeCell ref="A2:A4"/>
    <mergeCell ref="B2:B4"/>
    <mergeCell ref="C3:E3"/>
    <mergeCell ref="F3:H3"/>
    <mergeCell ref="U37:W37"/>
    <mergeCell ref="Y37:AA37"/>
    <mergeCell ref="L3:N3"/>
    <mergeCell ref="O3:Q3"/>
    <mergeCell ref="R3:T3"/>
    <mergeCell ref="O37:Q37"/>
    <mergeCell ref="R37:T37"/>
  </mergeCells>
  <pageMargins left="0.7" right="0.7" top="0.75" bottom="0.75" header="0.3" footer="0.3"/>
  <pageSetup paperSize="3" scale="70" fitToHeight="0" pageOrder="overThenDown"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I49"/>
  <sheetViews>
    <sheetView workbookViewId="0">
      <pane xSplit="2" ySplit="3" topLeftCell="C4" activePane="bottomRight" state="frozen"/>
      <selection pane="bottomRight" activeCell="O37" sqref="O37"/>
      <selection pane="bottomLeft" activeCell="A4" sqref="A4"/>
      <selection pane="topRight" activeCell="C1" sqref="C1"/>
    </sheetView>
  </sheetViews>
  <sheetFormatPr defaultColWidth="9.140625" defaultRowHeight="12.75"/>
  <cols>
    <col min="1" max="1" width="13.28515625" style="1" customWidth="1"/>
    <col min="2" max="8" width="9.140625" style="1"/>
    <col min="9" max="9" width="10.28515625" style="1" customWidth="1"/>
    <col min="10" max="10" width="10.140625" style="1" customWidth="1"/>
    <col min="11" max="11" width="12.7109375" style="1" customWidth="1"/>
    <col min="12" max="12" width="14.85546875" style="1" customWidth="1"/>
    <col min="13" max="15" width="10.28515625" style="1" customWidth="1"/>
    <col min="16" max="16" width="10.140625" style="1" customWidth="1"/>
    <col min="17" max="17" width="9.42578125" style="1" customWidth="1"/>
    <col min="18" max="18" width="10" style="1" customWidth="1"/>
    <col min="19" max="24" width="9.7109375" style="1" customWidth="1"/>
    <col min="25" max="16384" width="9.140625" style="1"/>
  </cols>
  <sheetData>
    <row r="1" spans="1:35" ht="13.5" thickBot="1">
      <c r="A1" s="1" t="s">
        <v>594</v>
      </c>
    </row>
    <row r="2" spans="1:35" ht="27" customHeight="1">
      <c r="A2" s="3181" t="s">
        <v>1</v>
      </c>
      <c r="B2" s="3460" t="s">
        <v>2</v>
      </c>
      <c r="C2" s="3344" t="s">
        <v>595</v>
      </c>
      <c r="D2" s="3334"/>
      <c r="E2" s="3334"/>
      <c r="F2" s="3334"/>
      <c r="G2" s="3334"/>
      <c r="H2" s="3373" t="s">
        <v>596</v>
      </c>
      <c r="I2" s="3447" t="s">
        <v>597</v>
      </c>
      <c r="J2" s="3350" t="s">
        <v>598</v>
      </c>
      <c r="K2" s="3305" t="s">
        <v>599</v>
      </c>
      <c r="L2" s="3281"/>
      <c r="M2" s="3281"/>
      <c r="N2" s="3281"/>
      <c r="O2" s="3281"/>
      <c r="P2" s="3209" t="s">
        <v>600</v>
      </c>
      <c r="Q2" s="3305" t="s">
        <v>601</v>
      </c>
      <c r="R2" s="3281"/>
      <c r="S2" s="3281"/>
      <c r="T2" s="3281"/>
      <c r="U2" s="3281"/>
      <c r="V2" s="3281"/>
      <c r="W2" s="3282"/>
      <c r="X2" s="3281" t="s">
        <v>602</v>
      </c>
      <c r="Y2" s="3281"/>
      <c r="Z2" s="3281"/>
      <c r="AA2" s="3281"/>
      <c r="AB2" s="3281"/>
      <c r="AC2" s="3281"/>
      <c r="AD2" s="3265" t="s">
        <v>603</v>
      </c>
      <c r="AE2" s="3266"/>
      <c r="AF2" s="3266"/>
      <c r="AG2" s="3266"/>
      <c r="AH2" s="3266"/>
      <c r="AI2" s="3267"/>
    </row>
    <row r="3" spans="1:35" ht="27" customHeight="1" thickBot="1">
      <c r="A3" s="3182"/>
      <c r="B3" s="3461"/>
      <c r="C3" s="1670">
        <v>2014</v>
      </c>
      <c r="D3" s="1743">
        <v>2015</v>
      </c>
      <c r="E3" s="1743">
        <v>2016</v>
      </c>
      <c r="F3" s="1743">
        <v>2017</v>
      </c>
      <c r="G3" s="1744">
        <v>2018</v>
      </c>
      <c r="H3" s="3452"/>
      <c r="I3" s="3455"/>
      <c r="J3" s="3421"/>
      <c r="K3" s="1133">
        <v>2014</v>
      </c>
      <c r="L3" s="3049">
        <v>2015</v>
      </c>
      <c r="M3" s="3049">
        <v>2016</v>
      </c>
      <c r="N3" s="3049">
        <v>2017</v>
      </c>
      <c r="O3" s="1745">
        <v>2018</v>
      </c>
      <c r="P3" s="3211"/>
      <c r="Q3" s="1133">
        <v>2015</v>
      </c>
      <c r="R3" s="3049">
        <v>2020</v>
      </c>
      <c r="S3" s="3049">
        <v>2025</v>
      </c>
      <c r="T3" s="3049">
        <v>2030</v>
      </c>
      <c r="U3" s="1745">
        <v>2035</v>
      </c>
      <c r="V3" s="3049">
        <v>2040</v>
      </c>
      <c r="W3" s="1135">
        <v>2045</v>
      </c>
      <c r="X3" s="1746" t="s">
        <v>604</v>
      </c>
      <c r="Y3" s="3049" t="s">
        <v>605</v>
      </c>
      <c r="Z3" s="3049" t="s">
        <v>606</v>
      </c>
      <c r="AA3" s="1745" t="s">
        <v>607</v>
      </c>
      <c r="AB3" s="1745" t="s">
        <v>608</v>
      </c>
      <c r="AC3" s="1747" t="s">
        <v>609</v>
      </c>
      <c r="AD3" s="1133">
        <v>2020</v>
      </c>
      <c r="AE3" s="3049">
        <v>2025</v>
      </c>
      <c r="AF3" s="3049">
        <v>2030</v>
      </c>
      <c r="AG3" s="1745">
        <v>2035</v>
      </c>
      <c r="AH3" s="3049">
        <v>2040</v>
      </c>
      <c r="AI3" s="1135">
        <v>2045</v>
      </c>
    </row>
    <row r="4" spans="1:35">
      <c r="A4" s="295" t="s">
        <v>14</v>
      </c>
      <c r="B4" s="296" t="s">
        <v>15</v>
      </c>
      <c r="C4" s="47">
        <v>0.39</v>
      </c>
      <c r="D4" s="181">
        <v>0.27</v>
      </c>
      <c r="E4" s="181">
        <v>0.17</v>
      </c>
      <c r="F4" s="181">
        <v>0.2</v>
      </c>
      <c r="G4" s="761">
        <v>0.13</v>
      </c>
      <c r="H4" s="47">
        <f t="shared" ref="H4:H23" si="0">AVERAGE(C4:G4)</f>
        <v>0.23</v>
      </c>
      <c r="I4" s="181">
        <f>C4</f>
        <v>0.39</v>
      </c>
      <c r="J4" s="43">
        <f>(I4-H4)/H4</f>
        <v>0.7</v>
      </c>
      <c r="K4" s="168">
        <v>195065</v>
      </c>
      <c r="L4" s="249">
        <f>'Table 1'!E4</f>
        <v>197466</v>
      </c>
      <c r="M4" s="249">
        <v>197528</v>
      </c>
      <c r="N4" s="249">
        <v>199613</v>
      </c>
      <c r="O4" s="125">
        <v>201523</v>
      </c>
      <c r="P4" s="795">
        <f>(C4+D4+E4+F4+G4)/(K4+L4+M4+N4+O4)*1000000</f>
        <v>1</v>
      </c>
      <c r="Q4" s="168">
        <f>'Table 1'!E4</f>
        <v>197466</v>
      </c>
      <c r="R4" s="249">
        <f>'Table 1'!J4</f>
        <v>203981</v>
      </c>
      <c r="S4" s="249">
        <f>'Table 1'!O4</f>
        <v>208575</v>
      </c>
      <c r="T4" s="249">
        <f>'Table 1'!T4</f>
        <v>212384</v>
      </c>
      <c r="U4" s="125">
        <f>'Table 1'!Y4</f>
        <v>212473</v>
      </c>
      <c r="V4" s="249">
        <f>'Table 1'!AD4</f>
        <v>214246</v>
      </c>
      <c r="W4" s="291">
        <f>'Table 1'!AI4</f>
        <v>215828</v>
      </c>
      <c r="X4" s="247">
        <f>R4-Q4</f>
        <v>6515</v>
      </c>
      <c r="Y4" s="249">
        <f t="shared" ref="Y4:AC4" si="1">S4-R4</f>
        <v>4594</v>
      </c>
      <c r="Z4" s="249">
        <f t="shared" si="1"/>
        <v>3809</v>
      </c>
      <c r="AA4" s="249">
        <f t="shared" si="1"/>
        <v>89</v>
      </c>
      <c r="AB4" s="249">
        <f t="shared" si="1"/>
        <v>1773</v>
      </c>
      <c r="AC4" s="243">
        <f t="shared" si="1"/>
        <v>1582</v>
      </c>
      <c r="AD4" s="47">
        <f t="shared" ref="AD4:AI4" si="2">$P4*X4/1000000</f>
        <v>0.01</v>
      </c>
      <c r="AE4" s="181">
        <f t="shared" si="2"/>
        <v>0</v>
      </c>
      <c r="AF4" s="181">
        <f t="shared" si="2"/>
        <v>0</v>
      </c>
      <c r="AG4" s="761">
        <f t="shared" si="2"/>
        <v>0</v>
      </c>
      <c r="AH4" s="181">
        <f t="shared" si="2"/>
        <v>0</v>
      </c>
      <c r="AI4" s="1107">
        <f t="shared" si="2"/>
        <v>0</v>
      </c>
    </row>
    <row r="5" spans="1:35" ht="13.5" thickBot="1">
      <c r="A5" s="1827" t="s">
        <v>14</v>
      </c>
      <c r="B5" s="1897" t="s">
        <v>17</v>
      </c>
      <c r="C5" s="48">
        <v>1.05</v>
      </c>
      <c r="D5" s="712">
        <v>1.04</v>
      </c>
      <c r="E5" s="712">
        <v>1.04</v>
      </c>
      <c r="F5" s="712">
        <v>1.03</v>
      </c>
      <c r="G5" s="755">
        <v>1.03</v>
      </c>
      <c r="H5" s="48">
        <f t="shared" si="0"/>
        <v>1.04</v>
      </c>
      <c r="I5" s="712">
        <f>C5</f>
        <v>1.05</v>
      </c>
      <c r="J5" s="720">
        <f t="shared" ref="J5:J26" si="3">(I5-H5)/H5</f>
        <v>0.01</v>
      </c>
      <c r="K5" s="861">
        <f>'Table 5a'!K15+'Table 5a'!K6+31882</f>
        <v>54285</v>
      </c>
      <c r="L5" s="368">
        <f>'Table 1'!E5</f>
        <v>55728</v>
      </c>
      <c r="M5" s="368">
        <f>'Table 5a'!M15+'Table 5a'!M6+34894</f>
        <v>58180</v>
      </c>
      <c r="N5" s="368">
        <f>'Table 5a'!N15+'Table 5a'!N6+35404</f>
        <v>59075</v>
      </c>
      <c r="O5" s="711">
        <f>'Table 5a'!O15+'Table 5a'!O6+36592</f>
        <v>60547</v>
      </c>
      <c r="P5" s="704">
        <f t="shared" ref="P5:P23" si="4">(C5+D5+E5+F5+G5)/(K5+L5+M5+N5+O5)*1000000</f>
        <v>18</v>
      </c>
      <c r="Q5" s="861">
        <f>'Table 1'!E5</f>
        <v>55728</v>
      </c>
      <c r="R5" s="368">
        <f>'Table 1'!J5</f>
        <v>65450</v>
      </c>
      <c r="S5" s="368">
        <f>'Table 1'!O5</f>
        <v>72431</v>
      </c>
      <c r="T5" s="368">
        <f>'Table 1'!T5</f>
        <v>78722</v>
      </c>
      <c r="U5" s="711">
        <f>'Table 1'!Y5</f>
        <v>87233</v>
      </c>
      <c r="V5" s="368">
        <f>'Table 1'!AD5</f>
        <v>92660</v>
      </c>
      <c r="W5" s="1011">
        <f>'Table 1'!AI5</f>
        <v>96978</v>
      </c>
      <c r="X5" s="1101">
        <f>R5-Q5</f>
        <v>9722</v>
      </c>
      <c r="Y5" s="368">
        <f t="shared" ref="Y5" si="5">S5-R5</f>
        <v>6981</v>
      </c>
      <c r="Z5" s="368">
        <f t="shared" ref="Z5" si="6">T5-S5</f>
        <v>6291</v>
      </c>
      <c r="AA5" s="368">
        <f t="shared" ref="AA5" si="7">U5-T5</f>
        <v>8511</v>
      </c>
      <c r="AB5" s="368">
        <f t="shared" ref="AB5" si="8">V5-U5</f>
        <v>5427</v>
      </c>
      <c r="AC5" s="801">
        <f t="shared" ref="AC5" si="9">W5-V5</f>
        <v>4318</v>
      </c>
      <c r="AD5" s="48">
        <f t="shared" ref="AD5:AD23" si="10">$P5*X5/1000000</f>
        <v>0.17</v>
      </c>
      <c r="AE5" s="712">
        <f>$P5*Y5/1000000</f>
        <v>0.13</v>
      </c>
      <c r="AF5" s="712">
        <f>$P5*Z5/1000000</f>
        <v>0.11</v>
      </c>
      <c r="AG5" s="755">
        <f>$P5*AA5/1000000</f>
        <v>0.15</v>
      </c>
      <c r="AH5" s="712">
        <f>$P5*AB5/1000000</f>
        <v>0.1</v>
      </c>
      <c r="AI5" s="1108">
        <f>$P5*AC5/1000000</f>
        <v>0.08</v>
      </c>
    </row>
    <row r="6" spans="1:35" ht="14.25" thickTop="1" thickBot="1">
      <c r="A6" s="341" t="s">
        <v>14</v>
      </c>
      <c r="B6" s="342" t="s">
        <v>18</v>
      </c>
      <c r="C6" s="139">
        <f>SUM(C4:C5)</f>
        <v>1.44</v>
      </c>
      <c r="D6" s="701">
        <f t="shared" ref="D6:G6" si="11">SUM(D4:D5)</f>
        <v>1.31</v>
      </c>
      <c r="E6" s="701">
        <f t="shared" si="11"/>
        <v>1.21</v>
      </c>
      <c r="F6" s="701">
        <f t="shared" si="11"/>
        <v>1.23</v>
      </c>
      <c r="G6" s="756">
        <f t="shared" si="11"/>
        <v>1.1599999999999999</v>
      </c>
      <c r="H6" s="139">
        <f t="shared" si="0"/>
        <v>1.27</v>
      </c>
      <c r="I6" s="701">
        <f>C6</f>
        <v>1.44</v>
      </c>
      <c r="J6" s="244">
        <f t="shared" si="3"/>
        <v>0.13</v>
      </c>
      <c r="K6" s="856">
        <f t="shared" ref="K6:O6" si="12">SUM(K4:K5)</f>
        <v>249350</v>
      </c>
      <c r="L6" s="172">
        <f t="shared" si="12"/>
        <v>253194</v>
      </c>
      <c r="M6" s="172">
        <f t="shared" si="12"/>
        <v>255708</v>
      </c>
      <c r="N6" s="172">
        <f t="shared" si="12"/>
        <v>258688</v>
      </c>
      <c r="O6" s="62">
        <f t="shared" si="12"/>
        <v>262070</v>
      </c>
      <c r="P6" s="1117" t="s">
        <v>16</v>
      </c>
      <c r="Q6" s="856">
        <f>SUM(Q4:Q5)</f>
        <v>253194</v>
      </c>
      <c r="R6" s="172">
        <f t="shared" ref="R6:W6" si="13">SUM(R4:R5)</f>
        <v>269431</v>
      </c>
      <c r="S6" s="172">
        <f t="shared" si="13"/>
        <v>281006</v>
      </c>
      <c r="T6" s="172">
        <f t="shared" si="13"/>
        <v>291106</v>
      </c>
      <c r="U6" s="62">
        <f t="shared" si="13"/>
        <v>299706</v>
      </c>
      <c r="V6" s="172">
        <f t="shared" si="13"/>
        <v>306906</v>
      </c>
      <c r="W6" s="290">
        <f t="shared" si="13"/>
        <v>312806</v>
      </c>
      <c r="X6" s="58">
        <f t="shared" ref="X6" si="14">SUM(X4:X5)</f>
        <v>16237</v>
      </c>
      <c r="Y6" s="172">
        <f t="shared" ref="Y6" si="15">SUM(Y4:Y5)</f>
        <v>11575</v>
      </c>
      <c r="Z6" s="172">
        <f t="shared" ref="Z6" si="16">SUM(Z4:Z5)</f>
        <v>10100</v>
      </c>
      <c r="AA6" s="172">
        <f t="shared" ref="AA6" si="17">SUM(AA4:AA5)</f>
        <v>8600</v>
      </c>
      <c r="AB6" s="172">
        <f t="shared" ref="AB6" si="18">SUM(AB4:AB5)</f>
        <v>7200</v>
      </c>
      <c r="AC6" s="126">
        <f t="shared" ref="AC6" si="19">SUM(AC4:AC5)</f>
        <v>5900</v>
      </c>
      <c r="AD6" s="139">
        <f t="shared" ref="AD6:AI6" si="20">SUM(AD4:AD5)</f>
        <v>0.18</v>
      </c>
      <c r="AE6" s="701">
        <f t="shared" si="20"/>
        <v>0.13</v>
      </c>
      <c r="AF6" s="701">
        <f t="shared" si="20"/>
        <v>0.11</v>
      </c>
      <c r="AG6" s="756">
        <f t="shared" si="20"/>
        <v>0.15</v>
      </c>
      <c r="AH6" s="701">
        <f t="shared" si="20"/>
        <v>0.1</v>
      </c>
      <c r="AI6" s="61">
        <f t="shared" si="20"/>
        <v>0.08</v>
      </c>
    </row>
    <row r="7" spans="1:35">
      <c r="A7" s="292" t="s">
        <v>19</v>
      </c>
      <c r="B7" s="262" t="s">
        <v>15</v>
      </c>
      <c r="C7" s="149">
        <v>0</v>
      </c>
      <c r="D7" s="702">
        <v>0</v>
      </c>
      <c r="E7" s="702">
        <v>0</v>
      </c>
      <c r="F7" s="702">
        <v>0</v>
      </c>
      <c r="G7" s="757">
        <v>0</v>
      </c>
      <c r="H7" s="149">
        <f t="shared" si="0"/>
        <v>0</v>
      </c>
      <c r="I7" s="702">
        <v>0</v>
      </c>
      <c r="J7" s="362">
        <v>0</v>
      </c>
      <c r="K7" s="170">
        <v>26532</v>
      </c>
      <c r="L7" s="169">
        <f>'Table 1'!E7</f>
        <v>26556</v>
      </c>
      <c r="M7" s="169">
        <v>26506</v>
      </c>
      <c r="N7" s="169">
        <v>26729</v>
      </c>
      <c r="O7" s="127">
        <v>27189</v>
      </c>
      <c r="P7" s="703">
        <f t="shared" si="4"/>
        <v>0</v>
      </c>
      <c r="Q7" s="170">
        <f>'Table 1'!E7</f>
        <v>26556</v>
      </c>
      <c r="R7" s="169">
        <f>'Table 1'!J7</f>
        <v>27440</v>
      </c>
      <c r="S7" s="169">
        <f>'Table 1'!O7</f>
        <v>28838</v>
      </c>
      <c r="T7" s="169">
        <f>'Table 1'!T7</f>
        <v>30026</v>
      </c>
      <c r="U7" s="127">
        <f>'Table 1'!Y7</f>
        <v>30922</v>
      </c>
      <c r="V7" s="169">
        <f>'Table 1'!AD7</f>
        <v>31667</v>
      </c>
      <c r="W7" s="270">
        <f>'Table 1'!AI7</f>
        <v>32394</v>
      </c>
      <c r="X7" s="324">
        <f t="shared" ref="X7:X8" si="21">R7-Q7</f>
        <v>884</v>
      </c>
      <c r="Y7" s="169">
        <f t="shared" ref="Y7:Y8" si="22">S7-R7</f>
        <v>1398</v>
      </c>
      <c r="Z7" s="169">
        <f t="shared" ref="Z7:Z8" si="23">T7-S7</f>
        <v>1188</v>
      </c>
      <c r="AA7" s="169">
        <f t="shared" ref="AA7:AA8" si="24">U7-T7</f>
        <v>896</v>
      </c>
      <c r="AB7" s="169">
        <f t="shared" ref="AB7:AB8" si="25">V7-U7</f>
        <v>745</v>
      </c>
      <c r="AC7" s="748">
        <f t="shared" ref="AC7:AC8" si="26">W7-V7</f>
        <v>727</v>
      </c>
      <c r="AD7" s="149">
        <f t="shared" si="10"/>
        <v>0</v>
      </c>
      <c r="AE7" s="702">
        <f t="shared" ref="AE7:AH8" si="27">$P7*Y7/1000000</f>
        <v>0</v>
      </c>
      <c r="AF7" s="702">
        <f t="shared" si="27"/>
        <v>0</v>
      </c>
      <c r="AG7" s="757">
        <f t="shared" si="27"/>
        <v>0</v>
      </c>
      <c r="AH7" s="702">
        <f t="shared" si="27"/>
        <v>0</v>
      </c>
      <c r="AI7" s="1109">
        <f t="shared" ref="AI7:AI8" si="28">$P7*AC7/1000000</f>
        <v>0</v>
      </c>
    </row>
    <row r="8" spans="1:35" ht="13.5" thickBot="1">
      <c r="A8" s="1037" t="s">
        <v>19</v>
      </c>
      <c r="B8" s="275" t="s">
        <v>17</v>
      </c>
      <c r="C8" s="48">
        <v>0</v>
      </c>
      <c r="D8" s="712">
        <v>0</v>
      </c>
      <c r="E8" s="712">
        <v>0</v>
      </c>
      <c r="F8" s="712">
        <v>0</v>
      </c>
      <c r="G8" s="755">
        <v>0</v>
      </c>
      <c r="H8" s="48">
        <f t="shared" si="0"/>
        <v>0</v>
      </c>
      <c r="I8" s="712">
        <v>0</v>
      </c>
      <c r="J8" s="745">
        <v>0</v>
      </c>
      <c r="K8" s="861">
        <v>503</v>
      </c>
      <c r="L8" s="368">
        <f>'Table 1'!E8</f>
        <v>503</v>
      </c>
      <c r="M8" s="368">
        <v>489</v>
      </c>
      <c r="N8" s="368">
        <v>498</v>
      </c>
      <c r="O8" s="711">
        <v>507</v>
      </c>
      <c r="P8" s="704">
        <f t="shared" si="4"/>
        <v>0</v>
      </c>
      <c r="Q8" s="861">
        <f>'Table 1'!E8</f>
        <v>503</v>
      </c>
      <c r="R8" s="368">
        <f>'Table 1'!J8</f>
        <v>521</v>
      </c>
      <c r="S8" s="368">
        <f>'Table 1'!O8</f>
        <v>549</v>
      </c>
      <c r="T8" s="368">
        <f>'Table 1'!T8</f>
        <v>573</v>
      </c>
      <c r="U8" s="711">
        <f>'Table 1'!Y8</f>
        <v>591</v>
      </c>
      <c r="V8" s="368">
        <f>'Table 1'!AD8</f>
        <v>609</v>
      </c>
      <c r="W8" s="1011">
        <f>'Table 1'!AI8</f>
        <v>623</v>
      </c>
      <c r="X8" s="1101">
        <f t="shared" si="21"/>
        <v>18</v>
      </c>
      <c r="Y8" s="368">
        <f t="shared" si="22"/>
        <v>28</v>
      </c>
      <c r="Z8" s="368">
        <f t="shared" si="23"/>
        <v>24</v>
      </c>
      <c r="AA8" s="368">
        <f t="shared" si="24"/>
        <v>18</v>
      </c>
      <c r="AB8" s="368">
        <f t="shared" si="25"/>
        <v>18</v>
      </c>
      <c r="AC8" s="801">
        <f t="shared" si="26"/>
        <v>14</v>
      </c>
      <c r="AD8" s="48">
        <f t="shared" si="10"/>
        <v>0</v>
      </c>
      <c r="AE8" s="712">
        <f t="shared" si="27"/>
        <v>0</v>
      </c>
      <c r="AF8" s="712">
        <f t="shared" si="27"/>
        <v>0</v>
      </c>
      <c r="AG8" s="755">
        <f t="shared" si="27"/>
        <v>0</v>
      </c>
      <c r="AH8" s="712">
        <f t="shared" si="27"/>
        <v>0</v>
      </c>
      <c r="AI8" s="1108">
        <f t="shared" si="28"/>
        <v>0</v>
      </c>
    </row>
    <row r="9" spans="1:35" ht="14.25" thickTop="1" thickBot="1">
      <c r="A9" s="339" t="s">
        <v>19</v>
      </c>
      <c r="B9" s="2554" t="s">
        <v>18</v>
      </c>
      <c r="C9" s="34">
        <f>SUM(C7:C8)</f>
        <v>0</v>
      </c>
      <c r="D9" s="774">
        <f t="shared" ref="D9:G9" si="29">SUM(D7:D8)</f>
        <v>0</v>
      </c>
      <c r="E9" s="774">
        <f t="shared" si="29"/>
        <v>0</v>
      </c>
      <c r="F9" s="774">
        <f t="shared" si="29"/>
        <v>0</v>
      </c>
      <c r="G9" s="758">
        <f t="shared" si="29"/>
        <v>0</v>
      </c>
      <c r="H9" s="34">
        <f t="shared" si="0"/>
        <v>0</v>
      </c>
      <c r="I9" s="774">
        <v>0</v>
      </c>
      <c r="J9" s="363">
        <v>0</v>
      </c>
      <c r="K9" s="857">
        <f t="shared" ref="K9:O9" si="30">SUM(K7:K8)</f>
        <v>27035</v>
      </c>
      <c r="L9" s="251">
        <f t="shared" si="30"/>
        <v>27059</v>
      </c>
      <c r="M9" s="251">
        <f t="shared" si="30"/>
        <v>26995</v>
      </c>
      <c r="N9" s="251">
        <f t="shared" si="30"/>
        <v>27227</v>
      </c>
      <c r="O9" s="77">
        <f t="shared" si="30"/>
        <v>27696</v>
      </c>
      <c r="P9" s="1118" t="s">
        <v>16</v>
      </c>
      <c r="Q9" s="857">
        <f>SUM(Q7:Q8)</f>
        <v>27059</v>
      </c>
      <c r="R9" s="251">
        <f t="shared" ref="R9:W9" si="31">SUM(R7:R8)</f>
        <v>27961</v>
      </c>
      <c r="S9" s="251">
        <f t="shared" si="31"/>
        <v>29387</v>
      </c>
      <c r="T9" s="251">
        <f t="shared" si="31"/>
        <v>30599</v>
      </c>
      <c r="U9" s="77">
        <f t="shared" si="31"/>
        <v>31513</v>
      </c>
      <c r="V9" s="251">
        <f t="shared" si="31"/>
        <v>32276</v>
      </c>
      <c r="W9" s="97">
        <f t="shared" si="31"/>
        <v>33017</v>
      </c>
      <c r="X9" s="254">
        <f t="shared" ref="X9" si="32">SUM(X7:X8)</f>
        <v>902</v>
      </c>
      <c r="Y9" s="251">
        <f t="shared" ref="Y9" si="33">SUM(Y7:Y8)</f>
        <v>1426</v>
      </c>
      <c r="Z9" s="251">
        <f t="shared" ref="Z9" si="34">SUM(Z7:Z8)</f>
        <v>1212</v>
      </c>
      <c r="AA9" s="251">
        <f t="shared" ref="AA9" si="35">SUM(AA7:AA8)</f>
        <v>914</v>
      </c>
      <c r="AB9" s="251">
        <f t="shared" ref="AB9" si="36">SUM(AB7:AB8)</f>
        <v>763</v>
      </c>
      <c r="AC9" s="213">
        <f t="shared" ref="AC9" si="37">SUM(AC7:AC8)</f>
        <v>741</v>
      </c>
      <c r="AD9" s="34">
        <f t="shared" ref="AD9:AI9" si="38">SUM(AD7:AD8)</f>
        <v>0</v>
      </c>
      <c r="AE9" s="774">
        <f t="shared" si="38"/>
        <v>0</v>
      </c>
      <c r="AF9" s="774">
        <f t="shared" si="38"/>
        <v>0</v>
      </c>
      <c r="AG9" s="758">
        <f t="shared" si="38"/>
        <v>0</v>
      </c>
      <c r="AH9" s="774">
        <f t="shared" si="38"/>
        <v>0</v>
      </c>
      <c r="AI9" s="21">
        <f t="shared" si="38"/>
        <v>0</v>
      </c>
    </row>
    <row r="10" spans="1:35">
      <c r="A10" s="295" t="s">
        <v>20</v>
      </c>
      <c r="B10" s="296" t="s">
        <v>15</v>
      </c>
      <c r="C10" s="149">
        <v>0</v>
      </c>
      <c r="D10" s="702">
        <v>0</v>
      </c>
      <c r="E10" s="702">
        <v>0</v>
      </c>
      <c r="F10" s="702">
        <v>0</v>
      </c>
      <c r="G10" s="757">
        <v>0</v>
      </c>
      <c r="H10" s="149">
        <f t="shared" si="0"/>
        <v>0</v>
      </c>
      <c r="I10" s="702">
        <v>0</v>
      </c>
      <c r="J10" s="153">
        <v>0</v>
      </c>
      <c r="K10" s="168">
        <v>2301</v>
      </c>
      <c r="L10" s="249">
        <f>'Table 1'!E10</f>
        <v>2289</v>
      </c>
      <c r="M10" s="249">
        <v>2312</v>
      </c>
      <c r="N10" s="249">
        <v>2319</v>
      </c>
      <c r="O10" s="125">
        <v>2366</v>
      </c>
      <c r="P10" s="795">
        <f t="shared" si="4"/>
        <v>0</v>
      </c>
      <c r="Q10" s="170">
        <f>'Table 1'!E10</f>
        <v>2289</v>
      </c>
      <c r="R10" s="169">
        <f>'Table 1'!J10</f>
        <v>2475</v>
      </c>
      <c r="S10" s="169">
        <f>'Table 1'!O10</f>
        <v>2872</v>
      </c>
      <c r="T10" s="169">
        <f>'Table 1'!T10</f>
        <v>3069</v>
      </c>
      <c r="U10" s="127">
        <f>'Table 1'!Y10</f>
        <v>3069</v>
      </c>
      <c r="V10" s="249">
        <f>'Table 1'!AD10</f>
        <v>3234</v>
      </c>
      <c r="W10" s="291">
        <f>'Table 1'!AI10</f>
        <v>3418</v>
      </c>
      <c r="X10" s="247">
        <f t="shared" ref="X10:X11" si="39">R10-Q10</f>
        <v>186</v>
      </c>
      <c r="Y10" s="249">
        <f t="shared" ref="Y10:Y11" si="40">S10-R10</f>
        <v>397</v>
      </c>
      <c r="Z10" s="249">
        <f t="shared" ref="Z10:Z11" si="41">T10-S10</f>
        <v>197</v>
      </c>
      <c r="AA10" s="249">
        <f t="shared" ref="AA10:AA11" si="42">U10-T10</f>
        <v>0</v>
      </c>
      <c r="AB10" s="249">
        <f t="shared" ref="AB10:AB11" si="43">V10-U10</f>
        <v>165</v>
      </c>
      <c r="AC10" s="243">
        <f t="shared" ref="AC10:AC11" si="44">W10-V10</f>
        <v>184</v>
      </c>
      <c r="AD10" s="47">
        <f t="shared" si="10"/>
        <v>0</v>
      </c>
      <c r="AE10" s="181">
        <f t="shared" ref="AE10:AH11" si="45">$P10*Y10/1000000</f>
        <v>0</v>
      </c>
      <c r="AF10" s="181">
        <f t="shared" si="45"/>
        <v>0</v>
      </c>
      <c r="AG10" s="761">
        <f t="shared" si="45"/>
        <v>0</v>
      </c>
      <c r="AH10" s="181">
        <f t="shared" si="45"/>
        <v>0</v>
      </c>
      <c r="AI10" s="1107">
        <f t="shared" ref="AI10:AI11" si="46">$P10*AC10/1000000</f>
        <v>0</v>
      </c>
    </row>
    <row r="11" spans="1:35" ht="13.5" thickBot="1">
      <c r="A11" s="1037" t="s">
        <v>20</v>
      </c>
      <c r="B11" s="1864" t="s">
        <v>17</v>
      </c>
      <c r="C11" s="48">
        <v>0.3</v>
      </c>
      <c r="D11" s="712">
        <v>0.3</v>
      </c>
      <c r="E11" s="712">
        <v>0.3</v>
      </c>
      <c r="F11" s="712">
        <v>0.3</v>
      </c>
      <c r="G11" s="755">
        <v>0.09</v>
      </c>
      <c r="H11" s="48">
        <f t="shared" si="0"/>
        <v>0.26</v>
      </c>
      <c r="I11" s="712">
        <f>F11</f>
        <v>0.3</v>
      </c>
      <c r="J11" s="720">
        <f t="shared" si="3"/>
        <v>0.15</v>
      </c>
      <c r="K11" s="861">
        <f>'Table 5a'!K21+'Table 6c'!K10+12572</f>
        <v>20803</v>
      </c>
      <c r="L11" s="368">
        <f>'Table 1'!E11</f>
        <v>20712</v>
      </c>
      <c r="M11" s="368">
        <f>'Table 5a'!M21+'Table 6c'!M10+12647</f>
        <v>20853</v>
      </c>
      <c r="N11" s="368">
        <f>'Table 5a'!N21+'Table 6c'!N10+12767</f>
        <v>20962</v>
      </c>
      <c r="O11" s="711">
        <f>'Table 5a'!O21+'Table 6c'!O10+12338</f>
        <v>20741</v>
      </c>
      <c r="P11" s="1116">
        <f t="shared" si="4"/>
        <v>12</v>
      </c>
      <c r="Q11" s="861">
        <f>'Table 1'!E11</f>
        <v>20712</v>
      </c>
      <c r="R11" s="368">
        <f>'Table 1'!J11</f>
        <v>21080</v>
      </c>
      <c r="S11" s="368">
        <f>'Table 1'!O11</f>
        <v>21083</v>
      </c>
      <c r="T11" s="368">
        <f>'Table 1'!T11</f>
        <v>21094</v>
      </c>
      <c r="U11" s="711">
        <f>'Table 1'!Y11</f>
        <v>21168</v>
      </c>
      <c r="V11" s="368">
        <f>'Table 1'!AD11</f>
        <v>21088</v>
      </c>
      <c r="W11" s="1011">
        <f>'Table 1'!AI11</f>
        <v>20956</v>
      </c>
      <c r="X11" s="1101">
        <f t="shared" si="39"/>
        <v>368</v>
      </c>
      <c r="Y11" s="368">
        <f t="shared" si="40"/>
        <v>3</v>
      </c>
      <c r="Z11" s="368">
        <f t="shared" si="41"/>
        <v>11</v>
      </c>
      <c r="AA11" s="368">
        <f t="shared" si="42"/>
        <v>74</v>
      </c>
      <c r="AB11" s="368">
        <f t="shared" si="43"/>
        <v>-80</v>
      </c>
      <c r="AC11" s="801">
        <f t="shared" si="44"/>
        <v>-132</v>
      </c>
      <c r="AD11" s="48">
        <f t="shared" si="10"/>
        <v>0</v>
      </c>
      <c r="AE11" s="712">
        <f t="shared" si="45"/>
        <v>0</v>
      </c>
      <c r="AF11" s="712">
        <f t="shared" si="45"/>
        <v>0</v>
      </c>
      <c r="AG11" s="755">
        <f t="shared" si="45"/>
        <v>0</v>
      </c>
      <c r="AH11" s="712">
        <f t="shared" si="45"/>
        <v>0</v>
      </c>
      <c r="AI11" s="1108">
        <f t="shared" si="46"/>
        <v>0</v>
      </c>
    </row>
    <row r="12" spans="1:35" ht="14.25" thickTop="1" thickBot="1">
      <c r="A12" s="339" t="s">
        <v>20</v>
      </c>
      <c r="B12" s="2554" t="s">
        <v>18</v>
      </c>
      <c r="C12" s="34">
        <f>SUM(C10:C11)</f>
        <v>0.3</v>
      </c>
      <c r="D12" s="774">
        <f t="shared" ref="D12:G12" si="47">SUM(D10:D11)</f>
        <v>0.3</v>
      </c>
      <c r="E12" s="774">
        <f t="shared" si="47"/>
        <v>0.3</v>
      </c>
      <c r="F12" s="774">
        <f t="shared" si="47"/>
        <v>0.3</v>
      </c>
      <c r="G12" s="758">
        <f t="shared" si="47"/>
        <v>0.09</v>
      </c>
      <c r="H12" s="34">
        <f t="shared" si="0"/>
        <v>0.26</v>
      </c>
      <c r="I12" s="774">
        <f>F12</f>
        <v>0.3</v>
      </c>
      <c r="J12" s="44">
        <f t="shared" si="3"/>
        <v>0.15</v>
      </c>
      <c r="K12" s="857">
        <f t="shared" ref="K12:O12" si="48">SUM(K10:K11)</f>
        <v>23104</v>
      </c>
      <c r="L12" s="251">
        <f t="shared" si="48"/>
        <v>23001</v>
      </c>
      <c r="M12" s="251">
        <f t="shared" si="48"/>
        <v>23165</v>
      </c>
      <c r="N12" s="251">
        <f t="shared" si="48"/>
        <v>23281</v>
      </c>
      <c r="O12" s="77">
        <f t="shared" si="48"/>
        <v>23107</v>
      </c>
      <c r="P12" s="1118" t="s">
        <v>16</v>
      </c>
      <c r="Q12" s="857">
        <f>SUM(Q10:Q11)</f>
        <v>23001</v>
      </c>
      <c r="R12" s="251">
        <f t="shared" ref="R12:W12" si="49">SUM(R10:R11)</f>
        <v>23555</v>
      </c>
      <c r="S12" s="251">
        <f t="shared" si="49"/>
        <v>23955</v>
      </c>
      <c r="T12" s="251">
        <f t="shared" si="49"/>
        <v>24163</v>
      </c>
      <c r="U12" s="77">
        <f t="shared" si="49"/>
        <v>24237</v>
      </c>
      <c r="V12" s="251">
        <f t="shared" si="49"/>
        <v>24322</v>
      </c>
      <c r="W12" s="97">
        <f t="shared" si="49"/>
        <v>24374</v>
      </c>
      <c r="X12" s="254">
        <f t="shared" ref="X12" si="50">SUM(X10:X11)</f>
        <v>554</v>
      </c>
      <c r="Y12" s="251">
        <f t="shared" ref="Y12" si="51">SUM(Y10:Y11)</f>
        <v>400</v>
      </c>
      <c r="Z12" s="251">
        <f t="shared" ref="Z12" si="52">SUM(Z10:Z11)</f>
        <v>208</v>
      </c>
      <c r="AA12" s="251">
        <f t="shared" ref="AA12" si="53">SUM(AA10:AA11)</f>
        <v>74</v>
      </c>
      <c r="AB12" s="251">
        <f t="shared" ref="AB12" si="54">SUM(AB10:AB11)</f>
        <v>85</v>
      </c>
      <c r="AC12" s="213">
        <f t="shared" ref="AC12" si="55">SUM(AC10:AC11)</f>
        <v>52</v>
      </c>
      <c r="AD12" s="34">
        <f t="shared" ref="AD12:AI12" si="56">SUM(AD10:AD11)</f>
        <v>0</v>
      </c>
      <c r="AE12" s="774">
        <f t="shared" si="56"/>
        <v>0</v>
      </c>
      <c r="AF12" s="774">
        <f t="shared" si="56"/>
        <v>0</v>
      </c>
      <c r="AG12" s="758">
        <f t="shared" si="56"/>
        <v>0</v>
      </c>
      <c r="AH12" s="774">
        <f t="shared" si="56"/>
        <v>0</v>
      </c>
      <c r="AI12" s="21">
        <f t="shared" si="56"/>
        <v>0</v>
      </c>
    </row>
    <row r="13" spans="1:35">
      <c r="A13" s="295" t="s">
        <v>21</v>
      </c>
      <c r="B13" s="296" t="s">
        <v>15</v>
      </c>
      <c r="C13" s="47">
        <v>0.32</v>
      </c>
      <c r="D13" s="181">
        <v>0.41</v>
      </c>
      <c r="E13" s="181">
        <v>0.94</v>
      </c>
      <c r="F13" s="181">
        <v>1.23</v>
      </c>
      <c r="G13" s="761">
        <v>0.48</v>
      </c>
      <c r="H13" s="47">
        <f t="shared" si="0"/>
        <v>0.68</v>
      </c>
      <c r="I13" s="181">
        <f>E13</f>
        <v>0.94</v>
      </c>
      <c r="J13" s="43">
        <f t="shared" si="3"/>
        <v>0.38</v>
      </c>
      <c r="K13" s="168">
        <v>198718</v>
      </c>
      <c r="L13" s="249">
        <f>'Table 1'!E13</f>
        <v>202600</v>
      </c>
      <c r="M13" s="249">
        <v>206498</v>
      </c>
      <c r="N13" s="249">
        <v>209718</v>
      </c>
      <c r="O13" s="125">
        <v>213169</v>
      </c>
      <c r="P13" s="795">
        <f t="shared" si="4"/>
        <v>3</v>
      </c>
      <c r="Q13" s="168">
        <f>'Table 1'!E13</f>
        <v>202600</v>
      </c>
      <c r="R13" s="249">
        <f>'Table 1'!J13</f>
        <v>217009</v>
      </c>
      <c r="S13" s="249">
        <f>'Table 1'!O13</f>
        <v>234658</v>
      </c>
      <c r="T13" s="249">
        <f>'Table 1'!T13</f>
        <v>247691</v>
      </c>
      <c r="U13" s="125">
        <f>'Table 1'!Y13</f>
        <v>262835</v>
      </c>
      <c r="V13" s="249">
        <f>'Table 1'!AD13</f>
        <v>272476</v>
      </c>
      <c r="W13" s="291">
        <f>'Table 1'!AI13</f>
        <v>282960</v>
      </c>
      <c r="X13" s="247">
        <f t="shared" ref="X13:X23" si="57">R13-Q13</f>
        <v>14409</v>
      </c>
      <c r="Y13" s="249">
        <f t="shared" ref="Y13:Y23" si="58">S13-R13</f>
        <v>17649</v>
      </c>
      <c r="Z13" s="249">
        <f t="shared" ref="Z13:Z23" si="59">T13-S13</f>
        <v>13033</v>
      </c>
      <c r="AA13" s="249">
        <f t="shared" ref="AA13:AA23" si="60">U13-T13</f>
        <v>15144</v>
      </c>
      <c r="AB13" s="249">
        <f t="shared" ref="AB13:AB23" si="61">V13-U13</f>
        <v>9641</v>
      </c>
      <c r="AC13" s="243">
        <f t="shared" ref="AC13:AC23" si="62">W13-V13</f>
        <v>10484</v>
      </c>
      <c r="AD13" s="47">
        <f t="shared" si="10"/>
        <v>0.04</v>
      </c>
      <c r="AE13" s="181">
        <f t="shared" ref="AE13:AE18" si="63">$P13*Y13/1000000</f>
        <v>0.05</v>
      </c>
      <c r="AF13" s="181">
        <f t="shared" ref="AF13:AF18" si="64">$P13*Z13/1000000</f>
        <v>0.04</v>
      </c>
      <c r="AG13" s="761">
        <f t="shared" ref="AG13:AG18" si="65">$P13*AA13/1000000</f>
        <v>0.05</v>
      </c>
      <c r="AH13" s="181">
        <f t="shared" ref="AH13:AH18" si="66">$P13*AB13/1000000</f>
        <v>0.03</v>
      </c>
      <c r="AI13" s="1107">
        <f t="shared" ref="AI13:AI23" si="67">$P13*AC13/1000000</f>
        <v>0.03</v>
      </c>
    </row>
    <row r="14" spans="1:35">
      <c r="A14" s="364" t="s">
        <v>22</v>
      </c>
      <c r="B14" s="296" t="s">
        <v>17</v>
      </c>
      <c r="C14" s="823">
        <v>0.72</v>
      </c>
      <c r="D14" s="802">
        <v>0.73</v>
      </c>
      <c r="E14" s="802">
        <v>0.7</v>
      </c>
      <c r="F14" s="802">
        <v>0.7</v>
      </c>
      <c r="G14" s="860">
        <v>0.7</v>
      </c>
      <c r="H14" s="823">
        <f t="shared" si="0"/>
        <v>0.71</v>
      </c>
      <c r="I14" s="802">
        <f>D14</f>
        <v>0.73</v>
      </c>
      <c r="J14" s="988">
        <f t="shared" si="3"/>
        <v>0.03</v>
      </c>
      <c r="K14" s="864">
        <f>'Table 5a'!K29+'Table 6c'!K33+42730</f>
        <v>63720</v>
      </c>
      <c r="L14" s="872">
        <f>'Table 1'!E14</f>
        <v>64037</v>
      </c>
      <c r="M14" s="872">
        <f>'Table 5a'!M29+'Table 6c'!M33+43397</f>
        <v>64529</v>
      </c>
      <c r="N14" s="872">
        <f>'Table 5a'!N29+'Table 6c'!N33+43704</f>
        <v>64999</v>
      </c>
      <c r="O14" s="1100">
        <f>'Table 5a'!O29+'Table 6c'!O33+44210</f>
        <v>65710</v>
      </c>
      <c r="P14" s="796">
        <f t="shared" si="4"/>
        <v>11</v>
      </c>
      <c r="Q14" s="864">
        <f>'Table 1'!E14</f>
        <v>64037</v>
      </c>
      <c r="R14" s="872">
        <f>'Table 1'!J14</f>
        <v>66323</v>
      </c>
      <c r="S14" s="872">
        <f>'Table 1'!O14</f>
        <v>69323</v>
      </c>
      <c r="T14" s="872">
        <f>'Table 1'!T14</f>
        <v>71823</v>
      </c>
      <c r="U14" s="1100">
        <f>'Table 1'!Y14</f>
        <v>73823</v>
      </c>
      <c r="V14" s="872">
        <f>'Table 1'!AD14</f>
        <v>75523</v>
      </c>
      <c r="W14" s="995">
        <f>'Table 1'!AI14</f>
        <v>77023</v>
      </c>
      <c r="X14" s="1102">
        <f t="shared" si="57"/>
        <v>2286</v>
      </c>
      <c r="Y14" s="872">
        <f t="shared" si="58"/>
        <v>3000</v>
      </c>
      <c r="Z14" s="872">
        <f t="shared" si="59"/>
        <v>2500</v>
      </c>
      <c r="AA14" s="872">
        <f t="shared" si="60"/>
        <v>2000</v>
      </c>
      <c r="AB14" s="872">
        <f t="shared" si="61"/>
        <v>1700</v>
      </c>
      <c r="AC14" s="871">
        <f t="shared" si="62"/>
        <v>1500</v>
      </c>
      <c r="AD14" s="823">
        <f t="shared" si="10"/>
        <v>0.03</v>
      </c>
      <c r="AE14" s="802">
        <f t="shared" si="63"/>
        <v>0.03</v>
      </c>
      <c r="AF14" s="802">
        <f t="shared" si="64"/>
        <v>0.03</v>
      </c>
      <c r="AG14" s="860">
        <f t="shared" si="65"/>
        <v>0.02</v>
      </c>
      <c r="AH14" s="802">
        <f t="shared" si="66"/>
        <v>0.02</v>
      </c>
      <c r="AI14" s="1047">
        <f t="shared" si="67"/>
        <v>0.02</v>
      </c>
    </row>
    <row r="15" spans="1:35">
      <c r="A15" s="364" t="s">
        <v>23</v>
      </c>
      <c r="B15" s="296" t="s">
        <v>15</v>
      </c>
      <c r="C15" s="823">
        <v>4.5999999999999996</v>
      </c>
      <c r="D15" s="802">
        <v>4.83</v>
      </c>
      <c r="E15" s="802">
        <v>6.81</v>
      </c>
      <c r="F15" s="802">
        <v>4.82</v>
      </c>
      <c r="G15" s="860">
        <v>3.69</v>
      </c>
      <c r="H15" s="823">
        <f t="shared" si="0"/>
        <v>4.95</v>
      </c>
      <c r="I15" s="802">
        <f>E15</f>
        <v>6.81</v>
      </c>
      <c r="J15" s="989">
        <f t="shared" si="3"/>
        <v>0.38</v>
      </c>
      <c r="K15" s="864">
        <v>896665</v>
      </c>
      <c r="L15" s="872">
        <f>'Table 1'!E15</f>
        <v>904905</v>
      </c>
      <c r="M15" s="872">
        <v>946637</v>
      </c>
      <c r="N15" s="872">
        <v>959764</v>
      </c>
      <c r="O15" s="1100">
        <v>975386</v>
      </c>
      <c r="P15" s="796">
        <f t="shared" si="4"/>
        <v>5</v>
      </c>
      <c r="Q15" s="864">
        <f>'Table 1'!E15</f>
        <v>904905</v>
      </c>
      <c r="R15" s="872">
        <f>'Table 1'!J15</f>
        <v>968706</v>
      </c>
      <c r="S15" s="872">
        <f>'Table 1'!O15</f>
        <v>1035102</v>
      </c>
      <c r="T15" s="872">
        <f>'Table 1'!T15</f>
        <v>1086502</v>
      </c>
      <c r="U15" s="1100">
        <f>'Table 1'!Y15</f>
        <v>1131472</v>
      </c>
      <c r="V15" s="872">
        <f>'Table 1'!AD15</f>
        <v>1167975</v>
      </c>
      <c r="W15" s="995">
        <f>'Table 1'!AI15</f>
        <v>1199413</v>
      </c>
      <c r="X15" s="1102">
        <f t="shared" si="57"/>
        <v>63801</v>
      </c>
      <c r="Y15" s="872">
        <f t="shared" si="58"/>
        <v>66396</v>
      </c>
      <c r="Z15" s="872">
        <f t="shared" si="59"/>
        <v>51400</v>
      </c>
      <c r="AA15" s="872">
        <f t="shared" si="60"/>
        <v>44970</v>
      </c>
      <c r="AB15" s="872">
        <f t="shared" si="61"/>
        <v>36503</v>
      </c>
      <c r="AC15" s="871">
        <f t="shared" si="62"/>
        <v>31438</v>
      </c>
      <c r="AD15" s="823">
        <f t="shared" si="10"/>
        <v>0.32</v>
      </c>
      <c r="AE15" s="802">
        <f t="shared" si="63"/>
        <v>0.33</v>
      </c>
      <c r="AF15" s="802">
        <f t="shared" si="64"/>
        <v>0.26</v>
      </c>
      <c r="AG15" s="860">
        <f t="shared" si="65"/>
        <v>0.22</v>
      </c>
      <c r="AH15" s="802">
        <f t="shared" si="66"/>
        <v>0.18</v>
      </c>
      <c r="AI15" s="1047">
        <f t="shared" si="67"/>
        <v>0.16</v>
      </c>
    </row>
    <row r="16" spans="1:35">
      <c r="A16" s="364" t="s">
        <v>24</v>
      </c>
      <c r="B16" s="296" t="s">
        <v>15</v>
      </c>
      <c r="C16" s="823">
        <v>1.85</v>
      </c>
      <c r="D16" s="802">
        <v>1.84</v>
      </c>
      <c r="E16" s="802">
        <v>2.11</v>
      </c>
      <c r="F16" s="802">
        <v>1.98</v>
      </c>
      <c r="G16" s="860">
        <v>1.32</v>
      </c>
      <c r="H16" s="823">
        <f t="shared" si="0"/>
        <v>1.82</v>
      </c>
      <c r="I16" s="802">
        <f>E16</f>
        <v>2.11</v>
      </c>
      <c r="J16" s="989">
        <f t="shared" si="3"/>
        <v>0.16</v>
      </c>
      <c r="K16" s="864">
        <v>103993</v>
      </c>
      <c r="L16" s="872">
        <f>'Table 1'!E16</f>
        <v>99769</v>
      </c>
      <c r="M16" s="872">
        <v>106175</v>
      </c>
      <c r="N16" s="872">
        <v>107946</v>
      </c>
      <c r="O16" s="1100">
        <v>115564</v>
      </c>
      <c r="P16" s="796">
        <f t="shared" si="4"/>
        <v>17</v>
      </c>
      <c r="Q16" s="864">
        <f>'Table 1'!E16</f>
        <v>99769</v>
      </c>
      <c r="R16" s="872">
        <f>'Table 1'!J16</f>
        <v>113387</v>
      </c>
      <c r="S16" s="872">
        <f>'Table 1'!O16</f>
        <v>126488</v>
      </c>
      <c r="T16" s="872">
        <f>'Table 1'!T16</f>
        <v>137761</v>
      </c>
      <c r="U16" s="1100">
        <f>'Table 1'!Y16</f>
        <v>146696</v>
      </c>
      <c r="V16" s="872">
        <f>'Table 1'!AD16</f>
        <v>152470</v>
      </c>
      <c r="W16" s="995">
        <f>'Table 1'!AI16</f>
        <v>157026</v>
      </c>
      <c r="X16" s="1102">
        <f t="shared" si="57"/>
        <v>13618</v>
      </c>
      <c r="Y16" s="872">
        <f t="shared" si="58"/>
        <v>13101</v>
      </c>
      <c r="Z16" s="872">
        <f t="shared" si="59"/>
        <v>11273</v>
      </c>
      <c r="AA16" s="872">
        <f t="shared" si="60"/>
        <v>8935</v>
      </c>
      <c r="AB16" s="872">
        <f t="shared" si="61"/>
        <v>5774</v>
      </c>
      <c r="AC16" s="871">
        <f t="shared" si="62"/>
        <v>4556</v>
      </c>
      <c r="AD16" s="823">
        <f t="shared" si="10"/>
        <v>0.23</v>
      </c>
      <c r="AE16" s="802">
        <f t="shared" si="63"/>
        <v>0.22</v>
      </c>
      <c r="AF16" s="802">
        <f t="shared" si="64"/>
        <v>0.19</v>
      </c>
      <c r="AG16" s="860">
        <f t="shared" si="65"/>
        <v>0.15</v>
      </c>
      <c r="AH16" s="802">
        <f t="shared" si="66"/>
        <v>0.1</v>
      </c>
      <c r="AI16" s="1047">
        <f t="shared" si="67"/>
        <v>0.08</v>
      </c>
    </row>
    <row r="17" spans="1:35">
      <c r="A17" s="364" t="s">
        <v>25</v>
      </c>
      <c r="B17" s="296" t="s">
        <v>17</v>
      </c>
      <c r="C17" s="823">
        <v>0.17</v>
      </c>
      <c r="D17" s="802">
        <v>0.16</v>
      </c>
      <c r="E17" s="802">
        <v>0.16</v>
      </c>
      <c r="F17" s="802">
        <v>0.16</v>
      </c>
      <c r="G17" s="860">
        <v>0.15</v>
      </c>
      <c r="H17" s="823">
        <f t="shared" si="0"/>
        <v>0.16</v>
      </c>
      <c r="I17" s="802">
        <f>C17</f>
        <v>0.17</v>
      </c>
      <c r="J17" s="989">
        <f t="shared" si="3"/>
        <v>0.06</v>
      </c>
      <c r="K17" s="864">
        <f>'Table 5a'!K47+13879</f>
        <v>16007</v>
      </c>
      <c r="L17" s="872">
        <f>'Table 1'!E17</f>
        <v>16158</v>
      </c>
      <c r="M17" s="872">
        <f>'Table 5a'!M47+14206</f>
        <v>16340</v>
      </c>
      <c r="N17" s="872">
        <f>'Table 5a'!N47+14336</f>
        <v>16475</v>
      </c>
      <c r="O17" s="1100">
        <f>'Table 5a'!O47+14503</f>
        <v>16704</v>
      </c>
      <c r="P17" s="796">
        <f t="shared" si="4"/>
        <v>10</v>
      </c>
      <c r="Q17" s="864">
        <f>'Table 1'!E17</f>
        <v>16158</v>
      </c>
      <c r="R17" s="872">
        <f>'Table 1'!J17</f>
        <v>17214</v>
      </c>
      <c r="S17" s="872">
        <f>'Table 1'!O17</f>
        <v>18114</v>
      </c>
      <c r="T17" s="872">
        <f>'Table 1'!T17</f>
        <v>18914</v>
      </c>
      <c r="U17" s="1100">
        <f>'Table 1'!Y17</f>
        <v>19614</v>
      </c>
      <c r="V17" s="872">
        <f>'Table 1'!AD17</f>
        <v>20114</v>
      </c>
      <c r="W17" s="995">
        <f>'Table 1'!AI17</f>
        <v>20614</v>
      </c>
      <c r="X17" s="1102">
        <f t="shared" si="57"/>
        <v>1056</v>
      </c>
      <c r="Y17" s="872">
        <f t="shared" si="58"/>
        <v>900</v>
      </c>
      <c r="Z17" s="872">
        <f t="shared" si="59"/>
        <v>800</v>
      </c>
      <c r="AA17" s="872">
        <f t="shared" si="60"/>
        <v>700</v>
      </c>
      <c r="AB17" s="872">
        <f t="shared" si="61"/>
        <v>500</v>
      </c>
      <c r="AC17" s="871">
        <f t="shared" si="62"/>
        <v>500</v>
      </c>
      <c r="AD17" s="823">
        <f t="shared" si="10"/>
        <v>0.01</v>
      </c>
      <c r="AE17" s="802">
        <f t="shared" si="63"/>
        <v>0.01</v>
      </c>
      <c r="AF17" s="802">
        <f t="shared" si="64"/>
        <v>0.01</v>
      </c>
      <c r="AG17" s="860">
        <f t="shared" si="65"/>
        <v>0.01</v>
      </c>
      <c r="AH17" s="802">
        <f t="shared" si="66"/>
        <v>0.01</v>
      </c>
      <c r="AI17" s="1047">
        <f t="shared" si="67"/>
        <v>0.01</v>
      </c>
    </row>
    <row r="18" spans="1:35">
      <c r="A18" s="364" t="s">
        <v>26</v>
      </c>
      <c r="B18" s="296" t="s">
        <v>17</v>
      </c>
      <c r="C18" s="823">
        <v>0.19</v>
      </c>
      <c r="D18" s="802">
        <v>0.1</v>
      </c>
      <c r="E18" s="802">
        <v>0.1</v>
      </c>
      <c r="F18" s="802">
        <v>0.08</v>
      </c>
      <c r="G18" s="860">
        <v>0.08</v>
      </c>
      <c r="H18" s="823">
        <f t="shared" si="0"/>
        <v>0.11</v>
      </c>
      <c r="I18" s="802">
        <f>C18</f>
        <v>0.19</v>
      </c>
      <c r="J18" s="989">
        <f t="shared" si="3"/>
        <v>0.73</v>
      </c>
      <c r="K18" s="864">
        <f>'Table 5a'!K52+'Table 6c'!K39+6542</f>
        <v>12064</v>
      </c>
      <c r="L18" s="872">
        <f>'Table 1'!E18</f>
        <v>12141</v>
      </c>
      <c r="M18" s="872">
        <f>'Table 5a'!M52+'Table 6c'!M39+6675</f>
        <v>12146</v>
      </c>
      <c r="N18" s="872">
        <f>'Table 5a'!N52+'Table 6c'!N39+6691</f>
        <v>12106</v>
      </c>
      <c r="O18" s="1100">
        <f>'Table 5a'!O52+'Table 6c'!O39+6520</f>
        <v>12162</v>
      </c>
      <c r="P18" s="796">
        <f t="shared" si="4"/>
        <v>9</v>
      </c>
      <c r="Q18" s="864">
        <f>'Table 1'!E18</f>
        <v>12141</v>
      </c>
      <c r="R18" s="872">
        <f>'Table 1'!J18</f>
        <v>12081</v>
      </c>
      <c r="S18" s="872">
        <f>'Table 1'!O18</f>
        <v>12281</v>
      </c>
      <c r="T18" s="872">
        <f>'Table 1'!T18</f>
        <v>12381</v>
      </c>
      <c r="U18" s="1100">
        <f>'Table 1'!Y18</f>
        <v>12381</v>
      </c>
      <c r="V18" s="872">
        <f>'Table 1'!AD18</f>
        <v>12381</v>
      </c>
      <c r="W18" s="995">
        <f>'Table 1'!AI18</f>
        <v>12481</v>
      </c>
      <c r="X18" s="1102">
        <f t="shared" si="57"/>
        <v>-60</v>
      </c>
      <c r="Y18" s="872">
        <f t="shared" si="58"/>
        <v>200</v>
      </c>
      <c r="Z18" s="872">
        <f t="shared" si="59"/>
        <v>100</v>
      </c>
      <c r="AA18" s="872">
        <f t="shared" si="60"/>
        <v>0</v>
      </c>
      <c r="AB18" s="872">
        <f t="shared" si="61"/>
        <v>0</v>
      </c>
      <c r="AC18" s="871">
        <f t="shared" si="62"/>
        <v>100</v>
      </c>
      <c r="AD18" s="823">
        <f t="shared" si="10"/>
        <v>0</v>
      </c>
      <c r="AE18" s="802">
        <f t="shared" si="63"/>
        <v>0</v>
      </c>
      <c r="AF18" s="802">
        <f t="shared" si="64"/>
        <v>0</v>
      </c>
      <c r="AG18" s="860">
        <f t="shared" si="65"/>
        <v>0</v>
      </c>
      <c r="AH18" s="802">
        <f t="shared" si="66"/>
        <v>0</v>
      </c>
      <c r="AI18" s="1047">
        <f t="shared" si="67"/>
        <v>0</v>
      </c>
    </row>
    <row r="19" spans="1:35">
      <c r="A19" s="364" t="s">
        <v>27</v>
      </c>
      <c r="B19" s="296" t="s">
        <v>15</v>
      </c>
      <c r="C19" s="823">
        <v>2.34</v>
      </c>
      <c r="D19" s="802">
        <v>2.5</v>
      </c>
      <c r="E19" s="802">
        <v>3.01</v>
      </c>
      <c r="F19" s="802">
        <v>2.61</v>
      </c>
      <c r="G19" s="860">
        <v>2.08</v>
      </c>
      <c r="H19" s="823">
        <f t="shared" si="0"/>
        <v>2.5099999999999998</v>
      </c>
      <c r="I19" s="802">
        <v>3.05</v>
      </c>
      <c r="J19" s="988">
        <f t="shared" si="3"/>
        <v>0.22</v>
      </c>
      <c r="K19" s="824">
        <v>76619</v>
      </c>
      <c r="L19" s="814">
        <f>'Table 1'!E19</f>
        <v>77817</v>
      </c>
      <c r="M19" s="814">
        <v>79234</v>
      </c>
      <c r="N19" s="814">
        <v>81833</v>
      </c>
      <c r="O19" s="807">
        <v>84155</v>
      </c>
      <c r="P19" s="796">
        <f t="shared" si="4"/>
        <v>31</v>
      </c>
      <c r="Q19" s="864">
        <f>'Table 1'!E19</f>
        <v>77817</v>
      </c>
      <c r="R19" s="872">
        <f>'Table 1'!J19</f>
        <v>85974</v>
      </c>
      <c r="S19" s="872">
        <f>'Table 1'!O19</f>
        <v>95334</v>
      </c>
      <c r="T19" s="872">
        <f>'Table 1'!T19</f>
        <v>102440</v>
      </c>
      <c r="U19" s="1100">
        <f>'Table 1'!Y19</f>
        <v>108633</v>
      </c>
      <c r="V19" s="872">
        <f>'Table 1'!AD19</f>
        <v>113803</v>
      </c>
      <c r="W19" s="995">
        <f>'Table 1'!AI19</f>
        <v>118436</v>
      </c>
      <c r="X19" s="1102">
        <f t="shared" si="57"/>
        <v>8157</v>
      </c>
      <c r="Y19" s="872">
        <f t="shared" si="58"/>
        <v>9360</v>
      </c>
      <c r="Z19" s="872">
        <f t="shared" si="59"/>
        <v>7106</v>
      </c>
      <c r="AA19" s="872">
        <f t="shared" si="60"/>
        <v>6193</v>
      </c>
      <c r="AB19" s="872">
        <f t="shared" si="61"/>
        <v>5170</v>
      </c>
      <c r="AC19" s="871">
        <f t="shared" si="62"/>
        <v>4633</v>
      </c>
      <c r="AD19" s="823">
        <f t="shared" si="10"/>
        <v>0.25</v>
      </c>
      <c r="AE19" s="802">
        <f t="shared" ref="AE19:AE23" si="68">$P19*Y19/1000000</f>
        <v>0.28999999999999998</v>
      </c>
      <c r="AF19" s="802">
        <f t="shared" ref="AF19:AF23" si="69">$P19*Z19/1000000</f>
        <v>0.22</v>
      </c>
      <c r="AG19" s="860">
        <f t="shared" ref="AG19:AG23" si="70">$P19*AA19/1000000</f>
        <v>0.19</v>
      </c>
      <c r="AH19" s="802">
        <f t="shared" ref="AH19:AH23" si="71">$P19*AB19/1000000</f>
        <v>0.16</v>
      </c>
      <c r="AI19" s="1047">
        <f t="shared" si="67"/>
        <v>0.14000000000000001</v>
      </c>
    </row>
    <row r="20" spans="1:35">
      <c r="A20" s="364" t="s">
        <v>28</v>
      </c>
      <c r="B20" s="296" t="s">
        <v>15</v>
      </c>
      <c r="C20" s="823">
        <v>0.52</v>
      </c>
      <c r="D20" s="802">
        <v>0.86</v>
      </c>
      <c r="E20" s="802">
        <v>0.62</v>
      </c>
      <c r="F20" s="802">
        <v>1.77</v>
      </c>
      <c r="G20" s="860">
        <v>1.0900000000000001</v>
      </c>
      <c r="H20" s="823">
        <f t="shared" si="0"/>
        <v>0.97</v>
      </c>
      <c r="I20" s="802">
        <f>F20</f>
        <v>1.77</v>
      </c>
      <c r="J20" s="988">
        <f t="shared" si="3"/>
        <v>0.82</v>
      </c>
      <c r="K20" s="864">
        <v>78327</v>
      </c>
      <c r="L20" s="872">
        <f>'Table 1'!E20</f>
        <v>76784</v>
      </c>
      <c r="M20" s="872">
        <v>78876</v>
      </c>
      <c r="N20" s="872">
        <v>79171</v>
      </c>
      <c r="O20" s="1100">
        <v>79125</v>
      </c>
      <c r="P20" s="796">
        <f t="shared" si="4"/>
        <v>12</v>
      </c>
      <c r="Q20" s="864">
        <f>'Table 1'!E20</f>
        <v>76784</v>
      </c>
      <c r="R20" s="872">
        <f>'Table 1'!J20</f>
        <v>77241</v>
      </c>
      <c r="S20" s="872">
        <f>'Table 1'!O20</f>
        <v>77513</v>
      </c>
      <c r="T20" s="872">
        <f>'Table 1'!T20</f>
        <v>77598</v>
      </c>
      <c r="U20" s="1100">
        <f>'Table 1'!Y20</f>
        <v>77772</v>
      </c>
      <c r="V20" s="872">
        <f>'Table 1'!AD20</f>
        <v>77933</v>
      </c>
      <c r="W20" s="995">
        <f>'Table 1'!AI20</f>
        <v>78117</v>
      </c>
      <c r="X20" s="1102">
        <f t="shared" si="57"/>
        <v>457</v>
      </c>
      <c r="Y20" s="872">
        <f t="shared" si="58"/>
        <v>272</v>
      </c>
      <c r="Z20" s="872">
        <f t="shared" si="59"/>
        <v>85</v>
      </c>
      <c r="AA20" s="872">
        <f t="shared" si="60"/>
        <v>174</v>
      </c>
      <c r="AB20" s="872">
        <f t="shared" si="61"/>
        <v>161</v>
      </c>
      <c r="AC20" s="871">
        <f t="shared" si="62"/>
        <v>184</v>
      </c>
      <c r="AD20" s="823">
        <f t="shared" si="10"/>
        <v>0.01</v>
      </c>
      <c r="AE20" s="802">
        <f t="shared" si="68"/>
        <v>0</v>
      </c>
      <c r="AF20" s="802">
        <f t="shared" si="69"/>
        <v>0</v>
      </c>
      <c r="AG20" s="860">
        <f t="shared" si="70"/>
        <v>0</v>
      </c>
      <c r="AH20" s="802">
        <f t="shared" si="71"/>
        <v>0</v>
      </c>
      <c r="AI20" s="1047">
        <f t="shared" si="67"/>
        <v>0</v>
      </c>
    </row>
    <row r="21" spans="1:35">
      <c r="A21" s="364" t="s">
        <v>29</v>
      </c>
      <c r="B21" s="907" t="s">
        <v>15</v>
      </c>
      <c r="C21" s="823">
        <v>4.3</v>
      </c>
      <c r="D21" s="802">
        <v>4.71</v>
      </c>
      <c r="E21" s="802">
        <v>6.03</v>
      </c>
      <c r="F21" s="802">
        <v>5.91</v>
      </c>
      <c r="G21" s="860">
        <v>4.17</v>
      </c>
      <c r="H21" s="823">
        <f t="shared" si="0"/>
        <v>5.0199999999999996</v>
      </c>
      <c r="I21" s="802">
        <f>E21</f>
        <v>6.03</v>
      </c>
      <c r="J21" s="988">
        <f t="shared" si="3"/>
        <v>0.2</v>
      </c>
      <c r="K21" s="864">
        <v>210162</v>
      </c>
      <c r="L21" s="872">
        <f>'Table 1'!E21</f>
        <v>216513</v>
      </c>
      <c r="M21" s="872">
        <v>223181</v>
      </c>
      <c r="N21" s="872">
        <v>232997</v>
      </c>
      <c r="O21" s="1100">
        <v>244161</v>
      </c>
      <c r="P21" s="796">
        <f t="shared" si="4"/>
        <v>22</v>
      </c>
      <c r="Q21" s="864">
        <f>'Table 1'!E21</f>
        <v>216513</v>
      </c>
      <c r="R21" s="872">
        <f>'Table 1'!J21</f>
        <v>254045</v>
      </c>
      <c r="S21" s="872">
        <f>'Table 1'!O21</f>
        <v>299210</v>
      </c>
      <c r="T21" s="872">
        <f>'Table 1'!T21</f>
        <v>337685</v>
      </c>
      <c r="U21" s="1100">
        <f>'Table 1'!Y21</f>
        <v>369057</v>
      </c>
      <c r="V21" s="872">
        <f>'Table 1'!AD21</f>
        <v>397902</v>
      </c>
      <c r="W21" s="995">
        <f>'Table 1'!AI21</f>
        <v>424994</v>
      </c>
      <c r="X21" s="1102">
        <f t="shared" si="57"/>
        <v>37532</v>
      </c>
      <c r="Y21" s="872">
        <f t="shared" si="58"/>
        <v>45165</v>
      </c>
      <c r="Z21" s="872">
        <f t="shared" si="59"/>
        <v>38475</v>
      </c>
      <c r="AA21" s="872">
        <f t="shared" si="60"/>
        <v>31372</v>
      </c>
      <c r="AB21" s="872">
        <f t="shared" si="61"/>
        <v>28845</v>
      </c>
      <c r="AC21" s="871">
        <f t="shared" si="62"/>
        <v>27092</v>
      </c>
      <c r="AD21" s="823">
        <f t="shared" si="10"/>
        <v>0.83</v>
      </c>
      <c r="AE21" s="802">
        <f t="shared" si="68"/>
        <v>0.99</v>
      </c>
      <c r="AF21" s="802">
        <f t="shared" si="69"/>
        <v>0.85</v>
      </c>
      <c r="AG21" s="860">
        <f t="shared" si="70"/>
        <v>0.69</v>
      </c>
      <c r="AH21" s="802">
        <f t="shared" si="71"/>
        <v>0.63</v>
      </c>
      <c r="AI21" s="1047">
        <f t="shared" si="67"/>
        <v>0.6</v>
      </c>
    </row>
    <row r="22" spans="1:35">
      <c r="A22" s="908" t="s">
        <v>30</v>
      </c>
      <c r="B22" s="296" t="s">
        <v>17</v>
      </c>
      <c r="C22" s="823">
        <v>0.45</v>
      </c>
      <c r="D22" s="802">
        <v>0.41</v>
      </c>
      <c r="E22" s="802">
        <v>0.41</v>
      </c>
      <c r="F22" s="802">
        <v>0.32</v>
      </c>
      <c r="G22" s="860">
        <v>0.28000000000000003</v>
      </c>
      <c r="H22" s="823">
        <f t="shared" si="0"/>
        <v>0.37</v>
      </c>
      <c r="I22" s="802">
        <f>C22</f>
        <v>0.45</v>
      </c>
      <c r="J22" s="988">
        <f t="shared" si="3"/>
        <v>0.22</v>
      </c>
      <c r="K22" s="864">
        <f>'Table 5a'!K81+'Table 6c'!K66+33433</f>
        <v>41219</v>
      </c>
      <c r="L22" s="872">
        <f>'Table 1'!E22</f>
        <v>41532</v>
      </c>
      <c r="M22" s="872">
        <f>'Table 5a'!M81+'Table 6c'!M66+33536</f>
        <v>41644</v>
      </c>
      <c r="N22" s="872">
        <f>'Table 5a'!N81+'Table 6c'!N66+33959</f>
        <v>42097</v>
      </c>
      <c r="O22" s="1100">
        <f>'Table 5a'!O81+'Table 6c'!O66+34405</f>
        <v>42817</v>
      </c>
      <c r="P22" s="796">
        <f t="shared" si="4"/>
        <v>9</v>
      </c>
      <c r="Q22" s="864">
        <f>'Table 1'!E22</f>
        <v>41532</v>
      </c>
      <c r="R22" s="872">
        <f>'Table 1'!J22</f>
        <v>43899</v>
      </c>
      <c r="S22" s="872">
        <f>'Table 1'!O22</f>
        <v>46299</v>
      </c>
      <c r="T22" s="872">
        <f>'Table 1'!T22</f>
        <v>48399</v>
      </c>
      <c r="U22" s="1100">
        <f>'Table 1'!Y22</f>
        <v>50099</v>
      </c>
      <c r="V22" s="872">
        <f>'Table 1'!AD22</f>
        <v>51499</v>
      </c>
      <c r="W22" s="995">
        <f>'Table 1'!AI22</f>
        <v>52699</v>
      </c>
      <c r="X22" s="1102">
        <f t="shared" si="57"/>
        <v>2367</v>
      </c>
      <c r="Y22" s="872">
        <f t="shared" si="58"/>
        <v>2400</v>
      </c>
      <c r="Z22" s="872">
        <f t="shared" si="59"/>
        <v>2100</v>
      </c>
      <c r="AA22" s="872">
        <f t="shared" si="60"/>
        <v>1700</v>
      </c>
      <c r="AB22" s="872">
        <f t="shared" si="61"/>
        <v>1400</v>
      </c>
      <c r="AC22" s="871">
        <f t="shared" si="62"/>
        <v>1200</v>
      </c>
      <c r="AD22" s="823">
        <f t="shared" si="10"/>
        <v>0.02</v>
      </c>
      <c r="AE22" s="802">
        <f t="shared" si="68"/>
        <v>0.02</v>
      </c>
      <c r="AF22" s="802">
        <f t="shared" si="69"/>
        <v>0.02</v>
      </c>
      <c r="AG22" s="860">
        <f t="shared" si="70"/>
        <v>0.02</v>
      </c>
      <c r="AH22" s="802">
        <f t="shared" si="71"/>
        <v>0.01</v>
      </c>
      <c r="AI22" s="1047">
        <f t="shared" si="67"/>
        <v>0.01</v>
      </c>
    </row>
    <row r="23" spans="1:35" ht="13.5" thickBot="1">
      <c r="A23" s="1037" t="s">
        <v>31</v>
      </c>
      <c r="B23" s="275" t="s">
        <v>17</v>
      </c>
      <c r="C23" s="48">
        <v>0.14000000000000001</v>
      </c>
      <c r="D23" s="712">
        <v>0.1</v>
      </c>
      <c r="E23" s="712">
        <v>0.09</v>
      </c>
      <c r="F23" s="712">
        <v>0.09</v>
      </c>
      <c r="G23" s="755">
        <v>0.09</v>
      </c>
      <c r="H23" s="48">
        <f t="shared" si="0"/>
        <v>0.1</v>
      </c>
      <c r="I23" s="712">
        <f>C23</f>
        <v>0.14000000000000001</v>
      </c>
      <c r="J23" s="745">
        <f t="shared" si="3"/>
        <v>0.4</v>
      </c>
      <c r="K23" s="1104">
        <f>'Table 5a'!K82+'Table 6c'!K71+8968</f>
        <v>10804</v>
      </c>
      <c r="L23" s="1105">
        <f>'Table 1'!E23</f>
        <v>11015</v>
      </c>
      <c r="M23" s="1105">
        <f>'Table 5a'!M82+'Table 6c'!M71+9063</f>
        <v>10898</v>
      </c>
      <c r="N23" s="1105">
        <f>'Table 5a'!N82+'Table 6c'!N71+8913</f>
        <v>10735</v>
      </c>
      <c r="O23" s="711">
        <f>'Table 5a'!O82+'Table 6c'!O71+8824</f>
        <v>10767</v>
      </c>
      <c r="P23" s="704">
        <f t="shared" si="4"/>
        <v>9</v>
      </c>
      <c r="Q23" s="861">
        <f>'Table 1'!E23</f>
        <v>11015</v>
      </c>
      <c r="R23" s="368">
        <f>'Table 1'!J23</f>
        <v>10767</v>
      </c>
      <c r="S23" s="368">
        <f>'Table 1'!O23</f>
        <v>10867</v>
      </c>
      <c r="T23" s="368">
        <f>'Table 1'!T23</f>
        <v>10867</v>
      </c>
      <c r="U23" s="711">
        <f>'Table 1'!Y23</f>
        <v>10967</v>
      </c>
      <c r="V23" s="368">
        <f>'Table 1'!AD23</f>
        <v>10967</v>
      </c>
      <c r="W23" s="1011">
        <f>'Table 1'!AI23</f>
        <v>10967</v>
      </c>
      <c r="X23" s="1101">
        <f t="shared" si="57"/>
        <v>-248</v>
      </c>
      <c r="Y23" s="368">
        <f t="shared" si="58"/>
        <v>100</v>
      </c>
      <c r="Z23" s="368">
        <f t="shared" si="59"/>
        <v>0</v>
      </c>
      <c r="AA23" s="368">
        <f t="shared" si="60"/>
        <v>100</v>
      </c>
      <c r="AB23" s="368">
        <f t="shared" si="61"/>
        <v>0</v>
      </c>
      <c r="AC23" s="801">
        <f t="shared" si="62"/>
        <v>0</v>
      </c>
      <c r="AD23" s="48">
        <f t="shared" si="10"/>
        <v>0</v>
      </c>
      <c r="AE23" s="712">
        <f t="shared" si="68"/>
        <v>0</v>
      </c>
      <c r="AF23" s="712">
        <f t="shared" si="69"/>
        <v>0</v>
      </c>
      <c r="AG23" s="755">
        <f t="shared" si="70"/>
        <v>0</v>
      </c>
      <c r="AH23" s="712">
        <f t="shared" si="71"/>
        <v>0</v>
      </c>
      <c r="AI23" s="1108">
        <f t="shared" si="67"/>
        <v>0</v>
      </c>
    </row>
    <row r="24" spans="1:35" ht="14.25" thickTop="1" thickBot="1">
      <c r="A24" s="3456" t="s">
        <v>32</v>
      </c>
      <c r="B24" s="3457"/>
      <c r="C24" s="139">
        <f t="shared" ref="C24:H24" si="72">C4+C7+C10+C13+C15+C16+C19+C20+C21</f>
        <v>14.32</v>
      </c>
      <c r="D24" s="701">
        <f t="shared" si="72"/>
        <v>15.42</v>
      </c>
      <c r="E24" s="701">
        <f t="shared" si="72"/>
        <v>19.690000000000001</v>
      </c>
      <c r="F24" s="701">
        <f t="shared" si="72"/>
        <v>18.52</v>
      </c>
      <c r="G24" s="756">
        <f t="shared" si="72"/>
        <v>12.96</v>
      </c>
      <c r="H24" s="139">
        <f t="shared" si="72"/>
        <v>16.18</v>
      </c>
      <c r="I24" s="701">
        <f>E24</f>
        <v>19.690000000000001</v>
      </c>
      <c r="J24" s="244">
        <f t="shared" si="3"/>
        <v>0.22</v>
      </c>
      <c r="K24" s="856">
        <f>K4+K7+K10+K13+K15+K16+K19+K20+K21</f>
        <v>1788382</v>
      </c>
      <c r="L24" s="172">
        <f>L4+L7+L10+L13+L15+L16+L19+L20+L21</f>
        <v>1804699</v>
      </c>
      <c r="M24" s="172">
        <f>M4+M7+M10+M13+M15+M16+M19+M20+M21</f>
        <v>1866947</v>
      </c>
      <c r="N24" s="172">
        <f>N4+N7+N10+N13+N15+N16+N19+N20+N21</f>
        <v>1900090</v>
      </c>
      <c r="O24" s="62">
        <f>O4+O7+O10+O13+O15+O16+O19+O20+O21</f>
        <v>1942638</v>
      </c>
      <c r="P24" s="1117" t="s">
        <v>16</v>
      </c>
      <c r="Q24" s="857">
        <f>Q4+Q7+Q10+Q13+Q15+Q16+Q19+Q20+Q21</f>
        <v>1804699</v>
      </c>
      <c r="R24" s="213">
        <f t="shared" ref="R24:W24" si="73">R4+R7+R10+R13+R15+R16+R19+R20+R21</f>
        <v>1950258</v>
      </c>
      <c r="S24" s="251">
        <f t="shared" si="73"/>
        <v>2108590</v>
      </c>
      <c r="T24" s="251">
        <f t="shared" si="73"/>
        <v>2235156</v>
      </c>
      <c r="U24" s="213">
        <f t="shared" si="73"/>
        <v>2342929</v>
      </c>
      <c r="V24" s="172">
        <f t="shared" si="73"/>
        <v>2431706</v>
      </c>
      <c r="W24" s="290">
        <f t="shared" si="73"/>
        <v>2512586</v>
      </c>
      <c r="X24" s="58">
        <f t="shared" ref="X24:AC24" si="74">X4+X7+X10+X13+X15+X16+X19+X20+X21</f>
        <v>145559</v>
      </c>
      <c r="Y24" s="172">
        <f t="shared" si="74"/>
        <v>158332</v>
      </c>
      <c r="Z24" s="172">
        <f t="shared" si="74"/>
        <v>126566</v>
      </c>
      <c r="AA24" s="172">
        <f t="shared" si="74"/>
        <v>107773</v>
      </c>
      <c r="AB24" s="172">
        <f t="shared" si="74"/>
        <v>88777</v>
      </c>
      <c r="AC24" s="126">
        <f t="shared" si="74"/>
        <v>80880</v>
      </c>
      <c r="AD24" s="34">
        <f t="shared" ref="AD24:AI24" si="75">AD4+AD7+AD10+AD13+AD15+AD16+AD19+AD20+AD21</f>
        <v>1.69</v>
      </c>
      <c r="AE24" s="774">
        <f t="shared" si="75"/>
        <v>1.88</v>
      </c>
      <c r="AF24" s="774">
        <f t="shared" si="75"/>
        <v>1.56</v>
      </c>
      <c r="AG24" s="758">
        <f t="shared" si="75"/>
        <v>1.3</v>
      </c>
      <c r="AH24" s="774">
        <f t="shared" si="75"/>
        <v>1.1000000000000001</v>
      </c>
      <c r="AI24" s="21">
        <f t="shared" si="75"/>
        <v>1.01</v>
      </c>
    </row>
    <row r="25" spans="1:35" ht="13.5" thickBot="1">
      <c r="A25" s="3458" t="s">
        <v>33</v>
      </c>
      <c r="B25" s="3459"/>
      <c r="C25" s="192">
        <f>C5+C8+C11+C14+C17+C18+C22+C23</f>
        <v>3.02</v>
      </c>
      <c r="D25" s="706">
        <f t="shared" ref="D25:H25" si="76">D5+D8+D11+D14+D17+D18+D22+D23</f>
        <v>2.84</v>
      </c>
      <c r="E25" s="706">
        <f t="shared" si="76"/>
        <v>2.8</v>
      </c>
      <c r="F25" s="706">
        <f t="shared" si="76"/>
        <v>2.68</v>
      </c>
      <c r="G25" s="248">
        <f t="shared" si="76"/>
        <v>2.42</v>
      </c>
      <c r="H25" s="192">
        <f t="shared" si="76"/>
        <v>2.75</v>
      </c>
      <c r="I25" s="706">
        <f>C25</f>
        <v>3.02</v>
      </c>
      <c r="J25" s="722">
        <f t="shared" si="3"/>
        <v>0.1</v>
      </c>
      <c r="K25" s="189">
        <f>K5+K8+K11+K14+K17+K18+K22+K23</f>
        <v>219405</v>
      </c>
      <c r="L25" s="190">
        <f>L5+L8+L11+L14+L17+L18+L22+L23</f>
        <v>221826</v>
      </c>
      <c r="M25" s="190">
        <f>M5+M8+M11+M14+M17+M18+M22+M23</f>
        <v>225079</v>
      </c>
      <c r="N25" s="190">
        <f>N5+N8+N11+N14+N17+N18+N22+N23</f>
        <v>226947</v>
      </c>
      <c r="O25" s="188">
        <f>O5+O8+O11+O14+O17+O18+O22+O23</f>
        <v>229955</v>
      </c>
      <c r="P25" s="1119" t="s">
        <v>16</v>
      </c>
      <c r="Q25" s="189">
        <f t="shared" ref="Q25:AI25" si="77">Q5+Q8+Q11+Q14+Q17+Q18+Q22+Q23</f>
        <v>221826</v>
      </c>
      <c r="R25" s="710">
        <f t="shared" ref="R25:W25" si="78">R5+R8+R11+R14+R17+R18+R22+R23</f>
        <v>237335</v>
      </c>
      <c r="S25" s="190">
        <f t="shared" si="78"/>
        <v>250947</v>
      </c>
      <c r="T25" s="190">
        <f t="shared" si="78"/>
        <v>262773</v>
      </c>
      <c r="U25" s="710">
        <f t="shared" si="78"/>
        <v>275876</v>
      </c>
      <c r="V25" s="190">
        <f t="shared" si="78"/>
        <v>284841</v>
      </c>
      <c r="W25" s="709">
        <f t="shared" si="78"/>
        <v>292341</v>
      </c>
      <c r="X25" s="997">
        <f t="shared" ref="X25:AC25" si="79">X5+X8+X11+X14+X17+X18+X22+X23</f>
        <v>15509</v>
      </c>
      <c r="Y25" s="190">
        <f t="shared" si="79"/>
        <v>13612</v>
      </c>
      <c r="Z25" s="190">
        <f t="shared" si="79"/>
        <v>11826</v>
      </c>
      <c r="AA25" s="190">
        <f t="shared" si="79"/>
        <v>13103</v>
      </c>
      <c r="AB25" s="190">
        <f t="shared" si="79"/>
        <v>8965</v>
      </c>
      <c r="AC25" s="710">
        <f t="shared" si="79"/>
        <v>7500</v>
      </c>
      <c r="AD25" s="192">
        <f t="shared" si="77"/>
        <v>0.23</v>
      </c>
      <c r="AE25" s="706">
        <f t="shared" si="77"/>
        <v>0.19</v>
      </c>
      <c r="AF25" s="706">
        <f t="shared" si="77"/>
        <v>0.17</v>
      </c>
      <c r="AG25" s="248">
        <f t="shared" si="77"/>
        <v>0.2</v>
      </c>
      <c r="AH25" s="706">
        <f t="shared" si="77"/>
        <v>0.14000000000000001</v>
      </c>
      <c r="AI25" s="191">
        <f t="shared" si="77"/>
        <v>0.12</v>
      </c>
    </row>
    <row r="26" spans="1:35" ht="13.5" thickBot="1">
      <c r="A26" s="3462" t="s">
        <v>34</v>
      </c>
      <c r="B26" s="3463"/>
      <c r="C26" s="34">
        <f t="shared" ref="C26:G26" si="80">C24+C25</f>
        <v>17.34</v>
      </c>
      <c r="D26" s="774">
        <f t="shared" si="80"/>
        <v>18.260000000000002</v>
      </c>
      <c r="E26" s="774">
        <f t="shared" si="80"/>
        <v>22.49</v>
      </c>
      <c r="F26" s="774">
        <f t="shared" si="80"/>
        <v>21.2</v>
      </c>
      <c r="G26" s="758">
        <f t="shared" si="80"/>
        <v>15.38</v>
      </c>
      <c r="H26" s="34">
        <f>AVERAGE(C26:G26)</f>
        <v>18.93</v>
      </c>
      <c r="I26" s="774">
        <f>SUM(I24:I25)</f>
        <v>22.71</v>
      </c>
      <c r="J26" s="44">
        <f t="shared" si="3"/>
        <v>0.2</v>
      </c>
      <c r="K26" s="857">
        <f t="shared" ref="K26:O26" si="81">K24+K25</f>
        <v>2007787</v>
      </c>
      <c r="L26" s="251">
        <f t="shared" si="81"/>
        <v>2026525</v>
      </c>
      <c r="M26" s="251">
        <f t="shared" si="81"/>
        <v>2092026</v>
      </c>
      <c r="N26" s="251">
        <f t="shared" si="81"/>
        <v>2127037</v>
      </c>
      <c r="O26" s="77">
        <f t="shared" si="81"/>
        <v>2172593</v>
      </c>
      <c r="P26" s="1118" t="s">
        <v>16</v>
      </c>
      <c r="Q26" s="857">
        <f>Q24+Q25</f>
        <v>2026525</v>
      </c>
      <c r="R26" s="213">
        <f t="shared" ref="R26:W26" si="82">R24+R25</f>
        <v>2187593</v>
      </c>
      <c r="S26" s="251">
        <f t="shared" si="82"/>
        <v>2359537</v>
      </c>
      <c r="T26" s="251">
        <f t="shared" si="82"/>
        <v>2497929</v>
      </c>
      <c r="U26" s="213">
        <f t="shared" si="82"/>
        <v>2618805</v>
      </c>
      <c r="V26" s="251">
        <f t="shared" si="82"/>
        <v>2716547</v>
      </c>
      <c r="W26" s="97">
        <f t="shared" si="82"/>
        <v>2804927</v>
      </c>
      <c r="X26" s="254">
        <f t="shared" ref="X26" si="83">X24+X25</f>
        <v>161068</v>
      </c>
      <c r="Y26" s="251">
        <f t="shared" ref="Y26" si="84">Y24+Y25</f>
        <v>171944</v>
      </c>
      <c r="Z26" s="251">
        <f t="shared" ref="Z26" si="85">Z24+Z25</f>
        <v>138392</v>
      </c>
      <c r="AA26" s="251">
        <f t="shared" ref="AA26" si="86">AA24+AA25</f>
        <v>120876</v>
      </c>
      <c r="AB26" s="251">
        <f t="shared" ref="AB26" si="87">AB24+AB25</f>
        <v>97742</v>
      </c>
      <c r="AC26" s="213">
        <f t="shared" ref="AC26" si="88">AC24+AC25</f>
        <v>88380</v>
      </c>
      <c r="AD26" s="34">
        <f t="shared" ref="AD26:AI26" si="89">AD24+AD25</f>
        <v>1.92</v>
      </c>
      <c r="AE26" s="774">
        <f t="shared" si="89"/>
        <v>2.0699999999999998</v>
      </c>
      <c r="AF26" s="774">
        <f t="shared" si="89"/>
        <v>1.73</v>
      </c>
      <c r="AG26" s="758">
        <f t="shared" si="89"/>
        <v>1.5</v>
      </c>
      <c r="AH26" s="774">
        <f t="shared" si="89"/>
        <v>1.24</v>
      </c>
      <c r="AI26" s="21">
        <f t="shared" si="89"/>
        <v>1.1299999999999999</v>
      </c>
    </row>
    <row r="27" spans="1:35">
      <c r="A27" s="89" t="s">
        <v>35</v>
      </c>
    </row>
    <row r="28" spans="1:35">
      <c r="A28" s="1" t="s">
        <v>68</v>
      </c>
      <c r="J28" s="1" t="s">
        <v>36</v>
      </c>
      <c r="K28" s="23" t="s">
        <v>36</v>
      </c>
    </row>
    <row r="29" spans="1:35">
      <c r="A29" s="1" t="s">
        <v>69</v>
      </c>
      <c r="H29" s="1" t="s">
        <v>36</v>
      </c>
    </row>
    <row r="30" spans="1:35" ht="12.6" customHeight="1">
      <c r="A30" s="1" t="s">
        <v>610</v>
      </c>
      <c r="B30" s="570"/>
      <c r="C30" s="570"/>
      <c r="D30" s="570"/>
      <c r="E30" s="570"/>
      <c r="F30" s="570"/>
      <c r="G30" s="570"/>
      <c r="H30" s="570"/>
      <c r="I30" s="570"/>
      <c r="J30" s="570"/>
      <c r="K30" s="570"/>
      <c r="L30" s="570"/>
      <c r="M30" s="570"/>
      <c r="N30" s="570"/>
      <c r="O30" s="570"/>
      <c r="P30" s="570"/>
      <c r="Q30" s="570"/>
      <c r="R30" s="570"/>
      <c r="S30" s="570"/>
      <c r="U30" s="1" t="s">
        <v>36</v>
      </c>
    </row>
    <row r="31" spans="1:35">
      <c r="A31" s="2" t="s">
        <v>611</v>
      </c>
    </row>
    <row r="32" spans="1:35">
      <c r="A32" s="1" t="s">
        <v>612</v>
      </c>
    </row>
    <row r="33" spans="1:35">
      <c r="A33" s="174"/>
    </row>
    <row r="34" spans="1:35" ht="13.5" thickBot="1">
      <c r="A34" s="800" t="s">
        <v>613</v>
      </c>
    </row>
    <row r="35" spans="1:35" ht="27" customHeight="1">
      <c r="A35" s="3181" t="s">
        <v>1</v>
      </c>
      <c r="B35" s="3460" t="s">
        <v>2</v>
      </c>
      <c r="C35" s="3305" t="s">
        <v>595</v>
      </c>
      <c r="D35" s="3281"/>
      <c r="E35" s="3281"/>
      <c r="F35" s="3281"/>
      <c r="G35" s="3282"/>
      <c r="H35" s="3373" t="s">
        <v>596</v>
      </c>
      <c r="I35" s="3447" t="s">
        <v>597</v>
      </c>
      <c r="J35" s="3350" t="s">
        <v>598</v>
      </c>
      <c r="K35" s="3305" t="s">
        <v>599</v>
      </c>
      <c r="L35" s="3281"/>
      <c r="M35" s="3281"/>
      <c r="N35" s="3281"/>
      <c r="O35" s="3282"/>
      <c r="P35" s="3209" t="s">
        <v>600</v>
      </c>
      <c r="Q35" s="3281" t="s">
        <v>601</v>
      </c>
      <c r="R35" s="3281"/>
      <c r="S35" s="3281"/>
      <c r="T35" s="3281"/>
      <c r="U35" s="3281"/>
      <c r="V35" s="3281"/>
      <c r="W35" s="3281"/>
      <c r="X35" s="3305" t="s">
        <v>602</v>
      </c>
      <c r="Y35" s="3281"/>
      <c r="Z35" s="3281"/>
      <c r="AA35" s="3281"/>
      <c r="AB35" s="3281"/>
      <c r="AC35" s="3282"/>
      <c r="AD35" s="3258" t="s">
        <v>603</v>
      </c>
      <c r="AE35" s="3264"/>
      <c r="AF35" s="3264"/>
      <c r="AG35" s="3264"/>
      <c r="AH35" s="3264"/>
      <c r="AI35" s="3245"/>
    </row>
    <row r="36" spans="1:35" ht="27" customHeight="1" thickBot="1">
      <c r="A36" s="3182"/>
      <c r="B36" s="3461"/>
      <c r="C36" s="1133">
        <v>2014</v>
      </c>
      <c r="D36" s="3049">
        <v>2015</v>
      </c>
      <c r="E36" s="3049">
        <v>2016</v>
      </c>
      <c r="F36" s="3049">
        <v>2017</v>
      </c>
      <c r="G36" s="1748">
        <v>2018</v>
      </c>
      <c r="H36" s="3452"/>
      <c r="I36" s="3455"/>
      <c r="J36" s="3421"/>
      <c r="K36" s="1133">
        <v>2014</v>
      </c>
      <c r="L36" s="3049">
        <v>2015</v>
      </c>
      <c r="M36" s="3049">
        <v>2016</v>
      </c>
      <c r="N36" s="3049">
        <v>2017</v>
      </c>
      <c r="O36" s="1748">
        <v>2018</v>
      </c>
      <c r="P36" s="3211"/>
      <c r="Q36" s="1747">
        <v>2015</v>
      </c>
      <c r="R36" s="3049">
        <v>2020</v>
      </c>
      <c r="S36" s="3049">
        <v>2025</v>
      </c>
      <c r="T36" s="3049">
        <v>2030</v>
      </c>
      <c r="U36" s="3049">
        <v>2035</v>
      </c>
      <c r="V36" s="3049">
        <v>2040</v>
      </c>
      <c r="W36" s="1747">
        <v>2045</v>
      </c>
      <c r="X36" s="1133" t="s">
        <v>604</v>
      </c>
      <c r="Y36" s="3049" t="s">
        <v>605</v>
      </c>
      <c r="Z36" s="3049" t="s">
        <v>606</v>
      </c>
      <c r="AA36" s="1745" t="s">
        <v>607</v>
      </c>
      <c r="AB36" s="3049" t="s">
        <v>608</v>
      </c>
      <c r="AC36" s="1135" t="s">
        <v>609</v>
      </c>
      <c r="AD36" s="3035">
        <v>2020</v>
      </c>
      <c r="AE36" s="1750">
        <v>2025</v>
      </c>
      <c r="AF36" s="1750">
        <v>2030</v>
      </c>
      <c r="AG36" s="3035">
        <v>2035</v>
      </c>
      <c r="AH36" s="1750">
        <v>2040</v>
      </c>
      <c r="AI36" s="3036">
        <v>2045</v>
      </c>
    </row>
    <row r="37" spans="1:35">
      <c r="A37" s="295" t="s">
        <v>46</v>
      </c>
      <c r="B37" s="296" t="s">
        <v>17</v>
      </c>
      <c r="C37" s="47">
        <v>0.12</v>
      </c>
      <c r="D37" s="181">
        <v>0.12</v>
      </c>
      <c r="E37" s="181">
        <v>0.11</v>
      </c>
      <c r="F37" s="181">
        <v>0.12</v>
      </c>
      <c r="G37" s="57">
        <v>0.12</v>
      </c>
      <c r="H37" s="47">
        <f t="shared" ref="H37:H43" si="90">AVERAGE(C37:G37)</f>
        <v>0.12</v>
      </c>
      <c r="I37" s="181">
        <f>G37</f>
        <v>0.12</v>
      </c>
      <c r="J37" s="43">
        <f t="shared" ref="J37:J39" si="91">(I37-H37)/H37</f>
        <v>0</v>
      </c>
      <c r="K37" s="168">
        <f>'Table 5a'!K100+'Table 6c'!K87+12433</f>
        <v>15066</v>
      </c>
      <c r="L37" s="249">
        <f>'Table 1'!E40</f>
        <v>14932</v>
      </c>
      <c r="M37" s="249">
        <f>'Table 5a'!M100+'Table 6c'!M87+12495</f>
        <v>15091</v>
      </c>
      <c r="N37" s="249">
        <f>'Table 5a'!N100+'Table 6c'!N87+12491</f>
        <v>15076</v>
      </c>
      <c r="O37" s="250">
        <f>'Table 5a'!O100+'Table 6c'!O87+12101</f>
        <v>14818</v>
      </c>
      <c r="P37" s="795">
        <f t="shared" ref="P37:P42" si="92">(C37+D37+E37+F37+G37)/(K37+L37+M37+N37+O37)*1000000</f>
        <v>8</v>
      </c>
      <c r="Q37" s="243">
        <f>'Table 1'!E40</f>
        <v>14932</v>
      </c>
      <c r="R37" s="249">
        <f>'Table 1'!J40</f>
        <v>15042</v>
      </c>
      <c r="S37" s="249">
        <f>'Table 1'!O40</f>
        <v>15242</v>
      </c>
      <c r="T37" s="249">
        <f>'Table 1'!T40</f>
        <v>15342</v>
      </c>
      <c r="U37" s="249">
        <f>'Table 1'!Y40</f>
        <v>15442</v>
      </c>
      <c r="V37" s="249">
        <f>'Table 1'!AD40</f>
        <v>15442</v>
      </c>
      <c r="W37" s="243">
        <f>'Table 1'!AI40</f>
        <v>15442</v>
      </c>
      <c r="X37" s="168">
        <f t="shared" ref="X37:X42" si="93">R37-Q37</f>
        <v>110</v>
      </c>
      <c r="Y37" s="249">
        <f t="shared" ref="Y37:Y42" si="94">S37-R37</f>
        <v>200</v>
      </c>
      <c r="Z37" s="249">
        <f t="shared" ref="Z37:Z42" si="95">T37-S37</f>
        <v>100</v>
      </c>
      <c r="AA37" s="249">
        <f t="shared" ref="AA37:AA42" si="96">U37-T37</f>
        <v>100</v>
      </c>
      <c r="AB37" s="249">
        <f t="shared" ref="AB37:AB42" si="97">V37-U37</f>
        <v>0</v>
      </c>
      <c r="AC37" s="291">
        <f t="shared" ref="AC37:AC42" si="98">W37-V37</f>
        <v>0</v>
      </c>
      <c r="AD37" s="1113">
        <f t="shared" ref="AD37:AI42" si="99">$P37*X37/1000000</f>
        <v>0</v>
      </c>
      <c r="AE37" s="181">
        <f t="shared" si="99"/>
        <v>0</v>
      </c>
      <c r="AF37" s="181">
        <f t="shared" si="99"/>
        <v>0</v>
      </c>
      <c r="AG37" s="1113">
        <f t="shared" si="99"/>
        <v>0</v>
      </c>
      <c r="AH37" s="181">
        <f t="shared" si="99"/>
        <v>0</v>
      </c>
      <c r="AI37" s="1107">
        <f t="shared" si="99"/>
        <v>0</v>
      </c>
    </row>
    <row r="38" spans="1:35">
      <c r="A38" s="364" t="s">
        <v>47</v>
      </c>
      <c r="B38" s="296" t="s">
        <v>17</v>
      </c>
      <c r="C38" s="823">
        <v>0.13</v>
      </c>
      <c r="D38" s="802">
        <v>0.09</v>
      </c>
      <c r="E38" s="802">
        <v>0.09</v>
      </c>
      <c r="F38" s="802">
        <v>0.09</v>
      </c>
      <c r="G38" s="1106">
        <v>0.09</v>
      </c>
      <c r="H38" s="823">
        <f t="shared" si="90"/>
        <v>0.1</v>
      </c>
      <c r="I38" s="802">
        <f>C38</f>
        <v>0.13</v>
      </c>
      <c r="J38" s="43">
        <f t="shared" si="91"/>
        <v>0.3</v>
      </c>
      <c r="K38" s="824">
        <f>'Table 5a'!K102+'Table 6c'!K89+2847</f>
        <v>3574</v>
      </c>
      <c r="L38" s="814">
        <f>'Table 1'!E41</f>
        <v>3557</v>
      </c>
      <c r="M38" s="814">
        <f>'Table 5a'!M102+'Table 6c'!M89+2846</f>
        <v>3554</v>
      </c>
      <c r="N38" s="814">
        <f>'Table 5a'!N102+'Table 6c'!N89+2796</f>
        <v>3552</v>
      </c>
      <c r="O38" s="813">
        <f>'Table 5a'!O102+'Table 6c'!O89+2818</f>
        <v>3600</v>
      </c>
      <c r="P38" s="796">
        <f t="shared" si="92"/>
        <v>27</v>
      </c>
      <c r="Q38" s="871">
        <f>'Table 1'!E41</f>
        <v>3557</v>
      </c>
      <c r="R38" s="872">
        <f>'Table 1'!J41</f>
        <v>3621</v>
      </c>
      <c r="S38" s="872">
        <f>'Table 1'!O41</f>
        <v>3701</v>
      </c>
      <c r="T38" s="872">
        <f>'Table 1'!T41</f>
        <v>3753</v>
      </c>
      <c r="U38" s="872">
        <f>'Table 1'!Y41</f>
        <v>3780</v>
      </c>
      <c r="V38" s="872">
        <f>'Table 1'!AD41</f>
        <v>3833</v>
      </c>
      <c r="W38" s="871">
        <f>'Table 1'!AI41</f>
        <v>3859</v>
      </c>
      <c r="X38" s="864">
        <f t="shared" si="93"/>
        <v>64</v>
      </c>
      <c r="Y38" s="872">
        <f t="shared" si="94"/>
        <v>80</v>
      </c>
      <c r="Z38" s="872">
        <f t="shared" si="95"/>
        <v>52</v>
      </c>
      <c r="AA38" s="872">
        <f t="shared" si="96"/>
        <v>27</v>
      </c>
      <c r="AB38" s="872">
        <f t="shared" si="97"/>
        <v>53</v>
      </c>
      <c r="AC38" s="995">
        <f t="shared" si="98"/>
        <v>26</v>
      </c>
      <c r="AD38" s="1112">
        <f t="shared" si="99"/>
        <v>0</v>
      </c>
      <c r="AE38" s="802">
        <f t="shared" si="99"/>
        <v>0</v>
      </c>
      <c r="AF38" s="802">
        <f t="shared" si="99"/>
        <v>0</v>
      </c>
      <c r="AG38" s="1112">
        <f t="shared" si="99"/>
        <v>0</v>
      </c>
      <c r="AH38" s="802">
        <f t="shared" si="99"/>
        <v>0</v>
      </c>
      <c r="AI38" s="1047">
        <f t="shared" si="99"/>
        <v>0</v>
      </c>
    </row>
    <row r="39" spans="1:35">
      <c r="A39" s="364" t="s">
        <v>48</v>
      </c>
      <c r="B39" s="907" t="s">
        <v>17</v>
      </c>
      <c r="C39" s="823">
        <v>0.06</v>
      </c>
      <c r="D39" s="802">
        <v>0.06</v>
      </c>
      <c r="E39" s="802">
        <v>0.06</v>
      </c>
      <c r="F39" s="802">
        <v>0.06</v>
      </c>
      <c r="G39" s="1106">
        <v>0.04</v>
      </c>
      <c r="H39" s="823">
        <f t="shared" si="90"/>
        <v>0.06</v>
      </c>
      <c r="I39" s="802">
        <f>C39</f>
        <v>0.06</v>
      </c>
      <c r="J39" s="988">
        <f t="shared" si="91"/>
        <v>0</v>
      </c>
      <c r="K39" s="864">
        <f>'Table 5a'!K104+5777</f>
        <v>6972</v>
      </c>
      <c r="L39" s="872">
        <f>'Table 1'!E42</f>
        <v>7017</v>
      </c>
      <c r="M39" s="872">
        <f>'Table 5a'!M104+5818</f>
        <v>7000</v>
      </c>
      <c r="N39" s="872">
        <f>'Table 5a'!N104+5902</f>
        <v>7085</v>
      </c>
      <c r="O39" s="873">
        <f>'Table 5a'!O104+5886</f>
        <v>7094</v>
      </c>
      <c r="P39" s="796">
        <f t="shared" si="92"/>
        <v>8</v>
      </c>
      <c r="Q39" s="871">
        <f>'Table 1'!E42</f>
        <v>7017</v>
      </c>
      <c r="R39" s="872">
        <f>'Table 1'!J42</f>
        <v>7509</v>
      </c>
      <c r="S39" s="872">
        <f>'Table 1'!O42</f>
        <v>7909</v>
      </c>
      <c r="T39" s="872">
        <f>'Table 1'!T42</f>
        <v>8209</v>
      </c>
      <c r="U39" s="872">
        <f>'Table 1'!Y42</f>
        <v>8509</v>
      </c>
      <c r="V39" s="872">
        <f>'Table 1'!AD42</f>
        <v>8709</v>
      </c>
      <c r="W39" s="871">
        <f>'Table 1'!AI42</f>
        <v>8909</v>
      </c>
      <c r="X39" s="864">
        <f t="shared" si="93"/>
        <v>492</v>
      </c>
      <c r="Y39" s="872">
        <f t="shared" si="94"/>
        <v>400</v>
      </c>
      <c r="Z39" s="872">
        <f t="shared" si="95"/>
        <v>300</v>
      </c>
      <c r="AA39" s="872">
        <f t="shared" si="96"/>
        <v>300</v>
      </c>
      <c r="AB39" s="872">
        <f t="shared" si="97"/>
        <v>200</v>
      </c>
      <c r="AC39" s="995">
        <f t="shared" si="98"/>
        <v>200</v>
      </c>
      <c r="AD39" s="1112">
        <f t="shared" si="99"/>
        <v>0</v>
      </c>
      <c r="AE39" s="802">
        <f t="shared" si="99"/>
        <v>0</v>
      </c>
      <c r="AF39" s="802">
        <f t="shared" si="99"/>
        <v>0</v>
      </c>
      <c r="AG39" s="1112">
        <f t="shared" si="99"/>
        <v>0</v>
      </c>
      <c r="AH39" s="802">
        <f t="shared" si="99"/>
        <v>0</v>
      </c>
      <c r="AI39" s="1047">
        <f t="shared" si="99"/>
        <v>0</v>
      </c>
    </row>
    <row r="40" spans="1:35">
      <c r="A40" s="295" t="s">
        <v>49</v>
      </c>
      <c r="B40" s="296" t="s">
        <v>17</v>
      </c>
      <c r="C40" s="47">
        <v>0.22</v>
      </c>
      <c r="D40" s="181">
        <v>0.21</v>
      </c>
      <c r="E40" s="181">
        <v>0.2</v>
      </c>
      <c r="F40" s="181">
        <v>0.18</v>
      </c>
      <c r="G40" s="57">
        <v>0.16</v>
      </c>
      <c r="H40" s="47">
        <f t="shared" si="90"/>
        <v>0.19</v>
      </c>
      <c r="I40" s="181">
        <f>C40</f>
        <v>0.22</v>
      </c>
      <c r="J40" s="43">
        <f>(I40-H40)/H40</f>
        <v>0.16</v>
      </c>
      <c r="K40" s="72">
        <f>'Table 5a'!K109+'Table 6c'!K96+11257</f>
        <v>18289</v>
      </c>
      <c r="L40" s="76">
        <f>'Table 1'!E43</f>
        <v>18287</v>
      </c>
      <c r="M40" s="76">
        <f>'Table 5a'!M109+'Table 6c'!M96+11297</f>
        <v>18325</v>
      </c>
      <c r="N40" s="76">
        <f>'Table 5a'!N109+'Table 6c'!N96+11525</f>
        <v>18643</v>
      </c>
      <c r="O40" s="335">
        <f>'Table 5a'!O109+'Table 6c'!O96+11166</f>
        <v>18337</v>
      </c>
      <c r="P40" s="795">
        <f t="shared" si="92"/>
        <v>11</v>
      </c>
      <c r="Q40" s="243">
        <f>'Table 1'!E43</f>
        <v>18287</v>
      </c>
      <c r="R40" s="249">
        <f>'Table 1'!J43</f>
        <v>18581</v>
      </c>
      <c r="S40" s="249">
        <f>'Table 1'!O43</f>
        <v>19072</v>
      </c>
      <c r="T40" s="249">
        <f>'Table 1'!T43</f>
        <v>19474</v>
      </c>
      <c r="U40" s="249">
        <f>'Table 1'!Y43</f>
        <v>19787</v>
      </c>
      <c r="V40" s="249">
        <f>'Table 1'!AD43</f>
        <v>20055</v>
      </c>
      <c r="W40" s="243">
        <f>'Table 1'!AI43</f>
        <v>20323</v>
      </c>
      <c r="X40" s="168">
        <f t="shared" si="93"/>
        <v>294</v>
      </c>
      <c r="Y40" s="249">
        <f t="shared" si="94"/>
        <v>491</v>
      </c>
      <c r="Z40" s="249">
        <f t="shared" si="95"/>
        <v>402</v>
      </c>
      <c r="AA40" s="249">
        <f t="shared" si="96"/>
        <v>313</v>
      </c>
      <c r="AB40" s="249">
        <f t="shared" si="97"/>
        <v>268</v>
      </c>
      <c r="AC40" s="291">
        <f t="shared" si="98"/>
        <v>268</v>
      </c>
      <c r="AD40" s="1113">
        <f t="shared" si="99"/>
        <v>0</v>
      </c>
      <c r="AE40" s="181">
        <f t="shared" si="99"/>
        <v>0.01</v>
      </c>
      <c r="AF40" s="181">
        <f t="shared" si="99"/>
        <v>0</v>
      </c>
      <c r="AG40" s="1113">
        <f t="shared" si="99"/>
        <v>0</v>
      </c>
      <c r="AH40" s="181">
        <f t="shared" si="99"/>
        <v>0</v>
      </c>
      <c r="AI40" s="1107">
        <f t="shared" si="99"/>
        <v>0</v>
      </c>
    </row>
    <row r="41" spans="1:35">
      <c r="A41" s="364" t="s">
        <v>50</v>
      </c>
      <c r="B41" s="907" t="s">
        <v>17</v>
      </c>
      <c r="C41" s="823">
        <v>0.34</v>
      </c>
      <c r="D41" s="802">
        <v>0.32</v>
      </c>
      <c r="E41" s="802">
        <v>0.31</v>
      </c>
      <c r="F41" s="802">
        <v>0.31</v>
      </c>
      <c r="G41" s="1106">
        <v>0.31</v>
      </c>
      <c r="H41" s="823">
        <f t="shared" si="90"/>
        <v>0.32</v>
      </c>
      <c r="I41" s="802">
        <f>C41</f>
        <v>0.34</v>
      </c>
      <c r="J41" s="988">
        <f>(I41-H41)/H41</f>
        <v>0.06</v>
      </c>
      <c r="K41" s="824">
        <f>'Table 5a'!K114+'Table 6c'!K99+12083</f>
        <v>17663</v>
      </c>
      <c r="L41" s="814">
        <f>'Table 1'!E44</f>
        <v>17615</v>
      </c>
      <c r="M41" s="814">
        <f>'Table 5a'!M114+'Table 6c'!M99+12192</f>
        <v>17713</v>
      </c>
      <c r="N41" s="814">
        <f>'Table 5a'!N114+'Table 6c'!N99+12219</f>
        <v>17704</v>
      </c>
      <c r="O41" s="813">
        <f>'Table 5a'!O114+'Table 6c'!O99+12002</f>
        <v>17812</v>
      </c>
      <c r="P41" s="796">
        <f t="shared" si="92"/>
        <v>18</v>
      </c>
      <c r="Q41" s="871">
        <f>'Table 1'!E44</f>
        <v>17615</v>
      </c>
      <c r="R41" s="872">
        <f>'Table 1'!J44</f>
        <v>17812</v>
      </c>
      <c r="S41" s="872">
        <f>'Table 1'!O44</f>
        <v>18112</v>
      </c>
      <c r="T41" s="872">
        <f>'Table 1'!T44</f>
        <v>18312</v>
      </c>
      <c r="U41" s="872">
        <f>'Table 1'!Y44</f>
        <v>18412</v>
      </c>
      <c r="V41" s="872">
        <f>'Table 1'!AD44</f>
        <v>18612</v>
      </c>
      <c r="W41" s="871">
        <f>'Table 1'!AI44</f>
        <v>18712</v>
      </c>
      <c r="X41" s="864">
        <f t="shared" si="93"/>
        <v>197</v>
      </c>
      <c r="Y41" s="872">
        <f t="shared" si="94"/>
        <v>300</v>
      </c>
      <c r="Z41" s="872">
        <f t="shared" si="95"/>
        <v>200</v>
      </c>
      <c r="AA41" s="872">
        <f t="shared" si="96"/>
        <v>100</v>
      </c>
      <c r="AB41" s="872">
        <f t="shared" si="97"/>
        <v>200</v>
      </c>
      <c r="AC41" s="995">
        <f t="shared" si="98"/>
        <v>100</v>
      </c>
      <c r="AD41" s="1112">
        <f t="shared" si="99"/>
        <v>0</v>
      </c>
      <c r="AE41" s="802">
        <f t="shared" si="99"/>
        <v>0.01</v>
      </c>
      <c r="AF41" s="802">
        <f t="shared" si="99"/>
        <v>0</v>
      </c>
      <c r="AG41" s="1112">
        <f t="shared" si="99"/>
        <v>0</v>
      </c>
      <c r="AH41" s="802">
        <f t="shared" si="99"/>
        <v>0</v>
      </c>
      <c r="AI41" s="1047">
        <f t="shared" si="99"/>
        <v>0</v>
      </c>
    </row>
    <row r="42" spans="1:35" ht="13.5" thickBot="1">
      <c r="A42" s="1037" t="s">
        <v>51</v>
      </c>
      <c r="B42" s="275" t="s">
        <v>17</v>
      </c>
      <c r="C42" s="48">
        <v>0.28000000000000003</v>
      </c>
      <c r="D42" s="712">
        <v>0.35</v>
      </c>
      <c r="E42" s="712">
        <v>0.32</v>
      </c>
      <c r="F42" s="712">
        <v>0.31</v>
      </c>
      <c r="G42" s="692">
        <v>0.31</v>
      </c>
      <c r="H42" s="48">
        <f t="shared" si="90"/>
        <v>0.31</v>
      </c>
      <c r="I42" s="712">
        <f>D42</f>
        <v>0.35</v>
      </c>
      <c r="J42" s="720">
        <f>(I42-H42)/H42</f>
        <v>0.13</v>
      </c>
      <c r="K42" s="1104">
        <f>'Table 5a'!K118+'Table 6c'!K102+8462</f>
        <v>19760</v>
      </c>
      <c r="L42" s="1105">
        <f>'Table 1'!E45</f>
        <v>19766</v>
      </c>
      <c r="M42" s="1105">
        <f>'Table 5a'!M118+'Table 6c'!M102+8572</f>
        <v>19698</v>
      </c>
      <c r="N42" s="1105">
        <f>'Table 5a'!N118+'Table 6c'!N102+8753</f>
        <v>19866</v>
      </c>
      <c r="O42" s="369">
        <f>'Table 5a'!O118+'Table 6c'!O102+8488</f>
        <v>20068</v>
      </c>
      <c r="P42" s="704">
        <f t="shared" si="92"/>
        <v>16</v>
      </c>
      <c r="Q42" s="801">
        <f>'Table 1'!E45</f>
        <v>19766</v>
      </c>
      <c r="R42" s="368">
        <f>'Table 1'!J45</f>
        <v>20378</v>
      </c>
      <c r="S42" s="368">
        <f>'Table 1'!O45</f>
        <v>20978</v>
      </c>
      <c r="T42" s="368">
        <f>'Table 1'!T45</f>
        <v>21378</v>
      </c>
      <c r="U42" s="368">
        <f>'Table 1'!Y45</f>
        <v>21778</v>
      </c>
      <c r="V42" s="368">
        <f>'Table 1'!AD45</f>
        <v>22078</v>
      </c>
      <c r="W42" s="801">
        <f>'Table 1'!AI45</f>
        <v>22478</v>
      </c>
      <c r="X42" s="861">
        <f t="shared" si="93"/>
        <v>612</v>
      </c>
      <c r="Y42" s="368">
        <f t="shared" si="94"/>
        <v>600</v>
      </c>
      <c r="Z42" s="368">
        <f t="shared" si="95"/>
        <v>400</v>
      </c>
      <c r="AA42" s="368">
        <f t="shared" si="96"/>
        <v>400</v>
      </c>
      <c r="AB42" s="368">
        <f t="shared" si="97"/>
        <v>300</v>
      </c>
      <c r="AC42" s="1011">
        <f t="shared" si="98"/>
        <v>400</v>
      </c>
      <c r="AD42" s="1114">
        <f t="shared" si="99"/>
        <v>0.01</v>
      </c>
      <c r="AE42" s="712">
        <f t="shared" si="99"/>
        <v>0.01</v>
      </c>
      <c r="AF42" s="712">
        <f t="shared" si="99"/>
        <v>0.01</v>
      </c>
      <c r="AG42" s="1114">
        <f t="shared" si="99"/>
        <v>0.01</v>
      </c>
      <c r="AH42" s="712">
        <f t="shared" si="99"/>
        <v>0</v>
      </c>
      <c r="AI42" s="1108">
        <f t="shared" si="99"/>
        <v>0.01</v>
      </c>
    </row>
    <row r="43" spans="1:35" s="22" customFormat="1" ht="26.25" customHeight="1" thickTop="1" thickBot="1">
      <c r="A43" s="3453" t="s">
        <v>52</v>
      </c>
      <c r="B43" s="3454"/>
      <c r="C43" s="184">
        <f>SUM(C37:C42)</f>
        <v>1.1499999999999999</v>
      </c>
      <c r="D43" s="721">
        <f t="shared" ref="D43:G43" si="100">SUM(D37:D42)</f>
        <v>1.1499999999999999</v>
      </c>
      <c r="E43" s="721">
        <f t="shared" si="100"/>
        <v>1.0900000000000001</v>
      </c>
      <c r="F43" s="721">
        <f t="shared" si="100"/>
        <v>1.07</v>
      </c>
      <c r="G43" s="21">
        <f t="shared" si="100"/>
        <v>1.03</v>
      </c>
      <c r="H43" s="34">
        <f t="shared" si="90"/>
        <v>1.1000000000000001</v>
      </c>
      <c r="I43" s="303">
        <f>C43</f>
        <v>1.1499999999999999</v>
      </c>
      <c r="J43" s="44">
        <f>(I43-H43)/H43</f>
        <v>0.05</v>
      </c>
      <c r="K43" s="1115">
        <f t="shared" ref="K43:AH43" si="101">SUM(K37:K42)</f>
        <v>81324</v>
      </c>
      <c r="L43" s="96">
        <f t="shared" si="101"/>
        <v>81174</v>
      </c>
      <c r="M43" s="96">
        <f t="shared" si="101"/>
        <v>81381</v>
      </c>
      <c r="N43" s="96">
        <f t="shared" si="101"/>
        <v>81926</v>
      </c>
      <c r="O43" s="97">
        <f t="shared" si="101"/>
        <v>81729</v>
      </c>
      <c r="P43" s="1118" t="s">
        <v>16</v>
      </c>
      <c r="Q43" s="213">
        <f t="shared" si="101"/>
        <v>81174</v>
      </c>
      <c r="R43" s="251">
        <f t="shared" si="101"/>
        <v>82943</v>
      </c>
      <c r="S43" s="251">
        <f t="shared" si="101"/>
        <v>85014</v>
      </c>
      <c r="T43" s="251">
        <f t="shared" si="101"/>
        <v>86468</v>
      </c>
      <c r="U43" s="251">
        <f t="shared" si="101"/>
        <v>87708</v>
      </c>
      <c r="V43" s="251">
        <f t="shared" si="101"/>
        <v>88729</v>
      </c>
      <c r="W43" s="213">
        <f t="shared" si="101"/>
        <v>89723</v>
      </c>
      <c r="X43" s="1115">
        <f t="shared" si="101"/>
        <v>1769</v>
      </c>
      <c r="Y43" s="96">
        <f t="shared" si="101"/>
        <v>2071</v>
      </c>
      <c r="Z43" s="96">
        <f t="shared" si="101"/>
        <v>1454</v>
      </c>
      <c r="AA43" s="96">
        <f t="shared" si="101"/>
        <v>1240</v>
      </c>
      <c r="AB43" s="96">
        <f t="shared" si="101"/>
        <v>1021</v>
      </c>
      <c r="AC43" s="97">
        <f t="shared" si="101"/>
        <v>994</v>
      </c>
      <c r="AD43" s="161">
        <f t="shared" si="101"/>
        <v>0.01</v>
      </c>
      <c r="AE43" s="1111">
        <f t="shared" si="101"/>
        <v>0.03</v>
      </c>
      <c r="AF43" s="1111">
        <f t="shared" si="101"/>
        <v>0.01</v>
      </c>
      <c r="AG43" s="161">
        <f t="shared" si="101"/>
        <v>0.01</v>
      </c>
      <c r="AH43" s="774">
        <f t="shared" si="101"/>
        <v>0</v>
      </c>
      <c r="AI43" s="1110">
        <f t="shared" ref="AI43" si="102">SUM(AI37:AI42)</f>
        <v>0.01</v>
      </c>
    </row>
    <row r="44" spans="1:35">
      <c r="A44" s="89" t="s">
        <v>35</v>
      </c>
    </row>
    <row r="45" spans="1:35">
      <c r="A45" s="1" t="s">
        <v>68</v>
      </c>
      <c r="M45" s="1" t="s">
        <v>36</v>
      </c>
      <c r="AB45" s="1" t="s">
        <v>36</v>
      </c>
    </row>
    <row r="46" spans="1:35">
      <c r="A46" s="1" t="s">
        <v>69</v>
      </c>
      <c r="P46" s="1" t="s">
        <v>36</v>
      </c>
    </row>
    <row r="47" spans="1:35">
      <c r="A47" s="1" t="s">
        <v>610</v>
      </c>
      <c r="M47" s="1" t="s">
        <v>36</v>
      </c>
    </row>
    <row r="48" spans="1:35">
      <c r="A48" s="2" t="s">
        <v>611</v>
      </c>
    </row>
    <row r="49" spans="1:1">
      <c r="A49" s="1" t="s">
        <v>612</v>
      </c>
    </row>
  </sheetData>
  <mergeCells count="26">
    <mergeCell ref="AD2:AI2"/>
    <mergeCell ref="B35:B36"/>
    <mergeCell ref="C35:G35"/>
    <mergeCell ref="I35:I36"/>
    <mergeCell ref="J35:J36"/>
    <mergeCell ref="K35:O35"/>
    <mergeCell ref="P35:P36"/>
    <mergeCell ref="X35:AC35"/>
    <mergeCell ref="AD35:AI35"/>
    <mergeCell ref="C2:G2"/>
    <mergeCell ref="K2:O2"/>
    <mergeCell ref="P2:P3"/>
    <mergeCell ref="Q35:W35"/>
    <mergeCell ref="A26:B26"/>
    <mergeCell ref="A35:A36"/>
    <mergeCell ref="H35:H36"/>
    <mergeCell ref="H2:H3"/>
    <mergeCell ref="A43:B43"/>
    <mergeCell ref="X2:AC2"/>
    <mergeCell ref="I2:I3"/>
    <mergeCell ref="J2:J3"/>
    <mergeCell ref="A24:B24"/>
    <mergeCell ref="A25:B25"/>
    <mergeCell ref="Q2:W2"/>
    <mergeCell ref="A2:A3"/>
    <mergeCell ref="B2:B3"/>
  </mergeCells>
  <pageMargins left="0.7" right="0.7" top="0.75" bottom="0.75" header="0.3" footer="0.3"/>
  <pageSetup paperSize="3" scale="5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51"/>
  <sheetViews>
    <sheetView workbookViewId="0">
      <selection activeCell="B20" sqref="B20"/>
    </sheetView>
  </sheetViews>
  <sheetFormatPr defaultColWidth="9.140625" defaultRowHeight="12.75"/>
  <cols>
    <col min="1" max="1" width="14.7109375" style="1" customWidth="1"/>
    <col min="2" max="2" width="11.7109375" style="1" customWidth="1"/>
    <col min="3" max="23" width="10.140625" style="1" customWidth="1"/>
    <col min="24" max="24" width="11.28515625" style="1" customWidth="1"/>
    <col min="25" max="25" width="10.140625" style="1" customWidth="1"/>
    <col min="26" max="26" width="10.28515625" style="1" hidden="1" customWidth="1"/>
    <col min="27" max="27" width="10.7109375" style="1" customWidth="1"/>
    <col min="28" max="28" width="11" style="1" customWidth="1"/>
    <col min="29" max="29" width="9.140625" style="1"/>
    <col min="30" max="30" width="11.42578125" style="1" customWidth="1"/>
    <col min="31" max="31" width="12.85546875" style="1" customWidth="1"/>
    <col min="32" max="16384" width="9.140625" style="1"/>
  </cols>
  <sheetData>
    <row r="1" spans="1:26" ht="27" customHeight="1" thickBot="1">
      <c r="A1" s="3224" t="s">
        <v>614</v>
      </c>
      <c r="B1" s="3224"/>
      <c r="C1" s="3224"/>
      <c r="D1" s="3224"/>
      <c r="E1" s="3224"/>
      <c r="F1" s="3224"/>
      <c r="G1" s="3224"/>
      <c r="H1" s="3224"/>
      <c r="I1" s="3224"/>
      <c r="J1" s="3224"/>
      <c r="K1" s="3224"/>
      <c r="L1" s="3224"/>
      <c r="M1" s="3224"/>
      <c r="N1" s="3224"/>
      <c r="O1" s="3224"/>
      <c r="P1" s="3224"/>
      <c r="Q1" s="3224"/>
      <c r="R1" s="3224"/>
      <c r="S1" s="3224"/>
      <c r="T1" s="3224"/>
      <c r="U1" s="3224"/>
      <c r="V1" s="3224"/>
      <c r="W1" s="3224"/>
      <c r="X1" s="3224"/>
      <c r="Y1" s="256"/>
      <c r="Z1" s="256"/>
    </row>
    <row r="2" spans="1:26" ht="15.75" customHeight="1" thickBot="1">
      <c r="A2" s="3204" t="s">
        <v>1</v>
      </c>
      <c r="B2" s="3206" t="s">
        <v>2</v>
      </c>
      <c r="C2" s="3221" t="s">
        <v>55</v>
      </c>
      <c r="D2" s="3222"/>
      <c r="E2" s="3223"/>
      <c r="F2" s="3221" t="s">
        <v>56</v>
      </c>
      <c r="G2" s="3222"/>
      <c r="H2" s="3222"/>
      <c r="I2" s="3222"/>
      <c r="J2" s="3222"/>
      <c r="K2" s="3222"/>
      <c r="L2" s="3222"/>
      <c r="M2" s="3222"/>
      <c r="N2" s="3222"/>
      <c r="O2" s="3222"/>
      <c r="P2" s="3222"/>
      <c r="Q2" s="3222"/>
      <c r="R2" s="3222"/>
      <c r="S2" s="3222"/>
      <c r="T2" s="3222"/>
      <c r="U2" s="3222"/>
      <c r="V2" s="3222"/>
      <c r="W2" s="3223"/>
      <c r="X2" s="3209" t="s">
        <v>57</v>
      </c>
      <c r="Z2" s="3209" t="s">
        <v>80</v>
      </c>
    </row>
    <row r="3" spans="1:26" ht="15" customHeight="1">
      <c r="A3" s="3205"/>
      <c r="B3" s="3207"/>
      <c r="C3" s="3212">
        <v>2015</v>
      </c>
      <c r="D3" s="3213"/>
      <c r="E3" s="3215"/>
      <c r="F3" s="3219">
        <v>2020</v>
      </c>
      <c r="G3" s="3213"/>
      <c r="H3" s="3214"/>
      <c r="I3" s="3212">
        <v>2025</v>
      </c>
      <c r="J3" s="3213"/>
      <c r="K3" s="3215"/>
      <c r="L3" s="3216">
        <v>2030</v>
      </c>
      <c r="M3" s="3217"/>
      <c r="N3" s="3218"/>
      <c r="O3" s="3417">
        <v>2035</v>
      </c>
      <c r="P3" s="3418"/>
      <c r="Q3" s="3419"/>
      <c r="R3" s="3212">
        <v>2040</v>
      </c>
      <c r="S3" s="3213"/>
      <c r="T3" s="3214"/>
      <c r="U3" s="3212">
        <v>2045</v>
      </c>
      <c r="V3" s="3213"/>
      <c r="W3" s="3214"/>
      <c r="X3" s="3228"/>
      <c r="Z3" s="3228"/>
    </row>
    <row r="4" spans="1:26" s="2" customFormat="1" ht="15.75" customHeight="1" thickBot="1">
      <c r="A4" s="3485"/>
      <c r="B4" s="3208"/>
      <c r="C4" s="1655" t="s">
        <v>60</v>
      </c>
      <c r="D4" s="1017" t="s">
        <v>61</v>
      </c>
      <c r="E4" s="1659" t="s">
        <v>18</v>
      </c>
      <c r="F4" s="1669" t="s">
        <v>60</v>
      </c>
      <c r="G4" s="1657" t="s">
        <v>61</v>
      </c>
      <c r="H4" s="1661" t="s">
        <v>18</v>
      </c>
      <c r="I4" s="1655" t="s">
        <v>60</v>
      </c>
      <c r="J4" s="1017" t="s">
        <v>61</v>
      </c>
      <c r="K4" s="1659" t="s">
        <v>18</v>
      </c>
      <c r="L4" s="1655" t="s">
        <v>60</v>
      </c>
      <c r="M4" s="1657" t="s">
        <v>61</v>
      </c>
      <c r="N4" s="1658" t="s">
        <v>18</v>
      </c>
      <c r="O4" s="1669" t="s">
        <v>60</v>
      </c>
      <c r="P4" s="1017" t="s">
        <v>61</v>
      </c>
      <c r="Q4" s="1659" t="s">
        <v>18</v>
      </c>
      <c r="R4" s="1655" t="s">
        <v>60</v>
      </c>
      <c r="S4" s="1017" t="s">
        <v>61</v>
      </c>
      <c r="T4" s="1656" t="s">
        <v>18</v>
      </c>
      <c r="U4" s="1655" t="s">
        <v>60</v>
      </c>
      <c r="V4" s="1017" t="s">
        <v>61</v>
      </c>
      <c r="W4" s="1656" t="s">
        <v>18</v>
      </c>
      <c r="X4" s="3211"/>
      <c r="Z4" s="3464"/>
    </row>
    <row r="5" spans="1:26">
      <c r="A5" s="443" t="s">
        <v>278</v>
      </c>
      <c r="B5" s="1672" t="s">
        <v>15</v>
      </c>
      <c r="C5" s="158">
        <f>E5-D5</f>
        <v>0.11</v>
      </c>
      <c r="D5" s="354">
        <v>0</v>
      </c>
      <c r="E5" s="315">
        <f>'Table 9a'!D4</f>
        <v>0.11</v>
      </c>
      <c r="F5" s="569">
        <f>H5-G5</f>
        <v>0.12</v>
      </c>
      <c r="G5" s="355">
        <f>($D5/$E5)*H5</f>
        <v>0</v>
      </c>
      <c r="H5" s="317">
        <f>E5+'Table 9a'!AA4</f>
        <v>0.12</v>
      </c>
      <c r="I5" s="158">
        <f>K5-J5</f>
        <v>0.12</v>
      </c>
      <c r="J5" s="354">
        <f>($D5/$E5)*K5</f>
        <v>0</v>
      </c>
      <c r="K5" s="315">
        <f>H5+'Table 9a'!AB4</f>
        <v>0.12</v>
      </c>
      <c r="L5" s="158">
        <f>N5-M5</f>
        <v>0.12</v>
      </c>
      <c r="M5" s="355">
        <f>($D5/$E5)*N5</f>
        <v>0</v>
      </c>
      <c r="N5" s="353">
        <f>K5+'Table 9a'!AC4</f>
        <v>0.12</v>
      </c>
      <c r="O5" s="591">
        <f>Q5-P5</f>
        <v>0.12</v>
      </c>
      <c r="P5" s="460">
        <f>($D5/$E5)*Q5</f>
        <v>0</v>
      </c>
      <c r="Q5" s="449">
        <f>N5+'Table 9a'!AD4</f>
        <v>0.12</v>
      </c>
      <c r="R5" s="444">
        <f>T5-S5</f>
        <v>0.12</v>
      </c>
      <c r="S5" s="445">
        <f>($D5/$E5)*T5</f>
        <v>0</v>
      </c>
      <c r="T5" s="449">
        <f>Q5+'Table 9a'!AE4</f>
        <v>0.12</v>
      </c>
      <c r="U5" s="444">
        <f>W5-V5</f>
        <v>0.12</v>
      </c>
      <c r="V5" s="445">
        <f>($D5/$E5)*W5</f>
        <v>0</v>
      </c>
      <c r="W5" s="449">
        <f>T5+'Table 9a'!AF4</f>
        <v>0.12</v>
      </c>
      <c r="X5" s="314">
        <f>(W5-E5)/E5</f>
        <v>0.09</v>
      </c>
      <c r="Z5" s="1597">
        <f>W5-E5</f>
        <v>0.01</v>
      </c>
    </row>
    <row r="6" spans="1:26" ht="13.5" thickBot="1">
      <c r="A6" s="579" t="s">
        <v>278</v>
      </c>
      <c r="B6" s="1850" t="s">
        <v>17</v>
      </c>
      <c r="C6" s="18">
        <f>E6-D6</f>
        <v>0.36</v>
      </c>
      <c r="D6" s="410">
        <v>0</v>
      </c>
      <c r="E6" s="50">
        <f>'Table 9a'!D5</f>
        <v>0.36</v>
      </c>
      <c r="F6" s="875">
        <f>H6-G6</f>
        <v>0.42</v>
      </c>
      <c r="G6" s="412">
        <f>($D6/$E6)*H6</f>
        <v>0</v>
      </c>
      <c r="H6" s="1150">
        <f>E6+'Table 9a'!AA5</f>
        <v>0.42</v>
      </c>
      <c r="I6" s="18">
        <f>K6-J6</f>
        <v>0.46</v>
      </c>
      <c r="J6" s="410">
        <f>($D6/$E6)*K6</f>
        <v>0</v>
      </c>
      <c r="K6" s="50">
        <f>H6+'Table 9a'!AB5</f>
        <v>0.46</v>
      </c>
      <c r="L6" s="18">
        <f>N6-M6</f>
        <v>0.5</v>
      </c>
      <c r="M6" s="412">
        <f>($D6/$E6)*N6</f>
        <v>0</v>
      </c>
      <c r="N6" s="876">
        <f>K6+'Table 9a'!AC5</f>
        <v>0.5</v>
      </c>
      <c r="O6" s="1137">
        <f>Q6-P6</f>
        <v>0.55000000000000004</v>
      </c>
      <c r="P6" s="562">
        <f>($D6/$E6)*Q6</f>
        <v>0</v>
      </c>
      <c r="Q6" s="523">
        <f>N6+'Table 9a'!AD5</f>
        <v>0.55000000000000004</v>
      </c>
      <c r="R6" s="467">
        <f>T6-S6</f>
        <v>0.57999999999999996</v>
      </c>
      <c r="S6" s="531">
        <f>($D6/$E6)*T6</f>
        <v>0</v>
      </c>
      <c r="T6" s="523">
        <f>Q6+'Table 9a'!AE5</f>
        <v>0.57999999999999996</v>
      </c>
      <c r="U6" s="467">
        <f>W6-V6</f>
        <v>0.61</v>
      </c>
      <c r="V6" s="531">
        <f>($D6/$E6)*W6</f>
        <v>0</v>
      </c>
      <c r="W6" s="523">
        <f>T6+'Table 9a'!AF5</f>
        <v>0.61</v>
      </c>
      <c r="X6" s="312">
        <f t="shared" ref="X6:X27" si="0">(W6-E6)/E6</f>
        <v>0.69</v>
      </c>
      <c r="Z6" s="1741">
        <f t="shared" ref="Z6:Z27" si="1">W6-E6</f>
        <v>0.25</v>
      </c>
    </row>
    <row r="7" spans="1:26" ht="14.25" thickTop="1" thickBot="1">
      <c r="A7" s="476" t="s">
        <v>14</v>
      </c>
      <c r="B7" s="3020" t="s">
        <v>18</v>
      </c>
      <c r="C7" s="356">
        <f>SUM(C5:C6)</f>
        <v>0.47</v>
      </c>
      <c r="D7" s="318">
        <f t="shared" ref="D7:W7" si="2">SUM(D5:D6)</f>
        <v>0</v>
      </c>
      <c r="E7" s="315">
        <f t="shared" si="2"/>
        <v>0.47</v>
      </c>
      <c r="F7" s="586">
        <f t="shared" si="2"/>
        <v>0.54</v>
      </c>
      <c r="G7" s="316">
        <f t="shared" si="2"/>
        <v>0</v>
      </c>
      <c r="H7" s="317">
        <f t="shared" si="2"/>
        <v>0.54</v>
      </c>
      <c r="I7" s="356">
        <f t="shared" si="2"/>
        <v>0.57999999999999996</v>
      </c>
      <c r="J7" s="318">
        <f t="shared" si="2"/>
        <v>0</v>
      </c>
      <c r="K7" s="315">
        <f t="shared" si="2"/>
        <v>0.57999999999999996</v>
      </c>
      <c r="L7" s="356">
        <f t="shared" si="2"/>
        <v>0.62</v>
      </c>
      <c r="M7" s="316">
        <f t="shared" si="2"/>
        <v>0</v>
      </c>
      <c r="N7" s="353">
        <f t="shared" si="2"/>
        <v>0.62</v>
      </c>
      <c r="O7" s="587">
        <f t="shared" si="2"/>
        <v>0.67</v>
      </c>
      <c r="P7" s="483">
        <f t="shared" si="2"/>
        <v>0</v>
      </c>
      <c r="Q7" s="484">
        <f t="shared" si="2"/>
        <v>0.67</v>
      </c>
      <c r="R7" s="482">
        <f t="shared" si="2"/>
        <v>0.7</v>
      </c>
      <c r="S7" s="483">
        <f>SUM(S5:S6)</f>
        <v>0</v>
      </c>
      <c r="T7" s="484">
        <f t="shared" si="2"/>
        <v>0.7</v>
      </c>
      <c r="U7" s="482">
        <f t="shared" ref="U7" si="3">SUM(U5:U6)</f>
        <v>0.73</v>
      </c>
      <c r="V7" s="483">
        <f>SUM(V5:V6)</f>
        <v>0</v>
      </c>
      <c r="W7" s="484">
        <f t="shared" si="2"/>
        <v>0.73</v>
      </c>
      <c r="X7" s="311">
        <f t="shared" si="0"/>
        <v>0.55000000000000004</v>
      </c>
      <c r="Y7" s="22"/>
      <c r="Z7" s="1596">
        <f t="shared" si="1"/>
        <v>0.26</v>
      </c>
    </row>
    <row r="8" spans="1:26">
      <c r="A8" s="475" t="s">
        <v>294</v>
      </c>
      <c r="B8" s="509" t="s">
        <v>15</v>
      </c>
      <c r="C8" s="151">
        <f t="shared" ref="C8:C9" si="4">E8-D8</f>
        <v>0.15</v>
      </c>
      <c r="D8" s="113">
        <v>0.27</v>
      </c>
      <c r="E8" s="146">
        <f>'Table 9a'!D7</f>
        <v>0.42</v>
      </c>
      <c r="F8" s="442">
        <f>H8-G8</f>
        <v>0.15</v>
      </c>
      <c r="G8" s="123">
        <f>($D8/$E8)*H8</f>
        <v>0.28000000000000003</v>
      </c>
      <c r="H8" s="654">
        <f>E8+'Table 9a'!AA7</f>
        <v>0.43</v>
      </c>
      <c r="I8" s="151">
        <f>K8-J8</f>
        <v>0.16</v>
      </c>
      <c r="J8" s="113">
        <f>($D8/$E8)*K8</f>
        <v>0.28999999999999998</v>
      </c>
      <c r="K8" s="146">
        <f>H8+'Table 9a'!AB7</f>
        <v>0.45</v>
      </c>
      <c r="L8" s="151">
        <f>N8-M8</f>
        <v>0.17</v>
      </c>
      <c r="M8" s="123">
        <f>($D8/$E8)*N8</f>
        <v>0.3</v>
      </c>
      <c r="N8" s="152">
        <f>K8+'Table 9a'!AC7</f>
        <v>0.47</v>
      </c>
      <c r="O8" s="588">
        <f>Q8-P8</f>
        <v>0.17</v>
      </c>
      <c r="P8" s="465">
        <f>($D8/$E8)*Q8</f>
        <v>0.31</v>
      </c>
      <c r="Q8" s="520">
        <f>N8+'Table 9a'!AD7</f>
        <v>0.48</v>
      </c>
      <c r="R8" s="464">
        <f>T8-S8</f>
        <v>0.17</v>
      </c>
      <c r="S8" s="465">
        <f>($D8/$E8)*T8</f>
        <v>0.32</v>
      </c>
      <c r="T8" s="520">
        <f>Q8+'Table 9a'!AE7</f>
        <v>0.49</v>
      </c>
      <c r="U8" s="464">
        <f>W8-V8</f>
        <v>0.18</v>
      </c>
      <c r="V8" s="465">
        <f>($D8/$E8)*W8</f>
        <v>0.32</v>
      </c>
      <c r="W8" s="520">
        <f>T8+'Table 9a'!AF7</f>
        <v>0.5</v>
      </c>
      <c r="X8" s="220">
        <f t="shared" si="0"/>
        <v>0.19</v>
      </c>
      <c r="Z8" s="1597">
        <f t="shared" si="1"/>
        <v>0.08</v>
      </c>
    </row>
    <row r="9" spans="1:26" ht="13.5" thickBot="1">
      <c r="A9" s="579" t="s">
        <v>294</v>
      </c>
      <c r="B9" s="1850" t="s">
        <v>17</v>
      </c>
      <c r="C9" s="18">
        <f t="shared" si="4"/>
        <v>0.21</v>
      </c>
      <c r="D9" s="410">
        <v>0</v>
      </c>
      <c r="E9" s="50">
        <f>'Table 9a'!D8</f>
        <v>0.21</v>
      </c>
      <c r="F9" s="875">
        <f>H9-G9</f>
        <v>0.22</v>
      </c>
      <c r="G9" s="412">
        <f>($D9/$E9)*H9</f>
        <v>0</v>
      </c>
      <c r="H9" s="1150">
        <f>E9+'Table 9a'!AA8</f>
        <v>0.22</v>
      </c>
      <c r="I9" s="18">
        <f>K9-J9</f>
        <v>0.23</v>
      </c>
      <c r="J9" s="410">
        <f>($D9/$E9)*K9</f>
        <v>0</v>
      </c>
      <c r="K9" s="50">
        <f>H9+'Table 9a'!AB8</f>
        <v>0.23</v>
      </c>
      <c r="L9" s="18">
        <f>N9-M9</f>
        <v>0.24</v>
      </c>
      <c r="M9" s="412">
        <f>($D9/$E9)*N9</f>
        <v>0</v>
      </c>
      <c r="N9" s="876">
        <f>K9+'Table 9a'!AC8</f>
        <v>0.24</v>
      </c>
      <c r="O9" s="1137">
        <f>Q9-P9</f>
        <v>0.25</v>
      </c>
      <c r="P9" s="531">
        <f>($D9/$E9)*Q9</f>
        <v>0</v>
      </c>
      <c r="Q9" s="523">
        <f>N9+'Table 9a'!AD8</f>
        <v>0.25</v>
      </c>
      <c r="R9" s="467">
        <f>T9-S9</f>
        <v>0.26</v>
      </c>
      <c r="S9" s="531">
        <f>($D9/$E9)*T9</f>
        <v>0</v>
      </c>
      <c r="T9" s="523">
        <f>Q9+'Table 9a'!AE8</f>
        <v>0.26</v>
      </c>
      <c r="U9" s="467">
        <f>W9-V9</f>
        <v>0.27</v>
      </c>
      <c r="V9" s="531">
        <f>($D9/$E9)*W9</f>
        <v>0</v>
      </c>
      <c r="W9" s="523">
        <f>T9+'Table 9a'!AF8</f>
        <v>0.27</v>
      </c>
      <c r="X9" s="312">
        <f t="shared" si="0"/>
        <v>0.28999999999999998</v>
      </c>
      <c r="Z9" s="1741">
        <f t="shared" si="1"/>
        <v>0.06</v>
      </c>
    </row>
    <row r="10" spans="1:26" ht="14.25" thickTop="1" thickBot="1">
      <c r="A10" s="279" t="s">
        <v>294</v>
      </c>
      <c r="B10" s="3018" t="s">
        <v>18</v>
      </c>
      <c r="C10" s="36">
        <f>SUM(C8:C9)</f>
        <v>0.36</v>
      </c>
      <c r="D10" s="32">
        <f t="shared" ref="D10:W10" si="5">SUM(D8:D9)</f>
        <v>0.27</v>
      </c>
      <c r="E10" s="154">
        <f t="shared" si="5"/>
        <v>0.63</v>
      </c>
      <c r="F10" s="31">
        <f t="shared" si="5"/>
        <v>0.37</v>
      </c>
      <c r="G10" s="165">
        <f t="shared" si="5"/>
        <v>0.28000000000000003</v>
      </c>
      <c r="H10" s="147">
        <f t="shared" si="5"/>
        <v>0.65</v>
      </c>
      <c r="I10" s="36">
        <f t="shared" si="5"/>
        <v>0.39</v>
      </c>
      <c r="J10" s="32">
        <f t="shared" si="5"/>
        <v>0.28999999999999998</v>
      </c>
      <c r="K10" s="154">
        <f t="shared" si="5"/>
        <v>0.68</v>
      </c>
      <c r="L10" s="36">
        <f t="shared" si="5"/>
        <v>0.41</v>
      </c>
      <c r="M10" s="165">
        <f t="shared" si="5"/>
        <v>0.3</v>
      </c>
      <c r="N10" s="38">
        <f t="shared" si="5"/>
        <v>0.71</v>
      </c>
      <c r="O10" s="589">
        <f t="shared" si="5"/>
        <v>0.42</v>
      </c>
      <c r="P10" s="471">
        <f t="shared" si="5"/>
        <v>0.31</v>
      </c>
      <c r="Q10" s="472">
        <f t="shared" si="5"/>
        <v>0.73</v>
      </c>
      <c r="R10" s="470">
        <f t="shared" si="5"/>
        <v>0.43</v>
      </c>
      <c r="S10" s="471">
        <f t="shared" si="5"/>
        <v>0.32</v>
      </c>
      <c r="T10" s="472">
        <f t="shared" si="5"/>
        <v>0.75</v>
      </c>
      <c r="U10" s="470">
        <f t="shared" ref="U10:V10" si="6">SUM(U8:U9)</f>
        <v>0.45</v>
      </c>
      <c r="V10" s="471">
        <f t="shared" si="6"/>
        <v>0.32</v>
      </c>
      <c r="W10" s="472">
        <f t="shared" si="5"/>
        <v>0.77</v>
      </c>
      <c r="X10" s="313">
        <f t="shared" si="0"/>
        <v>0.22</v>
      </c>
      <c r="Y10" s="22"/>
      <c r="Z10" s="1598">
        <f t="shared" si="1"/>
        <v>0.14000000000000001</v>
      </c>
    </row>
    <row r="11" spans="1:26">
      <c r="A11" s="475" t="s">
        <v>297</v>
      </c>
      <c r="B11" s="509" t="s">
        <v>15</v>
      </c>
      <c r="C11" s="151">
        <f t="shared" ref="C11:C12" si="7">E11-D11</f>
        <v>0</v>
      </c>
      <c r="D11" s="113">
        <v>0</v>
      </c>
      <c r="E11" s="146">
        <f>'Table 9a'!D10</f>
        <v>0</v>
      </c>
      <c r="F11" s="442">
        <f>H11-G11</f>
        <v>0</v>
      </c>
      <c r="G11" s="123">
        <v>0</v>
      </c>
      <c r="H11" s="654">
        <f>E11+'Table 9a'!AA10</f>
        <v>0</v>
      </c>
      <c r="I11" s="151">
        <f>K11-J11</f>
        <v>0</v>
      </c>
      <c r="J11" s="113">
        <v>0</v>
      </c>
      <c r="K11" s="146">
        <f>H11+'Table 9a'!AB10</f>
        <v>0</v>
      </c>
      <c r="L11" s="151">
        <f>N11-M11</f>
        <v>0</v>
      </c>
      <c r="M11" s="123">
        <v>0</v>
      </c>
      <c r="N11" s="152">
        <f>K11+'Table 9a'!AC10</f>
        <v>0</v>
      </c>
      <c r="O11" s="588">
        <f>Q11-P11</f>
        <v>0</v>
      </c>
      <c r="P11" s="465">
        <v>0</v>
      </c>
      <c r="Q11" s="520">
        <f>N11+'Table 9a'!AD10</f>
        <v>0</v>
      </c>
      <c r="R11" s="464">
        <f>T11-S11</f>
        <v>0</v>
      </c>
      <c r="S11" s="465">
        <v>0</v>
      </c>
      <c r="T11" s="520">
        <f>Q11+'Table 9a'!AE10</f>
        <v>0</v>
      </c>
      <c r="U11" s="464">
        <f>W11-V11</f>
        <v>0</v>
      </c>
      <c r="V11" s="465">
        <v>0</v>
      </c>
      <c r="W11" s="520">
        <f>T11+'Table 9a'!AF10</f>
        <v>0</v>
      </c>
      <c r="X11" s="310" t="s">
        <v>16</v>
      </c>
      <c r="Z11" s="1597">
        <f t="shared" si="1"/>
        <v>0</v>
      </c>
    </row>
    <row r="12" spans="1:26" ht="13.5" thickBot="1">
      <c r="A12" s="579" t="s">
        <v>297</v>
      </c>
      <c r="B12" s="540" t="s">
        <v>17</v>
      </c>
      <c r="C12" s="156">
        <f t="shared" si="7"/>
        <v>1.04</v>
      </c>
      <c r="D12" s="658">
        <v>0</v>
      </c>
      <c r="E12" s="50">
        <f>'Table 9a'!D11</f>
        <v>1.04</v>
      </c>
      <c r="F12" s="659">
        <f>H12-G12</f>
        <v>1.06</v>
      </c>
      <c r="G12" s="660">
        <f>($D12/$E12)*H12</f>
        <v>0</v>
      </c>
      <c r="H12" s="661">
        <f>E12+'Table 9a'!AA11</f>
        <v>1.06</v>
      </c>
      <c r="I12" s="156">
        <f>K12-J12</f>
        <v>1.06</v>
      </c>
      <c r="J12" s="658">
        <f>($D12/$E12)*K12</f>
        <v>0</v>
      </c>
      <c r="K12" s="411">
        <f>H12+'Table 9a'!AB11</f>
        <v>1.06</v>
      </c>
      <c r="L12" s="156">
        <f>N12-M12</f>
        <v>1.06</v>
      </c>
      <c r="M12" s="660">
        <f>($D12/$E12)*N12</f>
        <v>0</v>
      </c>
      <c r="N12" s="413">
        <f>K12+'Table 9a'!AC11</f>
        <v>1.06</v>
      </c>
      <c r="O12" s="615">
        <f>Q12-P12</f>
        <v>1.06</v>
      </c>
      <c r="P12" s="616">
        <f>($D12/$E12)*Q12</f>
        <v>0</v>
      </c>
      <c r="Q12" s="617">
        <f>N12+'Table 9a'!AD11</f>
        <v>1.06</v>
      </c>
      <c r="R12" s="556">
        <f>T12-S12</f>
        <v>1.06</v>
      </c>
      <c r="S12" s="616">
        <f>($D12/$E12)*T12</f>
        <v>0</v>
      </c>
      <c r="T12" s="617">
        <f>Q12+'Table 9a'!AE11</f>
        <v>1.06</v>
      </c>
      <c r="U12" s="556">
        <f>W12-V12</f>
        <v>1.05</v>
      </c>
      <c r="V12" s="616">
        <f>($D12/$E12)*W12</f>
        <v>0</v>
      </c>
      <c r="W12" s="617">
        <f>T12+'Table 9a'!AF11</f>
        <v>1.05</v>
      </c>
      <c r="X12" s="312">
        <f t="shared" si="0"/>
        <v>0.01</v>
      </c>
      <c r="Z12" s="1595">
        <f t="shared" si="1"/>
        <v>0.01</v>
      </c>
    </row>
    <row r="13" spans="1:26" ht="14.25" thickTop="1" thickBot="1">
      <c r="A13" s="279" t="s">
        <v>297</v>
      </c>
      <c r="B13" s="668" t="s">
        <v>18</v>
      </c>
      <c r="C13" s="36">
        <f>SUM(C11:C12)</f>
        <v>1.04</v>
      </c>
      <c r="D13" s="32">
        <f t="shared" ref="D13:W13" si="8">SUM(D11:D12)</f>
        <v>0</v>
      </c>
      <c r="E13" s="154">
        <f t="shared" si="8"/>
        <v>1.04</v>
      </c>
      <c r="F13" s="31">
        <f t="shared" si="8"/>
        <v>1.06</v>
      </c>
      <c r="G13" s="165">
        <f t="shared" si="8"/>
        <v>0</v>
      </c>
      <c r="H13" s="147">
        <f t="shared" si="8"/>
        <v>1.06</v>
      </c>
      <c r="I13" s="36">
        <f t="shared" si="8"/>
        <v>1.06</v>
      </c>
      <c r="J13" s="32">
        <f t="shared" si="8"/>
        <v>0</v>
      </c>
      <c r="K13" s="154">
        <f t="shared" si="8"/>
        <v>1.06</v>
      </c>
      <c r="L13" s="36">
        <f t="shared" si="8"/>
        <v>1.06</v>
      </c>
      <c r="M13" s="165">
        <f t="shared" si="8"/>
        <v>0</v>
      </c>
      <c r="N13" s="38">
        <f t="shared" si="8"/>
        <v>1.06</v>
      </c>
      <c r="O13" s="589">
        <f t="shared" si="8"/>
        <v>1.06</v>
      </c>
      <c r="P13" s="471">
        <f t="shared" si="8"/>
        <v>0</v>
      </c>
      <c r="Q13" s="657">
        <f t="shared" si="8"/>
        <v>1.06</v>
      </c>
      <c r="R13" s="470">
        <f t="shared" si="8"/>
        <v>1.06</v>
      </c>
      <c r="S13" s="471">
        <f t="shared" si="8"/>
        <v>0</v>
      </c>
      <c r="T13" s="472">
        <f t="shared" si="8"/>
        <v>1.06</v>
      </c>
      <c r="U13" s="470">
        <f t="shared" ref="U13:V13" si="9">SUM(U11:U12)</f>
        <v>1.05</v>
      </c>
      <c r="V13" s="471">
        <f t="shared" si="9"/>
        <v>0</v>
      </c>
      <c r="W13" s="472">
        <f t="shared" si="8"/>
        <v>1.05</v>
      </c>
      <c r="X13" s="313">
        <f t="shared" si="0"/>
        <v>0.01</v>
      </c>
      <c r="Y13" s="22"/>
      <c r="Z13" s="1598">
        <f t="shared" si="1"/>
        <v>0.01</v>
      </c>
    </row>
    <row r="14" spans="1:26">
      <c r="A14" s="455" t="s">
        <v>302</v>
      </c>
      <c r="B14" s="1075" t="s">
        <v>15</v>
      </c>
      <c r="C14" s="883">
        <f t="shared" ref="C14:C24" si="10">E14-D14</f>
        <v>0.31</v>
      </c>
      <c r="D14" s="884">
        <v>0</v>
      </c>
      <c r="E14" s="392">
        <f>'Table 9a'!D13</f>
        <v>0.31</v>
      </c>
      <c r="F14" s="885">
        <f t="shared" ref="F14:F19" si="11">H14-G14</f>
        <v>0.32</v>
      </c>
      <c r="G14" s="321">
        <f t="shared" ref="G14:G19" si="12">($D14/$E14)*H14</f>
        <v>0</v>
      </c>
      <c r="H14" s="1753">
        <f>E14+'Table 9a'!AA13</f>
        <v>0.32</v>
      </c>
      <c r="I14" s="883">
        <f t="shared" ref="I14:I19" si="13">K14-J14</f>
        <v>0.34</v>
      </c>
      <c r="J14" s="884">
        <f t="shared" ref="J14:J19" si="14">($D14/$E14)*K14</f>
        <v>0</v>
      </c>
      <c r="K14" s="392">
        <f>H14+'Table 9a'!AB13</f>
        <v>0.34</v>
      </c>
      <c r="L14" s="883">
        <f t="shared" ref="L14:L19" si="15">N14-M14</f>
        <v>0.35</v>
      </c>
      <c r="M14" s="321">
        <f t="shared" ref="M14:M19" si="16">($D14/$E14)*N14</f>
        <v>0</v>
      </c>
      <c r="N14" s="914">
        <f>K14+'Table 9a'!AC13</f>
        <v>0.35</v>
      </c>
      <c r="O14" s="915">
        <f t="shared" ref="O14:O19" si="17">Q14-P14</f>
        <v>0.37</v>
      </c>
      <c r="P14" s="916">
        <f t="shared" ref="P14:P19" si="18">($D14/$E14)*Q14</f>
        <v>0</v>
      </c>
      <c r="Q14" s="454">
        <f>N14+'Table 9a'!AD13</f>
        <v>0.37</v>
      </c>
      <c r="R14" s="827">
        <f t="shared" ref="R14:R19" si="19">T14-S14</f>
        <v>0.38</v>
      </c>
      <c r="S14" s="916">
        <f t="shared" ref="S14:S19" si="20">($D14/$E14)*T14</f>
        <v>0</v>
      </c>
      <c r="T14" s="454">
        <f>Q14+'Table 9a'!AE13</f>
        <v>0.38</v>
      </c>
      <c r="U14" s="827">
        <f t="shared" ref="U14:U24" si="21">W14-V14</f>
        <v>0.39</v>
      </c>
      <c r="V14" s="916">
        <f t="shared" ref="V14:V16" si="22">($D14/$E14)*W14</f>
        <v>0</v>
      </c>
      <c r="W14" s="454">
        <f>T14+'Table 9a'!AF13</f>
        <v>0.39</v>
      </c>
      <c r="X14" s="1233">
        <f t="shared" si="0"/>
        <v>0.26</v>
      </c>
      <c r="Z14" s="1599">
        <f t="shared" si="1"/>
        <v>0.08</v>
      </c>
    </row>
    <row r="15" spans="1:26">
      <c r="A15" s="455" t="s">
        <v>22</v>
      </c>
      <c r="B15" s="1075" t="s">
        <v>17</v>
      </c>
      <c r="C15" s="883">
        <f t="shared" si="10"/>
        <v>0.41</v>
      </c>
      <c r="D15" s="884">
        <v>0</v>
      </c>
      <c r="E15" s="392">
        <f>'Table 9a'!D14</f>
        <v>0.41</v>
      </c>
      <c r="F15" s="885">
        <f t="shared" si="11"/>
        <v>0.42</v>
      </c>
      <c r="G15" s="321">
        <f t="shared" si="12"/>
        <v>0</v>
      </c>
      <c r="H15" s="1753">
        <f>E15+'Table 9a'!AA14</f>
        <v>0.42</v>
      </c>
      <c r="I15" s="883">
        <f t="shared" si="13"/>
        <v>0.44</v>
      </c>
      <c r="J15" s="884">
        <f t="shared" si="14"/>
        <v>0</v>
      </c>
      <c r="K15" s="392">
        <f>H15+'Table 9a'!AB14</f>
        <v>0.44</v>
      </c>
      <c r="L15" s="883">
        <f t="shared" si="15"/>
        <v>0.46</v>
      </c>
      <c r="M15" s="321">
        <f t="shared" si="16"/>
        <v>0</v>
      </c>
      <c r="N15" s="914">
        <f>K15+'Table 9a'!AC14</f>
        <v>0.46</v>
      </c>
      <c r="O15" s="915">
        <f t="shared" si="17"/>
        <v>0.47</v>
      </c>
      <c r="P15" s="916">
        <f t="shared" si="18"/>
        <v>0</v>
      </c>
      <c r="Q15" s="454">
        <f>N15+'Table 9a'!AD14</f>
        <v>0.47</v>
      </c>
      <c r="R15" s="827">
        <f t="shared" si="19"/>
        <v>0.48</v>
      </c>
      <c r="S15" s="916">
        <f t="shared" si="20"/>
        <v>0</v>
      </c>
      <c r="T15" s="454">
        <f>Q15+'Table 9a'!AE14</f>
        <v>0.48</v>
      </c>
      <c r="U15" s="827">
        <f t="shared" si="21"/>
        <v>0.49</v>
      </c>
      <c r="V15" s="916">
        <f t="shared" si="22"/>
        <v>0</v>
      </c>
      <c r="W15" s="454">
        <f>T15+'Table 9a'!AF14</f>
        <v>0.49</v>
      </c>
      <c r="X15" s="1233">
        <f t="shared" si="0"/>
        <v>0.2</v>
      </c>
      <c r="Z15" s="1599">
        <f t="shared" si="1"/>
        <v>0.08</v>
      </c>
    </row>
    <row r="16" spans="1:26">
      <c r="A16" s="455" t="s">
        <v>589</v>
      </c>
      <c r="B16" s="1075" t="s">
        <v>15</v>
      </c>
      <c r="C16" s="883">
        <f t="shared" si="10"/>
        <v>14.16</v>
      </c>
      <c r="D16" s="884">
        <v>0.79</v>
      </c>
      <c r="E16" s="392">
        <f>'Table 9a'!D15</f>
        <v>14.95</v>
      </c>
      <c r="F16" s="885">
        <f t="shared" si="11"/>
        <v>15.07</v>
      </c>
      <c r="G16" s="321">
        <f t="shared" si="12"/>
        <v>0.84</v>
      </c>
      <c r="H16" s="1753">
        <f>E16+'Table 9a'!AA15</f>
        <v>15.91</v>
      </c>
      <c r="I16" s="883">
        <f t="shared" si="13"/>
        <v>16.02</v>
      </c>
      <c r="J16" s="884">
        <f t="shared" si="14"/>
        <v>0.89</v>
      </c>
      <c r="K16" s="392">
        <f>H16+'Table 9a'!AB15</f>
        <v>16.91</v>
      </c>
      <c r="L16" s="883">
        <f t="shared" si="15"/>
        <v>16.75</v>
      </c>
      <c r="M16" s="321">
        <f t="shared" si="16"/>
        <v>0.93</v>
      </c>
      <c r="N16" s="914">
        <f>K16+'Table 9a'!AC15</f>
        <v>17.68</v>
      </c>
      <c r="O16" s="915">
        <f t="shared" si="17"/>
        <v>17.38</v>
      </c>
      <c r="P16" s="916">
        <f t="shared" si="18"/>
        <v>0.97</v>
      </c>
      <c r="Q16" s="454">
        <f>N16+'Table 9a'!AD15</f>
        <v>18.350000000000001</v>
      </c>
      <c r="R16" s="827">
        <f t="shared" si="19"/>
        <v>17.899999999999999</v>
      </c>
      <c r="S16" s="916">
        <f t="shared" si="20"/>
        <v>1</v>
      </c>
      <c r="T16" s="454">
        <f>Q16+'Table 9a'!AE15</f>
        <v>18.899999999999999</v>
      </c>
      <c r="U16" s="827">
        <f t="shared" si="21"/>
        <v>18.350000000000001</v>
      </c>
      <c r="V16" s="916">
        <f t="shared" si="22"/>
        <v>1.02</v>
      </c>
      <c r="W16" s="454">
        <f>T16+'Table 9a'!AF15</f>
        <v>19.37</v>
      </c>
      <c r="X16" s="1233">
        <f t="shared" si="0"/>
        <v>0.3</v>
      </c>
      <c r="Z16" s="1599">
        <f t="shared" si="1"/>
        <v>4.42</v>
      </c>
    </row>
    <row r="17" spans="1:26">
      <c r="A17" s="455" t="s">
        <v>309</v>
      </c>
      <c r="B17" s="1075" t="s">
        <v>15</v>
      </c>
      <c r="C17" s="883">
        <f t="shared" si="10"/>
        <v>0.26</v>
      </c>
      <c r="D17" s="884">
        <v>0</v>
      </c>
      <c r="E17" s="392">
        <f>'Table 9a'!D16</f>
        <v>0.26</v>
      </c>
      <c r="F17" s="885">
        <f t="shared" si="11"/>
        <v>0.27</v>
      </c>
      <c r="G17" s="321">
        <v>0</v>
      </c>
      <c r="H17" s="1753">
        <f>E17+'Table 9a'!AA16</f>
        <v>0.27</v>
      </c>
      <c r="I17" s="883">
        <f t="shared" si="13"/>
        <v>0.28000000000000003</v>
      </c>
      <c r="J17" s="884">
        <v>0</v>
      </c>
      <c r="K17" s="392">
        <f>H17+'Table 9a'!AB16</f>
        <v>0.28000000000000003</v>
      </c>
      <c r="L17" s="883">
        <f t="shared" si="15"/>
        <v>0.28999999999999998</v>
      </c>
      <c r="M17" s="321">
        <v>0</v>
      </c>
      <c r="N17" s="914">
        <f>K17+'Table 9a'!AC16</f>
        <v>0.28999999999999998</v>
      </c>
      <c r="O17" s="915">
        <f t="shared" si="17"/>
        <v>0.3</v>
      </c>
      <c r="P17" s="916">
        <v>0</v>
      </c>
      <c r="Q17" s="454">
        <f>N17+'Table 9a'!AD16</f>
        <v>0.3</v>
      </c>
      <c r="R17" s="827">
        <f t="shared" si="19"/>
        <v>0.31</v>
      </c>
      <c r="S17" s="916">
        <v>0</v>
      </c>
      <c r="T17" s="454">
        <f>Q17+'Table 9a'!AE16</f>
        <v>0.31</v>
      </c>
      <c r="U17" s="827">
        <f t="shared" si="21"/>
        <v>0.31</v>
      </c>
      <c r="V17" s="916">
        <v>0</v>
      </c>
      <c r="W17" s="454">
        <f>T17+'Table 9a'!AF16</f>
        <v>0.31</v>
      </c>
      <c r="X17" s="1898">
        <f t="shared" si="0"/>
        <v>0.19</v>
      </c>
      <c r="Z17" s="1599">
        <f t="shared" si="1"/>
        <v>0.05</v>
      </c>
    </row>
    <row r="18" spans="1:26">
      <c r="A18" s="456" t="s">
        <v>25</v>
      </c>
      <c r="B18" s="662" t="s">
        <v>17</v>
      </c>
      <c r="C18" s="923">
        <f t="shared" si="10"/>
        <v>0.37</v>
      </c>
      <c r="D18" s="1866">
        <v>0</v>
      </c>
      <c r="E18" s="358">
        <f>'Table 9a'!D17</f>
        <v>0.37</v>
      </c>
      <c r="F18" s="1046">
        <f t="shared" si="11"/>
        <v>0.4</v>
      </c>
      <c r="G18" s="1867">
        <f t="shared" si="12"/>
        <v>0</v>
      </c>
      <c r="H18" s="1899">
        <f>E18+'Table 9a'!AA17</f>
        <v>0.4</v>
      </c>
      <c r="I18" s="923">
        <f t="shared" si="13"/>
        <v>0.42</v>
      </c>
      <c r="J18" s="1866">
        <f t="shared" si="14"/>
        <v>0</v>
      </c>
      <c r="K18" s="358">
        <f>H18+'Table 9a'!AB17</f>
        <v>0.42</v>
      </c>
      <c r="L18" s="923">
        <f t="shared" si="15"/>
        <v>0.44</v>
      </c>
      <c r="M18" s="1867">
        <f t="shared" si="16"/>
        <v>0</v>
      </c>
      <c r="N18" s="1868">
        <f>K18+'Table 9a'!AC17</f>
        <v>0.44</v>
      </c>
      <c r="O18" s="1136">
        <f t="shared" si="17"/>
        <v>0.46</v>
      </c>
      <c r="P18" s="1055">
        <f t="shared" si="18"/>
        <v>0</v>
      </c>
      <c r="Q18" s="522">
        <f>N18+'Table 9a'!AD17</f>
        <v>0.46</v>
      </c>
      <c r="R18" s="1050">
        <f t="shared" si="19"/>
        <v>0.47</v>
      </c>
      <c r="S18" s="1055">
        <f t="shared" si="20"/>
        <v>0</v>
      </c>
      <c r="T18" s="522">
        <f>Q18+'Table 9a'!AE17</f>
        <v>0.47</v>
      </c>
      <c r="U18" s="1050">
        <f t="shared" si="21"/>
        <v>0.48</v>
      </c>
      <c r="V18" s="1055">
        <f t="shared" ref="V18:V24" si="23">($D18/$E18)*W18</f>
        <v>0</v>
      </c>
      <c r="W18" s="522">
        <f>T18+'Table 9a'!AF17</f>
        <v>0.48</v>
      </c>
      <c r="X18" s="1233">
        <f t="shared" si="0"/>
        <v>0.3</v>
      </c>
      <c r="Z18" s="1742">
        <f t="shared" si="1"/>
        <v>0.11</v>
      </c>
    </row>
    <row r="19" spans="1:26">
      <c r="A19" s="456" t="s">
        <v>26</v>
      </c>
      <c r="B19" s="662" t="s">
        <v>17</v>
      </c>
      <c r="C19" s="923">
        <f t="shared" si="10"/>
        <v>22.94</v>
      </c>
      <c r="D19" s="1866">
        <v>17.190000000000001</v>
      </c>
      <c r="E19" s="358">
        <v>40.130000000000003</v>
      </c>
      <c r="F19" s="1046">
        <f t="shared" si="11"/>
        <v>22.94</v>
      </c>
      <c r="G19" s="1867">
        <f t="shared" si="12"/>
        <v>17.190000000000001</v>
      </c>
      <c r="H19" s="1899">
        <f>E19+'Table 9a'!AA18</f>
        <v>40.130000000000003</v>
      </c>
      <c r="I19" s="923">
        <f t="shared" si="13"/>
        <v>22.94</v>
      </c>
      <c r="J19" s="1866">
        <f t="shared" si="14"/>
        <v>17.190000000000001</v>
      </c>
      <c r="K19" s="358">
        <f>H19+'Table 9a'!AB18</f>
        <v>40.130000000000003</v>
      </c>
      <c r="L19" s="923">
        <f t="shared" si="15"/>
        <v>22.94</v>
      </c>
      <c r="M19" s="1867">
        <f t="shared" si="16"/>
        <v>17.190000000000001</v>
      </c>
      <c r="N19" s="1868">
        <f>K19+'Table 9a'!AC18</f>
        <v>40.130000000000003</v>
      </c>
      <c r="O19" s="1136">
        <f t="shared" si="17"/>
        <v>22.94</v>
      </c>
      <c r="P19" s="1055">
        <f t="shared" si="18"/>
        <v>17.190000000000001</v>
      </c>
      <c r="Q19" s="522">
        <f>N19+'Table 9a'!AD18</f>
        <v>40.130000000000003</v>
      </c>
      <c r="R19" s="1050">
        <f t="shared" si="19"/>
        <v>22.94</v>
      </c>
      <c r="S19" s="1055">
        <f t="shared" si="20"/>
        <v>17.190000000000001</v>
      </c>
      <c r="T19" s="522">
        <f>Q19+'Table 9a'!AE18</f>
        <v>40.130000000000003</v>
      </c>
      <c r="U19" s="1050">
        <f t="shared" si="21"/>
        <v>22.94</v>
      </c>
      <c r="V19" s="1055">
        <f t="shared" si="23"/>
        <v>17.190000000000001</v>
      </c>
      <c r="W19" s="522">
        <f>T19+'Table 9a'!AF18</f>
        <v>40.130000000000003</v>
      </c>
      <c r="X19" s="1233">
        <f t="shared" si="0"/>
        <v>0</v>
      </c>
      <c r="Z19" s="1742">
        <f t="shared" si="1"/>
        <v>0</v>
      </c>
    </row>
    <row r="20" spans="1:26">
      <c r="A20" s="455" t="s">
        <v>322</v>
      </c>
      <c r="B20" s="1075" t="s">
        <v>15</v>
      </c>
      <c r="C20" s="883">
        <f t="shared" si="10"/>
        <v>33.06</v>
      </c>
      <c r="D20" s="884">
        <v>0.05</v>
      </c>
      <c r="E20" s="392">
        <v>33.11</v>
      </c>
      <c r="F20" s="885">
        <f t="shared" ref="F20:F24" si="24">H20-G20</f>
        <v>33.090000000000003</v>
      </c>
      <c r="G20" s="321">
        <f t="shared" ref="G20:G24" si="25">($D20/$E20)*H20</f>
        <v>0.05</v>
      </c>
      <c r="H20" s="1753">
        <f>E20+'Table 9a'!AA19</f>
        <v>33.14</v>
      </c>
      <c r="I20" s="883">
        <f t="shared" ref="I20:I24" si="26">K20-J20</f>
        <v>33.130000000000003</v>
      </c>
      <c r="J20" s="884">
        <f t="shared" ref="J20:J24" si="27">($D20/$E20)*K20</f>
        <v>0.05</v>
      </c>
      <c r="K20" s="392">
        <f>H20+'Table 9a'!AB19</f>
        <v>33.18</v>
      </c>
      <c r="L20" s="883">
        <f t="shared" ref="L20:L24" si="28">N20-M20</f>
        <v>33.159999999999997</v>
      </c>
      <c r="M20" s="321">
        <f t="shared" ref="M20:M24" si="29">($D20/$E20)*N20</f>
        <v>0.05</v>
      </c>
      <c r="N20" s="914">
        <f>K20+'Table 9a'!AC19</f>
        <v>33.21</v>
      </c>
      <c r="O20" s="915">
        <f t="shared" ref="O20:O24" si="30">Q20-P20</f>
        <v>33.18</v>
      </c>
      <c r="P20" s="916">
        <f t="shared" ref="P20:P24" si="31">($D20/$E20)*Q20</f>
        <v>0.05</v>
      </c>
      <c r="Q20" s="454">
        <f>N20+'Table 9a'!AD19</f>
        <v>33.229999999999997</v>
      </c>
      <c r="R20" s="827">
        <f t="shared" ref="R20:R24" si="32">T20-S20</f>
        <v>33.200000000000003</v>
      </c>
      <c r="S20" s="916">
        <f t="shared" ref="S20:S24" si="33">($D20/$E20)*T20</f>
        <v>0.05</v>
      </c>
      <c r="T20" s="454">
        <f>Q20+'Table 9a'!AE19</f>
        <v>33.25</v>
      </c>
      <c r="U20" s="827">
        <f t="shared" si="21"/>
        <v>33.22</v>
      </c>
      <c r="V20" s="916">
        <f t="shared" si="23"/>
        <v>0.05</v>
      </c>
      <c r="W20" s="454">
        <f>T20+'Table 9a'!AF19</f>
        <v>33.270000000000003</v>
      </c>
      <c r="X20" s="1233">
        <f t="shared" si="0"/>
        <v>0</v>
      </c>
      <c r="Z20" s="1599">
        <f t="shared" si="1"/>
        <v>0.16</v>
      </c>
    </row>
    <row r="21" spans="1:26">
      <c r="A21" s="455" t="s">
        <v>326</v>
      </c>
      <c r="B21" s="1075" t="s">
        <v>15</v>
      </c>
      <c r="C21" s="883">
        <f t="shared" si="10"/>
        <v>3.69</v>
      </c>
      <c r="D21" s="884">
        <v>23.85</v>
      </c>
      <c r="E21" s="392">
        <v>27.54</v>
      </c>
      <c r="F21" s="885">
        <f t="shared" si="24"/>
        <v>3.69</v>
      </c>
      <c r="G21" s="321">
        <f t="shared" si="25"/>
        <v>23.87</v>
      </c>
      <c r="H21" s="1753">
        <f>E21+'Table 9a'!AA20</f>
        <v>27.56</v>
      </c>
      <c r="I21" s="883">
        <f t="shared" si="26"/>
        <v>3.69</v>
      </c>
      <c r="J21" s="884">
        <f t="shared" si="27"/>
        <v>23.88</v>
      </c>
      <c r="K21" s="392">
        <f>H21+'Table 9a'!AB20</f>
        <v>27.57</v>
      </c>
      <c r="L21" s="883">
        <f t="shared" si="28"/>
        <v>3.69</v>
      </c>
      <c r="M21" s="321">
        <f t="shared" si="29"/>
        <v>23.88</v>
      </c>
      <c r="N21" s="914">
        <f>K21+'Table 9a'!AC20</f>
        <v>27.57</v>
      </c>
      <c r="O21" s="915">
        <f t="shared" si="30"/>
        <v>3.7</v>
      </c>
      <c r="P21" s="916">
        <f t="shared" si="31"/>
        <v>23.88</v>
      </c>
      <c r="Q21" s="454">
        <f>N21+'Table 9a'!AD20</f>
        <v>27.58</v>
      </c>
      <c r="R21" s="827">
        <f t="shared" si="32"/>
        <v>3.7</v>
      </c>
      <c r="S21" s="916">
        <f t="shared" si="33"/>
        <v>23.89</v>
      </c>
      <c r="T21" s="454">
        <f>Q21+'Table 9a'!AE20</f>
        <v>27.59</v>
      </c>
      <c r="U21" s="827">
        <f t="shared" si="21"/>
        <v>3.7</v>
      </c>
      <c r="V21" s="916">
        <f t="shared" si="23"/>
        <v>23.9</v>
      </c>
      <c r="W21" s="454">
        <f>T21+'Table 9a'!AF20</f>
        <v>27.6</v>
      </c>
      <c r="X21" s="1233">
        <f t="shared" si="0"/>
        <v>0</v>
      </c>
      <c r="Z21" s="1599">
        <f t="shared" si="1"/>
        <v>0.06</v>
      </c>
    </row>
    <row r="22" spans="1:26">
      <c r="A22" s="455" t="s">
        <v>330</v>
      </c>
      <c r="B22" s="1075" t="s">
        <v>15</v>
      </c>
      <c r="C22" s="883">
        <f t="shared" si="10"/>
        <v>0.56000000000000005</v>
      </c>
      <c r="D22" s="884">
        <v>0.2</v>
      </c>
      <c r="E22" s="392">
        <f>'Table 9a'!D21</f>
        <v>0.76</v>
      </c>
      <c r="F22" s="885">
        <f t="shared" si="24"/>
        <v>0.64</v>
      </c>
      <c r="G22" s="321">
        <f t="shared" si="25"/>
        <v>0.23</v>
      </c>
      <c r="H22" s="1753">
        <f>E22+'Table 9a'!AA21</f>
        <v>0.87</v>
      </c>
      <c r="I22" s="883">
        <f t="shared" si="26"/>
        <v>0.74</v>
      </c>
      <c r="J22" s="884">
        <f t="shared" si="27"/>
        <v>0.27</v>
      </c>
      <c r="K22" s="392">
        <f>H22+'Table 9a'!AB21</f>
        <v>1.01</v>
      </c>
      <c r="L22" s="883">
        <f t="shared" si="28"/>
        <v>0.83</v>
      </c>
      <c r="M22" s="321">
        <f t="shared" si="29"/>
        <v>0.3</v>
      </c>
      <c r="N22" s="914">
        <f>K22+'Table 9a'!AC21</f>
        <v>1.1299999999999999</v>
      </c>
      <c r="O22" s="915">
        <f t="shared" si="30"/>
        <v>0.9</v>
      </c>
      <c r="P22" s="916">
        <f t="shared" si="31"/>
        <v>0.32</v>
      </c>
      <c r="Q22" s="454">
        <f>N22+'Table 9a'!AD21</f>
        <v>1.22</v>
      </c>
      <c r="R22" s="827">
        <f t="shared" si="32"/>
        <v>0.97</v>
      </c>
      <c r="S22" s="916">
        <f t="shared" si="33"/>
        <v>0.34</v>
      </c>
      <c r="T22" s="454">
        <f>Q22+'Table 9a'!AE21</f>
        <v>1.31</v>
      </c>
      <c r="U22" s="827">
        <f t="shared" si="21"/>
        <v>1.02</v>
      </c>
      <c r="V22" s="916">
        <f t="shared" si="23"/>
        <v>0.37</v>
      </c>
      <c r="W22" s="454">
        <f>T22+'Table 9a'!AF21</f>
        <v>1.39</v>
      </c>
      <c r="X22" s="1233">
        <f t="shared" si="0"/>
        <v>0.83</v>
      </c>
      <c r="Z22" s="1599">
        <f t="shared" si="1"/>
        <v>0.63</v>
      </c>
    </row>
    <row r="23" spans="1:26">
      <c r="A23" s="456" t="s">
        <v>30</v>
      </c>
      <c r="B23" s="662" t="s">
        <v>17</v>
      </c>
      <c r="C23" s="923">
        <f t="shared" si="10"/>
        <v>3.73</v>
      </c>
      <c r="D23" s="884">
        <v>0</v>
      </c>
      <c r="E23" s="358">
        <f>'Table 9a'!D22</f>
        <v>3.73</v>
      </c>
      <c r="F23" s="1046">
        <f t="shared" si="24"/>
        <v>3.94</v>
      </c>
      <c r="G23" s="1867">
        <f t="shared" si="25"/>
        <v>0</v>
      </c>
      <c r="H23" s="1899">
        <f>E23+'Table 9a'!AA22</f>
        <v>3.94</v>
      </c>
      <c r="I23" s="923">
        <f t="shared" si="26"/>
        <v>4.1500000000000004</v>
      </c>
      <c r="J23" s="1866">
        <f t="shared" si="27"/>
        <v>0</v>
      </c>
      <c r="K23" s="358">
        <f>H23+'Table 9a'!AB22</f>
        <v>4.1500000000000004</v>
      </c>
      <c r="L23" s="923">
        <f t="shared" si="28"/>
        <v>4.34</v>
      </c>
      <c r="M23" s="1867">
        <f t="shared" si="29"/>
        <v>0</v>
      </c>
      <c r="N23" s="1868">
        <f>K23+'Table 9a'!AC22</f>
        <v>4.34</v>
      </c>
      <c r="O23" s="1136">
        <f t="shared" si="30"/>
        <v>4.49</v>
      </c>
      <c r="P23" s="1055">
        <f t="shared" si="31"/>
        <v>0</v>
      </c>
      <c r="Q23" s="522">
        <f>N23+'Table 9a'!AD22</f>
        <v>4.49</v>
      </c>
      <c r="R23" s="1050">
        <f t="shared" si="32"/>
        <v>4.6100000000000003</v>
      </c>
      <c r="S23" s="1055">
        <f t="shared" si="33"/>
        <v>0</v>
      </c>
      <c r="T23" s="522">
        <f>Q23+'Table 9a'!AE22</f>
        <v>4.6100000000000003</v>
      </c>
      <c r="U23" s="1050">
        <f t="shared" si="21"/>
        <v>4.72</v>
      </c>
      <c r="V23" s="1055">
        <f t="shared" si="23"/>
        <v>0</v>
      </c>
      <c r="W23" s="522">
        <f>T23+'Table 9a'!AF22</f>
        <v>4.72</v>
      </c>
      <c r="X23" s="1233">
        <f t="shared" si="0"/>
        <v>0.27</v>
      </c>
      <c r="Z23" s="1742">
        <f t="shared" si="1"/>
        <v>0.99</v>
      </c>
    </row>
    <row r="24" spans="1:26" ht="13.5" thickBot="1">
      <c r="A24" s="579" t="s">
        <v>31</v>
      </c>
      <c r="B24" s="1850" t="s">
        <v>17</v>
      </c>
      <c r="C24" s="18">
        <f t="shared" si="10"/>
        <v>0.51</v>
      </c>
      <c r="D24" s="410">
        <v>0</v>
      </c>
      <c r="E24" s="50">
        <f>'Table 9a'!D23</f>
        <v>0.51</v>
      </c>
      <c r="F24" s="875">
        <f t="shared" si="24"/>
        <v>0.5</v>
      </c>
      <c r="G24" s="412">
        <f t="shared" si="25"/>
        <v>0</v>
      </c>
      <c r="H24" s="1150">
        <f>E24+'Table 9a'!AA23</f>
        <v>0.5</v>
      </c>
      <c r="I24" s="18">
        <f t="shared" si="26"/>
        <v>0.5</v>
      </c>
      <c r="J24" s="410">
        <f t="shared" si="27"/>
        <v>0</v>
      </c>
      <c r="K24" s="50">
        <f>H24+'Table 9a'!AB23</f>
        <v>0.5</v>
      </c>
      <c r="L24" s="18">
        <f t="shared" si="28"/>
        <v>0.5</v>
      </c>
      <c r="M24" s="412">
        <f t="shared" si="29"/>
        <v>0</v>
      </c>
      <c r="N24" s="876">
        <f>K24+'Table 9a'!AC23</f>
        <v>0.5</v>
      </c>
      <c r="O24" s="1137">
        <f t="shared" si="30"/>
        <v>0.5</v>
      </c>
      <c r="P24" s="531">
        <f t="shared" si="31"/>
        <v>0</v>
      </c>
      <c r="Q24" s="523">
        <f>N24+'Table 9a'!AD23</f>
        <v>0.5</v>
      </c>
      <c r="R24" s="467">
        <f t="shared" si="32"/>
        <v>0.5</v>
      </c>
      <c r="S24" s="531">
        <f t="shared" si="33"/>
        <v>0</v>
      </c>
      <c r="T24" s="523">
        <f>Q24+'Table 9a'!AE23</f>
        <v>0.5</v>
      </c>
      <c r="U24" s="467">
        <f t="shared" si="21"/>
        <v>0.5</v>
      </c>
      <c r="V24" s="531">
        <f t="shared" si="23"/>
        <v>0</v>
      </c>
      <c r="W24" s="523">
        <f>T24+'Table 9a'!AF23</f>
        <v>0.5</v>
      </c>
      <c r="X24" s="312">
        <f t="shared" si="0"/>
        <v>-0.02</v>
      </c>
      <c r="Z24" s="1741">
        <f t="shared" si="1"/>
        <v>-0.01</v>
      </c>
    </row>
    <row r="25" spans="1:26" s="22" customFormat="1" ht="14.25" thickTop="1" thickBot="1">
      <c r="A25" s="3231" t="s">
        <v>32</v>
      </c>
      <c r="B25" s="3232"/>
      <c r="C25" s="663">
        <f>C5+C8+C11+C14+C16+C17+C20+C21+C22</f>
        <v>52.3</v>
      </c>
      <c r="D25" s="318">
        <f t="shared" ref="D25:W25" si="34">D5+D8+D11+D14+D16+D17+D20+D21+D22</f>
        <v>25.16</v>
      </c>
      <c r="E25" s="565">
        <f t="shared" si="34"/>
        <v>77.459999999999994</v>
      </c>
      <c r="F25" s="663">
        <f t="shared" si="34"/>
        <v>53.35</v>
      </c>
      <c r="G25" s="316">
        <f t="shared" si="34"/>
        <v>25.27</v>
      </c>
      <c r="H25" s="317">
        <f t="shared" si="34"/>
        <v>78.62</v>
      </c>
      <c r="I25" s="663">
        <f t="shared" si="34"/>
        <v>54.48</v>
      </c>
      <c r="J25" s="316">
        <f t="shared" si="34"/>
        <v>25.38</v>
      </c>
      <c r="K25" s="317">
        <f t="shared" si="34"/>
        <v>79.86</v>
      </c>
      <c r="L25" s="663">
        <f t="shared" si="34"/>
        <v>55.36</v>
      </c>
      <c r="M25" s="316">
        <f t="shared" si="34"/>
        <v>25.46</v>
      </c>
      <c r="N25" s="353">
        <f t="shared" si="34"/>
        <v>80.819999999999993</v>
      </c>
      <c r="O25" s="639">
        <f t="shared" si="34"/>
        <v>56.12</v>
      </c>
      <c r="P25" s="483">
        <f t="shared" si="34"/>
        <v>25.53</v>
      </c>
      <c r="Q25" s="484">
        <f t="shared" si="34"/>
        <v>81.650000000000006</v>
      </c>
      <c r="R25" s="1149">
        <f t="shared" si="34"/>
        <v>56.75</v>
      </c>
      <c r="S25" s="554">
        <f t="shared" si="34"/>
        <v>25.6</v>
      </c>
      <c r="T25" s="639">
        <f t="shared" si="34"/>
        <v>82.35</v>
      </c>
      <c r="U25" s="1149">
        <f t="shared" si="34"/>
        <v>57.29</v>
      </c>
      <c r="V25" s="554">
        <f t="shared" si="34"/>
        <v>25.66</v>
      </c>
      <c r="W25" s="639">
        <f t="shared" si="34"/>
        <v>82.95</v>
      </c>
      <c r="X25" s="311">
        <f t="shared" si="0"/>
        <v>7.0000000000000007E-2</v>
      </c>
      <c r="Z25" s="1596">
        <f t="shared" si="1"/>
        <v>5.49</v>
      </c>
    </row>
    <row r="26" spans="1:26" s="22" customFormat="1" ht="13.5" thickBot="1">
      <c r="A26" s="3229" t="s">
        <v>33</v>
      </c>
      <c r="B26" s="3230"/>
      <c r="C26" s="665">
        <f>C6+C9+C12+C15+C18+C19+C23+C24</f>
        <v>29.57</v>
      </c>
      <c r="D26" s="501">
        <f t="shared" ref="D26:W26" si="35">D6+D9+D12+D15+D18+D19+D23+D24</f>
        <v>17.190000000000001</v>
      </c>
      <c r="E26" s="575">
        <f t="shared" si="35"/>
        <v>46.76</v>
      </c>
      <c r="F26" s="665">
        <f t="shared" si="35"/>
        <v>29.9</v>
      </c>
      <c r="G26" s="504">
        <f t="shared" si="35"/>
        <v>17.190000000000001</v>
      </c>
      <c r="H26" s="505">
        <f t="shared" si="35"/>
        <v>47.09</v>
      </c>
      <c r="I26" s="665">
        <f t="shared" si="35"/>
        <v>30.2</v>
      </c>
      <c r="J26" s="504">
        <f t="shared" si="35"/>
        <v>17.190000000000001</v>
      </c>
      <c r="K26" s="505">
        <f t="shared" si="35"/>
        <v>47.39</v>
      </c>
      <c r="L26" s="665">
        <f t="shared" si="35"/>
        <v>30.48</v>
      </c>
      <c r="M26" s="504">
        <f t="shared" si="35"/>
        <v>17.190000000000001</v>
      </c>
      <c r="N26" s="525">
        <f t="shared" si="35"/>
        <v>47.67</v>
      </c>
      <c r="O26" s="651">
        <f t="shared" si="35"/>
        <v>30.72</v>
      </c>
      <c r="P26" s="494">
        <f t="shared" si="35"/>
        <v>17.190000000000001</v>
      </c>
      <c r="Q26" s="495">
        <f t="shared" si="35"/>
        <v>47.91</v>
      </c>
      <c r="R26" s="666">
        <f t="shared" si="35"/>
        <v>30.9</v>
      </c>
      <c r="S26" s="561">
        <f t="shared" si="35"/>
        <v>17.190000000000001</v>
      </c>
      <c r="T26" s="651">
        <f t="shared" si="35"/>
        <v>48.09</v>
      </c>
      <c r="U26" s="666">
        <f t="shared" si="35"/>
        <v>31.06</v>
      </c>
      <c r="V26" s="561">
        <f t="shared" si="35"/>
        <v>17.190000000000001</v>
      </c>
      <c r="W26" s="651">
        <f t="shared" si="35"/>
        <v>48.25</v>
      </c>
      <c r="X26" s="563">
        <f t="shared" si="0"/>
        <v>0.03</v>
      </c>
      <c r="Z26" s="1600">
        <f t="shared" si="1"/>
        <v>1.49</v>
      </c>
    </row>
    <row r="27" spans="1:26" s="22" customFormat="1" ht="13.5" thickBot="1">
      <c r="A27" s="3202" t="s">
        <v>34</v>
      </c>
      <c r="B27" s="3203"/>
      <c r="C27" s="664">
        <f>C25+C26</f>
        <v>81.87</v>
      </c>
      <c r="D27" s="536">
        <f t="shared" ref="D27:W27" si="36">D25+D26</f>
        <v>42.35</v>
      </c>
      <c r="E27" s="537">
        <f t="shared" si="36"/>
        <v>124.22</v>
      </c>
      <c r="F27" s="664">
        <f t="shared" si="36"/>
        <v>83.25</v>
      </c>
      <c r="G27" s="593">
        <f t="shared" si="36"/>
        <v>42.46</v>
      </c>
      <c r="H27" s="592">
        <f t="shared" si="36"/>
        <v>125.71</v>
      </c>
      <c r="I27" s="664">
        <f t="shared" si="36"/>
        <v>84.68</v>
      </c>
      <c r="J27" s="593">
        <f t="shared" si="36"/>
        <v>42.57</v>
      </c>
      <c r="K27" s="592">
        <f t="shared" si="36"/>
        <v>127.25</v>
      </c>
      <c r="L27" s="664">
        <f t="shared" si="36"/>
        <v>85.84</v>
      </c>
      <c r="M27" s="593">
        <f t="shared" si="36"/>
        <v>42.65</v>
      </c>
      <c r="N27" s="539">
        <f t="shared" si="36"/>
        <v>128.49</v>
      </c>
      <c r="O27" s="646">
        <f t="shared" si="36"/>
        <v>86.84</v>
      </c>
      <c r="P27" s="536">
        <f t="shared" si="36"/>
        <v>42.72</v>
      </c>
      <c r="Q27" s="667">
        <f t="shared" si="36"/>
        <v>129.56</v>
      </c>
      <c r="R27" s="664">
        <f t="shared" si="36"/>
        <v>87.65</v>
      </c>
      <c r="S27" s="593">
        <f t="shared" si="36"/>
        <v>42.79</v>
      </c>
      <c r="T27" s="592">
        <f t="shared" si="36"/>
        <v>130.44</v>
      </c>
      <c r="U27" s="664">
        <f t="shared" si="36"/>
        <v>88.35</v>
      </c>
      <c r="V27" s="593">
        <f t="shared" si="36"/>
        <v>42.85</v>
      </c>
      <c r="W27" s="592">
        <f t="shared" si="36"/>
        <v>131.19999999999999</v>
      </c>
      <c r="X27" s="223">
        <f t="shared" si="0"/>
        <v>0.06</v>
      </c>
      <c r="Z27" s="1580">
        <f t="shared" si="1"/>
        <v>6.98</v>
      </c>
    </row>
    <row r="28" spans="1:26">
      <c r="A28" s="89" t="s">
        <v>35</v>
      </c>
      <c r="E28" s="2"/>
      <c r="F28" s="2"/>
      <c r="G28" s="2"/>
    </row>
    <row r="29" spans="1:26">
      <c r="A29" s="1" t="s">
        <v>68</v>
      </c>
      <c r="B29" s="23"/>
      <c r="C29" s="23"/>
      <c r="D29" s="23"/>
      <c r="E29" s="23"/>
      <c r="F29" s="23"/>
      <c r="G29" s="23"/>
      <c r="H29" s="23"/>
      <c r="I29" s="23"/>
      <c r="J29" s="23"/>
      <c r="K29" s="23"/>
      <c r="L29" s="23"/>
      <c r="M29" s="23"/>
    </row>
    <row r="30" spans="1:26">
      <c r="A30" s="1" t="s">
        <v>69</v>
      </c>
      <c r="D30" s="23"/>
    </row>
    <row r="31" spans="1:26">
      <c r="A31" s="1" t="s">
        <v>615</v>
      </c>
    </row>
    <row r="32" spans="1:26">
      <c r="A32" s="2" t="s">
        <v>616</v>
      </c>
    </row>
    <row r="33" spans="1:26">
      <c r="A33" s="2" t="s">
        <v>617</v>
      </c>
    </row>
    <row r="35" spans="1:26" ht="13.5" customHeight="1" thickBot="1">
      <c r="A35" s="2" t="s">
        <v>618</v>
      </c>
      <c r="B35" s="2"/>
      <c r="C35" s="2"/>
      <c r="D35" s="2"/>
      <c r="E35" s="2"/>
      <c r="F35" s="2"/>
      <c r="G35" s="2"/>
      <c r="H35" s="2"/>
      <c r="I35" s="2"/>
      <c r="J35" s="2"/>
      <c r="K35" s="2"/>
      <c r="L35" s="2"/>
      <c r="M35" s="2"/>
      <c r="N35" s="2"/>
      <c r="O35" s="2"/>
      <c r="P35" s="2"/>
      <c r="Q35" s="2"/>
      <c r="R35" s="2"/>
      <c r="S35" s="2"/>
      <c r="T35" s="2"/>
      <c r="U35" s="2"/>
      <c r="V35" s="2"/>
      <c r="W35" s="2"/>
      <c r="X35" s="256"/>
      <c r="Y35" s="256"/>
      <c r="Z35" s="256"/>
    </row>
    <row r="36" spans="1:26" ht="15.75" customHeight="1" thickBot="1">
      <c r="A36" s="3204" t="s">
        <v>1</v>
      </c>
      <c r="B36" s="3206" t="s">
        <v>2</v>
      </c>
      <c r="C36" s="3221" t="s">
        <v>55</v>
      </c>
      <c r="D36" s="3222"/>
      <c r="E36" s="3223"/>
      <c r="F36" s="3221" t="s">
        <v>56</v>
      </c>
      <c r="G36" s="3222"/>
      <c r="H36" s="3222"/>
      <c r="I36" s="3222"/>
      <c r="J36" s="3222"/>
      <c r="K36" s="3222"/>
      <c r="L36" s="3222"/>
      <c r="M36" s="3222"/>
      <c r="N36" s="3222"/>
      <c r="O36" s="3222"/>
      <c r="P36" s="3222"/>
      <c r="Q36" s="3222"/>
      <c r="R36" s="3222"/>
      <c r="S36" s="3222"/>
      <c r="T36" s="3222"/>
      <c r="U36" s="3222"/>
      <c r="V36" s="3222"/>
      <c r="W36" s="3223"/>
      <c r="X36" s="3209" t="s">
        <v>57</v>
      </c>
      <c r="Z36" s="3209" t="s">
        <v>80</v>
      </c>
    </row>
    <row r="37" spans="1:26" ht="15" customHeight="1">
      <c r="A37" s="3205"/>
      <c r="B37" s="3207"/>
      <c r="C37" s="3212">
        <v>2015</v>
      </c>
      <c r="D37" s="3213"/>
      <c r="E37" s="3215"/>
      <c r="F37" s="3219">
        <v>2020</v>
      </c>
      <c r="G37" s="3213"/>
      <c r="H37" s="3214"/>
      <c r="I37" s="3212">
        <v>2025</v>
      </c>
      <c r="J37" s="3213"/>
      <c r="K37" s="3215"/>
      <c r="L37" s="3216">
        <v>2030</v>
      </c>
      <c r="M37" s="3217"/>
      <c r="N37" s="3218"/>
      <c r="O37" s="3417">
        <v>2035</v>
      </c>
      <c r="P37" s="3418"/>
      <c r="Q37" s="3419"/>
      <c r="R37" s="3212">
        <v>2040</v>
      </c>
      <c r="S37" s="3213"/>
      <c r="T37" s="3215"/>
      <c r="U37" s="3212">
        <v>2045</v>
      </c>
      <c r="V37" s="3213"/>
      <c r="W37" s="3215"/>
      <c r="X37" s="3228"/>
      <c r="Z37" s="3228"/>
    </row>
    <row r="38" spans="1:26" ht="15.75" customHeight="1" thickBot="1">
      <c r="A38" s="3485"/>
      <c r="B38" s="3208"/>
      <c r="C38" s="1655" t="s">
        <v>60</v>
      </c>
      <c r="D38" s="1017" t="s">
        <v>61</v>
      </c>
      <c r="E38" s="1659" t="s">
        <v>18</v>
      </c>
      <c r="F38" s="1669" t="s">
        <v>60</v>
      </c>
      <c r="G38" s="1657" t="s">
        <v>61</v>
      </c>
      <c r="H38" s="1661" t="s">
        <v>18</v>
      </c>
      <c r="I38" s="1655" t="s">
        <v>60</v>
      </c>
      <c r="J38" s="1017" t="s">
        <v>61</v>
      </c>
      <c r="K38" s="1659" t="s">
        <v>18</v>
      </c>
      <c r="L38" s="1655" t="s">
        <v>60</v>
      </c>
      <c r="M38" s="1657" t="s">
        <v>61</v>
      </c>
      <c r="N38" s="1658" t="s">
        <v>18</v>
      </c>
      <c r="O38" s="1669" t="s">
        <v>60</v>
      </c>
      <c r="P38" s="1017" t="s">
        <v>61</v>
      </c>
      <c r="Q38" s="1659" t="s">
        <v>18</v>
      </c>
      <c r="R38" s="1655" t="s">
        <v>60</v>
      </c>
      <c r="S38" s="1017" t="s">
        <v>61</v>
      </c>
      <c r="T38" s="1659" t="s">
        <v>18</v>
      </c>
      <c r="U38" s="1655" t="s">
        <v>60</v>
      </c>
      <c r="V38" s="1017" t="s">
        <v>61</v>
      </c>
      <c r="W38" s="1659" t="s">
        <v>18</v>
      </c>
      <c r="X38" s="3211"/>
      <c r="Z38" s="3464"/>
    </row>
    <row r="39" spans="1:26">
      <c r="A39" s="443" t="s">
        <v>46</v>
      </c>
      <c r="B39" s="507" t="s">
        <v>17</v>
      </c>
      <c r="C39" s="9">
        <f t="shared" ref="C39:C44" si="37">E39-D39</f>
        <v>0.2</v>
      </c>
      <c r="D39" s="7">
        <v>0</v>
      </c>
      <c r="E39" s="53">
        <f>'Table 9a'!D38</f>
        <v>0.2</v>
      </c>
      <c r="F39" s="6">
        <f t="shared" ref="F39:F44" si="38">H39-G39</f>
        <v>0.2</v>
      </c>
      <c r="G39" s="10">
        <v>0</v>
      </c>
      <c r="H39" s="1752">
        <f>E39+'Table 9a'!AA38</f>
        <v>0.2</v>
      </c>
      <c r="I39" s="9">
        <f t="shared" ref="I39:I44" si="39">K39-J39</f>
        <v>0.2</v>
      </c>
      <c r="J39" s="7">
        <v>0</v>
      </c>
      <c r="K39" s="53">
        <f>H39+'Table 9a'!AB38</f>
        <v>0.2</v>
      </c>
      <c r="L39" s="9">
        <f t="shared" ref="L39:L44" si="40">N39-M39</f>
        <v>0.2</v>
      </c>
      <c r="M39" s="10">
        <v>0</v>
      </c>
      <c r="N39" s="11">
        <f>K39+'Table 9a'!AC38</f>
        <v>0.2</v>
      </c>
      <c r="O39" s="1121">
        <f t="shared" ref="O39:O44" si="41">Q39-P39</f>
        <v>0.2</v>
      </c>
      <c r="P39" s="1122">
        <v>0</v>
      </c>
      <c r="Q39" s="1123">
        <f>N39+'Table 9a'!AD38</f>
        <v>0.2</v>
      </c>
      <c r="R39" s="1124">
        <f t="shared" ref="R39:R44" si="42">T39-S39</f>
        <v>0.2</v>
      </c>
      <c r="S39" s="1122">
        <v>0</v>
      </c>
      <c r="T39" s="1024">
        <f>Q39+'Table 9a'!AE38</f>
        <v>0.2</v>
      </c>
      <c r="U39" s="1124">
        <f t="shared" ref="U39:U44" si="43">W39-V39</f>
        <v>0.2</v>
      </c>
      <c r="V39" s="1122">
        <v>0</v>
      </c>
      <c r="W39" s="1024">
        <f>T39+'Table 9a'!AF38</f>
        <v>0.2</v>
      </c>
      <c r="X39" s="1751">
        <f t="shared" ref="X39:X45" si="44">(W39-E39)/E39</f>
        <v>0</v>
      </c>
      <c r="Z39" s="1597">
        <f>W39-E39</f>
        <v>0</v>
      </c>
    </row>
    <row r="40" spans="1:26">
      <c r="A40" s="455" t="s">
        <v>47</v>
      </c>
      <c r="B40" s="1075" t="s">
        <v>17</v>
      </c>
      <c r="C40" s="883">
        <f t="shared" si="37"/>
        <v>0.16</v>
      </c>
      <c r="D40" s="884">
        <v>0</v>
      </c>
      <c r="E40" s="392">
        <f>'Table 9a'!D39</f>
        <v>0.16</v>
      </c>
      <c r="F40" s="885">
        <f t="shared" si="38"/>
        <v>0.16</v>
      </c>
      <c r="G40" s="321">
        <f>($D40/$E40)*H40</f>
        <v>0</v>
      </c>
      <c r="H40" s="1753">
        <f>E40+'Table 9a'!AA39</f>
        <v>0.16</v>
      </c>
      <c r="I40" s="883">
        <f t="shared" si="39"/>
        <v>0.16</v>
      </c>
      <c r="J40" s="884">
        <f>($D40/$E40)*K40</f>
        <v>0</v>
      </c>
      <c r="K40" s="392">
        <f>H40+'Table 9a'!AB39</f>
        <v>0.16</v>
      </c>
      <c r="L40" s="883">
        <f t="shared" si="40"/>
        <v>0.16</v>
      </c>
      <c r="M40" s="321">
        <f>($D40/$E40)*N40</f>
        <v>0</v>
      </c>
      <c r="N40" s="914">
        <f>K40+'Table 9a'!AC39</f>
        <v>0.16</v>
      </c>
      <c r="O40" s="1139">
        <f t="shared" si="41"/>
        <v>0.16</v>
      </c>
      <c r="P40" s="1140">
        <f>($D40/$E40)*Q40</f>
        <v>0</v>
      </c>
      <c r="Q40" s="629">
        <f>N40+'Table 9a'!AD39</f>
        <v>0.16</v>
      </c>
      <c r="R40" s="1141">
        <f t="shared" si="42"/>
        <v>0.16</v>
      </c>
      <c r="S40" s="1140">
        <f>($D40/$E40)*T40</f>
        <v>0</v>
      </c>
      <c r="T40" s="633">
        <f>Q40+'Table 9a'!AE39</f>
        <v>0.16</v>
      </c>
      <c r="U40" s="1141">
        <f t="shared" si="43"/>
        <v>0.16</v>
      </c>
      <c r="V40" s="1140">
        <f>($D40/$E40)*W40</f>
        <v>0</v>
      </c>
      <c r="W40" s="633">
        <f>T40+'Table 9a'!AF39</f>
        <v>0.16</v>
      </c>
      <c r="X40" s="1754">
        <f t="shared" si="44"/>
        <v>0</v>
      </c>
      <c r="Y40" s="1" t="s">
        <v>36</v>
      </c>
      <c r="Z40" s="1599">
        <f t="shared" ref="Z40:Z45" si="45">W40-E40</f>
        <v>0</v>
      </c>
    </row>
    <row r="41" spans="1:26">
      <c r="A41" s="455" t="s">
        <v>48</v>
      </c>
      <c r="B41" s="1075" t="s">
        <v>17</v>
      </c>
      <c r="C41" s="883">
        <f t="shared" si="37"/>
        <v>0.33</v>
      </c>
      <c r="D41" s="884">
        <v>0</v>
      </c>
      <c r="E41" s="392">
        <f>'Table 9a'!D40</f>
        <v>0.33</v>
      </c>
      <c r="F41" s="885">
        <f t="shared" si="38"/>
        <v>0.35</v>
      </c>
      <c r="G41" s="321">
        <f>($D41/$E41)*H41</f>
        <v>0</v>
      </c>
      <c r="H41" s="1753">
        <f>E41+'Table 9a'!AA40</f>
        <v>0.35</v>
      </c>
      <c r="I41" s="883">
        <f t="shared" si="39"/>
        <v>0.37</v>
      </c>
      <c r="J41" s="884">
        <f>($D41/$E41)*K41</f>
        <v>0</v>
      </c>
      <c r="K41" s="392">
        <f>H41+'Table 9a'!AB40</f>
        <v>0.37</v>
      </c>
      <c r="L41" s="883">
        <f t="shared" si="40"/>
        <v>0.38</v>
      </c>
      <c r="M41" s="321">
        <f>($D41/$E41)*N41</f>
        <v>0</v>
      </c>
      <c r="N41" s="914">
        <f>K41+'Table 9a'!AC40</f>
        <v>0.38</v>
      </c>
      <c r="O41" s="1139">
        <f t="shared" si="41"/>
        <v>0.39</v>
      </c>
      <c r="P41" s="1140">
        <f>($D41/$E41)*Q41</f>
        <v>0</v>
      </c>
      <c r="Q41" s="629">
        <f>N41+'Table 9a'!AD40</f>
        <v>0.39</v>
      </c>
      <c r="R41" s="1141">
        <f t="shared" si="42"/>
        <v>0.4</v>
      </c>
      <c r="S41" s="1140">
        <f>($D41/$E41)*T41</f>
        <v>0</v>
      </c>
      <c r="T41" s="633">
        <f>Q41+'Table 9a'!AE40</f>
        <v>0.4</v>
      </c>
      <c r="U41" s="1141">
        <f t="shared" si="43"/>
        <v>0.41</v>
      </c>
      <c r="V41" s="1140">
        <f>($D41/$E41)*W41</f>
        <v>0</v>
      </c>
      <c r="W41" s="633">
        <f>T41+'Table 9a'!AF40</f>
        <v>0.41</v>
      </c>
      <c r="X41" s="1754">
        <f t="shared" si="44"/>
        <v>0.24</v>
      </c>
      <c r="Z41" s="1599">
        <f t="shared" si="45"/>
        <v>0.08</v>
      </c>
    </row>
    <row r="42" spans="1:26" s="22" customFormat="1">
      <c r="A42" s="458" t="s">
        <v>49</v>
      </c>
      <c r="B42" s="506" t="s">
        <v>17</v>
      </c>
      <c r="C42" s="158">
        <f t="shared" si="37"/>
        <v>0.16</v>
      </c>
      <c r="D42" s="354">
        <v>0</v>
      </c>
      <c r="E42" s="315">
        <f>'Table 9a'!D41</f>
        <v>0.16</v>
      </c>
      <c r="F42" s="569">
        <f t="shared" si="38"/>
        <v>0.16</v>
      </c>
      <c r="G42" s="355">
        <f>($D42/$E42)*H42</f>
        <v>0</v>
      </c>
      <c r="H42" s="317">
        <f>E42+'Table 9a'!AA41</f>
        <v>0.16</v>
      </c>
      <c r="I42" s="158">
        <f t="shared" si="39"/>
        <v>0.16</v>
      </c>
      <c r="J42" s="354">
        <f>($D42/$E42)*K42</f>
        <v>0</v>
      </c>
      <c r="K42" s="315">
        <f>H42+'Table 9a'!AB41</f>
        <v>0.16</v>
      </c>
      <c r="L42" s="158">
        <f t="shared" si="40"/>
        <v>0.16</v>
      </c>
      <c r="M42" s="355">
        <f>($D42/$E42)*N42</f>
        <v>0</v>
      </c>
      <c r="N42" s="353">
        <f>K42+'Table 9a'!AC41</f>
        <v>0.16</v>
      </c>
      <c r="O42" s="634">
        <f t="shared" si="41"/>
        <v>0.16</v>
      </c>
      <c r="P42" s="635">
        <f>($D42/$E42)*Q42</f>
        <v>0</v>
      </c>
      <c r="Q42" s="621">
        <f>N42+'Table 9a'!AD41</f>
        <v>0.16</v>
      </c>
      <c r="R42" s="636">
        <f t="shared" si="42"/>
        <v>0.16</v>
      </c>
      <c r="S42" s="635">
        <f>($D42/$E42)*T42</f>
        <v>0</v>
      </c>
      <c r="T42" s="638">
        <f>Q42+'Table 9a'!AE41</f>
        <v>0.16</v>
      </c>
      <c r="U42" s="636">
        <f t="shared" si="43"/>
        <v>0.16</v>
      </c>
      <c r="V42" s="635">
        <f>($D42/$E42)*W42</f>
        <v>0</v>
      </c>
      <c r="W42" s="638">
        <f>T42+'Table 9a'!AF41</f>
        <v>0.16</v>
      </c>
      <c r="X42" s="1755">
        <f t="shared" si="44"/>
        <v>0</v>
      </c>
      <c r="Y42" s="22" t="s">
        <v>36</v>
      </c>
      <c r="Z42" s="1602">
        <f t="shared" si="45"/>
        <v>0</v>
      </c>
    </row>
    <row r="43" spans="1:26" s="22" customFormat="1">
      <c r="A43" s="455" t="s">
        <v>50</v>
      </c>
      <c r="B43" s="1075" t="s">
        <v>17</v>
      </c>
      <c r="C43" s="883">
        <f t="shared" si="37"/>
        <v>1</v>
      </c>
      <c r="D43" s="884">
        <v>0</v>
      </c>
      <c r="E43" s="392">
        <f>'Table 9a'!D42</f>
        <v>1</v>
      </c>
      <c r="F43" s="885">
        <f t="shared" si="38"/>
        <v>1.01</v>
      </c>
      <c r="G43" s="321">
        <f>($D43/$E43)*H43</f>
        <v>0</v>
      </c>
      <c r="H43" s="1753">
        <f>E43+'Table 9a'!AA42</f>
        <v>1.01</v>
      </c>
      <c r="I43" s="883">
        <f t="shared" si="39"/>
        <v>1.03</v>
      </c>
      <c r="J43" s="884">
        <f>($D43/$E43)*K43</f>
        <v>0</v>
      </c>
      <c r="K43" s="392">
        <f>H43+'Table 9a'!AB42</f>
        <v>1.03</v>
      </c>
      <c r="L43" s="883">
        <f t="shared" si="40"/>
        <v>1.04</v>
      </c>
      <c r="M43" s="321">
        <f>($D43/$E43)*N43</f>
        <v>0</v>
      </c>
      <c r="N43" s="914">
        <f>K43+'Table 9a'!AC42</f>
        <v>1.04</v>
      </c>
      <c r="O43" s="1139">
        <f t="shared" si="41"/>
        <v>1.05</v>
      </c>
      <c r="P43" s="1140">
        <f>($D43/$E43)*Q43</f>
        <v>0</v>
      </c>
      <c r="Q43" s="629">
        <f>N43+'Table 9a'!AD42</f>
        <v>1.05</v>
      </c>
      <c r="R43" s="1141">
        <f t="shared" si="42"/>
        <v>1.06</v>
      </c>
      <c r="S43" s="1140">
        <f>($D43/$E43)*T43</f>
        <v>0</v>
      </c>
      <c r="T43" s="633">
        <f>Q43+'Table 9a'!AE42</f>
        <v>1.06</v>
      </c>
      <c r="U43" s="1141">
        <f t="shared" si="43"/>
        <v>1.07</v>
      </c>
      <c r="V43" s="1140">
        <f>($D43/$E43)*W43</f>
        <v>0</v>
      </c>
      <c r="W43" s="633">
        <f>T43+'Table 9a'!AF42</f>
        <v>1.07</v>
      </c>
      <c r="X43" s="1754">
        <f t="shared" si="44"/>
        <v>7.0000000000000007E-2</v>
      </c>
      <c r="Z43" s="1599">
        <f t="shared" si="45"/>
        <v>7.0000000000000007E-2</v>
      </c>
    </row>
    <row r="44" spans="1:26" ht="13.5" thickBot="1">
      <c r="A44" s="579" t="s">
        <v>51</v>
      </c>
      <c r="B44" s="1850" t="s">
        <v>17</v>
      </c>
      <c r="C44" s="18">
        <f t="shared" si="37"/>
        <v>39.51</v>
      </c>
      <c r="D44" s="410">
        <v>0.17</v>
      </c>
      <c r="E44" s="50">
        <v>39.68</v>
      </c>
      <c r="F44" s="875">
        <f t="shared" si="38"/>
        <v>39.53</v>
      </c>
      <c r="G44" s="412">
        <f>($D44/$E44)*H44</f>
        <v>0.17</v>
      </c>
      <c r="H44" s="1150">
        <f>E44+'Table 9a'!AA43</f>
        <v>39.700000000000003</v>
      </c>
      <c r="I44" s="18">
        <f t="shared" si="39"/>
        <v>39.549999999999997</v>
      </c>
      <c r="J44" s="410">
        <f>($D44/$E44)*K44</f>
        <v>0.17</v>
      </c>
      <c r="K44" s="50">
        <f>H44+'Table 9a'!AB43</f>
        <v>39.72</v>
      </c>
      <c r="L44" s="18">
        <f t="shared" si="40"/>
        <v>39.56</v>
      </c>
      <c r="M44" s="412">
        <f>($D44/$E44)*N44</f>
        <v>0.17</v>
      </c>
      <c r="N44" s="876">
        <f>K44+'Table 9a'!AC43</f>
        <v>39.729999999999997</v>
      </c>
      <c r="O44" s="1253">
        <f t="shared" si="41"/>
        <v>39.57</v>
      </c>
      <c r="P44" s="541">
        <f>($D44/$E44)*Q44</f>
        <v>0.17</v>
      </c>
      <c r="Q44" s="542">
        <f>N44+'Table 9a'!AD43</f>
        <v>39.74</v>
      </c>
      <c r="R44" s="41">
        <f t="shared" si="42"/>
        <v>39.58</v>
      </c>
      <c r="S44" s="541">
        <f>($D44/$E44)*T44</f>
        <v>0.17</v>
      </c>
      <c r="T44" s="51">
        <f>Q44+'Table 9a'!AE43</f>
        <v>39.75</v>
      </c>
      <c r="U44" s="41">
        <f t="shared" si="43"/>
        <v>39.590000000000003</v>
      </c>
      <c r="V44" s="541">
        <f>($D44/$E44)*W44</f>
        <v>0.17</v>
      </c>
      <c r="W44" s="51">
        <f>T44+'Table 9a'!AF43</f>
        <v>39.76</v>
      </c>
      <c r="X44" s="1756">
        <f t="shared" si="44"/>
        <v>0</v>
      </c>
      <c r="Z44" s="1741">
        <f t="shared" si="45"/>
        <v>0.08</v>
      </c>
    </row>
    <row r="45" spans="1:26" s="22" customFormat="1" ht="26.25" customHeight="1" thickTop="1" thickBot="1">
      <c r="A45" s="3236" t="s">
        <v>52</v>
      </c>
      <c r="B45" s="3237"/>
      <c r="C45" s="36">
        <f>SUM(C39:C44)</f>
        <v>41.36</v>
      </c>
      <c r="D45" s="32">
        <f t="shared" ref="D45:W45" si="46">SUM(D39:D44)</f>
        <v>0.17</v>
      </c>
      <c r="E45" s="154">
        <f t="shared" si="46"/>
        <v>41.53</v>
      </c>
      <c r="F45" s="31">
        <f t="shared" si="46"/>
        <v>41.41</v>
      </c>
      <c r="G45" s="165">
        <f t="shared" si="46"/>
        <v>0.17</v>
      </c>
      <c r="H45" s="147">
        <f t="shared" si="46"/>
        <v>41.58</v>
      </c>
      <c r="I45" s="36">
        <f t="shared" si="46"/>
        <v>41.47</v>
      </c>
      <c r="J45" s="32">
        <f t="shared" si="46"/>
        <v>0.17</v>
      </c>
      <c r="K45" s="154">
        <f t="shared" si="46"/>
        <v>41.64</v>
      </c>
      <c r="L45" s="36">
        <f t="shared" si="46"/>
        <v>41.5</v>
      </c>
      <c r="M45" s="165">
        <f t="shared" si="46"/>
        <v>0.17</v>
      </c>
      <c r="N45" s="38">
        <f t="shared" si="46"/>
        <v>41.67</v>
      </c>
      <c r="O45" s="592">
        <f t="shared" si="46"/>
        <v>41.53</v>
      </c>
      <c r="P45" s="536">
        <f t="shared" si="46"/>
        <v>0.17</v>
      </c>
      <c r="Q45" s="537">
        <f t="shared" si="46"/>
        <v>41.7</v>
      </c>
      <c r="R45" s="535">
        <f t="shared" si="46"/>
        <v>41.56</v>
      </c>
      <c r="S45" s="536">
        <f t="shared" si="46"/>
        <v>0.17</v>
      </c>
      <c r="T45" s="647">
        <f t="shared" si="46"/>
        <v>41.73</v>
      </c>
      <c r="U45" s="535">
        <f t="shared" si="46"/>
        <v>41.59</v>
      </c>
      <c r="V45" s="536">
        <f t="shared" si="46"/>
        <v>0.17</v>
      </c>
      <c r="W45" s="647">
        <f t="shared" si="46"/>
        <v>41.76</v>
      </c>
      <c r="X45" s="223">
        <f t="shared" si="44"/>
        <v>0.01</v>
      </c>
      <c r="Z45" s="1598">
        <f t="shared" si="45"/>
        <v>0.23</v>
      </c>
    </row>
    <row r="46" spans="1:26">
      <c r="A46" s="89" t="s">
        <v>35</v>
      </c>
      <c r="C46" s="1" t="s">
        <v>36</v>
      </c>
    </row>
    <row r="47" spans="1:26">
      <c r="A47" s="1" t="s">
        <v>68</v>
      </c>
      <c r="U47" s="1" t="s">
        <v>36</v>
      </c>
    </row>
    <row r="48" spans="1:26">
      <c r="A48" s="1" t="s">
        <v>69</v>
      </c>
    </row>
    <row r="49" spans="1:1">
      <c r="A49" s="1" t="s">
        <v>615</v>
      </c>
    </row>
    <row r="50" spans="1:1">
      <c r="A50" s="2" t="s">
        <v>616</v>
      </c>
    </row>
    <row r="51" spans="1:1">
      <c r="A51" s="2" t="s">
        <v>617</v>
      </c>
    </row>
  </sheetData>
  <mergeCells count="31">
    <mergeCell ref="A25:B25"/>
    <mergeCell ref="A26:B26"/>
    <mergeCell ref="A27:B27"/>
    <mergeCell ref="X2:X4"/>
    <mergeCell ref="U3:W3"/>
    <mergeCell ref="F2:W2"/>
    <mergeCell ref="A2:A4"/>
    <mergeCell ref="C3:E3"/>
    <mergeCell ref="F3:H3"/>
    <mergeCell ref="I3:K3"/>
    <mergeCell ref="L3:N3"/>
    <mergeCell ref="O3:Q3"/>
    <mergeCell ref="R3:T3"/>
    <mergeCell ref="C2:E2"/>
    <mergeCell ref="B2:B4"/>
    <mergeCell ref="Z2:Z4"/>
    <mergeCell ref="Z36:Z38"/>
    <mergeCell ref="A1:X1"/>
    <mergeCell ref="A45:B45"/>
    <mergeCell ref="A36:A38"/>
    <mergeCell ref="B36:B38"/>
    <mergeCell ref="C36:E36"/>
    <mergeCell ref="F36:W36"/>
    <mergeCell ref="X36:X38"/>
    <mergeCell ref="C37:E37"/>
    <mergeCell ref="F37:H37"/>
    <mergeCell ref="I37:K37"/>
    <mergeCell ref="L37:N37"/>
    <mergeCell ref="O37:Q37"/>
    <mergeCell ref="R37:T37"/>
    <mergeCell ref="U37:W37"/>
  </mergeCells>
  <pageMargins left="0.7" right="0.7" top="0.75" bottom="0.75" header="0.3" footer="0.3"/>
  <pageSetup paperSize="3" scale="76" fitToHeight="0"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F50"/>
  <sheetViews>
    <sheetView workbookViewId="0">
      <pane xSplit="2" ySplit="3" topLeftCell="G21" activePane="bottomRight" state="frozen"/>
      <selection pane="bottomRight" activeCell="G21" sqref="G21"/>
      <selection pane="bottomLeft" activeCell="A4" sqref="A4"/>
      <selection pane="topRight" activeCell="C1" sqref="C1"/>
    </sheetView>
  </sheetViews>
  <sheetFormatPr defaultColWidth="9.140625" defaultRowHeight="12.75"/>
  <cols>
    <col min="1" max="1" width="13.140625" style="1" customWidth="1"/>
    <col min="2" max="2" width="10.42578125" style="1" customWidth="1"/>
    <col min="3" max="8" width="9.140625" style="1"/>
    <col min="9" max="9" width="9.140625" style="1" customWidth="1"/>
    <col min="10" max="12" width="9.140625" style="1"/>
    <col min="13" max="13" width="11.28515625" style="1" customWidth="1"/>
    <col min="14" max="15" width="9.7109375" style="1" customWidth="1"/>
    <col min="16" max="22" width="10.140625" style="1" customWidth="1"/>
    <col min="23" max="16384" width="9.140625" style="1"/>
  </cols>
  <sheetData>
    <row r="1" spans="1:32" ht="28.5" customHeight="1" thickBot="1">
      <c r="A1" s="3402" t="s">
        <v>619</v>
      </c>
      <c r="B1" s="3402"/>
      <c r="C1" s="3402"/>
      <c r="D1" s="3402"/>
      <c r="E1" s="3402"/>
      <c r="F1" s="3402"/>
      <c r="G1" s="3402"/>
      <c r="H1" s="3402"/>
      <c r="I1" s="3402"/>
      <c r="J1" s="3402"/>
      <c r="K1" s="3402"/>
      <c r="L1" s="3402"/>
      <c r="M1" s="3402"/>
      <c r="N1" s="3402"/>
      <c r="O1" s="3402"/>
      <c r="P1" s="3402"/>
      <c r="Q1" s="3402"/>
      <c r="R1" s="3402"/>
      <c r="S1" s="3402"/>
      <c r="T1" s="3402"/>
      <c r="U1" s="3402"/>
      <c r="V1" s="3402"/>
      <c r="W1" s="3402"/>
      <c r="X1" s="3402"/>
      <c r="Y1" s="3402"/>
      <c r="Z1" s="3402"/>
      <c r="AA1" s="3402"/>
      <c r="AB1" s="3402"/>
      <c r="AC1" s="3402"/>
      <c r="AD1" s="3402"/>
      <c r="AE1" s="3402"/>
      <c r="AF1" s="3402"/>
    </row>
    <row r="2" spans="1:32" ht="34.5" customHeight="1" thickBot="1">
      <c r="A2" s="3466" t="s">
        <v>1</v>
      </c>
      <c r="B2" s="3468" t="s">
        <v>2</v>
      </c>
      <c r="C2" s="3286" t="s">
        <v>595</v>
      </c>
      <c r="D2" s="3287"/>
      <c r="E2" s="3287"/>
      <c r="F2" s="3287"/>
      <c r="G2" s="3287"/>
      <c r="H2" s="3286" t="s">
        <v>599</v>
      </c>
      <c r="I2" s="3287"/>
      <c r="J2" s="3287"/>
      <c r="K2" s="3287"/>
      <c r="L2" s="3288"/>
      <c r="M2" s="3216" t="s">
        <v>600</v>
      </c>
      <c r="N2" s="3286" t="s">
        <v>601</v>
      </c>
      <c r="O2" s="3287"/>
      <c r="P2" s="3287"/>
      <c r="Q2" s="3287"/>
      <c r="R2" s="3287"/>
      <c r="S2" s="3287"/>
      <c r="T2" s="3287"/>
      <c r="U2" s="3286" t="s">
        <v>602</v>
      </c>
      <c r="V2" s="3287"/>
      <c r="W2" s="3287"/>
      <c r="X2" s="3287"/>
      <c r="Y2" s="3287"/>
      <c r="Z2" s="3288"/>
      <c r="AA2" s="3221" t="s">
        <v>620</v>
      </c>
      <c r="AB2" s="3222"/>
      <c r="AC2" s="3222"/>
      <c r="AD2" s="3222"/>
      <c r="AE2" s="3222"/>
      <c r="AF2" s="3223"/>
    </row>
    <row r="3" spans="1:32" ht="31.5" customHeight="1" thickBot="1">
      <c r="A3" s="3467"/>
      <c r="B3" s="3469"/>
      <c r="C3" s="1757">
        <v>2014</v>
      </c>
      <c r="D3" s="1750">
        <v>2015</v>
      </c>
      <c r="E3" s="1750">
        <v>2016</v>
      </c>
      <c r="F3" s="1750">
        <v>2017</v>
      </c>
      <c r="G3" s="1758">
        <v>2018</v>
      </c>
      <c r="H3" s="1757">
        <v>2014</v>
      </c>
      <c r="I3" s="1750">
        <v>2015</v>
      </c>
      <c r="J3" s="1750">
        <v>2016</v>
      </c>
      <c r="K3" s="1750">
        <v>2017</v>
      </c>
      <c r="L3" s="1759">
        <v>2018</v>
      </c>
      <c r="M3" s="3465"/>
      <c r="N3" s="1757">
        <v>2015</v>
      </c>
      <c r="O3" s="1750">
        <v>2020</v>
      </c>
      <c r="P3" s="1750">
        <v>2025</v>
      </c>
      <c r="Q3" s="1750">
        <v>2030</v>
      </c>
      <c r="R3" s="1758">
        <v>2035</v>
      </c>
      <c r="S3" s="1750">
        <v>2040</v>
      </c>
      <c r="T3" s="3035">
        <v>2045</v>
      </c>
      <c r="U3" s="1757" t="s">
        <v>604</v>
      </c>
      <c r="V3" s="1750" t="s">
        <v>605</v>
      </c>
      <c r="W3" s="1750" t="s">
        <v>606</v>
      </c>
      <c r="X3" s="1758" t="s">
        <v>607</v>
      </c>
      <c r="Y3" s="1750" t="s">
        <v>608</v>
      </c>
      <c r="Z3" s="3036" t="s">
        <v>609</v>
      </c>
      <c r="AA3" s="1760">
        <v>2020</v>
      </c>
      <c r="AB3" s="1761">
        <v>2025</v>
      </c>
      <c r="AC3" s="1761">
        <v>2030</v>
      </c>
      <c r="AD3" s="1761">
        <v>2035</v>
      </c>
      <c r="AE3" s="1762">
        <v>2040</v>
      </c>
      <c r="AF3" s="1944">
        <v>2045</v>
      </c>
    </row>
    <row r="4" spans="1:32">
      <c r="A4" s="176" t="s">
        <v>14</v>
      </c>
      <c r="B4" s="730" t="s">
        <v>15</v>
      </c>
      <c r="C4" s="9">
        <v>0.1</v>
      </c>
      <c r="D4" s="1144">
        <v>0.11</v>
      </c>
      <c r="E4" s="1144">
        <v>0.11</v>
      </c>
      <c r="F4" s="1144">
        <v>0.12</v>
      </c>
      <c r="G4" s="7">
        <v>0.06</v>
      </c>
      <c r="H4" s="168">
        <f>'Table 8a'!K4</f>
        <v>195065</v>
      </c>
      <c r="I4" s="249">
        <f>'Table 8a'!L4</f>
        <v>197466</v>
      </c>
      <c r="J4" s="249">
        <f>'Table 8a'!M4</f>
        <v>197528</v>
      </c>
      <c r="K4" s="249">
        <f>'Table 8a'!N4</f>
        <v>199613</v>
      </c>
      <c r="L4" s="250">
        <f>'Table 8a'!O4</f>
        <v>201523</v>
      </c>
      <c r="M4" s="795">
        <f>(C4+D4+E4+F4+G4)/(H4+I4+J4+K4+L4)*1000000</f>
        <v>1</v>
      </c>
      <c r="N4" s="247">
        <f>'Table 8a'!Q4</f>
        <v>197466</v>
      </c>
      <c r="O4" s="249">
        <f>'Table 8a'!R4</f>
        <v>203981</v>
      </c>
      <c r="P4" s="249">
        <f>'Table 8a'!S4</f>
        <v>208575</v>
      </c>
      <c r="Q4" s="249">
        <f>'Table 8a'!T4</f>
        <v>212384</v>
      </c>
      <c r="R4" s="125">
        <f>'Table 8a'!U4</f>
        <v>212473</v>
      </c>
      <c r="S4" s="249">
        <f>'Table 8a'!V4</f>
        <v>214246</v>
      </c>
      <c r="T4" s="243">
        <f>'Table 8a'!W4</f>
        <v>215828</v>
      </c>
      <c r="U4" s="168">
        <f>'Table 8a'!X4</f>
        <v>6515</v>
      </c>
      <c r="V4" s="249">
        <f>'Table 8a'!Y4</f>
        <v>4594</v>
      </c>
      <c r="W4" s="249">
        <f>'Table 8a'!Z4</f>
        <v>3809</v>
      </c>
      <c r="X4" s="249">
        <f>'Table 8a'!AA4</f>
        <v>89</v>
      </c>
      <c r="Y4" s="125">
        <f>'Table 8a'!AB4</f>
        <v>1773</v>
      </c>
      <c r="Z4" s="250">
        <f>'Table 8a'!AC4</f>
        <v>1582</v>
      </c>
      <c r="AA4" s="47">
        <f t="shared" ref="AA4:AF5" si="0">$M4*U4/1000000</f>
        <v>0.01</v>
      </c>
      <c r="AB4" s="181">
        <f t="shared" si="0"/>
        <v>0</v>
      </c>
      <c r="AC4" s="181">
        <f t="shared" si="0"/>
        <v>0</v>
      </c>
      <c r="AD4" s="181">
        <f t="shared" si="0"/>
        <v>0</v>
      </c>
      <c r="AE4" s="181">
        <f t="shared" si="0"/>
        <v>0</v>
      </c>
      <c r="AF4" s="1107">
        <f t="shared" si="0"/>
        <v>0</v>
      </c>
    </row>
    <row r="5" spans="1:32" ht="13.5" thickBot="1">
      <c r="A5" s="1763" t="s">
        <v>14</v>
      </c>
      <c r="B5" s="734" t="s">
        <v>17</v>
      </c>
      <c r="C5" s="18">
        <v>0.37</v>
      </c>
      <c r="D5" s="1147">
        <v>0.36</v>
      </c>
      <c r="E5" s="1147">
        <v>0.36</v>
      </c>
      <c r="F5" s="1147">
        <v>0.35</v>
      </c>
      <c r="G5" s="410">
        <v>0.34</v>
      </c>
      <c r="H5" s="861">
        <f>'Table 8a'!K5</f>
        <v>54285</v>
      </c>
      <c r="I5" s="368">
        <f>'Table 8a'!L5</f>
        <v>55728</v>
      </c>
      <c r="J5" s="368">
        <f>'Table 8a'!M5</f>
        <v>58180</v>
      </c>
      <c r="K5" s="368">
        <f>'Table 8a'!N5</f>
        <v>59075</v>
      </c>
      <c r="L5" s="369">
        <f>'Table 8a'!O5</f>
        <v>60547</v>
      </c>
      <c r="M5" s="704">
        <f t="shared" ref="M5:M26" si="1">(C5+D5+E5+F5+G5)/(H5+I5+J5+K5+L5)*1000000</f>
        <v>6</v>
      </c>
      <c r="N5" s="1101">
        <f>'Table 8a'!Q5</f>
        <v>55728</v>
      </c>
      <c r="O5" s="368">
        <f>'Table 8a'!R5</f>
        <v>65450</v>
      </c>
      <c r="P5" s="368">
        <f>'Table 8a'!S5</f>
        <v>72431</v>
      </c>
      <c r="Q5" s="368">
        <f>'Table 8a'!T5</f>
        <v>78722</v>
      </c>
      <c r="R5" s="711">
        <f>'Table 8a'!U5</f>
        <v>87233</v>
      </c>
      <c r="S5" s="368">
        <f>'Table 8a'!V5</f>
        <v>92660</v>
      </c>
      <c r="T5" s="801">
        <f>'Table 8a'!W5</f>
        <v>96978</v>
      </c>
      <c r="U5" s="861">
        <f>'Table 8a'!X5</f>
        <v>9722</v>
      </c>
      <c r="V5" s="368">
        <f>'Table 8a'!Y5</f>
        <v>6981</v>
      </c>
      <c r="W5" s="368">
        <f>'Table 8a'!Z5</f>
        <v>6291</v>
      </c>
      <c r="X5" s="368">
        <f>'Table 8a'!AA5</f>
        <v>8511</v>
      </c>
      <c r="Y5" s="711">
        <f>'Table 8a'!AB5</f>
        <v>5427</v>
      </c>
      <c r="Z5" s="369">
        <f>'Table 8a'!AC5</f>
        <v>4318</v>
      </c>
      <c r="AA5" s="48">
        <f t="shared" si="0"/>
        <v>0.06</v>
      </c>
      <c r="AB5" s="712">
        <f t="shared" si="0"/>
        <v>0.04</v>
      </c>
      <c r="AC5" s="712">
        <f t="shared" si="0"/>
        <v>0.04</v>
      </c>
      <c r="AD5" s="712">
        <f t="shared" si="0"/>
        <v>0.05</v>
      </c>
      <c r="AE5" s="712">
        <f t="shared" si="0"/>
        <v>0.03</v>
      </c>
      <c r="AF5" s="1108">
        <f t="shared" si="0"/>
        <v>0.03</v>
      </c>
    </row>
    <row r="6" spans="1:32" s="22" customFormat="1" ht="14.25" thickTop="1" thickBot="1">
      <c r="A6" s="732" t="s">
        <v>14</v>
      </c>
      <c r="B6" s="733" t="s">
        <v>18</v>
      </c>
      <c r="C6" s="36">
        <f t="shared" ref="C6:G6" si="2">SUM(C4:C5)</f>
        <v>0.47</v>
      </c>
      <c r="D6" s="1148">
        <f t="shared" si="2"/>
        <v>0.47</v>
      </c>
      <c r="E6" s="1148">
        <f t="shared" si="2"/>
        <v>0.47</v>
      </c>
      <c r="F6" s="1148">
        <f t="shared" si="2"/>
        <v>0.47</v>
      </c>
      <c r="G6" s="32">
        <f t="shared" si="2"/>
        <v>0.4</v>
      </c>
      <c r="H6" s="857">
        <f>'Table 8a'!K6</f>
        <v>249350</v>
      </c>
      <c r="I6" s="251">
        <f>'Table 8a'!L6</f>
        <v>253194</v>
      </c>
      <c r="J6" s="251">
        <f>'Table 8a'!M6</f>
        <v>255708</v>
      </c>
      <c r="K6" s="251">
        <f>'Table 8a'!N6</f>
        <v>258688</v>
      </c>
      <c r="L6" s="167">
        <f>'Table 8a'!O6</f>
        <v>262070</v>
      </c>
      <c r="M6" s="705">
        <f t="shared" si="1"/>
        <v>2</v>
      </c>
      <c r="N6" s="254">
        <f>'Table 8a'!Q6</f>
        <v>253194</v>
      </c>
      <c r="O6" s="251">
        <f>'Table 8a'!R6</f>
        <v>269431</v>
      </c>
      <c r="P6" s="251">
        <f>'Table 8a'!S6</f>
        <v>281006</v>
      </c>
      <c r="Q6" s="251">
        <f>'Table 8a'!T6</f>
        <v>291106</v>
      </c>
      <c r="R6" s="77">
        <f>'Table 8a'!U6</f>
        <v>299706</v>
      </c>
      <c r="S6" s="251">
        <f>'Table 8a'!V6</f>
        <v>306906</v>
      </c>
      <c r="T6" s="213">
        <f>'Table 8a'!W6</f>
        <v>312806</v>
      </c>
      <c r="U6" s="857">
        <f>'Table 8a'!X6</f>
        <v>16237</v>
      </c>
      <c r="V6" s="251">
        <f>'Table 8a'!Y6</f>
        <v>11575</v>
      </c>
      <c r="W6" s="251">
        <f>'Table 8a'!Z6</f>
        <v>10100</v>
      </c>
      <c r="X6" s="251">
        <f>'Table 8a'!AA6</f>
        <v>8600</v>
      </c>
      <c r="Y6" s="77">
        <f>'Table 8a'!AB6</f>
        <v>7200</v>
      </c>
      <c r="Z6" s="167">
        <f>'Table 8a'!AC6</f>
        <v>5900</v>
      </c>
      <c r="AA6" s="34">
        <f t="shared" ref="AA6:AF6" si="3">SUM(AA4:AA5)</f>
        <v>7.0000000000000007E-2</v>
      </c>
      <c r="AB6" s="774">
        <f t="shared" si="3"/>
        <v>0.04</v>
      </c>
      <c r="AC6" s="774">
        <f t="shared" si="3"/>
        <v>0.04</v>
      </c>
      <c r="AD6" s="774">
        <f t="shared" si="3"/>
        <v>0.05</v>
      </c>
      <c r="AE6" s="774">
        <f t="shared" si="3"/>
        <v>0.03</v>
      </c>
      <c r="AF6" s="21">
        <f t="shared" si="3"/>
        <v>0.03</v>
      </c>
    </row>
    <row r="7" spans="1:32">
      <c r="A7" s="728" t="s">
        <v>19</v>
      </c>
      <c r="B7" s="267" t="s">
        <v>15</v>
      </c>
      <c r="C7" s="151">
        <v>0.47</v>
      </c>
      <c r="D7" s="1145">
        <v>0.42</v>
      </c>
      <c r="E7" s="1145">
        <v>0.34</v>
      </c>
      <c r="F7" s="1145">
        <v>0.39</v>
      </c>
      <c r="G7" s="113">
        <v>0.35</v>
      </c>
      <c r="H7" s="170">
        <f>'Table 8a'!K7</f>
        <v>26532</v>
      </c>
      <c r="I7" s="169">
        <f>'Table 8a'!L7</f>
        <v>26556</v>
      </c>
      <c r="J7" s="169">
        <f>'Table 8a'!M7</f>
        <v>26506</v>
      </c>
      <c r="K7" s="169">
        <f>'Table 8a'!N7</f>
        <v>26729</v>
      </c>
      <c r="L7" s="171">
        <f>'Table 8a'!O7</f>
        <v>27189</v>
      </c>
      <c r="M7" s="703">
        <f t="shared" si="1"/>
        <v>15</v>
      </c>
      <c r="N7" s="324">
        <f>'Table 8a'!Q7</f>
        <v>26556</v>
      </c>
      <c r="O7" s="169">
        <f>'Table 8a'!R7</f>
        <v>27440</v>
      </c>
      <c r="P7" s="169">
        <f>'Table 8a'!S7</f>
        <v>28838</v>
      </c>
      <c r="Q7" s="169">
        <f>'Table 8a'!T7</f>
        <v>30026</v>
      </c>
      <c r="R7" s="127">
        <f>'Table 8a'!U7</f>
        <v>30922</v>
      </c>
      <c r="S7" s="169">
        <f>'Table 8a'!V7</f>
        <v>31667</v>
      </c>
      <c r="T7" s="748">
        <f>'Table 8a'!W7</f>
        <v>32394</v>
      </c>
      <c r="U7" s="170">
        <f>'Table 8a'!X7</f>
        <v>884</v>
      </c>
      <c r="V7" s="169">
        <f>'Table 8a'!Y7</f>
        <v>1398</v>
      </c>
      <c r="W7" s="169">
        <f>'Table 8a'!Z7</f>
        <v>1188</v>
      </c>
      <c r="X7" s="169">
        <f>'Table 8a'!AA7</f>
        <v>896</v>
      </c>
      <c r="Y7" s="127">
        <f>'Table 8a'!AB7</f>
        <v>745</v>
      </c>
      <c r="Z7" s="171">
        <f>'Table 8a'!AC7</f>
        <v>727</v>
      </c>
      <c r="AA7" s="149">
        <f t="shared" ref="AA7:AF8" si="4">$M7*U7/1000000</f>
        <v>0.01</v>
      </c>
      <c r="AB7" s="702">
        <f t="shared" si="4"/>
        <v>0.02</v>
      </c>
      <c r="AC7" s="702">
        <f t="shared" si="4"/>
        <v>0.02</v>
      </c>
      <c r="AD7" s="702">
        <f t="shared" si="4"/>
        <v>0.01</v>
      </c>
      <c r="AE7" s="702">
        <f t="shared" si="4"/>
        <v>0.01</v>
      </c>
      <c r="AF7" s="1109">
        <f t="shared" si="4"/>
        <v>0.01</v>
      </c>
    </row>
    <row r="8" spans="1:32" ht="13.5" thickBot="1">
      <c r="A8" s="1764" t="s">
        <v>19</v>
      </c>
      <c r="B8" s="268" t="s">
        <v>17</v>
      </c>
      <c r="C8" s="18">
        <v>0.2</v>
      </c>
      <c r="D8" s="1147">
        <v>0.21</v>
      </c>
      <c r="E8" s="1147">
        <v>0.19</v>
      </c>
      <c r="F8" s="1147">
        <v>0.18</v>
      </c>
      <c r="G8" s="410">
        <v>0.19</v>
      </c>
      <c r="H8" s="861">
        <f>'Table 8a'!K8</f>
        <v>503</v>
      </c>
      <c r="I8" s="368">
        <f>'Table 8a'!L8</f>
        <v>503</v>
      </c>
      <c r="J8" s="368">
        <f>'Table 8a'!M8</f>
        <v>489</v>
      </c>
      <c r="K8" s="368">
        <f>'Table 8a'!N8</f>
        <v>498</v>
      </c>
      <c r="L8" s="369">
        <f>'Table 8a'!O8</f>
        <v>507</v>
      </c>
      <c r="M8" s="704">
        <f t="shared" si="1"/>
        <v>388</v>
      </c>
      <c r="N8" s="1101">
        <f>'Table 8a'!Q8</f>
        <v>503</v>
      </c>
      <c r="O8" s="368">
        <f>'Table 8a'!R8</f>
        <v>521</v>
      </c>
      <c r="P8" s="368">
        <f>'Table 8a'!S8</f>
        <v>549</v>
      </c>
      <c r="Q8" s="368">
        <f>'Table 8a'!T8</f>
        <v>573</v>
      </c>
      <c r="R8" s="711">
        <f>'Table 8a'!U8</f>
        <v>591</v>
      </c>
      <c r="S8" s="368">
        <f>'Table 8a'!V8</f>
        <v>609</v>
      </c>
      <c r="T8" s="801">
        <f>'Table 8a'!W8</f>
        <v>623</v>
      </c>
      <c r="U8" s="861">
        <f>'Table 8a'!X8</f>
        <v>18</v>
      </c>
      <c r="V8" s="368">
        <f>'Table 8a'!Y8</f>
        <v>28</v>
      </c>
      <c r="W8" s="368">
        <f>'Table 8a'!Z8</f>
        <v>24</v>
      </c>
      <c r="X8" s="368">
        <f>'Table 8a'!AA8</f>
        <v>18</v>
      </c>
      <c r="Y8" s="711">
        <f>'Table 8a'!AB8</f>
        <v>18</v>
      </c>
      <c r="Z8" s="369">
        <f>'Table 8a'!AC8</f>
        <v>14</v>
      </c>
      <c r="AA8" s="48">
        <f t="shared" si="4"/>
        <v>0.01</v>
      </c>
      <c r="AB8" s="712">
        <f t="shared" si="4"/>
        <v>0.01</v>
      </c>
      <c r="AC8" s="712">
        <f t="shared" si="4"/>
        <v>0.01</v>
      </c>
      <c r="AD8" s="712">
        <f t="shared" si="4"/>
        <v>0.01</v>
      </c>
      <c r="AE8" s="712">
        <f t="shared" si="4"/>
        <v>0.01</v>
      </c>
      <c r="AF8" s="1108">
        <f t="shared" si="4"/>
        <v>0.01</v>
      </c>
    </row>
    <row r="9" spans="1:32" s="22" customFormat="1" ht="14.25" thickTop="1" thickBot="1">
      <c r="A9" s="735" t="s">
        <v>19</v>
      </c>
      <c r="B9" s="731" t="s">
        <v>18</v>
      </c>
      <c r="C9" s="36">
        <f t="shared" ref="C9:G9" si="5">SUM(C7:C8)</f>
        <v>0.67</v>
      </c>
      <c r="D9" s="1148">
        <f t="shared" si="5"/>
        <v>0.63</v>
      </c>
      <c r="E9" s="1148">
        <f t="shared" si="5"/>
        <v>0.53</v>
      </c>
      <c r="F9" s="1148">
        <f t="shared" si="5"/>
        <v>0.56999999999999995</v>
      </c>
      <c r="G9" s="32">
        <f t="shared" si="5"/>
        <v>0.54</v>
      </c>
      <c r="H9" s="857">
        <f>'Table 8a'!K9</f>
        <v>27035</v>
      </c>
      <c r="I9" s="251">
        <f>'Table 8a'!L9</f>
        <v>27059</v>
      </c>
      <c r="J9" s="251">
        <f>'Table 8a'!M9</f>
        <v>26995</v>
      </c>
      <c r="K9" s="251">
        <f>'Table 8a'!N9</f>
        <v>27227</v>
      </c>
      <c r="L9" s="167">
        <f>'Table 8a'!O9</f>
        <v>27696</v>
      </c>
      <c r="M9" s="705">
        <f t="shared" si="1"/>
        <v>22</v>
      </c>
      <c r="N9" s="254">
        <f>'Table 8a'!Q9</f>
        <v>27059</v>
      </c>
      <c r="O9" s="251">
        <f>'Table 8a'!R9</f>
        <v>27961</v>
      </c>
      <c r="P9" s="251">
        <f>'Table 8a'!S9</f>
        <v>29387</v>
      </c>
      <c r="Q9" s="251">
        <f>'Table 8a'!T9</f>
        <v>30599</v>
      </c>
      <c r="R9" s="77">
        <f>'Table 8a'!U9</f>
        <v>31513</v>
      </c>
      <c r="S9" s="251">
        <f>'Table 8a'!V9</f>
        <v>32276</v>
      </c>
      <c r="T9" s="213">
        <f>'Table 8a'!W9</f>
        <v>33017</v>
      </c>
      <c r="U9" s="857">
        <f>'Table 8a'!X9</f>
        <v>902</v>
      </c>
      <c r="V9" s="251">
        <f>'Table 8a'!Y9</f>
        <v>1426</v>
      </c>
      <c r="W9" s="251">
        <f>'Table 8a'!Z9</f>
        <v>1212</v>
      </c>
      <c r="X9" s="251">
        <f>'Table 8a'!AA9</f>
        <v>914</v>
      </c>
      <c r="Y9" s="77">
        <f>'Table 8a'!AB9</f>
        <v>763</v>
      </c>
      <c r="Z9" s="167">
        <f>'Table 8a'!AC9</f>
        <v>741</v>
      </c>
      <c r="AA9" s="34">
        <f t="shared" ref="AA9:AF9" si="6">SUM(AA7:AA8)</f>
        <v>0.02</v>
      </c>
      <c r="AB9" s="774">
        <f t="shared" si="6"/>
        <v>0.03</v>
      </c>
      <c r="AC9" s="774">
        <f t="shared" si="6"/>
        <v>0.03</v>
      </c>
      <c r="AD9" s="774">
        <f t="shared" si="6"/>
        <v>0.02</v>
      </c>
      <c r="AE9" s="774">
        <f t="shared" si="6"/>
        <v>0.02</v>
      </c>
      <c r="AF9" s="21">
        <f t="shared" si="6"/>
        <v>0.02</v>
      </c>
    </row>
    <row r="10" spans="1:32">
      <c r="A10" s="728" t="s">
        <v>20</v>
      </c>
      <c r="B10" s="267" t="s">
        <v>15</v>
      </c>
      <c r="C10" s="151">
        <v>0.01</v>
      </c>
      <c r="D10" s="1145">
        <v>0</v>
      </c>
      <c r="E10" s="1145">
        <v>0</v>
      </c>
      <c r="F10" s="1145">
        <v>0</v>
      </c>
      <c r="G10" s="113">
        <v>0</v>
      </c>
      <c r="H10" s="170">
        <f>'Table 8a'!K10</f>
        <v>2301</v>
      </c>
      <c r="I10" s="169">
        <f>'Table 8a'!L10</f>
        <v>2289</v>
      </c>
      <c r="J10" s="169">
        <f>'Table 8a'!M10</f>
        <v>2312</v>
      </c>
      <c r="K10" s="169">
        <f>'Table 8a'!N10</f>
        <v>2319</v>
      </c>
      <c r="L10" s="171">
        <f>'Table 8a'!O10</f>
        <v>2366</v>
      </c>
      <c r="M10" s="703">
        <f t="shared" si="1"/>
        <v>1</v>
      </c>
      <c r="N10" s="324">
        <f>'Table 8a'!Q10</f>
        <v>2289</v>
      </c>
      <c r="O10" s="169">
        <f>'Table 8a'!R10</f>
        <v>2475</v>
      </c>
      <c r="P10" s="169">
        <f>'Table 8a'!S10</f>
        <v>2872</v>
      </c>
      <c r="Q10" s="169">
        <f>'Table 8a'!T10</f>
        <v>3069</v>
      </c>
      <c r="R10" s="127">
        <f>'Table 8a'!U10</f>
        <v>3069</v>
      </c>
      <c r="S10" s="169">
        <f>'Table 8a'!V10</f>
        <v>3234</v>
      </c>
      <c r="T10" s="748">
        <f>'Table 8a'!W10</f>
        <v>3418</v>
      </c>
      <c r="U10" s="170">
        <f>'Table 8a'!X10</f>
        <v>186</v>
      </c>
      <c r="V10" s="169">
        <f>'Table 8a'!Y10</f>
        <v>397</v>
      </c>
      <c r="W10" s="169">
        <f>'Table 8a'!Z10</f>
        <v>197</v>
      </c>
      <c r="X10" s="169">
        <f>'Table 8a'!AA10</f>
        <v>0</v>
      </c>
      <c r="Y10" s="127">
        <f>'Table 8a'!AB10</f>
        <v>165</v>
      </c>
      <c r="Z10" s="171">
        <f>'Table 8a'!AC10</f>
        <v>184</v>
      </c>
      <c r="AA10" s="149">
        <f t="shared" ref="AA10:AF11" si="7">$M10*U10/1000000</f>
        <v>0</v>
      </c>
      <c r="AB10" s="702">
        <f t="shared" si="7"/>
        <v>0</v>
      </c>
      <c r="AC10" s="702">
        <f t="shared" si="7"/>
        <v>0</v>
      </c>
      <c r="AD10" s="702">
        <f t="shared" si="7"/>
        <v>0</v>
      </c>
      <c r="AE10" s="702">
        <f t="shared" si="7"/>
        <v>0</v>
      </c>
      <c r="AF10" s="1109">
        <f t="shared" si="7"/>
        <v>0</v>
      </c>
    </row>
    <row r="11" spans="1:32" ht="13.5" thickBot="1">
      <c r="A11" s="1764" t="s">
        <v>20</v>
      </c>
      <c r="B11" s="268" t="s">
        <v>17</v>
      </c>
      <c r="C11" s="18">
        <v>0.9</v>
      </c>
      <c r="D11" s="1147">
        <v>1.04</v>
      </c>
      <c r="E11" s="1147">
        <v>1.02</v>
      </c>
      <c r="F11" s="1147">
        <v>1.01</v>
      </c>
      <c r="G11" s="410">
        <v>1.06</v>
      </c>
      <c r="H11" s="861">
        <f>'Table 8a'!K11</f>
        <v>20803</v>
      </c>
      <c r="I11" s="368">
        <f>'Table 8a'!L11</f>
        <v>20712</v>
      </c>
      <c r="J11" s="368">
        <f>'Table 8a'!M11</f>
        <v>20853</v>
      </c>
      <c r="K11" s="368">
        <f>'Table 8a'!N11</f>
        <v>20962</v>
      </c>
      <c r="L11" s="369">
        <f>'Table 8a'!O11</f>
        <v>20741</v>
      </c>
      <c r="M11" s="704">
        <f t="shared" si="1"/>
        <v>48</v>
      </c>
      <c r="N11" s="1101">
        <f>'Table 8a'!Q11</f>
        <v>20712</v>
      </c>
      <c r="O11" s="368">
        <f>'Table 8a'!R11</f>
        <v>21080</v>
      </c>
      <c r="P11" s="368">
        <f>'Table 8a'!S11</f>
        <v>21083</v>
      </c>
      <c r="Q11" s="368">
        <f>'Table 8a'!T11</f>
        <v>21094</v>
      </c>
      <c r="R11" s="711">
        <f>'Table 8a'!U11</f>
        <v>21168</v>
      </c>
      <c r="S11" s="368">
        <f>'Table 8a'!V11</f>
        <v>21088</v>
      </c>
      <c r="T11" s="801">
        <f>'Table 8a'!W11</f>
        <v>20956</v>
      </c>
      <c r="U11" s="861">
        <f>'Table 8a'!X11</f>
        <v>368</v>
      </c>
      <c r="V11" s="368">
        <f>'Table 8a'!Y11</f>
        <v>3</v>
      </c>
      <c r="W11" s="368">
        <f>'Table 8a'!Z11</f>
        <v>11</v>
      </c>
      <c r="X11" s="368">
        <f>'Table 8a'!AA11</f>
        <v>74</v>
      </c>
      <c r="Y11" s="711">
        <f>'Table 8a'!AB11</f>
        <v>-80</v>
      </c>
      <c r="Z11" s="369">
        <f>'Table 8a'!AC11</f>
        <v>-132</v>
      </c>
      <c r="AA11" s="48">
        <f t="shared" si="7"/>
        <v>0.02</v>
      </c>
      <c r="AB11" s="712">
        <f t="shared" si="7"/>
        <v>0</v>
      </c>
      <c r="AC11" s="712">
        <f t="shared" si="7"/>
        <v>0</v>
      </c>
      <c r="AD11" s="712">
        <f t="shared" si="7"/>
        <v>0</v>
      </c>
      <c r="AE11" s="712">
        <f t="shared" si="7"/>
        <v>0</v>
      </c>
      <c r="AF11" s="1108">
        <f t="shared" si="7"/>
        <v>-0.01</v>
      </c>
    </row>
    <row r="12" spans="1:32" s="22" customFormat="1" ht="14.25" thickTop="1" thickBot="1">
      <c r="A12" s="735" t="s">
        <v>20</v>
      </c>
      <c r="B12" s="731" t="s">
        <v>18</v>
      </c>
      <c r="C12" s="36">
        <f t="shared" ref="C12:G12" si="8">SUM(C10:C11)</f>
        <v>0.91</v>
      </c>
      <c r="D12" s="1148">
        <f t="shared" si="8"/>
        <v>1.04</v>
      </c>
      <c r="E12" s="1148">
        <f t="shared" si="8"/>
        <v>1.02</v>
      </c>
      <c r="F12" s="1148">
        <f t="shared" si="8"/>
        <v>1.01</v>
      </c>
      <c r="G12" s="32">
        <f t="shared" si="8"/>
        <v>1.06</v>
      </c>
      <c r="H12" s="857">
        <f>'Table 8a'!K12</f>
        <v>23104</v>
      </c>
      <c r="I12" s="251">
        <f>'Table 8a'!L12</f>
        <v>23001</v>
      </c>
      <c r="J12" s="251">
        <f>'Table 8a'!M12</f>
        <v>23165</v>
      </c>
      <c r="K12" s="251">
        <f>'Table 8a'!N12</f>
        <v>23281</v>
      </c>
      <c r="L12" s="167">
        <f>'Table 8a'!O12</f>
        <v>23107</v>
      </c>
      <c r="M12" s="705">
        <f t="shared" si="1"/>
        <v>44</v>
      </c>
      <c r="N12" s="254">
        <f>'Table 8a'!Q12</f>
        <v>23001</v>
      </c>
      <c r="O12" s="251">
        <f>'Table 8a'!R12</f>
        <v>23555</v>
      </c>
      <c r="P12" s="251">
        <f>'Table 8a'!S12</f>
        <v>23955</v>
      </c>
      <c r="Q12" s="251">
        <f>'Table 8a'!T12</f>
        <v>24163</v>
      </c>
      <c r="R12" s="77">
        <f>'Table 8a'!U12</f>
        <v>24237</v>
      </c>
      <c r="S12" s="251">
        <f>'Table 8a'!V12</f>
        <v>24322</v>
      </c>
      <c r="T12" s="213">
        <f>'Table 8a'!W12</f>
        <v>24374</v>
      </c>
      <c r="U12" s="857">
        <f>'Table 8a'!X12</f>
        <v>554</v>
      </c>
      <c r="V12" s="251">
        <f>'Table 8a'!Y12</f>
        <v>400</v>
      </c>
      <c r="W12" s="251">
        <f>'Table 8a'!Z12</f>
        <v>208</v>
      </c>
      <c r="X12" s="251">
        <f>'Table 8a'!AA12</f>
        <v>74</v>
      </c>
      <c r="Y12" s="77">
        <f>'Table 8a'!AB12</f>
        <v>85</v>
      </c>
      <c r="Z12" s="167">
        <f>'Table 8a'!AC12</f>
        <v>52</v>
      </c>
      <c r="AA12" s="34">
        <f t="shared" ref="AA12:AF12" si="9">SUM(AA10:AA11)</f>
        <v>0.02</v>
      </c>
      <c r="AB12" s="774">
        <f t="shared" si="9"/>
        <v>0</v>
      </c>
      <c r="AC12" s="774">
        <f t="shared" si="9"/>
        <v>0</v>
      </c>
      <c r="AD12" s="774">
        <f t="shared" si="9"/>
        <v>0</v>
      </c>
      <c r="AE12" s="774">
        <f t="shared" si="9"/>
        <v>0</v>
      </c>
      <c r="AF12" s="21">
        <f t="shared" si="9"/>
        <v>-0.01</v>
      </c>
    </row>
    <row r="13" spans="1:32">
      <c r="A13" s="1143" t="s">
        <v>21</v>
      </c>
      <c r="B13" s="729" t="s">
        <v>15</v>
      </c>
      <c r="C13" s="883">
        <v>0.39</v>
      </c>
      <c r="D13" s="1146">
        <v>0.31</v>
      </c>
      <c r="E13" s="1146">
        <v>0.24</v>
      </c>
      <c r="F13" s="1146">
        <v>0.28000000000000003</v>
      </c>
      <c r="G13" s="884">
        <v>0.28000000000000003</v>
      </c>
      <c r="H13" s="864">
        <f>'Table 8a'!K13</f>
        <v>198718</v>
      </c>
      <c r="I13" s="872">
        <f>'Table 8a'!L13</f>
        <v>202600</v>
      </c>
      <c r="J13" s="872">
        <f>'Table 8a'!M13</f>
        <v>206498</v>
      </c>
      <c r="K13" s="872">
        <f>'Table 8a'!N13</f>
        <v>209718</v>
      </c>
      <c r="L13" s="873">
        <f>'Table 8a'!O13</f>
        <v>213169</v>
      </c>
      <c r="M13" s="796">
        <f t="shared" si="1"/>
        <v>1</v>
      </c>
      <c r="N13" s="1102">
        <f>'Table 8a'!Q13</f>
        <v>202600</v>
      </c>
      <c r="O13" s="872">
        <f>'Table 8a'!R13</f>
        <v>217009</v>
      </c>
      <c r="P13" s="872">
        <f>'Table 8a'!S13</f>
        <v>234658</v>
      </c>
      <c r="Q13" s="872">
        <f>'Table 8a'!T13</f>
        <v>247691</v>
      </c>
      <c r="R13" s="1100">
        <f>'Table 8a'!U13</f>
        <v>262835</v>
      </c>
      <c r="S13" s="872">
        <f>'Table 8a'!V13</f>
        <v>272476</v>
      </c>
      <c r="T13" s="871">
        <f>'Table 8a'!W13</f>
        <v>282960</v>
      </c>
      <c r="U13" s="864">
        <f>'Table 8a'!X13</f>
        <v>14409</v>
      </c>
      <c r="V13" s="872">
        <f>'Table 8a'!Y13</f>
        <v>17649</v>
      </c>
      <c r="W13" s="872">
        <f>'Table 8a'!Z13</f>
        <v>13033</v>
      </c>
      <c r="X13" s="872">
        <f>'Table 8a'!AA13</f>
        <v>15144</v>
      </c>
      <c r="Y13" s="1100">
        <f>'Table 8a'!AB13</f>
        <v>9641</v>
      </c>
      <c r="Z13" s="873">
        <f>'Table 8a'!AC13</f>
        <v>10484</v>
      </c>
      <c r="AA13" s="823">
        <f t="shared" ref="AA13:AA23" si="10">$M13*U13/1000000</f>
        <v>0.01</v>
      </c>
      <c r="AB13" s="802">
        <f t="shared" ref="AB13:AB23" si="11">$M13*V13/1000000</f>
        <v>0.02</v>
      </c>
      <c r="AC13" s="802">
        <f t="shared" ref="AC13:AC23" si="12">$M13*W13/1000000</f>
        <v>0.01</v>
      </c>
      <c r="AD13" s="802">
        <f t="shared" ref="AD13:AD23" si="13">$M13*X13/1000000</f>
        <v>0.02</v>
      </c>
      <c r="AE13" s="802">
        <f t="shared" ref="AE13:AE23" si="14">$M13*Y13/1000000</f>
        <v>0.01</v>
      </c>
      <c r="AF13" s="1047">
        <f t="shared" ref="AF13:AF23" si="15">$M13*Z13/1000000</f>
        <v>0.01</v>
      </c>
    </row>
    <row r="14" spans="1:32">
      <c r="A14" s="1143" t="s">
        <v>22</v>
      </c>
      <c r="B14" s="729" t="s">
        <v>17</v>
      </c>
      <c r="C14" s="883">
        <v>0.41</v>
      </c>
      <c r="D14" s="1146">
        <v>0.41</v>
      </c>
      <c r="E14" s="1146">
        <v>0.41</v>
      </c>
      <c r="F14" s="1146">
        <v>0.36</v>
      </c>
      <c r="G14" s="884">
        <v>0.35</v>
      </c>
      <c r="H14" s="864">
        <f>'Table 8a'!K14</f>
        <v>63720</v>
      </c>
      <c r="I14" s="872">
        <f>'Table 8a'!L14</f>
        <v>64037</v>
      </c>
      <c r="J14" s="872">
        <f>'Table 8a'!M14</f>
        <v>64529</v>
      </c>
      <c r="K14" s="872">
        <f>'Table 8a'!N14</f>
        <v>64999</v>
      </c>
      <c r="L14" s="873">
        <f>'Table 8a'!O14</f>
        <v>65710</v>
      </c>
      <c r="M14" s="796">
        <f t="shared" si="1"/>
        <v>6</v>
      </c>
      <c r="N14" s="1102">
        <f>'Table 8a'!Q14</f>
        <v>64037</v>
      </c>
      <c r="O14" s="872">
        <f>'Table 8a'!R14</f>
        <v>66323</v>
      </c>
      <c r="P14" s="872">
        <f>'Table 8a'!S14</f>
        <v>69323</v>
      </c>
      <c r="Q14" s="872">
        <f>'Table 8a'!T14</f>
        <v>71823</v>
      </c>
      <c r="R14" s="1100">
        <f>'Table 8a'!U14</f>
        <v>73823</v>
      </c>
      <c r="S14" s="872">
        <f>'Table 8a'!V14</f>
        <v>75523</v>
      </c>
      <c r="T14" s="871">
        <f>'Table 8a'!W14</f>
        <v>77023</v>
      </c>
      <c r="U14" s="864">
        <f>'Table 8a'!X14</f>
        <v>2286</v>
      </c>
      <c r="V14" s="872">
        <f>'Table 8a'!Y14</f>
        <v>3000</v>
      </c>
      <c r="W14" s="872">
        <f>'Table 8a'!Z14</f>
        <v>2500</v>
      </c>
      <c r="X14" s="872">
        <f>'Table 8a'!AA14</f>
        <v>2000</v>
      </c>
      <c r="Y14" s="1100">
        <f>'Table 8a'!AB14</f>
        <v>1700</v>
      </c>
      <c r="Z14" s="873">
        <f>'Table 8a'!AC14</f>
        <v>1500</v>
      </c>
      <c r="AA14" s="823">
        <f t="shared" si="10"/>
        <v>0.01</v>
      </c>
      <c r="AB14" s="802">
        <f t="shared" si="11"/>
        <v>0.02</v>
      </c>
      <c r="AC14" s="802">
        <f t="shared" si="12"/>
        <v>0.02</v>
      </c>
      <c r="AD14" s="802">
        <f t="shared" si="13"/>
        <v>0.01</v>
      </c>
      <c r="AE14" s="802">
        <f t="shared" si="14"/>
        <v>0.01</v>
      </c>
      <c r="AF14" s="1047">
        <f t="shared" si="15"/>
        <v>0.01</v>
      </c>
    </row>
    <row r="15" spans="1:32">
      <c r="A15" s="1143" t="s">
        <v>23</v>
      </c>
      <c r="B15" s="729" t="s">
        <v>15</v>
      </c>
      <c r="C15" s="883">
        <v>14.47</v>
      </c>
      <c r="D15" s="1146">
        <v>14.95</v>
      </c>
      <c r="E15" s="1146">
        <v>14.33</v>
      </c>
      <c r="F15" s="1146">
        <v>14.63</v>
      </c>
      <c r="G15" s="884">
        <v>12.5</v>
      </c>
      <c r="H15" s="864">
        <f>'Table 8a'!K15</f>
        <v>896665</v>
      </c>
      <c r="I15" s="872">
        <f>'Table 8a'!L15</f>
        <v>904905</v>
      </c>
      <c r="J15" s="872">
        <f>'Table 8a'!M15</f>
        <v>946637</v>
      </c>
      <c r="K15" s="872">
        <f>'Table 8a'!N15</f>
        <v>959764</v>
      </c>
      <c r="L15" s="873">
        <f>'Table 8a'!O15</f>
        <v>975386</v>
      </c>
      <c r="M15" s="796">
        <f t="shared" si="1"/>
        <v>15</v>
      </c>
      <c r="N15" s="1102">
        <f>'Table 8a'!Q15</f>
        <v>904905</v>
      </c>
      <c r="O15" s="872">
        <f>'Table 8a'!R15</f>
        <v>968706</v>
      </c>
      <c r="P15" s="872">
        <f>'Table 8a'!S15</f>
        <v>1035102</v>
      </c>
      <c r="Q15" s="872">
        <f>'Table 8a'!T15</f>
        <v>1086502</v>
      </c>
      <c r="R15" s="1100">
        <f>'Table 8a'!U15</f>
        <v>1131472</v>
      </c>
      <c r="S15" s="872">
        <f>'Table 8a'!V15</f>
        <v>1167975</v>
      </c>
      <c r="T15" s="871">
        <f>'Table 8a'!W15</f>
        <v>1199413</v>
      </c>
      <c r="U15" s="864">
        <f>'Table 8a'!X15</f>
        <v>63801</v>
      </c>
      <c r="V15" s="872">
        <f>'Table 8a'!Y15</f>
        <v>66396</v>
      </c>
      <c r="W15" s="872">
        <f>'Table 8a'!Z15</f>
        <v>51400</v>
      </c>
      <c r="X15" s="872">
        <f>'Table 8a'!AA15</f>
        <v>44970</v>
      </c>
      <c r="Y15" s="1100">
        <f>'Table 8a'!AB15</f>
        <v>36503</v>
      </c>
      <c r="Z15" s="873">
        <f>'Table 8a'!AC15</f>
        <v>31438</v>
      </c>
      <c r="AA15" s="823">
        <f t="shared" si="10"/>
        <v>0.96</v>
      </c>
      <c r="AB15" s="802">
        <f t="shared" si="11"/>
        <v>1</v>
      </c>
      <c r="AC15" s="802">
        <f t="shared" si="12"/>
        <v>0.77</v>
      </c>
      <c r="AD15" s="802">
        <f t="shared" si="13"/>
        <v>0.67</v>
      </c>
      <c r="AE15" s="802">
        <f t="shared" si="14"/>
        <v>0.55000000000000004</v>
      </c>
      <c r="AF15" s="1047">
        <f t="shared" si="15"/>
        <v>0.47</v>
      </c>
    </row>
    <row r="16" spans="1:32">
      <c r="A16" s="1143" t="s">
        <v>24</v>
      </c>
      <c r="B16" s="729" t="s">
        <v>15</v>
      </c>
      <c r="C16" s="883">
        <v>0.13</v>
      </c>
      <c r="D16" s="1146">
        <v>0.26</v>
      </c>
      <c r="E16" s="1146">
        <v>0</v>
      </c>
      <c r="F16" s="1146">
        <v>0</v>
      </c>
      <c r="G16" s="884">
        <v>0</v>
      </c>
      <c r="H16" s="864">
        <f>'Table 8a'!K16</f>
        <v>103993</v>
      </c>
      <c r="I16" s="872">
        <f>'Table 8a'!L16</f>
        <v>99769</v>
      </c>
      <c r="J16" s="872">
        <f>'Table 8a'!M16</f>
        <v>106175</v>
      </c>
      <c r="K16" s="872">
        <f>'Table 8a'!N16</f>
        <v>107946</v>
      </c>
      <c r="L16" s="873">
        <f>'Table 8a'!O16</f>
        <v>115564</v>
      </c>
      <c r="M16" s="796">
        <f t="shared" si="1"/>
        <v>1</v>
      </c>
      <c r="N16" s="1102">
        <f>'Table 8a'!Q16</f>
        <v>99769</v>
      </c>
      <c r="O16" s="872">
        <f>'Table 8a'!R16</f>
        <v>113387</v>
      </c>
      <c r="P16" s="872">
        <f>'Table 8a'!S16</f>
        <v>126488</v>
      </c>
      <c r="Q16" s="872">
        <f>'Table 8a'!T16</f>
        <v>137761</v>
      </c>
      <c r="R16" s="1100">
        <f>'Table 8a'!U16</f>
        <v>146696</v>
      </c>
      <c r="S16" s="872">
        <f>'Table 8a'!V16</f>
        <v>152470</v>
      </c>
      <c r="T16" s="871">
        <f>'Table 8a'!W16</f>
        <v>157026</v>
      </c>
      <c r="U16" s="864">
        <f>'Table 8a'!X16</f>
        <v>13618</v>
      </c>
      <c r="V16" s="872">
        <f>'Table 8a'!Y16</f>
        <v>13101</v>
      </c>
      <c r="W16" s="872">
        <f>'Table 8a'!Z16</f>
        <v>11273</v>
      </c>
      <c r="X16" s="872">
        <f>'Table 8a'!AA16</f>
        <v>8935</v>
      </c>
      <c r="Y16" s="1100">
        <f>'Table 8a'!AB16</f>
        <v>5774</v>
      </c>
      <c r="Z16" s="873">
        <f>'Table 8a'!AC16</f>
        <v>4556</v>
      </c>
      <c r="AA16" s="823">
        <f t="shared" si="10"/>
        <v>0.01</v>
      </c>
      <c r="AB16" s="802">
        <f t="shared" si="11"/>
        <v>0.01</v>
      </c>
      <c r="AC16" s="802">
        <f t="shared" si="12"/>
        <v>0.01</v>
      </c>
      <c r="AD16" s="802">
        <f t="shared" si="13"/>
        <v>0.01</v>
      </c>
      <c r="AE16" s="802">
        <f t="shared" si="14"/>
        <v>0.01</v>
      </c>
      <c r="AF16" s="1047">
        <f t="shared" si="15"/>
        <v>0</v>
      </c>
    </row>
    <row r="17" spans="1:32">
      <c r="A17" s="1143" t="s">
        <v>25</v>
      </c>
      <c r="B17" s="729" t="s">
        <v>17</v>
      </c>
      <c r="C17" s="883">
        <v>0.39</v>
      </c>
      <c r="D17" s="1146">
        <v>0.37</v>
      </c>
      <c r="E17" s="1146">
        <v>0.41</v>
      </c>
      <c r="F17" s="1146">
        <v>0.43</v>
      </c>
      <c r="G17" s="884">
        <v>0.54</v>
      </c>
      <c r="H17" s="864">
        <f>'Table 8a'!K17</f>
        <v>16007</v>
      </c>
      <c r="I17" s="872">
        <f>'Table 8a'!L17</f>
        <v>16158</v>
      </c>
      <c r="J17" s="872">
        <f>'Table 8a'!M17</f>
        <v>16340</v>
      </c>
      <c r="K17" s="872">
        <f>'Table 8a'!N17</f>
        <v>16475</v>
      </c>
      <c r="L17" s="873">
        <f>'Table 8a'!O17</f>
        <v>16704</v>
      </c>
      <c r="M17" s="796">
        <f t="shared" si="1"/>
        <v>26</v>
      </c>
      <c r="N17" s="1102">
        <f>'Table 8a'!Q17</f>
        <v>16158</v>
      </c>
      <c r="O17" s="872">
        <f>'Table 8a'!R17</f>
        <v>17214</v>
      </c>
      <c r="P17" s="872">
        <f>'Table 8a'!S17</f>
        <v>18114</v>
      </c>
      <c r="Q17" s="872">
        <f>'Table 8a'!T17</f>
        <v>18914</v>
      </c>
      <c r="R17" s="1100">
        <f>'Table 8a'!U17</f>
        <v>19614</v>
      </c>
      <c r="S17" s="872">
        <f>'Table 8a'!V17</f>
        <v>20114</v>
      </c>
      <c r="T17" s="871">
        <f>'Table 8a'!W17</f>
        <v>20614</v>
      </c>
      <c r="U17" s="864">
        <f>'Table 8a'!X17</f>
        <v>1056</v>
      </c>
      <c r="V17" s="872">
        <f>'Table 8a'!Y17</f>
        <v>900</v>
      </c>
      <c r="W17" s="872">
        <f>'Table 8a'!Z17</f>
        <v>800</v>
      </c>
      <c r="X17" s="872">
        <f>'Table 8a'!AA17</f>
        <v>700</v>
      </c>
      <c r="Y17" s="1100">
        <f>'Table 8a'!AB17</f>
        <v>500</v>
      </c>
      <c r="Z17" s="873">
        <f>'Table 8a'!AC17</f>
        <v>500</v>
      </c>
      <c r="AA17" s="823">
        <f t="shared" si="10"/>
        <v>0.03</v>
      </c>
      <c r="AB17" s="802">
        <f t="shared" si="11"/>
        <v>0.02</v>
      </c>
      <c r="AC17" s="802">
        <f t="shared" si="12"/>
        <v>0.02</v>
      </c>
      <c r="AD17" s="802">
        <f t="shared" si="13"/>
        <v>0.02</v>
      </c>
      <c r="AE17" s="802">
        <f t="shared" si="14"/>
        <v>0.01</v>
      </c>
      <c r="AF17" s="1047">
        <f t="shared" si="15"/>
        <v>0.01</v>
      </c>
    </row>
    <row r="18" spans="1:32">
      <c r="A18" s="1143" t="s">
        <v>26</v>
      </c>
      <c r="B18" s="729" t="s">
        <v>17</v>
      </c>
      <c r="C18" s="883">
        <v>0.05</v>
      </c>
      <c r="D18" s="883">
        <v>0.05</v>
      </c>
      <c r="E18" s="883">
        <v>0.05</v>
      </c>
      <c r="F18" s="883">
        <v>0.05</v>
      </c>
      <c r="G18" s="883">
        <v>0.05</v>
      </c>
      <c r="H18" s="864">
        <f>'Table 8a'!K18</f>
        <v>12064</v>
      </c>
      <c r="I18" s="872">
        <f>'Table 8a'!L18</f>
        <v>12141</v>
      </c>
      <c r="J18" s="872">
        <f>'Table 8a'!M18</f>
        <v>12146</v>
      </c>
      <c r="K18" s="872">
        <f>'Table 8a'!N18</f>
        <v>12106</v>
      </c>
      <c r="L18" s="873">
        <f>'Table 8a'!O18</f>
        <v>12162</v>
      </c>
      <c r="M18" s="305">
        <f t="shared" si="1"/>
        <v>4</v>
      </c>
      <c r="N18" s="1102">
        <f>'Table 8a'!Q18</f>
        <v>12141</v>
      </c>
      <c r="O18" s="872">
        <f>'Table 8a'!R18</f>
        <v>12081</v>
      </c>
      <c r="P18" s="872">
        <f>'Table 8a'!S18</f>
        <v>12281</v>
      </c>
      <c r="Q18" s="872">
        <f>'Table 8a'!T18</f>
        <v>12381</v>
      </c>
      <c r="R18" s="1100">
        <f>'Table 8a'!U18</f>
        <v>12381</v>
      </c>
      <c r="S18" s="872">
        <f>'Table 8a'!V18</f>
        <v>12381</v>
      </c>
      <c r="T18" s="871">
        <f>'Table 8a'!W18</f>
        <v>12481</v>
      </c>
      <c r="U18" s="864">
        <f>'Table 8a'!X18</f>
        <v>-60</v>
      </c>
      <c r="V18" s="872">
        <f>'Table 8a'!Y18</f>
        <v>200</v>
      </c>
      <c r="W18" s="872">
        <f>'Table 8a'!Z18</f>
        <v>100</v>
      </c>
      <c r="X18" s="872">
        <f>'Table 8a'!AA18</f>
        <v>0</v>
      </c>
      <c r="Y18" s="1100">
        <f>'Table 8a'!AB18</f>
        <v>0</v>
      </c>
      <c r="Z18" s="873">
        <f>'Table 8a'!AC18</f>
        <v>100</v>
      </c>
      <c r="AA18" s="823">
        <f t="shared" si="10"/>
        <v>0</v>
      </c>
      <c r="AB18" s="802">
        <f t="shared" si="11"/>
        <v>0</v>
      </c>
      <c r="AC18" s="802">
        <f t="shared" si="12"/>
        <v>0</v>
      </c>
      <c r="AD18" s="802">
        <f t="shared" si="13"/>
        <v>0</v>
      </c>
      <c r="AE18" s="802">
        <f t="shared" si="14"/>
        <v>0</v>
      </c>
      <c r="AF18" s="1047">
        <f t="shared" si="15"/>
        <v>0</v>
      </c>
    </row>
    <row r="19" spans="1:32">
      <c r="A19" s="364" t="s">
        <v>27</v>
      </c>
      <c r="B19" s="296" t="s">
        <v>15</v>
      </c>
      <c r="C19" s="883">
        <v>0.15</v>
      </c>
      <c r="D19" s="1146">
        <v>0.17</v>
      </c>
      <c r="E19" s="1146">
        <v>0.35</v>
      </c>
      <c r="F19" s="1146">
        <v>0.39</v>
      </c>
      <c r="G19" s="884">
        <v>0.38</v>
      </c>
      <c r="H19" s="864">
        <f>'Table 8a'!K19</f>
        <v>76619</v>
      </c>
      <c r="I19" s="872">
        <f>'Table 8a'!L19</f>
        <v>77817</v>
      </c>
      <c r="J19" s="872">
        <f>'Table 8a'!M19</f>
        <v>79234</v>
      </c>
      <c r="K19" s="872">
        <f>'Table 8a'!N19</f>
        <v>81833</v>
      </c>
      <c r="L19" s="873">
        <f>'Table 8a'!O19</f>
        <v>84155</v>
      </c>
      <c r="M19" s="1151">
        <f t="shared" si="1"/>
        <v>4</v>
      </c>
      <c r="N19" s="864">
        <f>'Table 8a'!Q19</f>
        <v>77817</v>
      </c>
      <c r="O19" s="872">
        <f>'Table 8a'!R19</f>
        <v>85974</v>
      </c>
      <c r="P19" s="872">
        <f>'Table 8a'!S19</f>
        <v>95334</v>
      </c>
      <c r="Q19" s="872">
        <f>'Table 8a'!T19</f>
        <v>102440</v>
      </c>
      <c r="R19" s="1100">
        <f>'Table 8a'!U19</f>
        <v>108633</v>
      </c>
      <c r="S19" s="872">
        <f>'Table 8a'!V19</f>
        <v>113803</v>
      </c>
      <c r="T19" s="871">
        <f>'Table 8a'!W19</f>
        <v>118436</v>
      </c>
      <c r="U19" s="864">
        <f>'Table 8a'!X19</f>
        <v>8157</v>
      </c>
      <c r="V19" s="872">
        <f>'Table 8a'!Y19</f>
        <v>9360</v>
      </c>
      <c r="W19" s="872">
        <f>'Table 8a'!Z19</f>
        <v>7106</v>
      </c>
      <c r="X19" s="872">
        <f>'Table 8a'!AA19</f>
        <v>6193</v>
      </c>
      <c r="Y19" s="1100">
        <f>'Table 8a'!AB19</f>
        <v>5170</v>
      </c>
      <c r="Z19" s="873">
        <f>'Table 8a'!AC19</f>
        <v>4633</v>
      </c>
      <c r="AA19" s="823">
        <f t="shared" si="10"/>
        <v>0.03</v>
      </c>
      <c r="AB19" s="802">
        <f t="shared" si="11"/>
        <v>0.04</v>
      </c>
      <c r="AC19" s="802">
        <f t="shared" si="12"/>
        <v>0.03</v>
      </c>
      <c r="AD19" s="802">
        <f t="shared" si="13"/>
        <v>0.02</v>
      </c>
      <c r="AE19" s="802">
        <f t="shared" si="14"/>
        <v>0.02</v>
      </c>
      <c r="AF19" s="1047">
        <f t="shared" si="15"/>
        <v>0.02</v>
      </c>
    </row>
    <row r="20" spans="1:32">
      <c r="A20" s="364" t="s">
        <v>28</v>
      </c>
      <c r="B20" s="296" t="s">
        <v>15</v>
      </c>
      <c r="C20" s="883">
        <v>2.73</v>
      </c>
      <c r="D20" s="1146">
        <v>3.59</v>
      </c>
      <c r="E20" s="1146">
        <v>3.67</v>
      </c>
      <c r="F20" s="1146">
        <v>3.74</v>
      </c>
      <c r="G20" s="884">
        <v>3.25</v>
      </c>
      <c r="H20" s="864">
        <f>'Table 8a'!K20</f>
        <v>78327</v>
      </c>
      <c r="I20" s="872">
        <f>'Table 8a'!L20</f>
        <v>76784</v>
      </c>
      <c r="J20" s="872">
        <f>'Table 8a'!M20</f>
        <v>78876</v>
      </c>
      <c r="K20" s="872">
        <f>'Table 8a'!N20</f>
        <v>79171</v>
      </c>
      <c r="L20" s="873">
        <f>'Table 8a'!O20</f>
        <v>79125</v>
      </c>
      <c r="M20" s="1151">
        <f t="shared" si="1"/>
        <v>43</v>
      </c>
      <c r="N20" s="864">
        <f>'Table 8a'!Q20</f>
        <v>76784</v>
      </c>
      <c r="O20" s="872">
        <f>'Table 8a'!R20</f>
        <v>77241</v>
      </c>
      <c r="P20" s="872">
        <f>'Table 8a'!S20</f>
        <v>77513</v>
      </c>
      <c r="Q20" s="872">
        <f>'Table 8a'!T20</f>
        <v>77598</v>
      </c>
      <c r="R20" s="1100">
        <f>'Table 8a'!U20</f>
        <v>77772</v>
      </c>
      <c r="S20" s="872">
        <f>'Table 8a'!V20</f>
        <v>77933</v>
      </c>
      <c r="T20" s="871">
        <f>'Table 8a'!W20</f>
        <v>78117</v>
      </c>
      <c r="U20" s="864">
        <f>'Table 8a'!X20</f>
        <v>457</v>
      </c>
      <c r="V20" s="872">
        <f>'Table 8a'!Y20</f>
        <v>272</v>
      </c>
      <c r="W20" s="872">
        <f>'Table 8a'!Z20</f>
        <v>85</v>
      </c>
      <c r="X20" s="872">
        <f>'Table 8a'!AA20</f>
        <v>174</v>
      </c>
      <c r="Y20" s="1100">
        <f>'Table 8a'!AB20</f>
        <v>161</v>
      </c>
      <c r="Z20" s="873">
        <f>'Table 8a'!AC20</f>
        <v>184</v>
      </c>
      <c r="AA20" s="823">
        <f t="shared" si="10"/>
        <v>0.02</v>
      </c>
      <c r="AB20" s="802">
        <f t="shared" si="11"/>
        <v>0.01</v>
      </c>
      <c r="AC20" s="802">
        <f t="shared" si="12"/>
        <v>0</v>
      </c>
      <c r="AD20" s="802">
        <f t="shared" si="13"/>
        <v>0.01</v>
      </c>
      <c r="AE20" s="802">
        <f t="shared" si="14"/>
        <v>0.01</v>
      </c>
      <c r="AF20" s="1047">
        <f t="shared" si="15"/>
        <v>0.01</v>
      </c>
    </row>
    <row r="21" spans="1:32">
      <c r="A21" s="364" t="s">
        <v>29</v>
      </c>
      <c r="B21" s="907" t="s">
        <v>15</v>
      </c>
      <c r="C21" s="883">
        <v>0.57999999999999996</v>
      </c>
      <c r="D21" s="1146">
        <v>0.76</v>
      </c>
      <c r="E21" s="1146">
        <v>0.72</v>
      </c>
      <c r="F21" s="1146">
        <v>0.57999999999999996</v>
      </c>
      <c r="G21" s="884">
        <v>0.56000000000000005</v>
      </c>
      <c r="H21" s="864">
        <f>'Table 8a'!K21</f>
        <v>210162</v>
      </c>
      <c r="I21" s="872">
        <f>'Table 8a'!L21</f>
        <v>216513</v>
      </c>
      <c r="J21" s="872">
        <f>'Table 8a'!M21</f>
        <v>223181</v>
      </c>
      <c r="K21" s="872">
        <f>'Table 8a'!N21</f>
        <v>232997</v>
      </c>
      <c r="L21" s="873">
        <f>'Table 8a'!O21</f>
        <v>244161</v>
      </c>
      <c r="M21" s="1151">
        <f t="shared" si="1"/>
        <v>3</v>
      </c>
      <c r="N21" s="864">
        <f>'Table 8a'!Q21</f>
        <v>216513</v>
      </c>
      <c r="O21" s="872">
        <f>'Table 8a'!R21</f>
        <v>254045</v>
      </c>
      <c r="P21" s="872">
        <f>'Table 8a'!S21</f>
        <v>299210</v>
      </c>
      <c r="Q21" s="872">
        <f>'Table 8a'!T21</f>
        <v>337685</v>
      </c>
      <c r="R21" s="1100">
        <f>'Table 8a'!U21</f>
        <v>369057</v>
      </c>
      <c r="S21" s="872">
        <f>'Table 8a'!V21</f>
        <v>397902</v>
      </c>
      <c r="T21" s="871">
        <f>'Table 8a'!W21</f>
        <v>424994</v>
      </c>
      <c r="U21" s="864">
        <f>'Table 8a'!X21</f>
        <v>37532</v>
      </c>
      <c r="V21" s="872">
        <f>'Table 8a'!Y21</f>
        <v>45165</v>
      </c>
      <c r="W21" s="872">
        <f>'Table 8a'!Z21</f>
        <v>38475</v>
      </c>
      <c r="X21" s="872">
        <f>'Table 8a'!AA21</f>
        <v>31372</v>
      </c>
      <c r="Y21" s="1100">
        <f>'Table 8a'!AB21</f>
        <v>28845</v>
      </c>
      <c r="Z21" s="873">
        <f>'Table 8a'!AC21</f>
        <v>27092</v>
      </c>
      <c r="AA21" s="823">
        <f t="shared" si="10"/>
        <v>0.11</v>
      </c>
      <c r="AB21" s="802">
        <f t="shared" si="11"/>
        <v>0.14000000000000001</v>
      </c>
      <c r="AC21" s="802">
        <f t="shared" si="12"/>
        <v>0.12</v>
      </c>
      <c r="AD21" s="802">
        <f t="shared" si="13"/>
        <v>0.09</v>
      </c>
      <c r="AE21" s="802">
        <f t="shared" si="14"/>
        <v>0.09</v>
      </c>
      <c r="AF21" s="1047">
        <f t="shared" si="15"/>
        <v>0.08</v>
      </c>
    </row>
    <row r="22" spans="1:32">
      <c r="A22" s="908" t="s">
        <v>30</v>
      </c>
      <c r="B22" s="907" t="s">
        <v>17</v>
      </c>
      <c r="C22" s="883">
        <v>3.19</v>
      </c>
      <c r="D22" s="1146">
        <v>3.73</v>
      </c>
      <c r="E22" s="1146">
        <v>3.86</v>
      </c>
      <c r="F22" s="1146">
        <v>3.91</v>
      </c>
      <c r="G22" s="884">
        <v>3.96</v>
      </c>
      <c r="H22" s="864">
        <f>'Table 8a'!K22</f>
        <v>41219</v>
      </c>
      <c r="I22" s="872">
        <f>'Table 8a'!L22</f>
        <v>41532</v>
      </c>
      <c r="J22" s="872">
        <f>'Table 8a'!M22</f>
        <v>41644</v>
      </c>
      <c r="K22" s="872">
        <f>'Table 8a'!N22</f>
        <v>42097</v>
      </c>
      <c r="L22" s="873">
        <f>'Table 8a'!O22</f>
        <v>42817</v>
      </c>
      <c r="M22" s="1151">
        <f t="shared" si="1"/>
        <v>89</v>
      </c>
      <c r="N22" s="864">
        <f>'Table 8a'!Q22</f>
        <v>41532</v>
      </c>
      <c r="O22" s="872">
        <f>'Table 8a'!R22</f>
        <v>43899</v>
      </c>
      <c r="P22" s="872">
        <f>'Table 8a'!S22</f>
        <v>46299</v>
      </c>
      <c r="Q22" s="872">
        <f>'Table 8a'!T22</f>
        <v>48399</v>
      </c>
      <c r="R22" s="1100">
        <f>'Table 8a'!U22</f>
        <v>50099</v>
      </c>
      <c r="S22" s="872">
        <f>'Table 8a'!V22</f>
        <v>51499</v>
      </c>
      <c r="T22" s="871">
        <f>'Table 8a'!W22</f>
        <v>52699</v>
      </c>
      <c r="U22" s="864">
        <f>'Table 8a'!X22</f>
        <v>2367</v>
      </c>
      <c r="V22" s="872">
        <f>'Table 8a'!Y22</f>
        <v>2400</v>
      </c>
      <c r="W22" s="872">
        <f>'Table 8a'!Z22</f>
        <v>2100</v>
      </c>
      <c r="X22" s="872">
        <f>'Table 8a'!AA22</f>
        <v>1700</v>
      </c>
      <c r="Y22" s="1100">
        <f>'Table 8a'!AB22</f>
        <v>1400</v>
      </c>
      <c r="Z22" s="873">
        <f>'Table 8a'!AC22</f>
        <v>1200</v>
      </c>
      <c r="AA22" s="823">
        <f t="shared" si="10"/>
        <v>0.21</v>
      </c>
      <c r="AB22" s="802">
        <f t="shared" si="11"/>
        <v>0.21</v>
      </c>
      <c r="AC22" s="802">
        <f t="shared" si="12"/>
        <v>0.19</v>
      </c>
      <c r="AD22" s="802">
        <f t="shared" si="13"/>
        <v>0.15</v>
      </c>
      <c r="AE22" s="802">
        <f t="shared" si="14"/>
        <v>0.12</v>
      </c>
      <c r="AF22" s="1047">
        <f t="shared" si="15"/>
        <v>0.11</v>
      </c>
    </row>
    <row r="23" spans="1:32" ht="13.5" thickBot="1">
      <c r="A23" s="1037" t="s">
        <v>31</v>
      </c>
      <c r="B23" s="275" t="s">
        <v>17</v>
      </c>
      <c r="C23" s="18">
        <v>0.53</v>
      </c>
      <c r="D23" s="1147">
        <v>0.51</v>
      </c>
      <c r="E23" s="1147">
        <v>0.53</v>
      </c>
      <c r="F23" s="1147">
        <v>0.52</v>
      </c>
      <c r="G23" s="410">
        <v>0.51</v>
      </c>
      <c r="H23" s="861">
        <f>'Table 8a'!K23</f>
        <v>10804</v>
      </c>
      <c r="I23" s="368">
        <f>'Table 8a'!L23</f>
        <v>11015</v>
      </c>
      <c r="J23" s="368">
        <f>'Table 8a'!M23</f>
        <v>10898</v>
      </c>
      <c r="K23" s="368">
        <f>'Table 8a'!N23</f>
        <v>10735</v>
      </c>
      <c r="L23" s="369">
        <f>'Table 8a'!O23</f>
        <v>10767</v>
      </c>
      <c r="M23" s="1765">
        <f t="shared" si="1"/>
        <v>48</v>
      </c>
      <c r="N23" s="861">
        <f>'Table 8a'!Q23</f>
        <v>11015</v>
      </c>
      <c r="O23" s="368">
        <f>'Table 8a'!R23</f>
        <v>10767</v>
      </c>
      <c r="P23" s="368">
        <f>'Table 8a'!S23</f>
        <v>10867</v>
      </c>
      <c r="Q23" s="368">
        <f>'Table 8a'!T23</f>
        <v>10867</v>
      </c>
      <c r="R23" s="711">
        <f>'Table 8a'!U23</f>
        <v>10967</v>
      </c>
      <c r="S23" s="368">
        <f>'Table 8a'!V23</f>
        <v>10967</v>
      </c>
      <c r="T23" s="801">
        <f>'Table 8a'!W23</f>
        <v>10967</v>
      </c>
      <c r="U23" s="861">
        <f>'Table 8a'!X23</f>
        <v>-248</v>
      </c>
      <c r="V23" s="368">
        <f>'Table 8a'!Y23</f>
        <v>100</v>
      </c>
      <c r="W23" s="368">
        <f>'Table 8a'!Z23</f>
        <v>0</v>
      </c>
      <c r="X23" s="368">
        <f>'Table 8a'!AA23</f>
        <v>100</v>
      </c>
      <c r="Y23" s="711">
        <f>'Table 8a'!AB23</f>
        <v>0</v>
      </c>
      <c r="Z23" s="369">
        <f>'Table 8a'!AC23</f>
        <v>0</v>
      </c>
      <c r="AA23" s="48">
        <f t="shared" si="10"/>
        <v>-0.01</v>
      </c>
      <c r="AB23" s="712">
        <f t="shared" si="11"/>
        <v>0</v>
      </c>
      <c r="AC23" s="712">
        <f t="shared" si="12"/>
        <v>0</v>
      </c>
      <c r="AD23" s="712">
        <f t="shared" si="13"/>
        <v>0</v>
      </c>
      <c r="AE23" s="712">
        <f t="shared" si="14"/>
        <v>0</v>
      </c>
      <c r="AF23" s="1108">
        <f t="shared" si="15"/>
        <v>0</v>
      </c>
    </row>
    <row r="24" spans="1:32" ht="14.25" thickTop="1" thickBot="1">
      <c r="A24" s="3456" t="s">
        <v>32</v>
      </c>
      <c r="B24" s="3457"/>
      <c r="C24" s="139">
        <f>C4+C7+C10+C13+C15+C16+C19+C20+C21</f>
        <v>19.03</v>
      </c>
      <c r="D24" s="701">
        <f t="shared" ref="D24:G24" si="16">D4+D7+D10+D13+D15+D16+D19+D20+D21</f>
        <v>20.57</v>
      </c>
      <c r="E24" s="701">
        <f t="shared" si="16"/>
        <v>19.760000000000002</v>
      </c>
      <c r="F24" s="701">
        <f t="shared" si="16"/>
        <v>20.13</v>
      </c>
      <c r="G24" s="756">
        <f t="shared" si="16"/>
        <v>17.38</v>
      </c>
      <c r="H24" s="856">
        <f>'Table 8a'!K24</f>
        <v>1788382</v>
      </c>
      <c r="I24" s="172">
        <f>'Table 8a'!L24</f>
        <v>1804699</v>
      </c>
      <c r="J24" s="172">
        <f>'Table 8a'!M24</f>
        <v>1866947</v>
      </c>
      <c r="K24" s="172">
        <f>'Table 8a'!N24</f>
        <v>1900090</v>
      </c>
      <c r="L24" s="173">
        <f>'Table 8a'!O24</f>
        <v>1942638</v>
      </c>
      <c r="M24" s="707">
        <f t="shared" si="1"/>
        <v>10</v>
      </c>
      <c r="N24" s="856">
        <f>'Table 8a'!Q24</f>
        <v>1804699</v>
      </c>
      <c r="O24" s="172">
        <f>'Table 8a'!R24</f>
        <v>1950258</v>
      </c>
      <c r="P24" s="172">
        <f>'Table 8a'!S24</f>
        <v>2108590</v>
      </c>
      <c r="Q24" s="172">
        <f>'Table 8a'!T24</f>
        <v>2235156</v>
      </c>
      <c r="R24" s="62">
        <f>'Table 8a'!U24</f>
        <v>2342929</v>
      </c>
      <c r="S24" s="172">
        <f>'Table 8a'!V24</f>
        <v>2431706</v>
      </c>
      <c r="T24" s="126">
        <f>'Table 8a'!W24</f>
        <v>2512586</v>
      </c>
      <c r="U24" s="856">
        <f>'Table 8a'!X24</f>
        <v>145559</v>
      </c>
      <c r="V24" s="172">
        <f>'Table 8a'!Y24</f>
        <v>158332</v>
      </c>
      <c r="W24" s="172">
        <f>'Table 8a'!Z24</f>
        <v>126566</v>
      </c>
      <c r="X24" s="172">
        <f>'Table 8a'!AA24</f>
        <v>107773</v>
      </c>
      <c r="Y24" s="62">
        <f>'Table 8a'!AB24</f>
        <v>88777</v>
      </c>
      <c r="Z24" s="173">
        <f>'Table 8a'!AC24</f>
        <v>80880</v>
      </c>
      <c r="AA24" s="139">
        <f t="shared" ref="AA24:AF24" si="17">AA4+AA7+AA10+AA13+AA15+AA16+AA19+AA20+AA21</f>
        <v>1.1599999999999999</v>
      </c>
      <c r="AB24" s="701">
        <f t="shared" si="17"/>
        <v>1.24</v>
      </c>
      <c r="AC24" s="701">
        <f t="shared" si="17"/>
        <v>0.96</v>
      </c>
      <c r="AD24" s="701">
        <f t="shared" si="17"/>
        <v>0.83</v>
      </c>
      <c r="AE24" s="701">
        <f t="shared" si="17"/>
        <v>0.7</v>
      </c>
      <c r="AF24" s="61">
        <f t="shared" si="17"/>
        <v>0.6</v>
      </c>
    </row>
    <row r="25" spans="1:32" ht="13.5" thickBot="1">
      <c r="A25" s="3458" t="s">
        <v>33</v>
      </c>
      <c r="B25" s="3459"/>
      <c r="C25" s="192">
        <f>C5+C8+C11+C14+C17+C18+C22+C23</f>
        <v>6.04</v>
      </c>
      <c r="D25" s="706">
        <f t="shared" ref="D25:G25" si="18">D5+D8+D11+D14+D17+D18+D22+D23</f>
        <v>6.68</v>
      </c>
      <c r="E25" s="706">
        <f t="shared" si="18"/>
        <v>6.83</v>
      </c>
      <c r="F25" s="706">
        <f t="shared" si="18"/>
        <v>6.81</v>
      </c>
      <c r="G25" s="248">
        <f t="shared" si="18"/>
        <v>7</v>
      </c>
      <c r="H25" s="189">
        <f>'Table 8a'!K25</f>
        <v>219405</v>
      </c>
      <c r="I25" s="190">
        <f>'Table 8a'!L25</f>
        <v>221826</v>
      </c>
      <c r="J25" s="190">
        <f>'Table 8a'!M25</f>
        <v>225079</v>
      </c>
      <c r="K25" s="190">
        <f>'Table 8a'!N25</f>
        <v>226947</v>
      </c>
      <c r="L25" s="332">
        <f>'Table 8a'!O25</f>
        <v>229955</v>
      </c>
      <c r="M25" s="797">
        <f t="shared" si="1"/>
        <v>30</v>
      </c>
      <c r="N25" s="189">
        <f>'Table 8a'!Q25</f>
        <v>221826</v>
      </c>
      <c r="O25" s="190">
        <f>'Table 8a'!R25</f>
        <v>237335</v>
      </c>
      <c r="P25" s="190">
        <f>'Table 8a'!S25</f>
        <v>250947</v>
      </c>
      <c r="Q25" s="190">
        <f>'Table 8a'!T25</f>
        <v>262773</v>
      </c>
      <c r="R25" s="188">
        <f>'Table 8a'!U25</f>
        <v>275876</v>
      </c>
      <c r="S25" s="190">
        <f>'Table 8a'!V25</f>
        <v>284841</v>
      </c>
      <c r="T25" s="710">
        <f>'Table 8a'!W25</f>
        <v>292341</v>
      </c>
      <c r="U25" s="189">
        <f>'Table 8a'!X25</f>
        <v>15509</v>
      </c>
      <c r="V25" s="190">
        <f>'Table 8a'!Y25</f>
        <v>13612</v>
      </c>
      <c r="W25" s="190">
        <f>'Table 8a'!Z25</f>
        <v>11826</v>
      </c>
      <c r="X25" s="190">
        <f>'Table 8a'!AA25</f>
        <v>13103</v>
      </c>
      <c r="Y25" s="188">
        <f>'Table 8a'!AB25</f>
        <v>8965</v>
      </c>
      <c r="Z25" s="332">
        <f>'Table 8a'!AC25</f>
        <v>7500</v>
      </c>
      <c r="AA25" s="192">
        <f t="shared" ref="AA25:AF25" si="19">AA5+AA8+AA11+AA14+AA17+AA18+AA22+AA23</f>
        <v>0.33</v>
      </c>
      <c r="AB25" s="706">
        <f t="shared" si="19"/>
        <v>0.3</v>
      </c>
      <c r="AC25" s="706">
        <f t="shared" si="19"/>
        <v>0.28000000000000003</v>
      </c>
      <c r="AD25" s="706">
        <f t="shared" si="19"/>
        <v>0.24</v>
      </c>
      <c r="AE25" s="706">
        <f t="shared" si="19"/>
        <v>0.18</v>
      </c>
      <c r="AF25" s="191">
        <f t="shared" si="19"/>
        <v>0.16</v>
      </c>
    </row>
    <row r="26" spans="1:32" ht="13.5" thickBot="1">
      <c r="A26" s="3462" t="s">
        <v>34</v>
      </c>
      <c r="B26" s="3463"/>
      <c r="C26" s="34">
        <f t="shared" ref="C26:G26" si="20">SUM(C24:C25)</f>
        <v>25.07</v>
      </c>
      <c r="D26" s="774">
        <f t="shared" si="20"/>
        <v>27.25</v>
      </c>
      <c r="E26" s="774">
        <f t="shared" si="20"/>
        <v>26.59</v>
      </c>
      <c r="F26" s="774">
        <f t="shared" si="20"/>
        <v>26.94</v>
      </c>
      <c r="G26" s="758">
        <f t="shared" si="20"/>
        <v>24.38</v>
      </c>
      <c r="H26" s="857">
        <f>'Table 8a'!K26</f>
        <v>2007787</v>
      </c>
      <c r="I26" s="251">
        <f>'Table 8a'!L26</f>
        <v>2026525</v>
      </c>
      <c r="J26" s="251">
        <f>'Table 8a'!M26</f>
        <v>2092026</v>
      </c>
      <c r="K26" s="251">
        <f>'Table 8a'!N26</f>
        <v>2127037</v>
      </c>
      <c r="L26" s="167">
        <f>'Table 8a'!O26</f>
        <v>2172593</v>
      </c>
      <c r="M26" s="708">
        <f t="shared" si="1"/>
        <v>12</v>
      </c>
      <c r="N26" s="857">
        <f>'Table 8a'!Q26</f>
        <v>2026525</v>
      </c>
      <c r="O26" s="251">
        <f>'Table 8a'!R26</f>
        <v>2187593</v>
      </c>
      <c r="P26" s="251">
        <f>'Table 8a'!S26</f>
        <v>2359537</v>
      </c>
      <c r="Q26" s="251">
        <f>'Table 8a'!T26</f>
        <v>2497929</v>
      </c>
      <c r="R26" s="77">
        <f>'Table 8a'!U26</f>
        <v>2618805</v>
      </c>
      <c r="S26" s="251">
        <f>'Table 8a'!V26</f>
        <v>2716547</v>
      </c>
      <c r="T26" s="213">
        <f>'Table 8a'!W26</f>
        <v>2804927</v>
      </c>
      <c r="U26" s="857">
        <f>'Table 8a'!X26</f>
        <v>161068</v>
      </c>
      <c r="V26" s="251">
        <f>'Table 8a'!Y26</f>
        <v>171944</v>
      </c>
      <c r="W26" s="251">
        <f>'Table 8a'!Z26</f>
        <v>138392</v>
      </c>
      <c r="X26" s="251">
        <f>'Table 8a'!AA26</f>
        <v>120876</v>
      </c>
      <c r="Y26" s="77">
        <f>'Table 8a'!AB26</f>
        <v>97742</v>
      </c>
      <c r="Z26" s="167">
        <f>'Table 8a'!AC26</f>
        <v>88380</v>
      </c>
      <c r="AA26" s="34">
        <f t="shared" ref="AA26:AF26" si="21">SUM(AA24:AA25)</f>
        <v>1.49</v>
      </c>
      <c r="AB26" s="774">
        <f t="shared" si="21"/>
        <v>1.54</v>
      </c>
      <c r="AC26" s="774">
        <f t="shared" si="21"/>
        <v>1.24</v>
      </c>
      <c r="AD26" s="774">
        <f t="shared" si="21"/>
        <v>1.07</v>
      </c>
      <c r="AE26" s="774">
        <f t="shared" si="21"/>
        <v>0.88</v>
      </c>
      <c r="AF26" s="21">
        <f t="shared" si="21"/>
        <v>0.76</v>
      </c>
    </row>
    <row r="27" spans="1:32">
      <c r="A27" s="89" t="s">
        <v>35</v>
      </c>
      <c r="C27" s="23"/>
      <c r="D27" s="23"/>
      <c r="E27" s="23"/>
      <c r="F27" s="23"/>
      <c r="G27" s="23"/>
    </row>
    <row r="28" spans="1:32">
      <c r="A28" s="1" t="s">
        <v>68</v>
      </c>
    </row>
    <row r="29" spans="1:32">
      <c r="A29" s="1" t="s">
        <v>69</v>
      </c>
      <c r="H29" s="23"/>
    </row>
    <row r="30" spans="1:32">
      <c r="A30" s="1" t="s">
        <v>621</v>
      </c>
    </row>
    <row r="31" spans="1:32">
      <c r="A31" s="2" t="s">
        <v>611</v>
      </c>
    </row>
    <row r="32" spans="1:32">
      <c r="A32" s="1" t="s">
        <v>612</v>
      </c>
    </row>
    <row r="33" spans="1:32">
      <c r="A33" s="1" t="s">
        <v>622</v>
      </c>
    </row>
    <row r="35" spans="1:32" ht="13.5" thickBot="1">
      <c r="A35" s="800" t="s">
        <v>623</v>
      </c>
    </row>
    <row r="36" spans="1:32" ht="27.6" customHeight="1" thickBot="1">
      <c r="A36" s="3466" t="s">
        <v>1</v>
      </c>
      <c r="B36" s="3468" t="s">
        <v>2</v>
      </c>
      <c r="C36" s="3286" t="s">
        <v>595</v>
      </c>
      <c r="D36" s="3287"/>
      <c r="E36" s="3287"/>
      <c r="F36" s="3287"/>
      <c r="G36" s="3287"/>
      <c r="H36" s="3286" t="s">
        <v>599</v>
      </c>
      <c r="I36" s="3287"/>
      <c r="J36" s="3287"/>
      <c r="K36" s="3287"/>
      <c r="L36" s="3288"/>
      <c r="M36" s="3216" t="s">
        <v>600</v>
      </c>
      <c r="N36" s="3286" t="s">
        <v>601</v>
      </c>
      <c r="O36" s="3287"/>
      <c r="P36" s="3287"/>
      <c r="Q36" s="3287"/>
      <c r="R36" s="3287"/>
      <c r="S36" s="3287"/>
      <c r="T36" s="3287"/>
      <c r="U36" s="3286" t="s">
        <v>602</v>
      </c>
      <c r="V36" s="3287"/>
      <c r="W36" s="3287"/>
      <c r="X36" s="3287"/>
      <c r="Y36" s="3287"/>
      <c r="Z36" s="3288"/>
      <c r="AA36" s="3221" t="s">
        <v>620</v>
      </c>
      <c r="AB36" s="3222"/>
      <c r="AC36" s="3222"/>
      <c r="AD36" s="3222"/>
      <c r="AE36" s="3222"/>
      <c r="AF36" s="3223"/>
    </row>
    <row r="37" spans="1:32" ht="27.6" customHeight="1" thickBot="1">
      <c r="A37" s="3467"/>
      <c r="B37" s="3469"/>
      <c r="C37" s="1757">
        <v>2014</v>
      </c>
      <c r="D37" s="1750">
        <v>2015</v>
      </c>
      <c r="E37" s="1750">
        <v>2016</v>
      </c>
      <c r="F37" s="1750">
        <v>2017</v>
      </c>
      <c r="G37" s="1758">
        <v>2018</v>
      </c>
      <c r="H37" s="1757">
        <v>2014</v>
      </c>
      <c r="I37" s="1750">
        <v>2015</v>
      </c>
      <c r="J37" s="1750">
        <v>2016</v>
      </c>
      <c r="K37" s="1750">
        <v>2017</v>
      </c>
      <c r="L37" s="1759">
        <v>2018</v>
      </c>
      <c r="M37" s="3465"/>
      <c r="N37" s="1757">
        <v>2015</v>
      </c>
      <c r="O37" s="1750">
        <v>2020</v>
      </c>
      <c r="P37" s="1750">
        <v>2025</v>
      </c>
      <c r="Q37" s="1750">
        <v>2030</v>
      </c>
      <c r="R37" s="1758">
        <v>2035</v>
      </c>
      <c r="S37" s="1750">
        <v>2040</v>
      </c>
      <c r="T37" s="3035">
        <v>2045</v>
      </c>
      <c r="U37" s="1757" t="s">
        <v>604</v>
      </c>
      <c r="V37" s="1750" t="s">
        <v>605</v>
      </c>
      <c r="W37" s="1750" t="s">
        <v>606</v>
      </c>
      <c r="X37" s="1758" t="s">
        <v>607</v>
      </c>
      <c r="Y37" s="1750" t="s">
        <v>608</v>
      </c>
      <c r="Z37" s="3036" t="s">
        <v>609</v>
      </c>
      <c r="AA37" s="1760">
        <v>2020</v>
      </c>
      <c r="AB37" s="1761">
        <v>2025</v>
      </c>
      <c r="AC37" s="1761">
        <v>2030</v>
      </c>
      <c r="AD37" s="1761">
        <v>2035</v>
      </c>
      <c r="AE37" s="1762">
        <v>2040</v>
      </c>
      <c r="AF37" s="1944">
        <v>2045</v>
      </c>
    </row>
    <row r="38" spans="1:32">
      <c r="A38" s="176" t="s">
        <v>46</v>
      </c>
      <c r="B38" s="730" t="s">
        <v>17</v>
      </c>
      <c r="C38" s="47">
        <v>0.2</v>
      </c>
      <c r="D38" s="181">
        <v>0.2</v>
      </c>
      <c r="E38" s="181">
        <v>0.21</v>
      </c>
      <c r="F38" s="181">
        <v>0.12</v>
      </c>
      <c r="G38" s="761">
        <v>0.12</v>
      </c>
      <c r="H38" s="168">
        <f>'Table 8a'!K37</f>
        <v>15066</v>
      </c>
      <c r="I38" s="249">
        <f>'Table 8a'!L37</f>
        <v>14932</v>
      </c>
      <c r="J38" s="249">
        <f>'Table 8a'!M37</f>
        <v>15091</v>
      </c>
      <c r="K38" s="249">
        <f>'Table 8a'!N37</f>
        <v>15076</v>
      </c>
      <c r="L38" s="250">
        <f>'Table 8a'!O37</f>
        <v>14818</v>
      </c>
      <c r="M38" s="795">
        <f t="shared" ref="M38:M44" si="22">(C38+D38+E38+F38+G38)/(H38+I38+J38+K38+L38)*1000000</f>
        <v>11</v>
      </c>
      <c r="N38" s="247">
        <f>'Table 8a'!Q37</f>
        <v>14932</v>
      </c>
      <c r="O38" s="249">
        <f>'Table 8a'!R37</f>
        <v>15042</v>
      </c>
      <c r="P38" s="249">
        <f>'Table 8a'!S37</f>
        <v>15242</v>
      </c>
      <c r="Q38" s="249">
        <f>'Table 8a'!T37</f>
        <v>15342</v>
      </c>
      <c r="R38" s="125">
        <f>'Table 8a'!U37</f>
        <v>15442</v>
      </c>
      <c r="S38" s="125">
        <f>'Table 8a'!V37</f>
        <v>15442</v>
      </c>
      <c r="T38" s="125">
        <f>'Table 8a'!W37</f>
        <v>15442</v>
      </c>
      <c r="U38" s="168">
        <f>'Table 8a'!X37</f>
        <v>110</v>
      </c>
      <c r="V38" s="249">
        <f>'Table 8a'!Y37</f>
        <v>200</v>
      </c>
      <c r="W38" s="249">
        <f>'Table 8a'!Z37</f>
        <v>100</v>
      </c>
      <c r="X38" s="249">
        <f>'Table 8a'!AA37</f>
        <v>100</v>
      </c>
      <c r="Y38" s="249">
        <f>'Table 8a'!AB37</f>
        <v>0</v>
      </c>
      <c r="Z38" s="291">
        <f>'Table 8a'!AC37</f>
        <v>0</v>
      </c>
      <c r="AA38" s="246">
        <f t="shared" ref="AA38:AF43" si="23">$M38*U38/1000000</f>
        <v>0</v>
      </c>
      <c r="AB38" s="181">
        <f t="shared" si="23"/>
        <v>0</v>
      </c>
      <c r="AC38" s="181">
        <f t="shared" si="23"/>
        <v>0</v>
      </c>
      <c r="AD38" s="181">
        <f t="shared" si="23"/>
        <v>0</v>
      </c>
      <c r="AE38" s="761">
        <f t="shared" si="23"/>
        <v>0</v>
      </c>
      <c r="AF38" s="57">
        <f t="shared" si="23"/>
        <v>0</v>
      </c>
    </row>
    <row r="39" spans="1:32">
      <c r="A39" s="1143" t="s">
        <v>47</v>
      </c>
      <c r="B39" s="730" t="s">
        <v>17</v>
      </c>
      <c r="C39" s="823">
        <v>0.22</v>
      </c>
      <c r="D39" s="802">
        <v>0.16</v>
      </c>
      <c r="E39" s="802">
        <v>0.18</v>
      </c>
      <c r="F39" s="802">
        <v>0.19</v>
      </c>
      <c r="G39" s="860">
        <v>0.17</v>
      </c>
      <c r="H39" s="864">
        <f>'Table 8a'!K38</f>
        <v>3574</v>
      </c>
      <c r="I39" s="872">
        <f>'Table 8a'!L38</f>
        <v>3557</v>
      </c>
      <c r="J39" s="872">
        <f>'Table 8a'!M38</f>
        <v>3554</v>
      </c>
      <c r="K39" s="872">
        <f>'Table 8a'!N38</f>
        <v>3552</v>
      </c>
      <c r="L39" s="873">
        <f>'Table 8a'!O38</f>
        <v>3600</v>
      </c>
      <c r="M39" s="796">
        <f t="shared" si="22"/>
        <v>52</v>
      </c>
      <c r="N39" s="1102">
        <f>'Table 8a'!Q38</f>
        <v>3557</v>
      </c>
      <c r="O39" s="872">
        <f>'Table 8a'!R38</f>
        <v>3621</v>
      </c>
      <c r="P39" s="872">
        <f>'Table 8a'!S38</f>
        <v>3701</v>
      </c>
      <c r="Q39" s="872">
        <f>'Table 8a'!T38</f>
        <v>3753</v>
      </c>
      <c r="R39" s="1100">
        <f>'Table 8a'!U38</f>
        <v>3780</v>
      </c>
      <c r="S39" s="1100">
        <f>'Table 8a'!V38</f>
        <v>3833</v>
      </c>
      <c r="T39" s="1100">
        <f>'Table 8a'!W38</f>
        <v>3859</v>
      </c>
      <c r="U39" s="864">
        <f>'Table 8a'!X38</f>
        <v>64</v>
      </c>
      <c r="V39" s="872">
        <f>'Table 8a'!Y38</f>
        <v>80</v>
      </c>
      <c r="W39" s="872">
        <f>'Table 8a'!Z38</f>
        <v>52</v>
      </c>
      <c r="X39" s="872">
        <f>'Table 8a'!AA38</f>
        <v>27</v>
      </c>
      <c r="Y39" s="872">
        <f>'Table 8a'!AB38</f>
        <v>53</v>
      </c>
      <c r="Z39" s="995">
        <f>'Table 8a'!AC38</f>
        <v>26</v>
      </c>
      <c r="AA39" s="870">
        <f t="shared" si="23"/>
        <v>0</v>
      </c>
      <c r="AB39" s="802">
        <f t="shared" si="23"/>
        <v>0</v>
      </c>
      <c r="AC39" s="802">
        <f t="shared" si="23"/>
        <v>0</v>
      </c>
      <c r="AD39" s="802">
        <f t="shared" si="23"/>
        <v>0</v>
      </c>
      <c r="AE39" s="860">
        <f t="shared" si="23"/>
        <v>0</v>
      </c>
      <c r="AF39" s="1106">
        <f t="shared" si="23"/>
        <v>0</v>
      </c>
    </row>
    <row r="40" spans="1:32">
      <c r="A40" s="1143" t="s">
        <v>48</v>
      </c>
      <c r="B40" s="729" t="s">
        <v>17</v>
      </c>
      <c r="C40" s="823">
        <v>0.32</v>
      </c>
      <c r="D40" s="802">
        <v>0.33</v>
      </c>
      <c r="E40" s="802">
        <v>0.32</v>
      </c>
      <c r="F40" s="802">
        <v>0.33</v>
      </c>
      <c r="G40" s="860">
        <v>0.28999999999999998</v>
      </c>
      <c r="H40" s="864">
        <f>'Table 8a'!K39</f>
        <v>6972</v>
      </c>
      <c r="I40" s="872">
        <f>'Table 8a'!L39</f>
        <v>7017</v>
      </c>
      <c r="J40" s="872">
        <f>'Table 8a'!M39</f>
        <v>7000</v>
      </c>
      <c r="K40" s="872">
        <f>'Table 8a'!N39</f>
        <v>7085</v>
      </c>
      <c r="L40" s="873">
        <f>'Table 8a'!O39</f>
        <v>7094</v>
      </c>
      <c r="M40" s="796">
        <f t="shared" si="22"/>
        <v>45</v>
      </c>
      <c r="N40" s="1102">
        <f>'Table 8a'!Q39</f>
        <v>7017</v>
      </c>
      <c r="O40" s="872">
        <f>'Table 8a'!R39</f>
        <v>7509</v>
      </c>
      <c r="P40" s="872">
        <f>'Table 8a'!S39</f>
        <v>7909</v>
      </c>
      <c r="Q40" s="872">
        <f>'Table 8a'!T39</f>
        <v>8209</v>
      </c>
      <c r="R40" s="1100">
        <f>'Table 8a'!U39</f>
        <v>8509</v>
      </c>
      <c r="S40" s="1100">
        <f>'Table 8a'!V39</f>
        <v>8709</v>
      </c>
      <c r="T40" s="1100">
        <f>'Table 8a'!W39</f>
        <v>8909</v>
      </c>
      <c r="U40" s="864">
        <f>'Table 8a'!X39</f>
        <v>492</v>
      </c>
      <c r="V40" s="872">
        <f>'Table 8a'!Y39</f>
        <v>400</v>
      </c>
      <c r="W40" s="872">
        <f>'Table 8a'!Z39</f>
        <v>300</v>
      </c>
      <c r="X40" s="872">
        <f>'Table 8a'!AA39</f>
        <v>300</v>
      </c>
      <c r="Y40" s="872">
        <f>'Table 8a'!AB39</f>
        <v>200</v>
      </c>
      <c r="Z40" s="995">
        <f>'Table 8a'!AC39</f>
        <v>200</v>
      </c>
      <c r="AA40" s="870">
        <f t="shared" si="23"/>
        <v>0.02</v>
      </c>
      <c r="AB40" s="802">
        <f t="shared" si="23"/>
        <v>0.02</v>
      </c>
      <c r="AC40" s="802">
        <f t="shared" si="23"/>
        <v>0.01</v>
      </c>
      <c r="AD40" s="802">
        <f t="shared" si="23"/>
        <v>0.01</v>
      </c>
      <c r="AE40" s="860">
        <f t="shared" si="23"/>
        <v>0.01</v>
      </c>
      <c r="AF40" s="1106">
        <f t="shared" si="23"/>
        <v>0.01</v>
      </c>
    </row>
    <row r="41" spans="1:32">
      <c r="A41" s="295" t="s">
        <v>49</v>
      </c>
      <c r="B41" s="296" t="s">
        <v>17</v>
      </c>
      <c r="C41" s="823">
        <v>0.15</v>
      </c>
      <c r="D41" s="802">
        <v>0.16</v>
      </c>
      <c r="E41" s="802">
        <v>0.14000000000000001</v>
      </c>
      <c r="F41" s="802">
        <v>0.13</v>
      </c>
      <c r="G41" s="860">
        <v>0.13</v>
      </c>
      <c r="H41" s="864">
        <f>'Table 8a'!K40</f>
        <v>18289</v>
      </c>
      <c r="I41" s="872">
        <f>'Table 8a'!L40</f>
        <v>18287</v>
      </c>
      <c r="J41" s="872">
        <f>'Table 8a'!M40</f>
        <v>18325</v>
      </c>
      <c r="K41" s="872">
        <f>'Table 8a'!N40</f>
        <v>18643</v>
      </c>
      <c r="L41" s="873">
        <f>'Table 8a'!O40</f>
        <v>18337</v>
      </c>
      <c r="M41" s="1151">
        <f t="shared" si="22"/>
        <v>8</v>
      </c>
      <c r="N41" s="864">
        <f>'Table 8a'!Q40</f>
        <v>18287</v>
      </c>
      <c r="O41" s="872">
        <f>'Table 8a'!R40</f>
        <v>18581</v>
      </c>
      <c r="P41" s="872">
        <f>'Table 8a'!S40</f>
        <v>19072</v>
      </c>
      <c r="Q41" s="872">
        <f>'Table 8a'!T40</f>
        <v>19474</v>
      </c>
      <c r="R41" s="1100">
        <f>'Table 8a'!U40</f>
        <v>19787</v>
      </c>
      <c r="S41" s="1100">
        <f>'Table 8a'!V40</f>
        <v>20055</v>
      </c>
      <c r="T41" s="1100">
        <f>'Table 8a'!W40</f>
        <v>20323</v>
      </c>
      <c r="U41" s="864">
        <f>'Table 8a'!X40</f>
        <v>294</v>
      </c>
      <c r="V41" s="872">
        <f>'Table 8a'!Y40</f>
        <v>491</v>
      </c>
      <c r="W41" s="872">
        <f>'Table 8a'!Z40</f>
        <v>402</v>
      </c>
      <c r="X41" s="872">
        <f>'Table 8a'!AA40</f>
        <v>313</v>
      </c>
      <c r="Y41" s="1100">
        <f>'Table 8a'!AB40</f>
        <v>268</v>
      </c>
      <c r="Z41" s="1100">
        <f>'Table 8a'!AC40</f>
        <v>268</v>
      </c>
      <c r="AA41" s="823">
        <f t="shared" si="23"/>
        <v>0</v>
      </c>
      <c r="AB41" s="802">
        <f t="shared" si="23"/>
        <v>0</v>
      </c>
      <c r="AC41" s="802">
        <f t="shared" si="23"/>
        <v>0</v>
      </c>
      <c r="AD41" s="802">
        <f t="shared" si="23"/>
        <v>0</v>
      </c>
      <c r="AE41" s="860">
        <f t="shared" si="23"/>
        <v>0</v>
      </c>
      <c r="AF41" s="1106">
        <f t="shared" si="23"/>
        <v>0</v>
      </c>
    </row>
    <row r="42" spans="1:32">
      <c r="A42" s="364" t="s">
        <v>50</v>
      </c>
      <c r="B42" s="907" t="s">
        <v>17</v>
      </c>
      <c r="C42" s="823">
        <v>0.83</v>
      </c>
      <c r="D42" s="802">
        <v>1</v>
      </c>
      <c r="E42" s="802">
        <v>0.87</v>
      </c>
      <c r="F42" s="802">
        <v>1</v>
      </c>
      <c r="G42" s="860">
        <v>0.9</v>
      </c>
      <c r="H42" s="864">
        <f>'Table 8a'!K41</f>
        <v>17663</v>
      </c>
      <c r="I42" s="872">
        <f>'Table 8a'!L41</f>
        <v>17615</v>
      </c>
      <c r="J42" s="872">
        <f>'Table 8a'!M41</f>
        <v>17713</v>
      </c>
      <c r="K42" s="872">
        <f>'Table 8a'!N41</f>
        <v>17704</v>
      </c>
      <c r="L42" s="873">
        <f>'Table 8a'!O41</f>
        <v>17812</v>
      </c>
      <c r="M42" s="1151">
        <f t="shared" si="22"/>
        <v>52</v>
      </c>
      <c r="N42" s="864">
        <f>'Table 8a'!Q41</f>
        <v>17615</v>
      </c>
      <c r="O42" s="872">
        <f>'Table 8a'!R41</f>
        <v>17812</v>
      </c>
      <c r="P42" s="872">
        <f>'Table 8a'!S41</f>
        <v>18112</v>
      </c>
      <c r="Q42" s="872">
        <f>'Table 8a'!T41</f>
        <v>18312</v>
      </c>
      <c r="R42" s="1100">
        <f>'Table 8a'!U41</f>
        <v>18412</v>
      </c>
      <c r="S42" s="1100">
        <f>'Table 8a'!V41</f>
        <v>18612</v>
      </c>
      <c r="T42" s="1100">
        <f>'Table 8a'!W41</f>
        <v>18712</v>
      </c>
      <c r="U42" s="864">
        <f>'Table 8a'!X41</f>
        <v>197</v>
      </c>
      <c r="V42" s="872">
        <f>'Table 8a'!Y41</f>
        <v>300</v>
      </c>
      <c r="W42" s="872">
        <f>'Table 8a'!Z41</f>
        <v>200</v>
      </c>
      <c r="X42" s="872">
        <f>'Table 8a'!AA41</f>
        <v>100</v>
      </c>
      <c r="Y42" s="1100">
        <f>'Table 8a'!AB41</f>
        <v>200</v>
      </c>
      <c r="Z42" s="1100">
        <f>'Table 8a'!AC41</f>
        <v>100</v>
      </c>
      <c r="AA42" s="823">
        <f t="shared" si="23"/>
        <v>0.01</v>
      </c>
      <c r="AB42" s="802">
        <f t="shared" si="23"/>
        <v>0.02</v>
      </c>
      <c r="AC42" s="802">
        <f t="shared" si="23"/>
        <v>0.01</v>
      </c>
      <c r="AD42" s="802">
        <f t="shared" si="23"/>
        <v>0.01</v>
      </c>
      <c r="AE42" s="860">
        <f t="shared" si="23"/>
        <v>0.01</v>
      </c>
      <c r="AF42" s="1106">
        <f t="shared" si="23"/>
        <v>0.01</v>
      </c>
    </row>
    <row r="43" spans="1:32" ht="13.5" thickBot="1">
      <c r="A43" s="1037" t="s">
        <v>51</v>
      </c>
      <c r="B43" s="275" t="s">
        <v>17</v>
      </c>
      <c r="C43" s="48">
        <v>2.14</v>
      </c>
      <c r="D43" s="712">
        <v>0.4</v>
      </c>
      <c r="E43" s="712">
        <v>0.39</v>
      </c>
      <c r="F43" s="712">
        <v>0.37</v>
      </c>
      <c r="G43" s="755">
        <v>0.37</v>
      </c>
      <c r="H43" s="861">
        <f>'Table 8a'!K42</f>
        <v>19760</v>
      </c>
      <c r="I43" s="368">
        <f>'Table 8a'!L42</f>
        <v>19766</v>
      </c>
      <c r="J43" s="368">
        <f>'Table 8a'!M42</f>
        <v>19698</v>
      </c>
      <c r="K43" s="368">
        <f>'Table 8a'!N42</f>
        <v>19866</v>
      </c>
      <c r="L43" s="369">
        <f>'Table 8a'!O42</f>
        <v>20068</v>
      </c>
      <c r="M43" s="1765">
        <f t="shared" si="22"/>
        <v>37</v>
      </c>
      <c r="N43" s="861">
        <f>'Table 8a'!Q42</f>
        <v>19766</v>
      </c>
      <c r="O43" s="368">
        <f>'Table 8a'!R42</f>
        <v>20378</v>
      </c>
      <c r="P43" s="368">
        <f>'Table 8a'!S42</f>
        <v>20978</v>
      </c>
      <c r="Q43" s="368">
        <f>'Table 8a'!T42</f>
        <v>21378</v>
      </c>
      <c r="R43" s="711">
        <f>'Table 8a'!U42</f>
        <v>21778</v>
      </c>
      <c r="S43" s="711">
        <f>'Table 8a'!V42</f>
        <v>22078</v>
      </c>
      <c r="T43" s="711">
        <f>'Table 8a'!W42</f>
        <v>22478</v>
      </c>
      <c r="U43" s="861">
        <f>'Table 8a'!X42</f>
        <v>612</v>
      </c>
      <c r="V43" s="368">
        <f>'Table 8a'!Y42</f>
        <v>600</v>
      </c>
      <c r="W43" s="368">
        <f>'Table 8a'!Z42</f>
        <v>400</v>
      </c>
      <c r="X43" s="368">
        <f>'Table 8a'!AA42</f>
        <v>400</v>
      </c>
      <c r="Y43" s="711">
        <f>'Table 8a'!AB42</f>
        <v>300</v>
      </c>
      <c r="Z43" s="711">
        <f>'Table 8a'!AC42</f>
        <v>400</v>
      </c>
      <c r="AA43" s="48">
        <f t="shared" si="23"/>
        <v>0.02</v>
      </c>
      <c r="AB43" s="712">
        <f t="shared" si="23"/>
        <v>0.02</v>
      </c>
      <c r="AC43" s="712">
        <f t="shared" si="23"/>
        <v>0.01</v>
      </c>
      <c r="AD43" s="712">
        <f t="shared" si="23"/>
        <v>0.01</v>
      </c>
      <c r="AE43" s="755">
        <f t="shared" si="23"/>
        <v>0.01</v>
      </c>
      <c r="AF43" s="692">
        <f t="shared" si="23"/>
        <v>0.01</v>
      </c>
    </row>
    <row r="44" spans="1:32" ht="28.5" customHeight="1" thickTop="1" thickBot="1">
      <c r="A44" s="3453" t="s">
        <v>52</v>
      </c>
      <c r="B44" s="3454"/>
      <c r="C44" s="34">
        <f>SUM(C38:C43)</f>
        <v>3.86</v>
      </c>
      <c r="D44" s="774">
        <f t="shared" ref="D44:L44" si="24">SUM(D38:D43)</f>
        <v>2.25</v>
      </c>
      <c r="E44" s="774">
        <f t="shared" si="24"/>
        <v>2.11</v>
      </c>
      <c r="F44" s="774">
        <f t="shared" si="24"/>
        <v>2.14</v>
      </c>
      <c r="G44" s="758">
        <f t="shared" si="24"/>
        <v>1.98</v>
      </c>
      <c r="H44" s="857">
        <f t="shared" si="24"/>
        <v>81324</v>
      </c>
      <c r="I44" s="251">
        <f t="shared" si="24"/>
        <v>81174</v>
      </c>
      <c r="J44" s="251">
        <f t="shared" si="24"/>
        <v>81381</v>
      </c>
      <c r="K44" s="251">
        <f t="shared" si="24"/>
        <v>81926</v>
      </c>
      <c r="L44" s="167">
        <f t="shared" si="24"/>
        <v>81729</v>
      </c>
      <c r="M44" s="708">
        <f t="shared" si="22"/>
        <v>30</v>
      </c>
      <c r="N44" s="857">
        <f t="shared" ref="N44" si="25">SUM(N38:N43)</f>
        <v>81174</v>
      </c>
      <c r="O44" s="251">
        <f t="shared" ref="O44" si="26">SUM(O38:O43)</f>
        <v>82943</v>
      </c>
      <c r="P44" s="251">
        <f t="shared" ref="P44" si="27">SUM(P38:P43)</f>
        <v>85014</v>
      </c>
      <c r="Q44" s="251">
        <f t="shared" ref="Q44" si="28">SUM(Q38:Q43)</f>
        <v>86468</v>
      </c>
      <c r="R44" s="77">
        <f t="shared" ref="R44" si="29">SUM(R38:R43)</f>
        <v>87708</v>
      </c>
      <c r="S44" s="77">
        <f t="shared" ref="S44" si="30">SUM(S38:S43)</f>
        <v>88729</v>
      </c>
      <c r="T44" s="77">
        <f t="shared" ref="T44" si="31">SUM(T38:T43)</f>
        <v>89723</v>
      </c>
      <c r="U44" s="857">
        <f>SUM(U38:U43)</f>
        <v>1769</v>
      </c>
      <c r="V44" s="251">
        <f t="shared" ref="V44:Z44" si="32">SUM(V38:V43)</f>
        <v>2071</v>
      </c>
      <c r="W44" s="251">
        <f t="shared" si="32"/>
        <v>1454</v>
      </c>
      <c r="X44" s="251">
        <f t="shared" si="32"/>
        <v>1240</v>
      </c>
      <c r="Y44" s="77">
        <f t="shared" si="32"/>
        <v>1021</v>
      </c>
      <c r="Z44" s="77">
        <f t="shared" si="32"/>
        <v>994</v>
      </c>
      <c r="AA44" s="34">
        <f t="shared" ref="AA44" si="33">SUM(AA38:AA43)</f>
        <v>0.05</v>
      </c>
      <c r="AB44" s="774">
        <f t="shared" ref="AB44" si="34">SUM(AB38:AB43)</f>
        <v>0.06</v>
      </c>
      <c r="AC44" s="774">
        <f t="shared" ref="AC44" si="35">SUM(AC38:AC43)</f>
        <v>0.03</v>
      </c>
      <c r="AD44" s="774">
        <f t="shared" ref="AD44" si="36">SUM(AD38:AD43)</f>
        <v>0.03</v>
      </c>
      <c r="AE44" s="758">
        <f t="shared" ref="AE44" si="37">SUM(AE38:AE43)</f>
        <v>0.03</v>
      </c>
      <c r="AF44" s="1153">
        <f t="shared" ref="AF44" si="38">SUM(AF38:AF43)</f>
        <v>0.03</v>
      </c>
    </row>
    <row r="45" spans="1:32">
      <c r="A45" s="1" t="s">
        <v>68</v>
      </c>
      <c r="C45" s="23"/>
      <c r="D45" s="23"/>
      <c r="E45" s="23"/>
      <c r="F45" s="23"/>
      <c r="G45" s="23"/>
      <c r="H45" s="55"/>
      <c r="I45" s="55"/>
      <c r="J45" s="55"/>
      <c r="K45" s="55"/>
      <c r="L45" s="55"/>
      <c r="M45" s="1152" t="s">
        <v>36</v>
      </c>
      <c r="N45" s="55"/>
      <c r="O45" s="55"/>
      <c r="P45" s="55"/>
      <c r="Q45" s="55"/>
      <c r="R45" s="55"/>
      <c r="S45" s="55"/>
      <c r="T45" s="55"/>
      <c r="U45" s="55"/>
      <c r="V45" s="55"/>
      <c r="W45" s="55"/>
      <c r="X45" s="55"/>
      <c r="Y45" s="55"/>
      <c r="Z45" s="55"/>
      <c r="AA45" s="23"/>
      <c r="AB45" s="23"/>
      <c r="AC45" s="23"/>
      <c r="AD45" s="23"/>
      <c r="AE45" s="23"/>
    </row>
    <row r="46" spans="1:32">
      <c r="A46" s="1" t="s">
        <v>69</v>
      </c>
    </row>
    <row r="47" spans="1:32">
      <c r="A47" s="1" t="s">
        <v>621</v>
      </c>
    </row>
    <row r="48" spans="1:32">
      <c r="A48" s="2" t="s">
        <v>611</v>
      </c>
    </row>
    <row r="49" spans="1:1">
      <c r="A49" s="1" t="s">
        <v>624</v>
      </c>
    </row>
    <row r="50" spans="1:1">
      <c r="A50" s="1" t="s">
        <v>625</v>
      </c>
    </row>
  </sheetData>
  <mergeCells count="21">
    <mergeCell ref="A44:B44"/>
    <mergeCell ref="A36:A37"/>
    <mergeCell ref="B36:B37"/>
    <mergeCell ref="C36:G36"/>
    <mergeCell ref="H36:L36"/>
    <mergeCell ref="A1:AF1"/>
    <mergeCell ref="M36:M37"/>
    <mergeCell ref="N36:T36"/>
    <mergeCell ref="U36:Z36"/>
    <mergeCell ref="AA36:AF36"/>
    <mergeCell ref="M2:M3"/>
    <mergeCell ref="A25:B25"/>
    <mergeCell ref="A26:B26"/>
    <mergeCell ref="N2:T2"/>
    <mergeCell ref="AA2:AF2"/>
    <mergeCell ref="U2:Z2"/>
    <mergeCell ref="A24:B24"/>
    <mergeCell ref="A2:A3"/>
    <mergeCell ref="B2:B3"/>
    <mergeCell ref="H2:L2"/>
    <mergeCell ref="C2:G2"/>
  </mergeCells>
  <pageMargins left="0.7" right="0.7" top="0.75" bottom="0.75" header="0.3" footer="0.3"/>
  <pageSetup paperSize="3" scale="64" fitToHeight="0" pageOrder="overThenDown"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G49"/>
  <sheetViews>
    <sheetView workbookViewId="0">
      <selection activeCell="C6" sqref="C6"/>
    </sheetView>
  </sheetViews>
  <sheetFormatPr defaultColWidth="9.140625" defaultRowHeight="12.75"/>
  <cols>
    <col min="1" max="1" width="13" style="1" customWidth="1"/>
    <col min="2" max="2" width="9.85546875" style="1" customWidth="1"/>
    <col min="3" max="19" width="8.42578125" style="1" customWidth="1"/>
    <col min="20" max="23" width="9.140625" style="1" customWidth="1"/>
    <col min="24" max="24" width="9.7109375" style="1" customWidth="1"/>
    <col min="25" max="32" width="9.140625" style="1" customWidth="1"/>
    <col min="33" max="33" width="10.7109375" style="1" hidden="1" customWidth="1"/>
    <col min="34" max="34" width="9.140625" style="1"/>
    <col min="35" max="36" width="9.140625" style="1" customWidth="1"/>
    <col min="37" max="16384" width="9.140625" style="1"/>
  </cols>
  <sheetData>
    <row r="1" spans="1:33" ht="13.5" thickBot="1">
      <c r="A1" s="2" t="s">
        <v>626</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row>
    <row r="2" spans="1:33" ht="27" customHeight="1" thickBot="1">
      <c r="A2" s="3204" t="s">
        <v>1</v>
      </c>
      <c r="B2" s="3206" t="s">
        <v>2</v>
      </c>
      <c r="C2" s="3221" t="s">
        <v>55</v>
      </c>
      <c r="D2" s="3222"/>
      <c r="E2" s="3223"/>
      <c r="F2" s="3221" t="s">
        <v>56</v>
      </c>
      <c r="G2" s="3222"/>
      <c r="H2" s="3222"/>
      <c r="I2" s="3222"/>
      <c r="J2" s="3222"/>
      <c r="K2" s="3222"/>
      <c r="L2" s="3222"/>
      <c r="M2" s="3222"/>
      <c r="N2" s="3222"/>
      <c r="O2" s="3222"/>
      <c r="P2" s="3222"/>
      <c r="Q2" s="3222"/>
      <c r="R2" s="3222"/>
      <c r="S2" s="3222"/>
      <c r="T2" s="3222"/>
      <c r="U2" s="3222"/>
      <c r="V2" s="3222"/>
      <c r="W2" s="3223"/>
      <c r="X2" s="3255" t="s">
        <v>57</v>
      </c>
      <c r="Y2" s="3265" t="s">
        <v>627</v>
      </c>
      <c r="Z2" s="3266"/>
      <c r="AA2" s="3266"/>
      <c r="AB2" s="3266"/>
      <c r="AC2" s="3266"/>
      <c r="AD2" s="3266"/>
      <c r="AE2" s="3267"/>
      <c r="AG2" s="3255" t="s">
        <v>80</v>
      </c>
    </row>
    <row r="3" spans="1:33" ht="27" customHeight="1" thickBot="1">
      <c r="A3" s="3205"/>
      <c r="B3" s="3207"/>
      <c r="C3" s="3212">
        <v>2015</v>
      </c>
      <c r="D3" s="3213"/>
      <c r="E3" s="3215"/>
      <c r="F3" s="3219">
        <v>2020</v>
      </c>
      <c r="G3" s="3213"/>
      <c r="H3" s="3214"/>
      <c r="I3" s="3212">
        <v>2025</v>
      </c>
      <c r="J3" s="3213"/>
      <c r="K3" s="3215"/>
      <c r="L3" s="3217">
        <v>2030</v>
      </c>
      <c r="M3" s="3217"/>
      <c r="N3" s="3217"/>
      <c r="O3" s="3212">
        <v>2035</v>
      </c>
      <c r="P3" s="3213"/>
      <c r="Q3" s="3215"/>
      <c r="R3" s="3219">
        <v>2040</v>
      </c>
      <c r="S3" s="3213"/>
      <c r="T3" s="3214"/>
      <c r="U3" s="3212">
        <v>2045</v>
      </c>
      <c r="V3" s="3213"/>
      <c r="W3" s="3215"/>
      <c r="X3" s="3256"/>
      <c r="Y3" s="3380"/>
      <c r="Z3" s="3280"/>
      <c r="AA3" s="3280"/>
      <c r="AB3" s="3280"/>
      <c r="AC3" s="3280"/>
      <c r="AD3" s="3280"/>
      <c r="AE3" s="3377"/>
      <c r="AG3" s="3256"/>
    </row>
    <row r="4" spans="1:33" ht="15.75" customHeight="1" thickBot="1">
      <c r="A4" s="3485"/>
      <c r="B4" s="3208"/>
      <c r="C4" s="1655" t="s">
        <v>60</v>
      </c>
      <c r="D4" s="1017" t="s">
        <v>61</v>
      </c>
      <c r="E4" s="1659" t="s">
        <v>18</v>
      </c>
      <c r="F4" s="1669" t="s">
        <v>60</v>
      </c>
      <c r="G4" s="1657" t="s">
        <v>61</v>
      </c>
      <c r="H4" s="1661" t="s">
        <v>18</v>
      </c>
      <c r="I4" s="1655" t="s">
        <v>60</v>
      </c>
      <c r="J4" s="1017" t="s">
        <v>61</v>
      </c>
      <c r="K4" s="1659" t="s">
        <v>18</v>
      </c>
      <c r="L4" s="1669" t="s">
        <v>60</v>
      </c>
      <c r="M4" s="1657" t="s">
        <v>61</v>
      </c>
      <c r="N4" s="1661" t="s">
        <v>18</v>
      </c>
      <c r="O4" s="1655" t="s">
        <v>60</v>
      </c>
      <c r="P4" s="1657" t="s">
        <v>61</v>
      </c>
      <c r="Q4" s="1658" t="s">
        <v>18</v>
      </c>
      <c r="R4" s="1669" t="s">
        <v>60</v>
      </c>
      <c r="S4" s="1017" t="s">
        <v>61</v>
      </c>
      <c r="T4" s="1656" t="s">
        <v>18</v>
      </c>
      <c r="U4" s="1655" t="s">
        <v>60</v>
      </c>
      <c r="V4" s="1017" t="s">
        <v>61</v>
      </c>
      <c r="W4" s="1659" t="s">
        <v>18</v>
      </c>
      <c r="X4" s="3257"/>
      <c r="Y4" s="1767">
        <v>2015</v>
      </c>
      <c r="Z4" s="1750">
        <v>2020</v>
      </c>
      <c r="AA4" s="1750">
        <v>2025</v>
      </c>
      <c r="AB4" s="1750">
        <v>2030</v>
      </c>
      <c r="AC4" s="1750">
        <v>2035</v>
      </c>
      <c r="AD4" s="1749">
        <v>2040</v>
      </c>
      <c r="AE4" s="3036">
        <v>2045</v>
      </c>
      <c r="AG4" s="3470"/>
    </row>
    <row r="5" spans="1:33">
      <c r="A5" s="443" t="s">
        <v>14</v>
      </c>
      <c r="B5" s="507" t="s">
        <v>15</v>
      </c>
      <c r="C5" s="1124">
        <f>'Table 10a'!D5</f>
        <v>0.51</v>
      </c>
      <c r="D5" s="1122">
        <f>'Table 10a'!E5</f>
        <v>0</v>
      </c>
      <c r="E5" s="1024">
        <f>C5+D5</f>
        <v>0.51</v>
      </c>
      <c r="F5" s="1121">
        <f>'Table 10a'!G5</f>
        <v>0.53</v>
      </c>
      <c r="G5" s="1125">
        <f>'Table 10a'!H5</f>
        <v>0</v>
      </c>
      <c r="H5" s="1766">
        <f>F5+G5</f>
        <v>0.53</v>
      </c>
      <c r="I5" s="1124">
        <f>'Table 10a'!J5</f>
        <v>0.55000000000000004</v>
      </c>
      <c r="J5" s="1122">
        <f>'Table 10a'!K5</f>
        <v>0</v>
      </c>
      <c r="K5" s="1024">
        <f>I5+J5</f>
        <v>0.55000000000000004</v>
      </c>
      <c r="L5" s="1121">
        <f>'Table 10a'!M5</f>
        <v>0.56000000000000005</v>
      </c>
      <c r="M5" s="1125">
        <f>'Table 10a'!N5</f>
        <v>0</v>
      </c>
      <c r="N5" s="1766">
        <f>L5+M5</f>
        <v>0.56000000000000005</v>
      </c>
      <c r="O5" s="444">
        <f>'Table 10a'!P5</f>
        <v>0.59</v>
      </c>
      <c r="P5" s="585">
        <f>'Table 10a'!Q5</f>
        <v>0</v>
      </c>
      <c r="Q5" s="450">
        <f>O5+P5</f>
        <v>0.59</v>
      </c>
      <c r="R5" s="674">
        <f>'Table 10a'!S5</f>
        <v>0.61</v>
      </c>
      <c r="S5" s="445">
        <f>'Table 10a'!T5</f>
        <v>0</v>
      </c>
      <c r="T5" s="449">
        <f>R5+S5</f>
        <v>0.61</v>
      </c>
      <c r="U5" s="1242">
        <f>'Table 10a'!V5</f>
        <v>0.63</v>
      </c>
      <c r="V5" s="445">
        <f>'Table 10a'!W5</f>
        <v>0</v>
      </c>
      <c r="W5" s="1689">
        <f>U5+V5</f>
        <v>0.63</v>
      </c>
      <c r="X5" s="203">
        <f>(W5-E5)/E5</f>
        <v>0.24</v>
      </c>
      <c r="Y5" s="4">
        <f>'Table 10a'!Z5</f>
        <v>0</v>
      </c>
      <c r="Z5" s="787">
        <f>'Table 10a'!AA5</f>
        <v>0</v>
      </c>
      <c r="AA5" s="787">
        <f>'Table 10a'!AB5</f>
        <v>0</v>
      </c>
      <c r="AB5" s="787">
        <f>'Table 10a'!AC5</f>
        <v>0</v>
      </c>
      <c r="AC5" s="787">
        <f>'Table 10a'!AD5</f>
        <v>0</v>
      </c>
      <c r="AD5" s="181">
        <f>'Table 10a'!AE5</f>
        <v>0</v>
      </c>
      <c r="AE5" s="1107">
        <f>'Table 10a'!AF5</f>
        <v>0</v>
      </c>
      <c r="AG5" s="656">
        <f>W5-E5</f>
        <v>0.12</v>
      </c>
    </row>
    <row r="6" spans="1:33" ht="13.5" thickBot="1">
      <c r="A6" s="458" t="s">
        <v>14</v>
      </c>
      <c r="B6" s="506" t="s">
        <v>17</v>
      </c>
      <c r="C6" s="636">
        <f>'Table 10a'!D6+'Table 10a'!D7</f>
        <v>1.77</v>
      </c>
      <c r="D6" s="635">
        <f>'Table 10a'!E7</f>
        <v>0</v>
      </c>
      <c r="E6" s="638">
        <f>C6+D6</f>
        <v>1.77</v>
      </c>
      <c r="F6" s="634">
        <f>'Table 10a'!G6+'Table 10a'!G7</f>
        <v>1.76</v>
      </c>
      <c r="G6" s="637">
        <f>'Table 10a'!H7</f>
        <v>0</v>
      </c>
      <c r="H6" s="671">
        <f>F6+G6</f>
        <v>1.76</v>
      </c>
      <c r="I6" s="636">
        <f>'Table 10a'!J6+'Table 10a'!J7</f>
        <v>1.67</v>
      </c>
      <c r="J6" s="635">
        <f>'Table 10a'!K7</f>
        <v>0</v>
      </c>
      <c r="K6" s="638">
        <f>I6+J6</f>
        <v>1.67</v>
      </c>
      <c r="L6" s="634">
        <f>'Table 10a'!M6+'Table 10a'!M7</f>
        <v>1.71</v>
      </c>
      <c r="M6" s="637">
        <f>'Table 10a'!N7</f>
        <v>0</v>
      </c>
      <c r="N6" s="671">
        <f>L6+M6</f>
        <v>1.71</v>
      </c>
      <c r="O6" s="459">
        <f>'Table 10a'!P6+'Table 10a'!P7</f>
        <v>1.78</v>
      </c>
      <c r="P6" s="590">
        <f>'Table 10a'!Q7</f>
        <v>0</v>
      </c>
      <c r="Q6" s="486">
        <f>O6+P6</f>
        <v>1.78</v>
      </c>
      <c r="R6" s="656">
        <f>'Table 10a'!S6+'Table 10a'!S7</f>
        <v>1.86</v>
      </c>
      <c r="S6" s="460">
        <f>'Table 10a'!T7</f>
        <v>0</v>
      </c>
      <c r="T6" s="484">
        <f>R6+S6</f>
        <v>1.86</v>
      </c>
      <c r="U6" s="1244">
        <f>'Table 10a'!V6+'Table 10a'!V7</f>
        <v>1.93</v>
      </c>
      <c r="V6" s="460">
        <f>'Table 10a'!W7</f>
        <v>0</v>
      </c>
      <c r="W6" s="640">
        <f>U6+V6</f>
        <v>1.93</v>
      </c>
      <c r="X6" s="547">
        <f t="shared" ref="X6:X27" si="0">(W6-E6)/E6</f>
        <v>0.09</v>
      </c>
      <c r="Y6" s="653">
        <f>'Table 10a'!Z6+'Table 10a'!Z7</f>
        <v>0</v>
      </c>
      <c r="Z6" s="653">
        <f>'Table 10a'!AA6+'Table 10a'!AA7</f>
        <v>0</v>
      </c>
      <c r="AA6" s="653">
        <f>'Table 10a'!AB6+'Table 10a'!AB7</f>
        <v>0</v>
      </c>
      <c r="AB6" s="653">
        <f>'Table 10a'!AC6+'Table 10a'!AC7</f>
        <v>0</v>
      </c>
      <c r="AC6" s="653">
        <f>'Table 10a'!AD6+'Table 10a'!AD7</f>
        <v>0</v>
      </c>
      <c r="AD6" s="653">
        <f>'Table 10a'!AE6+'Table 10a'!AE7</f>
        <v>0</v>
      </c>
      <c r="AE6" s="42">
        <f>'Table 10a'!AF6+'Table 10a'!AF7</f>
        <v>0</v>
      </c>
      <c r="AF6" s="185"/>
      <c r="AG6" s="656">
        <f t="shared" ref="AG6:AG27" si="1">W6-E6</f>
        <v>0.16</v>
      </c>
    </row>
    <row r="7" spans="1:33" s="22" customFormat="1" ht="14.25" thickTop="1" thickBot="1">
      <c r="A7" s="681" t="s">
        <v>14</v>
      </c>
      <c r="B7" s="693" t="s">
        <v>18</v>
      </c>
      <c r="C7" s="682">
        <f>SUM(C5:C6)</f>
        <v>2.2799999999999998</v>
      </c>
      <c r="D7" s="683">
        <f>SUM(D5:D6)</f>
        <v>0</v>
      </c>
      <c r="E7" s="673">
        <f t="shared" ref="E7:S7" si="2">SUM(E5:E6)</f>
        <v>2.2799999999999998</v>
      </c>
      <c r="F7" s="684">
        <f t="shared" si="2"/>
        <v>2.29</v>
      </c>
      <c r="G7" s="685">
        <f t="shared" si="2"/>
        <v>0</v>
      </c>
      <c r="H7" s="672">
        <f>SUM(H5:H6)</f>
        <v>2.29</v>
      </c>
      <c r="I7" s="682">
        <f t="shared" si="2"/>
        <v>2.2200000000000002</v>
      </c>
      <c r="J7" s="683">
        <f t="shared" si="2"/>
        <v>0</v>
      </c>
      <c r="K7" s="673">
        <f>SUM(K5:K6)</f>
        <v>2.2200000000000002</v>
      </c>
      <c r="L7" s="684">
        <f t="shared" si="2"/>
        <v>2.27</v>
      </c>
      <c r="M7" s="685">
        <f t="shared" si="2"/>
        <v>0</v>
      </c>
      <c r="N7" s="672">
        <f>SUM(N5:N6)</f>
        <v>2.27</v>
      </c>
      <c r="O7" s="686">
        <f t="shared" si="2"/>
        <v>2.37</v>
      </c>
      <c r="P7" s="1593">
        <f t="shared" si="2"/>
        <v>0</v>
      </c>
      <c r="Q7" s="1592">
        <f>SUM(Q5:Q6)</f>
        <v>2.37</v>
      </c>
      <c r="R7" s="687">
        <f t="shared" si="2"/>
        <v>2.4700000000000002</v>
      </c>
      <c r="S7" s="688">
        <f t="shared" si="2"/>
        <v>0</v>
      </c>
      <c r="T7" s="1290">
        <f>SUM(T5:T6)</f>
        <v>2.4700000000000002</v>
      </c>
      <c r="U7" s="1291">
        <f t="shared" ref="U7:V7" si="3">SUM(U5:U6)</f>
        <v>2.56</v>
      </c>
      <c r="V7" s="688">
        <f t="shared" si="3"/>
        <v>0</v>
      </c>
      <c r="W7" s="689">
        <f>SUM(W5:W6)</f>
        <v>2.56</v>
      </c>
      <c r="X7" s="596">
        <f t="shared" si="0"/>
        <v>0.12</v>
      </c>
      <c r="Y7" s="690">
        <f t="shared" ref="Y7:AD7" si="4">SUM(Y5:Y6)</f>
        <v>0</v>
      </c>
      <c r="Z7" s="788">
        <f t="shared" si="4"/>
        <v>0</v>
      </c>
      <c r="AA7" s="788">
        <f t="shared" si="4"/>
        <v>0</v>
      </c>
      <c r="AB7" s="788">
        <f t="shared" si="4"/>
        <v>0</v>
      </c>
      <c r="AC7" s="788">
        <f t="shared" si="4"/>
        <v>0</v>
      </c>
      <c r="AD7" s="1295">
        <f t="shared" si="4"/>
        <v>0</v>
      </c>
      <c r="AE7" s="1294">
        <f t="shared" ref="AE7" si="5">SUM(AE5:AE6)</f>
        <v>0</v>
      </c>
      <c r="AG7" s="639">
        <f t="shared" si="1"/>
        <v>0.28000000000000003</v>
      </c>
    </row>
    <row r="8" spans="1:33">
      <c r="A8" s="475" t="s">
        <v>19</v>
      </c>
      <c r="B8" s="509" t="s">
        <v>15</v>
      </c>
      <c r="C8" s="510">
        <v>0</v>
      </c>
      <c r="D8" s="511">
        <v>0</v>
      </c>
      <c r="E8" s="675">
        <f>C8+D8</f>
        <v>0</v>
      </c>
      <c r="F8" s="625">
        <v>0</v>
      </c>
      <c r="G8" s="626">
        <v>0</v>
      </c>
      <c r="H8" s="676">
        <f>F8+G8</f>
        <v>0</v>
      </c>
      <c r="I8" s="510">
        <v>0</v>
      </c>
      <c r="J8" s="511">
        <v>0</v>
      </c>
      <c r="K8" s="675">
        <f>I8+J8</f>
        <v>0</v>
      </c>
      <c r="L8" s="625">
        <v>0</v>
      </c>
      <c r="M8" s="626">
        <v>0</v>
      </c>
      <c r="N8" s="676">
        <f>L8+M8</f>
        <v>0</v>
      </c>
      <c r="O8" s="464">
        <v>0</v>
      </c>
      <c r="P8" s="559">
        <v>0</v>
      </c>
      <c r="Q8" s="518">
        <f>O8+P8</f>
        <v>0</v>
      </c>
      <c r="R8" s="677">
        <v>0</v>
      </c>
      <c r="S8" s="465">
        <v>0</v>
      </c>
      <c r="T8" s="520">
        <f>R8+S8</f>
        <v>0</v>
      </c>
      <c r="U8" s="1292">
        <v>0</v>
      </c>
      <c r="V8" s="465">
        <v>0</v>
      </c>
      <c r="W8" s="678">
        <f>U8+V8</f>
        <v>0</v>
      </c>
      <c r="X8" s="204" t="s">
        <v>16</v>
      </c>
      <c r="Y8" s="680">
        <v>0</v>
      </c>
      <c r="Z8" s="789">
        <v>0</v>
      </c>
      <c r="AA8" s="789">
        <v>0</v>
      </c>
      <c r="AB8" s="789">
        <v>0</v>
      </c>
      <c r="AC8" s="789">
        <v>0</v>
      </c>
      <c r="AD8" s="702">
        <v>0</v>
      </c>
      <c r="AE8" s="1109">
        <v>0</v>
      </c>
      <c r="AG8" s="1632">
        <f t="shared" si="1"/>
        <v>0</v>
      </c>
    </row>
    <row r="9" spans="1:33" ht="13.5" thickBot="1">
      <c r="A9" s="579" t="s">
        <v>19</v>
      </c>
      <c r="B9" s="1850" t="s">
        <v>17</v>
      </c>
      <c r="C9" s="41">
        <v>0</v>
      </c>
      <c r="D9" s="541">
        <v>0</v>
      </c>
      <c r="E9" s="51">
        <f>C9+D9</f>
        <v>0</v>
      </c>
      <c r="F9" s="1253">
        <v>0</v>
      </c>
      <c r="G9" s="627">
        <v>0</v>
      </c>
      <c r="H9" s="1254">
        <f>F9+G9</f>
        <v>0</v>
      </c>
      <c r="I9" s="41">
        <v>0</v>
      </c>
      <c r="J9" s="541">
        <v>0</v>
      </c>
      <c r="K9" s="51">
        <f>I9+J9</f>
        <v>0</v>
      </c>
      <c r="L9" s="1253">
        <v>0</v>
      </c>
      <c r="M9" s="627">
        <v>0</v>
      </c>
      <c r="N9" s="1254">
        <f>L9+M9</f>
        <v>0</v>
      </c>
      <c r="O9" s="467">
        <v>0</v>
      </c>
      <c r="P9" s="562">
        <v>0</v>
      </c>
      <c r="Q9" s="943">
        <f>O9+P9</f>
        <v>0</v>
      </c>
      <c r="R9" s="691">
        <v>0</v>
      </c>
      <c r="S9" s="616">
        <v>0</v>
      </c>
      <c r="T9" s="523">
        <f>R9+S9</f>
        <v>0</v>
      </c>
      <c r="U9" s="1293">
        <v>0</v>
      </c>
      <c r="V9" s="616">
        <v>0</v>
      </c>
      <c r="W9" s="644">
        <f>U9+V9</f>
        <v>0</v>
      </c>
      <c r="X9" s="205" t="s">
        <v>16</v>
      </c>
      <c r="Y9" s="927">
        <v>0</v>
      </c>
      <c r="Z9" s="790">
        <v>0</v>
      </c>
      <c r="AA9" s="790">
        <v>0</v>
      </c>
      <c r="AB9" s="790">
        <v>0</v>
      </c>
      <c r="AC9" s="790">
        <v>0</v>
      </c>
      <c r="AD9" s="712">
        <v>0</v>
      </c>
      <c r="AE9" s="1108">
        <v>0</v>
      </c>
      <c r="AG9" s="1595">
        <f t="shared" si="1"/>
        <v>0</v>
      </c>
    </row>
    <row r="10" spans="1:33" s="22" customFormat="1" ht="14.25" thickTop="1" thickBot="1">
      <c r="A10" s="279" t="s">
        <v>19</v>
      </c>
      <c r="B10" s="693" t="s">
        <v>18</v>
      </c>
      <c r="C10" s="535">
        <f>SUM(C8:C9)</f>
        <v>0</v>
      </c>
      <c r="D10" s="536">
        <f>SUM(D8:D9)</f>
        <v>0</v>
      </c>
      <c r="E10" s="647">
        <f t="shared" ref="E10:S10" si="6">SUM(E8:E9)</f>
        <v>0</v>
      </c>
      <c r="F10" s="592">
        <f t="shared" si="6"/>
        <v>0</v>
      </c>
      <c r="G10" s="593">
        <f t="shared" si="6"/>
        <v>0</v>
      </c>
      <c r="H10" s="646">
        <f>SUM(H8:H9)</f>
        <v>0</v>
      </c>
      <c r="I10" s="535">
        <f t="shared" si="6"/>
        <v>0</v>
      </c>
      <c r="J10" s="536">
        <f t="shared" si="6"/>
        <v>0</v>
      </c>
      <c r="K10" s="647">
        <f>SUM(K8:K9)</f>
        <v>0</v>
      </c>
      <c r="L10" s="592">
        <f t="shared" si="6"/>
        <v>0</v>
      </c>
      <c r="M10" s="593">
        <f t="shared" si="6"/>
        <v>0</v>
      </c>
      <c r="N10" s="646">
        <f>SUM(N8:N9)</f>
        <v>0</v>
      </c>
      <c r="O10" s="470">
        <f t="shared" si="6"/>
        <v>0</v>
      </c>
      <c r="P10" s="555">
        <f t="shared" si="6"/>
        <v>0</v>
      </c>
      <c r="Q10" s="474">
        <f>SUM(Q8:Q9)</f>
        <v>0</v>
      </c>
      <c r="R10" s="679">
        <f t="shared" si="6"/>
        <v>0</v>
      </c>
      <c r="S10" s="471">
        <f t="shared" si="6"/>
        <v>0</v>
      </c>
      <c r="T10" s="472">
        <f>SUM(T8:T9)</f>
        <v>0</v>
      </c>
      <c r="U10" s="1259">
        <f t="shared" ref="U10:V10" si="7">SUM(U8:U9)</f>
        <v>0</v>
      </c>
      <c r="V10" s="471">
        <f t="shared" si="7"/>
        <v>0</v>
      </c>
      <c r="W10" s="657">
        <f>SUM(W8:W9)</f>
        <v>0</v>
      </c>
      <c r="X10" s="206" t="s">
        <v>16</v>
      </c>
      <c r="Y10" s="142">
        <f t="shared" ref="Y10:AD10" si="8">SUM(Y8:Y9)</f>
        <v>0</v>
      </c>
      <c r="Z10" s="791">
        <f t="shared" si="8"/>
        <v>0</v>
      </c>
      <c r="AA10" s="791">
        <f t="shared" si="8"/>
        <v>0</v>
      </c>
      <c r="AB10" s="791">
        <f t="shared" si="8"/>
        <v>0</v>
      </c>
      <c r="AC10" s="791">
        <f t="shared" si="8"/>
        <v>0</v>
      </c>
      <c r="AD10" s="774">
        <f t="shared" si="8"/>
        <v>0</v>
      </c>
      <c r="AE10" s="21">
        <f t="shared" ref="AE10" si="9">SUM(AE8:AE9)</f>
        <v>0</v>
      </c>
      <c r="AG10" s="1598">
        <f t="shared" si="1"/>
        <v>0</v>
      </c>
    </row>
    <row r="11" spans="1:33">
      <c r="A11" s="475" t="s">
        <v>20</v>
      </c>
      <c r="B11" s="509" t="s">
        <v>15</v>
      </c>
      <c r="C11" s="510">
        <v>0</v>
      </c>
      <c r="D11" s="511">
        <v>0</v>
      </c>
      <c r="E11" s="675">
        <f>C11+D11</f>
        <v>0</v>
      </c>
      <c r="F11" s="625">
        <v>0</v>
      </c>
      <c r="G11" s="626">
        <v>0</v>
      </c>
      <c r="H11" s="676">
        <f>F11+G11</f>
        <v>0</v>
      </c>
      <c r="I11" s="510">
        <v>0</v>
      </c>
      <c r="J11" s="511">
        <v>0</v>
      </c>
      <c r="K11" s="675">
        <f>I11+J11</f>
        <v>0</v>
      </c>
      <c r="L11" s="625">
        <v>0</v>
      </c>
      <c r="M11" s="626">
        <v>0</v>
      </c>
      <c r="N11" s="676">
        <f>L11+M11</f>
        <v>0</v>
      </c>
      <c r="O11" s="464">
        <v>0</v>
      </c>
      <c r="P11" s="559">
        <v>0</v>
      </c>
      <c r="Q11" s="518">
        <f>O11+P11</f>
        <v>0</v>
      </c>
      <c r="R11" s="677">
        <v>0</v>
      </c>
      <c r="S11" s="465">
        <v>0</v>
      </c>
      <c r="T11" s="520">
        <f>R11+S11</f>
        <v>0</v>
      </c>
      <c r="U11" s="1292">
        <v>0</v>
      </c>
      <c r="V11" s="465">
        <v>0</v>
      </c>
      <c r="W11" s="678">
        <f>U11+V11</f>
        <v>0</v>
      </c>
      <c r="X11" s="204" t="s">
        <v>16</v>
      </c>
      <c r="Y11" s="680">
        <v>0</v>
      </c>
      <c r="Z11" s="789">
        <v>0</v>
      </c>
      <c r="AA11" s="789">
        <v>0</v>
      </c>
      <c r="AB11" s="789">
        <v>0</v>
      </c>
      <c r="AC11" s="789">
        <v>0</v>
      </c>
      <c r="AD11" s="702">
        <v>0</v>
      </c>
      <c r="AE11" s="1109">
        <v>0</v>
      </c>
      <c r="AG11" s="1597">
        <f t="shared" si="1"/>
        <v>0</v>
      </c>
    </row>
    <row r="12" spans="1:33" ht="13.5" thickBot="1">
      <c r="A12" s="579" t="s">
        <v>20</v>
      </c>
      <c r="B12" s="1850" t="s">
        <v>17</v>
      </c>
      <c r="C12" s="41">
        <v>0</v>
      </c>
      <c r="D12" s="541">
        <v>0</v>
      </c>
      <c r="E12" s="51">
        <f>C12+D12</f>
        <v>0</v>
      </c>
      <c r="F12" s="1253">
        <v>0</v>
      </c>
      <c r="G12" s="627">
        <v>0</v>
      </c>
      <c r="H12" s="1254">
        <f>F12+G12</f>
        <v>0</v>
      </c>
      <c r="I12" s="41">
        <v>0</v>
      </c>
      <c r="J12" s="541">
        <v>0</v>
      </c>
      <c r="K12" s="51">
        <f>I12+J12</f>
        <v>0</v>
      </c>
      <c r="L12" s="1253">
        <v>0</v>
      </c>
      <c r="M12" s="627">
        <v>0</v>
      </c>
      <c r="N12" s="1254">
        <f>L12+M12</f>
        <v>0</v>
      </c>
      <c r="O12" s="467">
        <v>0</v>
      </c>
      <c r="P12" s="562">
        <v>0</v>
      </c>
      <c r="Q12" s="943">
        <f>O12+P12</f>
        <v>0</v>
      </c>
      <c r="R12" s="691">
        <v>0</v>
      </c>
      <c r="S12" s="616">
        <v>0</v>
      </c>
      <c r="T12" s="523">
        <f>R12+S12</f>
        <v>0</v>
      </c>
      <c r="U12" s="1293">
        <v>0</v>
      </c>
      <c r="V12" s="616">
        <v>0</v>
      </c>
      <c r="W12" s="644">
        <f>U12+V12</f>
        <v>0</v>
      </c>
      <c r="X12" s="205" t="s">
        <v>16</v>
      </c>
      <c r="Y12" s="927">
        <v>0</v>
      </c>
      <c r="Z12" s="790">
        <v>0</v>
      </c>
      <c r="AA12" s="790">
        <v>0</v>
      </c>
      <c r="AB12" s="790">
        <v>0</v>
      </c>
      <c r="AC12" s="790">
        <v>0</v>
      </c>
      <c r="AD12" s="712">
        <v>0</v>
      </c>
      <c r="AE12" s="1108">
        <v>0</v>
      </c>
      <c r="AG12" s="1595">
        <f t="shared" si="1"/>
        <v>0</v>
      </c>
    </row>
    <row r="13" spans="1:33" s="22" customFormat="1" ht="14.25" thickTop="1" thickBot="1">
      <c r="A13" s="279" t="s">
        <v>20</v>
      </c>
      <c r="B13" s="668" t="s">
        <v>18</v>
      </c>
      <c r="C13" s="535">
        <f>SUM(C11:C12)</f>
        <v>0</v>
      </c>
      <c r="D13" s="536">
        <f>SUM(D11:D12)</f>
        <v>0</v>
      </c>
      <c r="E13" s="647">
        <f t="shared" ref="E13:S13" si="10">SUM(E11:E12)</f>
        <v>0</v>
      </c>
      <c r="F13" s="592">
        <f t="shared" si="10"/>
        <v>0</v>
      </c>
      <c r="G13" s="593">
        <f t="shared" si="10"/>
        <v>0</v>
      </c>
      <c r="H13" s="646">
        <f>SUM(H11:H12)</f>
        <v>0</v>
      </c>
      <c r="I13" s="535">
        <f t="shared" si="10"/>
        <v>0</v>
      </c>
      <c r="J13" s="536">
        <f t="shared" si="10"/>
        <v>0</v>
      </c>
      <c r="K13" s="647">
        <f>SUM(K11:K12)</f>
        <v>0</v>
      </c>
      <c r="L13" s="592">
        <f t="shared" si="10"/>
        <v>0</v>
      </c>
      <c r="M13" s="593">
        <f t="shared" si="10"/>
        <v>0</v>
      </c>
      <c r="N13" s="646">
        <f>SUM(N11:N12)</f>
        <v>0</v>
      </c>
      <c r="O13" s="470">
        <f t="shared" si="10"/>
        <v>0</v>
      </c>
      <c r="P13" s="555">
        <f t="shared" si="10"/>
        <v>0</v>
      </c>
      <c r="Q13" s="474">
        <f>SUM(Q11:Q12)</f>
        <v>0</v>
      </c>
      <c r="R13" s="679">
        <f t="shared" si="10"/>
        <v>0</v>
      </c>
      <c r="S13" s="471">
        <f t="shared" si="10"/>
        <v>0</v>
      </c>
      <c r="T13" s="472">
        <f>SUM(T11:T12)</f>
        <v>0</v>
      </c>
      <c r="U13" s="1259">
        <f t="shared" ref="U13:V13" si="11">SUM(U11:U12)</f>
        <v>0</v>
      </c>
      <c r="V13" s="471">
        <f t="shared" si="11"/>
        <v>0</v>
      </c>
      <c r="W13" s="657">
        <f>SUM(W11:W12)</f>
        <v>0</v>
      </c>
      <c r="X13" s="206" t="s">
        <v>16</v>
      </c>
      <c r="Y13" s="142">
        <f t="shared" ref="Y13:AD13" si="12">SUM(Y11:Y12)</f>
        <v>0</v>
      </c>
      <c r="Z13" s="791">
        <f t="shared" si="12"/>
        <v>0</v>
      </c>
      <c r="AA13" s="791">
        <f t="shared" si="12"/>
        <v>0</v>
      </c>
      <c r="AB13" s="791">
        <f t="shared" si="12"/>
        <v>0</v>
      </c>
      <c r="AC13" s="791">
        <f t="shared" si="12"/>
        <v>0</v>
      </c>
      <c r="AD13" s="774">
        <f t="shared" si="12"/>
        <v>0</v>
      </c>
      <c r="AE13" s="21">
        <f t="shared" ref="AE13" si="13">SUM(AE11:AE12)</f>
        <v>0</v>
      </c>
      <c r="AG13" s="1598">
        <f t="shared" si="1"/>
        <v>0</v>
      </c>
    </row>
    <row r="14" spans="1:33">
      <c r="A14" s="455" t="s">
        <v>21</v>
      </c>
      <c r="B14" s="1075" t="s">
        <v>15</v>
      </c>
      <c r="C14" s="1141">
        <v>0</v>
      </c>
      <c r="D14" s="1140">
        <v>0</v>
      </c>
      <c r="E14" s="633">
        <f t="shared" ref="E14:E19" si="14">C14+D14</f>
        <v>0</v>
      </c>
      <c r="F14" s="1139">
        <v>0</v>
      </c>
      <c r="G14" s="630">
        <v>0</v>
      </c>
      <c r="H14" s="1245">
        <f t="shared" ref="H14:H19" si="15">F14+G14</f>
        <v>0</v>
      </c>
      <c r="I14" s="1141">
        <v>0</v>
      </c>
      <c r="J14" s="1140">
        <v>0</v>
      </c>
      <c r="K14" s="633">
        <f t="shared" ref="K14:K19" si="16">I14+J14</f>
        <v>0</v>
      </c>
      <c r="L14" s="1139">
        <v>0</v>
      </c>
      <c r="M14" s="630">
        <v>0</v>
      </c>
      <c r="N14" s="1245">
        <f t="shared" ref="N14:N19" si="17">L14+M14</f>
        <v>0</v>
      </c>
      <c r="O14" s="827">
        <v>0</v>
      </c>
      <c r="P14" s="560">
        <v>0</v>
      </c>
      <c r="Q14" s="940">
        <f t="shared" ref="Q14:Q19" si="18">O14+P14</f>
        <v>0</v>
      </c>
      <c r="R14" s="674">
        <v>0</v>
      </c>
      <c r="S14" s="445">
        <v>0</v>
      </c>
      <c r="T14" s="454">
        <f t="shared" ref="T14:T19" si="19">R14+S14</f>
        <v>0</v>
      </c>
      <c r="U14" s="1242">
        <v>0</v>
      </c>
      <c r="V14" s="445">
        <v>0</v>
      </c>
      <c r="W14" s="641">
        <f t="shared" ref="W14:W24" si="20">U14+V14</f>
        <v>0</v>
      </c>
      <c r="X14" s="546" t="s">
        <v>16</v>
      </c>
      <c r="Y14" s="1246">
        <v>0</v>
      </c>
      <c r="Z14" s="1247">
        <v>0</v>
      </c>
      <c r="AA14" s="1247">
        <v>0</v>
      </c>
      <c r="AB14" s="1247">
        <v>0</v>
      </c>
      <c r="AC14" s="1247">
        <v>0</v>
      </c>
      <c r="AD14" s="1239">
        <v>0</v>
      </c>
      <c r="AE14" s="1236">
        <v>0</v>
      </c>
      <c r="AG14" s="1632">
        <f t="shared" si="1"/>
        <v>0</v>
      </c>
    </row>
    <row r="15" spans="1:33">
      <c r="A15" s="455" t="s">
        <v>22</v>
      </c>
      <c r="B15" s="1075" t="s">
        <v>17</v>
      </c>
      <c r="C15" s="1141">
        <v>0</v>
      </c>
      <c r="D15" s="1140">
        <v>0</v>
      </c>
      <c r="E15" s="633">
        <f t="shared" si="14"/>
        <v>0</v>
      </c>
      <c r="F15" s="1139">
        <v>0</v>
      </c>
      <c r="G15" s="630">
        <v>0</v>
      </c>
      <c r="H15" s="1245">
        <f t="shared" si="15"/>
        <v>0</v>
      </c>
      <c r="I15" s="1141">
        <v>0</v>
      </c>
      <c r="J15" s="1140">
        <v>0</v>
      </c>
      <c r="K15" s="633">
        <f t="shared" si="16"/>
        <v>0</v>
      </c>
      <c r="L15" s="1139">
        <v>0</v>
      </c>
      <c r="M15" s="630">
        <v>0</v>
      </c>
      <c r="N15" s="1245">
        <f t="shared" si="17"/>
        <v>0</v>
      </c>
      <c r="O15" s="827">
        <v>0</v>
      </c>
      <c r="P15" s="560">
        <v>0</v>
      </c>
      <c r="Q15" s="940">
        <f t="shared" si="18"/>
        <v>0</v>
      </c>
      <c r="R15" s="674">
        <v>0</v>
      </c>
      <c r="S15" s="445">
        <v>0</v>
      </c>
      <c r="T15" s="454">
        <f t="shared" si="19"/>
        <v>0</v>
      </c>
      <c r="U15" s="1242">
        <v>0</v>
      </c>
      <c r="V15" s="445">
        <v>0</v>
      </c>
      <c r="W15" s="641">
        <f t="shared" si="20"/>
        <v>0</v>
      </c>
      <c r="X15" s="546" t="s">
        <v>16</v>
      </c>
      <c r="Y15" s="1246">
        <v>0</v>
      </c>
      <c r="Z15" s="1247">
        <v>0</v>
      </c>
      <c r="AA15" s="1247">
        <v>0</v>
      </c>
      <c r="AB15" s="1247">
        <v>0</v>
      </c>
      <c r="AC15" s="1247">
        <v>0</v>
      </c>
      <c r="AD15" s="1239">
        <v>0</v>
      </c>
      <c r="AE15" s="1236">
        <v>0</v>
      </c>
      <c r="AG15" s="1632">
        <f t="shared" si="1"/>
        <v>0</v>
      </c>
    </row>
    <row r="16" spans="1:33">
      <c r="A16" s="455" t="s">
        <v>23</v>
      </c>
      <c r="B16" s="1075" t="s">
        <v>15</v>
      </c>
      <c r="C16" s="1141">
        <f>'Table 10a'!D13</f>
        <v>6.37</v>
      </c>
      <c r="D16" s="1140">
        <f>'Table 10a'!E13</f>
        <v>12.18</v>
      </c>
      <c r="E16" s="633">
        <f t="shared" si="14"/>
        <v>18.55</v>
      </c>
      <c r="F16" s="1139">
        <f>'Table 10a'!G13</f>
        <v>5.04</v>
      </c>
      <c r="G16" s="630">
        <f>'Table 10a'!H13</f>
        <v>13.08</v>
      </c>
      <c r="H16" s="1245">
        <f t="shared" si="15"/>
        <v>18.12</v>
      </c>
      <c r="I16" s="1141">
        <f>'Table 10a'!J13</f>
        <v>5.18</v>
      </c>
      <c r="J16" s="1140">
        <f>'Table 10a'!K13</f>
        <v>13.44</v>
      </c>
      <c r="K16" s="633">
        <f t="shared" si="16"/>
        <v>18.62</v>
      </c>
      <c r="L16" s="1139">
        <f>'Table 10a'!M13</f>
        <v>5.4</v>
      </c>
      <c r="M16" s="630">
        <f>'Table 10a'!N13</f>
        <v>13.99</v>
      </c>
      <c r="N16" s="1245">
        <f t="shared" si="17"/>
        <v>19.39</v>
      </c>
      <c r="O16" s="827">
        <f>'Table 10a'!P13</f>
        <v>5.8</v>
      </c>
      <c r="P16" s="560">
        <f>'Table 10a'!Q13</f>
        <v>15.07</v>
      </c>
      <c r="Q16" s="940">
        <f t="shared" si="18"/>
        <v>20.87</v>
      </c>
      <c r="R16" s="674">
        <f>'Table 10a'!S13</f>
        <v>6.25</v>
      </c>
      <c r="S16" s="445">
        <f>'Table 10a'!T13</f>
        <v>16.21</v>
      </c>
      <c r="T16" s="454">
        <f t="shared" si="19"/>
        <v>22.46</v>
      </c>
      <c r="U16" s="1242">
        <f>'Table 10a'!V13</f>
        <v>6.72</v>
      </c>
      <c r="V16" s="445">
        <f>'Table 10a'!W13</f>
        <v>17.440000000000001</v>
      </c>
      <c r="W16" s="641">
        <f t="shared" si="20"/>
        <v>24.16</v>
      </c>
      <c r="X16" s="546">
        <f t="shared" si="0"/>
        <v>0.3</v>
      </c>
      <c r="Y16" s="1246">
        <f>'Table 10a'!Z13</f>
        <v>609.08000000000004</v>
      </c>
      <c r="Z16" s="1247">
        <f>'Table 10a'!AA13</f>
        <v>654.01</v>
      </c>
      <c r="AA16" s="1247">
        <f>'Table 10a'!AB13</f>
        <v>671.8</v>
      </c>
      <c r="AB16" s="1247">
        <f>'Table 10a'!AC13</f>
        <v>699.89</v>
      </c>
      <c r="AC16" s="1247">
        <f>'Table 10a'!AD13</f>
        <v>753.3</v>
      </c>
      <c r="AD16" s="1239">
        <f>'Table 10a'!AE13</f>
        <v>810.49</v>
      </c>
      <c r="AE16" s="1236">
        <f>'Table 10a'!AF13</f>
        <v>872</v>
      </c>
      <c r="AG16" s="1632">
        <f t="shared" si="1"/>
        <v>5.61</v>
      </c>
    </row>
    <row r="17" spans="1:33">
      <c r="A17" s="455" t="s">
        <v>24</v>
      </c>
      <c r="B17" s="1075" t="s">
        <v>15</v>
      </c>
      <c r="C17" s="1141">
        <v>0</v>
      </c>
      <c r="D17" s="1140">
        <v>0</v>
      </c>
      <c r="E17" s="633">
        <f t="shared" si="14"/>
        <v>0</v>
      </c>
      <c r="F17" s="1139">
        <v>0</v>
      </c>
      <c r="G17" s="630">
        <v>0</v>
      </c>
      <c r="H17" s="1245">
        <f t="shared" si="15"/>
        <v>0</v>
      </c>
      <c r="I17" s="1141">
        <v>0</v>
      </c>
      <c r="J17" s="1140">
        <v>0</v>
      </c>
      <c r="K17" s="633">
        <f t="shared" si="16"/>
        <v>0</v>
      </c>
      <c r="L17" s="1139">
        <v>0</v>
      </c>
      <c r="M17" s="630">
        <v>0</v>
      </c>
      <c r="N17" s="1245">
        <f t="shared" si="17"/>
        <v>0</v>
      </c>
      <c r="O17" s="827">
        <v>0</v>
      </c>
      <c r="P17" s="560">
        <v>0</v>
      </c>
      <c r="Q17" s="940">
        <f t="shared" si="18"/>
        <v>0</v>
      </c>
      <c r="R17" s="674">
        <v>0</v>
      </c>
      <c r="S17" s="445">
        <v>0</v>
      </c>
      <c r="T17" s="454">
        <f t="shared" si="19"/>
        <v>0</v>
      </c>
      <c r="U17" s="1242">
        <v>0</v>
      </c>
      <c r="V17" s="445">
        <v>0</v>
      </c>
      <c r="W17" s="641">
        <f t="shared" si="20"/>
        <v>0</v>
      </c>
      <c r="X17" s="546" t="s">
        <v>16</v>
      </c>
      <c r="Y17" s="1246">
        <v>0</v>
      </c>
      <c r="Z17" s="1247">
        <v>0</v>
      </c>
      <c r="AA17" s="1247">
        <v>0</v>
      </c>
      <c r="AB17" s="1247">
        <v>0</v>
      </c>
      <c r="AC17" s="1247">
        <v>0</v>
      </c>
      <c r="AD17" s="1239">
        <v>0</v>
      </c>
      <c r="AE17" s="1236">
        <v>0</v>
      </c>
      <c r="AG17" s="1632">
        <f t="shared" si="1"/>
        <v>0</v>
      </c>
    </row>
    <row r="18" spans="1:33">
      <c r="A18" s="456" t="s">
        <v>25</v>
      </c>
      <c r="B18" s="662" t="s">
        <v>17</v>
      </c>
      <c r="C18" s="1248">
        <v>0</v>
      </c>
      <c r="D18" s="1249">
        <v>0</v>
      </c>
      <c r="E18" s="632">
        <f t="shared" si="14"/>
        <v>0</v>
      </c>
      <c r="F18" s="1250">
        <v>0</v>
      </c>
      <c r="G18" s="1893">
        <v>0</v>
      </c>
      <c r="H18" s="1900">
        <f t="shared" si="15"/>
        <v>0</v>
      </c>
      <c r="I18" s="1248">
        <v>0</v>
      </c>
      <c r="J18" s="1249">
        <v>0</v>
      </c>
      <c r="K18" s="632">
        <f t="shared" si="16"/>
        <v>0</v>
      </c>
      <c r="L18" s="1250">
        <v>0</v>
      </c>
      <c r="M18" s="1893">
        <v>0</v>
      </c>
      <c r="N18" s="1900">
        <f t="shared" si="17"/>
        <v>0</v>
      </c>
      <c r="O18" s="1050">
        <v>0</v>
      </c>
      <c r="P18" s="1594">
        <v>0</v>
      </c>
      <c r="Q18" s="1856">
        <f t="shared" si="18"/>
        <v>0</v>
      </c>
      <c r="R18" s="656">
        <v>0</v>
      </c>
      <c r="S18" s="460">
        <v>0</v>
      </c>
      <c r="T18" s="522">
        <f t="shared" si="19"/>
        <v>0</v>
      </c>
      <c r="U18" s="1244">
        <v>0</v>
      </c>
      <c r="V18" s="460">
        <v>0</v>
      </c>
      <c r="W18" s="643">
        <f t="shared" si="20"/>
        <v>0</v>
      </c>
      <c r="X18" s="546" t="s">
        <v>16</v>
      </c>
      <c r="Y18" s="1251">
        <v>0</v>
      </c>
      <c r="Z18" s="1252">
        <v>0</v>
      </c>
      <c r="AA18" s="1252">
        <v>0</v>
      </c>
      <c r="AB18" s="1252">
        <v>0</v>
      </c>
      <c r="AC18" s="1252">
        <v>0</v>
      </c>
      <c r="AD18" s="1241">
        <v>0</v>
      </c>
      <c r="AE18" s="1238">
        <v>0</v>
      </c>
      <c r="AG18" s="1602">
        <f t="shared" si="1"/>
        <v>0</v>
      </c>
    </row>
    <row r="19" spans="1:33">
      <c r="A19" s="456" t="s">
        <v>26</v>
      </c>
      <c r="B19" s="662" t="s">
        <v>17</v>
      </c>
      <c r="C19" s="1248">
        <v>0</v>
      </c>
      <c r="D19" s="1249">
        <v>0</v>
      </c>
      <c r="E19" s="632">
        <f t="shared" si="14"/>
        <v>0</v>
      </c>
      <c r="F19" s="1250">
        <v>0</v>
      </c>
      <c r="G19" s="1893">
        <v>0</v>
      </c>
      <c r="H19" s="1900">
        <f t="shared" si="15"/>
        <v>0</v>
      </c>
      <c r="I19" s="1248">
        <v>0</v>
      </c>
      <c r="J19" s="1249">
        <v>0</v>
      </c>
      <c r="K19" s="632">
        <f t="shared" si="16"/>
        <v>0</v>
      </c>
      <c r="L19" s="1250">
        <v>0</v>
      </c>
      <c r="M19" s="1893">
        <v>0</v>
      </c>
      <c r="N19" s="1900">
        <f t="shared" si="17"/>
        <v>0</v>
      </c>
      <c r="O19" s="1050">
        <v>0</v>
      </c>
      <c r="P19" s="1594">
        <v>0</v>
      </c>
      <c r="Q19" s="1856">
        <f t="shared" si="18"/>
        <v>0</v>
      </c>
      <c r="R19" s="1243">
        <v>0</v>
      </c>
      <c r="S19" s="560">
        <v>0</v>
      </c>
      <c r="T19" s="522">
        <f t="shared" si="19"/>
        <v>0</v>
      </c>
      <c r="U19" s="1243">
        <v>0</v>
      </c>
      <c r="V19" s="560">
        <v>0</v>
      </c>
      <c r="W19" s="643">
        <f t="shared" si="20"/>
        <v>0</v>
      </c>
      <c r="X19" s="546" t="s">
        <v>16</v>
      </c>
      <c r="Y19" s="1251">
        <v>0</v>
      </c>
      <c r="Z19" s="1252">
        <v>0</v>
      </c>
      <c r="AA19" s="1252">
        <v>0</v>
      </c>
      <c r="AB19" s="1252">
        <v>0</v>
      </c>
      <c r="AC19" s="1252">
        <v>0</v>
      </c>
      <c r="AD19" s="1241">
        <v>0</v>
      </c>
      <c r="AE19" s="1238">
        <v>0</v>
      </c>
      <c r="AG19" s="1599">
        <f t="shared" si="1"/>
        <v>0</v>
      </c>
    </row>
    <row r="20" spans="1:33">
      <c r="A20" s="455" t="s">
        <v>27</v>
      </c>
      <c r="B20" s="1075" t="s">
        <v>15</v>
      </c>
      <c r="C20" s="1141">
        <v>0</v>
      </c>
      <c r="D20" s="1140">
        <v>0</v>
      </c>
      <c r="E20" s="633">
        <f t="shared" ref="E20:E24" si="21">C20+D20</f>
        <v>0</v>
      </c>
      <c r="F20" s="1139">
        <v>0</v>
      </c>
      <c r="G20" s="630">
        <v>0</v>
      </c>
      <c r="H20" s="1245">
        <f t="shared" ref="H20:H24" si="22">F20+G20</f>
        <v>0</v>
      </c>
      <c r="I20" s="1141">
        <v>0</v>
      </c>
      <c r="J20" s="1140">
        <v>0</v>
      </c>
      <c r="K20" s="633">
        <f t="shared" ref="K20:K24" si="23">I20+J20</f>
        <v>0</v>
      </c>
      <c r="L20" s="1139">
        <v>0</v>
      </c>
      <c r="M20" s="630">
        <v>0</v>
      </c>
      <c r="N20" s="1245">
        <f t="shared" ref="N20:N24" si="24">L20+M20</f>
        <v>0</v>
      </c>
      <c r="O20" s="827">
        <v>0</v>
      </c>
      <c r="P20" s="560">
        <v>0</v>
      </c>
      <c r="Q20" s="940">
        <f t="shared" ref="Q20:Q24" si="25">O20+P20</f>
        <v>0</v>
      </c>
      <c r="R20" s="674">
        <v>0</v>
      </c>
      <c r="S20" s="445">
        <v>0</v>
      </c>
      <c r="T20" s="454">
        <f t="shared" ref="T20:T24" si="26">R20+S20</f>
        <v>0</v>
      </c>
      <c r="U20" s="1242">
        <v>0</v>
      </c>
      <c r="V20" s="445">
        <v>0</v>
      </c>
      <c r="W20" s="641">
        <f t="shared" si="20"/>
        <v>0</v>
      </c>
      <c r="X20" s="546" t="s">
        <v>16</v>
      </c>
      <c r="Y20" s="1246">
        <v>0</v>
      </c>
      <c r="Z20" s="1247">
        <v>0</v>
      </c>
      <c r="AA20" s="1247">
        <v>0</v>
      </c>
      <c r="AB20" s="1247">
        <v>0</v>
      </c>
      <c r="AC20" s="1247">
        <v>0</v>
      </c>
      <c r="AD20" s="1239">
        <v>0</v>
      </c>
      <c r="AE20" s="1236">
        <v>0</v>
      </c>
      <c r="AG20" s="1632">
        <f t="shared" si="1"/>
        <v>0</v>
      </c>
    </row>
    <row r="21" spans="1:33">
      <c r="A21" s="455" t="s">
        <v>28</v>
      </c>
      <c r="B21" s="1075" t="s">
        <v>15</v>
      </c>
      <c r="C21" s="1141">
        <f>'Table 10a'!D16</f>
        <v>0.45</v>
      </c>
      <c r="D21" s="1140">
        <f>'Table 10a'!E16</f>
        <v>0.3</v>
      </c>
      <c r="E21" s="633">
        <f t="shared" si="21"/>
        <v>0.75</v>
      </c>
      <c r="F21" s="1139">
        <f>'Table 10a'!G16</f>
        <v>0.48</v>
      </c>
      <c r="G21" s="1901">
        <f>'Table 10a'!H16</f>
        <v>0.32</v>
      </c>
      <c r="H21" s="1245">
        <f t="shared" si="22"/>
        <v>0.8</v>
      </c>
      <c r="I21" s="1141">
        <f>'Table 10a'!J16</f>
        <v>0.51</v>
      </c>
      <c r="J21" s="1140">
        <f>'Table 10a'!K16</f>
        <v>0.34</v>
      </c>
      <c r="K21" s="633">
        <f t="shared" si="23"/>
        <v>0.85</v>
      </c>
      <c r="L21" s="1139">
        <f>'Table 10a'!M16</f>
        <v>0.54</v>
      </c>
      <c r="M21" s="630">
        <f>'Table 10a'!N16</f>
        <v>0.36</v>
      </c>
      <c r="N21" s="1245">
        <f t="shared" si="24"/>
        <v>0.9</v>
      </c>
      <c r="O21" s="827">
        <f>'Table 10a'!P16</f>
        <v>0.56000000000000005</v>
      </c>
      <c r="P21" s="560">
        <f>'Table 10a'!Q16</f>
        <v>0.37</v>
      </c>
      <c r="Q21" s="940">
        <f t="shared" si="25"/>
        <v>0.93</v>
      </c>
      <c r="R21" s="674">
        <f>'Table 10a'!S16</f>
        <v>0.56999999999999995</v>
      </c>
      <c r="S21" s="445">
        <f>'Table 10a'!T16</f>
        <v>0.38</v>
      </c>
      <c r="T21" s="454">
        <f t="shared" si="26"/>
        <v>0.95</v>
      </c>
      <c r="U21" s="1242">
        <f>'Table 10a'!V16</f>
        <v>0.57999999999999996</v>
      </c>
      <c r="V21" s="445">
        <f>'Table 10a'!W16</f>
        <v>0.39</v>
      </c>
      <c r="W21" s="641">
        <f t="shared" si="20"/>
        <v>0.97</v>
      </c>
      <c r="X21" s="546">
        <f t="shared" si="0"/>
        <v>0.28999999999999998</v>
      </c>
      <c r="Y21" s="1246">
        <f>'Table 10a'!Z16</f>
        <v>14.98</v>
      </c>
      <c r="Z21" s="1247">
        <f>'Table 10a'!AA16</f>
        <v>15.9</v>
      </c>
      <c r="AA21" s="1247">
        <f>'Table 10a'!AB16</f>
        <v>17.059999999999999</v>
      </c>
      <c r="AB21" s="1247">
        <f>'Table 10a'!AC16</f>
        <v>18.02</v>
      </c>
      <c r="AC21" s="1247">
        <f>'Table 10a'!AD16</f>
        <v>18.48</v>
      </c>
      <c r="AD21" s="1239">
        <f>'Table 10a'!AE16</f>
        <v>18.95</v>
      </c>
      <c r="AE21" s="1236">
        <f>'Table 10a'!AF16</f>
        <v>19.440000000000001</v>
      </c>
      <c r="AG21" s="1632">
        <f t="shared" si="1"/>
        <v>0.22</v>
      </c>
    </row>
    <row r="22" spans="1:33">
      <c r="A22" s="455" t="s">
        <v>29</v>
      </c>
      <c r="B22" s="1075" t="s">
        <v>15</v>
      </c>
      <c r="C22" s="1141">
        <v>0</v>
      </c>
      <c r="D22" s="1140">
        <v>0</v>
      </c>
      <c r="E22" s="633">
        <f t="shared" si="21"/>
        <v>0</v>
      </c>
      <c r="F22" s="1139">
        <v>0</v>
      </c>
      <c r="G22" s="630">
        <v>0</v>
      </c>
      <c r="H22" s="1245">
        <f t="shared" si="22"/>
        <v>0</v>
      </c>
      <c r="I22" s="1141">
        <v>0</v>
      </c>
      <c r="J22" s="1140">
        <v>0</v>
      </c>
      <c r="K22" s="633">
        <f t="shared" si="23"/>
        <v>0</v>
      </c>
      <c r="L22" s="1139">
        <v>0</v>
      </c>
      <c r="M22" s="630">
        <v>0</v>
      </c>
      <c r="N22" s="1245">
        <f t="shared" si="24"/>
        <v>0</v>
      </c>
      <c r="O22" s="827">
        <v>0</v>
      </c>
      <c r="P22" s="560">
        <v>0</v>
      </c>
      <c r="Q22" s="940">
        <f t="shared" si="25"/>
        <v>0</v>
      </c>
      <c r="R22" s="674">
        <v>0</v>
      </c>
      <c r="S22" s="445">
        <v>0</v>
      </c>
      <c r="T22" s="454">
        <f t="shared" si="26"/>
        <v>0</v>
      </c>
      <c r="U22" s="1242">
        <v>0</v>
      </c>
      <c r="V22" s="445">
        <v>0</v>
      </c>
      <c r="W22" s="641">
        <f t="shared" si="20"/>
        <v>0</v>
      </c>
      <c r="X22" s="546" t="s">
        <v>16</v>
      </c>
      <c r="Y22" s="1246">
        <v>0</v>
      </c>
      <c r="Z22" s="1247">
        <v>0</v>
      </c>
      <c r="AA22" s="1247">
        <v>0</v>
      </c>
      <c r="AB22" s="1247">
        <v>0</v>
      </c>
      <c r="AC22" s="1247">
        <v>0</v>
      </c>
      <c r="AD22" s="1239">
        <v>0</v>
      </c>
      <c r="AE22" s="1236">
        <v>0</v>
      </c>
      <c r="AG22" s="1632">
        <f t="shared" si="1"/>
        <v>0</v>
      </c>
    </row>
    <row r="23" spans="1:33">
      <c r="A23" s="456" t="s">
        <v>30</v>
      </c>
      <c r="B23" s="662" t="s">
        <v>17</v>
      </c>
      <c r="C23" s="1248">
        <f>'Table 10a'!D18</f>
        <v>0.1</v>
      </c>
      <c r="D23" s="1249">
        <f>'Table 10a'!E18</f>
        <v>0.06</v>
      </c>
      <c r="E23" s="632">
        <f t="shared" si="21"/>
        <v>0.16</v>
      </c>
      <c r="F23" s="1250">
        <f>'Table 10a'!G18</f>
        <v>7.0000000000000007E-2</v>
      </c>
      <c r="G23" s="1893">
        <f>'Table 10a'!H18</f>
        <v>0.05</v>
      </c>
      <c r="H23" s="1900">
        <f t="shared" si="22"/>
        <v>0.12</v>
      </c>
      <c r="I23" s="1248">
        <f>'Table 10a'!J18</f>
        <v>7.0000000000000007E-2</v>
      </c>
      <c r="J23" s="1249">
        <f>'Table 10a'!K18</f>
        <v>0.05</v>
      </c>
      <c r="K23" s="632">
        <f t="shared" si="23"/>
        <v>0.12</v>
      </c>
      <c r="L23" s="1250">
        <f>'Table 10a'!M18</f>
        <v>7.0000000000000007E-2</v>
      </c>
      <c r="M23" s="1893">
        <f>'Table 10a'!N18</f>
        <v>0.05</v>
      </c>
      <c r="N23" s="1900">
        <f t="shared" si="24"/>
        <v>0.12</v>
      </c>
      <c r="O23" s="1050">
        <f>'Table 10a'!P18</f>
        <v>7.0000000000000007E-2</v>
      </c>
      <c r="P23" s="1594">
        <f>'Table 10a'!Q18</f>
        <v>0.05</v>
      </c>
      <c r="Q23" s="940">
        <f t="shared" si="25"/>
        <v>0.12</v>
      </c>
      <c r="R23" s="1591">
        <f>'Table 10a'!S18</f>
        <v>7.0000000000000007E-2</v>
      </c>
      <c r="S23" s="916">
        <f>'Table 10a'!T18</f>
        <v>0.05</v>
      </c>
      <c r="T23" s="454">
        <f t="shared" si="26"/>
        <v>0.12</v>
      </c>
      <c r="U23" s="1243">
        <f>'Table 10a'!V18</f>
        <v>7.0000000000000007E-2</v>
      </c>
      <c r="V23" s="916">
        <f>'Table 10a'!W18</f>
        <v>0.05</v>
      </c>
      <c r="W23" s="641">
        <f t="shared" si="20"/>
        <v>0.12</v>
      </c>
      <c r="X23" s="546">
        <f t="shared" si="0"/>
        <v>-0.25</v>
      </c>
      <c r="Y23" s="1251">
        <f>'Table 10a'!Z18</f>
        <v>3</v>
      </c>
      <c r="Z23" s="1252">
        <f>'Table 10a'!AA18</f>
        <v>2.25</v>
      </c>
      <c r="AA23" s="1252">
        <f>'Table 10a'!AB18</f>
        <v>2.25</v>
      </c>
      <c r="AB23" s="1252">
        <f>'Table 10a'!AC18</f>
        <v>2.25</v>
      </c>
      <c r="AC23" s="1252">
        <f>'Table 10a'!AD18</f>
        <v>2.25</v>
      </c>
      <c r="AD23" s="1241">
        <f>'Table 10a'!AE18</f>
        <v>2.25</v>
      </c>
      <c r="AE23" s="1238">
        <f>'Table 10a'!AF18</f>
        <v>2.25</v>
      </c>
      <c r="AG23" s="1599">
        <f t="shared" si="1"/>
        <v>-0.04</v>
      </c>
    </row>
    <row r="24" spans="1:33" ht="13.5" thickBot="1">
      <c r="A24" s="579" t="s">
        <v>31</v>
      </c>
      <c r="B24" s="1850" t="s">
        <v>17</v>
      </c>
      <c r="C24" s="41">
        <v>0</v>
      </c>
      <c r="D24" s="541">
        <v>0</v>
      </c>
      <c r="E24" s="51">
        <f t="shared" si="21"/>
        <v>0</v>
      </c>
      <c r="F24" s="1253">
        <v>0</v>
      </c>
      <c r="G24" s="627">
        <v>0</v>
      </c>
      <c r="H24" s="1254">
        <f t="shared" si="22"/>
        <v>0</v>
      </c>
      <c r="I24" s="41">
        <v>0</v>
      </c>
      <c r="J24" s="541">
        <v>0</v>
      </c>
      <c r="K24" s="51">
        <f t="shared" si="23"/>
        <v>0</v>
      </c>
      <c r="L24" s="1253">
        <v>0</v>
      </c>
      <c r="M24" s="627">
        <v>0</v>
      </c>
      <c r="N24" s="1254">
        <f t="shared" si="24"/>
        <v>0</v>
      </c>
      <c r="O24" s="467">
        <v>0</v>
      </c>
      <c r="P24" s="562">
        <v>0</v>
      </c>
      <c r="Q24" s="558">
        <f t="shared" si="25"/>
        <v>0</v>
      </c>
      <c r="R24" s="691">
        <v>0</v>
      </c>
      <c r="S24" s="616">
        <v>0</v>
      </c>
      <c r="T24" s="617">
        <f t="shared" si="26"/>
        <v>0</v>
      </c>
      <c r="U24" s="1293">
        <v>0</v>
      </c>
      <c r="V24" s="616">
        <v>0</v>
      </c>
      <c r="W24" s="1590">
        <f t="shared" si="20"/>
        <v>0</v>
      </c>
      <c r="X24" s="205" t="s">
        <v>16</v>
      </c>
      <c r="Y24" s="1255">
        <v>0</v>
      </c>
      <c r="Z24" s="1256">
        <v>0</v>
      </c>
      <c r="AA24" s="1256">
        <v>0</v>
      </c>
      <c r="AB24" s="1256">
        <v>0</v>
      </c>
      <c r="AC24" s="1256">
        <v>0</v>
      </c>
      <c r="AD24" s="1257">
        <v>0</v>
      </c>
      <c r="AE24" s="1258">
        <v>0</v>
      </c>
      <c r="AG24" s="1595">
        <f t="shared" si="1"/>
        <v>0</v>
      </c>
    </row>
    <row r="25" spans="1:33" s="22" customFormat="1" ht="14.25" thickTop="1" thickBot="1">
      <c r="A25" s="3231" t="s">
        <v>32</v>
      </c>
      <c r="B25" s="3232"/>
      <c r="C25" s="622">
        <f>C5+C8+C11+C14+C16+C17+C20+C21+C22</f>
        <v>7.33</v>
      </c>
      <c r="D25" s="620">
        <f t="shared" ref="D25:W25" si="27">D5+D8+D11+D14+D16+D17+D20+D21+D22</f>
        <v>12.48</v>
      </c>
      <c r="E25" s="638">
        <f t="shared" si="27"/>
        <v>19.809999999999999</v>
      </c>
      <c r="F25" s="619">
        <f t="shared" si="27"/>
        <v>6.05</v>
      </c>
      <c r="G25" s="623">
        <f t="shared" si="27"/>
        <v>13.4</v>
      </c>
      <c r="H25" s="671">
        <f t="shared" si="27"/>
        <v>19.45</v>
      </c>
      <c r="I25" s="622">
        <f t="shared" si="27"/>
        <v>6.24</v>
      </c>
      <c r="J25" s="620">
        <f t="shared" si="27"/>
        <v>13.78</v>
      </c>
      <c r="K25" s="638">
        <f t="shared" si="27"/>
        <v>20.02</v>
      </c>
      <c r="L25" s="619">
        <f t="shared" si="27"/>
        <v>6.5</v>
      </c>
      <c r="M25" s="623">
        <f t="shared" si="27"/>
        <v>14.35</v>
      </c>
      <c r="N25" s="671">
        <f t="shared" si="27"/>
        <v>20.85</v>
      </c>
      <c r="O25" s="482">
        <f t="shared" si="27"/>
        <v>6.95</v>
      </c>
      <c r="P25" s="554">
        <f t="shared" si="27"/>
        <v>15.44</v>
      </c>
      <c r="Q25" s="486">
        <f t="shared" si="27"/>
        <v>22.39</v>
      </c>
      <c r="R25" s="482">
        <f t="shared" si="27"/>
        <v>7.43</v>
      </c>
      <c r="S25" s="639">
        <f t="shared" si="27"/>
        <v>16.59</v>
      </c>
      <c r="T25" s="484">
        <f t="shared" si="27"/>
        <v>24.02</v>
      </c>
      <c r="U25" s="482">
        <f t="shared" si="27"/>
        <v>7.93</v>
      </c>
      <c r="V25" s="639">
        <f t="shared" si="27"/>
        <v>17.829999999999998</v>
      </c>
      <c r="W25" s="640">
        <f t="shared" si="27"/>
        <v>25.76</v>
      </c>
      <c r="X25" s="548">
        <f t="shared" si="0"/>
        <v>0.3</v>
      </c>
      <c r="Y25" s="670">
        <f t="shared" ref="Y25:AD25" si="28">Y5+Y8+Y11+Y14+Y16+Y17+Y20+Y21+Y22</f>
        <v>624.05999999999995</v>
      </c>
      <c r="Z25" s="793">
        <f t="shared" si="28"/>
        <v>669.91</v>
      </c>
      <c r="AA25" s="793">
        <f t="shared" si="28"/>
        <v>688.86</v>
      </c>
      <c r="AB25" s="793">
        <f t="shared" si="28"/>
        <v>717.91</v>
      </c>
      <c r="AC25" s="793">
        <f t="shared" si="28"/>
        <v>771.78</v>
      </c>
      <c r="AD25" s="1296">
        <f t="shared" si="28"/>
        <v>829.44</v>
      </c>
      <c r="AE25" s="59">
        <f t="shared" ref="AE25" si="29">AE5+AE8+AE11+AE14+AE16+AE17+AE20+AE21+AE22</f>
        <v>891.44</v>
      </c>
      <c r="AG25" s="1596">
        <f t="shared" si="1"/>
        <v>5.95</v>
      </c>
    </row>
    <row r="26" spans="1:33" s="22" customFormat="1" ht="13.5" thickBot="1">
      <c r="A26" s="3229" t="s">
        <v>512</v>
      </c>
      <c r="B26" s="3230"/>
      <c r="C26" s="694">
        <f>C6+C9+C12+C15+C18+C19+C23+C24</f>
        <v>1.87</v>
      </c>
      <c r="D26" s="695">
        <f t="shared" ref="D26:W26" si="30">D6+D9+D12+D15+D18+D19+D23+D24</f>
        <v>0.06</v>
      </c>
      <c r="E26" s="696">
        <f t="shared" si="30"/>
        <v>1.93</v>
      </c>
      <c r="F26" s="697">
        <f t="shared" si="30"/>
        <v>1.83</v>
      </c>
      <c r="G26" s="698">
        <f t="shared" si="30"/>
        <v>0.05</v>
      </c>
      <c r="H26" s="699">
        <f t="shared" si="30"/>
        <v>1.88</v>
      </c>
      <c r="I26" s="694">
        <f t="shared" si="30"/>
        <v>1.74</v>
      </c>
      <c r="J26" s="695">
        <f t="shared" si="30"/>
        <v>0.05</v>
      </c>
      <c r="K26" s="696">
        <f t="shared" si="30"/>
        <v>1.79</v>
      </c>
      <c r="L26" s="697">
        <f t="shared" si="30"/>
        <v>1.78</v>
      </c>
      <c r="M26" s="698">
        <f t="shared" si="30"/>
        <v>0.05</v>
      </c>
      <c r="N26" s="699">
        <f t="shared" si="30"/>
        <v>1.83</v>
      </c>
      <c r="O26" s="493">
        <f t="shared" si="30"/>
        <v>1.85</v>
      </c>
      <c r="P26" s="561">
        <f t="shared" si="30"/>
        <v>0.05</v>
      </c>
      <c r="Q26" s="497">
        <f t="shared" si="30"/>
        <v>1.9</v>
      </c>
      <c r="R26" s="493">
        <f t="shared" si="30"/>
        <v>1.93</v>
      </c>
      <c r="S26" s="651">
        <f t="shared" si="30"/>
        <v>0.05</v>
      </c>
      <c r="T26" s="495">
        <f t="shared" si="30"/>
        <v>1.98</v>
      </c>
      <c r="U26" s="493">
        <f t="shared" si="30"/>
        <v>2</v>
      </c>
      <c r="V26" s="651">
        <f t="shared" si="30"/>
        <v>0.05</v>
      </c>
      <c r="W26" s="645">
        <f t="shared" si="30"/>
        <v>2.0499999999999998</v>
      </c>
      <c r="X26" s="551">
        <f t="shared" si="0"/>
        <v>0.06</v>
      </c>
      <c r="Y26" s="700">
        <f t="shared" ref="Y26:AD26" si="31">Y6+Y9+Y12+Y15+Y18+Y19+Y23+Y24</f>
        <v>3</v>
      </c>
      <c r="Z26" s="786">
        <f t="shared" si="31"/>
        <v>2.25</v>
      </c>
      <c r="AA26" s="786">
        <f t="shared" si="31"/>
        <v>2.25</v>
      </c>
      <c r="AB26" s="786">
        <f t="shared" si="31"/>
        <v>2.25</v>
      </c>
      <c r="AC26" s="786">
        <f t="shared" si="31"/>
        <v>2.25</v>
      </c>
      <c r="AD26" s="1297">
        <f t="shared" si="31"/>
        <v>2.25</v>
      </c>
      <c r="AE26" s="182">
        <f t="shared" ref="AE26" si="32">AE6+AE9+AE12+AE15+AE18+AE19+AE23+AE24</f>
        <v>2.25</v>
      </c>
      <c r="AG26" s="1600">
        <f t="shared" si="1"/>
        <v>0.12</v>
      </c>
    </row>
    <row r="27" spans="1:33" s="22" customFormat="1" ht="13.5" customHeight="1" thickBot="1">
      <c r="A27" s="3406" t="s">
        <v>34</v>
      </c>
      <c r="B27" s="3408"/>
      <c r="C27" s="25">
        <f>C25+C26</f>
        <v>9.1999999999999993</v>
      </c>
      <c r="D27" s="26">
        <f t="shared" ref="D27:W27" si="33">D25+D26</f>
        <v>12.54</v>
      </c>
      <c r="E27" s="27">
        <f t="shared" si="33"/>
        <v>21.74</v>
      </c>
      <c r="F27" s="28">
        <f t="shared" si="33"/>
        <v>7.88</v>
      </c>
      <c r="G27" s="29">
        <f t="shared" si="33"/>
        <v>13.45</v>
      </c>
      <c r="H27" s="46">
        <f t="shared" si="33"/>
        <v>21.33</v>
      </c>
      <c r="I27" s="25">
        <f t="shared" si="33"/>
        <v>7.98</v>
      </c>
      <c r="J27" s="26">
        <f t="shared" si="33"/>
        <v>13.83</v>
      </c>
      <c r="K27" s="27">
        <f t="shared" si="33"/>
        <v>21.81</v>
      </c>
      <c r="L27" s="28">
        <f t="shared" si="33"/>
        <v>8.2799999999999994</v>
      </c>
      <c r="M27" s="29">
        <f t="shared" si="33"/>
        <v>14.4</v>
      </c>
      <c r="N27" s="46">
        <f t="shared" si="33"/>
        <v>22.68</v>
      </c>
      <c r="O27" s="25">
        <f t="shared" si="33"/>
        <v>8.8000000000000007</v>
      </c>
      <c r="P27" s="29">
        <f t="shared" si="33"/>
        <v>15.49</v>
      </c>
      <c r="Q27" s="30">
        <f t="shared" si="33"/>
        <v>24.29</v>
      </c>
      <c r="R27" s="25">
        <f t="shared" si="33"/>
        <v>9.36</v>
      </c>
      <c r="S27" s="46">
        <f t="shared" si="33"/>
        <v>16.64</v>
      </c>
      <c r="T27" s="39">
        <f t="shared" si="33"/>
        <v>26</v>
      </c>
      <c r="U27" s="25">
        <f t="shared" si="33"/>
        <v>9.93</v>
      </c>
      <c r="V27" s="46">
        <f t="shared" si="33"/>
        <v>17.88</v>
      </c>
      <c r="W27" s="27">
        <f t="shared" si="33"/>
        <v>27.81</v>
      </c>
      <c r="X27" s="207">
        <f t="shared" si="0"/>
        <v>0.28000000000000003</v>
      </c>
      <c r="Y27" s="52">
        <f t="shared" ref="Y27:AE27" si="34">Y25+Y26</f>
        <v>627.05999999999995</v>
      </c>
      <c r="Z27" s="794">
        <f t="shared" si="34"/>
        <v>672.16</v>
      </c>
      <c r="AA27" s="794">
        <f t="shared" si="34"/>
        <v>691.11</v>
      </c>
      <c r="AB27" s="794">
        <f t="shared" si="34"/>
        <v>720.16</v>
      </c>
      <c r="AC27" s="794">
        <f t="shared" si="34"/>
        <v>774.03</v>
      </c>
      <c r="AD27" s="781">
        <f t="shared" si="34"/>
        <v>831.69</v>
      </c>
      <c r="AE27" s="166">
        <f t="shared" si="34"/>
        <v>893.69</v>
      </c>
      <c r="AG27" s="1774">
        <f t="shared" si="1"/>
        <v>6.07</v>
      </c>
    </row>
    <row r="28" spans="1:33">
      <c r="A28" s="89" t="s">
        <v>35</v>
      </c>
    </row>
    <row r="29" spans="1:33">
      <c r="A29" s="1" t="s">
        <v>68</v>
      </c>
      <c r="B29" s="23"/>
      <c r="C29" s="23"/>
      <c r="D29" s="23"/>
      <c r="E29" s="23"/>
      <c r="F29" s="23"/>
      <c r="G29" s="23"/>
      <c r="H29" s="23"/>
      <c r="I29" s="23"/>
      <c r="J29" s="23"/>
      <c r="K29" s="23"/>
      <c r="L29" s="23"/>
      <c r="M29" s="23"/>
      <c r="AC29" s="1" t="s">
        <v>36</v>
      </c>
    </row>
    <row r="30" spans="1:33">
      <c r="A30" s="1" t="s">
        <v>69</v>
      </c>
    </row>
    <row r="31" spans="1:33">
      <c r="A31" s="2" t="s">
        <v>628</v>
      </c>
    </row>
    <row r="32" spans="1:33">
      <c r="A32" s="2" t="s">
        <v>629</v>
      </c>
    </row>
    <row r="33" spans="1:33">
      <c r="A33" s="1" t="s">
        <v>36</v>
      </c>
    </row>
    <row r="34" spans="1:33" ht="13.5" thickBot="1">
      <c r="A34" s="2" t="s">
        <v>630</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row>
    <row r="35" spans="1:33" ht="27" customHeight="1" thickBot="1">
      <c r="A35" s="3204" t="s">
        <v>1</v>
      </c>
      <c r="B35" s="3206" t="s">
        <v>2</v>
      </c>
      <c r="C35" s="3221" t="s">
        <v>55</v>
      </c>
      <c r="D35" s="3222"/>
      <c r="E35" s="3223"/>
      <c r="F35" s="3221" t="s">
        <v>56</v>
      </c>
      <c r="G35" s="3222"/>
      <c r="H35" s="3222"/>
      <c r="I35" s="3222"/>
      <c r="J35" s="3222"/>
      <c r="K35" s="3222"/>
      <c r="L35" s="3222"/>
      <c r="M35" s="3222"/>
      <c r="N35" s="3222"/>
      <c r="O35" s="3222"/>
      <c r="P35" s="3222"/>
      <c r="Q35" s="3222"/>
      <c r="R35" s="3222"/>
      <c r="S35" s="3222"/>
      <c r="T35" s="3222"/>
      <c r="U35" s="3222"/>
      <c r="V35" s="3222"/>
      <c r="W35" s="3223"/>
      <c r="X35" s="3255" t="s">
        <v>57</v>
      </c>
      <c r="Y35" s="3265" t="s">
        <v>627</v>
      </c>
      <c r="Z35" s="3266"/>
      <c r="AA35" s="3266"/>
      <c r="AB35" s="3266"/>
      <c r="AC35" s="3266"/>
      <c r="AD35" s="3266"/>
      <c r="AE35" s="3267"/>
      <c r="AG35" s="3255" t="s">
        <v>80</v>
      </c>
    </row>
    <row r="36" spans="1:33" ht="27" customHeight="1" thickBot="1">
      <c r="A36" s="3205"/>
      <c r="B36" s="3207"/>
      <c r="C36" s="3212">
        <v>2015</v>
      </c>
      <c r="D36" s="3213"/>
      <c r="E36" s="3215"/>
      <c r="F36" s="3219">
        <v>2020</v>
      </c>
      <c r="G36" s="3213"/>
      <c r="H36" s="3214"/>
      <c r="I36" s="3212">
        <v>2025</v>
      </c>
      <c r="J36" s="3213"/>
      <c r="K36" s="3215"/>
      <c r="L36" s="3217">
        <v>2030</v>
      </c>
      <c r="M36" s="3217"/>
      <c r="N36" s="3217"/>
      <c r="O36" s="3212">
        <v>2035</v>
      </c>
      <c r="P36" s="3213"/>
      <c r="Q36" s="3215"/>
      <c r="R36" s="3212">
        <v>2040</v>
      </c>
      <c r="S36" s="3213"/>
      <c r="T36" s="3215"/>
      <c r="U36" s="3219">
        <v>2045</v>
      </c>
      <c r="V36" s="3213"/>
      <c r="W36" s="3214"/>
      <c r="X36" s="3256"/>
      <c r="Y36" s="3380"/>
      <c r="Z36" s="3280"/>
      <c r="AA36" s="3280"/>
      <c r="AB36" s="3280"/>
      <c r="AC36" s="3280"/>
      <c r="AD36" s="3280"/>
      <c r="AE36" s="3377"/>
      <c r="AG36" s="3256"/>
    </row>
    <row r="37" spans="1:33" ht="15.75" customHeight="1" thickBot="1">
      <c r="A37" s="3485"/>
      <c r="B37" s="3208"/>
      <c r="C37" s="1655" t="s">
        <v>60</v>
      </c>
      <c r="D37" s="1017" t="s">
        <v>61</v>
      </c>
      <c r="E37" s="1659" t="s">
        <v>18</v>
      </c>
      <c r="F37" s="1669" t="s">
        <v>60</v>
      </c>
      <c r="G37" s="1657" t="s">
        <v>61</v>
      </c>
      <c r="H37" s="1661" t="s">
        <v>18</v>
      </c>
      <c r="I37" s="1655" t="s">
        <v>60</v>
      </c>
      <c r="J37" s="1017" t="s">
        <v>61</v>
      </c>
      <c r="K37" s="1659" t="s">
        <v>18</v>
      </c>
      <c r="L37" s="1669" t="s">
        <v>60</v>
      </c>
      <c r="M37" s="1657" t="s">
        <v>61</v>
      </c>
      <c r="N37" s="1661" t="s">
        <v>18</v>
      </c>
      <c r="O37" s="1655" t="s">
        <v>60</v>
      </c>
      <c r="P37" s="1657" t="s">
        <v>61</v>
      </c>
      <c r="Q37" s="1658" t="s">
        <v>18</v>
      </c>
      <c r="R37" s="1655" t="s">
        <v>60</v>
      </c>
      <c r="S37" s="1017" t="s">
        <v>61</v>
      </c>
      <c r="T37" s="1659" t="s">
        <v>18</v>
      </c>
      <c r="U37" s="1661" t="s">
        <v>60</v>
      </c>
      <c r="V37" s="1657" t="s">
        <v>61</v>
      </c>
      <c r="W37" s="1658" t="s">
        <v>18</v>
      </c>
      <c r="X37" s="3257"/>
      <c r="Y37" s="1767">
        <v>2015</v>
      </c>
      <c r="Z37" s="1750">
        <v>2020</v>
      </c>
      <c r="AA37" s="1750">
        <v>2025</v>
      </c>
      <c r="AB37" s="1750">
        <v>2030</v>
      </c>
      <c r="AC37" s="1750">
        <v>2035</v>
      </c>
      <c r="AD37" s="1749">
        <v>2040</v>
      </c>
      <c r="AE37" s="3036">
        <v>2045</v>
      </c>
      <c r="AG37" s="3470"/>
    </row>
    <row r="38" spans="1:33">
      <c r="A38" s="443" t="s">
        <v>46</v>
      </c>
      <c r="B38" s="507" t="s">
        <v>17</v>
      </c>
      <c r="C38" s="1124">
        <v>0</v>
      </c>
      <c r="D38" s="1122">
        <v>0</v>
      </c>
      <c r="E38" s="1024">
        <f t="shared" ref="E38:E43" si="35">C38+D38</f>
        <v>0</v>
      </c>
      <c r="F38" s="1121">
        <v>0</v>
      </c>
      <c r="G38" s="1125">
        <v>0</v>
      </c>
      <c r="H38" s="1766">
        <f t="shared" ref="H38:H43" si="36">F38+G38</f>
        <v>0</v>
      </c>
      <c r="I38" s="1124">
        <v>0</v>
      </c>
      <c r="J38" s="1122">
        <v>0</v>
      </c>
      <c r="K38" s="1024">
        <f t="shared" ref="K38:K43" si="37">I38+J38</f>
        <v>0</v>
      </c>
      <c r="L38" s="1121">
        <v>0</v>
      </c>
      <c r="M38" s="1125">
        <v>0</v>
      </c>
      <c r="N38" s="1766">
        <f t="shared" ref="N38:N43" si="38">L38+M38</f>
        <v>0</v>
      </c>
      <c r="O38" s="444">
        <v>0</v>
      </c>
      <c r="P38" s="585">
        <v>0</v>
      </c>
      <c r="Q38" s="450">
        <f t="shared" ref="Q38:Q43" si="39">O38+P38</f>
        <v>0</v>
      </c>
      <c r="R38" s="1242">
        <v>0</v>
      </c>
      <c r="S38" s="445">
        <v>0</v>
      </c>
      <c r="T38" s="1689">
        <f t="shared" ref="T38:T43" si="40">R38+S38</f>
        <v>0</v>
      </c>
      <c r="U38" s="674">
        <v>0</v>
      </c>
      <c r="V38" s="585">
        <v>0</v>
      </c>
      <c r="W38" s="450">
        <v>0</v>
      </c>
      <c r="X38" s="203" t="s">
        <v>16</v>
      </c>
      <c r="Y38" s="1768">
        <v>0</v>
      </c>
      <c r="Z38" s="1769">
        <v>0</v>
      </c>
      <c r="AA38" s="1769">
        <v>0</v>
      </c>
      <c r="AB38" s="1769">
        <v>0</v>
      </c>
      <c r="AC38" s="1769">
        <v>0</v>
      </c>
      <c r="AD38" s="1770">
        <v>0</v>
      </c>
      <c r="AE38" s="1771">
        <v>0</v>
      </c>
      <c r="AG38" s="1597">
        <f>W38-E38</f>
        <v>0</v>
      </c>
    </row>
    <row r="39" spans="1:33">
      <c r="A39" s="455" t="s">
        <v>47</v>
      </c>
      <c r="B39" s="1075" t="s">
        <v>17</v>
      </c>
      <c r="C39" s="1141">
        <v>0</v>
      </c>
      <c r="D39" s="1140">
        <v>0</v>
      </c>
      <c r="E39" s="633">
        <f t="shared" si="35"/>
        <v>0</v>
      </c>
      <c r="F39" s="1139">
        <v>0</v>
      </c>
      <c r="G39" s="630">
        <v>0</v>
      </c>
      <c r="H39" s="1245">
        <f t="shared" si="36"/>
        <v>0</v>
      </c>
      <c r="I39" s="1141">
        <v>0</v>
      </c>
      <c r="J39" s="1140">
        <v>0</v>
      </c>
      <c r="K39" s="633">
        <f t="shared" si="37"/>
        <v>0</v>
      </c>
      <c r="L39" s="1139">
        <v>0</v>
      </c>
      <c r="M39" s="630">
        <v>0</v>
      </c>
      <c r="N39" s="1245">
        <f t="shared" si="38"/>
        <v>0</v>
      </c>
      <c r="O39" s="827">
        <v>0</v>
      </c>
      <c r="P39" s="560">
        <v>0</v>
      </c>
      <c r="Q39" s="940">
        <f t="shared" si="39"/>
        <v>0</v>
      </c>
      <c r="R39" s="1243">
        <v>0</v>
      </c>
      <c r="S39" s="916">
        <v>0</v>
      </c>
      <c r="T39" s="641">
        <f t="shared" si="40"/>
        <v>0</v>
      </c>
      <c r="U39" s="1591">
        <v>0</v>
      </c>
      <c r="V39" s="560">
        <v>0</v>
      </c>
      <c r="W39" s="940">
        <v>0</v>
      </c>
      <c r="X39" s="546" t="s">
        <v>16</v>
      </c>
      <c r="Y39" s="1246">
        <v>0</v>
      </c>
      <c r="Z39" s="1247">
        <v>0</v>
      </c>
      <c r="AA39" s="1247">
        <v>0</v>
      </c>
      <c r="AB39" s="1247">
        <v>0</v>
      </c>
      <c r="AC39" s="1247">
        <v>0</v>
      </c>
      <c r="AD39" s="1239">
        <v>0</v>
      </c>
      <c r="AE39" s="1236">
        <v>0</v>
      </c>
      <c r="AG39" s="1599">
        <f t="shared" ref="AG39:AG44" si="41">W39-E39</f>
        <v>0</v>
      </c>
    </row>
    <row r="40" spans="1:33">
      <c r="A40" s="455" t="s">
        <v>48</v>
      </c>
      <c r="B40" s="1075" t="s">
        <v>17</v>
      </c>
      <c r="C40" s="1141">
        <v>0</v>
      </c>
      <c r="D40" s="1140">
        <v>0</v>
      </c>
      <c r="E40" s="633">
        <f t="shared" si="35"/>
        <v>0</v>
      </c>
      <c r="F40" s="1139">
        <v>0</v>
      </c>
      <c r="G40" s="630">
        <v>0</v>
      </c>
      <c r="H40" s="1245">
        <f t="shared" si="36"/>
        <v>0</v>
      </c>
      <c r="I40" s="1141">
        <v>0</v>
      </c>
      <c r="J40" s="1140">
        <v>0</v>
      </c>
      <c r="K40" s="633">
        <f t="shared" si="37"/>
        <v>0</v>
      </c>
      <c r="L40" s="1139">
        <v>0</v>
      </c>
      <c r="M40" s="630">
        <v>0</v>
      </c>
      <c r="N40" s="1245">
        <f t="shared" si="38"/>
        <v>0</v>
      </c>
      <c r="O40" s="827">
        <v>0</v>
      </c>
      <c r="P40" s="560">
        <v>0</v>
      </c>
      <c r="Q40" s="940">
        <f t="shared" si="39"/>
        <v>0</v>
      </c>
      <c r="R40" s="1243">
        <v>0</v>
      </c>
      <c r="S40" s="916">
        <v>0</v>
      </c>
      <c r="T40" s="641">
        <f t="shared" si="40"/>
        <v>0</v>
      </c>
      <c r="U40" s="1591">
        <v>0</v>
      </c>
      <c r="V40" s="560">
        <v>0</v>
      </c>
      <c r="W40" s="940">
        <v>0</v>
      </c>
      <c r="X40" s="546" t="s">
        <v>16</v>
      </c>
      <c r="Y40" s="1246">
        <v>0</v>
      </c>
      <c r="Z40" s="1247">
        <v>0</v>
      </c>
      <c r="AA40" s="1247">
        <v>0</v>
      </c>
      <c r="AB40" s="1247">
        <v>0</v>
      </c>
      <c r="AC40" s="1247">
        <v>0</v>
      </c>
      <c r="AD40" s="1239">
        <v>0</v>
      </c>
      <c r="AE40" s="1236">
        <v>0</v>
      </c>
      <c r="AG40" s="1599">
        <f t="shared" si="41"/>
        <v>0</v>
      </c>
    </row>
    <row r="41" spans="1:33" s="22" customFormat="1">
      <c r="A41" s="458" t="s">
        <v>49</v>
      </c>
      <c r="B41" s="506" t="s">
        <v>17</v>
      </c>
      <c r="C41" s="636">
        <v>0</v>
      </c>
      <c r="D41" s="635">
        <v>0</v>
      </c>
      <c r="E41" s="638">
        <f t="shared" si="35"/>
        <v>0</v>
      </c>
      <c r="F41" s="634">
        <v>0</v>
      </c>
      <c r="G41" s="637">
        <v>0</v>
      </c>
      <c r="H41" s="671">
        <f t="shared" si="36"/>
        <v>0</v>
      </c>
      <c r="I41" s="636">
        <v>0</v>
      </c>
      <c r="J41" s="635">
        <v>0</v>
      </c>
      <c r="K41" s="638">
        <f t="shared" si="37"/>
        <v>0</v>
      </c>
      <c r="L41" s="634">
        <v>0</v>
      </c>
      <c r="M41" s="637">
        <v>0</v>
      </c>
      <c r="N41" s="671">
        <f t="shared" si="38"/>
        <v>0</v>
      </c>
      <c r="O41" s="459">
        <v>0</v>
      </c>
      <c r="P41" s="590">
        <v>0</v>
      </c>
      <c r="Q41" s="486">
        <f t="shared" si="39"/>
        <v>0</v>
      </c>
      <c r="R41" s="1244">
        <v>0</v>
      </c>
      <c r="S41" s="460">
        <v>0</v>
      </c>
      <c r="T41" s="640">
        <f t="shared" si="40"/>
        <v>0</v>
      </c>
      <c r="U41" s="656">
        <v>0</v>
      </c>
      <c r="V41" s="590">
        <v>0</v>
      </c>
      <c r="W41" s="486">
        <v>0</v>
      </c>
      <c r="X41" s="547" t="s">
        <v>16</v>
      </c>
      <c r="Y41" s="669">
        <v>0</v>
      </c>
      <c r="Z41" s="792">
        <v>0</v>
      </c>
      <c r="AA41" s="792">
        <v>0</v>
      </c>
      <c r="AB41" s="792">
        <v>0</v>
      </c>
      <c r="AC41" s="792">
        <v>0</v>
      </c>
      <c r="AD41" s="1240">
        <v>0</v>
      </c>
      <c r="AE41" s="1237">
        <v>0</v>
      </c>
      <c r="AG41" s="1599">
        <f t="shared" si="41"/>
        <v>0</v>
      </c>
    </row>
    <row r="42" spans="1:33" s="22" customFormat="1">
      <c r="A42" s="455" t="s">
        <v>50</v>
      </c>
      <c r="B42" s="1075" t="s">
        <v>17</v>
      </c>
      <c r="C42" s="1141">
        <v>0</v>
      </c>
      <c r="D42" s="1140">
        <v>0</v>
      </c>
      <c r="E42" s="633">
        <f t="shared" si="35"/>
        <v>0</v>
      </c>
      <c r="F42" s="1139">
        <v>0</v>
      </c>
      <c r="G42" s="630">
        <v>0</v>
      </c>
      <c r="H42" s="1245">
        <f t="shared" si="36"/>
        <v>0</v>
      </c>
      <c r="I42" s="1141">
        <v>0</v>
      </c>
      <c r="J42" s="1140">
        <v>0</v>
      </c>
      <c r="K42" s="633">
        <f t="shared" si="37"/>
        <v>0</v>
      </c>
      <c r="L42" s="1139">
        <v>0</v>
      </c>
      <c r="M42" s="630">
        <v>0</v>
      </c>
      <c r="N42" s="1245">
        <f t="shared" si="38"/>
        <v>0</v>
      </c>
      <c r="O42" s="827">
        <v>0</v>
      </c>
      <c r="P42" s="560">
        <v>0</v>
      </c>
      <c r="Q42" s="940">
        <f t="shared" si="39"/>
        <v>0</v>
      </c>
      <c r="R42" s="1243">
        <v>0</v>
      </c>
      <c r="S42" s="916">
        <v>0</v>
      </c>
      <c r="T42" s="641">
        <f t="shared" si="40"/>
        <v>0</v>
      </c>
      <c r="U42" s="1591">
        <v>0</v>
      </c>
      <c r="V42" s="560">
        <v>0</v>
      </c>
      <c r="W42" s="940">
        <v>0</v>
      </c>
      <c r="X42" s="546" t="s">
        <v>16</v>
      </c>
      <c r="Y42" s="1246">
        <v>0</v>
      </c>
      <c r="Z42" s="1247">
        <v>0</v>
      </c>
      <c r="AA42" s="1247">
        <v>0</v>
      </c>
      <c r="AB42" s="1247">
        <v>0</v>
      </c>
      <c r="AC42" s="1247">
        <v>0</v>
      </c>
      <c r="AD42" s="1239">
        <v>0</v>
      </c>
      <c r="AE42" s="1236">
        <v>0</v>
      </c>
      <c r="AG42" s="1599">
        <f t="shared" si="41"/>
        <v>0</v>
      </c>
    </row>
    <row r="43" spans="1:33" ht="13.5" thickBot="1">
      <c r="A43" s="579" t="s">
        <v>51</v>
      </c>
      <c r="B43" s="1850" t="s">
        <v>17</v>
      </c>
      <c r="C43" s="41">
        <v>0</v>
      </c>
      <c r="D43" s="541">
        <v>0</v>
      </c>
      <c r="E43" s="51">
        <f t="shared" si="35"/>
        <v>0</v>
      </c>
      <c r="F43" s="1253">
        <v>0</v>
      </c>
      <c r="G43" s="627">
        <v>0</v>
      </c>
      <c r="H43" s="1254">
        <f t="shared" si="36"/>
        <v>0</v>
      </c>
      <c r="I43" s="41">
        <v>0</v>
      </c>
      <c r="J43" s="541">
        <v>0</v>
      </c>
      <c r="K43" s="51">
        <f t="shared" si="37"/>
        <v>0</v>
      </c>
      <c r="L43" s="1253">
        <v>0</v>
      </c>
      <c r="M43" s="627">
        <v>0</v>
      </c>
      <c r="N43" s="1254">
        <f t="shared" si="38"/>
        <v>0</v>
      </c>
      <c r="O43" s="467">
        <v>0</v>
      </c>
      <c r="P43" s="562">
        <v>0</v>
      </c>
      <c r="Q43" s="943">
        <f t="shared" si="39"/>
        <v>0</v>
      </c>
      <c r="R43" s="1902">
        <v>0</v>
      </c>
      <c r="S43" s="562">
        <v>0</v>
      </c>
      <c r="T43" s="644">
        <f t="shared" si="40"/>
        <v>0</v>
      </c>
      <c r="U43" s="1603">
        <v>0</v>
      </c>
      <c r="V43" s="562">
        <v>0</v>
      </c>
      <c r="W43" s="943">
        <v>0</v>
      </c>
      <c r="X43" s="205" t="s">
        <v>16</v>
      </c>
      <c r="Y43" s="1255">
        <v>0</v>
      </c>
      <c r="Z43" s="1256">
        <v>0</v>
      </c>
      <c r="AA43" s="1256">
        <v>0</v>
      </c>
      <c r="AB43" s="1256">
        <v>0</v>
      </c>
      <c r="AC43" s="1256">
        <v>0</v>
      </c>
      <c r="AD43" s="1257">
        <v>0</v>
      </c>
      <c r="AE43" s="1258">
        <v>0</v>
      </c>
      <c r="AG43" s="1741">
        <f t="shared" si="41"/>
        <v>0</v>
      </c>
    </row>
    <row r="44" spans="1:33" s="22" customFormat="1" ht="27.75" customHeight="1" thickTop="1" thickBot="1">
      <c r="A44" s="3236" t="s">
        <v>526</v>
      </c>
      <c r="B44" s="3237"/>
      <c r="C44" s="535">
        <f>SUM(C38:C43)</f>
        <v>0</v>
      </c>
      <c r="D44" s="536">
        <f t="shared" ref="D44:W44" si="42">SUM(D38:D43)</f>
        <v>0</v>
      </c>
      <c r="E44" s="647">
        <f t="shared" si="42"/>
        <v>0</v>
      </c>
      <c r="F44" s="592">
        <f t="shared" si="42"/>
        <v>0</v>
      </c>
      <c r="G44" s="593">
        <f t="shared" si="42"/>
        <v>0</v>
      </c>
      <c r="H44" s="646">
        <f t="shared" si="42"/>
        <v>0</v>
      </c>
      <c r="I44" s="535">
        <f t="shared" si="42"/>
        <v>0</v>
      </c>
      <c r="J44" s="536">
        <f t="shared" si="42"/>
        <v>0</v>
      </c>
      <c r="K44" s="647">
        <f t="shared" si="42"/>
        <v>0</v>
      </c>
      <c r="L44" s="592">
        <f t="shared" si="42"/>
        <v>0</v>
      </c>
      <c r="M44" s="593">
        <f t="shared" si="42"/>
        <v>0</v>
      </c>
      <c r="N44" s="646">
        <f t="shared" si="42"/>
        <v>0</v>
      </c>
      <c r="O44" s="470">
        <f t="shared" si="42"/>
        <v>0</v>
      </c>
      <c r="P44" s="555">
        <f t="shared" si="42"/>
        <v>0</v>
      </c>
      <c r="Q44" s="474">
        <f t="shared" si="42"/>
        <v>0</v>
      </c>
      <c r="R44" s="1259">
        <f t="shared" si="42"/>
        <v>0</v>
      </c>
      <c r="S44" s="555">
        <f t="shared" si="42"/>
        <v>0</v>
      </c>
      <c r="T44" s="657">
        <f t="shared" si="42"/>
        <v>0</v>
      </c>
      <c r="U44" s="679">
        <f t="shared" si="42"/>
        <v>0</v>
      </c>
      <c r="V44" s="555">
        <f t="shared" si="42"/>
        <v>0</v>
      </c>
      <c r="W44" s="474">
        <f t="shared" si="42"/>
        <v>0</v>
      </c>
      <c r="X44" s="206" t="s">
        <v>16</v>
      </c>
      <c r="Y44" s="1260">
        <f t="shared" ref="Y44" si="43">SUM(Y38:Y43)</f>
        <v>0</v>
      </c>
      <c r="Z44" s="1261">
        <f t="shared" ref="Z44" si="44">SUM(Z38:Z43)</f>
        <v>0</v>
      </c>
      <c r="AA44" s="1261">
        <f t="shared" ref="AA44" si="45">SUM(AA38:AA43)</f>
        <v>0</v>
      </c>
      <c r="AB44" s="1261">
        <f t="shared" ref="AB44" si="46">SUM(AB38:AB43)</f>
        <v>0</v>
      </c>
      <c r="AC44" s="1261">
        <f t="shared" ref="AC44" si="47">SUM(AC38:AC43)</f>
        <v>0</v>
      </c>
      <c r="AD44" s="781">
        <f t="shared" ref="AD44" si="48">SUM(AD38:AD43)</f>
        <v>0</v>
      </c>
      <c r="AE44" s="166">
        <f t="shared" ref="AE44" si="49">SUM(AE38:AE43)</f>
        <v>0</v>
      </c>
      <c r="AG44" s="1598">
        <f t="shared" si="41"/>
        <v>0</v>
      </c>
    </row>
    <row r="45" spans="1:33">
      <c r="A45" s="89" t="s">
        <v>35</v>
      </c>
    </row>
    <row r="46" spans="1:33">
      <c r="A46" s="1" t="s">
        <v>68</v>
      </c>
    </row>
    <row r="47" spans="1:33">
      <c r="A47" s="1" t="s">
        <v>69</v>
      </c>
    </row>
    <row r="48" spans="1:33">
      <c r="A48" s="2" t="s">
        <v>628</v>
      </c>
    </row>
    <row r="49" spans="1:1">
      <c r="A49" s="2" t="s">
        <v>629</v>
      </c>
    </row>
  </sheetData>
  <mergeCells count="32">
    <mergeCell ref="O3:Q3"/>
    <mergeCell ref="R3:T3"/>
    <mergeCell ref="A44:B44"/>
    <mergeCell ref="Y35:AE36"/>
    <mergeCell ref="C36:E36"/>
    <mergeCell ref="F36:H36"/>
    <mergeCell ref="I36:K36"/>
    <mergeCell ref="L36:N36"/>
    <mergeCell ref="O36:Q36"/>
    <mergeCell ref="R36:T36"/>
    <mergeCell ref="U36:W36"/>
    <mergeCell ref="A35:A37"/>
    <mergeCell ref="B35:B37"/>
    <mergeCell ref="C35:E35"/>
    <mergeCell ref="F35:W35"/>
    <mergeCell ref="X35:X37"/>
    <mergeCell ref="AG2:AG4"/>
    <mergeCell ref="AG35:AG37"/>
    <mergeCell ref="A27:B27"/>
    <mergeCell ref="Y2:AE3"/>
    <mergeCell ref="U3:W3"/>
    <mergeCell ref="F2:W2"/>
    <mergeCell ref="A25:B25"/>
    <mergeCell ref="A26:B26"/>
    <mergeCell ref="A2:A4"/>
    <mergeCell ref="X2:X4"/>
    <mergeCell ref="C3:E3"/>
    <mergeCell ref="F3:H3"/>
    <mergeCell ref="I3:K3"/>
    <mergeCell ref="C2:E2"/>
    <mergeCell ref="B2:B4"/>
    <mergeCell ref="L3:N3"/>
  </mergeCells>
  <pageMargins left="0.7" right="0.7" top="0.75" bottom="0.75" header="0.3" footer="0.3"/>
  <pageSetup paperSize="3" scale="6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H33"/>
  <sheetViews>
    <sheetView workbookViewId="0">
      <pane xSplit="2" topLeftCell="C1" activePane="topRight" state="frozen"/>
      <selection pane="topRight" activeCell="G12" sqref="G12"/>
    </sheetView>
  </sheetViews>
  <sheetFormatPr defaultColWidth="9.140625" defaultRowHeight="12.75"/>
  <cols>
    <col min="1" max="1" width="10.85546875" style="1" customWidth="1"/>
    <col min="2" max="2" width="44.140625" style="1" customWidth="1"/>
    <col min="3" max="3" width="9.28515625" style="1" customWidth="1"/>
    <col min="4" max="20" width="8.5703125" style="1" customWidth="1"/>
    <col min="21" max="21" width="9.85546875" style="1" customWidth="1"/>
    <col min="22" max="24" width="9.140625" style="1" customWidth="1"/>
    <col min="25" max="25" width="10.28515625" style="1" customWidth="1"/>
    <col min="26" max="32" width="8.85546875" style="1" customWidth="1"/>
    <col min="33" max="33" width="9.140625" style="1"/>
    <col min="34" max="34" width="11" style="1" hidden="1" customWidth="1"/>
    <col min="35" max="16384" width="9.140625" style="1"/>
  </cols>
  <sheetData>
    <row r="1" spans="1:34" s="2" customFormat="1" ht="13.5" customHeight="1" thickBot="1">
      <c r="A1" s="573" t="s">
        <v>631</v>
      </c>
      <c r="B1" s="573"/>
      <c r="C1" s="573"/>
      <c r="D1" s="573"/>
      <c r="E1" s="573"/>
      <c r="F1" s="573"/>
      <c r="G1" s="573"/>
      <c r="H1" s="573"/>
      <c r="I1" s="573"/>
      <c r="J1" s="573"/>
      <c r="K1" s="573"/>
      <c r="L1" s="573"/>
      <c r="M1" s="573"/>
      <c r="N1" s="573"/>
      <c r="O1" s="573"/>
      <c r="P1" s="573"/>
      <c r="Q1" s="573"/>
      <c r="R1" s="573"/>
      <c r="S1" s="573"/>
      <c r="T1" s="573"/>
      <c r="U1" s="573"/>
      <c r="V1" s="573"/>
      <c r="W1" s="573"/>
      <c r="X1" s="573"/>
      <c r="Y1" s="573"/>
    </row>
    <row r="2" spans="1:34" s="2" customFormat="1" ht="26.25" customHeight="1" thickBot="1">
      <c r="A2" s="3233" t="s">
        <v>85</v>
      </c>
      <c r="B2" s="3238" t="s">
        <v>632</v>
      </c>
      <c r="C2" s="3238" t="s">
        <v>2</v>
      </c>
      <c r="D2" s="3221" t="s">
        <v>633</v>
      </c>
      <c r="E2" s="3222"/>
      <c r="F2" s="3223"/>
      <c r="G2" s="3221" t="s">
        <v>56</v>
      </c>
      <c r="H2" s="3222"/>
      <c r="I2" s="3222"/>
      <c r="J2" s="3222"/>
      <c r="K2" s="3222"/>
      <c r="L2" s="3222"/>
      <c r="M2" s="3222"/>
      <c r="N2" s="3222"/>
      <c r="O2" s="3222"/>
      <c r="P2" s="3222"/>
      <c r="Q2" s="3222"/>
      <c r="R2" s="3222"/>
      <c r="S2" s="3222"/>
      <c r="T2" s="3222"/>
      <c r="U2" s="3222"/>
      <c r="V2" s="3222"/>
      <c r="W2" s="3222"/>
      <c r="X2" s="3223"/>
      <c r="Y2" s="3255" t="s">
        <v>57</v>
      </c>
      <c r="Z2" s="3268" t="s">
        <v>634</v>
      </c>
      <c r="AA2" s="3269"/>
      <c r="AB2" s="3269"/>
      <c r="AC2" s="3269"/>
      <c r="AD2" s="3269"/>
      <c r="AE2" s="3269"/>
      <c r="AF2" s="3270"/>
      <c r="AH2" s="3255" t="s">
        <v>80</v>
      </c>
    </row>
    <row r="3" spans="1:34" s="2" customFormat="1" ht="26.25" customHeight="1" thickBot="1">
      <c r="A3" s="3234"/>
      <c r="B3" s="3239"/>
      <c r="C3" s="3239"/>
      <c r="D3" s="3212">
        <v>2015</v>
      </c>
      <c r="E3" s="3213"/>
      <c r="F3" s="3215"/>
      <c r="G3" s="3212">
        <v>2020</v>
      </c>
      <c r="H3" s="3213"/>
      <c r="I3" s="3215"/>
      <c r="J3" s="3219">
        <v>2025</v>
      </c>
      <c r="K3" s="3213"/>
      <c r="L3" s="3214"/>
      <c r="M3" s="3216">
        <v>2030</v>
      </c>
      <c r="N3" s="3217"/>
      <c r="O3" s="3218"/>
      <c r="P3" s="3219">
        <v>2035</v>
      </c>
      <c r="Q3" s="3213"/>
      <c r="R3" s="3214"/>
      <c r="S3" s="3212">
        <v>2040</v>
      </c>
      <c r="T3" s="3213"/>
      <c r="U3" s="3215"/>
      <c r="V3" s="3212">
        <v>2045</v>
      </c>
      <c r="W3" s="3213"/>
      <c r="X3" s="3215"/>
      <c r="Y3" s="3256"/>
      <c r="Z3" s="3320"/>
      <c r="AA3" s="3393"/>
      <c r="AB3" s="3393"/>
      <c r="AC3" s="3393"/>
      <c r="AD3" s="3393"/>
      <c r="AE3" s="3393"/>
      <c r="AF3" s="3394"/>
      <c r="AH3" s="3256"/>
    </row>
    <row r="4" spans="1:34" ht="15.75" customHeight="1">
      <c r="A4" s="3235"/>
      <c r="B4" s="3240"/>
      <c r="C4" s="3240"/>
      <c r="D4" s="1655" t="s">
        <v>60</v>
      </c>
      <c r="E4" s="1017" t="s">
        <v>61</v>
      </c>
      <c r="F4" s="1659" t="s">
        <v>18</v>
      </c>
      <c r="G4" s="1655" t="s">
        <v>60</v>
      </c>
      <c r="H4" s="1657" t="s">
        <v>61</v>
      </c>
      <c r="I4" s="1658" t="s">
        <v>18</v>
      </c>
      <c r="J4" s="1669" t="s">
        <v>60</v>
      </c>
      <c r="K4" s="1017" t="s">
        <v>61</v>
      </c>
      <c r="L4" s="1656" t="s">
        <v>18</v>
      </c>
      <c r="M4" s="1655" t="s">
        <v>60</v>
      </c>
      <c r="N4" s="1657" t="s">
        <v>61</v>
      </c>
      <c r="O4" s="1658" t="s">
        <v>18</v>
      </c>
      <c r="P4" s="1669" t="s">
        <v>60</v>
      </c>
      <c r="Q4" s="1017" t="s">
        <v>61</v>
      </c>
      <c r="R4" s="1656" t="s">
        <v>18</v>
      </c>
      <c r="S4" s="1655" t="s">
        <v>60</v>
      </c>
      <c r="T4" s="1017" t="s">
        <v>61</v>
      </c>
      <c r="U4" s="1659" t="s">
        <v>18</v>
      </c>
      <c r="V4" s="1655" t="s">
        <v>60</v>
      </c>
      <c r="W4" s="1017" t="s">
        <v>61</v>
      </c>
      <c r="X4" s="1659" t="s">
        <v>18</v>
      </c>
      <c r="Y4" s="3257"/>
      <c r="Z4" s="1772">
        <v>2015</v>
      </c>
      <c r="AA4" s="3027">
        <v>2020</v>
      </c>
      <c r="AB4" s="1773">
        <v>2025</v>
      </c>
      <c r="AC4" s="1773">
        <v>2030</v>
      </c>
      <c r="AD4" s="1767">
        <v>2035</v>
      </c>
      <c r="AE4" s="1749">
        <v>2040</v>
      </c>
      <c r="AF4" s="3036">
        <v>2045</v>
      </c>
      <c r="AH4" s="3257"/>
    </row>
    <row r="5" spans="1:34">
      <c r="A5" s="3297" t="s">
        <v>278</v>
      </c>
      <c r="B5" s="443" t="s">
        <v>635</v>
      </c>
      <c r="C5" s="2960" t="s">
        <v>15</v>
      </c>
      <c r="D5" s="47">
        <f>'Table 10b'!E4</f>
        <v>0.51</v>
      </c>
      <c r="E5" s="761">
        <f>'Table 10b'!J4</f>
        <v>0</v>
      </c>
      <c r="F5" s="141">
        <f>D5+E5</f>
        <v>0.51</v>
      </c>
      <c r="G5" s="47">
        <f>'Table 10b'!AH4</f>
        <v>0.53</v>
      </c>
      <c r="H5" s="761">
        <f>AA5*0.02</f>
        <v>0</v>
      </c>
      <c r="I5" s="141">
        <f>G5+H5</f>
        <v>0.53</v>
      </c>
      <c r="J5" s="246">
        <f>'Table 10b'!AI4</f>
        <v>0.55000000000000004</v>
      </c>
      <c r="K5" s="14">
        <f>AB5*0.02</f>
        <v>0</v>
      </c>
      <c r="L5" s="784">
        <f>J5+K5</f>
        <v>0.55000000000000004</v>
      </c>
      <c r="M5" s="47">
        <f>'Table 10b'!AJ4</f>
        <v>0.56000000000000005</v>
      </c>
      <c r="N5" s="14">
        <f>AC5*0.02</f>
        <v>0</v>
      </c>
      <c r="O5" s="15">
        <f>M5+N5</f>
        <v>0.56000000000000005</v>
      </c>
      <c r="P5" s="246">
        <f>'Table 10b'!AK4</f>
        <v>0.59</v>
      </c>
      <c r="Q5" s="761">
        <f>AD5*0.02</f>
        <v>0</v>
      </c>
      <c r="R5" s="179">
        <f>P5+Q5</f>
        <v>0.59</v>
      </c>
      <c r="S5" s="47">
        <f>'Table 10b'!AL4</f>
        <v>0.61</v>
      </c>
      <c r="T5" s="14">
        <f>AE5*0.02</f>
        <v>0</v>
      </c>
      <c r="U5" s="784">
        <f>S5+T5</f>
        <v>0.61</v>
      </c>
      <c r="V5" s="47">
        <f>'Table 10b'!AM4</f>
        <v>0.63</v>
      </c>
      <c r="W5" s="14">
        <f>AF5*0.02</f>
        <v>0</v>
      </c>
      <c r="X5" s="784">
        <f>V5+W5</f>
        <v>0.63</v>
      </c>
      <c r="Y5" s="229">
        <f>(X5-F5)/F5</f>
        <v>0.24</v>
      </c>
      <c r="Z5" s="767">
        <f>'Table 10b'!J4</f>
        <v>0</v>
      </c>
      <c r="AA5" s="778">
        <f>'Table 10b'!AN4</f>
        <v>0</v>
      </c>
      <c r="AB5" s="778">
        <f>'Table 10b'!AO4</f>
        <v>0</v>
      </c>
      <c r="AC5" s="778">
        <f>'Table 10b'!AP4</f>
        <v>0</v>
      </c>
      <c r="AD5" s="181">
        <f>'Table 10b'!AQ4</f>
        <v>0</v>
      </c>
      <c r="AE5" s="181">
        <f>'Table 10b'!AR4</f>
        <v>0</v>
      </c>
      <c r="AF5" s="1107">
        <f>'Table 10b'!AS4</f>
        <v>0</v>
      </c>
      <c r="AH5" s="1625">
        <f>X5-F5</f>
        <v>0.12</v>
      </c>
    </row>
    <row r="6" spans="1:34" ht="15" customHeight="1">
      <c r="A6" s="3298"/>
      <c r="B6" s="2970" t="s">
        <v>636</v>
      </c>
      <c r="C6" s="2972" t="s">
        <v>17</v>
      </c>
      <c r="D6" s="823">
        <f>'Table 10b'!E5</f>
        <v>0.28000000000000003</v>
      </c>
      <c r="E6" s="761">
        <f>'Table 10b'!J5</f>
        <v>0</v>
      </c>
      <c r="F6" s="141">
        <f>D6+E6</f>
        <v>0.28000000000000003</v>
      </c>
      <c r="G6" s="47">
        <f>'Table 10b'!AH5</f>
        <v>0.28000000000000003</v>
      </c>
      <c r="H6" s="761">
        <f>AA6*0.02</f>
        <v>0</v>
      </c>
      <c r="I6" s="141">
        <f>G6+H6</f>
        <v>0.28000000000000003</v>
      </c>
      <c r="J6" s="246">
        <f>'Table 10b'!AI5</f>
        <v>0.27</v>
      </c>
      <c r="K6" s="14">
        <f>AB6*0.02</f>
        <v>0</v>
      </c>
      <c r="L6" s="784">
        <f>J6+K6</f>
        <v>0.27</v>
      </c>
      <c r="M6" s="47">
        <f>'Table 10b'!AJ5</f>
        <v>0.27</v>
      </c>
      <c r="N6" s="14">
        <f>AC6*0.02</f>
        <v>0</v>
      </c>
      <c r="O6" s="15">
        <f>M6+N6</f>
        <v>0.27</v>
      </c>
      <c r="P6" s="246">
        <f>'Table 10b'!AK5</f>
        <v>0.28000000000000003</v>
      </c>
      <c r="Q6" s="761">
        <f>AD6*0.02</f>
        <v>0</v>
      </c>
      <c r="R6" s="179">
        <f>P6+Q6</f>
        <v>0.28000000000000003</v>
      </c>
      <c r="S6" s="47">
        <f>'Table 10b'!AL5</f>
        <v>0.3</v>
      </c>
      <c r="T6" s="14">
        <f>AE6*0.02</f>
        <v>0</v>
      </c>
      <c r="U6" s="784">
        <f>S6+T6</f>
        <v>0.3</v>
      </c>
      <c r="V6" s="47">
        <f>'Table 10b'!AM5</f>
        <v>0.31</v>
      </c>
      <c r="W6" s="14">
        <f>AF6*0.02</f>
        <v>0</v>
      </c>
      <c r="X6" s="784">
        <f>V6+W6</f>
        <v>0.31</v>
      </c>
      <c r="Y6" s="229">
        <f>(X6-F6)/F6</f>
        <v>0.11</v>
      </c>
      <c r="Z6" s="767">
        <f>'Table 10b'!J5</f>
        <v>0</v>
      </c>
      <c r="AA6" s="778">
        <f>'Table 10b'!AN5</f>
        <v>0</v>
      </c>
      <c r="AB6" s="778">
        <f>'Table 10b'!AO5</f>
        <v>0</v>
      </c>
      <c r="AC6" s="778">
        <f>'Table 10b'!AP5</f>
        <v>0</v>
      </c>
      <c r="AD6" s="181">
        <f>'Table 10b'!AQ5</f>
        <v>0</v>
      </c>
      <c r="AE6" s="181">
        <f>'Table 10b'!AR5</f>
        <v>0</v>
      </c>
      <c r="AF6" s="1107">
        <f>'Table 10b'!AS5</f>
        <v>0</v>
      </c>
      <c r="AH6" s="2607"/>
    </row>
    <row r="7" spans="1:34" ht="26.25" customHeight="1">
      <c r="A7" s="3298"/>
      <c r="B7" s="175" t="s">
        <v>637</v>
      </c>
      <c r="C7" s="608" t="s">
        <v>17</v>
      </c>
      <c r="D7" s="48">
        <f>'Table 10b'!E6</f>
        <v>1.49</v>
      </c>
      <c r="E7" s="755">
        <f>'Table 10b'!J6</f>
        <v>0</v>
      </c>
      <c r="F7" s="49">
        <f>D7+E7</f>
        <v>1.49</v>
      </c>
      <c r="G7" s="48">
        <f>'Table 10b'!AH6</f>
        <v>1.48</v>
      </c>
      <c r="H7" s="755">
        <f>AA7*0.02</f>
        <v>0</v>
      </c>
      <c r="I7" s="49">
        <f>G7+H7</f>
        <v>1.48</v>
      </c>
      <c r="J7" s="1006">
        <f>'Table 10b'!AI6</f>
        <v>1.4</v>
      </c>
      <c r="K7" s="366">
        <f>AB7*0.02</f>
        <v>0</v>
      </c>
      <c r="L7" s="1734">
        <f>J7+K7</f>
        <v>1.4</v>
      </c>
      <c r="M7" s="48">
        <f>'Table 10b'!AJ6</f>
        <v>1.44</v>
      </c>
      <c r="N7" s="366">
        <f>AC7*0.02</f>
        <v>0</v>
      </c>
      <c r="O7" s="874">
        <f>M7+N7</f>
        <v>1.44</v>
      </c>
      <c r="P7" s="1006">
        <f>'Table 10b'!AK6</f>
        <v>1.5</v>
      </c>
      <c r="Q7" s="755">
        <f>AD7*0.02</f>
        <v>0</v>
      </c>
      <c r="R7" s="180">
        <f>P7+Q7</f>
        <v>1.5</v>
      </c>
      <c r="S7" s="48">
        <f>'Table 10b'!AL6</f>
        <v>1.56</v>
      </c>
      <c r="T7" s="366">
        <f>AE7*0.02</f>
        <v>0</v>
      </c>
      <c r="U7" s="1734">
        <f>S7+T7</f>
        <v>1.56</v>
      </c>
      <c r="V7" s="48">
        <f>'Table 10b'!AM6</f>
        <v>1.62</v>
      </c>
      <c r="W7" s="366">
        <f>AF7*0.02</f>
        <v>0</v>
      </c>
      <c r="X7" s="1734">
        <f>V7+W7</f>
        <v>1.62</v>
      </c>
      <c r="Y7" s="216">
        <f t="shared" ref="Y7:Y21" si="0">(X7-F7)/F7</f>
        <v>0.09</v>
      </c>
      <c r="Z7" s="768">
        <f>'Table 10b'!J6</f>
        <v>0</v>
      </c>
      <c r="AA7" s="769">
        <f>'Table 10b'!AN6</f>
        <v>0</v>
      </c>
      <c r="AB7" s="769">
        <f>'Table 10b'!AO6</f>
        <v>0</v>
      </c>
      <c r="AC7" s="769">
        <f>'Table 10b'!AP6</f>
        <v>0</v>
      </c>
      <c r="AD7" s="712">
        <f>'Table 10b'!AQ6</f>
        <v>0</v>
      </c>
      <c r="AE7" s="712">
        <f>'Table 10b'!AR6</f>
        <v>0</v>
      </c>
      <c r="AF7" s="1108">
        <f>'Table 10b'!AS6</f>
        <v>0</v>
      </c>
      <c r="AH7" s="1623">
        <f t="shared" ref="AH7:AH21" si="1">X7-F7</f>
        <v>0.13</v>
      </c>
    </row>
    <row r="8" spans="1:34" ht="14.25" customHeight="1">
      <c r="A8" s="3299"/>
      <c r="B8" s="3406" t="s">
        <v>18</v>
      </c>
      <c r="C8" s="3408"/>
      <c r="D8" s="139">
        <f>SUM(D5:D7)</f>
        <v>2.2799999999999998</v>
      </c>
      <c r="E8" s="756">
        <f t="shared" ref="E8:F8" si="2">SUM(E5:E7)</f>
        <v>0</v>
      </c>
      <c r="F8" s="56">
        <f t="shared" si="2"/>
        <v>2.2799999999999998</v>
      </c>
      <c r="G8" s="139">
        <f t="shared" ref="G8:U8" si="3">SUM(G5:G7)</f>
        <v>2.29</v>
      </c>
      <c r="H8" s="756">
        <f t="shared" si="3"/>
        <v>0</v>
      </c>
      <c r="I8" s="56">
        <f t="shared" si="3"/>
        <v>2.29</v>
      </c>
      <c r="J8" s="140">
        <f t="shared" si="3"/>
        <v>2.2200000000000002</v>
      </c>
      <c r="K8" s="104">
        <f t="shared" si="3"/>
        <v>0</v>
      </c>
      <c r="L8" s="103">
        <f t="shared" si="3"/>
        <v>2.2200000000000002</v>
      </c>
      <c r="M8" s="139">
        <f t="shared" si="3"/>
        <v>2.27</v>
      </c>
      <c r="N8" s="104">
        <f t="shared" si="3"/>
        <v>0</v>
      </c>
      <c r="O8" s="61">
        <f t="shared" si="3"/>
        <v>2.27</v>
      </c>
      <c r="P8" s="140">
        <f t="shared" si="3"/>
        <v>2.37</v>
      </c>
      <c r="Q8" s="756">
        <f t="shared" si="3"/>
        <v>0</v>
      </c>
      <c r="R8" s="111">
        <f t="shared" si="3"/>
        <v>2.37</v>
      </c>
      <c r="S8" s="139">
        <f t="shared" si="3"/>
        <v>2.4700000000000002</v>
      </c>
      <c r="T8" s="104">
        <f t="shared" si="3"/>
        <v>0</v>
      </c>
      <c r="U8" s="103">
        <f t="shared" si="3"/>
        <v>2.4700000000000002</v>
      </c>
      <c r="V8" s="139">
        <f t="shared" ref="V8:X8" si="4">SUM(V5:V7)</f>
        <v>2.56</v>
      </c>
      <c r="W8" s="104">
        <f t="shared" si="4"/>
        <v>0</v>
      </c>
      <c r="X8" s="103">
        <f t="shared" si="4"/>
        <v>2.56</v>
      </c>
      <c r="Y8" s="231">
        <f t="shared" si="0"/>
        <v>0.12</v>
      </c>
      <c r="Z8" s="770">
        <f t="shared" ref="Z8:AE8" si="5">SUM(Z5:Z7)</f>
        <v>0</v>
      </c>
      <c r="AA8" s="701">
        <f t="shared" si="5"/>
        <v>0</v>
      </c>
      <c r="AB8" s="701">
        <f t="shared" si="5"/>
        <v>0</v>
      </c>
      <c r="AC8" s="701">
        <f t="shared" si="5"/>
        <v>0</v>
      </c>
      <c r="AD8" s="701">
        <f t="shared" si="5"/>
        <v>0</v>
      </c>
      <c r="AE8" s="701">
        <f t="shared" si="5"/>
        <v>0</v>
      </c>
      <c r="AF8" s="61">
        <f t="shared" ref="AF8" si="6">SUM(AF5:AF7)</f>
        <v>0</v>
      </c>
      <c r="AH8" s="1629">
        <f t="shared" si="1"/>
        <v>0.28000000000000003</v>
      </c>
    </row>
    <row r="9" spans="1:34">
      <c r="A9" s="3298" t="s">
        <v>589</v>
      </c>
      <c r="B9" s="1120" t="s">
        <v>638</v>
      </c>
      <c r="C9" s="1173" t="s">
        <v>15</v>
      </c>
      <c r="D9" s="149">
        <f>'Table 10b'!E8</f>
        <v>0.26</v>
      </c>
      <c r="E9" s="757">
        <f>'Table 10b'!J8*0.02</f>
        <v>12.18</v>
      </c>
      <c r="F9" s="160">
        <f>D9+E9</f>
        <v>12.44</v>
      </c>
      <c r="G9" s="149">
        <f>'Table 10b'!AH8</f>
        <v>0.28000000000000003</v>
      </c>
      <c r="H9" s="757">
        <f t="shared" ref="H9:H12" si="7">AA9*0.02</f>
        <v>12.56</v>
      </c>
      <c r="I9" s="160">
        <f>G9+H9</f>
        <v>12.84</v>
      </c>
      <c r="J9" s="186">
        <f>'Table 10b'!AI8</f>
        <v>0.28999999999999998</v>
      </c>
      <c r="K9" s="159">
        <f t="shared" ref="K9:K12" si="8">AB9*0.02</f>
        <v>12.91</v>
      </c>
      <c r="L9" s="765">
        <f t="shared" ref="L9:L12" si="9">J9+K9</f>
        <v>13.2</v>
      </c>
      <c r="M9" s="149">
        <f>'Table 10b'!AJ8</f>
        <v>0.3</v>
      </c>
      <c r="N9" s="159">
        <f t="shared" ref="N9:N12" si="10">AC9*0.02</f>
        <v>13.44</v>
      </c>
      <c r="O9" s="150">
        <f t="shared" ref="O9:O12" si="11">M9+N9</f>
        <v>13.74</v>
      </c>
      <c r="P9" s="186">
        <f>'Table 10b'!AK8</f>
        <v>0.32</v>
      </c>
      <c r="Q9" s="757">
        <f t="shared" ref="Q9:Q12" si="12">AD9*0.02</f>
        <v>14.47</v>
      </c>
      <c r="R9" s="766">
        <f t="shared" ref="R9:R12" si="13">P9+Q9</f>
        <v>14.79</v>
      </c>
      <c r="S9" s="149">
        <f>'Table 10b'!AL8</f>
        <v>0.35</v>
      </c>
      <c r="T9" s="159">
        <f t="shared" ref="T9:T12" si="14">AE9*0.02</f>
        <v>15.57</v>
      </c>
      <c r="U9" s="765">
        <f t="shared" ref="U9:U12" si="15">S9+T9</f>
        <v>15.92</v>
      </c>
      <c r="V9" s="149">
        <f>'Table 10b'!AM8</f>
        <v>0.37</v>
      </c>
      <c r="W9" s="159">
        <f>AF9*0.02</f>
        <v>16.75</v>
      </c>
      <c r="X9" s="765">
        <f t="shared" ref="X9:X12" si="16">V9+W9</f>
        <v>17.12</v>
      </c>
      <c r="Y9" s="218">
        <f t="shared" si="0"/>
        <v>0.38</v>
      </c>
      <c r="Z9" s="771">
        <f>'Table 10b'!J8</f>
        <v>609.08000000000004</v>
      </c>
      <c r="AA9" s="772">
        <f>'Table 10b'!AN8</f>
        <v>628.17999999999995</v>
      </c>
      <c r="AB9" s="772">
        <f>'Table 10b'!AO8</f>
        <v>645.28</v>
      </c>
      <c r="AC9" s="772">
        <f>'Table 10b'!AP8</f>
        <v>672.24</v>
      </c>
      <c r="AD9" s="702">
        <f>'Table 10b'!AQ8</f>
        <v>723.55</v>
      </c>
      <c r="AE9" s="702">
        <f>'Table 10b'!AR8</f>
        <v>778.49</v>
      </c>
      <c r="AF9" s="1109">
        <f>'Table 10b'!AS8</f>
        <v>837.57</v>
      </c>
      <c r="AH9" s="1625">
        <f t="shared" si="1"/>
        <v>4.68</v>
      </c>
    </row>
    <row r="10" spans="1:34">
      <c r="A10" s="3298"/>
      <c r="B10" s="1138" t="s">
        <v>639</v>
      </c>
      <c r="C10" s="1903" t="s">
        <v>15</v>
      </c>
      <c r="D10" s="823">
        <f>'Table 10b'!E9</f>
        <v>2.0299999999999998</v>
      </c>
      <c r="E10" s="860">
        <f>'Table 10b'!J9</f>
        <v>0</v>
      </c>
      <c r="F10" s="367">
        <f>D10+E10</f>
        <v>2.0299999999999998</v>
      </c>
      <c r="G10" s="823">
        <f>'Table 10b'!AH9</f>
        <v>2.02</v>
      </c>
      <c r="H10" s="860">
        <f t="shared" si="7"/>
        <v>0</v>
      </c>
      <c r="I10" s="367">
        <f>G10+H10</f>
        <v>2.02</v>
      </c>
      <c r="J10" s="870">
        <f>'Table 10b'!AI9</f>
        <v>2.08</v>
      </c>
      <c r="K10" s="322">
        <f t="shared" si="8"/>
        <v>0</v>
      </c>
      <c r="L10" s="998">
        <f t="shared" si="9"/>
        <v>2.08</v>
      </c>
      <c r="M10" s="823">
        <f>'Table 10b'!AJ9</f>
        <v>2.17</v>
      </c>
      <c r="N10" s="322">
        <f t="shared" si="10"/>
        <v>0</v>
      </c>
      <c r="O10" s="830">
        <f t="shared" si="11"/>
        <v>2.17</v>
      </c>
      <c r="P10" s="870">
        <f>'Table 10b'!AK9</f>
        <v>2.33</v>
      </c>
      <c r="Q10" s="860">
        <f t="shared" si="12"/>
        <v>0</v>
      </c>
      <c r="R10" s="759">
        <f t="shared" si="13"/>
        <v>2.33</v>
      </c>
      <c r="S10" s="823">
        <f>'Table 10b'!AL9</f>
        <v>2.5099999999999998</v>
      </c>
      <c r="T10" s="322">
        <f t="shared" si="14"/>
        <v>0</v>
      </c>
      <c r="U10" s="998">
        <f t="shared" si="15"/>
        <v>2.5099999999999998</v>
      </c>
      <c r="V10" s="823">
        <f>'Table 10b'!AM9</f>
        <v>2.7</v>
      </c>
      <c r="W10" s="322">
        <f>AF10*0.02</f>
        <v>0</v>
      </c>
      <c r="X10" s="998">
        <f t="shared" si="16"/>
        <v>2.7</v>
      </c>
      <c r="Y10" s="300">
        <f t="shared" si="0"/>
        <v>0.33</v>
      </c>
      <c r="Z10" s="1904">
        <f>'Table 10b'!J9</f>
        <v>0</v>
      </c>
      <c r="AA10" s="1905">
        <f>'Table 10b'!AN9</f>
        <v>0</v>
      </c>
      <c r="AB10" s="1905">
        <f>'Table 10b'!AO9</f>
        <v>0</v>
      </c>
      <c r="AC10" s="1905">
        <f>'Table 10b'!AP9</f>
        <v>0</v>
      </c>
      <c r="AD10" s="802">
        <f>'Table 10b'!AQ9</f>
        <v>0</v>
      </c>
      <c r="AE10" s="802">
        <f>'Table 10b'!AR9</f>
        <v>0</v>
      </c>
      <c r="AF10" s="1047">
        <f>'Table 10b'!AS9</f>
        <v>0</v>
      </c>
      <c r="AH10" s="1627">
        <f t="shared" si="1"/>
        <v>0.67</v>
      </c>
    </row>
    <row r="11" spans="1:34">
      <c r="A11" s="3298"/>
      <c r="B11" s="1892" t="s">
        <v>640</v>
      </c>
      <c r="C11" s="1903" t="s">
        <v>15</v>
      </c>
      <c r="D11" s="823">
        <f>'Table 10b'!E10</f>
        <v>3.48</v>
      </c>
      <c r="E11" s="860">
        <f>'Table 10b'!J9</f>
        <v>0</v>
      </c>
      <c r="F11" s="367">
        <f>D11+E11</f>
        <v>3.48</v>
      </c>
      <c r="G11" s="823">
        <f>'Table 10b'!AH10</f>
        <v>2.74</v>
      </c>
      <c r="H11" s="860">
        <f t="shared" si="7"/>
        <v>0.52</v>
      </c>
      <c r="I11" s="367">
        <f>G11+H11</f>
        <v>3.26</v>
      </c>
      <c r="J11" s="870">
        <f>'Table 10b'!AI10</f>
        <v>2.81</v>
      </c>
      <c r="K11" s="322">
        <f t="shared" si="8"/>
        <v>0.53</v>
      </c>
      <c r="L11" s="998">
        <f t="shared" si="9"/>
        <v>3.34</v>
      </c>
      <c r="M11" s="823">
        <f>'Table 10b'!AJ10</f>
        <v>2.93</v>
      </c>
      <c r="N11" s="322">
        <f t="shared" si="10"/>
        <v>0.55000000000000004</v>
      </c>
      <c r="O11" s="830">
        <f t="shared" si="11"/>
        <v>3.48</v>
      </c>
      <c r="P11" s="870">
        <f>'Table 10b'!AK10</f>
        <v>3.15</v>
      </c>
      <c r="Q11" s="860">
        <f t="shared" si="12"/>
        <v>0.6</v>
      </c>
      <c r="R11" s="759">
        <f t="shared" si="13"/>
        <v>3.75</v>
      </c>
      <c r="S11" s="823">
        <f>'Table 10b'!AL10</f>
        <v>3.39</v>
      </c>
      <c r="T11" s="322">
        <f t="shared" si="14"/>
        <v>0.64</v>
      </c>
      <c r="U11" s="998">
        <f t="shared" si="15"/>
        <v>4.03</v>
      </c>
      <c r="V11" s="823">
        <f>'Table 10b'!AM10</f>
        <v>3.65</v>
      </c>
      <c r="W11" s="322">
        <f>AF11*0.02</f>
        <v>0.69</v>
      </c>
      <c r="X11" s="998">
        <f t="shared" si="16"/>
        <v>4.34</v>
      </c>
      <c r="Y11" s="300">
        <f t="shared" si="0"/>
        <v>0.25</v>
      </c>
      <c r="Z11" s="1904">
        <f>'Table 10b'!J10</f>
        <v>0</v>
      </c>
      <c r="AA11" s="1905">
        <f>'Table 10b'!AN10</f>
        <v>25.83</v>
      </c>
      <c r="AB11" s="1905">
        <f>'Table 10b'!AO10</f>
        <v>26.52</v>
      </c>
      <c r="AC11" s="1905">
        <f>'Table 10b'!AP10</f>
        <v>27.65</v>
      </c>
      <c r="AD11" s="802">
        <f>'Table 10b'!AQ10</f>
        <v>29.75</v>
      </c>
      <c r="AE11" s="802">
        <f>'Table 10b'!AR10</f>
        <v>32</v>
      </c>
      <c r="AF11" s="1047">
        <f>'Table 10b'!AS10</f>
        <v>34.43</v>
      </c>
      <c r="AH11" s="1627">
        <f t="shared" si="1"/>
        <v>0.86</v>
      </c>
    </row>
    <row r="12" spans="1:34" ht="13.5" thickBot="1">
      <c r="A12" s="3298"/>
      <c r="B12" s="579" t="s">
        <v>641</v>
      </c>
      <c r="C12" s="1906" t="s">
        <v>15</v>
      </c>
      <c r="D12" s="48">
        <f>'Table 10b'!E11</f>
        <v>0.6</v>
      </c>
      <c r="E12" s="755">
        <f>'Table 10b'!J11</f>
        <v>0</v>
      </c>
      <c r="F12" s="49">
        <f>D12+E12</f>
        <v>0.6</v>
      </c>
      <c r="G12" s="48">
        <f>'Table 10b'!AH11</f>
        <v>0</v>
      </c>
      <c r="H12" s="755">
        <f t="shared" si="7"/>
        <v>0</v>
      </c>
      <c r="I12" s="49">
        <f>G12+H12</f>
        <v>0</v>
      </c>
      <c r="J12" s="1006">
        <f>'Table 10b'!AI11</f>
        <v>0</v>
      </c>
      <c r="K12" s="366">
        <f t="shared" si="8"/>
        <v>0</v>
      </c>
      <c r="L12" s="1734">
        <f t="shared" si="9"/>
        <v>0</v>
      </c>
      <c r="M12" s="48">
        <f>'Table 10b'!AJ11</f>
        <v>0</v>
      </c>
      <c r="N12" s="366">
        <f t="shared" si="10"/>
        <v>0</v>
      </c>
      <c r="O12" s="874">
        <f t="shared" si="11"/>
        <v>0</v>
      </c>
      <c r="P12" s="1006">
        <f>'Table 10b'!AK11</f>
        <v>0</v>
      </c>
      <c r="Q12" s="755">
        <f t="shared" si="12"/>
        <v>0</v>
      </c>
      <c r="R12" s="180">
        <f t="shared" si="13"/>
        <v>0</v>
      </c>
      <c r="S12" s="48">
        <f>'Table 10b'!AL11</f>
        <v>0</v>
      </c>
      <c r="T12" s="366">
        <f t="shared" si="14"/>
        <v>0</v>
      </c>
      <c r="U12" s="1734">
        <f t="shared" si="15"/>
        <v>0</v>
      </c>
      <c r="V12" s="48">
        <f>'Table 10b'!AM11</f>
        <v>0</v>
      </c>
      <c r="W12" s="366">
        <f>AF12*0.02</f>
        <v>0</v>
      </c>
      <c r="X12" s="1734">
        <f t="shared" si="16"/>
        <v>0</v>
      </c>
      <c r="Y12" s="216">
        <f t="shared" si="0"/>
        <v>-1</v>
      </c>
      <c r="Z12" s="768">
        <f>'Table 10b'!J11</f>
        <v>0</v>
      </c>
      <c r="AA12" s="769">
        <f>'Table 10b'!AN11</f>
        <v>0</v>
      </c>
      <c r="AB12" s="769">
        <f>'Table 10b'!AO11</f>
        <v>0</v>
      </c>
      <c r="AC12" s="769">
        <f>'Table 10b'!AP11</f>
        <v>0</v>
      </c>
      <c r="AD12" s="712">
        <f>'Table 10b'!AQ11</f>
        <v>0</v>
      </c>
      <c r="AE12" s="712">
        <f>'Table 10b'!AR11</f>
        <v>0</v>
      </c>
      <c r="AF12" s="1108">
        <f>'Table 10b'!AS11</f>
        <v>0</v>
      </c>
      <c r="AH12" s="1623">
        <f t="shared" si="1"/>
        <v>-0.6</v>
      </c>
    </row>
    <row r="13" spans="1:34" ht="14.25" thickTop="1" thickBot="1">
      <c r="A13" s="3299"/>
      <c r="B13" s="3202" t="s">
        <v>642</v>
      </c>
      <c r="C13" s="3401"/>
      <c r="D13" s="34">
        <f>SUM(D9:D12)</f>
        <v>6.37</v>
      </c>
      <c r="E13" s="758">
        <f t="shared" ref="E13:F13" si="17">SUM(E9:E12)</f>
        <v>12.18</v>
      </c>
      <c r="F13" s="105">
        <f t="shared" si="17"/>
        <v>18.55</v>
      </c>
      <c r="G13" s="34">
        <f t="shared" ref="G13:X13" si="18">SUM(G9:G12)</f>
        <v>5.04</v>
      </c>
      <c r="H13" s="758">
        <f t="shared" si="18"/>
        <v>13.08</v>
      </c>
      <c r="I13" s="105">
        <f t="shared" si="18"/>
        <v>18.12</v>
      </c>
      <c r="J13" s="35">
        <f t="shared" si="18"/>
        <v>5.18</v>
      </c>
      <c r="K13" s="20">
        <f t="shared" si="18"/>
        <v>13.44</v>
      </c>
      <c r="L13" s="303">
        <f t="shared" si="18"/>
        <v>18.62</v>
      </c>
      <c r="M13" s="34">
        <f t="shared" si="18"/>
        <v>5.4</v>
      </c>
      <c r="N13" s="20">
        <f t="shared" si="18"/>
        <v>13.99</v>
      </c>
      <c r="O13" s="21">
        <f t="shared" si="18"/>
        <v>19.39</v>
      </c>
      <c r="P13" s="35">
        <f t="shared" si="18"/>
        <v>5.8</v>
      </c>
      <c r="Q13" s="758">
        <f t="shared" si="18"/>
        <v>15.07</v>
      </c>
      <c r="R13" s="116">
        <f t="shared" si="18"/>
        <v>20.87</v>
      </c>
      <c r="S13" s="34">
        <f t="shared" si="18"/>
        <v>6.25</v>
      </c>
      <c r="T13" s="20">
        <f t="shared" si="18"/>
        <v>16.21</v>
      </c>
      <c r="U13" s="303">
        <f t="shared" si="18"/>
        <v>22.46</v>
      </c>
      <c r="V13" s="34">
        <f t="shared" si="18"/>
        <v>6.72</v>
      </c>
      <c r="W13" s="20">
        <f t="shared" si="18"/>
        <v>17.440000000000001</v>
      </c>
      <c r="X13" s="303">
        <f t="shared" si="18"/>
        <v>24.16</v>
      </c>
      <c r="Y13" s="217">
        <f t="shared" si="0"/>
        <v>0.3</v>
      </c>
      <c r="Z13" s="773">
        <f t="shared" ref="Z13:AF13" si="19">SUM(Z9:Z12)</f>
        <v>609.08000000000004</v>
      </c>
      <c r="AA13" s="774">
        <f t="shared" si="19"/>
        <v>654.01</v>
      </c>
      <c r="AB13" s="774">
        <f t="shared" si="19"/>
        <v>671.8</v>
      </c>
      <c r="AC13" s="774">
        <f t="shared" si="19"/>
        <v>699.89</v>
      </c>
      <c r="AD13" s="774">
        <f t="shared" si="19"/>
        <v>753.3</v>
      </c>
      <c r="AE13" s="774">
        <f t="shared" si="19"/>
        <v>810.49</v>
      </c>
      <c r="AF13" s="21">
        <f t="shared" si="19"/>
        <v>872</v>
      </c>
      <c r="AH13" s="1624">
        <f t="shared" si="1"/>
        <v>5.61</v>
      </c>
    </row>
    <row r="14" spans="1:34" ht="21.75" customHeight="1">
      <c r="A14" s="3297" t="s">
        <v>326</v>
      </c>
      <c r="B14" s="753" t="s">
        <v>643</v>
      </c>
      <c r="C14" s="325" t="s">
        <v>15</v>
      </c>
      <c r="D14" s="47">
        <f>'Table 10b'!E13</f>
        <v>0</v>
      </c>
      <c r="E14" s="761">
        <f>'Table 10b'!J13</f>
        <v>0</v>
      </c>
      <c r="F14" s="141">
        <f>D14+E14</f>
        <v>0</v>
      </c>
      <c r="G14" s="47">
        <f>'Table 10b'!AH13</f>
        <v>0</v>
      </c>
      <c r="H14" s="761">
        <f>AA14*0.02</f>
        <v>0</v>
      </c>
      <c r="I14" s="141">
        <f>G14+H14</f>
        <v>0</v>
      </c>
      <c r="J14" s="246">
        <f>'Table 10b'!AI13</f>
        <v>0</v>
      </c>
      <c r="K14" s="14">
        <f>AB14*0.02</f>
        <v>0</v>
      </c>
      <c r="L14" s="784">
        <f>J14+K14</f>
        <v>0</v>
      </c>
      <c r="M14" s="47">
        <f>'Table 10b'!AJ13</f>
        <v>0</v>
      </c>
      <c r="N14" s="14">
        <f>AC14*0.02</f>
        <v>0</v>
      </c>
      <c r="O14" s="15">
        <f>M14+N14</f>
        <v>0</v>
      </c>
      <c r="P14" s="246">
        <f>'Table 10b'!AK13</f>
        <v>0</v>
      </c>
      <c r="Q14" s="761">
        <f>AD14*0.02</f>
        <v>0</v>
      </c>
      <c r="R14" s="179">
        <f>P14+Q14</f>
        <v>0</v>
      </c>
      <c r="S14" s="47">
        <f>'Table 10b'!AL13</f>
        <v>0</v>
      </c>
      <c r="T14" s="14">
        <f>AE14*0.02</f>
        <v>0</v>
      </c>
      <c r="U14" s="784">
        <f>S14+T14</f>
        <v>0</v>
      </c>
      <c r="V14" s="47">
        <f>'Table 10b'!AM13</f>
        <v>0</v>
      </c>
      <c r="W14" s="14">
        <f>AF14*0.02</f>
        <v>0</v>
      </c>
      <c r="X14" s="784">
        <f>V14+W14</f>
        <v>0</v>
      </c>
      <c r="Y14" s="229" t="s">
        <v>16</v>
      </c>
      <c r="Z14" s="767">
        <f>'Table 10b'!J13</f>
        <v>0</v>
      </c>
      <c r="AA14" s="778">
        <f>'Table 10b'!AN13</f>
        <v>0</v>
      </c>
      <c r="AB14" s="778">
        <f>'Table 10b'!AO13</f>
        <v>0</v>
      </c>
      <c r="AC14" s="778">
        <f>'Table 10b'!AP13</f>
        <v>0</v>
      </c>
      <c r="AD14" s="181">
        <f>'Table 10b'!AQ13</f>
        <v>0</v>
      </c>
      <c r="AE14" s="181">
        <f>'Table 10b'!AR13</f>
        <v>0</v>
      </c>
      <c r="AF14" s="1107">
        <f>'Table 10b'!AS13</f>
        <v>0</v>
      </c>
      <c r="AH14" s="1626">
        <f t="shared" si="1"/>
        <v>0</v>
      </c>
    </row>
    <row r="15" spans="1:34" ht="21.75" customHeight="1">
      <c r="A15" s="3298"/>
      <c r="B15" s="1457" t="s">
        <v>644</v>
      </c>
      <c r="C15" s="1873" t="s">
        <v>15</v>
      </c>
      <c r="D15" s="48">
        <f>'Table 10b'!E14</f>
        <v>0.45</v>
      </c>
      <c r="E15" s="755">
        <f>'Table 10b'!J14*0.02</f>
        <v>0.3</v>
      </c>
      <c r="F15" s="49">
        <f>D15+E15</f>
        <v>0.75</v>
      </c>
      <c r="G15" s="48">
        <f>'Table 10b'!AH14</f>
        <v>0.48</v>
      </c>
      <c r="H15" s="755">
        <f>AA15*0.02</f>
        <v>0.32</v>
      </c>
      <c r="I15" s="49">
        <f>G15+H15</f>
        <v>0.8</v>
      </c>
      <c r="J15" s="1006">
        <f>'Table 10b'!AI14</f>
        <v>0.51</v>
      </c>
      <c r="K15" s="366">
        <f>AB15*0.02</f>
        <v>0.34</v>
      </c>
      <c r="L15" s="1734">
        <f>J15+K15</f>
        <v>0.85</v>
      </c>
      <c r="M15" s="48">
        <f>'Table 10b'!AJ14</f>
        <v>0.54</v>
      </c>
      <c r="N15" s="366">
        <f>AC15*0.02</f>
        <v>0.36</v>
      </c>
      <c r="O15" s="874">
        <f>M15+N15</f>
        <v>0.9</v>
      </c>
      <c r="P15" s="1006">
        <f>'Table 10b'!AK14</f>
        <v>0.56000000000000005</v>
      </c>
      <c r="Q15" s="755">
        <f>AD15*0.02</f>
        <v>0.37</v>
      </c>
      <c r="R15" s="180">
        <f>P15+Q15</f>
        <v>0.93</v>
      </c>
      <c r="S15" s="48">
        <f>'Table 10b'!AL14</f>
        <v>0.56999999999999995</v>
      </c>
      <c r="T15" s="366">
        <f>AE15*0.02</f>
        <v>0.38</v>
      </c>
      <c r="U15" s="1734">
        <f>S15+T15</f>
        <v>0.95</v>
      </c>
      <c r="V15" s="48">
        <f>'Table 10b'!AM14</f>
        <v>0.57999999999999996</v>
      </c>
      <c r="W15" s="366">
        <f>AF15*0.02</f>
        <v>0.39</v>
      </c>
      <c r="X15" s="1734">
        <f>V15+W15</f>
        <v>0.97</v>
      </c>
      <c r="Y15" s="216">
        <f t="shared" si="0"/>
        <v>0.28999999999999998</v>
      </c>
      <c r="Z15" s="768">
        <f>'Table 10b'!J14</f>
        <v>14.98</v>
      </c>
      <c r="AA15" s="769">
        <f>'Table 10b'!AN14</f>
        <v>15.9</v>
      </c>
      <c r="AB15" s="769">
        <f>'Table 10b'!AO14</f>
        <v>17.059999999999999</v>
      </c>
      <c r="AC15" s="769">
        <f>'Table 10b'!AP14</f>
        <v>18.02</v>
      </c>
      <c r="AD15" s="712">
        <f>'Table 10b'!AQ14</f>
        <v>18.48</v>
      </c>
      <c r="AE15" s="712">
        <f>'Table 10b'!AR14</f>
        <v>18.95</v>
      </c>
      <c r="AF15" s="1108">
        <f>'Table 10b'!AS14</f>
        <v>19.440000000000001</v>
      </c>
      <c r="AH15" s="1623">
        <f t="shared" si="1"/>
        <v>0.22</v>
      </c>
    </row>
    <row r="16" spans="1:34" ht="15.75" customHeight="1" thickTop="1" thickBot="1">
      <c r="A16" s="3298"/>
      <c r="B16" s="3369" t="s">
        <v>642</v>
      </c>
      <c r="C16" s="3405"/>
      <c r="D16" s="139">
        <f>SUM(D14:D15)</f>
        <v>0.45</v>
      </c>
      <c r="E16" s="756">
        <f t="shared" ref="E16:F16" si="20">SUM(E14:E15)</f>
        <v>0.3</v>
      </c>
      <c r="F16" s="56">
        <f t="shared" si="20"/>
        <v>0.75</v>
      </c>
      <c r="G16" s="139">
        <f t="shared" ref="G16:U16" si="21">SUM(G14:G15)</f>
        <v>0.48</v>
      </c>
      <c r="H16" s="756">
        <f t="shared" si="21"/>
        <v>0.32</v>
      </c>
      <c r="I16" s="56">
        <f t="shared" si="21"/>
        <v>0.8</v>
      </c>
      <c r="J16" s="140">
        <f t="shared" si="21"/>
        <v>0.51</v>
      </c>
      <c r="K16" s="104">
        <f t="shared" si="21"/>
        <v>0.34</v>
      </c>
      <c r="L16" s="103">
        <f t="shared" si="21"/>
        <v>0.85</v>
      </c>
      <c r="M16" s="139">
        <f t="shared" si="21"/>
        <v>0.54</v>
      </c>
      <c r="N16" s="104">
        <f t="shared" si="21"/>
        <v>0.36</v>
      </c>
      <c r="O16" s="61">
        <f t="shared" si="21"/>
        <v>0.9</v>
      </c>
      <c r="P16" s="140">
        <f t="shared" si="21"/>
        <v>0.56000000000000005</v>
      </c>
      <c r="Q16" s="756">
        <f t="shared" si="21"/>
        <v>0.37</v>
      </c>
      <c r="R16" s="111">
        <f t="shared" si="21"/>
        <v>0.93</v>
      </c>
      <c r="S16" s="139">
        <f t="shared" si="21"/>
        <v>0.56999999999999995</v>
      </c>
      <c r="T16" s="104">
        <f t="shared" si="21"/>
        <v>0.38</v>
      </c>
      <c r="U16" s="103">
        <f t="shared" si="21"/>
        <v>0.95</v>
      </c>
      <c r="V16" s="139">
        <f t="shared" ref="V16:X16" si="22">SUM(V14:V15)</f>
        <v>0.57999999999999996</v>
      </c>
      <c r="W16" s="104">
        <f t="shared" si="22"/>
        <v>0.39</v>
      </c>
      <c r="X16" s="103">
        <f t="shared" si="22"/>
        <v>0.97</v>
      </c>
      <c r="Y16" s="231">
        <f t="shared" si="0"/>
        <v>0.28999999999999998</v>
      </c>
      <c r="Z16" s="770">
        <f t="shared" ref="Z16:AE16" si="23">SUM(Z14:Z15)</f>
        <v>14.98</v>
      </c>
      <c r="AA16" s="701">
        <f t="shared" si="23"/>
        <v>15.9</v>
      </c>
      <c r="AB16" s="701">
        <f t="shared" si="23"/>
        <v>17.059999999999999</v>
      </c>
      <c r="AC16" s="701">
        <f t="shared" si="23"/>
        <v>18.02</v>
      </c>
      <c r="AD16" s="701">
        <f t="shared" si="23"/>
        <v>18.48</v>
      </c>
      <c r="AE16" s="701">
        <f t="shared" si="23"/>
        <v>18.95</v>
      </c>
      <c r="AF16" s="61">
        <f t="shared" ref="AF16" si="24">SUM(AF14:AF15)</f>
        <v>19.440000000000001</v>
      </c>
      <c r="AH16" s="1629">
        <f t="shared" si="1"/>
        <v>0.22</v>
      </c>
    </row>
    <row r="17" spans="1:34" ht="16.5" customHeight="1">
      <c r="A17" s="3297" t="s">
        <v>30</v>
      </c>
      <c r="B17" s="751" t="s">
        <v>645</v>
      </c>
      <c r="C17" s="326" t="s">
        <v>17</v>
      </c>
      <c r="D17" s="137">
        <f>'Table 10b'!E16</f>
        <v>0.1</v>
      </c>
      <c r="E17" s="760">
        <f>'Table 10b'!J16*0.02</f>
        <v>0.06</v>
      </c>
      <c r="F17" s="148">
        <f>D17+E17</f>
        <v>0.16</v>
      </c>
      <c r="G17" s="137">
        <f>'Table 10b'!AH16</f>
        <v>7.0000000000000007E-2</v>
      </c>
      <c r="H17" s="760">
        <f>AA17*0.02</f>
        <v>0.05</v>
      </c>
      <c r="I17" s="148">
        <f>G17+H17</f>
        <v>0.12</v>
      </c>
      <c r="J17" s="157">
        <f>'Table 10b'!AI16</f>
        <v>7.0000000000000007E-2</v>
      </c>
      <c r="K17" s="783">
        <f>AB17*0.02</f>
        <v>0.05</v>
      </c>
      <c r="L17" s="762">
        <f>J17+K17</f>
        <v>0.12</v>
      </c>
      <c r="M17" s="137">
        <f>'Table 10b'!AJ16</f>
        <v>7.0000000000000007E-2</v>
      </c>
      <c r="N17" s="783">
        <f>AC17*0.02</f>
        <v>0.05</v>
      </c>
      <c r="O17" s="763">
        <f>M17+N17</f>
        <v>0.12</v>
      </c>
      <c r="P17" s="157">
        <f>'Table 10b'!AK16</f>
        <v>7.0000000000000007E-2</v>
      </c>
      <c r="Q17" s="760">
        <f>AD17*0.02</f>
        <v>0.05</v>
      </c>
      <c r="R17" s="764">
        <f>P17+Q17</f>
        <v>0.12</v>
      </c>
      <c r="S17" s="137">
        <f>'Table 10b'!AL16</f>
        <v>7.0000000000000007E-2</v>
      </c>
      <c r="T17" s="783">
        <f>AE17*0.02</f>
        <v>0.05</v>
      </c>
      <c r="U17" s="762">
        <f>S17+T17</f>
        <v>0.12</v>
      </c>
      <c r="V17" s="137">
        <f>'Table 10b'!AM16</f>
        <v>7.0000000000000007E-2</v>
      </c>
      <c r="W17" s="783">
        <f>AF17*0.02</f>
        <v>0.05</v>
      </c>
      <c r="X17" s="762">
        <f>V17+W17</f>
        <v>0.12</v>
      </c>
      <c r="Y17" s="219">
        <f t="shared" si="0"/>
        <v>-0.25</v>
      </c>
      <c r="Z17" s="775">
        <f>'Table 10b'!J16</f>
        <v>3</v>
      </c>
      <c r="AA17" s="776">
        <f>'Table 10b'!AN16</f>
        <v>2.25</v>
      </c>
      <c r="AB17" s="776">
        <f>'Table 10b'!AO16</f>
        <v>2.25</v>
      </c>
      <c r="AC17" s="776">
        <f>'Table 10b'!AP16</f>
        <v>2.25</v>
      </c>
      <c r="AD17" s="777">
        <f>'Table 10b'!AQ16</f>
        <v>2.25</v>
      </c>
      <c r="AE17" s="777">
        <f>'Table 10b'!AR16</f>
        <v>2.25</v>
      </c>
      <c r="AF17" s="1298">
        <f>'Table 10b'!AS16</f>
        <v>2.25</v>
      </c>
      <c r="AH17" s="1631">
        <f t="shared" si="1"/>
        <v>-0.04</v>
      </c>
    </row>
    <row r="18" spans="1:34" ht="14.25" thickTop="1" thickBot="1">
      <c r="A18" s="3299"/>
      <c r="B18" s="3406" t="s">
        <v>642</v>
      </c>
      <c r="C18" s="3407"/>
      <c r="D18" s="34">
        <f>SUM(D17)</f>
        <v>0.1</v>
      </c>
      <c r="E18" s="758">
        <f t="shared" ref="E18:F18" si="25">SUM(E17)</f>
        <v>0.06</v>
      </c>
      <c r="F18" s="105">
        <f t="shared" si="25"/>
        <v>0.16</v>
      </c>
      <c r="G18" s="34">
        <f t="shared" ref="G18:U18" si="26">SUM(G17)</f>
        <v>7.0000000000000007E-2</v>
      </c>
      <c r="H18" s="758">
        <f t="shared" si="26"/>
        <v>0.05</v>
      </c>
      <c r="I18" s="105">
        <f t="shared" si="26"/>
        <v>0.12</v>
      </c>
      <c r="J18" s="35">
        <f t="shared" si="26"/>
        <v>7.0000000000000007E-2</v>
      </c>
      <c r="K18" s="20">
        <f t="shared" si="26"/>
        <v>0.05</v>
      </c>
      <c r="L18" s="303">
        <f t="shared" si="26"/>
        <v>0.12</v>
      </c>
      <c r="M18" s="34">
        <f t="shared" si="26"/>
        <v>7.0000000000000007E-2</v>
      </c>
      <c r="N18" s="20">
        <f t="shared" si="26"/>
        <v>0.05</v>
      </c>
      <c r="O18" s="21">
        <f t="shared" si="26"/>
        <v>0.12</v>
      </c>
      <c r="P18" s="35">
        <f t="shared" si="26"/>
        <v>7.0000000000000007E-2</v>
      </c>
      <c r="Q18" s="758">
        <f t="shared" si="26"/>
        <v>0.05</v>
      </c>
      <c r="R18" s="116">
        <f t="shared" si="26"/>
        <v>0.12</v>
      </c>
      <c r="S18" s="34">
        <f t="shared" si="26"/>
        <v>7.0000000000000007E-2</v>
      </c>
      <c r="T18" s="20">
        <f t="shared" si="26"/>
        <v>0.05</v>
      </c>
      <c r="U18" s="303">
        <f t="shared" si="26"/>
        <v>0.12</v>
      </c>
      <c r="V18" s="34">
        <f t="shared" ref="V18:X18" si="27">SUM(V17)</f>
        <v>7.0000000000000007E-2</v>
      </c>
      <c r="W18" s="20">
        <f t="shared" si="27"/>
        <v>0.05</v>
      </c>
      <c r="X18" s="303">
        <f t="shared" si="27"/>
        <v>0.12</v>
      </c>
      <c r="Y18" s="217">
        <f t="shared" si="0"/>
        <v>-0.25</v>
      </c>
      <c r="Z18" s="773">
        <f t="shared" ref="Z18:AE18" si="28">Z17</f>
        <v>3</v>
      </c>
      <c r="AA18" s="774">
        <f t="shared" si="28"/>
        <v>2.25</v>
      </c>
      <c r="AB18" s="774">
        <f t="shared" si="28"/>
        <v>2.25</v>
      </c>
      <c r="AC18" s="774">
        <f t="shared" si="28"/>
        <v>2.25</v>
      </c>
      <c r="AD18" s="774">
        <f t="shared" si="28"/>
        <v>2.25</v>
      </c>
      <c r="AE18" s="774">
        <f t="shared" si="28"/>
        <v>2.25</v>
      </c>
      <c r="AF18" s="21">
        <f t="shared" ref="AF18" si="29">AF17</f>
        <v>2.25</v>
      </c>
      <c r="AH18" s="1624">
        <f t="shared" si="1"/>
        <v>-0.04</v>
      </c>
    </row>
    <row r="19" spans="1:34" ht="13.5" thickBot="1">
      <c r="A19" s="3367" t="s">
        <v>32</v>
      </c>
      <c r="B19" s="3368"/>
      <c r="C19" s="3374"/>
      <c r="D19" s="34">
        <f>D5+D13+D16</f>
        <v>7.33</v>
      </c>
      <c r="E19" s="758">
        <f t="shared" ref="E19:F19" si="30">E5+E13+E16</f>
        <v>12.48</v>
      </c>
      <c r="F19" s="105">
        <f t="shared" si="30"/>
        <v>19.809999999999999</v>
      </c>
      <c r="G19" s="34">
        <f t="shared" ref="G19:X19" si="31">G5+G13+G16</f>
        <v>6.05</v>
      </c>
      <c r="H19" s="758">
        <f t="shared" si="31"/>
        <v>13.4</v>
      </c>
      <c r="I19" s="105">
        <f t="shared" si="31"/>
        <v>19.45</v>
      </c>
      <c r="J19" s="35">
        <f t="shared" si="31"/>
        <v>6.24</v>
      </c>
      <c r="K19" s="20">
        <f t="shared" si="31"/>
        <v>13.78</v>
      </c>
      <c r="L19" s="303">
        <f t="shared" si="31"/>
        <v>20.02</v>
      </c>
      <c r="M19" s="34">
        <f t="shared" si="31"/>
        <v>6.5</v>
      </c>
      <c r="N19" s="20">
        <f t="shared" si="31"/>
        <v>14.35</v>
      </c>
      <c r="O19" s="21">
        <f t="shared" si="31"/>
        <v>20.85</v>
      </c>
      <c r="P19" s="35">
        <f t="shared" si="31"/>
        <v>6.95</v>
      </c>
      <c r="Q19" s="758">
        <f t="shared" si="31"/>
        <v>15.44</v>
      </c>
      <c r="R19" s="116">
        <f t="shared" si="31"/>
        <v>22.39</v>
      </c>
      <c r="S19" s="34">
        <f t="shared" si="31"/>
        <v>7.43</v>
      </c>
      <c r="T19" s="20">
        <f t="shared" si="31"/>
        <v>16.59</v>
      </c>
      <c r="U19" s="303">
        <f t="shared" si="31"/>
        <v>24.02</v>
      </c>
      <c r="V19" s="34">
        <f t="shared" si="31"/>
        <v>7.93</v>
      </c>
      <c r="W19" s="20">
        <f t="shared" ref="W19" si="32">W5+W13+W16</f>
        <v>17.829999999999998</v>
      </c>
      <c r="X19" s="303">
        <f t="shared" si="31"/>
        <v>25.76</v>
      </c>
      <c r="Y19" s="217">
        <f t="shared" si="0"/>
        <v>0.3</v>
      </c>
      <c r="Z19" s="779">
        <f t="shared" ref="Z19:AE19" si="33">Z5+Z13+Z16</f>
        <v>624.05999999999995</v>
      </c>
      <c r="AA19" s="780">
        <f t="shared" si="33"/>
        <v>669.91</v>
      </c>
      <c r="AB19" s="780">
        <f t="shared" si="33"/>
        <v>688.86</v>
      </c>
      <c r="AC19" s="780">
        <f t="shared" si="33"/>
        <v>717.91</v>
      </c>
      <c r="AD19" s="781">
        <f t="shared" si="33"/>
        <v>771.78</v>
      </c>
      <c r="AE19" s="781">
        <f t="shared" si="33"/>
        <v>829.44</v>
      </c>
      <c r="AF19" s="166">
        <f t="shared" ref="AF19" si="34">AF5+AF13+AF16</f>
        <v>891.44</v>
      </c>
      <c r="AH19" s="1624">
        <f t="shared" si="1"/>
        <v>5.95</v>
      </c>
    </row>
    <row r="20" spans="1:34" ht="13.5" thickBot="1">
      <c r="A20" s="3286" t="s">
        <v>33</v>
      </c>
      <c r="B20" s="3287"/>
      <c r="C20" s="3288"/>
      <c r="D20" s="34">
        <f>D7+D18</f>
        <v>1.59</v>
      </c>
      <c r="E20" s="758">
        <f t="shared" ref="E20:F20" si="35">E7+E18</f>
        <v>0.06</v>
      </c>
      <c r="F20" s="105">
        <f t="shared" si="35"/>
        <v>1.65</v>
      </c>
      <c r="G20" s="34">
        <f t="shared" ref="G20:X20" si="36">G7+G18</f>
        <v>1.55</v>
      </c>
      <c r="H20" s="758">
        <f t="shared" si="36"/>
        <v>0.05</v>
      </c>
      <c r="I20" s="105">
        <f t="shared" si="36"/>
        <v>1.6</v>
      </c>
      <c r="J20" s="35">
        <f t="shared" si="36"/>
        <v>1.47</v>
      </c>
      <c r="K20" s="20">
        <f t="shared" si="36"/>
        <v>0.05</v>
      </c>
      <c r="L20" s="303">
        <f t="shared" si="36"/>
        <v>1.52</v>
      </c>
      <c r="M20" s="34">
        <f t="shared" si="36"/>
        <v>1.51</v>
      </c>
      <c r="N20" s="20">
        <f t="shared" si="36"/>
        <v>0.05</v>
      </c>
      <c r="O20" s="21">
        <f t="shared" si="36"/>
        <v>1.56</v>
      </c>
      <c r="P20" s="35">
        <f t="shared" si="36"/>
        <v>1.57</v>
      </c>
      <c r="Q20" s="758">
        <f t="shared" si="36"/>
        <v>0.05</v>
      </c>
      <c r="R20" s="116">
        <f t="shared" si="36"/>
        <v>1.62</v>
      </c>
      <c r="S20" s="34">
        <f t="shared" si="36"/>
        <v>1.63</v>
      </c>
      <c r="T20" s="20">
        <f t="shared" si="36"/>
        <v>0.05</v>
      </c>
      <c r="U20" s="303">
        <f t="shared" si="36"/>
        <v>1.68</v>
      </c>
      <c r="V20" s="34">
        <f t="shared" si="36"/>
        <v>1.69</v>
      </c>
      <c r="W20" s="20">
        <f t="shared" ref="W20" si="37">W7+W18</f>
        <v>0.05</v>
      </c>
      <c r="X20" s="303">
        <f t="shared" si="36"/>
        <v>1.74</v>
      </c>
      <c r="Y20" s="785">
        <f t="shared" si="0"/>
        <v>0.05</v>
      </c>
      <c r="Z20" s="779">
        <f t="shared" ref="Z20:AE20" si="38">Z7+Z18</f>
        <v>3</v>
      </c>
      <c r="AA20" s="782">
        <f t="shared" si="38"/>
        <v>2.25</v>
      </c>
      <c r="AB20" s="780">
        <f t="shared" si="38"/>
        <v>2.25</v>
      </c>
      <c r="AC20" s="780">
        <f t="shared" si="38"/>
        <v>2.25</v>
      </c>
      <c r="AD20" s="101">
        <f t="shared" si="38"/>
        <v>2.25</v>
      </c>
      <c r="AE20" s="781">
        <f t="shared" si="38"/>
        <v>2.25</v>
      </c>
      <c r="AF20" s="166">
        <f t="shared" ref="AF20" si="39">AF7+AF18</f>
        <v>2.25</v>
      </c>
      <c r="AH20" s="1624">
        <f t="shared" si="1"/>
        <v>0.09</v>
      </c>
    </row>
    <row r="21" spans="1:34" ht="13.5" thickBot="1">
      <c r="A21" s="3427" t="s">
        <v>513</v>
      </c>
      <c r="B21" s="3445"/>
      <c r="C21" s="3428"/>
      <c r="D21" s="34">
        <f>D19+D20</f>
        <v>8.92</v>
      </c>
      <c r="E21" s="758">
        <f t="shared" ref="E21:F21" si="40">E19+E20</f>
        <v>12.54</v>
      </c>
      <c r="F21" s="105">
        <f t="shared" si="40"/>
        <v>21.46</v>
      </c>
      <c r="G21" s="34">
        <f t="shared" ref="G21" si="41">G19+G20</f>
        <v>7.6</v>
      </c>
      <c r="H21" s="758">
        <f t="shared" ref="H21" si="42">H19+H20</f>
        <v>13.45</v>
      </c>
      <c r="I21" s="105">
        <f t="shared" ref="I21" si="43">I19+I20</f>
        <v>21.05</v>
      </c>
      <c r="J21" s="35">
        <f t="shared" ref="J21" si="44">J19+J20</f>
        <v>7.71</v>
      </c>
      <c r="K21" s="20">
        <f t="shared" ref="K21" si="45">K19+K20</f>
        <v>13.83</v>
      </c>
      <c r="L21" s="303">
        <f t="shared" ref="L21" si="46">L19+L20</f>
        <v>21.54</v>
      </c>
      <c r="M21" s="34">
        <f t="shared" ref="M21" si="47">M19+M20</f>
        <v>8.01</v>
      </c>
      <c r="N21" s="20">
        <f t="shared" ref="N21" si="48">N19+N20</f>
        <v>14.4</v>
      </c>
      <c r="O21" s="21">
        <f t="shared" ref="O21" si="49">O19+O20</f>
        <v>22.41</v>
      </c>
      <c r="P21" s="35">
        <f t="shared" ref="P21" si="50">P19+P20</f>
        <v>8.52</v>
      </c>
      <c r="Q21" s="758">
        <f t="shared" ref="Q21" si="51">Q19+Q20</f>
        <v>15.49</v>
      </c>
      <c r="R21" s="116">
        <f t="shared" ref="R21" si="52">R19+R20</f>
        <v>24.01</v>
      </c>
      <c r="S21" s="34">
        <f t="shared" ref="S21" si="53">S19+S20</f>
        <v>9.06</v>
      </c>
      <c r="T21" s="20">
        <f t="shared" ref="T21" si="54">T19+T20</f>
        <v>16.64</v>
      </c>
      <c r="U21" s="303">
        <f t="shared" ref="U21" si="55">U19+U20</f>
        <v>25.7</v>
      </c>
      <c r="V21" s="34">
        <f t="shared" ref="V21:W21" si="56">V19+V20</f>
        <v>9.6199999999999992</v>
      </c>
      <c r="W21" s="20">
        <f t="shared" si="56"/>
        <v>17.88</v>
      </c>
      <c r="X21" s="303">
        <f t="shared" ref="X21" si="57">X19+X20</f>
        <v>27.5</v>
      </c>
      <c r="Y21" s="785">
        <f t="shared" si="0"/>
        <v>0.28000000000000003</v>
      </c>
      <c r="Z21" s="779">
        <f t="shared" ref="Z21" si="58">Z19+Z20</f>
        <v>627.05999999999995</v>
      </c>
      <c r="AA21" s="782">
        <f t="shared" ref="AA21" si="59">AA19+AA20</f>
        <v>672.16</v>
      </c>
      <c r="AB21" s="780">
        <f t="shared" ref="AB21" si="60">AB19+AB20</f>
        <v>691.11</v>
      </c>
      <c r="AC21" s="780">
        <f t="shared" ref="AC21" si="61">AC19+AC20</f>
        <v>720.16</v>
      </c>
      <c r="AD21" s="101">
        <f t="shared" ref="AD21" si="62">AD19+AD20</f>
        <v>774.03</v>
      </c>
      <c r="AE21" s="781">
        <f t="shared" ref="AE21:AF21" si="63">AE19+AE20</f>
        <v>831.69</v>
      </c>
      <c r="AF21" s="166">
        <f t="shared" si="63"/>
        <v>893.69</v>
      </c>
      <c r="AH21" s="1624">
        <f t="shared" si="1"/>
        <v>6.04</v>
      </c>
    </row>
    <row r="22" spans="1:34">
      <c r="A22" s="89" t="s">
        <v>35</v>
      </c>
      <c r="B22" s="89"/>
    </row>
    <row r="23" spans="1:34">
      <c r="A23" s="1" t="s">
        <v>68</v>
      </c>
      <c r="M23" s="1" t="s">
        <v>36</v>
      </c>
      <c r="S23" s="1" t="s">
        <v>36</v>
      </c>
      <c r="Y23" s="1" t="s">
        <v>36</v>
      </c>
      <c r="AA23" s="23"/>
    </row>
    <row r="24" spans="1:34">
      <c r="A24" s="1" t="s">
        <v>69</v>
      </c>
      <c r="H24" s="1" t="s">
        <v>36</v>
      </c>
      <c r="S24" s="1" t="s">
        <v>36</v>
      </c>
    </row>
    <row r="25" spans="1:34">
      <c r="A25" s="1" t="s">
        <v>646</v>
      </c>
    </row>
    <row r="26" spans="1:34">
      <c r="A26" s="2" t="s">
        <v>629</v>
      </c>
    </row>
    <row r="27" spans="1:34">
      <c r="A27" s="2" t="s">
        <v>647</v>
      </c>
    </row>
    <row r="28" spans="1:34">
      <c r="X28" s="1" t="s">
        <v>36</v>
      </c>
    </row>
    <row r="33" spans="7:7">
      <c r="G33" s="1" t="s">
        <v>36</v>
      </c>
    </row>
  </sheetData>
  <mergeCells count="26">
    <mergeCell ref="A17:A18"/>
    <mergeCell ref="B18:C18"/>
    <mergeCell ref="A21:C21"/>
    <mergeCell ref="A19:C19"/>
    <mergeCell ref="A20:C20"/>
    <mergeCell ref="A14:A16"/>
    <mergeCell ref="B16:C16"/>
    <mergeCell ref="A2:A4"/>
    <mergeCell ref="B8:C8"/>
    <mergeCell ref="A9:A13"/>
    <mergeCell ref="B13:C13"/>
    <mergeCell ref="B2:B4"/>
    <mergeCell ref="A5:A8"/>
    <mergeCell ref="D2:F2"/>
    <mergeCell ref="C2:C4"/>
    <mergeCell ref="P3:R3"/>
    <mergeCell ref="D3:F3"/>
    <mergeCell ref="G3:I3"/>
    <mergeCell ref="J3:L3"/>
    <mergeCell ref="G2:X2"/>
    <mergeCell ref="AH2:AH4"/>
    <mergeCell ref="Y2:Y4"/>
    <mergeCell ref="M3:O3"/>
    <mergeCell ref="S3:U3"/>
    <mergeCell ref="V3:X3"/>
    <mergeCell ref="Z2:AF3"/>
  </mergeCells>
  <pageMargins left="0.7" right="0.7" top="0.75" bottom="0.75" header="0.3" footer="0.3"/>
  <pageSetup paperSize="3"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4"/>
  <sheetViews>
    <sheetView workbookViewId="0">
      <pane xSplit="1" topLeftCell="B1" activePane="topRight" state="frozen"/>
      <selection pane="topRight" activeCell="K5" sqref="K5"/>
    </sheetView>
  </sheetViews>
  <sheetFormatPr defaultColWidth="9.140625" defaultRowHeight="12.75"/>
  <cols>
    <col min="1" max="1" width="35.28515625" style="256" customWidth="1"/>
    <col min="2" max="2" width="10.42578125" style="256" customWidth="1"/>
    <col min="3" max="18" width="8.28515625" style="256" customWidth="1"/>
    <col min="19" max="19" width="8.7109375" style="256" customWidth="1"/>
    <col min="20" max="23" width="9.140625" style="256" customWidth="1"/>
    <col min="24" max="24" width="12.140625" style="256" customWidth="1"/>
    <col min="25" max="27" width="9.140625" style="256" customWidth="1"/>
    <col min="28" max="28" width="10.140625" style="256" customWidth="1"/>
    <col min="29" max="29" width="10.5703125" style="256" hidden="1" customWidth="1"/>
    <col min="30" max="30" width="11.5703125" style="256" customWidth="1"/>
    <col min="31" max="31" width="9.140625" style="256"/>
    <col min="32" max="32" width="9.140625" style="256" customWidth="1"/>
    <col min="33" max="37" width="9.140625" style="256"/>
    <col min="38" max="38" width="9.140625" style="256" customWidth="1"/>
    <col min="39" max="16384" width="9.140625" style="256"/>
  </cols>
  <sheetData>
    <row r="1" spans="1:29" s="2" customFormat="1" ht="29.25" customHeight="1" thickBot="1">
      <c r="A1" s="3224" t="s">
        <v>53</v>
      </c>
      <c r="B1" s="3224"/>
      <c r="C1" s="3224"/>
      <c r="D1" s="3224"/>
      <c r="E1" s="3224"/>
      <c r="F1" s="3224"/>
      <c r="G1" s="3224"/>
      <c r="H1" s="3224"/>
      <c r="I1" s="3224"/>
      <c r="J1" s="3224"/>
      <c r="K1" s="3224"/>
      <c r="L1" s="3224"/>
      <c r="M1" s="3224"/>
      <c r="N1" s="3224"/>
      <c r="O1" s="3224"/>
      <c r="P1" s="3224"/>
      <c r="Q1" s="3224"/>
      <c r="R1" s="3224"/>
      <c r="S1" s="3224"/>
      <c r="T1" s="3224"/>
      <c r="U1" s="3224"/>
      <c r="V1" s="3224"/>
      <c r="W1" s="3224"/>
      <c r="X1" s="3224"/>
      <c r="Y1" s="3224"/>
      <c r="Z1" s="3224"/>
      <c r="AA1" s="3224"/>
    </row>
    <row r="2" spans="1:29" s="2" customFormat="1" ht="15.75" customHeight="1" thickBot="1">
      <c r="A2" s="3204" t="s">
        <v>54</v>
      </c>
      <c r="B2" s="3206" t="s">
        <v>2</v>
      </c>
      <c r="C2" s="3221" t="s">
        <v>55</v>
      </c>
      <c r="D2" s="3222"/>
      <c r="E2" s="3223"/>
      <c r="F2" s="3221" t="s">
        <v>56</v>
      </c>
      <c r="G2" s="3222"/>
      <c r="H2" s="3222"/>
      <c r="I2" s="3222"/>
      <c r="J2" s="3222"/>
      <c r="K2" s="3222"/>
      <c r="L2" s="3222"/>
      <c r="M2" s="3222"/>
      <c r="N2" s="3222"/>
      <c r="O2" s="3222"/>
      <c r="P2" s="3222"/>
      <c r="Q2" s="3222"/>
      <c r="R2" s="3222"/>
      <c r="S2" s="3222"/>
      <c r="T2" s="3222"/>
      <c r="U2" s="3222"/>
      <c r="V2" s="3222"/>
      <c r="W2" s="3223"/>
      <c r="X2" s="3209" t="s">
        <v>57</v>
      </c>
      <c r="Y2" s="3221" t="s">
        <v>58</v>
      </c>
      <c r="Z2" s="3222"/>
      <c r="AA2" s="3223"/>
      <c r="AC2" s="3209" t="s">
        <v>59</v>
      </c>
    </row>
    <row r="3" spans="1:29" s="2" customFormat="1" ht="15" customHeight="1">
      <c r="A3" s="3205"/>
      <c r="B3" s="3207"/>
      <c r="C3" s="3212">
        <v>2015</v>
      </c>
      <c r="D3" s="3213"/>
      <c r="E3" s="3214"/>
      <c r="F3" s="3212">
        <v>2020</v>
      </c>
      <c r="G3" s="3213"/>
      <c r="H3" s="3215"/>
      <c r="I3" s="3212">
        <v>2025</v>
      </c>
      <c r="J3" s="3213"/>
      <c r="K3" s="3214"/>
      <c r="L3" s="3216">
        <v>2030</v>
      </c>
      <c r="M3" s="3217"/>
      <c r="N3" s="3218"/>
      <c r="O3" s="3212">
        <v>2035</v>
      </c>
      <c r="P3" s="3213"/>
      <c r="Q3" s="3215"/>
      <c r="R3" s="3212">
        <v>2040</v>
      </c>
      <c r="S3" s="3213"/>
      <c r="T3" s="3215"/>
      <c r="U3" s="3219">
        <v>2045</v>
      </c>
      <c r="V3" s="3213"/>
      <c r="W3" s="3220"/>
      <c r="X3" s="3210"/>
      <c r="Y3" s="3216">
        <v>2045</v>
      </c>
      <c r="Z3" s="3217"/>
      <c r="AA3" s="3218"/>
      <c r="AC3" s="3228"/>
    </row>
    <row r="4" spans="1:29" s="2" customFormat="1" ht="15.75" customHeight="1" thickBot="1">
      <c r="A4" s="3485"/>
      <c r="B4" s="3208"/>
      <c r="C4" s="1655" t="s">
        <v>60</v>
      </c>
      <c r="D4" s="1017" t="s">
        <v>61</v>
      </c>
      <c r="E4" s="1656" t="s">
        <v>18</v>
      </c>
      <c r="F4" s="1655" t="s">
        <v>60</v>
      </c>
      <c r="G4" s="1657" t="s">
        <v>61</v>
      </c>
      <c r="H4" s="1658" t="s">
        <v>18</v>
      </c>
      <c r="I4" s="1655" t="s">
        <v>60</v>
      </c>
      <c r="J4" s="1017" t="s">
        <v>61</v>
      </c>
      <c r="K4" s="1656" t="s">
        <v>18</v>
      </c>
      <c r="L4" s="1655" t="s">
        <v>60</v>
      </c>
      <c r="M4" s="1657" t="s">
        <v>61</v>
      </c>
      <c r="N4" s="1658" t="s">
        <v>18</v>
      </c>
      <c r="O4" s="1655" t="s">
        <v>60</v>
      </c>
      <c r="P4" s="1017" t="s">
        <v>61</v>
      </c>
      <c r="Q4" s="1659" t="s">
        <v>18</v>
      </c>
      <c r="R4" s="1655" t="s">
        <v>60</v>
      </c>
      <c r="S4" s="1657" t="s">
        <v>61</v>
      </c>
      <c r="T4" s="1658" t="s">
        <v>18</v>
      </c>
      <c r="U4" s="1655" t="s">
        <v>60</v>
      </c>
      <c r="V4" s="1660" t="s">
        <v>61</v>
      </c>
      <c r="W4" s="1661" t="s">
        <v>18</v>
      </c>
      <c r="X4" s="3211"/>
      <c r="Y4" s="1662" t="s">
        <v>60</v>
      </c>
      <c r="Z4" s="1663" t="s">
        <v>61</v>
      </c>
      <c r="AA4" s="1664" t="s">
        <v>18</v>
      </c>
      <c r="AC4" s="3211"/>
    </row>
    <row r="5" spans="1:29" s="2" customFormat="1">
      <c r="A5" s="1195" t="s">
        <v>62</v>
      </c>
      <c r="B5" s="1196" t="s">
        <v>15</v>
      </c>
      <c r="C5" s="1193">
        <f>'Table 4'!J25</f>
        <v>178.8</v>
      </c>
      <c r="D5" s="635">
        <f>'Table 4'!K25</f>
        <v>7.0000000000000007E-2</v>
      </c>
      <c r="E5" s="621">
        <f>'Table 4'!L25</f>
        <v>178.87</v>
      </c>
      <c r="F5" s="636">
        <f>'Table 4'!M25</f>
        <v>196.67</v>
      </c>
      <c r="G5" s="637">
        <f>'Table 4'!N25</f>
        <v>0.03</v>
      </c>
      <c r="H5" s="624">
        <f>'Table 4'!O25+'Table 4'!P25</f>
        <v>200.2</v>
      </c>
      <c r="I5" s="636">
        <f>'Table 4'!Q25</f>
        <v>212.11</v>
      </c>
      <c r="J5" s="635">
        <f>'Table 4'!R25</f>
        <v>0.03</v>
      </c>
      <c r="K5" s="621">
        <f>'Table 4'!S25+'Table 4'!T25</f>
        <v>217.27</v>
      </c>
      <c r="L5" s="636">
        <f>'Table 4'!U25</f>
        <v>220.2</v>
      </c>
      <c r="M5" s="635">
        <f>'Table 4'!V25</f>
        <v>0.03</v>
      </c>
      <c r="N5" s="638">
        <f>'Table 4'!W25+'Table 4'!X25</f>
        <v>229.92</v>
      </c>
      <c r="O5" s="636">
        <f>'Table 4'!Y25</f>
        <v>227.64</v>
      </c>
      <c r="P5" s="635">
        <f>'Table 4'!Z25</f>
        <v>0.03</v>
      </c>
      <c r="Q5" s="621">
        <f>'Table 4'!AA25+'Table 4'!AB25</f>
        <v>241.23</v>
      </c>
      <c r="R5" s="636">
        <f>'Table 4'!AC25</f>
        <v>233.18</v>
      </c>
      <c r="S5" s="637">
        <f>'Table 4'!AD25</f>
        <v>0.03</v>
      </c>
      <c r="T5" s="624">
        <f>'Table 4'!AE25+'Table 4'!AF25</f>
        <v>250.19</v>
      </c>
      <c r="U5" s="636">
        <f>'Table 4'!AG25</f>
        <v>238.39</v>
      </c>
      <c r="V5" s="1654">
        <f>'Table 4'!AH25</f>
        <v>0.03</v>
      </c>
      <c r="W5" s="671">
        <f>'Table 4'!AI25+'Table 4'!AJ25</f>
        <v>258.49</v>
      </c>
      <c r="X5" s="655">
        <f>(W5-E5)/E5</f>
        <v>0.45</v>
      </c>
      <c r="Y5" s="1184">
        <f>'Table 4'!AL25</f>
        <v>251.15</v>
      </c>
      <c r="Z5" s="1185">
        <f>'Table 4'!AM25</f>
        <v>0.03</v>
      </c>
      <c r="AA5" s="3177">
        <f>'Table 4'!AN25+'Table 4'!AO25</f>
        <v>273.99</v>
      </c>
      <c r="AC5" s="1577">
        <f>W5-E5</f>
        <v>79.62</v>
      </c>
    </row>
    <row r="6" spans="1:29" s="2" customFormat="1" ht="13.5" thickBot="1">
      <c r="A6" s="80" t="s">
        <v>62</v>
      </c>
      <c r="B6" s="1835" t="s">
        <v>17</v>
      </c>
      <c r="C6" s="1836">
        <f>'Table 4'!J26</f>
        <v>9.32</v>
      </c>
      <c r="D6" s="541">
        <f>'Table 4'!K26</f>
        <v>0</v>
      </c>
      <c r="E6" s="542">
        <f>'Table 4'!L26</f>
        <v>9.32</v>
      </c>
      <c r="F6" s="41">
        <f>'Table 4'!M26</f>
        <v>9.99</v>
      </c>
      <c r="G6" s="627">
        <f>'Table 4'!N26</f>
        <v>0</v>
      </c>
      <c r="H6" s="1546">
        <f>'Table 4'!O26</f>
        <v>9.99</v>
      </c>
      <c r="I6" s="41">
        <f>'Table 4'!Q26</f>
        <v>10.32</v>
      </c>
      <c r="J6" s="541">
        <f>'Table 4'!R26</f>
        <v>0</v>
      </c>
      <c r="K6" s="542">
        <f>'Table 4'!S26</f>
        <v>10.32</v>
      </c>
      <c r="L6" s="41">
        <f>'Table 4'!U26</f>
        <v>10.73</v>
      </c>
      <c r="M6" s="541">
        <f>'Table 4'!V26</f>
        <v>0</v>
      </c>
      <c r="N6" s="51">
        <f>'Table 4'!W26</f>
        <v>10.73</v>
      </c>
      <c r="O6" s="41">
        <f>'Table 4'!Y26</f>
        <v>11.1</v>
      </c>
      <c r="P6" s="541">
        <f>'Table 4'!Z26</f>
        <v>0</v>
      </c>
      <c r="Q6" s="542">
        <f>'Table 4'!AA26</f>
        <v>11.1</v>
      </c>
      <c r="R6" s="41">
        <f>'Table 4'!AC26</f>
        <v>11.33</v>
      </c>
      <c r="S6" s="627">
        <f>'Table 4'!AD26</f>
        <v>0</v>
      </c>
      <c r="T6" s="1546">
        <f>'Table 4'!AE26</f>
        <v>11.33</v>
      </c>
      <c r="U6" s="41">
        <f>'Table 4'!AG26</f>
        <v>11.52</v>
      </c>
      <c r="V6" s="543">
        <f>'Table 4'!AH26</f>
        <v>0</v>
      </c>
      <c r="W6" s="1254">
        <f>'Table 4'!AI26</f>
        <v>11.52</v>
      </c>
      <c r="X6" s="312">
        <f t="shared" ref="X6:X25" si="0">(W6-E6)/E6</f>
        <v>0.24</v>
      </c>
      <c r="Y6" s="1837">
        <f>'Table 4'!AL26</f>
        <v>12.22</v>
      </c>
      <c r="Z6" s="1186">
        <f>'Table 4'!AM26</f>
        <v>0</v>
      </c>
      <c r="AA6" s="1838">
        <f>'Table 4'!AN26</f>
        <v>12.22</v>
      </c>
      <c r="AC6" s="1839">
        <f t="shared" ref="AC6:AC25" si="1">W6-E6</f>
        <v>2.2000000000000002</v>
      </c>
    </row>
    <row r="7" spans="1:29" s="2" customFormat="1" ht="14.25" thickTop="1" thickBot="1">
      <c r="A7" s="1197" t="s">
        <v>62</v>
      </c>
      <c r="B7" s="1198" t="s">
        <v>18</v>
      </c>
      <c r="C7" s="1194">
        <f>'Table 4'!J27</f>
        <v>188.12</v>
      </c>
      <c r="D7" s="620">
        <f>'Table 4'!K27</f>
        <v>7.0000000000000007E-2</v>
      </c>
      <c r="E7" s="621">
        <f>'Table 4'!L27</f>
        <v>188.19</v>
      </c>
      <c r="F7" s="622">
        <f>'Table 4'!M27</f>
        <v>206.66</v>
      </c>
      <c r="G7" s="620">
        <f>'Table 4'!N27</f>
        <v>0.03</v>
      </c>
      <c r="H7" s="638">
        <f>'Table 4'!O27+'Table 4'!P25</f>
        <v>210.19</v>
      </c>
      <c r="I7" s="622">
        <f>'Table 4'!Q27</f>
        <v>222.43</v>
      </c>
      <c r="J7" s="620">
        <f>'Table 4'!R27</f>
        <v>0.03</v>
      </c>
      <c r="K7" s="621">
        <f>'Table 4'!S27+'Table 4'!T25</f>
        <v>227.59</v>
      </c>
      <c r="L7" s="622">
        <f>'Table 4'!U27</f>
        <v>230.93</v>
      </c>
      <c r="M7" s="620">
        <f>'Table 4'!V27</f>
        <v>0.03</v>
      </c>
      <c r="N7" s="638">
        <f>'Table 4'!W27+'Table 4'!X25</f>
        <v>240.65</v>
      </c>
      <c r="O7" s="622">
        <f>'Table 4'!Y27</f>
        <v>238.74</v>
      </c>
      <c r="P7" s="620">
        <f>'Table 4'!Z27</f>
        <v>0.03</v>
      </c>
      <c r="Q7" s="621">
        <f>'Table 4'!AA27+'Table 4'!AB25</f>
        <v>252.33</v>
      </c>
      <c r="R7" s="622">
        <f>'Table 4'!AC27</f>
        <v>244.51</v>
      </c>
      <c r="S7" s="620">
        <f>'Table 4'!AD27</f>
        <v>0.03</v>
      </c>
      <c r="T7" s="638">
        <f>'Table 4'!AE27+'Table 4'!AF25</f>
        <v>261.52</v>
      </c>
      <c r="U7" s="622">
        <f>'Table 4'!AG27</f>
        <v>249.91</v>
      </c>
      <c r="V7" s="671">
        <f>'Table 4'!AH27</f>
        <v>0.03</v>
      </c>
      <c r="W7" s="621">
        <f>'Table 4'!AI27+'Table 4'!AJ25</f>
        <v>270.01</v>
      </c>
      <c r="X7" s="311">
        <f t="shared" si="0"/>
        <v>0.43</v>
      </c>
      <c r="Y7" s="1187">
        <f>'Table 4'!AL27</f>
        <v>263.37</v>
      </c>
      <c r="Z7" s="1188">
        <f>'Table 4'!AM27</f>
        <v>0.03</v>
      </c>
      <c r="AA7" s="1189">
        <f>'Table 4'!AN27+'Table 4'!AO25</f>
        <v>286.20999999999998</v>
      </c>
      <c r="AB7" s="477"/>
      <c r="AC7" s="1578">
        <f t="shared" si="1"/>
        <v>81.819999999999993</v>
      </c>
    </row>
    <row r="8" spans="1:29" s="2" customFormat="1" ht="27.75" customHeight="1">
      <c r="A8" s="81" t="s">
        <v>63</v>
      </c>
      <c r="B8" s="1199" t="s">
        <v>15</v>
      </c>
      <c r="C8" s="1200">
        <f>'Table 6'!K25</f>
        <v>32.25</v>
      </c>
      <c r="D8" s="1201">
        <f>'Table 6'!L25</f>
        <v>0</v>
      </c>
      <c r="E8" s="521">
        <f>'Table 6'!M25</f>
        <v>32.25</v>
      </c>
      <c r="F8" s="510">
        <f>'Table 6'!N25</f>
        <v>40.21</v>
      </c>
      <c r="G8" s="1201">
        <f>'Table 6'!O25</f>
        <v>0</v>
      </c>
      <c r="H8" s="675">
        <f>'Table 6'!P25</f>
        <v>40.21</v>
      </c>
      <c r="I8" s="510">
        <f>'Table 6'!Q25</f>
        <v>43.59</v>
      </c>
      <c r="J8" s="1201">
        <f>'Table 6'!R25</f>
        <v>0</v>
      </c>
      <c r="K8" s="521">
        <f>'Table 6'!S25</f>
        <v>43.59</v>
      </c>
      <c r="L8" s="510">
        <f>'Table 6'!T25</f>
        <v>46.81</v>
      </c>
      <c r="M8" s="1201">
        <f>'Table 6'!U25</f>
        <v>0</v>
      </c>
      <c r="N8" s="675">
        <f>'Table 6'!V25</f>
        <v>46.81</v>
      </c>
      <c r="O8" s="510">
        <f>'Table 6'!W25</f>
        <v>49.12</v>
      </c>
      <c r="P8" s="1201">
        <f>'Table 6'!X25</f>
        <v>0</v>
      </c>
      <c r="Q8" s="521">
        <f>'Table 6'!Y25</f>
        <v>49.12</v>
      </c>
      <c r="R8" s="510">
        <f>'Table 6'!Z25</f>
        <v>51.21</v>
      </c>
      <c r="S8" s="1201">
        <f>'Table 6'!AA25</f>
        <v>0</v>
      </c>
      <c r="T8" s="675">
        <f>'Table 6'!AB25</f>
        <v>51.21</v>
      </c>
      <c r="U8" s="510">
        <f>'Table 6'!AC25</f>
        <v>53.12</v>
      </c>
      <c r="V8" s="1201">
        <f>'Table 6'!AD25</f>
        <v>0</v>
      </c>
      <c r="W8" s="521">
        <f>'Table 6'!AE25</f>
        <v>53.12</v>
      </c>
      <c r="X8" s="220">
        <f t="shared" si="0"/>
        <v>0.65</v>
      </c>
      <c r="Y8" s="1202">
        <f>'Table 6'!AG25</f>
        <v>56.29</v>
      </c>
      <c r="Z8" s="1203">
        <f>'Table 6'!AH25</f>
        <v>0</v>
      </c>
      <c r="AA8" s="1204">
        <f>'Table 6'!AI25</f>
        <v>56.29</v>
      </c>
      <c r="AB8" s="1205"/>
      <c r="AC8" s="1579">
        <f t="shared" si="1"/>
        <v>20.87</v>
      </c>
    </row>
    <row r="9" spans="1:29" s="2" customFormat="1" ht="27.75" customHeight="1" thickBot="1">
      <c r="A9" s="80" t="s">
        <v>63</v>
      </c>
      <c r="B9" s="1835" t="s">
        <v>17</v>
      </c>
      <c r="C9" s="1306">
        <f>'Table 6'!K26</f>
        <v>9.5299999999999994</v>
      </c>
      <c r="D9" s="1547">
        <f>'Table 6'!L26</f>
        <v>0</v>
      </c>
      <c r="E9" s="542">
        <f>'Table 6'!M26</f>
        <v>9.5299999999999994</v>
      </c>
      <c r="F9" s="41">
        <f>'Table 6'!N26</f>
        <v>10.16</v>
      </c>
      <c r="G9" s="1547">
        <f>'Table 6'!O26</f>
        <v>0</v>
      </c>
      <c r="H9" s="51">
        <f>'Table 6'!P26</f>
        <v>10.16</v>
      </c>
      <c r="I9" s="41">
        <f>'Table 6'!Q26</f>
        <v>10.79</v>
      </c>
      <c r="J9" s="1547">
        <f>'Table 6'!R26</f>
        <v>0</v>
      </c>
      <c r="K9" s="542">
        <f>'Table 6'!S26</f>
        <v>10.79</v>
      </c>
      <c r="L9" s="41">
        <f>'Table 6'!T26</f>
        <v>11.3</v>
      </c>
      <c r="M9" s="1547">
        <f>'Table 6'!U26</f>
        <v>0</v>
      </c>
      <c r="N9" s="51">
        <f>'Table 6'!V26</f>
        <v>11.3</v>
      </c>
      <c r="O9" s="41">
        <f>'Table 6'!W26</f>
        <v>11.88</v>
      </c>
      <c r="P9" s="1547">
        <f>'Table 6'!X26</f>
        <v>0</v>
      </c>
      <c r="Q9" s="542">
        <f>'Table 6'!Y26</f>
        <v>11.88</v>
      </c>
      <c r="R9" s="41">
        <f>'Table 6'!Z26</f>
        <v>12.34</v>
      </c>
      <c r="S9" s="1547">
        <f>'Table 6'!AA26</f>
        <v>0</v>
      </c>
      <c r="T9" s="51">
        <f>'Table 6'!AB26</f>
        <v>12.34</v>
      </c>
      <c r="U9" s="41">
        <f>'Table 6'!AC26</f>
        <v>12.7</v>
      </c>
      <c r="V9" s="1547">
        <f>'Table 6'!AD26</f>
        <v>0</v>
      </c>
      <c r="W9" s="542">
        <f>'Table 6'!AE26</f>
        <v>12.7</v>
      </c>
      <c r="X9" s="312">
        <f t="shared" si="0"/>
        <v>0.33</v>
      </c>
      <c r="Y9" s="1840">
        <f>'Table 6'!AG26</f>
        <v>13.35</v>
      </c>
      <c r="Z9" s="1206">
        <f>'Table 6'!AH26</f>
        <v>0</v>
      </c>
      <c r="AA9" s="1841">
        <f>'Table 6'!AI26</f>
        <v>13.35</v>
      </c>
      <c r="AB9" s="1205"/>
      <c r="AC9" s="1842">
        <f t="shared" si="1"/>
        <v>3.17</v>
      </c>
    </row>
    <row r="10" spans="1:29" s="2" customFormat="1" ht="27.75" customHeight="1" thickTop="1" thickBot="1">
      <c r="A10" s="1207" t="s">
        <v>63</v>
      </c>
      <c r="B10" s="1198" t="s">
        <v>18</v>
      </c>
      <c r="C10" s="36">
        <f>'Table 6'!K27</f>
        <v>41.78</v>
      </c>
      <c r="D10" s="646">
        <f>'Table 6'!L27</f>
        <v>0</v>
      </c>
      <c r="E10" s="537">
        <f>'Table 6'!M27</f>
        <v>41.78</v>
      </c>
      <c r="F10" s="535">
        <f>'Table 6'!N27</f>
        <v>50.37</v>
      </c>
      <c r="G10" s="646">
        <f>'Table 6'!O27</f>
        <v>0</v>
      </c>
      <c r="H10" s="647">
        <f>'Table 6'!P27</f>
        <v>50.37</v>
      </c>
      <c r="I10" s="535">
        <f>'Table 6'!Q27</f>
        <v>54.38</v>
      </c>
      <c r="J10" s="646">
        <f>'Table 6'!R27</f>
        <v>0</v>
      </c>
      <c r="K10" s="537">
        <f>'Table 6'!S27</f>
        <v>54.38</v>
      </c>
      <c r="L10" s="535">
        <f>'Table 6'!T27</f>
        <v>58.11</v>
      </c>
      <c r="M10" s="646">
        <f>'Table 6'!U27</f>
        <v>0</v>
      </c>
      <c r="N10" s="647">
        <f>'Table 6'!V27</f>
        <v>58.11</v>
      </c>
      <c r="O10" s="535">
        <f>'Table 6'!W27</f>
        <v>61</v>
      </c>
      <c r="P10" s="646">
        <f>'Table 6'!X27</f>
        <v>0</v>
      </c>
      <c r="Q10" s="537">
        <f>'Table 6'!Y27</f>
        <v>61</v>
      </c>
      <c r="R10" s="535">
        <f>'Table 6'!Z27</f>
        <v>63.55</v>
      </c>
      <c r="S10" s="646">
        <f>'Table 6'!AA27</f>
        <v>0</v>
      </c>
      <c r="T10" s="647">
        <f>'Table 6'!AB27</f>
        <v>63.55</v>
      </c>
      <c r="U10" s="535">
        <f>'Table 6'!AC27</f>
        <v>65.819999999999993</v>
      </c>
      <c r="V10" s="646">
        <f>'Table 6'!AD27</f>
        <v>0</v>
      </c>
      <c r="W10" s="537">
        <f>'Table 6'!AE27</f>
        <v>65.819999999999993</v>
      </c>
      <c r="X10" s="313">
        <f t="shared" si="0"/>
        <v>0.57999999999999996</v>
      </c>
      <c r="Y10" s="664">
        <f>'Table 6'!AG27</f>
        <v>69.64</v>
      </c>
      <c r="Z10" s="593">
        <f>'Table 6'!AH27</f>
        <v>0</v>
      </c>
      <c r="AA10" s="539">
        <f>'Table 6'!AI27</f>
        <v>69.64</v>
      </c>
      <c r="AB10" s="477"/>
      <c r="AC10" s="1580">
        <f t="shared" si="1"/>
        <v>24.04</v>
      </c>
    </row>
    <row r="11" spans="1:29" s="2" customFormat="1">
      <c r="A11" s="79" t="s">
        <v>64</v>
      </c>
      <c r="B11" s="1199" t="s">
        <v>15</v>
      </c>
      <c r="C11" s="9">
        <f>'Table 7'!C25</f>
        <v>45.35</v>
      </c>
      <c r="D11" s="1208">
        <f>'Table 7'!D25</f>
        <v>2.66</v>
      </c>
      <c r="E11" s="8">
        <f>'Table 7'!E25</f>
        <v>48.01</v>
      </c>
      <c r="F11" s="9">
        <f>'Table 7'!F25</f>
        <v>58.75</v>
      </c>
      <c r="G11" s="1208">
        <f>'Table 7'!G25</f>
        <v>2.75</v>
      </c>
      <c r="H11" s="53">
        <f>'Table 7'!H25</f>
        <v>61.5</v>
      </c>
      <c r="I11" s="9">
        <f>'Table 7'!I25</f>
        <v>59.32</v>
      </c>
      <c r="J11" s="1208">
        <f>'Table 7'!J25</f>
        <v>2.8</v>
      </c>
      <c r="K11" s="8">
        <f>'Table 7'!K25</f>
        <v>62.12</v>
      </c>
      <c r="L11" s="9">
        <f>'Table 7'!L25</f>
        <v>59.7</v>
      </c>
      <c r="M11" s="1208">
        <f>'Table 7'!M25</f>
        <v>2.81</v>
      </c>
      <c r="N11" s="53">
        <f>'Table 7'!N25</f>
        <v>62.51</v>
      </c>
      <c r="O11" s="9">
        <f>'Table 7'!O25</f>
        <v>60.22</v>
      </c>
      <c r="P11" s="1208">
        <f>'Table 7'!P25</f>
        <v>2.82</v>
      </c>
      <c r="Q11" s="8">
        <f>'Table 7'!Q25</f>
        <v>63.04</v>
      </c>
      <c r="R11" s="9">
        <f>'Table 7'!R25</f>
        <v>60.65</v>
      </c>
      <c r="S11" s="1208">
        <f>'Table 7'!S25</f>
        <v>2.84</v>
      </c>
      <c r="T11" s="53">
        <f>'Table 7'!T25</f>
        <v>63.49</v>
      </c>
      <c r="U11" s="9">
        <f>'Table 7'!U25</f>
        <v>61.24</v>
      </c>
      <c r="V11" s="1208">
        <f>'Table 7'!V25</f>
        <v>2.84</v>
      </c>
      <c r="W11" s="8">
        <f>'Table 7'!W25</f>
        <v>64.08</v>
      </c>
      <c r="X11" s="1190">
        <f t="shared" si="0"/>
        <v>0.33</v>
      </c>
      <c r="Y11" s="1209">
        <f>'Table 7'!AG25</f>
        <v>85.99</v>
      </c>
      <c r="Z11" s="10">
        <f>'Table 7'!AH25</f>
        <v>3.59</v>
      </c>
      <c r="AA11" s="11">
        <f>'Table 7'!AI25</f>
        <v>89.58</v>
      </c>
      <c r="AB11" s="1205"/>
      <c r="AC11" s="1360">
        <f t="shared" si="1"/>
        <v>16.07</v>
      </c>
    </row>
    <row r="12" spans="1:29" s="2" customFormat="1" ht="13.5" thickBot="1">
      <c r="A12" s="80" t="s">
        <v>64</v>
      </c>
      <c r="B12" s="1835" t="s">
        <v>17</v>
      </c>
      <c r="C12" s="18">
        <f>'Table 7'!C26</f>
        <v>88.93</v>
      </c>
      <c r="D12" s="1527">
        <f>'Table 7'!D26</f>
        <v>0</v>
      </c>
      <c r="E12" s="17">
        <f>'Table 7'!E26</f>
        <v>88.93</v>
      </c>
      <c r="F12" s="18">
        <f>'Table 7'!F26</f>
        <v>88.14</v>
      </c>
      <c r="G12" s="1527">
        <f>'Table 7'!G26</f>
        <v>0</v>
      </c>
      <c r="H12" s="50">
        <f>'Table 7'!H26</f>
        <v>88.14</v>
      </c>
      <c r="I12" s="18">
        <f>'Table 7'!I26</f>
        <v>93.13</v>
      </c>
      <c r="J12" s="1527">
        <f>'Table 7'!J26</f>
        <v>0</v>
      </c>
      <c r="K12" s="17">
        <f>'Table 7'!K26</f>
        <v>93.13</v>
      </c>
      <c r="L12" s="18">
        <f>'Table 7'!L26</f>
        <v>97.13</v>
      </c>
      <c r="M12" s="1527">
        <f>'Table 7'!M26</f>
        <v>0</v>
      </c>
      <c r="N12" s="50">
        <f>'Table 7'!N26</f>
        <v>97.13</v>
      </c>
      <c r="O12" s="18">
        <f>'Table 7'!O26</f>
        <v>101.79</v>
      </c>
      <c r="P12" s="1527">
        <f>'Table 7'!P26</f>
        <v>0</v>
      </c>
      <c r="Q12" s="17">
        <f>'Table 7'!Q26</f>
        <v>101.79</v>
      </c>
      <c r="R12" s="18">
        <f>'Table 7'!R26</f>
        <v>106.56</v>
      </c>
      <c r="S12" s="1527">
        <f>'Table 7'!S26</f>
        <v>0</v>
      </c>
      <c r="T12" s="50">
        <f>'Table 7'!T26</f>
        <v>106.56</v>
      </c>
      <c r="U12" s="18">
        <f>'Table 7'!U26</f>
        <v>111.5</v>
      </c>
      <c r="V12" s="1527">
        <f>'Table 7'!V26</f>
        <v>0</v>
      </c>
      <c r="W12" s="17">
        <f>'Table 7'!W26</f>
        <v>111.5</v>
      </c>
      <c r="X12" s="1843">
        <f t="shared" si="0"/>
        <v>0.25</v>
      </c>
      <c r="Y12" s="1844">
        <f>'Table 7'!AG26</f>
        <v>141.9</v>
      </c>
      <c r="Z12" s="412">
        <f>'Table 7'!AH26</f>
        <v>0</v>
      </c>
      <c r="AA12" s="876">
        <f>'Table 7'!AI26</f>
        <v>141.9</v>
      </c>
      <c r="AB12" s="1205"/>
      <c r="AC12" s="1312">
        <f t="shared" si="1"/>
        <v>22.57</v>
      </c>
    </row>
    <row r="13" spans="1:29" s="2" customFormat="1" ht="14.25" thickTop="1" thickBot="1">
      <c r="A13" s="1197" t="s">
        <v>64</v>
      </c>
      <c r="B13" s="1210" t="s">
        <v>18</v>
      </c>
      <c r="C13" s="356">
        <f>'Table 7'!C27</f>
        <v>134.28</v>
      </c>
      <c r="D13" s="317">
        <f>'Table 7'!D27</f>
        <v>2.66</v>
      </c>
      <c r="E13" s="565">
        <f>'Table 7'!E27</f>
        <v>136.94</v>
      </c>
      <c r="F13" s="356">
        <f>'Table 7'!F27</f>
        <v>146.88999999999999</v>
      </c>
      <c r="G13" s="317">
        <f>'Table 7'!G27</f>
        <v>2.75</v>
      </c>
      <c r="H13" s="315">
        <f>'Table 7'!H27</f>
        <v>149.63999999999999</v>
      </c>
      <c r="I13" s="356">
        <f>'Table 7'!I27</f>
        <v>152.44999999999999</v>
      </c>
      <c r="J13" s="317">
        <f>'Table 7'!J27</f>
        <v>2.8</v>
      </c>
      <c r="K13" s="565">
        <f>'Table 7'!K27</f>
        <v>155.25</v>
      </c>
      <c r="L13" s="356">
        <f>'Table 7'!L27</f>
        <v>156.83000000000001</v>
      </c>
      <c r="M13" s="317">
        <f>'Table 7'!M27</f>
        <v>2.81</v>
      </c>
      <c r="N13" s="315">
        <f>'Table 7'!N27</f>
        <v>159.63999999999999</v>
      </c>
      <c r="O13" s="356">
        <f>'Table 7'!O27</f>
        <v>162.01</v>
      </c>
      <c r="P13" s="317">
        <f>'Table 7'!P27</f>
        <v>2.82</v>
      </c>
      <c r="Q13" s="565">
        <f>'Table 7'!Q27</f>
        <v>164.83</v>
      </c>
      <c r="R13" s="356">
        <f>'Table 7'!R27</f>
        <v>167.21</v>
      </c>
      <c r="S13" s="317">
        <f>'Table 7'!S27</f>
        <v>2.84</v>
      </c>
      <c r="T13" s="315">
        <f>'Table 7'!T27</f>
        <v>170.05</v>
      </c>
      <c r="U13" s="356">
        <f>'Table 7'!U27</f>
        <v>172.74</v>
      </c>
      <c r="V13" s="317">
        <f>'Table 7'!V27</f>
        <v>2.84</v>
      </c>
      <c r="W13" s="565">
        <f>'Table 7'!W27</f>
        <v>175.58</v>
      </c>
      <c r="X13" s="311">
        <f t="shared" si="0"/>
        <v>0.28000000000000003</v>
      </c>
      <c r="Y13" s="480">
        <f>'Table 7'!AG27</f>
        <v>227.89</v>
      </c>
      <c r="Z13" s="481">
        <f>'Table 7'!AH27</f>
        <v>3.59</v>
      </c>
      <c r="AA13" s="353">
        <f>'Table 7'!AI27</f>
        <v>231.48</v>
      </c>
      <c r="AB13" s="477"/>
      <c r="AC13" s="1581">
        <f t="shared" si="1"/>
        <v>38.64</v>
      </c>
    </row>
    <row r="14" spans="1:29" s="2" customFormat="1">
      <c r="A14" s="81" t="s">
        <v>65</v>
      </c>
      <c r="B14" s="1196" t="s">
        <v>15</v>
      </c>
      <c r="C14" s="151">
        <f>'Table 8'!C25</f>
        <v>4.22</v>
      </c>
      <c r="D14" s="1211">
        <f>'Table 8'!D25</f>
        <v>11.2</v>
      </c>
      <c r="E14" s="143">
        <f>'Table 8'!E25</f>
        <v>15.42</v>
      </c>
      <c r="F14" s="151">
        <f>'Table 8'!F25</f>
        <v>4.59</v>
      </c>
      <c r="G14" s="1211">
        <f>'Table 8'!G25</f>
        <v>12.52</v>
      </c>
      <c r="H14" s="146">
        <f>'Table 8'!H25</f>
        <v>17.11</v>
      </c>
      <c r="I14" s="151">
        <f>'Table 8'!I25</f>
        <v>5</v>
      </c>
      <c r="J14" s="1211">
        <f>'Table 8'!J25</f>
        <v>13.99</v>
      </c>
      <c r="K14" s="143">
        <f>'Table 8'!K25</f>
        <v>18.989999999999998</v>
      </c>
      <c r="L14" s="151">
        <f>'Table 8'!L25</f>
        <v>5.31</v>
      </c>
      <c r="M14" s="1211">
        <f>'Table 8'!M25</f>
        <v>15.24</v>
      </c>
      <c r="N14" s="146">
        <f>'Table 8'!N25</f>
        <v>20.55</v>
      </c>
      <c r="O14" s="151">
        <f>'Table 8'!O25</f>
        <v>5.58</v>
      </c>
      <c r="P14" s="1211">
        <f>'Table 8'!P25</f>
        <v>16.27</v>
      </c>
      <c r="Q14" s="143">
        <f>'Table 8'!Q25</f>
        <v>21.85</v>
      </c>
      <c r="R14" s="151">
        <f>'Table 8'!R25</f>
        <v>5.81</v>
      </c>
      <c r="S14" s="1211">
        <f>'Table 8'!S25</f>
        <v>17.14</v>
      </c>
      <c r="T14" s="146">
        <f>'Table 8'!T25</f>
        <v>22.95</v>
      </c>
      <c r="U14" s="151">
        <f>'Table 8'!U25</f>
        <v>6.02</v>
      </c>
      <c r="V14" s="1211">
        <f>'Table 8'!V25</f>
        <v>17.940000000000001</v>
      </c>
      <c r="W14" s="143">
        <f>'Table 8'!W25</f>
        <v>23.96</v>
      </c>
      <c r="X14" s="220">
        <f t="shared" si="0"/>
        <v>0.55000000000000004</v>
      </c>
      <c r="Y14" s="99">
        <f>'Table 8'!Y25</f>
        <v>8</v>
      </c>
      <c r="Z14" s="463">
        <f>'Table 8'!Z25</f>
        <v>22.65</v>
      </c>
      <c r="AA14" s="152">
        <f>'Table 8'!AA25</f>
        <v>30.65</v>
      </c>
      <c r="AB14" s="1205"/>
      <c r="AC14" s="1582">
        <f t="shared" si="1"/>
        <v>8.5399999999999991</v>
      </c>
    </row>
    <row r="15" spans="1:29" s="2" customFormat="1" ht="13.5" thickBot="1">
      <c r="A15" s="80" t="s">
        <v>65</v>
      </c>
      <c r="B15" s="1835" t="s">
        <v>17</v>
      </c>
      <c r="C15" s="18">
        <f>'Table 8'!C26</f>
        <v>2.84</v>
      </c>
      <c r="D15" s="1527">
        <f>'Table 8'!D26</f>
        <v>0</v>
      </c>
      <c r="E15" s="17">
        <f>'Table 8'!E26</f>
        <v>2.84</v>
      </c>
      <c r="F15" s="18">
        <f>'Table 8'!F26</f>
        <v>2.7</v>
      </c>
      <c r="G15" s="1527">
        <f>'Table 8'!G26</f>
        <v>0</v>
      </c>
      <c r="H15" s="50">
        <f>'Table 8'!H26</f>
        <v>3.07</v>
      </c>
      <c r="I15" s="18">
        <f>'Table 8'!I26</f>
        <v>3.26</v>
      </c>
      <c r="J15" s="1527">
        <f>'Table 8'!J26</f>
        <v>0</v>
      </c>
      <c r="K15" s="17">
        <f>'Table 8'!K26</f>
        <v>3.26</v>
      </c>
      <c r="L15" s="18">
        <f>'Table 8'!L26</f>
        <v>3.43</v>
      </c>
      <c r="M15" s="1527">
        <f>'Table 8'!M26</f>
        <v>0</v>
      </c>
      <c r="N15" s="50">
        <f>'Table 8'!N26</f>
        <v>3.43</v>
      </c>
      <c r="O15" s="18">
        <f>'Table 8'!O26</f>
        <v>3.63</v>
      </c>
      <c r="P15" s="1527">
        <f>'Table 8'!P26</f>
        <v>0</v>
      </c>
      <c r="Q15" s="17">
        <f>'Table 8'!Q26</f>
        <v>3.63</v>
      </c>
      <c r="R15" s="18">
        <f>'Table 8'!R26</f>
        <v>3.77</v>
      </c>
      <c r="S15" s="1527">
        <f>'Table 8'!S26</f>
        <v>0</v>
      </c>
      <c r="T15" s="50">
        <f>'Table 8'!T26</f>
        <v>3.77</v>
      </c>
      <c r="U15" s="18">
        <f>'Table 8'!U26</f>
        <v>3.89</v>
      </c>
      <c r="V15" s="1527">
        <f>'Table 8'!V26</f>
        <v>0</v>
      </c>
      <c r="W15" s="17">
        <f>'Table 8'!W26</f>
        <v>3.89</v>
      </c>
      <c r="X15" s="1191">
        <f t="shared" si="0"/>
        <v>0.37</v>
      </c>
      <c r="Y15" s="124">
        <f>'Table 8'!Y26</f>
        <v>4.22</v>
      </c>
      <c r="Z15" s="1057">
        <f>'Table 8'!Z26</f>
        <v>0</v>
      </c>
      <c r="AA15" s="876">
        <f>'Table 8'!AA26</f>
        <v>4.22</v>
      </c>
      <c r="AB15" s="1205"/>
      <c r="AC15" s="1845">
        <f t="shared" si="1"/>
        <v>1.05</v>
      </c>
    </row>
    <row r="16" spans="1:29" s="2" customFormat="1" ht="27" thickTop="1" thickBot="1">
      <c r="A16" s="1207" t="s">
        <v>65</v>
      </c>
      <c r="B16" s="1198" t="s">
        <v>18</v>
      </c>
      <c r="C16" s="36">
        <f>'Table 8'!C27</f>
        <v>7.06</v>
      </c>
      <c r="D16" s="147">
        <f>'Table 8'!D27</f>
        <v>11.2</v>
      </c>
      <c r="E16" s="33">
        <f>'Table 8'!E27</f>
        <v>18.260000000000002</v>
      </c>
      <c r="F16" s="36">
        <f>'Table 8'!F27</f>
        <v>7.29</v>
      </c>
      <c r="G16" s="147">
        <f>'Table 8'!G27</f>
        <v>12.52</v>
      </c>
      <c r="H16" s="154">
        <f>'Table 8'!H27</f>
        <v>20.18</v>
      </c>
      <c r="I16" s="36">
        <f>'Table 8'!I27</f>
        <v>8.26</v>
      </c>
      <c r="J16" s="147">
        <f>'Table 8'!J27</f>
        <v>13.99</v>
      </c>
      <c r="K16" s="33">
        <f>'Table 8'!K27</f>
        <v>22.25</v>
      </c>
      <c r="L16" s="36">
        <f>'Table 8'!L27</f>
        <v>8.74</v>
      </c>
      <c r="M16" s="147">
        <f>'Table 8'!M27</f>
        <v>15.24</v>
      </c>
      <c r="N16" s="154">
        <f>'Table 8'!N27</f>
        <v>23.98</v>
      </c>
      <c r="O16" s="36">
        <f>'Table 8'!O27</f>
        <v>9.2100000000000009</v>
      </c>
      <c r="P16" s="147">
        <f>'Table 8'!P27</f>
        <v>16.27</v>
      </c>
      <c r="Q16" s="33">
        <f>'Table 8'!Q27</f>
        <v>25.48</v>
      </c>
      <c r="R16" s="36">
        <f>'Table 8'!R27</f>
        <v>9.58</v>
      </c>
      <c r="S16" s="147">
        <f>'Table 8'!S27</f>
        <v>17.14</v>
      </c>
      <c r="T16" s="154">
        <f>'Table 8'!T27</f>
        <v>26.72</v>
      </c>
      <c r="U16" s="36">
        <f>'Table 8'!U27</f>
        <v>9.91</v>
      </c>
      <c r="V16" s="147">
        <f>'Table 8'!V27</f>
        <v>17.940000000000001</v>
      </c>
      <c r="W16" s="33">
        <f>'Table 8'!W27</f>
        <v>27.85</v>
      </c>
      <c r="X16" s="313">
        <f t="shared" si="0"/>
        <v>0.53</v>
      </c>
      <c r="Y16" s="98">
        <f>'Table 8'!Y27</f>
        <v>12.22</v>
      </c>
      <c r="Z16" s="128">
        <f>'Table 8'!Z27</f>
        <v>22.65</v>
      </c>
      <c r="AA16" s="38">
        <f>'Table 8'!AA27</f>
        <v>34.869999999999997</v>
      </c>
      <c r="AB16" s="477"/>
      <c r="AC16" s="1583">
        <f t="shared" si="1"/>
        <v>9.59</v>
      </c>
    </row>
    <row r="17" spans="1:29" s="2" customFormat="1" ht="25.5">
      <c r="A17" s="81" t="s">
        <v>66</v>
      </c>
      <c r="B17" s="1199" t="s">
        <v>15</v>
      </c>
      <c r="C17" s="151">
        <f>'Table 9'!C25</f>
        <v>52.3</v>
      </c>
      <c r="D17" s="1211">
        <f>'Table 9'!D25</f>
        <v>25.16</v>
      </c>
      <c r="E17" s="143">
        <f>'Table 9'!E25</f>
        <v>77.459999999999994</v>
      </c>
      <c r="F17" s="151">
        <f>'Table 9'!F25</f>
        <v>53.35</v>
      </c>
      <c r="G17" s="1211">
        <f>'Table 9'!G25</f>
        <v>25.27</v>
      </c>
      <c r="H17" s="146">
        <f>'Table 9'!H25</f>
        <v>78.62</v>
      </c>
      <c r="I17" s="151">
        <f>'Table 9'!I25</f>
        <v>54.48</v>
      </c>
      <c r="J17" s="1211">
        <f>'Table 9'!J25</f>
        <v>25.38</v>
      </c>
      <c r="K17" s="143">
        <f>'Table 9'!K25</f>
        <v>79.86</v>
      </c>
      <c r="L17" s="151">
        <f>'Table 9'!L25</f>
        <v>55.36</v>
      </c>
      <c r="M17" s="1211">
        <f>'Table 9'!M25</f>
        <v>25.46</v>
      </c>
      <c r="N17" s="146">
        <f>'Table 9'!N25</f>
        <v>80.819999999999993</v>
      </c>
      <c r="O17" s="151">
        <f>'Table 9'!O25</f>
        <v>56.12</v>
      </c>
      <c r="P17" s="1211">
        <f>'Table 9'!P25</f>
        <v>25.53</v>
      </c>
      <c r="Q17" s="143">
        <f>'Table 9'!Q25</f>
        <v>81.650000000000006</v>
      </c>
      <c r="R17" s="151">
        <f>'Table 9'!R25</f>
        <v>56.75</v>
      </c>
      <c r="S17" s="1211">
        <f>'Table 9'!S25</f>
        <v>25.6</v>
      </c>
      <c r="T17" s="146">
        <f>'Table 9'!T25</f>
        <v>82.35</v>
      </c>
      <c r="U17" s="151">
        <f>'Table 9'!U25</f>
        <v>57.29</v>
      </c>
      <c r="V17" s="1211">
        <f>'Table 9'!V25</f>
        <v>25.66</v>
      </c>
      <c r="W17" s="143">
        <f>'Table 9'!W25</f>
        <v>82.95</v>
      </c>
      <c r="X17" s="220">
        <f t="shared" si="0"/>
        <v>7.0000000000000007E-2</v>
      </c>
      <c r="Y17" s="99">
        <f>U17</f>
        <v>57.29</v>
      </c>
      <c r="Z17" s="463">
        <f t="shared" ref="Z17:AA18" si="2">V17</f>
        <v>25.66</v>
      </c>
      <c r="AA17" s="152">
        <f t="shared" si="2"/>
        <v>82.95</v>
      </c>
      <c r="AB17" s="1205"/>
      <c r="AC17" s="1582">
        <f t="shared" si="1"/>
        <v>5.49</v>
      </c>
    </row>
    <row r="18" spans="1:29" s="2" customFormat="1" ht="26.25" thickBot="1">
      <c r="A18" s="80" t="s">
        <v>66</v>
      </c>
      <c r="B18" s="1835" t="s">
        <v>17</v>
      </c>
      <c r="C18" s="18">
        <f>'Table 9'!C26</f>
        <v>29.57</v>
      </c>
      <c r="D18" s="1527">
        <f>'Table 9'!D26</f>
        <v>17.190000000000001</v>
      </c>
      <c r="E18" s="17">
        <f>'Table 9'!E26</f>
        <v>46.76</v>
      </c>
      <c r="F18" s="18">
        <f>'Table 9'!F26</f>
        <v>29.9</v>
      </c>
      <c r="G18" s="1527">
        <f>'Table 9'!G26</f>
        <v>17.190000000000001</v>
      </c>
      <c r="H18" s="50">
        <f>'Table 9'!H26</f>
        <v>47.09</v>
      </c>
      <c r="I18" s="18">
        <f>'Table 9'!I26</f>
        <v>30.2</v>
      </c>
      <c r="J18" s="1527">
        <f>'Table 9'!J26</f>
        <v>17.190000000000001</v>
      </c>
      <c r="K18" s="17">
        <f>'Table 9'!K26</f>
        <v>47.39</v>
      </c>
      <c r="L18" s="18">
        <f>'Table 9'!L26</f>
        <v>30.48</v>
      </c>
      <c r="M18" s="1527">
        <f>'Table 9'!M26</f>
        <v>17.190000000000001</v>
      </c>
      <c r="N18" s="50">
        <f>'Table 9'!N26</f>
        <v>47.67</v>
      </c>
      <c r="O18" s="18">
        <f>'Table 9'!O26</f>
        <v>30.72</v>
      </c>
      <c r="P18" s="1527">
        <f>'Table 9'!P26</f>
        <v>17.190000000000001</v>
      </c>
      <c r="Q18" s="17">
        <f>'Table 9'!Q26</f>
        <v>47.91</v>
      </c>
      <c r="R18" s="18">
        <f>'Table 9'!R26</f>
        <v>30.9</v>
      </c>
      <c r="S18" s="1527">
        <f>'Table 9'!S26</f>
        <v>17.190000000000001</v>
      </c>
      <c r="T18" s="50">
        <f>'Table 9'!T26</f>
        <v>48.09</v>
      </c>
      <c r="U18" s="18">
        <f>'Table 9'!U26</f>
        <v>31.06</v>
      </c>
      <c r="V18" s="1527">
        <f>'Table 9'!V26</f>
        <v>17.190000000000001</v>
      </c>
      <c r="W18" s="17">
        <f>'Table 9'!W26</f>
        <v>48.25</v>
      </c>
      <c r="X18" s="1191">
        <f t="shared" si="0"/>
        <v>0.03</v>
      </c>
      <c r="Y18" s="124">
        <f>U18</f>
        <v>31.06</v>
      </c>
      <c r="Z18" s="1057">
        <f t="shared" si="2"/>
        <v>17.190000000000001</v>
      </c>
      <c r="AA18" s="876">
        <f t="shared" si="2"/>
        <v>48.25</v>
      </c>
      <c r="AB18" s="1205"/>
      <c r="AC18" s="1845">
        <f t="shared" si="1"/>
        <v>1.49</v>
      </c>
    </row>
    <row r="19" spans="1:29" s="2" customFormat="1" ht="27" thickTop="1" thickBot="1">
      <c r="A19" s="1197" t="s">
        <v>66</v>
      </c>
      <c r="B19" s="1198" t="s">
        <v>18</v>
      </c>
      <c r="C19" s="356">
        <f>'Table 9'!C27</f>
        <v>81.87</v>
      </c>
      <c r="D19" s="317">
        <f>'Table 9'!D27</f>
        <v>42.35</v>
      </c>
      <c r="E19" s="565">
        <f>'Table 9'!E27</f>
        <v>124.22</v>
      </c>
      <c r="F19" s="356">
        <f>'Table 9'!F27</f>
        <v>83.25</v>
      </c>
      <c r="G19" s="317">
        <f>'Table 9'!G27</f>
        <v>42.46</v>
      </c>
      <c r="H19" s="315">
        <f>'Table 9'!H27</f>
        <v>125.71</v>
      </c>
      <c r="I19" s="356">
        <f>'Table 9'!I27</f>
        <v>84.68</v>
      </c>
      <c r="J19" s="317">
        <f>'Table 9'!J27</f>
        <v>42.57</v>
      </c>
      <c r="K19" s="565">
        <f>'Table 9'!K27</f>
        <v>127.25</v>
      </c>
      <c r="L19" s="356">
        <f>'Table 9'!L27</f>
        <v>85.84</v>
      </c>
      <c r="M19" s="317">
        <f>'Table 9'!M27</f>
        <v>42.65</v>
      </c>
      <c r="N19" s="315">
        <f>'Table 9'!N27</f>
        <v>128.49</v>
      </c>
      <c r="O19" s="356">
        <f>'Table 9'!O27</f>
        <v>86.84</v>
      </c>
      <c r="P19" s="317">
        <f>'Table 9'!P27</f>
        <v>42.72</v>
      </c>
      <c r="Q19" s="565">
        <f>'Table 9'!Q27</f>
        <v>129.56</v>
      </c>
      <c r="R19" s="356">
        <f>'Table 9'!R27</f>
        <v>87.65</v>
      </c>
      <c r="S19" s="317">
        <f>'Table 9'!S27</f>
        <v>42.79</v>
      </c>
      <c r="T19" s="315">
        <f>'Table 9'!T27</f>
        <v>130.44</v>
      </c>
      <c r="U19" s="356">
        <f>'Table 9'!U27</f>
        <v>88.35</v>
      </c>
      <c r="V19" s="317">
        <f>'Table 9'!V27</f>
        <v>42.85</v>
      </c>
      <c r="W19" s="565">
        <f>'Table 9'!W27</f>
        <v>131.19999999999999</v>
      </c>
      <c r="X19" s="311">
        <f t="shared" si="0"/>
        <v>0.06</v>
      </c>
      <c r="Y19" s="480">
        <f>SUM(Y17:Y18)</f>
        <v>88.35</v>
      </c>
      <c r="Z19" s="481">
        <f t="shared" ref="Z19:AA19" si="3">SUM(Z17:Z18)</f>
        <v>42.85</v>
      </c>
      <c r="AA19" s="353">
        <f t="shared" si="3"/>
        <v>131.19999999999999</v>
      </c>
      <c r="AB19" s="477"/>
      <c r="AC19" s="1581">
        <f t="shared" si="1"/>
        <v>6.98</v>
      </c>
    </row>
    <row r="20" spans="1:29" s="2" customFormat="1">
      <c r="A20" s="81" t="s">
        <v>67</v>
      </c>
      <c r="B20" s="1217" t="s">
        <v>15</v>
      </c>
      <c r="C20" s="151">
        <f>'Table 10'!C25</f>
        <v>7.33</v>
      </c>
      <c r="D20" s="1211">
        <f>'Table 10'!D25</f>
        <v>12.48</v>
      </c>
      <c r="E20" s="143">
        <f>'Table 10'!E25</f>
        <v>19.809999999999999</v>
      </c>
      <c r="F20" s="151">
        <f>'Table 10'!F25</f>
        <v>6.05</v>
      </c>
      <c r="G20" s="1211">
        <f>'Table 10'!G25</f>
        <v>13.4</v>
      </c>
      <c r="H20" s="146">
        <f>'Table 10'!H25</f>
        <v>19.45</v>
      </c>
      <c r="I20" s="151">
        <f>'Table 10'!I25</f>
        <v>6.24</v>
      </c>
      <c r="J20" s="1211">
        <f>'Table 10'!J25</f>
        <v>13.78</v>
      </c>
      <c r="K20" s="143">
        <f>'Table 10'!K25</f>
        <v>20.02</v>
      </c>
      <c r="L20" s="151">
        <f>'Table 10'!L25</f>
        <v>6.5</v>
      </c>
      <c r="M20" s="1211">
        <f>'Table 10'!M25</f>
        <v>14.35</v>
      </c>
      <c r="N20" s="146">
        <f>'Table 10'!N25</f>
        <v>20.85</v>
      </c>
      <c r="O20" s="151">
        <f>'Table 10'!O25</f>
        <v>6.95</v>
      </c>
      <c r="P20" s="1211">
        <f>'Table 10'!P25</f>
        <v>15.44</v>
      </c>
      <c r="Q20" s="143">
        <f>'Table 10'!Q25</f>
        <v>22.39</v>
      </c>
      <c r="R20" s="151">
        <f>'Table 10'!R25</f>
        <v>7.43</v>
      </c>
      <c r="S20" s="1211">
        <f>'Table 10'!S25</f>
        <v>16.59</v>
      </c>
      <c r="T20" s="146">
        <f>'Table 10'!T25</f>
        <v>24.02</v>
      </c>
      <c r="U20" s="1588">
        <f>'Table 10'!U25</f>
        <v>7.93</v>
      </c>
      <c r="V20" s="1548">
        <f>'Table 10'!V25</f>
        <v>17.829999999999998</v>
      </c>
      <c r="W20" s="654">
        <f>'Table 10'!W25</f>
        <v>25.76</v>
      </c>
      <c r="X20" s="220">
        <f t="shared" si="0"/>
        <v>0.3</v>
      </c>
      <c r="Y20" s="99">
        <f>U20</f>
        <v>7.93</v>
      </c>
      <c r="Z20" s="463">
        <f t="shared" ref="Z20:Z21" si="4">V20</f>
        <v>17.829999999999998</v>
      </c>
      <c r="AA20" s="152">
        <f t="shared" ref="AA20:AA21" si="5">W20</f>
        <v>25.76</v>
      </c>
      <c r="AB20" s="1205"/>
      <c r="AC20" s="1582">
        <f t="shared" si="1"/>
        <v>5.95</v>
      </c>
    </row>
    <row r="21" spans="1:29" s="2" customFormat="1" ht="13.5" thickBot="1">
      <c r="A21" s="288" t="s">
        <v>67</v>
      </c>
      <c r="B21" s="1835" t="s">
        <v>17</v>
      </c>
      <c r="C21" s="156">
        <f>'Table 10'!C26</f>
        <v>1.87</v>
      </c>
      <c r="D21" s="1218">
        <f>'Table 10'!D26</f>
        <v>0.06</v>
      </c>
      <c r="E21" s="1219">
        <f>'Table 10'!E26</f>
        <v>1.93</v>
      </c>
      <c r="F21" s="156">
        <f>'Table 10'!F26</f>
        <v>1.83</v>
      </c>
      <c r="G21" s="1218">
        <f>'Table 10'!G26</f>
        <v>0.05</v>
      </c>
      <c r="H21" s="411">
        <f>'Table 10'!H26</f>
        <v>1.88</v>
      </c>
      <c r="I21" s="156">
        <f>'Table 10'!I26</f>
        <v>1.74</v>
      </c>
      <c r="J21" s="1218">
        <f>'Table 10'!J26</f>
        <v>0.05</v>
      </c>
      <c r="K21" s="1219">
        <f>'Table 10'!K26</f>
        <v>1.79</v>
      </c>
      <c r="L21" s="156">
        <f>'Table 10'!L26</f>
        <v>1.78</v>
      </c>
      <c r="M21" s="1218">
        <f>'Table 10'!M26</f>
        <v>0.05</v>
      </c>
      <c r="N21" s="411">
        <f>'Table 10'!N26</f>
        <v>1.83</v>
      </c>
      <c r="O21" s="156">
        <f>'Table 10'!O26</f>
        <v>1.85</v>
      </c>
      <c r="P21" s="1218">
        <f>'Table 10'!P26</f>
        <v>0.05</v>
      </c>
      <c r="Q21" s="1219">
        <f>'Table 10'!Q26</f>
        <v>1.9</v>
      </c>
      <c r="R21" s="156">
        <f>'Table 10'!R26</f>
        <v>1.93</v>
      </c>
      <c r="S21" s="1218">
        <f>'Table 10'!S26</f>
        <v>0.05</v>
      </c>
      <c r="T21" s="411">
        <f>'Table 10'!T26</f>
        <v>1.98</v>
      </c>
      <c r="U21" s="1589">
        <f>'Table 10'!U26</f>
        <v>2</v>
      </c>
      <c r="V21" s="1549">
        <f>'Table 10'!V26</f>
        <v>0.05</v>
      </c>
      <c r="W21" s="661">
        <f>'Table 10'!W26</f>
        <v>2.0499999999999998</v>
      </c>
      <c r="X21" s="1191">
        <f t="shared" si="0"/>
        <v>0.06</v>
      </c>
      <c r="Y21" s="1212">
        <f>U21</f>
        <v>2</v>
      </c>
      <c r="Z21" s="1213">
        <f t="shared" si="4"/>
        <v>0.05</v>
      </c>
      <c r="AA21" s="413">
        <f t="shared" si="5"/>
        <v>2.0499999999999998</v>
      </c>
      <c r="AB21" s="1205"/>
      <c r="AC21" s="1584">
        <f t="shared" si="1"/>
        <v>0.12</v>
      </c>
    </row>
    <row r="22" spans="1:29" s="2" customFormat="1" ht="14.25" thickTop="1" thickBot="1">
      <c r="A22" s="1220" t="s">
        <v>67</v>
      </c>
      <c r="B22" s="1221" t="s">
        <v>18</v>
      </c>
      <c r="C22" s="1222">
        <f>'Table 10'!C27</f>
        <v>9.1999999999999993</v>
      </c>
      <c r="D22" s="1223">
        <f>'Table 10'!D27</f>
        <v>12.54</v>
      </c>
      <c r="E22" s="1224">
        <f>'Table 10'!E27</f>
        <v>21.74</v>
      </c>
      <c r="F22" s="1222">
        <f>'Table 10'!F27</f>
        <v>7.88</v>
      </c>
      <c r="G22" s="1223">
        <f>'Table 10'!G27</f>
        <v>13.45</v>
      </c>
      <c r="H22" s="1225">
        <f>'Table 10'!H27</f>
        <v>21.33</v>
      </c>
      <c r="I22" s="1222">
        <f>'Table 10'!I27</f>
        <v>7.98</v>
      </c>
      <c r="J22" s="1223">
        <f>'Table 10'!J27</f>
        <v>13.83</v>
      </c>
      <c r="K22" s="1224">
        <f>'Table 10'!K27</f>
        <v>21.81</v>
      </c>
      <c r="L22" s="1222">
        <f>'Table 10'!L27</f>
        <v>8.2799999999999994</v>
      </c>
      <c r="M22" s="1223">
        <f>'Table 10'!M27</f>
        <v>14.4</v>
      </c>
      <c r="N22" s="1225">
        <f>'Table 10'!N27</f>
        <v>22.68</v>
      </c>
      <c r="O22" s="1222">
        <f>'Table 10'!O27</f>
        <v>8.8000000000000007</v>
      </c>
      <c r="P22" s="1223">
        <f>'Table 10'!P27</f>
        <v>15.49</v>
      </c>
      <c r="Q22" s="1224">
        <f>'Table 10'!Q27</f>
        <v>24.29</v>
      </c>
      <c r="R22" s="1222">
        <f>'Table 10'!R27</f>
        <v>9.36</v>
      </c>
      <c r="S22" s="1223">
        <f>'Table 10'!S27</f>
        <v>16.64</v>
      </c>
      <c r="T22" s="1225">
        <f>'Table 10'!T27</f>
        <v>26</v>
      </c>
      <c r="U22" s="1222">
        <f>'Table 10'!U27</f>
        <v>9.93</v>
      </c>
      <c r="V22" s="1550">
        <f>'Table 10'!V27</f>
        <v>17.88</v>
      </c>
      <c r="W22" s="1223">
        <f>'Table 10'!W27</f>
        <v>27.81</v>
      </c>
      <c r="X22" s="1192">
        <f t="shared" si="0"/>
        <v>0.28000000000000003</v>
      </c>
      <c r="Y22" s="1214">
        <f>SUM(Y20:Y21)</f>
        <v>9.93</v>
      </c>
      <c r="Z22" s="1215">
        <f t="shared" ref="Z22" si="6">SUM(Z20:Z21)</f>
        <v>17.88</v>
      </c>
      <c r="AA22" s="1216">
        <f t="shared" ref="AA22" si="7">SUM(AA20:AA21)</f>
        <v>27.81</v>
      </c>
      <c r="AB22" s="477"/>
      <c r="AC22" s="1585">
        <f t="shared" si="1"/>
        <v>6.07</v>
      </c>
    </row>
    <row r="23" spans="1:29" s="2" customFormat="1" ht="14.25" thickTop="1" thickBot="1">
      <c r="A23" s="3202" t="s">
        <v>32</v>
      </c>
      <c r="B23" s="3203"/>
      <c r="C23" s="356">
        <f>C5+C8+C11+C14+C17+C20</f>
        <v>320.25</v>
      </c>
      <c r="D23" s="317">
        <f t="shared" ref="D23:T23" si="8">D5+D8+D11+D14+D17+D20</f>
        <v>51.57</v>
      </c>
      <c r="E23" s="527">
        <f t="shared" si="8"/>
        <v>371.82</v>
      </c>
      <c r="F23" s="1226">
        <f t="shared" si="8"/>
        <v>359.62</v>
      </c>
      <c r="G23" s="477">
        <f t="shared" si="8"/>
        <v>53.97</v>
      </c>
      <c r="H23" s="526">
        <f t="shared" si="8"/>
        <v>417.09</v>
      </c>
      <c r="I23" s="1226">
        <f t="shared" si="8"/>
        <v>380.74</v>
      </c>
      <c r="J23" s="477">
        <f t="shared" si="8"/>
        <v>55.98</v>
      </c>
      <c r="K23" s="527">
        <f t="shared" si="8"/>
        <v>441.85</v>
      </c>
      <c r="L23" s="1226">
        <f t="shared" si="8"/>
        <v>393.88</v>
      </c>
      <c r="M23" s="317">
        <f t="shared" si="8"/>
        <v>57.89</v>
      </c>
      <c r="N23" s="526">
        <f t="shared" si="8"/>
        <v>461.46</v>
      </c>
      <c r="O23" s="1226">
        <f t="shared" si="8"/>
        <v>405.63</v>
      </c>
      <c r="P23" s="477">
        <f t="shared" si="8"/>
        <v>60.09</v>
      </c>
      <c r="Q23" s="527">
        <f t="shared" si="8"/>
        <v>479.28</v>
      </c>
      <c r="R23" s="1226">
        <f t="shared" si="8"/>
        <v>415.03</v>
      </c>
      <c r="S23" s="477">
        <f t="shared" si="8"/>
        <v>62.2</v>
      </c>
      <c r="T23" s="526">
        <f t="shared" si="8"/>
        <v>494.21</v>
      </c>
      <c r="U23" s="1226">
        <f t="shared" ref="U23:W23" si="9">U5+U8+U11+U14+U17+U20</f>
        <v>423.99</v>
      </c>
      <c r="V23" s="1551">
        <f t="shared" si="9"/>
        <v>64.3</v>
      </c>
      <c r="W23" s="477">
        <f t="shared" si="9"/>
        <v>508.36</v>
      </c>
      <c r="X23" s="311">
        <f t="shared" si="0"/>
        <v>0.37</v>
      </c>
      <c r="Y23" s="480">
        <f t="shared" ref="Y23:AA24" si="10">Y5+Y8+Y11+Y14+Y17+Y20</f>
        <v>466.65</v>
      </c>
      <c r="Z23" s="481">
        <f t="shared" si="10"/>
        <v>69.760000000000005</v>
      </c>
      <c r="AA23" s="447">
        <f t="shared" si="10"/>
        <v>559.22</v>
      </c>
      <c r="AB23" s="1205"/>
      <c r="AC23" s="1581">
        <f t="shared" si="1"/>
        <v>136.54</v>
      </c>
    </row>
    <row r="24" spans="1:29" s="2" customFormat="1" ht="13.5" thickBot="1">
      <c r="A24" s="3229" t="s">
        <v>33</v>
      </c>
      <c r="B24" s="3230"/>
      <c r="C24" s="503">
        <f>C6+C9+C12+C15+C18+C21</f>
        <v>142.06</v>
      </c>
      <c r="D24" s="505">
        <f t="shared" ref="D24:T24" si="11">D6+D9+D12+D15+D18+D21</f>
        <v>17.25</v>
      </c>
      <c r="E24" s="575">
        <f t="shared" si="11"/>
        <v>159.31</v>
      </c>
      <c r="F24" s="503">
        <f t="shared" si="11"/>
        <v>142.72</v>
      </c>
      <c r="G24" s="505">
        <f t="shared" si="11"/>
        <v>17.239999999999998</v>
      </c>
      <c r="H24" s="1227">
        <f t="shared" si="11"/>
        <v>160.33000000000001</v>
      </c>
      <c r="I24" s="503">
        <f t="shared" si="11"/>
        <v>149.44</v>
      </c>
      <c r="J24" s="505">
        <f t="shared" si="11"/>
        <v>17.239999999999998</v>
      </c>
      <c r="K24" s="575">
        <f t="shared" si="11"/>
        <v>166.68</v>
      </c>
      <c r="L24" s="503">
        <f t="shared" si="11"/>
        <v>154.85</v>
      </c>
      <c r="M24" s="505">
        <f t="shared" si="11"/>
        <v>17.239999999999998</v>
      </c>
      <c r="N24" s="1227">
        <f t="shared" si="11"/>
        <v>172.09</v>
      </c>
      <c r="O24" s="503">
        <f t="shared" si="11"/>
        <v>160.97</v>
      </c>
      <c r="P24" s="505">
        <f t="shared" si="11"/>
        <v>17.239999999999998</v>
      </c>
      <c r="Q24" s="575">
        <f t="shared" si="11"/>
        <v>178.21</v>
      </c>
      <c r="R24" s="503">
        <f t="shared" si="11"/>
        <v>166.83</v>
      </c>
      <c r="S24" s="505">
        <f t="shared" si="11"/>
        <v>17.239999999999998</v>
      </c>
      <c r="T24" s="1227">
        <f t="shared" si="11"/>
        <v>184.07</v>
      </c>
      <c r="U24" s="503">
        <f t="shared" ref="U24:W24" si="12">U6+U9+U12+U15+U18+U21</f>
        <v>172.67</v>
      </c>
      <c r="V24" s="1552">
        <f t="shared" si="12"/>
        <v>17.239999999999998</v>
      </c>
      <c r="W24" s="505">
        <f t="shared" si="12"/>
        <v>189.91</v>
      </c>
      <c r="X24" s="563">
        <f t="shared" si="0"/>
        <v>0.19</v>
      </c>
      <c r="Y24" s="491">
        <f t="shared" si="10"/>
        <v>204.75</v>
      </c>
      <c r="Z24" s="492">
        <f t="shared" si="10"/>
        <v>17.239999999999998</v>
      </c>
      <c r="AA24" s="525">
        <f t="shared" si="10"/>
        <v>221.99</v>
      </c>
      <c r="AB24" s="1205"/>
      <c r="AC24" s="1586">
        <f t="shared" si="1"/>
        <v>30.6</v>
      </c>
    </row>
    <row r="25" spans="1:29" s="67" customFormat="1" ht="13.5" thickBot="1">
      <c r="A25" s="3229" t="s">
        <v>34</v>
      </c>
      <c r="B25" s="3230"/>
      <c r="C25" s="1228">
        <f>C23+C24</f>
        <v>462.31</v>
      </c>
      <c r="D25" s="32">
        <f t="shared" ref="D25:T25" si="13">D23+D24</f>
        <v>68.819999999999993</v>
      </c>
      <c r="E25" s="534">
        <f t="shared" si="13"/>
        <v>531.13</v>
      </c>
      <c r="F25" s="1228">
        <f t="shared" si="13"/>
        <v>502.34</v>
      </c>
      <c r="G25" s="32">
        <f t="shared" si="13"/>
        <v>71.209999999999994</v>
      </c>
      <c r="H25" s="533">
        <f t="shared" si="13"/>
        <v>577.41999999999996</v>
      </c>
      <c r="I25" s="1228">
        <f t="shared" si="13"/>
        <v>530.17999999999995</v>
      </c>
      <c r="J25" s="32">
        <f t="shared" si="13"/>
        <v>73.22</v>
      </c>
      <c r="K25" s="534">
        <f t="shared" si="13"/>
        <v>608.53</v>
      </c>
      <c r="L25" s="1228">
        <f t="shared" si="13"/>
        <v>548.73</v>
      </c>
      <c r="M25" s="32">
        <f t="shared" si="13"/>
        <v>75.13</v>
      </c>
      <c r="N25" s="533">
        <f t="shared" si="13"/>
        <v>633.54999999999995</v>
      </c>
      <c r="O25" s="1228">
        <f t="shared" si="13"/>
        <v>566.6</v>
      </c>
      <c r="P25" s="32">
        <f t="shared" si="13"/>
        <v>77.33</v>
      </c>
      <c r="Q25" s="534">
        <f t="shared" si="13"/>
        <v>657.49</v>
      </c>
      <c r="R25" s="1228">
        <f t="shared" si="13"/>
        <v>581.86</v>
      </c>
      <c r="S25" s="32">
        <f t="shared" si="13"/>
        <v>79.44</v>
      </c>
      <c r="T25" s="533">
        <f t="shared" si="13"/>
        <v>678.28</v>
      </c>
      <c r="U25" s="1228">
        <f t="shared" ref="U25:W25" si="14">U23+U24</f>
        <v>596.66</v>
      </c>
      <c r="V25" s="1553">
        <f t="shared" si="14"/>
        <v>81.540000000000006</v>
      </c>
      <c r="W25" s="119">
        <f t="shared" si="14"/>
        <v>698.27</v>
      </c>
      <c r="X25" s="313">
        <f t="shared" si="0"/>
        <v>0.31</v>
      </c>
      <c r="Y25" s="98">
        <f>Y23+Y24</f>
        <v>671.4</v>
      </c>
      <c r="Z25" s="128">
        <f>Z23+Z24</f>
        <v>87</v>
      </c>
      <c r="AA25" s="469">
        <f>AA23+AA24</f>
        <v>781.21</v>
      </c>
      <c r="AB25" s="1205"/>
      <c r="AC25" s="1583">
        <f t="shared" si="1"/>
        <v>167.14</v>
      </c>
    </row>
    <row r="26" spans="1:29">
      <c r="A26" s="54" t="s">
        <v>35</v>
      </c>
    </row>
    <row r="27" spans="1:29">
      <c r="A27" s="2" t="s">
        <v>68</v>
      </c>
      <c r="B27" s="257"/>
      <c r="C27" s="257"/>
      <c r="D27" s="257"/>
      <c r="E27" s="257"/>
      <c r="F27" s="257"/>
      <c r="G27" s="257" t="s">
        <v>36</v>
      </c>
      <c r="H27" s="257"/>
      <c r="I27" s="257"/>
      <c r="J27" s="257"/>
      <c r="K27" s="257"/>
      <c r="L27" s="257"/>
      <c r="M27" s="257"/>
      <c r="S27" s="258"/>
    </row>
    <row r="28" spans="1:29">
      <c r="A28" s="2" t="s">
        <v>69</v>
      </c>
      <c r="D28" s="257"/>
      <c r="G28" s="257"/>
      <c r="J28" s="257"/>
      <c r="M28" s="257"/>
      <c r="S28" s="258"/>
    </row>
    <row r="29" spans="1:29">
      <c r="A29" s="1" t="s">
        <v>70</v>
      </c>
      <c r="D29" s="257"/>
      <c r="G29" s="257"/>
      <c r="J29" s="257"/>
      <c r="M29" s="257"/>
      <c r="S29" s="258"/>
    </row>
    <row r="31" spans="1:29" s="2" customFormat="1" ht="13.5" thickBot="1">
      <c r="A31" s="3224" t="s">
        <v>71</v>
      </c>
      <c r="B31" s="3224"/>
      <c r="C31" s="3224"/>
      <c r="D31" s="3224"/>
      <c r="E31" s="3224"/>
      <c r="F31" s="3224"/>
      <c r="G31" s="3224"/>
      <c r="H31" s="3224"/>
      <c r="I31" s="3224"/>
      <c r="J31" s="3224"/>
      <c r="K31" s="3224"/>
      <c r="L31" s="3224"/>
      <c r="M31" s="3224"/>
      <c r="N31" s="3224"/>
      <c r="O31" s="3224"/>
      <c r="P31" s="3224"/>
      <c r="Q31" s="3224"/>
      <c r="R31" s="3224"/>
      <c r="S31" s="3224"/>
      <c r="T31" s="3224"/>
      <c r="U31" s="3224"/>
      <c r="V31" s="3224"/>
      <c r="W31" s="3224"/>
      <c r="X31" s="3224"/>
      <c r="Y31" s="3224"/>
      <c r="Z31" s="3224"/>
      <c r="AA31" s="3224"/>
    </row>
    <row r="32" spans="1:29" s="2" customFormat="1" ht="15.75" customHeight="1" thickBot="1">
      <c r="A32" s="3204" t="s">
        <v>54</v>
      </c>
      <c r="B32" s="3225" t="s">
        <v>2</v>
      </c>
      <c r="C32" s="3221" t="s">
        <v>55</v>
      </c>
      <c r="D32" s="3222"/>
      <c r="E32" s="3223"/>
      <c r="F32" s="3221" t="s">
        <v>56</v>
      </c>
      <c r="G32" s="3222"/>
      <c r="H32" s="3222"/>
      <c r="I32" s="3222"/>
      <c r="J32" s="3222"/>
      <c r="K32" s="3222"/>
      <c r="L32" s="3222"/>
      <c r="M32" s="3222"/>
      <c r="N32" s="3222"/>
      <c r="O32" s="3222"/>
      <c r="P32" s="3222"/>
      <c r="Q32" s="3222"/>
      <c r="R32" s="3222"/>
      <c r="S32" s="3222"/>
      <c r="T32" s="3222"/>
      <c r="U32" s="3222"/>
      <c r="V32" s="3222"/>
      <c r="W32" s="3223"/>
      <c r="X32" s="3209" t="s">
        <v>57</v>
      </c>
      <c r="Y32" s="3222" t="s">
        <v>58</v>
      </c>
      <c r="Z32" s="3222"/>
      <c r="AA32" s="3223"/>
      <c r="AC32" s="3209" t="s">
        <v>59</v>
      </c>
    </row>
    <row r="33" spans="1:29" s="2" customFormat="1" ht="15" customHeight="1">
      <c r="A33" s="3205"/>
      <c r="B33" s="3226"/>
      <c r="C33" s="3212">
        <v>2015</v>
      </c>
      <c r="D33" s="3213"/>
      <c r="E33" s="3215"/>
      <c r="F33" s="3212">
        <v>2020</v>
      </c>
      <c r="G33" s="3213"/>
      <c r="H33" s="3215"/>
      <c r="I33" s="3212">
        <v>2025</v>
      </c>
      <c r="J33" s="3213"/>
      <c r="K33" s="3215"/>
      <c r="L33" s="3212">
        <v>2030</v>
      </c>
      <c r="M33" s="3213"/>
      <c r="N33" s="3215"/>
      <c r="O33" s="3212">
        <v>2035</v>
      </c>
      <c r="P33" s="3213"/>
      <c r="Q33" s="3215"/>
      <c r="R33" s="3212">
        <v>2040</v>
      </c>
      <c r="S33" s="3213"/>
      <c r="T33" s="3215"/>
      <c r="U33" s="3212">
        <v>2045</v>
      </c>
      <c r="V33" s="3213"/>
      <c r="W33" s="3215"/>
      <c r="X33" s="3228"/>
      <c r="Y33" s="3212">
        <v>2045</v>
      </c>
      <c r="Z33" s="3213"/>
      <c r="AA33" s="3215"/>
      <c r="AC33" s="3228"/>
    </row>
    <row r="34" spans="1:29" s="2" customFormat="1" ht="15.75" customHeight="1" thickBot="1">
      <c r="A34" s="3485"/>
      <c r="B34" s="3227"/>
      <c r="C34" s="1666" t="s">
        <v>60</v>
      </c>
      <c r="D34" s="1657" t="s">
        <v>61</v>
      </c>
      <c r="E34" s="1658" t="s">
        <v>18</v>
      </c>
      <c r="F34" s="1666" t="s">
        <v>60</v>
      </c>
      <c r="G34" s="1657" t="s">
        <v>61</v>
      </c>
      <c r="H34" s="1658" t="s">
        <v>18</v>
      </c>
      <c r="I34" s="1666" t="s">
        <v>60</v>
      </c>
      <c r="J34" s="1657" t="s">
        <v>61</v>
      </c>
      <c r="K34" s="1658" t="s">
        <v>18</v>
      </c>
      <c r="L34" s="1666" t="s">
        <v>60</v>
      </c>
      <c r="M34" s="1657" t="s">
        <v>61</v>
      </c>
      <c r="N34" s="1658" t="s">
        <v>18</v>
      </c>
      <c r="O34" s="1666" t="s">
        <v>60</v>
      </c>
      <c r="P34" s="1657" t="s">
        <v>61</v>
      </c>
      <c r="Q34" s="1658" t="s">
        <v>18</v>
      </c>
      <c r="R34" s="1666" t="s">
        <v>60</v>
      </c>
      <c r="S34" s="1657" t="s">
        <v>61</v>
      </c>
      <c r="T34" s="1658" t="s">
        <v>18</v>
      </c>
      <c r="U34" s="1666" t="s">
        <v>60</v>
      </c>
      <c r="V34" s="1657" t="s">
        <v>61</v>
      </c>
      <c r="W34" s="1658" t="s">
        <v>18</v>
      </c>
      <c r="X34" s="3211"/>
      <c r="Y34" s="1666" t="s">
        <v>60</v>
      </c>
      <c r="Z34" s="1657" t="s">
        <v>61</v>
      </c>
      <c r="AA34" s="1658" t="s">
        <v>18</v>
      </c>
      <c r="AC34" s="3211"/>
    </row>
    <row r="35" spans="1:29">
      <c r="A35" s="1195" t="s">
        <v>62</v>
      </c>
      <c r="B35" s="1665" t="s">
        <v>17</v>
      </c>
      <c r="C35" s="1230">
        <f>'Table 4'!J43</f>
        <v>4.3600000000000003</v>
      </c>
      <c r="D35" s="10">
        <f>'Table 4'!K43</f>
        <v>0</v>
      </c>
      <c r="E35" s="353">
        <f>'Table 4'!L43</f>
        <v>4.3600000000000003</v>
      </c>
      <c r="F35" s="1230">
        <f>'Table 4'!M43</f>
        <v>4.71</v>
      </c>
      <c r="G35" s="10">
        <f>'Table 4'!N43</f>
        <v>0</v>
      </c>
      <c r="H35" s="353">
        <f>'Table 4'!O43</f>
        <v>4.71</v>
      </c>
      <c r="I35" s="1230">
        <f>'Table 4'!Q43</f>
        <v>4.84</v>
      </c>
      <c r="J35" s="10">
        <f>'Table 4'!R43</f>
        <v>0</v>
      </c>
      <c r="K35" s="353">
        <f>'Table 4'!S43</f>
        <v>4.84</v>
      </c>
      <c r="L35" s="1230">
        <f>'Table 4'!U43</f>
        <v>4.95</v>
      </c>
      <c r="M35" s="10">
        <f>'Table 4'!V43</f>
        <v>0</v>
      </c>
      <c r="N35" s="353">
        <f>'Table 4'!W43</f>
        <v>4.95</v>
      </c>
      <c r="O35" s="1230">
        <f>'Table 4'!Y43</f>
        <v>4.9800000000000004</v>
      </c>
      <c r="P35" s="10">
        <f>'Table 4'!Z43</f>
        <v>0</v>
      </c>
      <c r="Q35" s="353">
        <f>'Table 4'!AA43</f>
        <v>4.9800000000000004</v>
      </c>
      <c r="R35" s="1230">
        <f>'Table 4'!AC43</f>
        <v>5.03</v>
      </c>
      <c r="S35" s="10">
        <f>'Table 4'!AD43</f>
        <v>0</v>
      </c>
      <c r="T35" s="353">
        <f>'Table 4'!AE43</f>
        <v>5.03</v>
      </c>
      <c r="U35" s="1230">
        <f>'Table 4'!AG43</f>
        <v>5.08</v>
      </c>
      <c r="V35" s="10">
        <f>'Table 4'!AH43</f>
        <v>0</v>
      </c>
      <c r="W35" s="353">
        <f>'Table 4'!AI43</f>
        <v>5.08</v>
      </c>
      <c r="X35" s="655">
        <f t="shared" ref="X35:X41" si="15">(W35-E35)/E35</f>
        <v>0.17</v>
      </c>
      <c r="Y35" s="1230">
        <f>'Table 4'!AL43</f>
        <v>5.38</v>
      </c>
      <c r="Z35" s="10">
        <f>'Table 4'!AM43</f>
        <v>0</v>
      </c>
      <c r="AA35" s="353">
        <f>'Table 4'!AN43</f>
        <v>5.33</v>
      </c>
      <c r="AC35" s="1587">
        <f>W35-E35</f>
        <v>0.72</v>
      </c>
    </row>
    <row r="36" spans="1:29" ht="25.5">
      <c r="A36" s="309" t="s">
        <v>63</v>
      </c>
      <c r="B36" s="1234" t="s">
        <v>17</v>
      </c>
      <c r="C36" s="1232">
        <f>'Table 6'!K44</f>
        <v>4.24</v>
      </c>
      <c r="D36" s="321">
        <f>'Table 6'!L44</f>
        <v>0</v>
      </c>
      <c r="E36" s="914">
        <f>'Table 6'!M44</f>
        <v>4.24</v>
      </c>
      <c r="F36" s="1232">
        <f>'Table 6'!N44</f>
        <v>4.21</v>
      </c>
      <c r="G36" s="321">
        <f>'Table 6'!O44</f>
        <v>0</v>
      </c>
      <c r="H36" s="914">
        <f>'Table 6'!P44</f>
        <v>4.21</v>
      </c>
      <c r="I36" s="1232">
        <f>'Table 6'!Q44</f>
        <v>4.28</v>
      </c>
      <c r="J36" s="321">
        <f>'Table 6'!R44</f>
        <v>0</v>
      </c>
      <c r="K36" s="914">
        <f>'Table 6'!S44</f>
        <v>4.28</v>
      </c>
      <c r="L36" s="1232">
        <f>'Table 6'!T44</f>
        <v>4.3499999999999996</v>
      </c>
      <c r="M36" s="321">
        <f>'Table 6'!U44</f>
        <v>0</v>
      </c>
      <c r="N36" s="914">
        <f>'Table 6'!V44</f>
        <v>4.3499999999999996</v>
      </c>
      <c r="O36" s="1232">
        <f>'Table 6'!W44</f>
        <v>4.4000000000000004</v>
      </c>
      <c r="P36" s="321">
        <f>'Table 6'!X44</f>
        <v>0</v>
      </c>
      <c r="Q36" s="914">
        <f>'Table 6'!Y44</f>
        <v>4.4000000000000004</v>
      </c>
      <c r="R36" s="1232">
        <f>'Table 6'!Z44</f>
        <v>4.46</v>
      </c>
      <c r="S36" s="321">
        <f>'Table 6'!AA44</f>
        <v>0</v>
      </c>
      <c r="T36" s="914">
        <f>'Table 6'!AB44</f>
        <v>4.46</v>
      </c>
      <c r="U36" s="1232">
        <f>'Table 6'!AC44</f>
        <v>4.49</v>
      </c>
      <c r="V36" s="321">
        <f>'Table 6'!AD44</f>
        <v>0</v>
      </c>
      <c r="W36" s="914">
        <f>'Table 6'!AE44</f>
        <v>4.49</v>
      </c>
      <c r="X36" s="1233">
        <f t="shared" si="15"/>
        <v>0.06</v>
      </c>
      <c r="Y36" s="1232">
        <f>'Table 6'!AG44</f>
        <v>4.74</v>
      </c>
      <c r="Z36" s="321">
        <f>'Table 6'!AH44</f>
        <v>0</v>
      </c>
      <c r="AA36" s="914">
        <f>'Table 6'!AI44</f>
        <v>4.74</v>
      </c>
      <c r="AC36" s="1337">
        <f t="shared" ref="AC36:AC41" si="16">W36-E36</f>
        <v>0.25</v>
      </c>
    </row>
    <row r="37" spans="1:29">
      <c r="A37" s="309" t="s">
        <v>64</v>
      </c>
      <c r="B37" s="1234" t="s">
        <v>17</v>
      </c>
      <c r="C37" s="1232">
        <f>'Table 7'!C46</f>
        <v>57.97</v>
      </c>
      <c r="D37" s="321">
        <f>'Table 7'!D46</f>
        <v>0.02</v>
      </c>
      <c r="E37" s="914">
        <f>'Table 7'!E46</f>
        <v>57.99</v>
      </c>
      <c r="F37" s="1232">
        <f>'Table 7'!F46</f>
        <v>55.98</v>
      </c>
      <c r="G37" s="321">
        <f>'Table 7'!G46</f>
        <v>0.02</v>
      </c>
      <c r="H37" s="914">
        <f>'Table 7'!H46</f>
        <v>56</v>
      </c>
      <c r="I37" s="1232">
        <f>'Table 7'!I46</f>
        <v>59.87</v>
      </c>
      <c r="J37" s="321">
        <f>'Table 7'!J46</f>
        <v>0.02</v>
      </c>
      <c r="K37" s="914">
        <f>'Table 7'!K46</f>
        <v>59.89</v>
      </c>
      <c r="L37" s="1232">
        <f>'Table 7'!L46</f>
        <v>63.4</v>
      </c>
      <c r="M37" s="321">
        <f>'Table 7'!M46</f>
        <v>0.02</v>
      </c>
      <c r="N37" s="914">
        <f>'Table 7'!N46</f>
        <v>63.42</v>
      </c>
      <c r="O37" s="1232">
        <f>'Table 7'!O46</f>
        <v>66.88</v>
      </c>
      <c r="P37" s="321">
        <f>'Table 7'!P46</f>
        <v>0.02</v>
      </c>
      <c r="Q37" s="914">
        <f>'Table 7'!Q46</f>
        <v>66.900000000000006</v>
      </c>
      <c r="R37" s="1232">
        <f>'Table 7'!R46</f>
        <v>70.75</v>
      </c>
      <c r="S37" s="321">
        <f>'Table 7'!S46</f>
        <v>0.02</v>
      </c>
      <c r="T37" s="914">
        <f>'Table 7'!T46</f>
        <v>70.77</v>
      </c>
      <c r="U37" s="1232">
        <f>'Table 7'!U46</f>
        <v>74.25</v>
      </c>
      <c r="V37" s="321">
        <f>'Table 7'!V46</f>
        <v>0.02</v>
      </c>
      <c r="W37" s="914">
        <f>'Table 7'!W46</f>
        <v>74.27</v>
      </c>
      <c r="X37" s="1233">
        <f t="shared" si="15"/>
        <v>0.28000000000000003</v>
      </c>
      <c r="Y37" s="1232">
        <f>'Table 7'!AG46</f>
        <v>94.09</v>
      </c>
      <c r="Z37" s="321">
        <f>'Table 7'!AH46</f>
        <v>0.02</v>
      </c>
      <c r="AA37" s="914">
        <f>'Table 7'!AI46</f>
        <v>94.11</v>
      </c>
      <c r="AC37" s="1337">
        <f t="shared" si="16"/>
        <v>16.28</v>
      </c>
    </row>
    <row r="38" spans="1:29">
      <c r="A38" s="309" t="s">
        <v>65</v>
      </c>
      <c r="B38" s="1234" t="s">
        <v>17</v>
      </c>
      <c r="C38" s="1232">
        <f>'Table 8'!C45</f>
        <v>1.1499999999999999</v>
      </c>
      <c r="D38" s="321">
        <f>'Table 8'!D45</f>
        <v>0</v>
      </c>
      <c r="E38" s="914">
        <f>'Table 8'!E45</f>
        <v>1.1499999999999999</v>
      </c>
      <c r="F38" s="1232">
        <f>'Table 8'!F45</f>
        <v>0.98</v>
      </c>
      <c r="G38" s="321">
        <f>'Table 8'!G45</f>
        <v>0</v>
      </c>
      <c r="H38" s="914">
        <f>'Table 8'!H45</f>
        <v>1.1599999999999999</v>
      </c>
      <c r="I38" s="1232">
        <f>'Table 8'!I45</f>
        <v>1.19</v>
      </c>
      <c r="J38" s="321">
        <f>'Table 8'!J45</f>
        <v>0</v>
      </c>
      <c r="K38" s="914">
        <f>'Table 8'!K45</f>
        <v>1.19</v>
      </c>
      <c r="L38" s="1232">
        <f>'Table 8'!L45</f>
        <v>1.2</v>
      </c>
      <c r="M38" s="321">
        <f>'Table 8'!M45</f>
        <v>0</v>
      </c>
      <c r="N38" s="914">
        <f>'Table 8'!N45</f>
        <v>1.2</v>
      </c>
      <c r="O38" s="1232">
        <f>'Table 8'!O45</f>
        <v>1.21</v>
      </c>
      <c r="P38" s="321">
        <f>'Table 8'!P45</f>
        <v>0</v>
      </c>
      <c r="Q38" s="914">
        <f>'Table 8'!Q45</f>
        <v>1.21</v>
      </c>
      <c r="R38" s="1232">
        <f>'Table 8'!R45</f>
        <v>1.21</v>
      </c>
      <c r="S38" s="321">
        <f>'Table 8'!S45</f>
        <v>0</v>
      </c>
      <c r="T38" s="914">
        <f>'Table 8'!T45</f>
        <v>1.21</v>
      </c>
      <c r="U38" s="1232">
        <f>'Table 8'!U45</f>
        <v>1.22</v>
      </c>
      <c r="V38" s="321">
        <f>'Table 8'!V45</f>
        <v>0</v>
      </c>
      <c r="W38" s="914">
        <f>'Table 8'!W45</f>
        <v>1.22</v>
      </c>
      <c r="X38" s="1233">
        <f t="shared" si="15"/>
        <v>0.06</v>
      </c>
      <c r="Y38" s="1232">
        <f>'Table 8'!Y45</f>
        <v>1.36</v>
      </c>
      <c r="Z38" s="321">
        <f>'Table 8'!Z45</f>
        <v>0</v>
      </c>
      <c r="AA38" s="914">
        <f>'Table 8'!AA45</f>
        <v>1.36</v>
      </c>
      <c r="AC38" s="1337">
        <f t="shared" si="16"/>
        <v>7.0000000000000007E-2</v>
      </c>
    </row>
    <row r="39" spans="1:29" ht="25.5">
      <c r="A39" s="309" t="s">
        <v>66</v>
      </c>
      <c r="B39" s="1234" t="s">
        <v>17</v>
      </c>
      <c r="C39" s="1232">
        <f>'Table 9'!C45</f>
        <v>41.36</v>
      </c>
      <c r="D39" s="321">
        <f>'Table 9'!D45</f>
        <v>0.17</v>
      </c>
      <c r="E39" s="914">
        <f>'Table 9'!E45</f>
        <v>41.53</v>
      </c>
      <c r="F39" s="1232">
        <f>'Table 9'!F45</f>
        <v>41.41</v>
      </c>
      <c r="G39" s="321">
        <f>'Table 9'!G45</f>
        <v>0.17</v>
      </c>
      <c r="H39" s="914">
        <f>'Table 9'!H45</f>
        <v>41.58</v>
      </c>
      <c r="I39" s="1232">
        <f>'Table 9'!I45</f>
        <v>41.47</v>
      </c>
      <c r="J39" s="321">
        <f>'Table 9'!J45</f>
        <v>0.17</v>
      </c>
      <c r="K39" s="914">
        <f>'Table 9'!K45</f>
        <v>41.64</v>
      </c>
      <c r="L39" s="1232">
        <f>'Table 9'!L45</f>
        <v>41.5</v>
      </c>
      <c r="M39" s="321">
        <f>'Table 9'!M45</f>
        <v>0.17</v>
      </c>
      <c r="N39" s="914">
        <f>'Table 9'!N45</f>
        <v>41.67</v>
      </c>
      <c r="O39" s="1232">
        <f>'Table 9'!O45</f>
        <v>41.53</v>
      </c>
      <c r="P39" s="321">
        <f>'Table 9'!P45</f>
        <v>0.17</v>
      </c>
      <c r="Q39" s="914">
        <f>'Table 9'!Q45</f>
        <v>41.7</v>
      </c>
      <c r="R39" s="1232">
        <f>'Table 9'!R45</f>
        <v>41.56</v>
      </c>
      <c r="S39" s="321">
        <f>'Table 9'!S45</f>
        <v>0.17</v>
      </c>
      <c r="T39" s="914">
        <f>'Table 9'!T45</f>
        <v>41.73</v>
      </c>
      <c r="U39" s="1232">
        <f>'Table 9'!U45</f>
        <v>41.59</v>
      </c>
      <c r="V39" s="321">
        <f>'Table 9'!V45</f>
        <v>0.17</v>
      </c>
      <c r="W39" s="914">
        <f>'Table 9'!W45</f>
        <v>41.76</v>
      </c>
      <c r="X39" s="1233">
        <f t="shared" si="15"/>
        <v>0.01</v>
      </c>
      <c r="Y39" s="1232">
        <f>U39</f>
        <v>41.59</v>
      </c>
      <c r="Z39" s="321">
        <f t="shared" ref="Z39:AA40" si="17">V39</f>
        <v>0.17</v>
      </c>
      <c r="AA39" s="914">
        <f t="shared" si="17"/>
        <v>41.76</v>
      </c>
      <c r="AC39" s="1337">
        <f t="shared" si="16"/>
        <v>0.23</v>
      </c>
    </row>
    <row r="40" spans="1:29" ht="13.5" thickBot="1">
      <c r="A40" s="80" t="s">
        <v>67</v>
      </c>
      <c r="B40" s="1235" t="s">
        <v>17</v>
      </c>
      <c r="C40" s="1844">
        <f>'Table 10'!C44</f>
        <v>0</v>
      </c>
      <c r="D40" s="412">
        <f>'Table 10'!D44</f>
        <v>0</v>
      </c>
      <c r="E40" s="876">
        <f>'Table 10'!E44</f>
        <v>0</v>
      </c>
      <c r="F40" s="1844">
        <f>'Table 10'!F44</f>
        <v>0</v>
      </c>
      <c r="G40" s="412">
        <f>'Table 10'!G44</f>
        <v>0</v>
      </c>
      <c r="H40" s="876">
        <f>'Table 10'!H44</f>
        <v>0</v>
      </c>
      <c r="I40" s="1844">
        <f>'Table 10'!I44</f>
        <v>0</v>
      </c>
      <c r="J40" s="412">
        <f>'Table 10'!J44</f>
        <v>0</v>
      </c>
      <c r="K40" s="876">
        <f>'Table 10'!K44</f>
        <v>0</v>
      </c>
      <c r="L40" s="1844">
        <f>'Table 10'!L44</f>
        <v>0</v>
      </c>
      <c r="M40" s="412">
        <f>'Table 10'!M44</f>
        <v>0</v>
      </c>
      <c r="N40" s="876">
        <f>'Table 10'!N44</f>
        <v>0</v>
      </c>
      <c r="O40" s="1844">
        <f>'Table 10'!O44</f>
        <v>0</v>
      </c>
      <c r="P40" s="412">
        <f>'Table 10'!P44</f>
        <v>0</v>
      </c>
      <c r="Q40" s="876">
        <f>'Table 10'!Q44</f>
        <v>0</v>
      </c>
      <c r="R40" s="1844">
        <f>'Table 10'!R44</f>
        <v>0</v>
      </c>
      <c r="S40" s="412">
        <f>'Table 10'!S44</f>
        <v>0</v>
      </c>
      <c r="T40" s="876">
        <f>'Table 10'!T44</f>
        <v>0</v>
      </c>
      <c r="U40" s="1844">
        <f>'Table 10'!U44</f>
        <v>0</v>
      </c>
      <c r="V40" s="412">
        <f>'Table 10'!V44</f>
        <v>0</v>
      </c>
      <c r="W40" s="876">
        <f>'Table 10'!W44</f>
        <v>0</v>
      </c>
      <c r="X40" s="1846" t="s">
        <v>16</v>
      </c>
      <c r="Y40" s="1844">
        <f>U40</f>
        <v>0</v>
      </c>
      <c r="Z40" s="412">
        <f t="shared" si="17"/>
        <v>0</v>
      </c>
      <c r="AA40" s="876">
        <f t="shared" si="17"/>
        <v>0</v>
      </c>
      <c r="AC40" s="1312">
        <f t="shared" si="16"/>
        <v>0</v>
      </c>
    </row>
    <row r="41" spans="1:29" ht="14.25" thickTop="1" thickBot="1">
      <c r="A41" s="3202" t="s">
        <v>52</v>
      </c>
      <c r="B41" s="3203"/>
      <c r="C41" s="1231">
        <f>SUM(C35:C40)</f>
        <v>109.08</v>
      </c>
      <c r="D41" s="165">
        <f t="shared" ref="D41:W41" si="18">SUM(D35:D40)</f>
        <v>0.19</v>
      </c>
      <c r="E41" s="38">
        <f t="shared" si="18"/>
        <v>109.27</v>
      </c>
      <c r="F41" s="1231">
        <f t="shared" si="18"/>
        <v>107.29</v>
      </c>
      <c r="G41" s="165">
        <f t="shared" si="18"/>
        <v>0.19</v>
      </c>
      <c r="H41" s="38">
        <f t="shared" si="18"/>
        <v>107.66</v>
      </c>
      <c r="I41" s="1231">
        <f t="shared" si="18"/>
        <v>111.65</v>
      </c>
      <c r="J41" s="165">
        <f t="shared" si="18"/>
        <v>0.19</v>
      </c>
      <c r="K41" s="38">
        <f t="shared" si="18"/>
        <v>111.84</v>
      </c>
      <c r="L41" s="1231">
        <f t="shared" si="18"/>
        <v>115.4</v>
      </c>
      <c r="M41" s="165">
        <f t="shared" si="18"/>
        <v>0.19</v>
      </c>
      <c r="N41" s="38">
        <f t="shared" si="18"/>
        <v>115.59</v>
      </c>
      <c r="O41" s="1231">
        <f t="shared" si="18"/>
        <v>119</v>
      </c>
      <c r="P41" s="165">
        <f t="shared" si="18"/>
        <v>0.19</v>
      </c>
      <c r="Q41" s="38">
        <f t="shared" si="18"/>
        <v>119.19</v>
      </c>
      <c r="R41" s="1231">
        <f t="shared" si="18"/>
        <v>123.01</v>
      </c>
      <c r="S41" s="165">
        <f t="shared" si="18"/>
        <v>0.19</v>
      </c>
      <c r="T41" s="38">
        <f t="shared" si="18"/>
        <v>123.2</v>
      </c>
      <c r="U41" s="1231">
        <f t="shared" si="18"/>
        <v>126.63</v>
      </c>
      <c r="V41" s="165">
        <f t="shared" si="18"/>
        <v>0.19</v>
      </c>
      <c r="W41" s="38">
        <f t="shared" si="18"/>
        <v>126.82</v>
      </c>
      <c r="X41" s="313">
        <f t="shared" si="15"/>
        <v>0.16</v>
      </c>
      <c r="Y41" s="1231">
        <f t="shared" ref="Y41" si="19">SUM(Y35:Y40)</f>
        <v>147.16</v>
      </c>
      <c r="Z41" s="165">
        <f t="shared" ref="Z41" si="20">SUM(Z35:Z40)</f>
        <v>0.19</v>
      </c>
      <c r="AA41" s="38">
        <f t="shared" ref="AA41" si="21">SUM(AA35:AA40)</f>
        <v>147.30000000000001</v>
      </c>
      <c r="AC41" s="1335">
        <f t="shared" si="16"/>
        <v>17.55</v>
      </c>
    </row>
    <row r="42" spans="1:29">
      <c r="A42" s="54" t="s">
        <v>35</v>
      </c>
    </row>
    <row r="43" spans="1:29">
      <c r="A43" s="2" t="s">
        <v>68</v>
      </c>
    </row>
    <row r="44" spans="1:29">
      <c r="A44" s="2" t="s">
        <v>69</v>
      </c>
      <c r="Z44" s="256" t="s">
        <v>36</v>
      </c>
    </row>
  </sheetData>
  <mergeCells count="36">
    <mergeCell ref="AC2:AC4"/>
    <mergeCell ref="AC32:AC34"/>
    <mergeCell ref="R33:T33"/>
    <mergeCell ref="U33:W33"/>
    <mergeCell ref="C2:E2"/>
    <mergeCell ref="Y33:AA33"/>
    <mergeCell ref="Y3:AA3"/>
    <mergeCell ref="Y2:AA2"/>
    <mergeCell ref="A41:B41"/>
    <mergeCell ref="A1:AA1"/>
    <mergeCell ref="A31:AA31"/>
    <mergeCell ref="A32:A34"/>
    <mergeCell ref="B32:B34"/>
    <mergeCell ref="C32:E32"/>
    <mergeCell ref="F32:W32"/>
    <mergeCell ref="X32:X34"/>
    <mergeCell ref="Y32:AA32"/>
    <mergeCell ref="C33:E33"/>
    <mergeCell ref="F33:H33"/>
    <mergeCell ref="I33:K33"/>
    <mergeCell ref="L33:N33"/>
    <mergeCell ref="O33:Q33"/>
    <mergeCell ref="A24:B24"/>
    <mergeCell ref="A25:B25"/>
    <mergeCell ref="A23:B23"/>
    <mergeCell ref="A2:A4"/>
    <mergeCell ref="B2:B4"/>
    <mergeCell ref="X2:X4"/>
    <mergeCell ref="C3:E3"/>
    <mergeCell ref="F3:H3"/>
    <mergeCell ref="I3:K3"/>
    <mergeCell ref="L3:N3"/>
    <mergeCell ref="O3:Q3"/>
    <mergeCell ref="R3:T3"/>
    <mergeCell ref="U3:W3"/>
    <mergeCell ref="F2:W2"/>
  </mergeCells>
  <pageMargins left="0.7" right="0.7" top="0.75" bottom="0.75" header="0.3" footer="0.3"/>
  <pageSetup paperSize="3" scale="7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T27"/>
  <sheetViews>
    <sheetView zoomScale="90" zoomScaleNormal="90" workbookViewId="0">
      <pane xSplit="2" ySplit="3" topLeftCell="C4" activePane="bottomRight" state="frozen"/>
      <selection pane="bottomRight" activeCell="B11" sqref="A11:XFD11"/>
      <selection pane="bottomLeft" activeCell="A4" sqref="A4"/>
      <selection pane="topRight" activeCell="C1" sqref="C1"/>
    </sheetView>
  </sheetViews>
  <sheetFormatPr defaultColWidth="9.140625" defaultRowHeight="12.75"/>
  <cols>
    <col min="1" max="1" width="12" style="256" customWidth="1"/>
    <col min="2" max="2" width="41.42578125" style="256" customWidth="1"/>
    <col min="3" max="8" width="9.140625" style="256"/>
    <col min="9" max="13" width="12.5703125" style="256" customWidth="1"/>
    <col min="14" max="14" width="21" style="256" customWidth="1"/>
    <col min="15" max="15" width="15.28515625" style="1" customWidth="1"/>
    <col min="16" max="16" width="42.42578125" style="256" customWidth="1"/>
    <col min="17" max="17" width="21" style="256" customWidth="1"/>
    <col min="18" max="22" width="12.140625" style="256" customWidth="1"/>
    <col min="23" max="24" width="13.85546875" style="256" customWidth="1"/>
    <col min="25" max="30" width="11.42578125" style="256" customWidth="1"/>
    <col min="31" max="31" width="14.85546875" style="1" customWidth="1"/>
    <col min="32" max="32" width="41.7109375" style="1" customWidth="1"/>
    <col min="33" max="33" width="11.42578125" style="1" customWidth="1"/>
    <col min="34" max="42" width="11.42578125" style="256" customWidth="1"/>
    <col min="43" max="16384" width="9.140625" style="256"/>
  </cols>
  <sheetData>
    <row r="1" spans="1:46" ht="27" customHeight="1" thickBot="1">
      <c r="A1" s="3402" t="s">
        <v>648</v>
      </c>
      <c r="B1" s="3402"/>
      <c r="C1" s="3402"/>
      <c r="D1" s="3402"/>
      <c r="E1" s="3402"/>
      <c r="F1" s="3402"/>
      <c r="G1" s="3402"/>
      <c r="H1" s="3402"/>
      <c r="I1" s="3402"/>
      <c r="J1" s="3402"/>
      <c r="K1" s="3402"/>
      <c r="L1" s="3402"/>
      <c r="M1" s="3402"/>
      <c r="N1" s="3402"/>
      <c r="O1" s="3402" t="s">
        <v>649</v>
      </c>
      <c r="P1" s="3402"/>
      <c r="Q1" s="3402"/>
      <c r="R1" s="3402"/>
      <c r="S1" s="3402"/>
      <c r="T1" s="3402"/>
      <c r="U1" s="3402"/>
      <c r="V1" s="3402"/>
      <c r="W1" s="3402"/>
      <c r="X1" s="3402"/>
      <c r="Y1" s="3402"/>
      <c r="Z1" s="3402"/>
      <c r="AA1" s="3402"/>
      <c r="AB1" s="3402"/>
      <c r="AC1" s="3402"/>
      <c r="AD1" s="3402"/>
      <c r="AE1" s="3224" t="s">
        <v>649</v>
      </c>
      <c r="AF1" s="3224"/>
      <c r="AG1" s="3224"/>
      <c r="AH1" s="3224"/>
      <c r="AI1" s="3224"/>
      <c r="AJ1" s="3224"/>
      <c r="AK1" s="3224"/>
      <c r="AL1" s="3224"/>
      <c r="AM1" s="3224"/>
      <c r="AN1" s="3224"/>
      <c r="AO1" s="3224"/>
      <c r="AP1" s="3224"/>
      <c r="AQ1" s="3224"/>
      <c r="AR1" s="3224"/>
      <c r="AS1" s="3224"/>
    </row>
    <row r="2" spans="1:46" ht="38.25" customHeight="1" thickBot="1">
      <c r="A2" s="3233" t="s">
        <v>85</v>
      </c>
      <c r="B2" s="3238" t="s">
        <v>632</v>
      </c>
      <c r="C2" s="3238" t="s">
        <v>2</v>
      </c>
      <c r="D2" s="3221" t="s">
        <v>650</v>
      </c>
      <c r="E2" s="3222"/>
      <c r="F2" s="3222"/>
      <c r="G2" s="3222"/>
      <c r="H2" s="3222"/>
      <c r="I2" s="3261" t="s">
        <v>634</v>
      </c>
      <c r="J2" s="3262"/>
      <c r="K2" s="3262"/>
      <c r="L2" s="3262"/>
      <c r="M2" s="3262"/>
      <c r="N2" s="3474" t="s">
        <v>277</v>
      </c>
      <c r="O2" s="3297" t="s">
        <v>85</v>
      </c>
      <c r="P2" s="3300" t="s">
        <v>632</v>
      </c>
      <c r="Q2" s="3300" t="s">
        <v>2</v>
      </c>
      <c r="R2" s="3261" t="s">
        <v>651</v>
      </c>
      <c r="S2" s="3262"/>
      <c r="T2" s="3262"/>
      <c r="U2" s="3262"/>
      <c r="V2" s="3262"/>
      <c r="W2" s="3209" t="s">
        <v>652</v>
      </c>
      <c r="X2" s="3209" t="s">
        <v>653</v>
      </c>
      <c r="Y2" s="3261" t="s">
        <v>654</v>
      </c>
      <c r="Z2" s="3262"/>
      <c r="AA2" s="3262"/>
      <c r="AB2" s="3262"/>
      <c r="AC2" s="3262"/>
      <c r="AD2" s="3263"/>
      <c r="AE2" s="3297" t="s">
        <v>85</v>
      </c>
      <c r="AF2" s="3300" t="s">
        <v>632</v>
      </c>
      <c r="AG2" s="3300" t="s">
        <v>2</v>
      </c>
      <c r="AH2" s="3471" t="s">
        <v>655</v>
      </c>
      <c r="AI2" s="3472"/>
      <c r="AJ2" s="3472"/>
      <c r="AK2" s="3472"/>
      <c r="AL2" s="3472"/>
      <c r="AM2" s="3473"/>
      <c r="AN2" s="3221" t="s">
        <v>656</v>
      </c>
      <c r="AO2" s="3222"/>
      <c r="AP2" s="3222"/>
      <c r="AQ2" s="3222"/>
      <c r="AR2" s="3222"/>
      <c r="AS2" s="3223"/>
    </row>
    <row r="3" spans="1:46" ht="38.25" customHeight="1">
      <c r="A3" s="3235"/>
      <c r="B3" s="3240"/>
      <c r="C3" s="3240"/>
      <c r="D3" s="3017">
        <v>2014</v>
      </c>
      <c r="E3" s="3053">
        <v>2015</v>
      </c>
      <c r="F3" s="3053">
        <v>2016</v>
      </c>
      <c r="G3" s="1779">
        <v>2017</v>
      </c>
      <c r="H3" s="3052">
        <v>2018</v>
      </c>
      <c r="I3" s="3022">
        <v>2014</v>
      </c>
      <c r="J3" s="1780">
        <v>2015</v>
      </c>
      <c r="K3" s="1780">
        <v>2016</v>
      </c>
      <c r="L3" s="1781">
        <v>2017</v>
      </c>
      <c r="M3" s="3050">
        <v>2018</v>
      </c>
      <c r="N3" s="3475"/>
      <c r="O3" s="3299"/>
      <c r="P3" s="3302"/>
      <c r="Q3" s="3302"/>
      <c r="R3" s="3022">
        <v>2014</v>
      </c>
      <c r="S3" s="1780">
        <v>2015</v>
      </c>
      <c r="T3" s="1780">
        <v>2016</v>
      </c>
      <c r="U3" s="1781">
        <v>2017</v>
      </c>
      <c r="V3" s="3050">
        <v>2018</v>
      </c>
      <c r="W3" s="3211"/>
      <c r="X3" s="3211"/>
      <c r="Y3" s="1782">
        <v>2020</v>
      </c>
      <c r="Z3" s="1749">
        <v>2025</v>
      </c>
      <c r="AA3" s="1749">
        <v>2030</v>
      </c>
      <c r="AB3" s="1749">
        <v>2035</v>
      </c>
      <c r="AC3" s="1749">
        <v>2040</v>
      </c>
      <c r="AD3" s="3051">
        <v>2045</v>
      </c>
      <c r="AE3" s="3299"/>
      <c r="AF3" s="3302"/>
      <c r="AG3" s="3302"/>
      <c r="AH3" s="1760">
        <v>2020</v>
      </c>
      <c r="AI3" s="1761">
        <v>2025</v>
      </c>
      <c r="AJ3" s="1761">
        <v>2030</v>
      </c>
      <c r="AK3" s="1761">
        <v>2035</v>
      </c>
      <c r="AL3" s="1761">
        <v>2040</v>
      </c>
      <c r="AM3" s="1783">
        <v>2045</v>
      </c>
      <c r="AN3" s="1760">
        <v>2020</v>
      </c>
      <c r="AO3" s="1761">
        <v>2025</v>
      </c>
      <c r="AP3" s="1761">
        <v>2030</v>
      </c>
      <c r="AQ3" s="1761">
        <v>2035</v>
      </c>
      <c r="AR3" s="1761">
        <v>2040</v>
      </c>
      <c r="AS3" s="1944">
        <v>2045</v>
      </c>
    </row>
    <row r="4" spans="1:46" ht="26.25" customHeight="1">
      <c r="A4" s="3233" t="s">
        <v>278</v>
      </c>
      <c r="B4" s="79" t="s">
        <v>635</v>
      </c>
      <c r="C4" s="1120" t="s">
        <v>15</v>
      </c>
      <c r="D4" s="1299">
        <v>0.28499999999999998</v>
      </c>
      <c r="E4" s="75">
        <v>0.51</v>
      </c>
      <c r="F4" s="74">
        <v>0.753</v>
      </c>
      <c r="G4" s="162">
        <v>0.51200000000000001</v>
      </c>
      <c r="H4" s="269">
        <v>0.56299999999999994</v>
      </c>
      <c r="I4" s="1158">
        <v>0</v>
      </c>
      <c r="J4" s="75">
        <v>0</v>
      </c>
      <c r="K4" s="75">
        <v>0</v>
      </c>
      <c r="L4" s="75">
        <v>0</v>
      </c>
      <c r="M4" s="1159">
        <v>0</v>
      </c>
      <c r="N4" s="1154"/>
      <c r="O4" s="3297" t="s">
        <v>278</v>
      </c>
      <c r="P4" s="443" t="s">
        <v>635</v>
      </c>
      <c r="Q4" s="1120" t="s">
        <v>15</v>
      </c>
      <c r="R4" s="1420">
        <v>70.599999999999994</v>
      </c>
      <c r="S4" s="1421">
        <v>72.7</v>
      </c>
      <c r="T4" s="1421">
        <v>73.900000000000006</v>
      </c>
      <c r="U4" s="1421">
        <v>72.2</v>
      </c>
      <c r="V4" s="1775">
        <v>70.400000000000006</v>
      </c>
      <c r="W4" s="1776">
        <f>(D4+E4+F4+G4+H4)/(R4+S4+T4+U4+V4)</f>
        <v>7.2899999999999996E-3</v>
      </c>
      <c r="X4" s="1777">
        <f>(I4+J4+K4+L4+M4)/(R4+S4+T4+U4+V4)</f>
        <v>0</v>
      </c>
      <c r="Y4" s="1420">
        <v>72.099999999999994</v>
      </c>
      <c r="Z4" s="1421">
        <f>Z7-(SUM(Z5:Z6))</f>
        <v>75.400000000000006</v>
      </c>
      <c r="AA4" s="1421">
        <f t="shared" ref="AA4:AD4" si="0">AA7-(SUM(AA5:AA6))</f>
        <v>77</v>
      </c>
      <c r="AB4" s="1421">
        <f t="shared" si="0"/>
        <v>80.2</v>
      </c>
      <c r="AC4" s="1421">
        <f t="shared" si="0"/>
        <v>83.4</v>
      </c>
      <c r="AD4" s="1421">
        <f t="shared" si="0"/>
        <v>87</v>
      </c>
      <c r="AE4" s="3297" t="s">
        <v>278</v>
      </c>
      <c r="AF4" s="993" t="s">
        <v>635</v>
      </c>
      <c r="AG4" s="753" t="s">
        <v>15</v>
      </c>
      <c r="AH4" s="129">
        <f>Y4*$W$4</f>
        <v>0.52600000000000002</v>
      </c>
      <c r="AI4" s="75">
        <f t="shared" ref="AI4:AM4" si="1">Z4*$W$4</f>
        <v>0.55000000000000004</v>
      </c>
      <c r="AJ4" s="75">
        <f t="shared" si="1"/>
        <v>0.56100000000000005</v>
      </c>
      <c r="AK4" s="75">
        <f t="shared" si="1"/>
        <v>0.58499999999999996</v>
      </c>
      <c r="AL4" s="75">
        <f t="shared" si="1"/>
        <v>0.60799999999999998</v>
      </c>
      <c r="AM4" s="177">
        <f t="shared" si="1"/>
        <v>0.63400000000000001</v>
      </c>
      <c r="AN4" s="1004">
        <f>Y4*$X$4</f>
        <v>0</v>
      </c>
      <c r="AO4" s="1005">
        <f t="shared" ref="AO4:AS4" si="2">Z4*$X$4</f>
        <v>0</v>
      </c>
      <c r="AP4" s="1005">
        <f t="shared" si="2"/>
        <v>0</v>
      </c>
      <c r="AQ4" s="1005">
        <f t="shared" si="2"/>
        <v>0</v>
      </c>
      <c r="AR4" s="1005">
        <f t="shared" si="2"/>
        <v>0</v>
      </c>
      <c r="AS4" s="1778">
        <f t="shared" si="2"/>
        <v>0</v>
      </c>
    </row>
    <row r="5" spans="1:46" ht="26.25" customHeight="1">
      <c r="A5" s="3234"/>
      <c r="B5" s="1195" t="s">
        <v>636</v>
      </c>
      <c r="C5" s="1892" t="s">
        <v>17</v>
      </c>
      <c r="D5" s="2963">
        <v>0.47</v>
      </c>
      <c r="E5" s="2961">
        <v>0.27600000000000002</v>
      </c>
      <c r="F5" s="2961">
        <v>3.7999999999999999E-2</v>
      </c>
      <c r="G5" s="2962">
        <v>0.24199999999999999</v>
      </c>
      <c r="H5" s="2467">
        <v>0.379</v>
      </c>
      <c r="I5" s="809">
        <v>0</v>
      </c>
      <c r="J5" s="819">
        <v>0</v>
      </c>
      <c r="K5" s="819">
        <v>0</v>
      </c>
      <c r="L5" s="819">
        <v>0</v>
      </c>
      <c r="M5" s="2964">
        <v>0</v>
      </c>
      <c r="N5" s="2965"/>
      <c r="O5" s="3298"/>
      <c r="P5" s="1195" t="s">
        <v>636</v>
      </c>
      <c r="Q5" s="455" t="s">
        <v>17</v>
      </c>
      <c r="R5" s="2966">
        <v>68.3</v>
      </c>
      <c r="S5" s="2967">
        <v>70.3</v>
      </c>
      <c r="T5" s="2967">
        <v>71.400000000000006</v>
      </c>
      <c r="U5" s="2967">
        <v>69.8</v>
      </c>
      <c r="V5" s="2968">
        <v>68.099999999999994</v>
      </c>
      <c r="W5" s="1776">
        <f>(D5+E5+F5+G5+H5)/(R5+S5+T5+U5+V5)</f>
        <v>4.0400000000000002E-3</v>
      </c>
      <c r="X5" s="1777">
        <f>(I5+J5+K5+L5+M5)/(R5+S5+T5+U5+V5)</f>
        <v>0</v>
      </c>
      <c r="Y5" s="2966">
        <v>69.7</v>
      </c>
      <c r="Z5" s="2967">
        <v>66.099999999999994</v>
      </c>
      <c r="AA5" s="2967">
        <v>67.599999999999994</v>
      </c>
      <c r="AB5" s="2967">
        <v>70.400000000000006</v>
      </c>
      <c r="AC5" s="2967">
        <v>73.3</v>
      </c>
      <c r="AD5" s="2969">
        <v>76.3</v>
      </c>
      <c r="AE5" s="3298"/>
      <c r="AF5" s="1195" t="s">
        <v>636</v>
      </c>
      <c r="AG5" s="455" t="s">
        <v>17</v>
      </c>
      <c r="AH5" s="1158">
        <f>Y5*$W$5</f>
        <v>0.28199999999999997</v>
      </c>
      <c r="AI5" s="2406">
        <f t="shared" ref="AI5:AM5" si="3">Z5*$W$5</f>
        <v>0.26700000000000002</v>
      </c>
      <c r="AJ5" s="2406">
        <f t="shared" si="3"/>
        <v>0.27300000000000002</v>
      </c>
      <c r="AK5" s="2406">
        <f t="shared" si="3"/>
        <v>0.28399999999999997</v>
      </c>
      <c r="AL5" s="2406">
        <f t="shared" si="3"/>
        <v>0.29599999999999999</v>
      </c>
      <c r="AM5" s="818">
        <f t="shared" si="3"/>
        <v>0.308</v>
      </c>
      <c r="AN5" s="2982">
        <f>Y5*$X$5</f>
        <v>0</v>
      </c>
      <c r="AO5" s="1270">
        <f t="shared" ref="AO5:AS5" si="4">Z5*$X$5</f>
        <v>0</v>
      </c>
      <c r="AP5" s="2826">
        <f t="shared" si="4"/>
        <v>0</v>
      </c>
      <c r="AQ5" s="1270">
        <f t="shared" si="4"/>
        <v>0</v>
      </c>
      <c r="AR5" s="2826">
        <f t="shared" si="4"/>
        <v>0</v>
      </c>
      <c r="AS5" s="2983">
        <f t="shared" si="4"/>
        <v>0</v>
      </c>
      <c r="AT5" s="2981"/>
    </row>
    <row r="6" spans="1:46" ht="26.25" customHeight="1" thickBot="1">
      <c r="A6" s="3234"/>
      <c r="B6" s="80" t="s">
        <v>657</v>
      </c>
      <c r="C6" s="579" t="s">
        <v>17</v>
      </c>
      <c r="D6" s="1907">
        <v>1.9650000000000001</v>
      </c>
      <c r="E6" s="746">
        <v>1.4890000000000001</v>
      </c>
      <c r="F6" s="746">
        <v>1.4350000000000001</v>
      </c>
      <c r="G6" s="866">
        <v>1.258</v>
      </c>
      <c r="H6" s="869">
        <v>1.2509999999999999</v>
      </c>
      <c r="I6" s="1160">
        <v>0</v>
      </c>
      <c r="J6" s="991">
        <v>0</v>
      </c>
      <c r="K6" s="991">
        <v>0</v>
      </c>
      <c r="L6" s="991">
        <v>0</v>
      </c>
      <c r="M6" s="1908">
        <v>0</v>
      </c>
      <c r="N6" s="1909"/>
      <c r="O6" s="3298"/>
      <c r="P6" s="80" t="s">
        <v>657</v>
      </c>
      <c r="Q6" s="608" t="s">
        <v>17</v>
      </c>
      <c r="R6" s="1415">
        <v>270.10000000000002</v>
      </c>
      <c r="S6" s="1414">
        <v>278</v>
      </c>
      <c r="T6" s="1414">
        <v>282.7</v>
      </c>
      <c r="U6" s="1414">
        <v>276.10000000000002</v>
      </c>
      <c r="V6" s="1416">
        <v>269.5</v>
      </c>
      <c r="W6" s="1391">
        <f t="shared" ref="W6:W20" si="5">(D6+E6+F6+G6+H6)/(R6+S6+T6+U6+V6)</f>
        <v>5.3699999999999998E-3</v>
      </c>
      <c r="X6" s="1910">
        <f t="shared" ref="X6:X20" si="6">(I6+J6+K6+L6+M6)/(R6+S6+T6+U6+V6)</f>
        <v>0</v>
      </c>
      <c r="Y6" s="1411">
        <v>275.8</v>
      </c>
      <c r="Z6" s="1412">
        <v>261.5</v>
      </c>
      <c r="AA6" s="1412">
        <v>267.39999999999998</v>
      </c>
      <c r="AB6" s="1412">
        <v>278.39999999999998</v>
      </c>
      <c r="AC6" s="1412">
        <v>289.89999999999998</v>
      </c>
      <c r="AD6" s="1422">
        <v>301.8</v>
      </c>
      <c r="AE6" s="3298"/>
      <c r="AF6" s="175" t="s">
        <v>637</v>
      </c>
      <c r="AG6" s="2971" t="s">
        <v>17</v>
      </c>
      <c r="AH6" s="1874">
        <f>Y6*$W$6</f>
        <v>1.4810000000000001</v>
      </c>
      <c r="AI6" s="746">
        <f t="shared" ref="AI6:AM6" si="7">Z6*$W$6</f>
        <v>1.4039999999999999</v>
      </c>
      <c r="AJ6" s="746">
        <f t="shared" si="7"/>
        <v>1.4359999999999999</v>
      </c>
      <c r="AK6" s="746">
        <f t="shared" si="7"/>
        <v>1.4950000000000001</v>
      </c>
      <c r="AL6" s="746">
        <f t="shared" si="7"/>
        <v>1.5569999999999999</v>
      </c>
      <c r="AM6" s="747">
        <f t="shared" si="7"/>
        <v>1.621</v>
      </c>
      <c r="AN6" s="1911">
        <f>Y6*$X$6</f>
        <v>0</v>
      </c>
      <c r="AO6" s="867">
        <f t="shared" ref="AO6:AS6" si="8">Z6*$X$6</f>
        <v>0</v>
      </c>
      <c r="AP6" s="867">
        <f t="shared" si="8"/>
        <v>0</v>
      </c>
      <c r="AQ6" s="867">
        <f t="shared" si="8"/>
        <v>0</v>
      </c>
      <c r="AR6" s="867">
        <f t="shared" si="8"/>
        <v>0</v>
      </c>
      <c r="AS6" s="1263">
        <f t="shared" si="8"/>
        <v>0</v>
      </c>
    </row>
    <row r="7" spans="1:46" ht="14.25" customHeight="1">
      <c r="A7" s="3235"/>
      <c r="B7" s="3202" t="s">
        <v>18</v>
      </c>
      <c r="C7" s="3203"/>
      <c r="D7" s="1170">
        <f t="shared" ref="D7:M7" si="9">SUM(D4:D6)</f>
        <v>2.72</v>
      </c>
      <c r="E7" s="1171">
        <f t="shared" si="9"/>
        <v>2.2749999999999999</v>
      </c>
      <c r="F7" s="1171">
        <f t="shared" si="9"/>
        <v>2.226</v>
      </c>
      <c r="G7" s="1172">
        <f t="shared" si="9"/>
        <v>2.012</v>
      </c>
      <c r="H7" s="1168">
        <f t="shared" si="9"/>
        <v>2.1930000000000001</v>
      </c>
      <c r="I7" s="1163">
        <f t="shared" si="9"/>
        <v>0</v>
      </c>
      <c r="J7" s="280">
        <f t="shared" si="9"/>
        <v>0</v>
      </c>
      <c r="K7" s="280">
        <f t="shared" si="9"/>
        <v>0</v>
      </c>
      <c r="L7" s="280">
        <f t="shared" si="9"/>
        <v>0</v>
      </c>
      <c r="M7" s="1164">
        <f t="shared" si="9"/>
        <v>0</v>
      </c>
      <c r="N7" s="1155"/>
      <c r="O7" s="3299"/>
      <c r="P7" s="3202" t="s">
        <v>18</v>
      </c>
      <c r="Q7" s="3203"/>
      <c r="R7" s="1417">
        <f>SUM(R4:R6)</f>
        <v>409</v>
      </c>
      <c r="S7" s="1418">
        <f t="shared" ref="S7:V7" si="10">SUM(S4:S6)</f>
        <v>421</v>
      </c>
      <c r="T7" s="1418">
        <f t="shared" si="10"/>
        <v>428</v>
      </c>
      <c r="U7" s="1418">
        <f t="shared" si="10"/>
        <v>418.1</v>
      </c>
      <c r="V7" s="1419">
        <f t="shared" si="10"/>
        <v>408</v>
      </c>
      <c r="W7" s="1285">
        <f t="shared" si="5"/>
        <v>5.4799999999999996E-3</v>
      </c>
      <c r="X7" s="1286">
        <f t="shared" si="6"/>
        <v>0</v>
      </c>
      <c r="Y7" s="1423">
        <f>SUM(Y4:Y6)</f>
        <v>417.6</v>
      </c>
      <c r="Z7" s="1424">
        <v>403</v>
      </c>
      <c r="AA7" s="1424">
        <v>412</v>
      </c>
      <c r="AB7" s="1424">
        <v>429</v>
      </c>
      <c r="AC7" s="1425">
        <v>446.6</v>
      </c>
      <c r="AD7" s="1426">
        <v>465.1</v>
      </c>
      <c r="AE7" s="3299"/>
      <c r="AF7" s="3476" t="s">
        <v>18</v>
      </c>
      <c r="AG7" s="3477"/>
      <c r="AH7" s="1264">
        <f t="shared" ref="AH7:AR7" si="11">SUM(AH4:AH6)</f>
        <v>2.2890000000000001</v>
      </c>
      <c r="AI7" s="1265">
        <f t="shared" si="11"/>
        <v>2.2210000000000001</v>
      </c>
      <c r="AJ7" s="1265">
        <f t="shared" si="11"/>
        <v>2.27</v>
      </c>
      <c r="AK7" s="1265">
        <f t="shared" si="11"/>
        <v>2.3639999999999999</v>
      </c>
      <c r="AL7" s="1265">
        <f t="shared" si="11"/>
        <v>2.4609999999999999</v>
      </c>
      <c r="AM7" s="1266">
        <f t="shared" ref="AM7" si="12">SUM(AM4:AM6)</f>
        <v>2.5630000000000002</v>
      </c>
      <c r="AN7" s="1264">
        <f t="shared" si="11"/>
        <v>0</v>
      </c>
      <c r="AO7" s="1265">
        <f t="shared" si="11"/>
        <v>0</v>
      </c>
      <c r="AP7" s="1265">
        <f t="shared" si="11"/>
        <v>0</v>
      </c>
      <c r="AQ7" s="1265">
        <f t="shared" si="11"/>
        <v>0</v>
      </c>
      <c r="AR7" s="1265">
        <f t="shared" si="11"/>
        <v>0</v>
      </c>
      <c r="AS7" s="1267">
        <f t="shared" ref="AS7" si="13">SUM(AS4:AS6)</f>
        <v>0</v>
      </c>
    </row>
    <row r="8" spans="1:46" ht="114.75">
      <c r="A8" s="3234" t="s">
        <v>589</v>
      </c>
      <c r="B8" s="1120" t="s">
        <v>638</v>
      </c>
      <c r="C8" s="1173" t="s">
        <v>15</v>
      </c>
      <c r="D8" s="1165">
        <v>0.307</v>
      </c>
      <c r="E8" s="750">
        <v>0.26200000000000001</v>
      </c>
      <c r="F8" s="83">
        <v>0.32900000000000001</v>
      </c>
      <c r="G8" s="63">
        <v>0.20499999999999999</v>
      </c>
      <c r="H8" s="289">
        <v>0.25800000000000001</v>
      </c>
      <c r="I8" s="1161">
        <v>603.58699999999999</v>
      </c>
      <c r="J8" s="1176">
        <v>609.08299999999997</v>
      </c>
      <c r="K8" s="1176">
        <v>663.97299999999996</v>
      </c>
      <c r="L8" s="754">
        <v>512.06299999999999</v>
      </c>
      <c r="M8" s="1386">
        <v>666.15800000000002</v>
      </c>
      <c r="N8" s="1217" t="s">
        <v>658</v>
      </c>
      <c r="O8" s="3297" t="s">
        <v>589</v>
      </c>
      <c r="P8" s="753" t="s">
        <v>638</v>
      </c>
      <c r="Q8" s="753" t="s">
        <v>15</v>
      </c>
      <c r="R8" s="1427">
        <v>1196</v>
      </c>
      <c r="S8" s="1428">
        <v>1212</v>
      </c>
      <c r="T8" s="1428">
        <v>1132</v>
      </c>
      <c r="U8" s="1428">
        <v>1050</v>
      </c>
      <c r="V8" s="1446">
        <v>1304</v>
      </c>
      <c r="W8" s="1287">
        <f t="shared" si="5"/>
        <v>2.3000000000000001E-4</v>
      </c>
      <c r="X8" s="1287">
        <f t="shared" si="6"/>
        <v>0.51829999999999998</v>
      </c>
      <c r="Y8" s="1427">
        <v>1212</v>
      </c>
      <c r="Z8" s="1428">
        <v>1245</v>
      </c>
      <c r="AA8" s="1428">
        <v>1297</v>
      </c>
      <c r="AB8" s="1428">
        <v>1396</v>
      </c>
      <c r="AC8" s="1428">
        <v>1502</v>
      </c>
      <c r="AD8" s="1431">
        <v>1616</v>
      </c>
      <c r="AE8" s="3297" t="s">
        <v>589</v>
      </c>
      <c r="AF8" s="753" t="s">
        <v>638</v>
      </c>
      <c r="AG8" s="753" t="s">
        <v>15</v>
      </c>
      <c r="AH8" s="1018">
        <f t="shared" ref="AH8:AM8" si="14">Y8*$W$8</f>
        <v>0.27900000000000003</v>
      </c>
      <c r="AI8" s="83">
        <f t="shared" si="14"/>
        <v>0.28599999999999998</v>
      </c>
      <c r="AJ8" s="83">
        <f t="shared" si="14"/>
        <v>0.29799999999999999</v>
      </c>
      <c r="AK8" s="83">
        <f t="shared" si="14"/>
        <v>0.32100000000000001</v>
      </c>
      <c r="AL8" s="83">
        <f t="shared" si="14"/>
        <v>0.34499999999999997</v>
      </c>
      <c r="AM8" s="132">
        <f t="shared" si="14"/>
        <v>0.372</v>
      </c>
      <c r="AN8" s="1018">
        <f t="shared" ref="AN8:AS8" si="15">Y8*$X$8</f>
        <v>628.17999999999995</v>
      </c>
      <c r="AO8" s="83">
        <f t="shared" si="15"/>
        <v>645.28399999999999</v>
      </c>
      <c r="AP8" s="83">
        <f t="shared" si="15"/>
        <v>672.23500000000001</v>
      </c>
      <c r="AQ8" s="83">
        <f t="shared" si="15"/>
        <v>723.54700000000003</v>
      </c>
      <c r="AR8" s="83">
        <f t="shared" si="15"/>
        <v>778.48699999999997</v>
      </c>
      <c r="AS8" s="1268">
        <f t="shared" si="15"/>
        <v>837.57299999999998</v>
      </c>
    </row>
    <row r="9" spans="1:46" ht="114.75">
      <c r="A9" s="3234"/>
      <c r="B9" s="1138" t="s">
        <v>639</v>
      </c>
      <c r="C9" s="1903" t="s">
        <v>15</v>
      </c>
      <c r="D9" s="1361">
        <v>1.871</v>
      </c>
      <c r="E9" s="810">
        <v>2.0289999999999999</v>
      </c>
      <c r="F9" s="810">
        <v>1.5289999999999999</v>
      </c>
      <c r="G9" s="1859">
        <v>1.9330000000000001</v>
      </c>
      <c r="H9" s="817">
        <v>2.4950000000000001</v>
      </c>
      <c r="I9" s="809">
        <v>0</v>
      </c>
      <c r="J9" s="819">
        <v>0</v>
      </c>
      <c r="K9" s="819">
        <v>0</v>
      </c>
      <c r="L9" s="819">
        <v>0</v>
      </c>
      <c r="M9" s="1912">
        <v>0</v>
      </c>
      <c r="N9" s="1784" t="s">
        <v>658</v>
      </c>
      <c r="O9" s="3298"/>
      <c r="P9" s="868" t="s">
        <v>639</v>
      </c>
      <c r="Q9" s="868" t="s">
        <v>15</v>
      </c>
      <c r="R9" s="1448">
        <v>728</v>
      </c>
      <c r="S9" s="1449">
        <v>739</v>
      </c>
      <c r="T9" s="1449">
        <v>690</v>
      </c>
      <c r="U9" s="1449">
        <v>640</v>
      </c>
      <c r="V9" s="1447">
        <v>795</v>
      </c>
      <c r="W9" s="1288">
        <f t="shared" si="5"/>
        <v>2.7399999999999998E-3</v>
      </c>
      <c r="X9" s="1288">
        <f t="shared" si="6"/>
        <v>0</v>
      </c>
      <c r="Y9" s="1429">
        <v>738.3</v>
      </c>
      <c r="Z9" s="1430">
        <v>758.2</v>
      </c>
      <c r="AA9" s="1430">
        <v>790.3</v>
      </c>
      <c r="AB9" s="1430">
        <v>850.3</v>
      </c>
      <c r="AC9" s="1430">
        <v>914.8</v>
      </c>
      <c r="AD9" s="1438">
        <v>984.2</v>
      </c>
      <c r="AE9" s="3298"/>
      <c r="AF9" s="868" t="s">
        <v>639</v>
      </c>
      <c r="AG9" s="868" t="s">
        <v>15</v>
      </c>
      <c r="AH9" s="809">
        <f t="shared" ref="AH9:AM9" si="16">Y9*$W$9</f>
        <v>2.0230000000000001</v>
      </c>
      <c r="AI9" s="819">
        <f t="shared" si="16"/>
        <v>2.077</v>
      </c>
      <c r="AJ9" s="819">
        <f t="shared" si="16"/>
        <v>2.165</v>
      </c>
      <c r="AK9" s="819">
        <f t="shared" si="16"/>
        <v>2.33</v>
      </c>
      <c r="AL9" s="819">
        <f t="shared" si="16"/>
        <v>2.5070000000000001</v>
      </c>
      <c r="AM9" s="818">
        <f t="shared" si="16"/>
        <v>2.6970000000000001</v>
      </c>
      <c r="AN9" s="1269">
        <f>Y9*$X$9</f>
        <v>0</v>
      </c>
      <c r="AO9" s="1270">
        <f t="shared" ref="AO9:AS9" si="17">Z9*$X$9</f>
        <v>0</v>
      </c>
      <c r="AP9" s="1270">
        <f t="shared" si="17"/>
        <v>0</v>
      </c>
      <c r="AQ9" s="1270">
        <f t="shared" si="17"/>
        <v>0</v>
      </c>
      <c r="AR9" s="1270">
        <f t="shared" si="17"/>
        <v>0</v>
      </c>
      <c r="AS9" s="1271">
        <f t="shared" si="17"/>
        <v>0</v>
      </c>
    </row>
    <row r="10" spans="1:46" ht="114.75">
      <c r="A10" s="3234"/>
      <c r="B10" s="1892" t="s">
        <v>659</v>
      </c>
      <c r="C10" s="1903" t="s">
        <v>15</v>
      </c>
      <c r="D10" s="1361">
        <v>3.7109999999999999</v>
      </c>
      <c r="E10" s="810">
        <v>3.4750000000000001</v>
      </c>
      <c r="F10" s="819">
        <v>3.1419999999999999</v>
      </c>
      <c r="G10" s="1859">
        <v>2.75</v>
      </c>
      <c r="H10" s="817">
        <v>0.22</v>
      </c>
      <c r="I10" s="809">
        <v>44.01</v>
      </c>
      <c r="J10" s="819">
        <v>0</v>
      </c>
      <c r="K10" s="810">
        <v>39.517000000000003</v>
      </c>
      <c r="L10" s="810">
        <v>41.89</v>
      </c>
      <c r="M10" s="1913">
        <v>0.19</v>
      </c>
      <c r="N10" s="1784" t="s">
        <v>658</v>
      </c>
      <c r="O10" s="3298"/>
      <c r="P10" s="1450" t="s">
        <v>659</v>
      </c>
      <c r="Q10" s="868" t="s">
        <v>15</v>
      </c>
      <c r="R10" s="1448">
        <v>899</v>
      </c>
      <c r="S10" s="1449">
        <v>912</v>
      </c>
      <c r="T10" s="1449">
        <v>852</v>
      </c>
      <c r="U10" s="1449">
        <v>790</v>
      </c>
      <c r="V10" s="1447">
        <v>981</v>
      </c>
      <c r="W10" s="1288">
        <f t="shared" si="5"/>
        <v>3.0000000000000001E-3</v>
      </c>
      <c r="X10" s="1288">
        <f t="shared" si="6"/>
        <v>2.8330000000000001E-2</v>
      </c>
      <c r="Y10" s="1429">
        <v>911.7</v>
      </c>
      <c r="Z10" s="1430">
        <v>936.2</v>
      </c>
      <c r="AA10" s="1430">
        <v>975.9</v>
      </c>
      <c r="AB10" s="1449">
        <v>1050</v>
      </c>
      <c r="AC10" s="1449">
        <v>1129.7</v>
      </c>
      <c r="AD10" s="1826">
        <v>1215.4000000000001</v>
      </c>
      <c r="AE10" s="3298"/>
      <c r="AF10" s="1450" t="s">
        <v>659</v>
      </c>
      <c r="AG10" s="868" t="s">
        <v>15</v>
      </c>
      <c r="AH10" s="809">
        <f t="shared" ref="AH10:AM10" si="18">Y10*$W$10</f>
        <v>2.7349999999999999</v>
      </c>
      <c r="AI10" s="819">
        <f t="shared" si="18"/>
        <v>2.8090000000000002</v>
      </c>
      <c r="AJ10" s="819">
        <f t="shared" si="18"/>
        <v>2.9279999999999999</v>
      </c>
      <c r="AK10" s="819">
        <f t="shared" si="18"/>
        <v>3.15</v>
      </c>
      <c r="AL10" s="819">
        <f t="shared" si="18"/>
        <v>3.3889999999999998</v>
      </c>
      <c r="AM10" s="818">
        <f t="shared" si="18"/>
        <v>3.6459999999999999</v>
      </c>
      <c r="AN10" s="809">
        <f t="shared" ref="AN10:AS10" si="19">Y10*$X$10</f>
        <v>25.827999999999999</v>
      </c>
      <c r="AO10" s="819">
        <f t="shared" si="19"/>
        <v>26.523</v>
      </c>
      <c r="AP10" s="819">
        <f t="shared" si="19"/>
        <v>27.646999999999998</v>
      </c>
      <c r="AQ10" s="819">
        <f t="shared" si="19"/>
        <v>29.747</v>
      </c>
      <c r="AR10" s="819">
        <f t="shared" si="19"/>
        <v>32.003999999999998</v>
      </c>
      <c r="AS10" s="1272">
        <f t="shared" si="19"/>
        <v>34.432000000000002</v>
      </c>
    </row>
    <row r="11" spans="1:46" ht="26.25" thickBot="1">
      <c r="A11" s="3234"/>
      <c r="B11" s="80" t="s">
        <v>660</v>
      </c>
      <c r="C11" s="1906" t="s">
        <v>15</v>
      </c>
      <c r="D11" s="1907">
        <v>0.78</v>
      </c>
      <c r="E11" s="749">
        <v>0.60299999999999998</v>
      </c>
      <c r="F11" s="746">
        <v>0.153</v>
      </c>
      <c r="G11" s="866">
        <v>0.83</v>
      </c>
      <c r="H11" s="869">
        <v>0</v>
      </c>
      <c r="I11" s="1160">
        <v>0</v>
      </c>
      <c r="J11" s="991">
        <v>0</v>
      </c>
      <c r="K11" s="991">
        <v>0</v>
      </c>
      <c r="L11" s="991">
        <v>0</v>
      </c>
      <c r="M11" s="1908">
        <v>0</v>
      </c>
      <c r="N11" s="1785" t="s">
        <v>661</v>
      </c>
      <c r="O11" s="3298"/>
      <c r="P11" s="175" t="s">
        <v>662</v>
      </c>
      <c r="Q11" s="1016" t="s">
        <v>15</v>
      </c>
      <c r="R11" s="1411">
        <v>258</v>
      </c>
      <c r="S11" s="1412">
        <v>258</v>
      </c>
      <c r="T11" s="1412">
        <v>258</v>
      </c>
      <c r="U11" s="1412">
        <v>258</v>
      </c>
      <c r="V11" s="1413">
        <v>0</v>
      </c>
      <c r="W11" s="1289">
        <f t="shared" si="5"/>
        <v>2.2899999999999999E-3</v>
      </c>
      <c r="X11" s="1289">
        <f t="shared" si="6"/>
        <v>0</v>
      </c>
      <c r="Y11" s="1411">
        <v>0</v>
      </c>
      <c r="Z11" s="1412">
        <v>0</v>
      </c>
      <c r="AA11" s="1412">
        <v>0</v>
      </c>
      <c r="AB11" s="1412">
        <v>0</v>
      </c>
      <c r="AC11" s="1412">
        <v>0</v>
      </c>
      <c r="AD11" s="1422">
        <v>0</v>
      </c>
      <c r="AE11" s="3298"/>
      <c r="AF11" s="175" t="s">
        <v>662</v>
      </c>
      <c r="AG11" s="1016" t="s">
        <v>15</v>
      </c>
      <c r="AH11" s="1874">
        <f t="shared" ref="AH11:AM11" si="20">Y11*$W$11</f>
        <v>0</v>
      </c>
      <c r="AI11" s="746">
        <f t="shared" si="20"/>
        <v>0</v>
      </c>
      <c r="AJ11" s="746">
        <f t="shared" si="20"/>
        <v>0</v>
      </c>
      <c r="AK11" s="746">
        <f t="shared" si="20"/>
        <v>0</v>
      </c>
      <c r="AL11" s="746">
        <f t="shared" si="20"/>
        <v>0</v>
      </c>
      <c r="AM11" s="747">
        <f t="shared" si="20"/>
        <v>0</v>
      </c>
      <c r="AN11" s="1911">
        <f>Y11*$X$11</f>
        <v>0</v>
      </c>
      <c r="AO11" s="867">
        <f t="shared" ref="AO11:AS11" si="21">Z11*$X$11</f>
        <v>0</v>
      </c>
      <c r="AP11" s="867">
        <f t="shared" si="21"/>
        <v>0</v>
      </c>
      <c r="AQ11" s="867">
        <f t="shared" si="21"/>
        <v>0</v>
      </c>
      <c r="AR11" s="867">
        <f t="shared" si="21"/>
        <v>0</v>
      </c>
      <c r="AS11" s="1263">
        <f t="shared" si="21"/>
        <v>0</v>
      </c>
    </row>
    <row r="12" spans="1:46" ht="14.25" thickTop="1" thickBot="1">
      <c r="A12" s="3235"/>
      <c r="B12" s="3202" t="s">
        <v>642</v>
      </c>
      <c r="C12" s="3401"/>
      <c r="D12" s="1162">
        <f t="shared" ref="D12:M12" si="22">SUM(D8:D11)</f>
        <v>6.6689999999999996</v>
      </c>
      <c r="E12" s="1168">
        <f t="shared" si="22"/>
        <v>6.3689999999999998</v>
      </c>
      <c r="F12" s="1168">
        <f t="shared" si="22"/>
        <v>5.1529999999999996</v>
      </c>
      <c r="G12" s="84">
        <f t="shared" si="22"/>
        <v>5.718</v>
      </c>
      <c r="H12" s="85">
        <f t="shared" si="22"/>
        <v>2.9729999999999999</v>
      </c>
      <c r="I12" s="1163">
        <f t="shared" si="22"/>
        <v>647.59699999999998</v>
      </c>
      <c r="J12" s="280">
        <f t="shared" si="22"/>
        <v>609.08299999999997</v>
      </c>
      <c r="K12" s="280">
        <f t="shared" si="22"/>
        <v>703.49</v>
      </c>
      <c r="L12" s="280">
        <f t="shared" si="22"/>
        <v>553.95299999999997</v>
      </c>
      <c r="M12" s="1164">
        <f t="shared" si="22"/>
        <v>666.34799999999996</v>
      </c>
      <c r="N12" s="1439"/>
      <c r="O12" s="3299"/>
      <c r="P12" s="3406" t="s">
        <v>642</v>
      </c>
      <c r="Q12" s="3408"/>
      <c r="R12" s="1432">
        <f>SUM(R8:R11)</f>
        <v>3081</v>
      </c>
      <c r="S12" s="1433">
        <f>SUM(S8:S11)</f>
        <v>3121</v>
      </c>
      <c r="T12" s="1433">
        <f>SUM(T8:T11)</f>
        <v>2932</v>
      </c>
      <c r="U12" s="1433">
        <f>SUM(U8:U11)</f>
        <v>2738</v>
      </c>
      <c r="V12" s="1437">
        <f>SUM(V8:V11)</f>
        <v>3080</v>
      </c>
      <c r="W12" s="1392">
        <f t="shared" si="5"/>
        <v>1.8E-3</v>
      </c>
      <c r="X12" s="1392">
        <f t="shared" si="6"/>
        <v>0.21271000000000001</v>
      </c>
      <c r="Y12" s="1434">
        <f t="shared" ref="Y12:AD12" si="23">SUM(Y8:Y11)</f>
        <v>2862</v>
      </c>
      <c r="Z12" s="1435">
        <f t="shared" si="23"/>
        <v>2939.4</v>
      </c>
      <c r="AA12" s="1435">
        <f t="shared" si="23"/>
        <v>3063.2</v>
      </c>
      <c r="AB12" s="1435">
        <f t="shared" si="23"/>
        <v>3296.3</v>
      </c>
      <c r="AC12" s="1435">
        <f t="shared" si="23"/>
        <v>3546.5</v>
      </c>
      <c r="AD12" s="1436">
        <f t="shared" si="23"/>
        <v>3815.6</v>
      </c>
      <c r="AE12" s="3299"/>
      <c r="AF12" s="3406" t="s">
        <v>642</v>
      </c>
      <c r="AG12" s="3408"/>
      <c r="AH12" s="1162">
        <f t="shared" ref="AH12:AS12" si="24">SUM(AH8:AH11)</f>
        <v>5.0369999999999999</v>
      </c>
      <c r="AI12" s="1168">
        <f t="shared" si="24"/>
        <v>5.1719999999999997</v>
      </c>
      <c r="AJ12" s="1168">
        <f t="shared" si="24"/>
        <v>5.391</v>
      </c>
      <c r="AK12" s="1168">
        <f t="shared" si="24"/>
        <v>5.8010000000000002</v>
      </c>
      <c r="AL12" s="1168">
        <f t="shared" si="24"/>
        <v>6.2409999999999997</v>
      </c>
      <c r="AM12" s="1278">
        <f t="shared" si="24"/>
        <v>6.7149999999999999</v>
      </c>
      <c r="AN12" s="1162">
        <f t="shared" si="24"/>
        <v>654.00800000000004</v>
      </c>
      <c r="AO12" s="1168">
        <f t="shared" si="24"/>
        <v>671.80700000000002</v>
      </c>
      <c r="AP12" s="1168">
        <f t="shared" si="24"/>
        <v>699.88199999999995</v>
      </c>
      <c r="AQ12" s="1168">
        <f t="shared" si="24"/>
        <v>753.29399999999998</v>
      </c>
      <c r="AR12" s="1168">
        <f t="shared" si="24"/>
        <v>810.49099999999999</v>
      </c>
      <c r="AS12" s="1279">
        <f t="shared" si="24"/>
        <v>872.005</v>
      </c>
    </row>
    <row r="13" spans="1:46" ht="25.5">
      <c r="A13" s="3233" t="s">
        <v>326</v>
      </c>
      <c r="B13" s="1120" t="s">
        <v>663</v>
      </c>
      <c r="C13" s="1173" t="s">
        <v>15</v>
      </c>
      <c r="D13" s="1166">
        <v>0.155</v>
      </c>
      <c r="E13" s="83">
        <v>0</v>
      </c>
      <c r="F13" s="750">
        <v>4.0000000000000001E-3</v>
      </c>
      <c r="G13" s="87">
        <v>0</v>
      </c>
      <c r="H13" s="289">
        <v>0</v>
      </c>
      <c r="I13" s="1166">
        <v>0.55600000000000005</v>
      </c>
      <c r="J13" s="83">
        <v>0</v>
      </c>
      <c r="K13" s="82">
        <v>0</v>
      </c>
      <c r="L13" s="82">
        <v>0</v>
      </c>
      <c r="M13" s="1386">
        <v>0</v>
      </c>
      <c r="N13" s="1440" t="s">
        <v>664</v>
      </c>
      <c r="O13" s="3297" t="s">
        <v>326</v>
      </c>
      <c r="P13" s="753" t="s">
        <v>643</v>
      </c>
      <c r="Q13" s="753" t="s">
        <v>15</v>
      </c>
      <c r="R13" s="131">
        <v>450.1</v>
      </c>
      <c r="S13" s="130">
        <v>453.1</v>
      </c>
      <c r="T13" s="130">
        <v>434.5</v>
      </c>
      <c r="U13" s="130">
        <v>461.1</v>
      </c>
      <c r="V13" s="1786">
        <v>0</v>
      </c>
      <c r="W13" s="1441">
        <f t="shared" si="5"/>
        <v>9.0000000000000006E-5</v>
      </c>
      <c r="X13" s="1442">
        <f t="shared" si="6"/>
        <v>3.1E-4</v>
      </c>
      <c r="Y13" s="1443">
        <v>0</v>
      </c>
      <c r="Z13" s="1444">
        <v>0</v>
      </c>
      <c r="AA13" s="1444">
        <v>0</v>
      </c>
      <c r="AB13" s="1444">
        <v>0</v>
      </c>
      <c r="AC13" s="1444">
        <v>0</v>
      </c>
      <c r="AD13" s="1445">
        <v>0</v>
      </c>
      <c r="AE13" s="3297" t="s">
        <v>326</v>
      </c>
      <c r="AF13" s="753" t="s">
        <v>643</v>
      </c>
      <c r="AG13" s="753" t="s">
        <v>15</v>
      </c>
      <c r="AH13" s="129">
        <f t="shared" ref="AH13:AM13" si="25">Y13*$W$13</f>
        <v>0</v>
      </c>
      <c r="AI13" s="75">
        <f t="shared" si="25"/>
        <v>0</v>
      </c>
      <c r="AJ13" s="75">
        <f t="shared" si="25"/>
        <v>0</v>
      </c>
      <c r="AK13" s="75">
        <f t="shared" si="25"/>
        <v>0</v>
      </c>
      <c r="AL13" s="75">
        <f t="shared" si="25"/>
        <v>0</v>
      </c>
      <c r="AM13" s="177">
        <f t="shared" si="25"/>
        <v>0</v>
      </c>
      <c r="AN13" s="129">
        <f t="shared" ref="AN13:AS13" si="26">Y13*$X$13</f>
        <v>0</v>
      </c>
      <c r="AO13" s="75">
        <f t="shared" si="26"/>
        <v>0</v>
      </c>
      <c r="AP13" s="75">
        <f t="shared" si="26"/>
        <v>0</v>
      </c>
      <c r="AQ13" s="75">
        <f t="shared" si="26"/>
        <v>0</v>
      </c>
      <c r="AR13" s="75">
        <f t="shared" si="26"/>
        <v>0</v>
      </c>
      <c r="AS13" s="1273">
        <f t="shared" si="26"/>
        <v>0</v>
      </c>
    </row>
    <row r="14" spans="1:46" ht="39" customHeight="1">
      <c r="A14" s="3234"/>
      <c r="B14" s="1468" t="s">
        <v>644</v>
      </c>
      <c r="C14" s="1906" t="s">
        <v>15</v>
      </c>
      <c r="D14" s="1793">
        <v>0.437</v>
      </c>
      <c r="E14" s="749">
        <v>0.45300000000000001</v>
      </c>
      <c r="F14" s="749">
        <v>0.52700000000000002</v>
      </c>
      <c r="G14" s="1860">
        <v>0.44900000000000001</v>
      </c>
      <c r="H14" s="869">
        <v>0.41</v>
      </c>
      <c r="I14" s="1167">
        <v>15.866</v>
      </c>
      <c r="J14" s="1177">
        <v>14.984</v>
      </c>
      <c r="K14" s="752">
        <v>15.746</v>
      </c>
      <c r="L14" s="752">
        <v>15.673</v>
      </c>
      <c r="M14" s="1914">
        <v>15.052</v>
      </c>
      <c r="N14" s="1915"/>
      <c r="O14" s="3298"/>
      <c r="P14" s="1468" t="s">
        <v>644</v>
      </c>
      <c r="Q14" s="1262" t="s">
        <v>15</v>
      </c>
      <c r="R14" s="1469">
        <v>1915.2</v>
      </c>
      <c r="S14" s="1470">
        <v>2123.8000000000002</v>
      </c>
      <c r="T14" s="1470">
        <v>1954.8</v>
      </c>
      <c r="U14" s="1470">
        <v>1783.9</v>
      </c>
      <c r="V14" s="1471">
        <v>2328.3000000000002</v>
      </c>
      <c r="W14" s="1289">
        <f t="shared" si="5"/>
        <v>2.3000000000000001E-4</v>
      </c>
      <c r="X14" s="1916">
        <f t="shared" si="6"/>
        <v>7.6499999999999997E-3</v>
      </c>
      <c r="Y14" s="1469">
        <v>2078.3000000000002</v>
      </c>
      <c r="Z14" s="1470">
        <v>2229.6</v>
      </c>
      <c r="AA14" s="1470">
        <v>2355.6</v>
      </c>
      <c r="AB14" s="1470">
        <v>2415.6999999999998</v>
      </c>
      <c r="AC14" s="1470">
        <v>2477.4</v>
      </c>
      <c r="AD14" s="1475">
        <v>2540.6999999999998</v>
      </c>
      <c r="AE14" s="3298"/>
      <c r="AF14" s="1457" t="s">
        <v>644</v>
      </c>
      <c r="AG14" s="1016" t="s">
        <v>15</v>
      </c>
      <c r="AH14" s="1874">
        <f t="shared" ref="AH14:AM14" si="27">Y14*$W$14</f>
        <v>0.47799999999999998</v>
      </c>
      <c r="AI14" s="746">
        <f t="shared" si="27"/>
        <v>0.51300000000000001</v>
      </c>
      <c r="AJ14" s="746">
        <f t="shared" si="27"/>
        <v>0.54200000000000004</v>
      </c>
      <c r="AK14" s="746">
        <f t="shared" si="27"/>
        <v>0.55600000000000005</v>
      </c>
      <c r="AL14" s="746">
        <f t="shared" si="27"/>
        <v>0.56999999999999995</v>
      </c>
      <c r="AM14" s="747">
        <f t="shared" si="27"/>
        <v>0.58399999999999996</v>
      </c>
      <c r="AN14" s="1874">
        <f t="shared" ref="AN14:AS14" si="28">Y14*$X$14</f>
        <v>15.898999999999999</v>
      </c>
      <c r="AO14" s="746">
        <f t="shared" si="28"/>
        <v>17.056000000000001</v>
      </c>
      <c r="AP14" s="746">
        <f t="shared" si="28"/>
        <v>18.02</v>
      </c>
      <c r="AQ14" s="746">
        <f t="shared" si="28"/>
        <v>18.48</v>
      </c>
      <c r="AR14" s="746">
        <f t="shared" si="28"/>
        <v>18.952000000000002</v>
      </c>
      <c r="AS14" s="1274">
        <f t="shared" si="28"/>
        <v>19.436</v>
      </c>
    </row>
    <row r="15" spans="1:46" ht="14.25" thickTop="1" thickBot="1">
      <c r="A15" s="3234"/>
      <c r="B15" s="3231" t="s">
        <v>642</v>
      </c>
      <c r="C15" s="3412"/>
      <c r="D15" s="1162">
        <f t="shared" ref="D15:M15" si="29">SUM(D13:D14)</f>
        <v>0.59199999999999997</v>
      </c>
      <c r="E15" s="1169">
        <f t="shared" si="29"/>
        <v>0.45300000000000001</v>
      </c>
      <c r="F15" s="1169">
        <f t="shared" si="29"/>
        <v>0.53100000000000003</v>
      </c>
      <c r="G15" s="84">
        <f t="shared" si="29"/>
        <v>0.44900000000000001</v>
      </c>
      <c r="H15" s="85">
        <f t="shared" si="29"/>
        <v>0.41</v>
      </c>
      <c r="I15" s="1163">
        <f t="shared" si="29"/>
        <v>16.422000000000001</v>
      </c>
      <c r="J15" s="280">
        <f t="shared" si="29"/>
        <v>14.984</v>
      </c>
      <c r="K15" s="280">
        <f t="shared" si="29"/>
        <v>15.746</v>
      </c>
      <c r="L15" s="280">
        <f t="shared" si="29"/>
        <v>15.673</v>
      </c>
      <c r="M15" s="1164">
        <f t="shared" si="29"/>
        <v>15.052</v>
      </c>
      <c r="N15" s="1155"/>
      <c r="O15" s="3298"/>
      <c r="P15" s="3231" t="s">
        <v>642</v>
      </c>
      <c r="Q15" s="3232"/>
      <c r="R15" s="1472">
        <f>SUM(R13:R14)</f>
        <v>2365.3000000000002</v>
      </c>
      <c r="S15" s="1473">
        <f t="shared" ref="S15:V15" si="30">SUM(S13:S14)</f>
        <v>2576.9</v>
      </c>
      <c r="T15" s="1473">
        <f t="shared" si="30"/>
        <v>2389.3000000000002</v>
      </c>
      <c r="U15" s="1473">
        <f t="shared" si="30"/>
        <v>2245</v>
      </c>
      <c r="V15" s="1474">
        <f t="shared" si="30"/>
        <v>2328.3000000000002</v>
      </c>
      <c r="W15" s="1393">
        <f t="shared" si="5"/>
        <v>2.0000000000000001E-4</v>
      </c>
      <c r="X15" s="1394">
        <f t="shared" si="6"/>
        <v>6.5399999999999998E-3</v>
      </c>
      <c r="Y15" s="1472">
        <f t="shared" ref="Y15:AH15" si="31">SUM(Y13:Y14)</f>
        <v>2078.3000000000002</v>
      </c>
      <c r="Z15" s="1473">
        <f t="shared" si="31"/>
        <v>2229.6</v>
      </c>
      <c r="AA15" s="1473">
        <f t="shared" si="31"/>
        <v>2355.6</v>
      </c>
      <c r="AB15" s="1473">
        <f t="shared" si="31"/>
        <v>2415.6999999999998</v>
      </c>
      <c r="AC15" s="1473">
        <f t="shared" si="31"/>
        <v>2477.4</v>
      </c>
      <c r="AD15" s="1476">
        <f t="shared" si="31"/>
        <v>2540.6999999999998</v>
      </c>
      <c r="AE15" s="3298"/>
      <c r="AF15" s="3369" t="s">
        <v>642</v>
      </c>
      <c r="AG15" s="3370"/>
      <c r="AH15" s="1264">
        <f t="shared" si="31"/>
        <v>0.47799999999999998</v>
      </c>
      <c r="AI15" s="1265">
        <f t="shared" ref="AI15:AR15" si="32">SUM(AI13:AI14)</f>
        <v>0.51300000000000001</v>
      </c>
      <c r="AJ15" s="1265">
        <f t="shared" si="32"/>
        <v>0.54200000000000004</v>
      </c>
      <c r="AK15" s="1265">
        <f t="shared" si="32"/>
        <v>0.55600000000000005</v>
      </c>
      <c r="AL15" s="1265">
        <f t="shared" si="32"/>
        <v>0.56999999999999995</v>
      </c>
      <c r="AM15" s="1266">
        <f t="shared" ref="AM15" si="33">SUM(AM13:AM14)</f>
        <v>0.58399999999999996</v>
      </c>
      <c r="AN15" s="1264">
        <f t="shared" si="32"/>
        <v>15.898999999999999</v>
      </c>
      <c r="AO15" s="1265">
        <f t="shared" si="32"/>
        <v>17.056000000000001</v>
      </c>
      <c r="AP15" s="1265">
        <f t="shared" si="32"/>
        <v>18.02</v>
      </c>
      <c r="AQ15" s="1265">
        <f t="shared" si="32"/>
        <v>18.48</v>
      </c>
      <c r="AR15" s="1265">
        <f t="shared" si="32"/>
        <v>18.952000000000002</v>
      </c>
      <c r="AS15" s="1267">
        <f t="shared" ref="AS15" si="34">SUM(AS13:AS14)</f>
        <v>19.436</v>
      </c>
    </row>
    <row r="16" spans="1:46" ht="51">
      <c r="A16" s="3233" t="s">
        <v>30</v>
      </c>
      <c r="B16" s="1174" t="s">
        <v>665</v>
      </c>
      <c r="C16" s="1175" t="s">
        <v>17</v>
      </c>
      <c r="D16" s="1160">
        <v>0.106</v>
      </c>
      <c r="E16" s="991">
        <v>9.5000000000000001E-2</v>
      </c>
      <c r="F16" s="991">
        <v>0.104</v>
      </c>
      <c r="G16" s="990">
        <v>2.5000000000000001E-2</v>
      </c>
      <c r="H16" s="992">
        <v>4.0000000000000001E-3</v>
      </c>
      <c r="I16" s="1387">
        <v>3.0019999999999998</v>
      </c>
      <c r="J16" s="1388">
        <v>2.9950000000000001</v>
      </c>
      <c r="K16" s="1388">
        <v>2.6859999999999999</v>
      </c>
      <c r="L16" s="1389">
        <v>1.129</v>
      </c>
      <c r="M16" s="1390">
        <v>1.44</v>
      </c>
      <c r="N16" s="1157" t="s">
        <v>666</v>
      </c>
      <c r="O16" s="3297" t="s">
        <v>30</v>
      </c>
      <c r="P16" s="1174" t="s">
        <v>665</v>
      </c>
      <c r="Q16" s="1459" t="s">
        <v>17</v>
      </c>
      <c r="R16" s="294" t="s">
        <v>16</v>
      </c>
      <c r="S16" s="1460" t="s">
        <v>16</v>
      </c>
      <c r="T16" s="1461" t="s">
        <v>16</v>
      </c>
      <c r="U16" s="1461" t="s">
        <v>16</v>
      </c>
      <c r="V16" s="1462" t="s">
        <v>16</v>
      </c>
      <c r="W16" s="1466" t="s">
        <v>16</v>
      </c>
      <c r="X16" s="1467" t="s">
        <v>16</v>
      </c>
      <c r="Y16" s="294" t="s">
        <v>16</v>
      </c>
      <c r="Z16" s="1460" t="s">
        <v>16</v>
      </c>
      <c r="AA16" s="1461" t="s">
        <v>16</v>
      </c>
      <c r="AB16" s="1461" t="s">
        <v>16</v>
      </c>
      <c r="AC16" s="1461" t="s">
        <v>16</v>
      </c>
      <c r="AD16" s="1478" t="s">
        <v>16</v>
      </c>
      <c r="AE16" s="3297" t="s">
        <v>30</v>
      </c>
      <c r="AF16" s="751" t="s">
        <v>665</v>
      </c>
      <c r="AG16" s="1458" t="s">
        <v>17</v>
      </c>
      <c r="AH16" s="1275">
        <f>AVERAGE(D16:H16)</f>
        <v>6.7000000000000004E-2</v>
      </c>
      <c r="AI16" s="86">
        <f>AVERAGE(D16:H16)</f>
        <v>6.7000000000000004E-2</v>
      </c>
      <c r="AJ16" s="86">
        <f>AI16</f>
        <v>6.7000000000000004E-2</v>
      </c>
      <c r="AK16" s="86">
        <f t="shared" ref="AK16:AM16" si="35">AJ16</f>
        <v>6.7000000000000004E-2</v>
      </c>
      <c r="AL16" s="86">
        <f t="shared" si="35"/>
        <v>6.7000000000000004E-2</v>
      </c>
      <c r="AM16" s="1276">
        <f t="shared" si="35"/>
        <v>6.7000000000000004E-2</v>
      </c>
      <c r="AN16" s="1275">
        <f>AVERAGE(I16:M16)</f>
        <v>2.25</v>
      </c>
      <c r="AO16" s="86">
        <f>AN16</f>
        <v>2.25</v>
      </c>
      <c r="AP16" s="86">
        <f t="shared" ref="AP16:AS16" si="36">AO16</f>
        <v>2.25</v>
      </c>
      <c r="AQ16" s="86">
        <f t="shared" si="36"/>
        <v>2.25</v>
      </c>
      <c r="AR16" s="86">
        <f t="shared" si="36"/>
        <v>2.25</v>
      </c>
      <c r="AS16" s="1277">
        <f t="shared" si="36"/>
        <v>2.25</v>
      </c>
    </row>
    <row r="17" spans="1:46" ht="14.25" thickTop="1" thickBot="1">
      <c r="A17" s="3234"/>
      <c r="B17" s="3231" t="s">
        <v>642</v>
      </c>
      <c r="C17" s="3412"/>
      <c r="D17" s="1397">
        <f>SUM(D16)</f>
        <v>0.106</v>
      </c>
      <c r="E17" s="865">
        <f>SUM(E16)</f>
        <v>9.5000000000000001E-2</v>
      </c>
      <c r="F17" s="865">
        <f>SUM(F16)</f>
        <v>0.104</v>
      </c>
      <c r="G17" s="1398">
        <f>SUM(G16)</f>
        <v>2.5000000000000001E-2</v>
      </c>
      <c r="H17" s="1399">
        <v>0.155</v>
      </c>
      <c r="I17" s="1400">
        <f>SUM(I16)</f>
        <v>3.0019999999999998</v>
      </c>
      <c r="J17" s="1265">
        <f>SUM(J16)</f>
        <v>2.9950000000000001</v>
      </c>
      <c r="K17" s="1265">
        <f>SUM(K16)</f>
        <v>2.6859999999999999</v>
      </c>
      <c r="L17" s="1265">
        <f>SUM(L16)</f>
        <v>1.129</v>
      </c>
      <c r="M17" s="1401">
        <f>M16</f>
        <v>1.44</v>
      </c>
      <c r="N17" s="1155"/>
      <c r="O17" s="3298"/>
      <c r="P17" s="3231" t="s">
        <v>642</v>
      </c>
      <c r="Q17" s="3232"/>
      <c r="R17" s="1463" t="str">
        <f t="shared" ref="R17:V17" si="37">R16</f>
        <v>N/A</v>
      </c>
      <c r="S17" s="1464" t="str">
        <f t="shared" si="37"/>
        <v>N/A</v>
      </c>
      <c r="T17" s="1171" t="str">
        <f t="shared" si="37"/>
        <v>N/A</v>
      </c>
      <c r="U17" s="1171" t="str">
        <f t="shared" si="37"/>
        <v>N/A</v>
      </c>
      <c r="V17" s="1465" t="str">
        <f t="shared" si="37"/>
        <v>N/A</v>
      </c>
      <c r="W17" s="1393" t="s">
        <v>16</v>
      </c>
      <c r="X17" s="1395" t="s">
        <v>16</v>
      </c>
      <c r="Y17" s="1463" t="str">
        <f t="shared" ref="Y17:AC17" si="38">Y16</f>
        <v>N/A</v>
      </c>
      <c r="Z17" s="1464" t="str">
        <f t="shared" si="38"/>
        <v>N/A</v>
      </c>
      <c r="AA17" s="1171" t="str">
        <f t="shared" si="38"/>
        <v>N/A</v>
      </c>
      <c r="AB17" s="1171" t="str">
        <f t="shared" si="38"/>
        <v>N/A</v>
      </c>
      <c r="AC17" s="1171" t="str">
        <f t="shared" si="38"/>
        <v>N/A</v>
      </c>
      <c r="AD17" s="1477" t="str">
        <f t="shared" ref="AD17:AH17" si="39">AD16</f>
        <v>N/A</v>
      </c>
      <c r="AE17" s="3298"/>
      <c r="AF17" s="3369" t="s">
        <v>642</v>
      </c>
      <c r="AG17" s="3370"/>
      <c r="AH17" s="1397">
        <f t="shared" si="39"/>
        <v>6.7000000000000004E-2</v>
      </c>
      <c r="AI17" s="865">
        <f t="shared" ref="AI17:AR17" si="40">AI16</f>
        <v>6.7000000000000004E-2</v>
      </c>
      <c r="AJ17" s="865">
        <f t="shared" si="40"/>
        <v>6.7000000000000004E-2</v>
      </c>
      <c r="AK17" s="865">
        <f t="shared" si="40"/>
        <v>6.7000000000000004E-2</v>
      </c>
      <c r="AL17" s="865">
        <f t="shared" si="40"/>
        <v>6.7000000000000004E-2</v>
      </c>
      <c r="AM17" s="1402">
        <f t="shared" ref="AM17" si="41">AM16</f>
        <v>6.7000000000000004E-2</v>
      </c>
      <c r="AN17" s="1397">
        <f t="shared" si="40"/>
        <v>2.25</v>
      </c>
      <c r="AO17" s="865">
        <f t="shared" si="40"/>
        <v>2.25</v>
      </c>
      <c r="AP17" s="865">
        <f t="shared" si="40"/>
        <v>2.25</v>
      </c>
      <c r="AQ17" s="865">
        <f t="shared" si="40"/>
        <v>2.25</v>
      </c>
      <c r="AR17" s="865">
        <f t="shared" si="40"/>
        <v>2.25</v>
      </c>
      <c r="AS17" s="1403">
        <f t="shared" ref="AS17" si="42">AS16</f>
        <v>2.25</v>
      </c>
    </row>
    <row r="18" spans="1:46" ht="13.5" thickBot="1">
      <c r="A18" s="3479" t="s">
        <v>32</v>
      </c>
      <c r="B18" s="3480"/>
      <c r="C18" s="3480"/>
      <c r="D18" s="1404">
        <f>D4+D12+D15</f>
        <v>7.5460000000000003</v>
      </c>
      <c r="E18" s="1405">
        <f t="shared" ref="E18:M18" si="43">E4+E12+E15</f>
        <v>7.3319999999999999</v>
      </c>
      <c r="F18" s="1406">
        <f t="shared" si="43"/>
        <v>6.4370000000000003</v>
      </c>
      <c r="G18" s="1407">
        <f t="shared" si="43"/>
        <v>6.6790000000000003</v>
      </c>
      <c r="H18" s="1408">
        <f t="shared" si="43"/>
        <v>3.9460000000000002</v>
      </c>
      <c r="I18" s="1180">
        <f t="shared" si="43"/>
        <v>664.01900000000001</v>
      </c>
      <c r="J18" s="1181">
        <f t="shared" si="43"/>
        <v>624.06700000000001</v>
      </c>
      <c r="K18" s="1181">
        <f t="shared" si="43"/>
        <v>719.23599999999999</v>
      </c>
      <c r="L18" s="1181">
        <f t="shared" si="43"/>
        <v>569.62599999999998</v>
      </c>
      <c r="M18" s="1182">
        <f t="shared" si="43"/>
        <v>681.4</v>
      </c>
      <c r="N18" s="1156"/>
      <c r="O18" s="3479" t="s">
        <v>32</v>
      </c>
      <c r="P18" s="3480"/>
      <c r="Q18" s="3480"/>
      <c r="R18" s="1451">
        <f>R4+R12+R15</f>
        <v>5516.9</v>
      </c>
      <c r="S18" s="1452">
        <f t="shared" ref="S18:V18" si="44">S4+S12+S15</f>
        <v>5770.6</v>
      </c>
      <c r="T18" s="1452">
        <f t="shared" si="44"/>
        <v>5395.2</v>
      </c>
      <c r="U18" s="1452">
        <f t="shared" si="44"/>
        <v>5055.2</v>
      </c>
      <c r="V18" s="1453">
        <f t="shared" si="44"/>
        <v>5478.7</v>
      </c>
      <c r="W18" s="1409">
        <f t="shared" si="5"/>
        <v>1.17E-3</v>
      </c>
      <c r="X18" s="1410">
        <f t="shared" si="6"/>
        <v>0.11971999999999999</v>
      </c>
      <c r="Y18" s="1479">
        <f>Y4+Y12+Y15</f>
        <v>5012.3999999999996</v>
      </c>
      <c r="Z18" s="1480">
        <f t="shared" ref="Z18:AD18" si="45">Z4+Z12+Z15</f>
        <v>5244.4</v>
      </c>
      <c r="AA18" s="1480">
        <f t="shared" si="45"/>
        <v>5495.8</v>
      </c>
      <c r="AB18" s="1480">
        <f t="shared" si="45"/>
        <v>5792.2</v>
      </c>
      <c r="AC18" s="1480">
        <f t="shared" si="45"/>
        <v>6107.3</v>
      </c>
      <c r="AD18" s="1481">
        <f t="shared" si="45"/>
        <v>6443.3</v>
      </c>
      <c r="AE18" s="3286" t="s">
        <v>32</v>
      </c>
      <c r="AF18" s="3287"/>
      <c r="AG18" s="3288"/>
      <c r="AH18" s="1280">
        <f>AH4+AH12+AH15</f>
        <v>6.0410000000000004</v>
      </c>
      <c r="AI18" s="1181">
        <f t="shared" ref="AI18:AS18" si="46">AI4+AI12+AI15</f>
        <v>6.2350000000000003</v>
      </c>
      <c r="AJ18" s="1181">
        <f t="shared" si="46"/>
        <v>6.4939999999999998</v>
      </c>
      <c r="AK18" s="1181">
        <f t="shared" si="46"/>
        <v>6.9420000000000002</v>
      </c>
      <c r="AL18" s="1181">
        <f t="shared" si="46"/>
        <v>7.4189999999999996</v>
      </c>
      <c r="AM18" s="1281">
        <f t="shared" si="46"/>
        <v>7.9329999999999998</v>
      </c>
      <c r="AN18" s="1180">
        <f t="shared" si="46"/>
        <v>669.90700000000004</v>
      </c>
      <c r="AO18" s="1181">
        <f t="shared" si="46"/>
        <v>688.86300000000006</v>
      </c>
      <c r="AP18" s="1181">
        <f t="shared" si="46"/>
        <v>717.90200000000004</v>
      </c>
      <c r="AQ18" s="1181">
        <f t="shared" si="46"/>
        <v>771.774</v>
      </c>
      <c r="AR18" s="1181">
        <f t="shared" si="46"/>
        <v>829.44299999999998</v>
      </c>
      <c r="AS18" s="1282">
        <f t="shared" si="46"/>
        <v>891.44100000000003</v>
      </c>
    </row>
    <row r="19" spans="1:46" ht="13.5" thickBot="1">
      <c r="A19" s="3479" t="s">
        <v>33</v>
      </c>
      <c r="B19" s="3480"/>
      <c r="C19" s="3480"/>
      <c r="D19" s="1178">
        <f>D5+D6+D16</f>
        <v>2.5409999999999999</v>
      </c>
      <c r="E19" s="1405">
        <f t="shared" ref="E19:H19" si="47">E5+E6+E16</f>
        <v>1.86</v>
      </c>
      <c r="F19" s="1179">
        <f t="shared" si="47"/>
        <v>1.577</v>
      </c>
      <c r="G19" s="1405">
        <f t="shared" si="47"/>
        <v>1.5249999999999999</v>
      </c>
      <c r="H19" s="2973">
        <f t="shared" si="47"/>
        <v>1.6339999999999999</v>
      </c>
      <c r="I19" s="1180">
        <f>I5+I6+I16</f>
        <v>3.0019999999999998</v>
      </c>
      <c r="J19" s="1181">
        <f t="shared" ref="J19:M19" si="48">J5+J6+J16</f>
        <v>2.9950000000000001</v>
      </c>
      <c r="K19" s="1181">
        <f t="shared" si="48"/>
        <v>2.6859999999999999</v>
      </c>
      <c r="L19" s="2974">
        <f t="shared" si="48"/>
        <v>1.129</v>
      </c>
      <c r="M19" s="1281">
        <f t="shared" si="48"/>
        <v>1.44</v>
      </c>
      <c r="N19" s="1156"/>
      <c r="O19" s="3479" t="s">
        <v>33</v>
      </c>
      <c r="P19" s="3480"/>
      <c r="Q19" s="3480"/>
      <c r="R19" s="1451">
        <f>R5+R6</f>
        <v>338.4</v>
      </c>
      <c r="S19" s="2975">
        <f t="shared" ref="S19:V19" si="49">S5+S6</f>
        <v>348.3</v>
      </c>
      <c r="T19" s="1453">
        <f t="shared" si="49"/>
        <v>354.1</v>
      </c>
      <c r="U19" s="1453">
        <f t="shared" si="49"/>
        <v>345.9</v>
      </c>
      <c r="V19" s="2976">
        <f t="shared" si="49"/>
        <v>337.6</v>
      </c>
      <c r="W19" s="1392">
        <f t="shared" si="5"/>
        <v>5.3E-3</v>
      </c>
      <c r="X19" s="1396">
        <f t="shared" si="6"/>
        <v>6.5300000000000002E-3</v>
      </c>
      <c r="Y19" s="1479">
        <f>Y5+Y6</f>
        <v>345.5</v>
      </c>
      <c r="Z19" s="2978">
        <f t="shared" ref="Z19:AD19" si="50">Z5+Z6</f>
        <v>327.60000000000002</v>
      </c>
      <c r="AA19" s="1480">
        <f t="shared" si="50"/>
        <v>335</v>
      </c>
      <c r="AB19" s="1480">
        <f t="shared" si="50"/>
        <v>348.8</v>
      </c>
      <c r="AC19" s="1481">
        <f t="shared" si="50"/>
        <v>363.2</v>
      </c>
      <c r="AD19" s="2977">
        <f t="shared" si="50"/>
        <v>378.1</v>
      </c>
      <c r="AE19" s="3286" t="s">
        <v>33</v>
      </c>
      <c r="AF19" s="3287"/>
      <c r="AG19" s="3288"/>
      <c r="AH19" s="1280">
        <f>AH5+AH6+AH16</f>
        <v>1.83</v>
      </c>
      <c r="AI19" s="1181">
        <f t="shared" ref="AI19:AM19" si="51">AI5+AI6+AI16</f>
        <v>1.738</v>
      </c>
      <c r="AJ19" s="1181">
        <f t="shared" si="51"/>
        <v>1.776</v>
      </c>
      <c r="AK19" s="1181">
        <f t="shared" si="51"/>
        <v>1.8460000000000001</v>
      </c>
      <c r="AL19" s="1181">
        <f t="shared" si="51"/>
        <v>1.92</v>
      </c>
      <c r="AM19" s="2979">
        <f t="shared" si="51"/>
        <v>1.996</v>
      </c>
      <c r="AN19" s="1180">
        <f>AN5+AN6+AN16</f>
        <v>2.25</v>
      </c>
      <c r="AO19" s="2980">
        <f t="shared" ref="AO19:AS19" si="52">AO5+AO6+AO16</f>
        <v>2.25</v>
      </c>
      <c r="AP19" s="2980">
        <f t="shared" si="52"/>
        <v>2.25</v>
      </c>
      <c r="AQ19" s="2980">
        <f t="shared" si="52"/>
        <v>2.25</v>
      </c>
      <c r="AR19" s="1181">
        <f t="shared" si="52"/>
        <v>2.25</v>
      </c>
      <c r="AS19" s="2974">
        <f t="shared" si="52"/>
        <v>2.25</v>
      </c>
      <c r="AT19" s="2981"/>
    </row>
    <row r="20" spans="1:46" ht="13.5" thickBot="1">
      <c r="A20" s="3229" t="s">
        <v>513</v>
      </c>
      <c r="B20" s="3478"/>
      <c r="C20" s="3478"/>
      <c r="D20" s="1163">
        <f>D18+D19</f>
        <v>10.087</v>
      </c>
      <c r="E20" s="1183">
        <f t="shared" ref="E20:M20" si="53">E18+E19</f>
        <v>9.1920000000000002</v>
      </c>
      <c r="F20" s="1183">
        <f t="shared" si="53"/>
        <v>8.0139999999999993</v>
      </c>
      <c r="G20" s="85">
        <f t="shared" si="53"/>
        <v>8.2040000000000006</v>
      </c>
      <c r="H20" s="287">
        <f t="shared" si="53"/>
        <v>5.58</v>
      </c>
      <c r="I20" s="1180">
        <f t="shared" si="53"/>
        <v>667.02099999999996</v>
      </c>
      <c r="J20" s="1181">
        <f t="shared" si="53"/>
        <v>627.06200000000001</v>
      </c>
      <c r="K20" s="1181">
        <f t="shared" si="53"/>
        <v>721.92200000000003</v>
      </c>
      <c r="L20" s="1181">
        <f t="shared" si="53"/>
        <v>570.755</v>
      </c>
      <c r="M20" s="1182">
        <f t="shared" si="53"/>
        <v>682.84</v>
      </c>
      <c r="N20" s="1156"/>
      <c r="O20" s="3229" t="s">
        <v>513</v>
      </c>
      <c r="P20" s="3478"/>
      <c r="Q20" s="3478"/>
      <c r="R20" s="1454">
        <f t="shared" ref="R20" si="54">SUM(R18:R19)</f>
        <v>5855.3</v>
      </c>
      <c r="S20" s="1455">
        <f t="shared" ref="S20:V20" si="55">SUM(S18:S19)</f>
        <v>6118.9</v>
      </c>
      <c r="T20" s="1455">
        <f t="shared" si="55"/>
        <v>5749.3</v>
      </c>
      <c r="U20" s="1455">
        <f t="shared" si="55"/>
        <v>5401.1</v>
      </c>
      <c r="V20" s="1456">
        <f t="shared" si="55"/>
        <v>5816.3</v>
      </c>
      <c r="W20" s="1392">
        <f t="shared" si="5"/>
        <v>1.42E-3</v>
      </c>
      <c r="X20" s="1396">
        <f t="shared" si="6"/>
        <v>0.11298</v>
      </c>
      <c r="Y20" s="1479">
        <f>SUM(Y18:Y19)</f>
        <v>5357.9</v>
      </c>
      <c r="Z20" s="1480">
        <f t="shared" ref="Z20:AD20" si="56">SUM(Z18:Z19)</f>
        <v>5572</v>
      </c>
      <c r="AA20" s="1480">
        <f t="shared" si="56"/>
        <v>5830.8</v>
      </c>
      <c r="AB20" s="1480">
        <f t="shared" si="56"/>
        <v>6141</v>
      </c>
      <c r="AC20" s="1480">
        <f t="shared" si="56"/>
        <v>6470.5</v>
      </c>
      <c r="AD20" s="1481">
        <f t="shared" si="56"/>
        <v>6821.4</v>
      </c>
      <c r="AE20" s="3427" t="s">
        <v>513</v>
      </c>
      <c r="AF20" s="3445"/>
      <c r="AG20" s="3428"/>
      <c r="AH20" s="1283">
        <f>AH18+AH19</f>
        <v>7.8710000000000004</v>
      </c>
      <c r="AI20" s="88">
        <f t="shared" ref="AI20:AS20" si="57">AI18+AI19</f>
        <v>7.9729999999999999</v>
      </c>
      <c r="AJ20" s="88">
        <f t="shared" si="57"/>
        <v>8.27</v>
      </c>
      <c r="AK20" s="88">
        <f t="shared" si="57"/>
        <v>8.7880000000000003</v>
      </c>
      <c r="AL20" s="88">
        <f t="shared" si="57"/>
        <v>9.3390000000000004</v>
      </c>
      <c r="AM20" s="1284">
        <f t="shared" si="57"/>
        <v>9.9290000000000003</v>
      </c>
      <c r="AN20" s="1180">
        <f t="shared" si="57"/>
        <v>672.15700000000004</v>
      </c>
      <c r="AO20" s="1181">
        <f t="shared" si="57"/>
        <v>691.11300000000006</v>
      </c>
      <c r="AP20" s="1181">
        <f t="shared" si="57"/>
        <v>720.15200000000004</v>
      </c>
      <c r="AQ20" s="1181">
        <f t="shared" si="57"/>
        <v>774.024</v>
      </c>
      <c r="AR20" s="1181">
        <f t="shared" si="57"/>
        <v>831.69299999999998</v>
      </c>
      <c r="AS20" s="1282">
        <f t="shared" si="57"/>
        <v>893.69100000000003</v>
      </c>
    </row>
    <row r="21" spans="1:46">
      <c r="A21" s="54" t="s">
        <v>35</v>
      </c>
      <c r="Y21" s="2"/>
      <c r="Z21" s="2"/>
      <c r="AA21" s="2"/>
      <c r="AB21" s="2"/>
      <c r="AC21" s="2"/>
      <c r="AD21" s="2"/>
    </row>
    <row r="22" spans="1:46">
      <c r="A22" s="2" t="s">
        <v>68</v>
      </c>
      <c r="U22" s="256" t="s">
        <v>36</v>
      </c>
    </row>
    <row r="23" spans="1:46">
      <c r="A23" s="2" t="s">
        <v>69</v>
      </c>
      <c r="G23" s="256" t="s">
        <v>36</v>
      </c>
      <c r="J23" s="256" t="s">
        <v>36</v>
      </c>
      <c r="W23" s="256" t="s">
        <v>36</v>
      </c>
    </row>
    <row r="24" spans="1:46">
      <c r="A24" s="1" t="s">
        <v>667</v>
      </c>
      <c r="I24" s="256" t="s">
        <v>36</v>
      </c>
    </row>
    <row r="25" spans="1:46">
      <c r="A25" s="2" t="s">
        <v>668</v>
      </c>
    </row>
    <row r="26" spans="1:46">
      <c r="A26" s="2" t="s">
        <v>669</v>
      </c>
    </row>
    <row r="27" spans="1:46">
      <c r="A27" s="2" t="s">
        <v>670</v>
      </c>
    </row>
  </sheetData>
  <mergeCells count="54">
    <mergeCell ref="R2:V2"/>
    <mergeCell ref="O19:Q19"/>
    <mergeCell ref="O20:Q20"/>
    <mergeCell ref="O13:O15"/>
    <mergeCell ref="P15:Q15"/>
    <mergeCell ref="O16:O17"/>
    <mergeCell ref="P17:Q17"/>
    <mergeCell ref="O18:Q18"/>
    <mergeCell ref="Q2:Q3"/>
    <mergeCell ref="P7:Q7"/>
    <mergeCell ref="O4:O7"/>
    <mergeCell ref="A20:C20"/>
    <mergeCell ref="B15:C15"/>
    <mergeCell ref="A16:A17"/>
    <mergeCell ref="B17:C17"/>
    <mergeCell ref="A19:C19"/>
    <mergeCell ref="A13:A15"/>
    <mergeCell ref="A18:C18"/>
    <mergeCell ref="AE19:AG19"/>
    <mergeCell ref="AE20:AG20"/>
    <mergeCell ref="AE2:AE3"/>
    <mergeCell ref="AF2:AF3"/>
    <mergeCell ref="AG2:AG3"/>
    <mergeCell ref="AF7:AG7"/>
    <mergeCell ref="AE8:AE12"/>
    <mergeCell ref="AF12:AG12"/>
    <mergeCell ref="AE13:AE15"/>
    <mergeCell ref="AF15:AG15"/>
    <mergeCell ref="AE16:AE17"/>
    <mergeCell ref="AF17:AG17"/>
    <mergeCell ref="AE4:AE7"/>
    <mergeCell ref="A8:A12"/>
    <mergeCell ref="B12:C12"/>
    <mergeCell ref="B7:C7"/>
    <mergeCell ref="B2:B3"/>
    <mergeCell ref="C2:C3"/>
    <mergeCell ref="A2:A3"/>
    <mergeCell ref="A4:A7"/>
    <mergeCell ref="A1:N1"/>
    <mergeCell ref="O1:AD1"/>
    <mergeCell ref="AE1:AS1"/>
    <mergeCell ref="AE18:AG18"/>
    <mergeCell ref="Y2:AD2"/>
    <mergeCell ref="D2:H2"/>
    <mergeCell ref="P12:Q12"/>
    <mergeCell ref="I2:M2"/>
    <mergeCell ref="AH2:AM2"/>
    <mergeCell ref="AN2:AS2"/>
    <mergeCell ref="W2:W3"/>
    <mergeCell ref="N2:N3"/>
    <mergeCell ref="O8:O12"/>
    <mergeCell ref="X2:X3"/>
    <mergeCell ref="O2:O3"/>
    <mergeCell ref="P2:P3"/>
  </mergeCells>
  <pageMargins left="0.7" right="0.7" top="0.75" bottom="0.75" header="0.3" footer="0.3"/>
  <pageSetup paperSize="3" scale="63" fitToWidth="0" fitToHeight="0" pageOrder="overThenDown" orientation="landscape" r:id="rId1"/>
  <colBreaks count="2" manualBreakCount="2">
    <brk id="14" max="1048575" man="1"/>
    <brk id="3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G44"/>
  <sheetViews>
    <sheetView workbookViewId="0">
      <pane xSplit="2" ySplit="3" topLeftCell="C4" activePane="bottomRight" state="frozen"/>
      <selection pane="bottomRight" activeCell="AA17" sqref="AA17"/>
      <selection pane="bottomLeft" activeCell="A4" sqref="A4"/>
      <selection pane="topRight" activeCell="C1" sqref="C1"/>
    </sheetView>
  </sheetViews>
  <sheetFormatPr defaultColWidth="9.140625" defaultRowHeight="12.75"/>
  <cols>
    <col min="1" max="1" width="13.42578125" style="256" customWidth="1"/>
    <col min="2" max="2" width="10.28515625" style="256" customWidth="1"/>
    <col min="3" max="3" width="12" style="256" customWidth="1"/>
    <col min="4" max="4" width="11.28515625" style="1064" customWidth="1"/>
    <col min="5" max="5" width="8.7109375" style="256" customWidth="1"/>
    <col min="6" max="6" width="11.7109375" style="256" customWidth="1"/>
    <col min="7" max="7" width="11.5703125" style="1064" customWidth="1"/>
    <col min="8" max="8" width="9" style="256" customWidth="1"/>
    <col min="9" max="9" width="12" style="256" customWidth="1"/>
    <col min="10" max="10" width="11.28515625" style="1064" customWidth="1"/>
    <col min="11" max="11" width="9.140625" style="256" customWidth="1"/>
    <col min="12" max="12" width="11.7109375" style="256" customWidth="1"/>
    <col min="13" max="13" width="11.140625" style="1064" customWidth="1"/>
    <col min="14" max="14" width="9" style="256" customWidth="1"/>
    <col min="15" max="15" width="13" style="256" customWidth="1"/>
    <col min="16" max="16" width="11.28515625" style="1064" customWidth="1"/>
    <col min="17" max="17" width="9" style="256" customWidth="1"/>
    <col min="18" max="18" width="12.7109375" style="256" customWidth="1"/>
    <col min="19" max="19" width="11.7109375" style="1064" customWidth="1"/>
    <col min="20" max="20" width="9.28515625" style="256" customWidth="1"/>
    <col min="21" max="21" width="12.85546875" style="256" customWidth="1"/>
    <col min="22" max="22" width="11.140625" style="256" customWidth="1"/>
    <col min="23" max="23" width="9.28515625" style="256" customWidth="1"/>
    <col min="24" max="24" width="11.5703125" style="256" customWidth="1"/>
    <col min="25" max="25" width="11.42578125" style="1064" customWidth="1"/>
    <col min="26" max="26" width="9.140625" style="256"/>
    <col min="27" max="27" width="12.7109375" style="256" customWidth="1"/>
    <col min="28" max="28" width="11.85546875" style="256" customWidth="1"/>
    <col min="29" max="29" width="9.28515625" style="256" customWidth="1"/>
    <col min="30" max="30" width="9.140625" style="256" customWidth="1"/>
    <col min="31" max="33" width="13.85546875" style="256" hidden="1" customWidth="1"/>
    <col min="34" max="16384" width="9.140625" style="256"/>
  </cols>
  <sheetData>
    <row r="1" spans="1:33" s="2" customFormat="1" ht="28.5" customHeight="1" thickBot="1">
      <c r="A1" s="3224" t="s">
        <v>671</v>
      </c>
      <c r="B1" s="3224"/>
      <c r="C1" s="3224"/>
      <c r="D1" s="3224"/>
      <c r="E1" s="3224"/>
      <c r="F1" s="3224"/>
      <c r="G1" s="3224"/>
      <c r="H1" s="3224"/>
      <c r="I1" s="3224"/>
      <c r="J1" s="3224"/>
      <c r="K1" s="3224"/>
      <c r="L1" s="3224"/>
      <c r="M1" s="3224"/>
      <c r="N1" s="3224"/>
      <c r="O1" s="3224"/>
      <c r="P1" s="3224"/>
      <c r="Q1" s="3224"/>
      <c r="R1" s="3224"/>
      <c r="S1" s="3224"/>
      <c r="T1" s="3224"/>
      <c r="U1" s="3224"/>
      <c r="V1" s="3224"/>
      <c r="W1" s="3224"/>
      <c r="X1" s="3224"/>
      <c r="Y1" s="3224"/>
      <c r="Z1" s="3224"/>
      <c r="AA1" s="3224"/>
      <c r="AB1" s="3224"/>
      <c r="AC1" s="3224"/>
      <c r="AE1" s="3045"/>
      <c r="AF1" s="3045"/>
      <c r="AG1" s="3045"/>
    </row>
    <row r="2" spans="1:33" s="67" customFormat="1" ht="12.75" customHeight="1" thickBot="1">
      <c r="A2" s="3238" t="s">
        <v>1</v>
      </c>
      <c r="B2" s="3238" t="s">
        <v>2</v>
      </c>
      <c r="C2" s="3216" t="s">
        <v>578</v>
      </c>
      <c r="D2" s="3217"/>
      <c r="E2" s="3218"/>
      <c r="F2" s="3216" t="s">
        <v>672</v>
      </c>
      <c r="G2" s="3217"/>
      <c r="H2" s="3218"/>
      <c r="I2" s="3216" t="s">
        <v>673</v>
      </c>
      <c r="J2" s="3217"/>
      <c r="K2" s="3218"/>
      <c r="L2" s="3216" t="s">
        <v>674</v>
      </c>
      <c r="M2" s="3217"/>
      <c r="N2" s="3218"/>
      <c r="O2" s="3216" t="s">
        <v>675</v>
      </c>
      <c r="P2" s="3217"/>
      <c r="Q2" s="3218"/>
      <c r="R2" s="3216" t="s">
        <v>676</v>
      </c>
      <c r="S2" s="3217"/>
      <c r="T2" s="3218"/>
      <c r="U2" s="3216" t="s">
        <v>677</v>
      </c>
      <c r="V2" s="3217"/>
      <c r="W2" s="3218"/>
      <c r="X2" s="3216" t="s">
        <v>678</v>
      </c>
      <c r="Y2" s="3217"/>
      <c r="Z2" s="3217"/>
      <c r="AA2" s="3216" t="s">
        <v>679</v>
      </c>
      <c r="AB2" s="3217"/>
      <c r="AC2" s="3218"/>
      <c r="AE2" s="1811" t="s">
        <v>680</v>
      </c>
      <c r="AF2" s="1811" t="s">
        <v>681</v>
      </c>
      <c r="AG2" s="1023" t="s">
        <v>18</v>
      </c>
    </row>
    <row r="3" spans="1:33" s="67" customFormat="1" ht="81.75" customHeight="1" thickBot="1">
      <c r="A3" s="3240"/>
      <c r="B3" s="3240"/>
      <c r="C3" s="1943" t="s">
        <v>62</v>
      </c>
      <c r="D3" s="1787" t="s">
        <v>682</v>
      </c>
      <c r="E3" s="1664" t="s">
        <v>18</v>
      </c>
      <c r="F3" s="1943" t="s">
        <v>62</v>
      </c>
      <c r="G3" s="1788" t="s">
        <v>682</v>
      </c>
      <c r="H3" s="1789" t="s">
        <v>18</v>
      </c>
      <c r="I3" s="1943" t="s">
        <v>62</v>
      </c>
      <c r="J3" s="1787" t="s">
        <v>682</v>
      </c>
      <c r="K3" s="1664" t="s">
        <v>18</v>
      </c>
      <c r="L3" s="1942" t="s">
        <v>62</v>
      </c>
      <c r="M3" s="1788" t="s">
        <v>682</v>
      </c>
      <c r="N3" s="1790" t="s">
        <v>18</v>
      </c>
      <c r="O3" s="1943" t="s">
        <v>62</v>
      </c>
      <c r="P3" s="1787" t="s">
        <v>682</v>
      </c>
      <c r="Q3" s="1664" t="s">
        <v>18</v>
      </c>
      <c r="R3" s="1943" t="s">
        <v>62</v>
      </c>
      <c r="S3" s="1788" t="s">
        <v>682</v>
      </c>
      <c r="T3" s="1789" t="s">
        <v>18</v>
      </c>
      <c r="U3" s="1943" t="s">
        <v>62</v>
      </c>
      <c r="V3" s="1788" t="s">
        <v>682</v>
      </c>
      <c r="W3" s="1789" t="s">
        <v>18</v>
      </c>
      <c r="X3" s="1943" t="s">
        <v>62</v>
      </c>
      <c r="Y3" s="1787" t="s">
        <v>682</v>
      </c>
      <c r="Z3" s="1791" t="s">
        <v>18</v>
      </c>
      <c r="AA3" s="1943" t="s">
        <v>62</v>
      </c>
      <c r="AB3" s="1788" t="s">
        <v>682</v>
      </c>
      <c r="AC3" s="1789" t="s">
        <v>18</v>
      </c>
      <c r="AE3" s="1812" t="s">
        <v>59</v>
      </c>
      <c r="AF3" s="1812" t="s">
        <v>59</v>
      </c>
      <c r="AG3" s="1812" t="s">
        <v>59</v>
      </c>
    </row>
    <row r="4" spans="1:33" s="2" customFormat="1">
      <c r="A4" s="443" t="s">
        <v>14</v>
      </c>
      <c r="B4" s="1299" t="s">
        <v>15</v>
      </c>
      <c r="C4" s="1300">
        <f>'Table 4'!L5</f>
        <v>21.14</v>
      </c>
      <c r="D4" s="10">
        <f>'Table 6'!M5</f>
        <v>0.85</v>
      </c>
      <c r="E4" s="11">
        <f>C4+D4</f>
        <v>21.99</v>
      </c>
      <c r="F4" s="1300">
        <f>'Table 4'!O5+'Table 4'!P5</f>
        <v>22.05</v>
      </c>
      <c r="G4" s="7">
        <f>'Table 6'!P5</f>
        <v>0.67</v>
      </c>
      <c r="H4" s="53">
        <f t="shared" ref="H4:H23" si="0">F4+G4</f>
        <v>22.72</v>
      </c>
      <c r="I4" s="1300">
        <f>'Table 4'!S5+'Table 4'!T5</f>
        <v>22.53</v>
      </c>
      <c r="J4" s="10">
        <f>'Table 6'!S5</f>
        <v>0.7</v>
      </c>
      <c r="K4" s="11">
        <f>I4+J4</f>
        <v>23.23</v>
      </c>
      <c r="L4" s="1300">
        <f>'Table 4'!W5+'Table 4'!X5</f>
        <v>22.73</v>
      </c>
      <c r="M4" s="7">
        <f>'Table 6'!V5</f>
        <v>0.83</v>
      </c>
      <c r="N4" s="8">
        <f>L4+M4</f>
        <v>23.56</v>
      </c>
      <c r="O4" s="1300">
        <f>'Table 4'!AA5+'Table 4'!AB5</f>
        <v>22.74</v>
      </c>
      <c r="P4" s="585">
        <f>'Table 6'!Y5</f>
        <v>0.83</v>
      </c>
      <c r="Q4" s="11">
        <f>O4+P4</f>
        <v>23.57</v>
      </c>
      <c r="R4" s="1300">
        <f>'Table 4'!AE5+'Table 4'!AF5</f>
        <v>22.81</v>
      </c>
      <c r="S4" s="445">
        <f>'Table 6'!AB5</f>
        <v>0.9</v>
      </c>
      <c r="T4" s="53">
        <f>R4+S4</f>
        <v>23.71</v>
      </c>
      <c r="U4" s="1300">
        <f>'Table 4'!AI5+'Table 4'!AJ5</f>
        <v>22.83</v>
      </c>
      <c r="V4" s="445">
        <f>'Table 6'!AE5</f>
        <v>1</v>
      </c>
      <c r="W4" s="53">
        <f>U4+V4</f>
        <v>23.83</v>
      </c>
      <c r="X4" s="1301">
        <f t="shared" ref="X4:Z7" si="1">(U4-C4)/C4</f>
        <v>0.08</v>
      </c>
      <c r="Y4" s="1302">
        <f t="shared" si="1"/>
        <v>0.18</v>
      </c>
      <c r="Z4" s="1303">
        <f t="shared" si="1"/>
        <v>0.08</v>
      </c>
      <c r="AA4" s="1304">
        <f>'Table 4'!AN5+'Table 4'!AO5</f>
        <v>24.2</v>
      </c>
      <c r="AB4" s="1359">
        <f>'Table 6'!AI5</f>
        <v>1.06</v>
      </c>
      <c r="AC4" s="1305">
        <f>AA4+AB4</f>
        <v>25.26</v>
      </c>
      <c r="AE4" s="1360">
        <f t="shared" ref="AE4:AE26" si="2">U4-C4</f>
        <v>1.69</v>
      </c>
      <c r="AF4" s="1360">
        <f t="shared" ref="AF4:AF26" si="3">V4-D4</f>
        <v>0.15</v>
      </c>
      <c r="AG4" s="1360">
        <f t="shared" ref="AG4:AG26" si="4">W4-E4</f>
        <v>1.84</v>
      </c>
    </row>
    <row r="5" spans="1:33" s="2" customFormat="1" ht="13.5" thickBot="1">
      <c r="A5" s="579" t="s">
        <v>14</v>
      </c>
      <c r="B5" s="1793" t="s">
        <v>17</v>
      </c>
      <c r="C5" s="1306">
        <f>'Table 4'!L6</f>
        <v>2.35</v>
      </c>
      <c r="D5" s="412">
        <f>'Table 6'!M6</f>
        <v>1.84</v>
      </c>
      <c r="E5" s="876">
        <f>C5+D5</f>
        <v>4.1900000000000004</v>
      </c>
      <c r="F5" s="1306">
        <f>'Table 4'!O6+'Table 4'!P6</f>
        <v>2.54</v>
      </c>
      <c r="G5" s="412">
        <f>'Table 6'!P6</f>
        <v>2.27</v>
      </c>
      <c r="H5" s="50">
        <f t="shared" si="0"/>
        <v>4.8099999999999996</v>
      </c>
      <c r="I5" s="1306">
        <f>'Table 4'!S6+'Table 4'!T6</f>
        <v>2.56</v>
      </c>
      <c r="J5" s="412">
        <f>'Table 6'!S6</f>
        <v>2.63</v>
      </c>
      <c r="K5" s="876">
        <f t="shared" ref="K5:K12" si="5">I5+J5</f>
        <v>5.19</v>
      </c>
      <c r="L5" s="1349">
        <f>'Table 4'!W6+'Table 4'!X6</f>
        <v>2.71</v>
      </c>
      <c r="M5" s="412">
        <f>'Table 6'!V6</f>
        <v>2.89</v>
      </c>
      <c r="N5" s="17">
        <f t="shared" ref="N5:N12" si="6">L5+M5</f>
        <v>5.6</v>
      </c>
      <c r="O5" s="467">
        <f>'Table 4'!AA6+'Table 4'!AB6</f>
        <v>2.89</v>
      </c>
      <c r="P5" s="412">
        <f>'Table 6'!Y6</f>
        <v>3.27</v>
      </c>
      <c r="Q5" s="876">
        <f t="shared" ref="Q5:Q12" si="7">O5+P5</f>
        <v>6.16</v>
      </c>
      <c r="R5" s="467">
        <f>'Table 4'!AE6+'Table 4'!AF6</f>
        <v>2.95</v>
      </c>
      <c r="S5" s="412">
        <f>'Table 6'!AB6</f>
        <v>3.54</v>
      </c>
      <c r="T5" s="50">
        <f t="shared" ref="T5:T12" si="8">R5+S5</f>
        <v>6.49</v>
      </c>
      <c r="U5" s="467">
        <f>'Table 4'!AI6+'Table 4'!AJ6</f>
        <v>2.98</v>
      </c>
      <c r="V5" s="412">
        <f>'Table 6'!AE6</f>
        <v>3.75</v>
      </c>
      <c r="W5" s="50">
        <f>U5+V5</f>
        <v>6.73</v>
      </c>
      <c r="X5" s="1307">
        <f t="shared" si="1"/>
        <v>0.27</v>
      </c>
      <c r="Y5" s="1308">
        <f t="shared" si="1"/>
        <v>1.04</v>
      </c>
      <c r="Z5" s="1350">
        <f t="shared" si="1"/>
        <v>0.61</v>
      </c>
      <c r="AA5" s="1309">
        <f>'Table 4'!AN6+'Table 4'!AO6</f>
        <v>3.17</v>
      </c>
      <c r="AB5" s="1310">
        <f>'Table 6'!AI6</f>
        <v>3.97</v>
      </c>
      <c r="AC5" s="1311">
        <f t="shared" ref="AC5:AC23" si="9">AA5+AB5</f>
        <v>7.14</v>
      </c>
      <c r="AE5" s="1312">
        <f t="shared" si="2"/>
        <v>0.63</v>
      </c>
      <c r="AF5" s="1312">
        <f t="shared" si="3"/>
        <v>1.91</v>
      </c>
      <c r="AG5" s="1312">
        <f t="shared" si="4"/>
        <v>2.54</v>
      </c>
    </row>
    <row r="6" spans="1:33" s="67" customFormat="1" ht="14.25" thickTop="1" thickBot="1">
      <c r="A6" s="3202" t="s">
        <v>683</v>
      </c>
      <c r="B6" s="3203"/>
      <c r="C6" s="1226">
        <f>'Table 4'!L7</f>
        <v>23.49</v>
      </c>
      <c r="D6" s="316">
        <f>'Table 6'!M7</f>
        <v>2.69</v>
      </c>
      <c r="E6" s="353">
        <f>C6+D6</f>
        <v>26.18</v>
      </c>
      <c r="F6" s="1226">
        <f>'Table 4'!P7</f>
        <v>0</v>
      </c>
      <c r="G6" s="318">
        <f>'Table 6'!P7</f>
        <v>2.94</v>
      </c>
      <c r="H6" s="315">
        <f t="shared" si="0"/>
        <v>2.94</v>
      </c>
      <c r="I6" s="1226">
        <f>'Table 4'!S7</f>
        <v>25.09</v>
      </c>
      <c r="J6" s="316">
        <f>'Table 6'!S7</f>
        <v>3.33</v>
      </c>
      <c r="K6" s="353">
        <f t="shared" si="5"/>
        <v>28.42</v>
      </c>
      <c r="L6" s="1313">
        <f>'Table 4'!W7</f>
        <v>25.44</v>
      </c>
      <c r="M6" s="318">
        <f>'Table 6'!V7</f>
        <v>3.72</v>
      </c>
      <c r="N6" s="565">
        <f t="shared" si="6"/>
        <v>29.16</v>
      </c>
      <c r="O6" s="482">
        <f>'Table 4'!AA7</f>
        <v>25.63</v>
      </c>
      <c r="P6" s="554">
        <f>'Table 6'!Y7</f>
        <v>4.0999999999999996</v>
      </c>
      <c r="Q6" s="353">
        <f t="shared" si="7"/>
        <v>29.73</v>
      </c>
      <c r="R6" s="482">
        <f>'Table 4'!AE7</f>
        <v>25.76</v>
      </c>
      <c r="S6" s="483">
        <f>'Table 6'!AB7</f>
        <v>4.4400000000000004</v>
      </c>
      <c r="T6" s="315">
        <f t="shared" si="8"/>
        <v>30.2</v>
      </c>
      <c r="U6" s="482">
        <f>SUM(U4:U5)</f>
        <v>25.81</v>
      </c>
      <c r="V6" s="483">
        <f t="shared" ref="V6:W6" si="10">SUM(V4:V5)</f>
        <v>4.75</v>
      </c>
      <c r="W6" s="315">
        <f t="shared" si="10"/>
        <v>30.56</v>
      </c>
      <c r="X6" s="1314">
        <f t="shared" si="1"/>
        <v>0.1</v>
      </c>
      <c r="Y6" s="1315">
        <f t="shared" si="1"/>
        <v>0.77</v>
      </c>
      <c r="Z6" s="1316">
        <f t="shared" si="1"/>
        <v>0.17</v>
      </c>
      <c r="AA6" s="1317">
        <f>'Table 4'!AN7</f>
        <v>27.37</v>
      </c>
      <c r="AB6" s="1318">
        <f>'Table 6'!AI7</f>
        <v>5.03</v>
      </c>
      <c r="AC6" s="1319">
        <f t="shared" si="9"/>
        <v>32.4</v>
      </c>
      <c r="AE6" s="1320">
        <f t="shared" si="2"/>
        <v>2.3199999999999998</v>
      </c>
      <c r="AF6" s="1320">
        <f t="shared" si="3"/>
        <v>2.06</v>
      </c>
      <c r="AG6" s="1320">
        <f t="shared" si="4"/>
        <v>4.38</v>
      </c>
    </row>
    <row r="7" spans="1:33" s="2" customFormat="1">
      <c r="A7" s="443" t="s">
        <v>19</v>
      </c>
      <c r="B7" s="1299" t="s">
        <v>15</v>
      </c>
      <c r="C7" s="1200">
        <f>'Table 4'!L8</f>
        <v>0.92</v>
      </c>
      <c r="D7" s="123">
        <f>'Table 6'!M8</f>
        <v>2.08</v>
      </c>
      <c r="E7" s="152">
        <f>C7+D7</f>
        <v>3</v>
      </c>
      <c r="F7" s="1200">
        <f>'Table 4'!O8+'Table 4'!P8</f>
        <v>0.95</v>
      </c>
      <c r="G7" s="113">
        <f>'Table 6'!P8</f>
        <v>2.4300000000000002</v>
      </c>
      <c r="H7" s="146">
        <f t="shared" si="0"/>
        <v>3.38</v>
      </c>
      <c r="I7" s="1200">
        <f>'Table 4'!S8+'Table 4'!T8</f>
        <v>0.99</v>
      </c>
      <c r="J7" s="123">
        <f>'Table 6'!S8</f>
        <v>2.56</v>
      </c>
      <c r="K7" s="152">
        <f>I7+J7</f>
        <v>3.55</v>
      </c>
      <c r="L7" s="109">
        <f>'Table 4'!W8+'Table 4'!X8</f>
        <v>1.06</v>
      </c>
      <c r="M7" s="113">
        <f>'Table 6'!V8</f>
        <v>2.64</v>
      </c>
      <c r="N7" s="143">
        <f>L7+M7</f>
        <v>3.7</v>
      </c>
      <c r="O7" s="464">
        <f>'Table 4'!AA8+'Table 4'!AB8</f>
        <v>1.08</v>
      </c>
      <c r="P7" s="559">
        <f>'Table 6'!Y8</f>
        <v>2.73</v>
      </c>
      <c r="Q7" s="152">
        <f>O7+P7</f>
        <v>3.81</v>
      </c>
      <c r="R7" s="464">
        <f>'Table 4'!AE8+'Table 4'!AF8</f>
        <v>1.0900000000000001</v>
      </c>
      <c r="S7" s="465">
        <f>'Table 6'!AB8</f>
        <v>2.81</v>
      </c>
      <c r="T7" s="146">
        <f>R7+S7</f>
        <v>3.9</v>
      </c>
      <c r="U7" s="464">
        <f>'Table 4'!AI8+'Table 4'!AJ8</f>
        <v>1.0900000000000001</v>
      </c>
      <c r="V7" s="465">
        <f>'Table 6'!AE8</f>
        <v>2.9</v>
      </c>
      <c r="W7" s="146">
        <f>U7+V7</f>
        <v>3.99</v>
      </c>
      <c r="X7" s="1321">
        <f t="shared" si="1"/>
        <v>0.18</v>
      </c>
      <c r="Y7" s="1322">
        <f t="shared" si="1"/>
        <v>0.39</v>
      </c>
      <c r="Z7" s="1323">
        <f t="shared" si="1"/>
        <v>0.33</v>
      </c>
      <c r="AA7" s="1324">
        <f>'Table 4'!AN8+'Table 4'!AO8</f>
        <v>1.1499999999999999</v>
      </c>
      <c r="AB7" s="1325">
        <f>'Table 6'!AI8</f>
        <v>3.07</v>
      </c>
      <c r="AC7" s="1326">
        <f t="shared" si="9"/>
        <v>4.22</v>
      </c>
      <c r="AE7" s="1327">
        <f t="shared" si="2"/>
        <v>0.17</v>
      </c>
      <c r="AF7" s="1327">
        <f t="shared" si="3"/>
        <v>0.82</v>
      </c>
      <c r="AG7" s="1327">
        <f t="shared" si="4"/>
        <v>0.99</v>
      </c>
    </row>
    <row r="8" spans="1:33" s="2" customFormat="1" ht="13.5" thickBot="1">
      <c r="A8" s="579" t="s">
        <v>19</v>
      </c>
      <c r="B8" s="579" t="s">
        <v>17</v>
      </c>
      <c r="C8" s="1306">
        <f>'Table 4'!L9</f>
        <v>0</v>
      </c>
      <c r="D8" s="412">
        <f>'Table 6'!M9</f>
        <v>0.05</v>
      </c>
      <c r="E8" s="876">
        <f>C8+D8</f>
        <v>0.05</v>
      </c>
      <c r="F8" s="1306">
        <f>'Table 4'!O9+'Table 4'!P9</f>
        <v>0</v>
      </c>
      <c r="G8" s="410">
        <f>'Table 6'!P9</f>
        <v>0.06</v>
      </c>
      <c r="H8" s="50">
        <f t="shared" si="0"/>
        <v>0.06</v>
      </c>
      <c r="I8" s="1306">
        <f>'Table 4'!S9+'Table 4'!T9</f>
        <v>0</v>
      </c>
      <c r="J8" s="412">
        <f>'Table 6'!S9</f>
        <v>0.06</v>
      </c>
      <c r="K8" s="876">
        <f t="shared" ref="K8" si="11">I8+J8</f>
        <v>0.06</v>
      </c>
      <c r="L8" s="1349">
        <f>'Table 4'!W9+'Table 4'!X9</f>
        <v>0</v>
      </c>
      <c r="M8" s="410">
        <f>'Table 6'!V9</f>
        <v>0.06</v>
      </c>
      <c r="N8" s="17">
        <f t="shared" ref="N8" si="12">L8+M8</f>
        <v>0.06</v>
      </c>
      <c r="O8" s="467">
        <f>'Table 4'!AA9+'Table 4'!AB9</f>
        <v>0</v>
      </c>
      <c r="P8" s="562">
        <f>'Table 6'!Y9</f>
        <v>0.06</v>
      </c>
      <c r="Q8" s="876">
        <f t="shared" ref="Q8" si="13">O8+P8</f>
        <v>0.06</v>
      </c>
      <c r="R8" s="467">
        <f>'Table 4'!AE9+'Table 4'!AF9</f>
        <v>0</v>
      </c>
      <c r="S8" s="531">
        <f>'Table 6'!AB9</f>
        <v>7.0000000000000007E-2</v>
      </c>
      <c r="T8" s="50">
        <f t="shared" ref="T8" si="14">R8+S8</f>
        <v>7.0000000000000007E-2</v>
      </c>
      <c r="U8" s="467">
        <f>'Table 4'!AI9+'Table 4'!AJ9</f>
        <v>0</v>
      </c>
      <c r="V8" s="531">
        <f>'Table 6'!AE9</f>
        <v>7.0000000000000007E-2</v>
      </c>
      <c r="W8" s="50">
        <f>U8+V8</f>
        <v>7.0000000000000007E-2</v>
      </c>
      <c r="X8" s="1328" t="s">
        <v>16</v>
      </c>
      <c r="Y8" s="1308">
        <f t="shared" ref="Y8:Y26" si="15">(V8-D8)/D8</f>
        <v>0.4</v>
      </c>
      <c r="Z8" s="1350">
        <f t="shared" ref="Z8:Z26" si="16">(W8-E8)/E8</f>
        <v>0.4</v>
      </c>
      <c r="AA8" s="1309">
        <f>'Table 4'!AN9+'Table 4'!AO9</f>
        <v>0</v>
      </c>
      <c r="AB8" s="1310">
        <f>'Table 6'!AI9</f>
        <v>7.0000000000000007E-2</v>
      </c>
      <c r="AC8" s="1351">
        <f t="shared" si="9"/>
        <v>7.0000000000000007E-2</v>
      </c>
      <c r="AE8" s="1312">
        <f t="shared" si="2"/>
        <v>0</v>
      </c>
      <c r="AF8" s="1312">
        <f t="shared" si="3"/>
        <v>0.02</v>
      </c>
      <c r="AG8" s="1312">
        <f t="shared" si="4"/>
        <v>0.02</v>
      </c>
    </row>
    <row r="9" spans="1:33" s="67" customFormat="1" ht="14.25" thickTop="1" thickBot="1">
      <c r="A9" s="3202" t="s">
        <v>684</v>
      </c>
      <c r="B9" s="3203"/>
      <c r="C9" s="1228">
        <f>'Table 4'!L10</f>
        <v>0.92</v>
      </c>
      <c r="D9" s="165">
        <f>'Table 6'!M10</f>
        <v>2.13</v>
      </c>
      <c r="E9" s="38">
        <f t="shared" ref="E9:E12" si="17">C9+D9</f>
        <v>3.05</v>
      </c>
      <c r="F9" s="1228">
        <f>'Table 4'!P10</f>
        <v>0</v>
      </c>
      <c r="G9" s="32">
        <f>'Table 6'!P10</f>
        <v>2.4900000000000002</v>
      </c>
      <c r="H9" s="154">
        <f t="shared" si="0"/>
        <v>2.4900000000000002</v>
      </c>
      <c r="I9" s="1228">
        <f>'Table 4'!S10</f>
        <v>0.99</v>
      </c>
      <c r="J9" s="165">
        <f>'Table 6'!S10</f>
        <v>2.62</v>
      </c>
      <c r="K9" s="38">
        <f t="shared" si="5"/>
        <v>3.61</v>
      </c>
      <c r="L9" s="120">
        <f>'Table 4'!W10</f>
        <v>1.06</v>
      </c>
      <c r="M9" s="32">
        <f>'Table 6'!V10</f>
        <v>2.7</v>
      </c>
      <c r="N9" s="33">
        <f t="shared" si="6"/>
        <v>3.76</v>
      </c>
      <c r="O9" s="470">
        <f>'Table 4'!AA10</f>
        <v>1.08</v>
      </c>
      <c r="P9" s="555">
        <f>'Table 6'!Y10</f>
        <v>2.79</v>
      </c>
      <c r="Q9" s="38">
        <f t="shared" si="7"/>
        <v>3.87</v>
      </c>
      <c r="R9" s="470">
        <f>'Table 4'!AE10</f>
        <v>1.0900000000000001</v>
      </c>
      <c r="S9" s="471">
        <f>'Table 6'!AB10</f>
        <v>2.88</v>
      </c>
      <c r="T9" s="154">
        <f t="shared" si="8"/>
        <v>3.97</v>
      </c>
      <c r="U9" s="470">
        <f>SUM(U7:U8)</f>
        <v>1.0900000000000001</v>
      </c>
      <c r="V9" s="471">
        <f t="shared" ref="V9:W9" si="18">SUM(V7:V8)</f>
        <v>2.97</v>
      </c>
      <c r="W9" s="154">
        <f t="shared" si="18"/>
        <v>4.0599999999999996</v>
      </c>
      <c r="X9" s="1329">
        <f t="shared" ref="X9:X26" si="19">(U9-C9)/C9</f>
        <v>0.18</v>
      </c>
      <c r="Y9" s="1330">
        <f t="shared" si="15"/>
        <v>0.39</v>
      </c>
      <c r="Z9" s="1331">
        <f t="shared" si="16"/>
        <v>0.33</v>
      </c>
      <c r="AA9" s="1332">
        <f>'Table 4'!AN10</f>
        <v>1.1499999999999999</v>
      </c>
      <c r="AB9" s="1333">
        <f>'Table 6'!AI10</f>
        <v>3.14</v>
      </c>
      <c r="AC9" s="1334">
        <f t="shared" si="9"/>
        <v>4.29</v>
      </c>
      <c r="AE9" s="1335">
        <f t="shared" si="2"/>
        <v>0.17</v>
      </c>
      <c r="AF9" s="1335">
        <f t="shared" si="3"/>
        <v>0.84</v>
      </c>
      <c r="AG9" s="1335">
        <f t="shared" si="4"/>
        <v>1.01</v>
      </c>
    </row>
    <row r="10" spans="1:33" s="2" customFormat="1">
      <c r="A10" s="475" t="s">
        <v>20</v>
      </c>
      <c r="B10" s="1299" t="s">
        <v>15</v>
      </c>
      <c r="C10" s="1200">
        <f>'Table 4'!L11</f>
        <v>0.04</v>
      </c>
      <c r="D10" s="123">
        <f>'Table 6'!M11</f>
        <v>0.28000000000000003</v>
      </c>
      <c r="E10" s="152">
        <f>C10+D10</f>
        <v>0.32</v>
      </c>
      <c r="F10" s="1200">
        <f>'Table 4'!O11+'Table 4'!P11</f>
        <v>0.01</v>
      </c>
      <c r="G10" s="113">
        <f>'Table 6'!P11</f>
        <v>0.21</v>
      </c>
      <c r="H10" s="146">
        <f t="shared" si="0"/>
        <v>0.22</v>
      </c>
      <c r="I10" s="1200">
        <f>'Table 4'!S11+'Table 4'!T11</f>
        <v>0.01</v>
      </c>
      <c r="J10" s="123">
        <f>'Table 6'!S11</f>
        <v>0.25</v>
      </c>
      <c r="K10" s="152">
        <f>I10+J10</f>
        <v>0.26</v>
      </c>
      <c r="L10" s="109">
        <f>'Table 4'!W11+'Table 4'!X11</f>
        <v>0.01</v>
      </c>
      <c r="M10" s="113">
        <f>'Table 6'!V11</f>
        <v>0.27</v>
      </c>
      <c r="N10" s="143">
        <f>L10+M10</f>
        <v>0.28000000000000003</v>
      </c>
      <c r="O10" s="464">
        <f>'Table 4'!AA11+'Table 4'!AB11</f>
        <v>0.01</v>
      </c>
      <c r="P10" s="559">
        <f>'Table 6'!Y11</f>
        <v>0.27</v>
      </c>
      <c r="Q10" s="152">
        <f>O10+P10</f>
        <v>0.28000000000000003</v>
      </c>
      <c r="R10" s="464">
        <f>'Table 4'!AE11+'Table 4'!AF11</f>
        <v>0.01</v>
      </c>
      <c r="S10" s="465">
        <f>'Table 6'!AB11</f>
        <v>0.28000000000000003</v>
      </c>
      <c r="T10" s="146">
        <f>R10+S10</f>
        <v>0.28999999999999998</v>
      </c>
      <c r="U10" s="464">
        <f>'Table 4'!AI11+'Table 4'!AJ11</f>
        <v>0.01</v>
      </c>
      <c r="V10" s="465">
        <f>'Table 6'!AE11</f>
        <v>0.3</v>
      </c>
      <c r="W10" s="146">
        <f>U10+V10</f>
        <v>0.31</v>
      </c>
      <c r="X10" s="1321">
        <f t="shared" si="19"/>
        <v>-0.75</v>
      </c>
      <c r="Y10" s="1322">
        <f t="shared" si="15"/>
        <v>7.0000000000000007E-2</v>
      </c>
      <c r="Z10" s="1323">
        <f t="shared" si="16"/>
        <v>-0.03</v>
      </c>
      <c r="AA10" s="1324">
        <f>'Table 4'!AN11+'Table 4'!AO11</f>
        <v>0.01</v>
      </c>
      <c r="AB10" s="1325">
        <f>'Table 6'!AI11</f>
        <v>0.32</v>
      </c>
      <c r="AC10" s="1326">
        <f t="shared" si="9"/>
        <v>0.33</v>
      </c>
      <c r="AE10" s="1327">
        <f t="shared" si="2"/>
        <v>-0.03</v>
      </c>
      <c r="AF10" s="1327">
        <f t="shared" si="3"/>
        <v>0.02</v>
      </c>
      <c r="AG10" s="1327">
        <f t="shared" si="4"/>
        <v>-0.01</v>
      </c>
    </row>
    <row r="11" spans="1:33" s="2" customFormat="1" ht="13.5" thickBot="1">
      <c r="A11" s="579" t="s">
        <v>20</v>
      </c>
      <c r="B11" s="1793" t="s">
        <v>17</v>
      </c>
      <c r="C11" s="1306">
        <f>'Table 4'!L12</f>
        <v>0.94</v>
      </c>
      <c r="D11" s="412">
        <f>'Table 6'!M12</f>
        <v>0.61</v>
      </c>
      <c r="E11" s="876">
        <f>C11+D11</f>
        <v>1.55</v>
      </c>
      <c r="F11" s="1306">
        <f>'Table 4'!O12+'Table 4'!P12</f>
        <v>1.04</v>
      </c>
      <c r="G11" s="410">
        <f>'Table 6'!P12</f>
        <v>0.56999999999999995</v>
      </c>
      <c r="H11" s="50">
        <f t="shared" si="0"/>
        <v>1.61</v>
      </c>
      <c r="I11" s="1306">
        <f>'Table 4'!S12+'Table 4'!T12</f>
        <v>1.05</v>
      </c>
      <c r="J11" s="412">
        <f>'Table 6'!S12</f>
        <v>0.56000000000000005</v>
      </c>
      <c r="K11" s="876">
        <f t="shared" ref="K11" si="20">I11+J11</f>
        <v>1.61</v>
      </c>
      <c r="L11" s="1349">
        <f>'Table 4'!W12+'Table 4'!X12</f>
        <v>1.07</v>
      </c>
      <c r="M11" s="410">
        <f>'Table 6'!V12</f>
        <v>0.56000000000000005</v>
      </c>
      <c r="N11" s="17">
        <f t="shared" ref="N11" si="21">L11+M11</f>
        <v>1.63</v>
      </c>
      <c r="O11" s="467">
        <f>'Table 4'!AA12+'Table 4'!AB12</f>
        <v>1.08</v>
      </c>
      <c r="P11" s="562">
        <f>'Table 6'!Y12</f>
        <v>0.55000000000000004</v>
      </c>
      <c r="Q11" s="876">
        <f t="shared" ref="Q11" si="22">O11+P11</f>
        <v>1.63</v>
      </c>
      <c r="R11" s="467">
        <f>'Table 4'!AE12+'Table 4'!AF12</f>
        <v>1.0900000000000001</v>
      </c>
      <c r="S11" s="531">
        <f>'Table 6'!AB12</f>
        <v>0.55000000000000004</v>
      </c>
      <c r="T11" s="50">
        <f t="shared" ref="T11" si="23">R11+S11</f>
        <v>1.64</v>
      </c>
      <c r="U11" s="467">
        <f>'Table 4'!AI12+'Table 4'!AJ12</f>
        <v>1.1100000000000001</v>
      </c>
      <c r="V11" s="531">
        <f>'Table 6'!AE12</f>
        <v>0.53</v>
      </c>
      <c r="W11" s="50">
        <f>U11+V11</f>
        <v>1.64</v>
      </c>
      <c r="X11" s="1307">
        <f t="shared" si="19"/>
        <v>0.18</v>
      </c>
      <c r="Y11" s="1308">
        <f t="shared" si="15"/>
        <v>-0.13</v>
      </c>
      <c r="Z11" s="1350">
        <f t="shared" si="16"/>
        <v>0.06</v>
      </c>
      <c r="AA11" s="1309">
        <f>'Table 4'!AN12+'Table 4'!AO12</f>
        <v>1.17</v>
      </c>
      <c r="AB11" s="1310">
        <f>'Table 6'!AI12</f>
        <v>0.52</v>
      </c>
      <c r="AC11" s="1351">
        <f t="shared" si="9"/>
        <v>1.69</v>
      </c>
      <c r="AE11" s="1312">
        <f t="shared" si="2"/>
        <v>0.17</v>
      </c>
      <c r="AF11" s="1312">
        <f t="shared" si="3"/>
        <v>-0.08</v>
      </c>
      <c r="AG11" s="1312">
        <f t="shared" si="4"/>
        <v>0.09</v>
      </c>
    </row>
    <row r="12" spans="1:33" s="67" customFormat="1" ht="14.25" thickTop="1" thickBot="1">
      <c r="A12" s="3413" t="s">
        <v>685</v>
      </c>
      <c r="B12" s="3415"/>
      <c r="C12" s="1228">
        <f>'Table 4'!L13</f>
        <v>0.98</v>
      </c>
      <c r="D12" s="165">
        <f>'Table 6'!M13</f>
        <v>0.89</v>
      </c>
      <c r="E12" s="38">
        <f t="shared" si="17"/>
        <v>1.87</v>
      </c>
      <c r="F12" s="1228">
        <f>'Table 4'!P13</f>
        <v>0</v>
      </c>
      <c r="G12" s="32">
        <f>'Table 6'!P13</f>
        <v>0.78</v>
      </c>
      <c r="H12" s="154">
        <f t="shared" si="0"/>
        <v>0.78</v>
      </c>
      <c r="I12" s="1228">
        <f>'Table 4'!S13</f>
        <v>1.06</v>
      </c>
      <c r="J12" s="165">
        <f>'Table 6'!S13</f>
        <v>0.81</v>
      </c>
      <c r="K12" s="38">
        <f t="shared" si="5"/>
        <v>1.87</v>
      </c>
      <c r="L12" s="120">
        <f>'Table 4'!W13</f>
        <v>1.08</v>
      </c>
      <c r="M12" s="32">
        <f>'Table 6'!V13</f>
        <v>0.83</v>
      </c>
      <c r="N12" s="33">
        <f t="shared" si="6"/>
        <v>1.91</v>
      </c>
      <c r="O12" s="470">
        <f>'Table 4'!AA13</f>
        <v>1.0900000000000001</v>
      </c>
      <c r="P12" s="555">
        <f>'Table 6'!Y13</f>
        <v>0.82</v>
      </c>
      <c r="Q12" s="38">
        <f t="shared" si="7"/>
        <v>1.91</v>
      </c>
      <c r="R12" s="470">
        <f>'Table 4'!AE13</f>
        <v>1.1000000000000001</v>
      </c>
      <c r="S12" s="471">
        <f>'Table 6'!AB13</f>
        <v>0.83</v>
      </c>
      <c r="T12" s="154">
        <f t="shared" si="8"/>
        <v>1.93</v>
      </c>
      <c r="U12" s="470">
        <f>SUM(U10:U11)</f>
        <v>1.1200000000000001</v>
      </c>
      <c r="V12" s="471">
        <f t="shared" ref="V12:W12" si="24">SUM(V10:V11)</f>
        <v>0.83</v>
      </c>
      <c r="W12" s="154">
        <f t="shared" si="24"/>
        <v>1.95</v>
      </c>
      <c r="X12" s="1329">
        <f t="shared" si="19"/>
        <v>0.14000000000000001</v>
      </c>
      <c r="Y12" s="1330">
        <f t="shared" si="15"/>
        <v>-7.0000000000000007E-2</v>
      </c>
      <c r="Z12" s="1331">
        <f t="shared" si="16"/>
        <v>0.04</v>
      </c>
      <c r="AA12" s="1332">
        <f>'Table 4'!AN13</f>
        <v>1.18</v>
      </c>
      <c r="AB12" s="1333">
        <f>'Table 6'!AI13</f>
        <v>0.84</v>
      </c>
      <c r="AC12" s="1334">
        <f t="shared" si="9"/>
        <v>2.02</v>
      </c>
      <c r="AE12" s="1335">
        <f t="shared" si="2"/>
        <v>0.14000000000000001</v>
      </c>
      <c r="AF12" s="1335">
        <f t="shared" si="3"/>
        <v>-0.06</v>
      </c>
      <c r="AG12" s="1335">
        <f t="shared" si="4"/>
        <v>0.08</v>
      </c>
    </row>
    <row r="13" spans="1:33" s="2" customFormat="1">
      <c r="A13" s="455" t="s">
        <v>21</v>
      </c>
      <c r="B13" s="1299" t="s">
        <v>15</v>
      </c>
      <c r="C13" s="1352">
        <f>'Table 4'!L14</f>
        <v>12.89</v>
      </c>
      <c r="D13" s="321">
        <f>'Table 6'!M14</f>
        <v>6.8</v>
      </c>
      <c r="E13" s="914">
        <f>C13+D13</f>
        <v>19.690000000000001</v>
      </c>
      <c r="F13" s="1352">
        <f>'Table 4'!O14+'Table 4'!P14</f>
        <v>14.99</v>
      </c>
      <c r="G13" s="884">
        <f>'Table 6'!P14</f>
        <v>5.0999999999999996</v>
      </c>
      <c r="H13" s="53">
        <f t="shared" si="0"/>
        <v>20.09</v>
      </c>
      <c r="I13" s="1352">
        <f>'Table 4'!S14+'Table 4'!T14</f>
        <v>16.579999999999998</v>
      </c>
      <c r="J13" s="321">
        <f>'Table 6'!S14</f>
        <v>5.61</v>
      </c>
      <c r="K13" s="11">
        <f>I13+J13</f>
        <v>22.19</v>
      </c>
      <c r="L13" s="1353">
        <f>'Table 4'!W14+'Table 4'!X14</f>
        <v>16.920000000000002</v>
      </c>
      <c r="M13" s="884">
        <f>'Table 6'!V14</f>
        <v>6.31</v>
      </c>
      <c r="N13" s="8">
        <f>L13+M13</f>
        <v>23.23</v>
      </c>
      <c r="O13" s="827">
        <f>'Table 4'!AA14+'Table 4'!AB14</f>
        <v>18.059999999999999</v>
      </c>
      <c r="P13" s="560">
        <f>'Table 6'!Y14</f>
        <v>6.55</v>
      </c>
      <c r="Q13" s="11">
        <f>O13+P13</f>
        <v>24.61</v>
      </c>
      <c r="R13" s="827">
        <f>'Table 4'!AE14+'Table 4'!AF14</f>
        <v>18.73</v>
      </c>
      <c r="S13" s="916">
        <f>'Table 6'!AB14</f>
        <v>6.75</v>
      </c>
      <c r="T13" s="53">
        <f>R13+S13</f>
        <v>25.48</v>
      </c>
      <c r="U13" s="827">
        <f>'Table 4'!AI14+'Table 4'!AJ14</f>
        <v>19.600000000000001</v>
      </c>
      <c r="V13" s="916">
        <f>'Table 6'!AE14</f>
        <v>6.9</v>
      </c>
      <c r="W13" s="53">
        <f>U13+V13</f>
        <v>26.5</v>
      </c>
      <c r="X13" s="1354">
        <f t="shared" si="19"/>
        <v>0.52</v>
      </c>
      <c r="Y13" s="1338">
        <f t="shared" si="15"/>
        <v>0.01</v>
      </c>
      <c r="Z13" s="1303">
        <f t="shared" si="16"/>
        <v>0.35</v>
      </c>
      <c r="AA13" s="1356">
        <f>'Table 4'!AN14+'Table 4'!AO14</f>
        <v>20.78</v>
      </c>
      <c r="AB13" s="1336">
        <f>'Table 6'!AI14</f>
        <v>7.31</v>
      </c>
      <c r="AC13" s="1357">
        <f t="shared" si="9"/>
        <v>28.09</v>
      </c>
      <c r="AE13" s="1337">
        <f t="shared" si="2"/>
        <v>6.71</v>
      </c>
      <c r="AF13" s="1337">
        <f t="shared" si="3"/>
        <v>0.1</v>
      </c>
      <c r="AG13" s="1337">
        <f t="shared" si="4"/>
        <v>6.81</v>
      </c>
    </row>
    <row r="14" spans="1:33" s="2" customFormat="1">
      <c r="A14" s="455" t="s">
        <v>686</v>
      </c>
      <c r="B14" s="1361" t="s">
        <v>17</v>
      </c>
      <c r="C14" s="1352">
        <f>'Table 4'!L15</f>
        <v>3.32</v>
      </c>
      <c r="D14" s="321">
        <f>'Table 6'!M15</f>
        <v>2.65</v>
      </c>
      <c r="E14" s="914">
        <f>C14+D14</f>
        <v>5.97</v>
      </c>
      <c r="F14" s="1352">
        <f>'Table 4'!O15+'Table 4'!P15</f>
        <v>3.47</v>
      </c>
      <c r="G14" s="884">
        <f>'Table 6'!P15</f>
        <v>2.73</v>
      </c>
      <c r="H14" s="53">
        <f t="shared" si="0"/>
        <v>6.2</v>
      </c>
      <c r="I14" s="1352">
        <f>'Table 4'!S15+'Table 4'!T15</f>
        <v>3.58</v>
      </c>
      <c r="J14" s="321">
        <f>'Table 6'!S15</f>
        <v>2.86</v>
      </c>
      <c r="K14" s="11">
        <f t="shared" ref="K14" si="25">I14+J14</f>
        <v>6.44</v>
      </c>
      <c r="L14" s="1353">
        <f>'Table 4'!W15+'Table 4'!X15</f>
        <v>3.68</v>
      </c>
      <c r="M14" s="884">
        <f>'Table 6'!V15</f>
        <v>2.97</v>
      </c>
      <c r="N14" s="8">
        <f t="shared" ref="N14" si="26">L14+M14</f>
        <v>6.65</v>
      </c>
      <c r="O14" s="827">
        <f>'Table 4'!AA15+'Table 4'!AB15</f>
        <v>3.78</v>
      </c>
      <c r="P14" s="560">
        <f>'Table 6'!Y15</f>
        <v>3.05</v>
      </c>
      <c r="Q14" s="11">
        <f t="shared" ref="Q14" si="27">O14+P14</f>
        <v>6.83</v>
      </c>
      <c r="R14" s="827">
        <f>'Table 4'!AE15+'Table 4'!AF15</f>
        <v>3.89</v>
      </c>
      <c r="S14" s="916">
        <f>'Table 6'!AB15</f>
        <v>3.12</v>
      </c>
      <c r="T14" s="53">
        <f t="shared" ref="T14" si="28">R14+S14</f>
        <v>7.01</v>
      </c>
      <c r="U14" s="827">
        <f>'Table 4'!AI15+'Table 4'!AJ15</f>
        <v>4</v>
      </c>
      <c r="V14" s="916">
        <f>'Table 6'!AE15</f>
        <v>3.18</v>
      </c>
      <c r="W14" s="53">
        <f>U14+V14</f>
        <v>7.18</v>
      </c>
      <c r="X14" s="1354">
        <f t="shared" si="19"/>
        <v>0.2</v>
      </c>
      <c r="Y14" s="1338">
        <f t="shared" si="15"/>
        <v>0.2</v>
      </c>
      <c r="Z14" s="1303">
        <f t="shared" si="16"/>
        <v>0.2</v>
      </c>
      <c r="AA14" s="1356">
        <f>'Table 4'!AN15+'Table 4'!AO15</f>
        <v>4.24</v>
      </c>
      <c r="AB14" s="1336">
        <f>'Table 6'!AI15</f>
        <v>3.32</v>
      </c>
      <c r="AC14" s="1357">
        <f t="shared" si="9"/>
        <v>7.56</v>
      </c>
      <c r="AE14" s="1337">
        <f t="shared" si="2"/>
        <v>0.68</v>
      </c>
      <c r="AF14" s="1337">
        <f t="shared" si="3"/>
        <v>0.53</v>
      </c>
      <c r="AG14" s="1337">
        <f t="shared" si="4"/>
        <v>1.21</v>
      </c>
    </row>
    <row r="15" spans="1:33" s="2" customFormat="1">
      <c r="A15" s="455" t="s">
        <v>23</v>
      </c>
      <c r="B15" s="1299" t="s">
        <v>15</v>
      </c>
      <c r="C15" s="1352">
        <f>'Table 4'!L16</f>
        <v>106.52</v>
      </c>
      <c r="D15" s="321">
        <f>'Table 6'!M16</f>
        <v>12.73</v>
      </c>
      <c r="E15" s="914">
        <f t="shared" ref="E15:E23" si="29">C15+D15</f>
        <v>119.25</v>
      </c>
      <c r="F15" s="1352">
        <f>'Table 4'!O16+'Table 4'!P16</f>
        <v>110.97</v>
      </c>
      <c r="G15" s="884">
        <f>'Table 6'!P16</f>
        <v>22.16</v>
      </c>
      <c r="H15" s="53">
        <f t="shared" si="0"/>
        <v>133.13</v>
      </c>
      <c r="I15" s="1352">
        <f>'Table 4'!S16+'Table 4'!T16</f>
        <v>118.59</v>
      </c>
      <c r="J15" s="321">
        <f>'Table 6'!S16</f>
        <v>23.81</v>
      </c>
      <c r="K15" s="11">
        <f t="shared" ref="K15:K23" si="30">I15+J15</f>
        <v>142.4</v>
      </c>
      <c r="L15" s="1353">
        <f>'Table 4'!W16+'Table 4'!X16</f>
        <v>124.49</v>
      </c>
      <c r="M15" s="884">
        <f>'Table 6'!V16</f>
        <v>25.07</v>
      </c>
      <c r="N15" s="8">
        <f t="shared" ref="N15:N23" si="31">L15+M15</f>
        <v>149.56</v>
      </c>
      <c r="O15" s="827">
        <f>'Table 4'!AA16+'Table 4'!AB16</f>
        <v>129.65</v>
      </c>
      <c r="P15" s="560">
        <f>'Table 6'!Y16</f>
        <v>26.19</v>
      </c>
      <c r="Q15" s="11">
        <f t="shared" ref="Q15:Q23" si="32">O15+P15</f>
        <v>155.84</v>
      </c>
      <c r="R15" s="827">
        <f>'Table 4'!AE16+'Table 4'!AF16</f>
        <v>133.77000000000001</v>
      </c>
      <c r="S15" s="916">
        <f>'Table 6'!AB16</f>
        <v>27.08</v>
      </c>
      <c r="T15" s="53">
        <f t="shared" ref="T15:T23" si="33">R15+S15</f>
        <v>160.85</v>
      </c>
      <c r="U15" s="827">
        <f>'Table 4'!AI16+'Table 4'!AJ16</f>
        <v>137.38</v>
      </c>
      <c r="V15" s="916">
        <f>'Table 6'!AE16</f>
        <v>27.85</v>
      </c>
      <c r="W15" s="53">
        <f t="shared" ref="W15:W23" si="34">U15+V15</f>
        <v>165.23</v>
      </c>
      <c r="X15" s="1354">
        <f t="shared" si="19"/>
        <v>0.28999999999999998</v>
      </c>
      <c r="Y15" s="1338">
        <f t="shared" si="15"/>
        <v>1.19</v>
      </c>
      <c r="Z15" s="1303">
        <f t="shared" si="16"/>
        <v>0.39</v>
      </c>
      <c r="AA15" s="1356">
        <f>'Table 4'!AN16+'Table 4'!AO16</f>
        <v>145.62</v>
      </c>
      <c r="AB15" s="1336">
        <f>'Table 6'!AI16</f>
        <v>29.52</v>
      </c>
      <c r="AC15" s="1357">
        <f t="shared" si="9"/>
        <v>175.14</v>
      </c>
      <c r="AE15" s="1337">
        <f t="shared" si="2"/>
        <v>30.86</v>
      </c>
      <c r="AF15" s="1337">
        <f t="shared" si="3"/>
        <v>15.12</v>
      </c>
      <c r="AG15" s="1337">
        <f t="shared" si="4"/>
        <v>45.98</v>
      </c>
    </row>
    <row r="16" spans="1:33" s="2" customFormat="1">
      <c r="A16" s="455" t="s">
        <v>24</v>
      </c>
      <c r="B16" s="1299" t="s">
        <v>15</v>
      </c>
      <c r="C16" s="1352">
        <f>'Table 4'!L17</f>
        <v>9.0500000000000007</v>
      </c>
      <c r="D16" s="321">
        <f>'Table 6'!M17</f>
        <v>0.31</v>
      </c>
      <c r="E16" s="914">
        <f t="shared" si="29"/>
        <v>9.36</v>
      </c>
      <c r="F16" s="1352">
        <f>'Table 4'!O17+'Table 4'!P17</f>
        <v>10.29</v>
      </c>
      <c r="G16" s="884">
        <f>'Table 6'!P17</f>
        <v>0.3</v>
      </c>
      <c r="H16" s="53">
        <f t="shared" si="0"/>
        <v>10.59</v>
      </c>
      <c r="I16" s="1352">
        <f>'Table 4'!S17+'Table 4'!T17</f>
        <v>11.45</v>
      </c>
      <c r="J16" s="321">
        <f>'Table 6'!S17</f>
        <v>0.3</v>
      </c>
      <c r="K16" s="11">
        <f t="shared" si="30"/>
        <v>11.75</v>
      </c>
      <c r="L16" s="1353">
        <f>'Table 4'!W17+'Table 4'!X17</f>
        <v>12.45</v>
      </c>
      <c r="M16" s="884">
        <f>'Table 6'!V17</f>
        <v>0.38</v>
      </c>
      <c r="N16" s="8">
        <f t="shared" si="31"/>
        <v>12.83</v>
      </c>
      <c r="O16" s="827">
        <f>'Table 4'!AA17+'Table 4'!AB17</f>
        <v>13.26</v>
      </c>
      <c r="P16" s="560">
        <f>'Table 6'!Y17</f>
        <v>0.39</v>
      </c>
      <c r="Q16" s="11">
        <f t="shared" si="32"/>
        <v>13.65</v>
      </c>
      <c r="R16" s="827">
        <f>'Table 4'!AE17+'Table 4'!AF17</f>
        <v>13.79</v>
      </c>
      <c r="S16" s="916">
        <f>'Table 6'!AB17</f>
        <v>0.39</v>
      </c>
      <c r="T16" s="53">
        <f t="shared" si="33"/>
        <v>14.18</v>
      </c>
      <c r="U16" s="827">
        <f>'Table 4'!AI17+'Table 4'!AJ17</f>
        <v>14.33</v>
      </c>
      <c r="V16" s="916">
        <f>'Table 6'!AE17</f>
        <v>0.4</v>
      </c>
      <c r="W16" s="53">
        <f t="shared" si="34"/>
        <v>14.73</v>
      </c>
      <c r="X16" s="1354">
        <f t="shared" si="19"/>
        <v>0.57999999999999996</v>
      </c>
      <c r="Y16" s="1338">
        <f t="shared" si="15"/>
        <v>0.28999999999999998</v>
      </c>
      <c r="Z16" s="1303">
        <f t="shared" si="16"/>
        <v>0.56999999999999995</v>
      </c>
      <c r="AA16" s="1356">
        <f>'Table 4'!AN17+'Table 4'!AO17</f>
        <v>15.18</v>
      </c>
      <c r="AB16" s="1336">
        <f>'Table 6'!AI17</f>
        <v>0.42</v>
      </c>
      <c r="AC16" s="1357">
        <f t="shared" si="9"/>
        <v>15.6</v>
      </c>
      <c r="AE16" s="1337">
        <f t="shared" si="2"/>
        <v>5.28</v>
      </c>
      <c r="AF16" s="1337">
        <f t="shared" si="3"/>
        <v>0.09</v>
      </c>
      <c r="AG16" s="1337">
        <f t="shared" si="4"/>
        <v>5.37</v>
      </c>
    </row>
    <row r="17" spans="1:33" s="2" customFormat="1">
      <c r="A17" s="456" t="s">
        <v>25</v>
      </c>
      <c r="B17" s="1299" t="s">
        <v>17</v>
      </c>
      <c r="C17" s="1917">
        <f>'Table 4'!L18</f>
        <v>0.22</v>
      </c>
      <c r="D17" s="1867">
        <f>'Table 6'!M18</f>
        <v>0.98</v>
      </c>
      <c r="E17" s="1868">
        <f t="shared" si="29"/>
        <v>1.2</v>
      </c>
      <c r="F17" s="1917">
        <f>'Table 4'!O18+'Table 4'!P18</f>
        <v>0.22</v>
      </c>
      <c r="G17" s="1866">
        <f>'Table 6'!P18</f>
        <v>1.05</v>
      </c>
      <c r="H17" s="53">
        <f t="shared" si="0"/>
        <v>1.27</v>
      </c>
      <c r="I17" s="1917">
        <f>'Table 4'!S18+'Table 4'!T18</f>
        <v>0.25</v>
      </c>
      <c r="J17" s="1867">
        <f>'Table 6'!S18</f>
        <v>1.0900000000000001</v>
      </c>
      <c r="K17" s="11">
        <f t="shared" si="30"/>
        <v>1.34</v>
      </c>
      <c r="L17" s="1848">
        <f>'Table 4'!W18+'Table 4'!X18</f>
        <v>0.27</v>
      </c>
      <c r="M17" s="1866">
        <f>'Table 6'!V18</f>
        <v>1.1299999999999999</v>
      </c>
      <c r="N17" s="8">
        <f t="shared" si="31"/>
        <v>1.4</v>
      </c>
      <c r="O17" s="1050">
        <f>'Table 4'!AA18+'Table 4'!AB18</f>
        <v>0.28000000000000003</v>
      </c>
      <c r="P17" s="1594">
        <f>'Table 6'!Y18</f>
        <v>1.17</v>
      </c>
      <c r="Q17" s="11">
        <f t="shared" si="32"/>
        <v>1.45</v>
      </c>
      <c r="R17" s="1050">
        <f>'Table 4'!AE18+'Table 4'!AF18</f>
        <v>0.28000000000000003</v>
      </c>
      <c r="S17" s="1055">
        <f>'Table 6'!AB18</f>
        <v>1.21</v>
      </c>
      <c r="T17" s="53">
        <f t="shared" si="33"/>
        <v>1.49</v>
      </c>
      <c r="U17" s="1050">
        <f>'Table 4'!AI18+'Table 4'!AJ18</f>
        <v>0.28000000000000003</v>
      </c>
      <c r="V17" s="1055">
        <f>'Table 6'!AE18</f>
        <v>1.24</v>
      </c>
      <c r="W17" s="53">
        <f t="shared" si="34"/>
        <v>1.52</v>
      </c>
      <c r="X17" s="1918">
        <f t="shared" si="19"/>
        <v>0.27</v>
      </c>
      <c r="Y17" s="1919">
        <f t="shared" si="15"/>
        <v>0.27</v>
      </c>
      <c r="Z17" s="1303">
        <f t="shared" si="16"/>
        <v>0.27</v>
      </c>
      <c r="AA17" s="1356">
        <f>'Table 4'!AN18+'Table 4'!AO18</f>
        <v>0.3</v>
      </c>
      <c r="AB17" s="1336">
        <f>'Table 6'!AI18</f>
        <v>1.31</v>
      </c>
      <c r="AC17" s="1357">
        <f t="shared" si="9"/>
        <v>1.61</v>
      </c>
      <c r="AE17" s="1337">
        <f t="shared" si="2"/>
        <v>0.06</v>
      </c>
      <c r="AF17" s="1337">
        <f t="shared" si="3"/>
        <v>0.26</v>
      </c>
      <c r="AG17" s="1337">
        <f t="shared" si="4"/>
        <v>0.32</v>
      </c>
    </row>
    <row r="18" spans="1:33" s="2" customFormat="1">
      <c r="A18" s="456" t="s">
        <v>26</v>
      </c>
      <c r="B18" s="455" t="s">
        <v>17</v>
      </c>
      <c r="C18" s="1917">
        <f>'Table 4'!L19</f>
        <v>0.91</v>
      </c>
      <c r="D18" s="1867">
        <f>'Table 6'!M19</f>
        <v>0.51</v>
      </c>
      <c r="E18" s="1868">
        <f t="shared" si="29"/>
        <v>1.42</v>
      </c>
      <c r="F18" s="1917">
        <f>'Table 4'!O19+'Table 4'!P19</f>
        <v>1.03</v>
      </c>
      <c r="G18" s="1866">
        <f>'Table 6'!P19</f>
        <v>0.49</v>
      </c>
      <c r="H18" s="53">
        <f t="shared" si="0"/>
        <v>1.52</v>
      </c>
      <c r="I18" s="1917">
        <f>'Table 4'!S19+'Table 4'!T19</f>
        <v>1.03</v>
      </c>
      <c r="J18" s="1867">
        <f>'Table 6'!S19</f>
        <v>0.5</v>
      </c>
      <c r="K18" s="11">
        <f t="shared" si="30"/>
        <v>1.53</v>
      </c>
      <c r="L18" s="1848">
        <f>'Table 4'!W19+'Table 4'!X19</f>
        <v>1.03</v>
      </c>
      <c r="M18" s="1866">
        <f>'Table 6'!V19</f>
        <v>0.5</v>
      </c>
      <c r="N18" s="8">
        <f t="shared" si="31"/>
        <v>1.53</v>
      </c>
      <c r="O18" s="1050">
        <f>'Table 4'!AA19+'Table 4'!AB19</f>
        <v>1.03</v>
      </c>
      <c r="P18" s="1594">
        <f>'Table 6'!Y19</f>
        <v>0.5</v>
      </c>
      <c r="Q18" s="11">
        <f t="shared" si="32"/>
        <v>1.53</v>
      </c>
      <c r="R18" s="1050">
        <f>'Table 4'!AE19+'Table 4'!AF19</f>
        <v>1.03</v>
      </c>
      <c r="S18" s="1055">
        <f>'Table 6'!AB19</f>
        <v>0.5</v>
      </c>
      <c r="T18" s="53">
        <f t="shared" si="33"/>
        <v>1.53</v>
      </c>
      <c r="U18" s="1050">
        <f>'Table 4'!AI19+'Table 4'!AJ19</f>
        <v>1.03</v>
      </c>
      <c r="V18" s="1055">
        <f>'Table 6'!AE19</f>
        <v>0.51</v>
      </c>
      <c r="W18" s="53">
        <f t="shared" si="34"/>
        <v>1.54</v>
      </c>
      <c r="X18" s="1918">
        <f t="shared" si="19"/>
        <v>0.13</v>
      </c>
      <c r="Y18" s="1919">
        <f t="shared" si="15"/>
        <v>0</v>
      </c>
      <c r="Z18" s="1303">
        <f t="shared" si="16"/>
        <v>0.08</v>
      </c>
      <c r="AA18" s="1356">
        <f>'Table 4'!AN19+'Table 4'!AO19</f>
        <v>1.0900000000000001</v>
      </c>
      <c r="AB18" s="1336">
        <f>'Table 6'!AI19</f>
        <v>0.54</v>
      </c>
      <c r="AC18" s="1357">
        <f t="shared" si="9"/>
        <v>1.63</v>
      </c>
      <c r="AE18" s="1337">
        <f t="shared" si="2"/>
        <v>0.12</v>
      </c>
      <c r="AF18" s="1337">
        <f t="shared" si="3"/>
        <v>0</v>
      </c>
      <c r="AG18" s="1337">
        <f t="shared" si="4"/>
        <v>0.12</v>
      </c>
    </row>
    <row r="19" spans="1:33" s="2" customFormat="1">
      <c r="A19" s="455" t="s">
        <v>27</v>
      </c>
      <c r="B19" s="1299" t="s">
        <v>15</v>
      </c>
      <c r="C19" s="1352">
        <f>'Table 4'!L20</f>
        <v>6.92</v>
      </c>
      <c r="D19" s="321">
        <f>'Table 6'!M20</f>
        <v>3.87</v>
      </c>
      <c r="E19" s="914">
        <f t="shared" si="29"/>
        <v>10.79</v>
      </c>
      <c r="F19" s="1352">
        <f>'Table 4'!O20+'Table 4'!P20</f>
        <v>8.07</v>
      </c>
      <c r="G19" s="884">
        <f>'Table 6'!P20</f>
        <v>1.49</v>
      </c>
      <c r="H19" s="53">
        <f t="shared" si="0"/>
        <v>9.56</v>
      </c>
      <c r="I19" s="1352">
        <f>'Table 4'!S20+'Table 4'!T20</f>
        <v>8.69</v>
      </c>
      <c r="J19" s="321">
        <f>'Table 6'!S20</f>
        <v>1.72</v>
      </c>
      <c r="K19" s="11">
        <f t="shared" si="30"/>
        <v>10.41</v>
      </c>
      <c r="L19" s="1353">
        <f>'Table 4'!W20+'Table 4'!X20</f>
        <v>9.15</v>
      </c>
      <c r="M19" s="884">
        <f>'Table 6'!V20</f>
        <v>1.85</v>
      </c>
      <c r="N19" s="8">
        <f t="shared" si="31"/>
        <v>11</v>
      </c>
      <c r="O19" s="827">
        <f>'Table 4'!AA20+'Table 4'!AB20</f>
        <v>9.51</v>
      </c>
      <c r="P19" s="560">
        <f>'Table 6'!Y20</f>
        <v>2.0299999999999998</v>
      </c>
      <c r="Q19" s="11">
        <f t="shared" si="32"/>
        <v>11.54</v>
      </c>
      <c r="R19" s="827">
        <f>'Table 4'!AE20+'Table 4'!AF20</f>
        <v>9.81</v>
      </c>
      <c r="S19" s="916">
        <f>'Table 6'!AB20</f>
        <v>2.16</v>
      </c>
      <c r="T19" s="53">
        <f t="shared" si="33"/>
        <v>11.97</v>
      </c>
      <c r="U19" s="827">
        <f>'Table 4'!AI20+'Table 4'!AJ20</f>
        <v>10.08</v>
      </c>
      <c r="V19" s="916">
        <f>'Table 6'!AE20</f>
        <v>2.2799999999999998</v>
      </c>
      <c r="W19" s="53">
        <f t="shared" si="34"/>
        <v>12.36</v>
      </c>
      <c r="X19" s="1354">
        <f t="shared" si="19"/>
        <v>0.46</v>
      </c>
      <c r="Y19" s="1338">
        <f t="shared" si="15"/>
        <v>-0.41</v>
      </c>
      <c r="Z19" s="1303">
        <f t="shared" si="16"/>
        <v>0.15</v>
      </c>
      <c r="AA19" s="1356">
        <f>'Table 4'!AN20+'Table 4'!AO20</f>
        <v>10.69</v>
      </c>
      <c r="AB19" s="1336">
        <f>'Table 6'!AI20</f>
        <v>2.42</v>
      </c>
      <c r="AC19" s="1357">
        <f t="shared" si="9"/>
        <v>13.11</v>
      </c>
      <c r="AE19" s="1337">
        <f t="shared" si="2"/>
        <v>3.16</v>
      </c>
      <c r="AF19" s="1337">
        <f t="shared" si="3"/>
        <v>-1.59</v>
      </c>
      <c r="AG19" s="1337">
        <f t="shared" si="4"/>
        <v>1.57</v>
      </c>
    </row>
    <row r="20" spans="1:33" s="2" customFormat="1">
      <c r="A20" s="455" t="s">
        <v>28</v>
      </c>
      <c r="B20" s="1299" t="s">
        <v>15</v>
      </c>
      <c r="C20" s="1352">
        <f>'Table 4'!L21</f>
        <v>2.1800000000000002</v>
      </c>
      <c r="D20" s="321">
        <f>'Table 6'!M21</f>
        <v>2.5499999999999998</v>
      </c>
      <c r="E20" s="914">
        <f t="shared" si="29"/>
        <v>4.7300000000000004</v>
      </c>
      <c r="F20" s="1352">
        <f>'Table 4'!O21+'Table 4'!P21</f>
        <v>2.1</v>
      </c>
      <c r="G20" s="884">
        <f>'Table 6'!P21</f>
        <v>3.24</v>
      </c>
      <c r="H20" s="53">
        <f t="shared" si="0"/>
        <v>5.34</v>
      </c>
      <c r="I20" s="1352">
        <f>'Table 4'!S21+'Table 4'!T21</f>
        <v>2.11</v>
      </c>
      <c r="J20" s="321">
        <f>'Table 6'!S21</f>
        <v>3.24</v>
      </c>
      <c r="K20" s="11">
        <f t="shared" si="30"/>
        <v>5.35</v>
      </c>
      <c r="L20" s="1353">
        <f>'Table 4'!W21+'Table 4'!X21</f>
        <v>2.12</v>
      </c>
      <c r="M20" s="884">
        <f>'Table 6'!V21</f>
        <v>3.24</v>
      </c>
      <c r="N20" s="8">
        <f t="shared" si="31"/>
        <v>5.36</v>
      </c>
      <c r="O20" s="827">
        <f>'Table 4'!AA21+'Table 4'!AB21</f>
        <v>2.13</v>
      </c>
      <c r="P20" s="560">
        <f>'Table 6'!Y21</f>
        <v>3.24</v>
      </c>
      <c r="Q20" s="11">
        <f t="shared" si="32"/>
        <v>5.37</v>
      </c>
      <c r="R20" s="827">
        <f>'Table 4'!AE21+'Table 4'!AF21</f>
        <v>2.14</v>
      </c>
      <c r="S20" s="916">
        <f>'Table 6'!AB21</f>
        <v>3.24</v>
      </c>
      <c r="T20" s="53">
        <f t="shared" si="33"/>
        <v>5.38</v>
      </c>
      <c r="U20" s="827">
        <f>'Table 4'!AI21+'Table 4'!AJ21</f>
        <v>2.15</v>
      </c>
      <c r="V20" s="916">
        <f>'Table 6'!AE21</f>
        <v>3.24</v>
      </c>
      <c r="W20" s="53">
        <f t="shared" si="34"/>
        <v>5.39</v>
      </c>
      <c r="X20" s="1354">
        <f t="shared" si="19"/>
        <v>-0.01</v>
      </c>
      <c r="Y20" s="1338">
        <f t="shared" si="15"/>
        <v>0.27</v>
      </c>
      <c r="Z20" s="1303">
        <f t="shared" si="16"/>
        <v>0.14000000000000001</v>
      </c>
      <c r="AA20" s="1356">
        <f>'Table 4'!AN21+'Table 4'!AO21</f>
        <v>2.2799999999999998</v>
      </c>
      <c r="AB20" s="1336">
        <f>'Table 6'!AI21</f>
        <v>3.43</v>
      </c>
      <c r="AC20" s="1357">
        <f t="shared" si="9"/>
        <v>5.71</v>
      </c>
      <c r="AE20" s="1337">
        <f t="shared" si="2"/>
        <v>-0.03</v>
      </c>
      <c r="AF20" s="1337">
        <f t="shared" si="3"/>
        <v>0.69</v>
      </c>
      <c r="AG20" s="1337">
        <f t="shared" si="4"/>
        <v>0.66</v>
      </c>
    </row>
    <row r="21" spans="1:33" s="2" customFormat="1">
      <c r="A21" s="455" t="s">
        <v>29</v>
      </c>
      <c r="B21" s="1299" t="s">
        <v>15</v>
      </c>
      <c r="C21" s="1352">
        <f>'Table 4'!L22</f>
        <v>19.21</v>
      </c>
      <c r="D21" s="321">
        <f>'Table 6'!M22</f>
        <v>2.78</v>
      </c>
      <c r="E21" s="914">
        <f t="shared" si="29"/>
        <v>21.99</v>
      </c>
      <c r="F21" s="1352">
        <f>'Table 4'!O22+'Table 4'!P22</f>
        <v>30.77</v>
      </c>
      <c r="G21" s="884">
        <f>'Table 6'!P22</f>
        <v>4.6100000000000003</v>
      </c>
      <c r="H21" s="53">
        <f t="shared" si="0"/>
        <v>35.380000000000003</v>
      </c>
      <c r="I21" s="1352">
        <f>'Table 4'!S22+'Table 4'!T22</f>
        <v>36.32</v>
      </c>
      <c r="J21" s="321">
        <f>'Table 6'!S22</f>
        <v>5.4</v>
      </c>
      <c r="K21" s="11">
        <f t="shared" si="30"/>
        <v>41.72</v>
      </c>
      <c r="L21" s="1353">
        <f>'Table 4'!W22+'Table 4'!X22</f>
        <v>40.99</v>
      </c>
      <c r="M21" s="884">
        <f>'Table 6'!V22</f>
        <v>6.22</v>
      </c>
      <c r="N21" s="8">
        <f t="shared" si="31"/>
        <v>47.21</v>
      </c>
      <c r="O21" s="827">
        <f>'Table 4'!AA22+'Table 4'!AB22</f>
        <v>44.79</v>
      </c>
      <c r="P21" s="560">
        <f>'Table 6'!Y22</f>
        <v>6.89</v>
      </c>
      <c r="Q21" s="11">
        <f t="shared" si="32"/>
        <v>51.68</v>
      </c>
      <c r="R21" s="827">
        <f>'Table 4'!AE22+'Table 4'!AF22</f>
        <v>48.04</v>
      </c>
      <c r="S21" s="916">
        <f>'Table 6'!AB22</f>
        <v>7.6</v>
      </c>
      <c r="T21" s="53">
        <f t="shared" si="33"/>
        <v>55.64</v>
      </c>
      <c r="U21" s="827">
        <f>'Table 4'!AI22+'Table 4'!AJ22</f>
        <v>51.02</v>
      </c>
      <c r="V21" s="916">
        <f>'Table 6'!AE22</f>
        <v>8.25</v>
      </c>
      <c r="W21" s="53">
        <f t="shared" si="34"/>
        <v>59.27</v>
      </c>
      <c r="X21" s="1354">
        <f t="shared" si="19"/>
        <v>1.66</v>
      </c>
      <c r="Y21" s="1338">
        <f t="shared" si="15"/>
        <v>1.97</v>
      </c>
      <c r="Z21" s="1303">
        <f t="shared" si="16"/>
        <v>1.7</v>
      </c>
      <c r="AA21" s="1356">
        <f>'Table 4'!AN22+'Table 4'!AO22</f>
        <v>54.08</v>
      </c>
      <c r="AB21" s="1336">
        <f>'Table 6'!AI22</f>
        <v>8.74</v>
      </c>
      <c r="AC21" s="1357">
        <f t="shared" si="9"/>
        <v>62.82</v>
      </c>
      <c r="AE21" s="1337">
        <f t="shared" si="2"/>
        <v>31.81</v>
      </c>
      <c r="AF21" s="1337">
        <f t="shared" si="3"/>
        <v>5.47</v>
      </c>
      <c r="AG21" s="1337">
        <f t="shared" si="4"/>
        <v>37.28</v>
      </c>
    </row>
    <row r="22" spans="1:33" s="2" customFormat="1">
      <c r="A22" s="456" t="s">
        <v>30</v>
      </c>
      <c r="B22" s="1339" t="s">
        <v>17</v>
      </c>
      <c r="C22" s="1917">
        <f>'Table 4'!L23</f>
        <v>1.32</v>
      </c>
      <c r="D22" s="1867">
        <f>'Table 6'!M23</f>
        <v>2.2200000000000002</v>
      </c>
      <c r="E22" s="1868">
        <f t="shared" si="29"/>
        <v>3.54</v>
      </c>
      <c r="F22" s="1917">
        <f>'Table 4'!O23+'Table 4'!P23</f>
        <v>1.45</v>
      </c>
      <c r="G22" s="1866">
        <f>'Table 6'!P23</f>
        <v>2.34</v>
      </c>
      <c r="H22" s="53">
        <f t="shared" si="0"/>
        <v>3.79</v>
      </c>
      <c r="I22" s="1917">
        <f>'Table 4'!S23+'Table 4'!T23</f>
        <v>1.61</v>
      </c>
      <c r="J22" s="1867">
        <f>'Table 6'!S23</f>
        <v>2.44</v>
      </c>
      <c r="K22" s="11">
        <f t="shared" si="30"/>
        <v>4.05</v>
      </c>
      <c r="L22" s="1848">
        <f>'Table 4'!W23+'Table 4'!X23</f>
        <v>1.73</v>
      </c>
      <c r="M22" s="1866">
        <f>'Table 6'!V23</f>
        <v>2.54</v>
      </c>
      <c r="N22" s="8">
        <f t="shared" si="31"/>
        <v>4.2699999999999996</v>
      </c>
      <c r="O22" s="1050">
        <f>'Table 4'!AA23+'Table 4'!AB23</f>
        <v>1.79</v>
      </c>
      <c r="P22" s="1594">
        <f>'Table 6'!Y23</f>
        <v>2.62</v>
      </c>
      <c r="Q22" s="11">
        <f t="shared" si="32"/>
        <v>4.41</v>
      </c>
      <c r="R22" s="1050">
        <f>'Table 4'!AE23+'Table 4'!AF23</f>
        <v>1.84</v>
      </c>
      <c r="S22" s="1055">
        <f>'Table 6'!AB23</f>
        <v>2.69</v>
      </c>
      <c r="T22" s="53">
        <f t="shared" si="33"/>
        <v>4.53</v>
      </c>
      <c r="U22" s="1050">
        <f>'Table 4'!AI23+'Table 4'!AJ23</f>
        <v>1.87</v>
      </c>
      <c r="V22" s="1055">
        <f>'Table 6'!AE23</f>
        <v>2.76</v>
      </c>
      <c r="W22" s="53">
        <f t="shared" si="34"/>
        <v>4.63</v>
      </c>
      <c r="X22" s="1918">
        <f t="shared" si="19"/>
        <v>0.42</v>
      </c>
      <c r="Y22" s="1919">
        <f t="shared" si="15"/>
        <v>0.24</v>
      </c>
      <c r="Z22" s="1303">
        <f t="shared" si="16"/>
        <v>0.31</v>
      </c>
      <c r="AA22" s="1356">
        <f>'Table 4'!AN23+'Table 4'!AO23</f>
        <v>1.98</v>
      </c>
      <c r="AB22" s="1336">
        <f>'Table 6'!AI23</f>
        <v>2.92</v>
      </c>
      <c r="AC22" s="1357">
        <f t="shared" si="9"/>
        <v>4.9000000000000004</v>
      </c>
      <c r="AE22" s="1337">
        <f t="shared" si="2"/>
        <v>0.55000000000000004</v>
      </c>
      <c r="AF22" s="1337">
        <f t="shared" si="3"/>
        <v>0.54</v>
      </c>
      <c r="AG22" s="1337">
        <f t="shared" si="4"/>
        <v>1.0900000000000001</v>
      </c>
    </row>
    <row r="23" spans="1:33" s="2" customFormat="1" ht="13.5" thickBot="1">
      <c r="A23" s="579" t="s">
        <v>31</v>
      </c>
      <c r="B23" s="1793" t="s">
        <v>17</v>
      </c>
      <c r="C23" s="1306">
        <f>'Table 4'!L24</f>
        <v>0.26</v>
      </c>
      <c r="D23" s="412">
        <f>'Table 6'!M24</f>
        <v>0.67</v>
      </c>
      <c r="E23" s="876">
        <f t="shared" si="29"/>
        <v>0.93</v>
      </c>
      <c r="F23" s="1306">
        <f>'Table 4'!O24+'Table 4'!P24</f>
        <v>0.24</v>
      </c>
      <c r="G23" s="410">
        <f>'Table 6'!P24</f>
        <v>0.65</v>
      </c>
      <c r="H23" s="50">
        <f t="shared" si="0"/>
        <v>0.89</v>
      </c>
      <c r="I23" s="1306">
        <f>'Table 4'!S24+'Table 4'!T24</f>
        <v>0.24</v>
      </c>
      <c r="J23" s="412">
        <f>'Table 6'!S24</f>
        <v>0.65</v>
      </c>
      <c r="K23" s="876">
        <f t="shared" si="30"/>
        <v>0.89</v>
      </c>
      <c r="L23" s="1349">
        <f>'Table 4'!W24+'Table 4'!X24</f>
        <v>0.24</v>
      </c>
      <c r="M23" s="410">
        <f>'Table 6'!V24</f>
        <v>0.65</v>
      </c>
      <c r="N23" s="17">
        <f t="shared" si="31"/>
        <v>0.89</v>
      </c>
      <c r="O23" s="467">
        <f>'Table 4'!AA24+'Table 4'!AB24</f>
        <v>0.25</v>
      </c>
      <c r="P23" s="562">
        <f>'Table 6'!Y24</f>
        <v>0.66</v>
      </c>
      <c r="Q23" s="876">
        <f t="shared" si="32"/>
        <v>0.91</v>
      </c>
      <c r="R23" s="467">
        <f>'Table 4'!AE24+'Table 4'!AF24</f>
        <v>0.25</v>
      </c>
      <c r="S23" s="531">
        <f>'Table 6'!AB24</f>
        <v>0.66</v>
      </c>
      <c r="T23" s="50">
        <f t="shared" si="33"/>
        <v>0.91</v>
      </c>
      <c r="U23" s="467">
        <f>'Table 4'!AI24+'Table 4'!AJ24</f>
        <v>0.25</v>
      </c>
      <c r="V23" s="531">
        <f>'Table 6'!AE24</f>
        <v>0.66</v>
      </c>
      <c r="W23" s="50">
        <f t="shared" si="34"/>
        <v>0.91</v>
      </c>
      <c r="X23" s="1307">
        <f t="shared" si="19"/>
        <v>-0.04</v>
      </c>
      <c r="Y23" s="1308">
        <f t="shared" si="15"/>
        <v>-0.01</v>
      </c>
      <c r="Z23" s="1350">
        <f t="shared" si="16"/>
        <v>-0.02</v>
      </c>
      <c r="AA23" s="1309">
        <f>'Table 4'!AN24+'Table 4'!AO24</f>
        <v>0.27</v>
      </c>
      <c r="AB23" s="1310">
        <f>'Table 6'!AI24</f>
        <v>0.7</v>
      </c>
      <c r="AC23" s="1351">
        <f t="shared" si="9"/>
        <v>0.97</v>
      </c>
      <c r="AE23" s="1337">
        <f t="shared" si="2"/>
        <v>-0.01</v>
      </c>
      <c r="AF23" s="1337">
        <f t="shared" si="3"/>
        <v>-0.01</v>
      </c>
      <c r="AG23" s="1337">
        <f t="shared" si="4"/>
        <v>-0.02</v>
      </c>
    </row>
    <row r="24" spans="1:33" s="67" customFormat="1" ht="14.25" thickTop="1" thickBot="1">
      <c r="A24" s="3231" t="s">
        <v>511</v>
      </c>
      <c r="B24" s="3232"/>
      <c r="C24" s="1226">
        <f>C4+C7+C10+C13+C15+C16+C19+C20+C21</f>
        <v>178.87</v>
      </c>
      <c r="D24" s="481">
        <f t="shared" ref="D24:T24" si="35">D4+D7+D10+D13+D15+D16+D19+D20+D21</f>
        <v>32.25</v>
      </c>
      <c r="E24" s="353">
        <f t="shared" si="35"/>
        <v>211.12</v>
      </c>
      <c r="F24" s="1226">
        <f t="shared" si="35"/>
        <v>200.2</v>
      </c>
      <c r="G24" s="318">
        <f t="shared" si="35"/>
        <v>40.21</v>
      </c>
      <c r="H24" s="315">
        <f t="shared" si="35"/>
        <v>240.41</v>
      </c>
      <c r="I24" s="1226">
        <f t="shared" si="35"/>
        <v>217.27</v>
      </c>
      <c r="J24" s="316">
        <f t="shared" si="35"/>
        <v>43.59</v>
      </c>
      <c r="K24" s="353">
        <f t="shared" si="35"/>
        <v>260.86</v>
      </c>
      <c r="L24" s="1313">
        <f t="shared" si="35"/>
        <v>229.92</v>
      </c>
      <c r="M24" s="318">
        <f t="shared" si="35"/>
        <v>46.81</v>
      </c>
      <c r="N24" s="565">
        <f t="shared" si="35"/>
        <v>276.73</v>
      </c>
      <c r="O24" s="482">
        <f t="shared" si="35"/>
        <v>241.23</v>
      </c>
      <c r="P24" s="554">
        <f t="shared" si="35"/>
        <v>49.12</v>
      </c>
      <c r="Q24" s="353">
        <f t="shared" si="35"/>
        <v>290.35000000000002</v>
      </c>
      <c r="R24" s="482">
        <f t="shared" si="35"/>
        <v>250.19</v>
      </c>
      <c r="S24" s="483">
        <f t="shared" si="35"/>
        <v>51.21</v>
      </c>
      <c r="T24" s="315">
        <f t="shared" si="35"/>
        <v>301.39999999999998</v>
      </c>
      <c r="U24" s="482">
        <f>U4+U7+U10+U13+U15+U16+U19+U20+U21</f>
        <v>258.49</v>
      </c>
      <c r="V24" s="483">
        <f t="shared" ref="V24:W24" si="36">V4+V7+V10+V13+V15+V16+V19+V20+V21</f>
        <v>53.12</v>
      </c>
      <c r="W24" s="315">
        <f t="shared" si="36"/>
        <v>311.61</v>
      </c>
      <c r="X24" s="1314">
        <f t="shared" si="19"/>
        <v>0.45</v>
      </c>
      <c r="Y24" s="1315">
        <f t="shared" si="15"/>
        <v>0.65</v>
      </c>
      <c r="Z24" s="1316">
        <f t="shared" si="16"/>
        <v>0.48</v>
      </c>
      <c r="AA24" s="482">
        <f t="shared" ref="AA24:AC24" si="37">AA4+AA7+AA10+AA13+AA15+AA16+AA19+AA20+AA21</f>
        <v>273.99</v>
      </c>
      <c r="AB24" s="554">
        <f t="shared" si="37"/>
        <v>56.29</v>
      </c>
      <c r="AC24" s="1319">
        <f t="shared" si="37"/>
        <v>330.28</v>
      </c>
      <c r="AE24" s="1340">
        <f t="shared" si="2"/>
        <v>79.62</v>
      </c>
      <c r="AF24" s="1340">
        <f t="shared" si="3"/>
        <v>20.87</v>
      </c>
      <c r="AG24" s="1340">
        <f t="shared" si="4"/>
        <v>100.49</v>
      </c>
    </row>
    <row r="25" spans="1:33" s="67" customFormat="1" ht="13.5" thickBot="1">
      <c r="A25" s="3229" t="s">
        <v>512</v>
      </c>
      <c r="B25" s="3230"/>
      <c r="C25" s="1341">
        <f>C5+C8+C11+C14+C17+C18+C22+C23</f>
        <v>9.32</v>
      </c>
      <c r="D25" s="492">
        <f t="shared" ref="D25:T25" si="38">D5+D8+D11+D14+D17+D18+D22+D23</f>
        <v>9.5299999999999994</v>
      </c>
      <c r="E25" s="525">
        <f t="shared" si="38"/>
        <v>18.850000000000001</v>
      </c>
      <c r="F25" s="1341">
        <f t="shared" si="38"/>
        <v>9.99</v>
      </c>
      <c r="G25" s="501">
        <f t="shared" si="38"/>
        <v>10.16</v>
      </c>
      <c r="H25" s="1227">
        <f t="shared" si="38"/>
        <v>20.149999999999999</v>
      </c>
      <c r="I25" s="1341">
        <f t="shared" si="38"/>
        <v>10.32</v>
      </c>
      <c r="J25" s="504">
        <f t="shared" si="38"/>
        <v>10.79</v>
      </c>
      <c r="K25" s="525">
        <f t="shared" si="38"/>
        <v>21.11</v>
      </c>
      <c r="L25" s="1342">
        <f t="shared" si="38"/>
        <v>10.73</v>
      </c>
      <c r="M25" s="501">
        <f t="shared" si="38"/>
        <v>11.3</v>
      </c>
      <c r="N25" s="575">
        <f t="shared" si="38"/>
        <v>22.03</v>
      </c>
      <c r="O25" s="493">
        <f t="shared" si="38"/>
        <v>11.1</v>
      </c>
      <c r="P25" s="561">
        <f t="shared" si="38"/>
        <v>11.88</v>
      </c>
      <c r="Q25" s="525">
        <f t="shared" si="38"/>
        <v>22.98</v>
      </c>
      <c r="R25" s="493">
        <f t="shared" si="38"/>
        <v>11.33</v>
      </c>
      <c r="S25" s="494">
        <f t="shared" si="38"/>
        <v>12.34</v>
      </c>
      <c r="T25" s="1227">
        <f t="shared" si="38"/>
        <v>23.67</v>
      </c>
      <c r="U25" s="493">
        <f>U5+U8+U11+U14+U17+U18+U22+U23</f>
        <v>11.52</v>
      </c>
      <c r="V25" s="494">
        <f t="shared" ref="V25:W25" si="39">V5+V8+V11+V14+V17+V18+V22+V23</f>
        <v>12.7</v>
      </c>
      <c r="W25" s="1227">
        <f t="shared" si="39"/>
        <v>24.22</v>
      </c>
      <c r="X25" s="1343">
        <f t="shared" si="19"/>
        <v>0.24</v>
      </c>
      <c r="Y25" s="1344">
        <f t="shared" si="15"/>
        <v>0.33</v>
      </c>
      <c r="Z25" s="1345">
        <f t="shared" si="16"/>
        <v>0.28000000000000003</v>
      </c>
      <c r="AA25" s="493">
        <f t="shared" ref="AA25:AC25" si="40">AA5+AA8+AA11+AA14+AA17+AA18+AA22+AA23</f>
        <v>12.22</v>
      </c>
      <c r="AB25" s="561">
        <f t="shared" si="40"/>
        <v>13.35</v>
      </c>
      <c r="AC25" s="1346">
        <f t="shared" si="40"/>
        <v>25.57</v>
      </c>
      <c r="AE25" s="1347">
        <f t="shared" si="2"/>
        <v>2.2000000000000002</v>
      </c>
      <c r="AF25" s="1347">
        <f t="shared" si="3"/>
        <v>3.17</v>
      </c>
      <c r="AG25" s="1347">
        <f t="shared" si="4"/>
        <v>5.37</v>
      </c>
    </row>
    <row r="26" spans="1:33" s="67" customFormat="1" ht="13.5" thickBot="1">
      <c r="A26" s="3229" t="s">
        <v>34</v>
      </c>
      <c r="B26" s="3230"/>
      <c r="C26" s="503">
        <f>C24+C25</f>
        <v>188.19</v>
      </c>
      <c r="D26" s="504">
        <f t="shared" ref="D26:T26" si="41">D24+D25</f>
        <v>41.78</v>
      </c>
      <c r="E26" s="525">
        <f t="shared" si="41"/>
        <v>229.97</v>
      </c>
      <c r="F26" s="503">
        <f t="shared" si="41"/>
        <v>210.19</v>
      </c>
      <c r="G26" s="501">
        <f t="shared" si="41"/>
        <v>50.37</v>
      </c>
      <c r="H26" s="1227">
        <f t="shared" si="41"/>
        <v>260.56</v>
      </c>
      <c r="I26" s="503">
        <f t="shared" si="41"/>
        <v>227.59</v>
      </c>
      <c r="J26" s="504">
        <f t="shared" si="41"/>
        <v>54.38</v>
      </c>
      <c r="K26" s="525">
        <f t="shared" si="41"/>
        <v>281.97000000000003</v>
      </c>
      <c r="L26" s="500">
        <f t="shared" si="41"/>
        <v>240.65</v>
      </c>
      <c r="M26" s="501">
        <f t="shared" si="41"/>
        <v>58.11</v>
      </c>
      <c r="N26" s="575">
        <f t="shared" si="41"/>
        <v>298.76</v>
      </c>
      <c r="O26" s="503">
        <f t="shared" si="41"/>
        <v>252.33</v>
      </c>
      <c r="P26" s="504">
        <f t="shared" si="41"/>
        <v>61</v>
      </c>
      <c r="Q26" s="525">
        <f t="shared" si="41"/>
        <v>313.33</v>
      </c>
      <c r="R26" s="503">
        <f t="shared" si="41"/>
        <v>261.52</v>
      </c>
      <c r="S26" s="501">
        <f t="shared" si="41"/>
        <v>63.55</v>
      </c>
      <c r="T26" s="1227">
        <f t="shared" si="41"/>
        <v>325.07</v>
      </c>
      <c r="U26" s="503">
        <f t="shared" ref="U26" si="42">U24+U25</f>
        <v>270.01</v>
      </c>
      <c r="V26" s="501">
        <f t="shared" ref="V26" si="43">V24+V25</f>
        <v>65.819999999999993</v>
      </c>
      <c r="W26" s="1227">
        <f t="shared" ref="W26" si="44">W24+W25</f>
        <v>335.83</v>
      </c>
      <c r="X26" s="1343">
        <f t="shared" si="19"/>
        <v>0.43</v>
      </c>
      <c r="Y26" s="1344">
        <f t="shared" si="15"/>
        <v>0.57999999999999996</v>
      </c>
      <c r="Z26" s="1345">
        <f t="shared" si="16"/>
        <v>0.46</v>
      </c>
      <c r="AA26" s="503">
        <f t="shared" ref="AA26:AC26" si="45">AA24+AA25</f>
        <v>286.20999999999998</v>
      </c>
      <c r="AB26" s="504">
        <f t="shared" si="45"/>
        <v>69.64</v>
      </c>
      <c r="AC26" s="1348">
        <f t="shared" si="45"/>
        <v>355.85</v>
      </c>
      <c r="AE26" s="1335">
        <f t="shared" si="2"/>
        <v>81.819999999999993</v>
      </c>
      <c r="AF26" s="1335">
        <f t="shared" si="3"/>
        <v>24.04</v>
      </c>
      <c r="AG26" s="1335">
        <f t="shared" si="4"/>
        <v>105.86</v>
      </c>
    </row>
    <row r="27" spans="1:33">
      <c r="A27" s="54" t="s">
        <v>35</v>
      </c>
      <c r="B27" s="2"/>
      <c r="C27" s="2"/>
      <c r="D27" s="317"/>
      <c r="E27" s="2"/>
      <c r="F27" s="2"/>
      <c r="G27" s="317"/>
      <c r="H27" s="2"/>
      <c r="I27" s="2"/>
      <c r="J27" s="317"/>
      <c r="K27" s="2"/>
      <c r="L27" s="2"/>
      <c r="M27" s="67"/>
      <c r="N27" s="2"/>
      <c r="O27" s="2"/>
      <c r="P27" s="67"/>
      <c r="Q27" s="2"/>
      <c r="R27" s="2"/>
      <c r="S27" s="67"/>
    </row>
    <row r="28" spans="1:33">
      <c r="A28" s="2" t="s">
        <v>68</v>
      </c>
      <c r="B28" s="2"/>
      <c r="C28" s="2"/>
      <c r="D28" s="67"/>
      <c r="E28" s="2"/>
      <c r="F28" s="2"/>
      <c r="G28" s="67"/>
      <c r="H28" s="2"/>
      <c r="I28" s="2"/>
      <c r="J28" s="67"/>
      <c r="K28" s="2"/>
      <c r="L28" s="2"/>
      <c r="M28" s="317"/>
      <c r="N28" s="2"/>
      <c r="O28" s="2"/>
      <c r="P28" s="67"/>
      <c r="Q28" s="2"/>
      <c r="R28" s="2"/>
      <c r="S28" s="67"/>
      <c r="AA28" s="256" t="s">
        <v>36</v>
      </c>
    </row>
    <row r="29" spans="1:33">
      <c r="A29" s="2" t="s">
        <v>69</v>
      </c>
      <c r="B29" s="2"/>
      <c r="C29" s="2"/>
      <c r="D29" s="67"/>
      <c r="E29" s="2"/>
      <c r="F29" s="2"/>
      <c r="G29" s="67"/>
      <c r="H29" s="2"/>
      <c r="I29" s="2"/>
      <c r="J29" s="67"/>
      <c r="K29" s="2"/>
      <c r="L29" s="2"/>
      <c r="M29" s="67"/>
      <c r="N29" s="2"/>
      <c r="O29" s="2"/>
      <c r="P29" s="67"/>
      <c r="Q29" s="2"/>
      <c r="R29" s="2"/>
      <c r="S29" s="67"/>
      <c r="Z29" s="256" t="s">
        <v>36</v>
      </c>
    </row>
    <row r="30" spans="1:33">
      <c r="A30" s="1" t="s">
        <v>687</v>
      </c>
      <c r="B30" s="2"/>
      <c r="C30" s="2"/>
      <c r="D30" s="67"/>
      <c r="E30" s="2"/>
      <c r="F30" s="2"/>
      <c r="G30" s="67"/>
      <c r="H30" s="2"/>
      <c r="I30" s="2"/>
      <c r="J30" s="67"/>
      <c r="K30" s="2"/>
      <c r="L30" s="2"/>
      <c r="M30" s="67"/>
      <c r="N30" s="2"/>
      <c r="O30" s="2"/>
      <c r="P30" s="67"/>
      <c r="Q30" s="2"/>
      <c r="R30" s="2"/>
      <c r="S30" s="67"/>
    </row>
    <row r="31" spans="1:33">
      <c r="Z31" s="1064"/>
      <c r="AA31" s="1064"/>
      <c r="AB31" s="1064"/>
      <c r="AC31" s="1064"/>
    </row>
    <row r="32" spans="1:33" ht="13.5" thickBot="1">
      <c r="A32" s="2" t="s">
        <v>688</v>
      </c>
      <c r="B32" s="2"/>
      <c r="C32" s="2"/>
      <c r="D32" s="2"/>
      <c r="E32" s="67"/>
      <c r="F32" s="2"/>
      <c r="G32" s="2"/>
      <c r="H32" s="67"/>
      <c r="I32" s="2"/>
      <c r="J32" s="2"/>
      <c r="K32" s="67"/>
      <c r="L32" s="2"/>
      <c r="M32" s="2"/>
      <c r="N32" s="67"/>
      <c r="O32" s="2"/>
      <c r="P32" s="2"/>
      <c r="Q32" s="67"/>
      <c r="R32" s="2"/>
      <c r="S32" s="2"/>
      <c r="T32" s="67"/>
      <c r="U32" s="67"/>
      <c r="V32" s="67"/>
      <c r="W32" s="67"/>
      <c r="X32" s="2"/>
      <c r="Y32" s="2"/>
      <c r="Z32" s="67"/>
      <c r="AA32" s="67"/>
      <c r="AB32" s="67"/>
      <c r="AC32" s="67"/>
    </row>
    <row r="33" spans="1:33" ht="13.5" customHeight="1" thickBot="1">
      <c r="A33" s="3238" t="s">
        <v>1</v>
      </c>
      <c r="B33" s="3238" t="s">
        <v>2</v>
      </c>
      <c r="C33" s="3216" t="s">
        <v>578</v>
      </c>
      <c r="D33" s="3217"/>
      <c r="E33" s="3218"/>
      <c r="F33" s="3216" t="s">
        <v>672</v>
      </c>
      <c r="G33" s="3217"/>
      <c r="H33" s="3218"/>
      <c r="I33" s="3216" t="s">
        <v>673</v>
      </c>
      <c r="J33" s="3217"/>
      <c r="K33" s="3218"/>
      <c r="L33" s="3216" t="s">
        <v>674</v>
      </c>
      <c r="M33" s="3217"/>
      <c r="N33" s="3218"/>
      <c r="O33" s="3216" t="s">
        <v>675</v>
      </c>
      <c r="P33" s="3217"/>
      <c r="Q33" s="3218"/>
      <c r="R33" s="3216" t="s">
        <v>676</v>
      </c>
      <c r="S33" s="3217"/>
      <c r="T33" s="3218"/>
      <c r="U33" s="3216" t="s">
        <v>677</v>
      </c>
      <c r="V33" s="3217"/>
      <c r="W33" s="3218"/>
      <c r="X33" s="3216" t="s">
        <v>678</v>
      </c>
      <c r="Y33" s="3217"/>
      <c r="Z33" s="3218"/>
      <c r="AA33" s="3216" t="s">
        <v>679</v>
      </c>
      <c r="AB33" s="3217"/>
      <c r="AC33" s="3218"/>
      <c r="AE33" s="1811" t="s">
        <v>680</v>
      </c>
      <c r="AF33" s="1811" t="s">
        <v>681</v>
      </c>
      <c r="AG33" s="1023" t="s">
        <v>18</v>
      </c>
    </row>
    <row r="34" spans="1:33" s="2" customFormat="1" ht="77.25" thickBot="1">
      <c r="A34" s="3240"/>
      <c r="B34" s="3240"/>
      <c r="C34" s="1943" t="s">
        <v>62</v>
      </c>
      <c r="D34" s="1787" t="s">
        <v>682</v>
      </c>
      <c r="E34" s="1664" t="s">
        <v>18</v>
      </c>
      <c r="F34" s="1943" t="s">
        <v>62</v>
      </c>
      <c r="G34" s="1788" t="s">
        <v>682</v>
      </c>
      <c r="H34" s="1789" t="s">
        <v>18</v>
      </c>
      <c r="I34" s="1943" t="s">
        <v>62</v>
      </c>
      <c r="J34" s="1787" t="s">
        <v>682</v>
      </c>
      <c r="K34" s="1664" t="s">
        <v>18</v>
      </c>
      <c r="L34" s="1942" t="s">
        <v>62</v>
      </c>
      <c r="M34" s="1788" t="s">
        <v>682</v>
      </c>
      <c r="N34" s="1790" t="s">
        <v>18</v>
      </c>
      <c r="O34" s="1943" t="s">
        <v>62</v>
      </c>
      <c r="P34" s="1787" t="s">
        <v>682</v>
      </c>
      <c r="Q34" s="1664" t="s">
        <v>18</v>
      </c>
      <c r="R34" s="1943" t="s">
        <v>62</v>
      </c>
      <c r="S34" s="1788" t="s">
        <v>682</v>
      </c>
      <c r="T34" s="1790" t="s">
        <v>18</v>
      </c>
      <c r="U34" s="1943" t="s">
        <v>62</v>
      </c>
      <c r="V34" s="1788" t="s">
        <v>682</v>
      </c>
      <c r="W34" s="1789" t="s">
        <v>18</v>
      </c>
      <c r="X34" s="1943" t="s">
        <v>62</v>
      </c>
      <c r="Y34" s="1787" t="s">
        <v>682</v>
      </c>
      <c r="Z34" s="1791" t="s">
        <v>18</v>
      </c>
      <c r="AA34" s="1943" t="s">
        <v>62</v>
      </c>
      <c r="AB34" s="1788" t="s">
        <v>682</v>
      </c>
      <c r="AC34" s="1789" t="s">
        <v>18</v>
      </c>
      <c r="AE34" s="1812" t="s">
        <v>59</v>
      </c>
      <c r="AF34" s="1812" t="s">
        <v>59</v>
      </c>
      <c r="AG34" s="1812" t="s">
        <v>59</v>
      </c>
    </row>
    <row r="35" spans="1:33" s="2" customFormat="1">
      <c r="A35" s="443" t="s">
        <v>46</v>
      </c>
      <c r="B35" s="1299" t="s">
        <v>17</v>
      </c>
      <c r="C35" s="1300">
        <f>'Table 4'!L37</f>
        <v>0.65</v>
      </c>
      <c r="D35" s="10">
        <f>'Table 6'!M38</f>
        <v>1.21</v>
      </c>
      <c r="E35" s="11">
        <f t="shared" ref="E35:E40" si="46">C35+D35</f>
        <v>1.86</v>
      </c>
      <c r="F35" s="1300">
        <f>'Table 4'!O37+'Table 4'!P37</f>
        <v>0.8</v>
      </c>
      <c r="G35" s="7">
        <f>'Table 6'!P38</f>
        <v>1.18</v>
      </c>
      <c r="H35" s="53">
        <f t="shared" ref="H35:H40" si="47">F35+G35</f>
        <v>1.98</v>
      </c>
      <c r="I35" s="1300">
        <f>'Table 4'!S37+'Table 4'!T37</f>
        <v>0.84</v>
      </c>
      <c r="J35" s="10">
        <f>'Table 6'!S38</f>
        <v>1.18</v>
      </c>
      <c r="K35" s="11">
        <f t="shared" ref="K35:K40" si="48">I35+J35</f>
        <v>2.02</v>
      </c>
      <c r="L35" s="121">
        <f>'Table 4'!W37+'Table 4'!X37</f>
        <v>0.87</v>
      </c>
      <c r="M35" s="7">
        <f>'Table 6'!V38</f>
        <v>1.19</v>
      </c>
      <c r="N35" s="8">
        <f t="shared" ref="N35:N40" si="49">L35+M35</f>
        <v>2.06</v>
      </c>
      <c r="O35" s="444">
        <f>'Table 4'!AA37+'Table 4'!AB37</f>
        <v>0.87</v>
      </c>
      <c r="P35" s="585">
        <f>'Table 6'!Y38</f>
        <v>1.19</v>
      </c>
      <c r="Q35" s="11">
        <f t="shared" ref="Q35:Q40" si="50">O35+P35</f>
        <v>2.06</v>
      </c>
      <c r="R35" s="584">
        <f>'Table 4'!AE37+'Table 4'!AF37</f>
        <v>0.87</v>
      </c>
      <c r="S35" s="445">
        <f>'Table 6'!AB38</f>
        <v>1.19</v>
      </c>
      <c r="T35" s="8">
        <f t="shared" ref="T35:T40" si="51">R35+S35</f>
        <v>2.06</v>
      </c>
      <c r="U35" s="444">
        <f>'Table 4'!AI37+'Table 4'!AJ37</f>
        <v>0.87</v>
      </c>
      <c r="V35" s="445">
        <f>'Table 6'!AE38</f>
        <v>1.19</v>
      </c>
      <c r="W35" s="53">
        <f t="shared" ref="W35:W40" si="52">U35+V35</f>
        <v>2.06</v>
      </c>
      <c r="X35" s="1301">
        <f>(U35-C35)/C35</f>
        <v>0.34</v>
      </c>
      <c r="Y35" s="1302">
        <f>(V35-D35)/D35</f>
        <v>-0.02</v>
      </c>
      <c r="Z35" s="1303">
        <f>(W35-E35)/E35</f>
        <v>0.11</v>
      </c>
      <c r="AA35" s="1304">
        <f>'Table 4'!AN37+'Table 4'!AO37</f>
        <v>0.87</v>
      </c>
      <c r="AB35" s="1359">
        <f>'Table 6'!AI38</f>
        <v>1.26</v>
      </c>
      <c r="AC35" s="1305">
        <f t="shared" ref="AC35:AC40" si="53">AA35+AB35</f>
        <v>2.13</v>
      </c>
      <c r="AE35" s="1327">
        <f t="shared" ref="AE35:AG41" si="54">U35-C35</f>
        <v>0.22</v>
      </c>
      <c r="AF35" s="1327">
        <f t="shared" si="54"/>
        <v>-0.02</v>
      </c>
      <c r="AG35" s="1327">
        <f t="shared" si="54"/>
        <v>0.2</v>
      </c>
    </row>
    <row r="36" spans="1:33" s="2" customFormat="1">
      <c r="A36" s="455" t="s">
        <v>47</v>
      </c>
      <c r="B36" s="1361" t="s">
        <v>17</v>
      </c>
      <c r="C36" s="1352">
        <f>'Table 4'!L38</f>
        <v>0</v>
      </c>
      <c r="D36" s="321">
        <f>'Table 6'!M39</f>
        <v>0.25</v>
      </c>
      <c r="E36" s="914">
        <f t="shared" si="46"/>
        <v>0.25</v>
      </c>
      <c r="F36" s="1352">
        <f>'Table 4'!O38+'Table 4'!P38</f>
        <v>0</v>
      </c>
      <c r="G36" s="884">
        <f>'Table 6'!P39</f>
        <v>0.25</v>
      </c>
      <c r="H36" s="392">
        <f t="shared" si="47"/>
        <v>0.25</v>
      </c>
      <c r="I36" s="1352">
        <f>'Table 4'!S38+'Table 4'!T38</f>
        <v>0</v>
      </c>
      <c r="J36" s="321">
        <f>'Table 6'!S39</f>
        <v>0.25</v>
      </c>
      <c r="K36" s="914">
        <f t="shared" si="48"/>
        <v>0.25</v>
      </c>
      <c r="L36" s="1353">
        <f>'Table 4'!W38+'Table 4'!X38</f>
        <v>0</v>
      </c>
      <c r="M36" s="884">
        <f>'Table 6'!V39</f>
        <v>0.26</v>
      </c>
      <c r="N36" s="395">
        <f t="shared" si="49"/>
        <v>0.26</v>
      </c>
      <c r="O36" s="827">
        <f>'Table 4'!AA38+'Table 4'!AB38</f>
        <v>0</v>
      </c>
      <c r="P36" s="560">
        <f>'Table 6'!Y39</f>
        <v>0.26</v>
      </c>
      <c r="Q36" s="914">
        <f t="shared" si="50"/>
        <v>0.26</v>
      </c>
      <c r="R36" s="915">
        <f>'Table 4'!AE38+'Table 4'!AF38</f>
        <v>0</v>
      </c>
      <c r="S36" s="916">
        <f>'Table 6'!AB39</f>
        <v>0.26</v>
      </c>
      <c r="T36" s="395">
        <f t="shared" si="51"/>
        <v>0.26</v>
      </c>
      <c r="U36" s="827">
        <f>'Table 4'!AI38+'Table 4'!AJ38</f>
        <v>0</v>
      </c>
      <c r="V36" s="916">
        <f>'Table 6'!AE39</f>
        <v>0.26</v>
      </c>
      <c r="W36" s="392">
        <f t="shared" si="52"/>
        <v>0.26</v>
      </c>
      <c r="X36" s="1792" t="s">
        <v>16</v>
      </c>
      <c r="Y36" s="1338">
        <f t="shared" ref="Y36:Z41" si="55">(V36-D36)/D36</f>
        <v>0.04</v>
      </c>
      <c r="Z36" s="1355">
        <f t="shared" si="55"/>
        <v>0.04</v>
      </c>
      <c r="AA36" s="1356">
        <f>'Table 4'!AN38+'Table 4'!AO38</f>
        <v>0</v>
      </c>
      <c r="AB36" s="1336">
        <f>'Table 6'!AI39</f>
        <v>0.28000000000000003</v>
      </c>
      <c r="AC36" s="1357">
        <f t="shared" si="53"/>
        <v>0.28000000000000003</v>
      </c>
      <c r="AE36" s="1337">
        <f t="shared" si="54"/>
        <v>0</v>
      </c>
      <c r="AF36" s="1337">
        <f t="shared" si="54"/>
        <v>0.01</v>
      </c>
      <c r="AG36" s="1337">
        <f t="shared" si="54"/>
        <v>0.01</v>
      </c>
    </row>
    <row r="37" spans="1:33" s="2" customFormat="1">
      <c r="A37" s="455" t="s">
        <v>48</v>
      </c>
      <c r="B37" s="455" t="s">
        <v>17</v>
      </c>
      <c r="C37" s="1352">
        <f>'Table 4'!L39</f>
        <v>0.15</v>
      </c>
      <c r="D37" s="321">
        <f>'Table 6'!M40</f>
        <v>0.56000000000000005</v>
      </c>
      <c r="E37" s="914">
        <f t="shared" si="46"/>
        <v>0.71</v>
      </c>
      <c r="F37" s="1352">
        <f>'Table 4'!O39+'Table 4'!P39</f>
        <v>0.16</v>
      </c>
      <c r="G37" s="884">
        <f>'Table 6'!P40</f>
        <v>0.6</v>
      </c>
      <c r="H37" s="392">
        <f t="shared" si="47"/>
        <v>0.76</v>
      </c>
      <c r="I37" s="1352">
        <f>'Table 4'!S39+'Table 4'!T39</f>
        <v>0.16</v>
      </c>
      <c r="J37" s="321">
        <f>'Table 6'!S40</f>
        <v>0.64</v>
      </c>
      <c r="K37" s="914">
        <f t="shared" si="48"/>
        <v>0.8</v>
      </c>
      <c r="L37" s="1353">
        <f>'Table 4'!W39+'Table 4'!X39</f>
        <v>0.16</v>
      </c>
      <c r="M37" s="884">
        <f>'Table 6'!V40</f>
        <v>0.67</v>
      </c>
      <c r="N37" s="395">
        <f t="shared" si="49"/>
        <v>0.83</v>
      </c>
      <c r="O37" s="827">
        <f>'Table 4'!AA39+'Table 4'!AB39</f>
        <v>0.16</v>
      </c>
      <c r="P37" s="560">
        <f>'Table 6'!Y40</f>
        <v>0.7</v>
      </c>
      <c r="Q37" s="914">
        <f t="shared" si="50"/>
        <v>0.86</v>
      </c>
      <c r="R37" s="915">
        <f>'Table 4'!AE39+'Table 4'!AF39</f>
        <v>0.16</v>
      </c>
      <c r="S37" s="916">
        <f>'Table 6'!AB40</f>
        <v>0.72</v>
      </c>
      <c r="T37" s="395">
        <f t="shared" si="51"/>
        <v>0.88</v>
      </c>
      <c r="U37" s="827">
        <f>'Table 4'!AI39+'Table 4'!AJ39</f>
        <v>0.16</v>
      </c>
      <c r="V37" s="916">
        <f>'Table 6'!AE40</f>
        <v>0.74</v>
      </c>
      <c r="W37" s="392">
        <f t="shared" si="52"/>
        <v>0.9</v>
      </c>
      <c r="X37" s="1354">
        <f>(U37-C37)/C37</f>
        <v>7.0000000000000007E-2</v>
      </c>
      <c r="Y37" s="1338">
        <f t="shared" si="55"/>
        <v>0.32</v>
      </c>
      <c r="Z37" s="1355">
        <f t="shared" si="55"/>
        <v>0.27</v>
      </c>
      <c r="AA37" s="1356">
        <f>'Table 4'!AN39+'Table 4'!AO39</f>
        <v>0.17</v>
      </c>
      <c r="AB37" s="1336">
        <f>'Table 6'!AI40</f>
        <v>0.78</v>
      </c>
      <c r="AC37" s="1357">
        <f t="shared" si="53"/>
        <v>0.95</v>
      </c>
      <c r="AE37" s="1337">
        <f t="shared" si="54"/>
        <v>0.01</v>
      </c>
      <c r="AF37" s="1337">
        <f t="shared" si="54"/>
        <v>0.18</v>
      </c>
      <c r="AG37" s="1337">
        <f t="shared" si="54"/>
        <v>0.19</v>
      </c>
    </row>
    <row r="38" spans="1:33" s="67" customFormat="1">
      <c r="A38" s="458" t="s">
        <v>49</v>
      </c>
      <c r="B38" s="1098" t="s">
        <v>17</v>
      </c>
      <c r="C38" s="1358">
        <f>'Table 4'!L40</f>
        <v>0.68</v>
      </c>
      <c r="D38" s="355">
        <f>'Table 6'!M41</f>
        <v>0.92</v>
      </c>
      <c r="E38" s="353">
        <f t="shared" si="46"/>
        <v>1.6</v>
      </c>
      <c r="F38" s="1358">
        <f>'Table 4'!O40+'Table 4'!P40</f>
        <v>0.61</v>
      </c>
      <c r="G38" s="354">
        <f>'Table 6'!P41</f>
        <v>0.88</v>
      </c>
      <c r="H38" s="315">
        <f t="shared" si="47"/>
        <v>1.49</v>
      </c>
      <c r="I38" s="1358">
        <f>'Table 4'!S40+'Table 4'!T40</f>
        <v>0.62</v>
      </c>
      <c r="J38" s="355">
        <f>'Table 6'!S41</f>
        <v>0.9</v>
      </c>
      <c r="K38" s="353">
        <f t="shared" si="48"/>
        <v>1.52</v>
      </c>
      <c r="L38" s="1362">
        <f>'Table 4'!W40+'Table 4'!X40</f>
        <v>0.64</v>
      </c>
      <c r="M38" s="354">
        <f>'Table 6'!V41</f>
        <v>0.92</v>
      </c>
      <c r="N38" s="565">
        <f t="shared" si="49"/>
        <v>1.56</v>
      </c>
      <c r="O38" s="459">
        <f>'Table 4'!AA40+'Table 4'!AB40</f>
        <v>0.64</v>
      </c>
      <c r="P38" s="590">
        <f>'Table 6'!Y41</f>
        <v>0.94</v>
      </c>
      <c r="Q38" s="353">
        <f t="shared" si="50"/>
        <v>1.58</v>
      </c>
      <c r="R38" s="591">
        <f>'Table 4'!AE40+'Table 4'!AF40</f>
        <v>0.65</v>
      </c>
      <c r="S38" s="460">
        <f>'Table 6'!AB41</f>
        <v>0.97</v>
      </c>
      <c r="T38" s="565">
        <f t="shared" si="51"/>
        <v>1.62</v>
      </c>
      <c r="U38" s="459">
        <f>'Table 4'!AI40+'Table 4'!AJ40</f>
        <v>0.66</v>
      </c>
      <c r="V38" s="460">
        <f>'Table 6'!AE41</f>
        <v>0.98</v>
      </c>
      <c r="W38" s="315">
        <f t="shared" si="52"/>
        <v>1.64</v>
      </c>
      <c r="X38" s="1363">
        <f>(U38-C38)/C38</f>
        <v>-0.03</v>
      </c>
      <c r="Y38" s="1364">
        <f t="shared" si="55"/>
        <v>7.0000000000000007E-2</v>
      </c>
      <c r="Z38" s="1316">
        <f t="shared" si="55"/>
        <v>0.02</v>
      </c>
      <c r="AA38" s="1304">
        <f>'Table 4'!AN40+'Table 4'!AO40</f>
        <v>0.7</v>
      </c>
      <c r="AB38" s="1359">
        <f>'Table 6'!AI41</f>
        <v>1.03</v>
      </c>
      <c r="AC38" s="1305">
        <f t="shared" si="53"/>
        <v>1.73</v>
      </c>
      <c r="AE38" s="1337">
        <f t="shared" si="54"/>
        <v>-0.02</v>
      </c>
      <c r="AF38" s="1337">
        <f t="shared" si="54"/>
        <v>0.06</v>
      </c>
      <c r="AG38" s="1337">
        <f t="shared" si="54"/>
        <v>0.04</v>
      </c>
    </row>
    <row r="39" spans="1:33" s="67" customFormat="1">
      <c r="A39" s="455" t="s">
        <v>50</v>
      </c>
      <c r="B39" s="1361" t="s">
        <v>17</v>
      </c>
      <c r="C39" s="1352">
        <f>'Table 4'!L41</f>
        <v>1.1399999999999999</v>
      </c>
      <c r="D39" s="321">
        <f>'Table 6'!M42</f>
        <v>0.71</v>
      </c>
      <c r="E39" s="914">
        <f t="shared" si="46"/>
        <v>1.85</v>
      </c>
      <c r="F39" s="1352">
        <f>'Table 4'!O41+'Table 4'!P41</f>
        <v>1.27</v>
      </c>
      <c r="G39" s="884">
        <f>'Table 6'!P42</f>
        <v>0.7</v>
      </c>
      <c r="H39" s="392">
        <f t="shared" si="47"/>
        <v>1.97</v>
      </c>
      <c r="I39" s="1352">
        <f>'Table 4'!S41+'Table 4'!T41</f>
        <v>1.29</v>
      </c>
      <c r="J39" s="321">
        <f>'Table 6'!S42</f>
        <v>0.71</v>
      </c>
      <c r="K39" s="914">
        <f t="shared" si="48"/>
        <v>2</v>
      </c>
      <c r="L39" s="1353">
        <f>'Table 4'!W41+'Table 4'!X41</f>
        <v>1.31</v>
      </c>
      <c r="M39" s="884">
        <f>'Table 6'!V42</f>
        <v>0.72</v>
      </c>
      <c r="N39" s="395">
        <f t="shared" si="49"/>
        <v>2.0299999999999998</v>
      </c>
      <c r="O39" s="827">
        <f>'Table 4'!AA41+'Table 4'!AB41</f>
        <v>1.31</v>
      </c>
      <c r="P39" s="560">
        <f>'Table 6'!Y42</f>
        <v>0.72</v>
      </c>
      <c r="Q39" s="914">
        <f t="shared" si="50"/>
        <v>2.0299999999999998</v>
      </c>
      <c r="R39" s="915">
        <f>'Table 4'!AE41+'Table 4'!AF41</f>
        <v>1.32</v>
      </c>
      <c r="S39" s="916">
        <f>'Table 6'!AB42</f>
        <v>0.73</v>
      </c>
      <c r="T39" s="395">
        <f t="shared" si="51"/>
        <v>2.0499999999999998</v>
      </c>
      <c r="U39" s="827">
        <f>'Table 4'!AI41+'Table 4'!AJ41</f>
        <v>1.33</v>
      </c>
      <c r="V39" s="916">
        <f>'Table 6'!AE42</f>
        <v>0.73</v>
      </c>
      <c r="W39" s="392">
        <f t="shared" si="52"/>
        <v>2.06</v>
      </c>
      <c r="X39" s="1354">
        <f>(U39-C39)/C39</f>
        <v>0.17</v>
      </c>
      <c r="Y39" s="1338">
        <f t="shared" si="55"/>
        <v>0.03</v>
      </c>
      <c r="Z39" s="1355">
        <f t="shared" si="55"/>
        <v>0.11</v>
      </c>
      <c r="AA39" s="1356">
        <f>'Table 4'!AN41+'Table 4'!AO41</f>
        <v>1.41</v>
      </c>
      <c r="AB39" s="1336">
        <f>'Table 6'!AI42</f>
        <v>0.77</v>
      </c>
      <c r="AC39" s="1357">
        <f t="shared" si="53"/>
        <v>2.1800000000000002</v>
      </c>
      <c r="AE39" s="1337">
        <f t="shared" si="54"/>
        <v>0.19</v>
      </c>
      <c r="AF39" s="1337">
        <f t="shared" si="54"/>
        <v>0.02</v>
      </c>
      <c r="AG39" s="1337">
        <f t="shared" si="54"/>
        <v>0.21</v>
      </c>
    </row>
    <row r="40" spans="1:33" s="2" customFormat="1" ht="13.5" thickBot="1">
      <c r="A40" s="579" t="s">
        <v>51</v>
      </c>
      <c r="B40" s="1793" t="s">
        <v>17</v>
      </c>
      <c r="C40" s="1306">
        <f>'Table 4'!L42</f>
        <v>1.74</v>
      </c>
      <c r="D40" s="412">
        <f>'Table 6'!M43</f>
        <v>0.59</v>
      </c>
      <c r="E40" s="876">
        <f t="shared" si="46"/>
        <v>2.33</v>
      </c>
      <c r="F40" s="1306">
        <f>'Table 4'!O42+'Table 4'!P42</f>
        <v>1.87</v>
      </c>
      <c r="G40" s="410">
        <f>'Table 6'!P43</f>
        <v>0.6</v>
      </c>
      <c r="H40" s="50">
        <f t="shared" si="47"/>
        <v>2.4700000000000002</v>
      </c>
      <c r="I40" s="1306">
        <f>'Table 4'!S42+'Table 4'!T42</f>
        <v>1.93</v>
      </c>
      <c r="J40" s="412">
        <f>'Table 6'!S43</f>
        <v>0.6</v>
      </c>
      <c r="K40" s="876">
        <f t="shared" si="48"/>
        <v>2.5299999999999998</v>
      </c>
      <c r="L40" s="1349">
        <f>'Table 4'!W42+'Table 4'!X42</f>
        <v>1.97</v>
      </c>
      <c r="M40" s="410">
        <f>'Table 6'!V43</f>
        <v>0.59</v>
      </c>
      <c r="N40" s="17">
        <f t="shared" si="49"/>
        <v>2.56</v>
      </c>
      <c r="O40" s="467">
        <f>'Table 4'!AA42+'Table 4'!AB42</f>
        <v>2</v>
      </c>
      <c r="P40" s="562">
        <f>'Table 6'!Y43</f>
        <v>0.59</v>
      </c>
      <c r="Q40" s="876">
        <f t="shared" si="50"/>
        <v>2.59</v>
      </c>
      <c r="R40" s="1137">
        <f>'Table 4'!AE42+'Table 4'!AF42</f>
        <v>2.0299999999999998</v>
      </c>
      <c r="S40" s="531">
        <f>'Table 6'!AB43</f>
        <v>0.59</v>
      </c>
      <c r="T40" s="17">
        <f t="shared" si="51"/>
        <v>2.62</v>
      </c>
      <c r="U40" s="467">
        <f>'Table 4'!AI42+'Table 4'!AJ42</f>
        <v>2.06</v>
      </c>
      <c r="V40" s="531">
        <f>'Table 6'!AE43</f>
        <v>0.59</v>
      </c>
      <c r="W40" s="50">
        <f t="shared" si="52"/>
        <v>2.65</v>
      </c>
      <c r="X40" s="1307">
        <f>(U40-C40)/C40</f>
        <v>0.18</v>
      </c>
      <c r="Y40" s="1308">
        <f t="shared" si="55"/>
        <v>0</v>
      </c>
      <c r="Z40" s="1350">
        <f t="shared" si="55"/>
        <v>0.14000000000000001</v>
      </c>
      <c r="AA40" s="1309">
        <f>'Table 4'!AN42+'Table 4'!AO42</f>
        <v>2.1800000000000002</v>
      </c>
      <c r="AB40" s="1310">
        <f>'Table 6'!AI43</f>
        <v>0.62</v>
      </c>
      <c r="AC40" s="1351">
        <f t="shared" si="53"/>
        <v>2.8</v>
      </c>
      <c r="AE40" s="1312">
        <f t="shared" si="54"/>
        <v>0.32</v>
      </c>
      <c r="AF40" s="1312">
        <f t="shared" si="54"/>
        <v>0</v>
      </c>
      <c r="AG40" s="1312">
        <f t="shared" si="54"/>
        <v>0.32</v>
      </c>
    </row>
    <row r="41" spans="1:33" s="67" customFormat="1" ht="27.75" customHeight="1" thickTop="1" thickBot="1">
      <c r="A41" s="3236" t="s">
        <v>526</v>
      </c>
      <c r="B41" s="3237"/>
      <c r="C41" s="1794">
        <f>SUM(C35:C40)</f>
        <v>4.3600000000000003</v>
      </c>
      <c r="D41" s="1795">
        <f t="shared" ref="D41:W41" si="56">SUM(D35:D40)</f>
        <v>4.24</v>
      </c>
      <c r="E41" s="1796">
        <f t="shared" si="56"/>
        <v>8.6</v>
      </c>
      <c r="F41" s="1794">
        <f t="shared" si="56"/>
        <v>4.71</v>
      </c>
      <c r="G41" s="1797">
        <f t="shared" si="56"/>
        <v>4.21</v>
      </c>
      <c r="H41" s="1798">
        <f t="shared" si="56"/>
        <v>8.92</v>
      </c>
      <c r="I41" s="1794">
        <f t="shared" si="56"/>
        <v>4.84</v>
      </c>
      <c r="J41" s="1795">
        <f t="shared" si="56"/>
        <v>4.28</v>
      </c>
      <c r="K41" s="1796">
        <f t="shared" si="56"/>
        <v>9.1199999999999992</v>
      </c>
      <c r="L41" s="1799">
        <f t="shared" si="56"/>
        <v>4.95</v>
      </c>
      <c r="M41" s="1797">
        <f t="shared" si="56"/>
        <v>4.3499999999999996</v>
      </c>
      <c r="N41" s="1800">
        <f t="shared" si="56"/>
        <v>9.3000000000000007</v>
      </c>
      <c r="O41" s="1801">
        <f t="shared" si="56"/>
        <v>4.9800000000000004</v>
      </c>
      <c r="P41" s="1802">
        <f t="shared" si="56"/>
        <v>4.4000000000000004</v>
      </c>
      <c r="Q41" s="1796">
        <f t="shared" si="56"/>
        <v>9.3800000000000008</v>
      </c>
      <c r="R41" s="1803">
        <f t="shared" si="56"/>
        <v>5.03</v>
      </c>
      <c r="S41" s="1804">
        <f t="shared" si="56"/>
        <v>4.46</v>
      </c>
      <c r="T41" s="1800">
        <f t="shared" si="56"/>
        <v>9.49</v>
      </c>
      <c r="U41" s="1801">
        <f t="shared" si="56"/>
        <v>5.08</v>
      </c>
      <c r="V41" s="1804">
        <f t="shared" si="56"/>
        <v>4.49</v>
      </c>
      <c r="W41" s="1798">
        <f t="shared" si="56"/>
        <v>9.57</v>
      </c>
      <c r="X41" s="1805">
        <f>(U41-C41)/C41</f>
        <v>0.17</v>
      </c>
      <c r="Y41" s="1806">
        <f t="shared" si="55"/>
        <v>0.06</v>
      </c>
      <c r="Z41" s="1807">
        <f t="shared" si="55"/>
        <v>0.11</v>
      </c>
      <c r="AA41" s="1808">
        <f t="shared" ref="AA41" si="57">SUM(AA35:AA40)</f>
        <v>5.33</v>
      </c>
      <c r="AB41" s="1809">
        <f t="shared" ref="AB41" si="58">SUM(AB35:AB40)</f>
        <v>4.74</v>
      </c>
      <c r="AC41" s="1810">
        <f t="shared" ref="AC41" si="59">SUM(AC35:AC40)</f>
        <v>10.07</v>
      </c>
      <c r="AE41" s="1335">
        <f t="shared" si="54"/>
        <v>0.72</v>
      </c>
      <c r="AF41" s="1335">
        <f t="shared" si="54"/>
        <v>0.25</v>
      </c>
      <c r="AG41" s="1335">
        <f t="shared" si="54"/>
        <v>0.97</v>
      </c>
    </row>
    <row r="42" spans="1:33" s="2" customFormat="1">
      <c r="A42" s="54" t="s">
        <v>35</v>
      </c>
      <c r="D42" s="317"/>
      <c r="G42" s="317"/>
      <c r="J42" s="317"/>
      <c r="M42" s="67"/>
      <c r="P42" s="67"/>
      <c r="S42" s="67"/>
      <c r="T42" s="256"/>
      <c r="U42" s="256"/>
      <c r="V42" s="256"/>
      <c r="W42" s="256"/>
      <c r="X42" s="256"/>
      <c r="Y42" s="1064"/>
      <c r="Z42" s="256"/>
      <c r="AA42" s="256"/>
      <c r="AB42" s="256"/>
      <c r="AC42" s="256"/>
    </row>
    <row r="43" spans="1:33">
      <c r="A43" s="2" t="s">
        <v>68</v>
      </c>
      <c r="B43" s="2"/>
      <c r="C43" s="2"/>
      <c r="D43" s="67"/>
      <c r="E43" s="2"/>
      <c r="F43" s="2"/>
      <c r="G43" s="67"/>
      <c r="H43" s="2"/>
      <c r="I43" s="2"/>
      <c r="J43" s="67"/>
      <c r="K43" s="2"/>
      <c r="L43" s="2"/>
      <c r="M43" s="317"/>
      <c r="N43" s="2"/>
      <c r="O43" s="2"/>
      <c r="P43" s="67"/>
      <c r="Q43" s="2"/>
      <c r="R43" s="2"/>
      <c r="S43" s="67"/>
    </row>
    <row r="44" spans="1:33">
      <c r="A44" s="2" t="s">
        <v>69</v>
      </c>
      <c r="B44" s="2"/>
      <c r="C44" s="2"/>
      <c r="D44" s="67"/>
      <c r="E44" s="2"/>
      <c r="F44" s="2"/>
      <c r="G44" s="67"/>
      <c r="H44" s="2"/>
      <c r="I44" s="2"/>
      <c r="J44" s="67"/>
      <c r="K44" s="2"/>
      <c r="L44" s="2"/>
      <c r="M44" s="67"/>
      <c r="N44" s="2"/>
      <c r="O44" s="2"/>
      <c r="P44" s="67"/>
      <c r="Q44" s="2"/>
      <c r="R44" s="2"/>
      <c r="S44" s="67"/>
      <c r="Z44" s="256" t="s">
        <v>36</v>
      </c>
    </row>
  </sheetData>
  <mergeCells count="30">
    <mergeCell ref="A1:AC1"/>
    <mergeCell ref="AA33:AC33"/>
    <mergeCell ref="A41:B41"/>
    <mergeCell ref="L33:N33"/>
    <mergeCell ref="O33:Q33"/>
    <mergeCell ref="R33:T33"/>
    <mergeCell ref="U33:W33"/>
    <mergeCell ref="X33:Z33"/>
    <mergeCell ref="A33:A34"/>
    <mergeCell ref="B33:B34"/>
    <mergeCell ref="C33:E33"/>
    <mergeCell ref="F33:H33"/>
    <mergeCell ref="I33:K33"/>
    <mergeCell ref="AA2:AC2"/>
    <mergeCell ref="A2:A3"/>
    <mergeCell ref="B2:B3"/>
    <mergeCell ref="A26:B26"/>
    <mergeCell ref="A6:B6"/>
    <mergeCell ref="A12:B12"/>
    <mergeCell ref="A9:B9"/>
    <mergeCell ref="X2:Z2"/>
    <mergeCell ref="U2:W2"/>
    <mergeCell ref="A24:B24"/>
    <mergeCell ref="A25:B25"/>
    <mergeCell ref="C2:E2"/>
    <mergeCell ref="F2:H2"/>
    <mergeCell ref="I2:K2"/>
    <mergeCell ref="L2:N2"/>
    <mergeCell ref="O2:Q2"/>
    <mergeCell ref="R2:T2"/>
  </mergeCells>
  <phoneticPr fontId="71" type="noConversion"/>
  <pageMargins left="0.7" right="0.7" top="0.75" bottom="0.75" header="0.3" footer="0.3"/>
  <pageSetup paperSize="5" scale="5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E5C4-39C1-4736-8E0D-C39E54F81FB0}">
  <sheetPr>
    <pageSetUpPr fitToPage="1"/>
  </sheetPr>
  <dimension ref="A1:AC344"/>
  <sheetViews>
    <sheetView topLeftCell="A46" workbookViewId="0">
      <selection activeCell="N183" sqref="N183"/>
    </sheetView>
  </sheetViews>
  <sheetFormatPr defaultRowHeight="15"/>
  <cols>
    <col min="1" max="1" width="41" customWidth="1"/>
    <col min="2" max="2" width="11.28515625" customWidth="1"/>
    <col min="24" max="24" width="11.7109375" customWidth="1"/>
    <col min="29" max="29" width="11.140625" hidden="1" customWidth="1"/>
  </cols>
  <sheetData>
    <row r="1" spans="1:29" ht="15.75" thickBot="1">
      <c r="A1" s="1" t="s">
        <v>689</v>
      </c>
    </row>
    <row r="2" spans="1:29" ht="15.75" customHeight="1" thickBot="1">
      <c r="A2" s="3204" t="s">
        <v>54</v>
      </c>
      <c r="B2" s="3206" t="s">
        <v>2</v>
      </c>
      <c r="C2" s="3261" t="s">
        <v>55</v>
      </c>
      <c r="D2" s="3262"/>
      <c r="E2" s="3263"/>
      <c r="F2" s="3261" t="s">
        <v>56</v>
      </c>
      <c r="G2" s="3262"/>
      <c r="H2" s="3262"/>
      <c r="I2" s="3262"/>
      <c r="J2" s="3262"/>
      <c r="K2" s="3262"/>
      <c r="L2" s="3262"/>
      <c r="M2" s="3262"/>
      <c r="N2" s="3262"/>
      <c r="O2" s="3262"/>
      <c r="P2" s="3262"/>
      <c r="Q2" s="3262"/>
      <c r="R2" s="3262"/>
      <c r="S2" s="3262"/>
      <c r="T2" s="3262"/>
      <c r="U2" s="3262"/>
      <c r="V2" s="3262"/>
      <c r="W2" s="3263"/>
      <c r="X2" s="3255" t="s">
        <v>57</v>
      </c>
      <c r="Y2" s="3261" t="s">
        <v>58</v>
      </c>
      <c r="Z2" s="3262"/>
      <c r="AA2" s="3263"/>
      <c r="AC2" s="3255" t="s">
        <v>80</v>
      </c>
    </row>
    <row r="3" spans="1:29">
      <c r="A3" s="3205"/>
      <c r="B3" s="3207"/>
      <c r="C3" s="3258">
        <v>2015</v>
      </c>
      <c r="D3" s="3264"/>
      <c r="E3" s="3245"/>
      <c r="F3" s="3258">
        <v>2020</v>
      </c>
      <c r="G3" s="3264"/>
      <c r="H3" s="3245"/>
      <c r="I3" s="3258">
        <v>2025</v>
      </c>
      <c r="J3" s="3264"/>
      <c r="K3" s="3245"/>
      <c r="L3" s="3258">
        <v>2030</v>
      </c>
      <c r="M3" s="3264"/>
      <c r="N3" s="3245"/>
      <c r="O3" s="3258">
        <v>2035</v>
      </c>
      <c r="P3" s="3264"/>
      <c r="Q3" s="3245"/>
      <c r="R3" s="3258">
        <v>2040</v>
      </c>
      <c r="S3" s="3264"/>
      <c r="T3" s="3245"/>
      <c r="U3" s="3258">
        <v>2045</v>
      </c>
      <c r="V3" s="3264"/>
      <c r="W3" s="3245"/>
      <c r="X3" s="3256"/>
      <c r="Y3" s="3258">
        <v>2045</v>
      </c>
      <c r="Z3" s="3264"/>
      <c r="AA3" s="3245"/>
      <c r="AC3" s="3256"/>
    </row>
    <row r="4" spans="1:29" ht="15.75" thickBot="1">
      <c r="A4" s="3490"/>
      <c r="B4" s="3484"/>
      <c r="C4" s="1920" t="s">
        <v>60</v>
      </c>
      <c r="D4" s="1482" t="s">
        <v>61</v>
      </c>
      <c r="E4" s="1483" t="s">
        <v>18</v>
      </c>
      <c r="F4" s="1484" t="s">
        <v>60</v>
      </c>
      <c r="G4" s="877" t="s">
        <v>61</v>
      </c>
      <c r="H4" s="1009" t="s">
        <v>18</v>
      </c>
      <c r="I4" s="1920" t="s">
        <v>60</v>
      </c>
      <c r="J4" s="1482" t="s">
        <v>61</v>
      </c>
      <c r="K4" s="1483" t="s">
        <v>18</v>
      </c>
      <c r="L4" s="1484" t="s">
        <v>60</v>
      </c>
      <c r="M4" s="877" t="s">
        <v>61</v>
      </c>
      <c r="N4" s="1009" t="s">
        <v>18</v>
      </c>
      <c r="O4" s="1920" t="s">
        <v>60</v>
      </c>
      <c r="P4" s="1482" t="s">
        <v>61</v>
      </c>
      <c r="Q4" s="1483" t="s">
        <v>18</v>
      </c>
      <c r="R4" s="1920" t="s">
        <v>60</v>
      </c>
      <c r="S4" s="877" t="s">
        <v>61</v>
      </c>
      <c r="T4" s="1009" t="s">
        <v>18</v>
      </c>
      <c r="U4" s="1920" t="s">
        <v>60</v>
      </c>
      <c r="V4" s="877" t="s">
        <v>61</v>
      </c>
      <c r="W4" s="1009" t="s">
        <v>18</v>
      </c>
      <c r="X4" s="3483"/>
      <c r="Y4" s="1921" t="s">
        <v>60</v>
      </c>
      <c r="Z4" s="1485" t="s">
        <v>61</v>
      </c>
      <c r="AA4" s="1103" t="s">
        <v>18</v>
      </c>
      <c r="AC4" s="3483"/>
    </row>
    <row r="5" spans="1:29" ht="15.75" thickTop="1">
      <c r="A5" s="1486" t="s">
        <v>62</v>
      </c>
      <c r="B5" s="1487" t="s">
        <v>15</v>
      </c>
      <c r="C5" s="1497">
        <f>'Table 4'!J5</f>
        <v>21.14</v>
      </c>
      <c r="D5" s="1502">
        <f>'Table 4'!K5</f>
        <v>0</v>
      </c>
      <c r="E5" s="1499">
        <f>'Table 4'!L5</f>
        <v>21.14</v>
      </c>
      <c r="F5" s="1497">
        <f>'Table 4'!M5</f>
        <v>22.05</v>
      </c>
      <c r="G5" s="1502">
        <f>'Table 4'!N5</f>
        <v>0</v>
      </c>
      <c r="H5" s="1499">
        <f>'Table 4'!O5</f>
        <v>22.05</v>
      </c>
      <c r="I5" s="1497">
        <f>'Table 4'!Q5</f>
        <v>22.53</v>
      </c>
      <c r="J5" s="1502">
        <f>'Table 4'!R5</f>
        <v>0</v>
      </c>
      <c r="K5" s="1499">
        <f>'Table 4'!S5</f>
        <v>22.53</v>
      </c>
      <c r="L5" s="1497">
        <f>'Table 4'!U5</f>
        <v>22.73</v>
      </c>
      <c r="M5" s="1502">
        <f>'Table 4'!V5</f>
        <v>0</v>
      </c>
      <c r="N5" s="1499">
        <f>'Table 4'!W5</f>
        <v>22.73</v>
      </c>
      <c r="O5" s="1497">
        <f>'Table 4'!Y5</f>
        <v>22.74</v>
      </c>
      <c r="P5" s="1502">
        <f>'Table 4'!Z5</f>
        <v>0</v>
      </c>
      <c r="Q5" s="1499">
        <f>'Table 4'!AA5</f>
        <v>22.74</v>
      </c>
      <c r="R5" s="1497">
        <f>'Table 4'!AC5</f>
        <v>22.81</v>
      </c>
      <c r="S5" s="1502">
        <f>'Table 4'!AD5</f>
        <v>0</v>
      </c>
      <c r="T5" s="1499">
        <f>'Table 4'!AE5</f>
        <v>22.81</v>
      </c>
      <c r="U5" s="1497">
        <f>'Table 4'!AG5</f>
        <v>22.83</v>
      </c>
      <c r="V5" s="1502">
        <f>'Table 4'!AH5</f>
        <v>0</v>
      </c>
      <c r="W5" s="1499">
        <f>'Table 4'!AI5</f>
        <v>22.83</v>
      </c>
      <c r="X5" s="1813">
        <f>(W5-E5)/E5</f>
        <v>0.08</v>
      </c>
      <c r="Y5" s="1497">
        <f>'Table 4'!AL5</f>
        <v>24.2</v>
      </c>
      <c r="Z5" s="1502">
        <f>'Table 4'!AM5</f>
        <v>0</v>
      </c>
      <c r="AA5" s="1499">
        <f>'Table 4'!AN5</f>
        <v>24.2</v>
      </c>
      <c r="AC5" s="1653">
        <f>W5-E5</f>
        <v>1.69</v>
      </c>
    </row>
    <row r="6" spans="1:29" ht="15.75" thickBot="1">
      <c r="A6" s="1488" t="s">
        <v>62</v>
      </c>
      <c r="B6" s="1489" t="s">
        <v>17</v>
      </c>
      <c r="C6" s="1922">
        <f>'Table 4'!J6</f>
        <v>2.35</v>
      </c>
      <c r="D6" s="1503">
        <f>'Table 4'!K6</f>
        <v>0</v>
      </c>
      <c r="E6" s="1500">
        <f>'Table 4'!L6</f>
        <v>2.35</v>
      </c>
      <c r="F6" s="1922">
        <f>'Table 4'!M6</f>
        <v>2.54</v>
      </c>
      <c r="G6" s="1503">
        <f>'Table 4'!N6</f>
        <v>0</v>
      </c>
      <c r="H6" s="1500">
        <f>'Table 4'!O6</f>
        <v>2.54</v>
      </c>
      <c r="I6" s="1922">
        <f>'Table 4'!Q6</f>
        <v>2.56</v>
      </c>
      <c r="J6" s="1503">
        <f>'Table 4'!R6</f>
        <v>0</v>
      </c>
      <c r="K6" s="1500">
        <f>'Table 4'!S6</f>
        <v>2.56</v>
      </c>
      <c r="L6" s="1922">
        <f>'Table 4'!U6</f>
        <v>2.71</v>
      </c>
      <c r="M6" s="1503">
        <f>'Table 4'!V6</f>
        <v>0</v>
      </c>
      <c r="N6" s="1500">
        <f>'Table 4'!W6</f>
        <v>2.71</v>
      </c>
      <c r="O6" s="1922">
        <f>'Table 4'!Y6</f>
        <v>2.89</v>
      </c>
      <c r="P6" s="1503">
        <f>'Table 4'!Z6</f>
        <v>0</v>
      </c>
      <c r="Q6" s="1500">
        <f>'Table 4'!AA6</f>
        <v>2.89</v>
      </c>
      <c r="R6" s="1922">
        <f>'Table 4'!AC6</f>
        <v>2.95</v>
      </c>
      <c r="S6" s="1503">
        <f>'Table 4'!AD6</f>
        <v>0</v>
      </c>
      <c r="T6" s="1500">
        <f>'Table 4'!AE6</f>
        <v>2.95</v>
      </c>
      <c r="U6" s="1922">
        <f>'Table 4'!AG6</f>
        <v>2.98</v>
      </c>
      <c r="V6" s="1503">
        <f>'Table 4'!AH6</f>
        <v>0</v>
      </c>
      <c r="W6" s="1500">
        <f>'Table 4'!AI6</f>
        <v>2.98</v>
      </c>
      <c r="X6" s="1819">
        <f t="shared" ref="X6:X25" si="0">(W6-E6)/E6</f>
        <v>0.27</v>
      </c>
      <c r="Y6" s="1922">
        <f>'Table 4'!AL6</f>
        <v>3.17</v>
      </c>
      <c r="Z6" s="1503">
        <f>'Table 4'!AM6</f>
        <v>0</v>
      </c>
      <c r="AA6" s="1500">
        <f>'Table 4'!AN6</f>
        <v>3.17</v>
      </c>
      <c r="AC6" s="846">
        <f t="shared" ref="AC6:AC25" si="1">W6-E6</f>
        <v>0.63</v>
      </c>
    </row>
    <row r="7" spans="1:29" ht="16.5" thickTop="1" thickBot="1">
      <c r="A7" s="1490" t="s">
        <v>62</v>
      </c>
      <c r="B7" s="1496" t="s">
        <v>18</v>
      </c>
      <c r="C7" s="1498">
        <f>SUM(C5:C6)</f>
        <v>23.49</v>
      </c>
      <c r="D7" s="1504">
        <f t="shared" ref="D7:W7" si="2">SUM(D5:D6)</f>
        <v>0</v>
      </c>
      <c r="E7" s="1501">
        <f t="shared" si="2"/>
        <v>23.49</v>
      </c>
      <c r="F7" s="1498">
        <f t="shared" si="2"/>
        <v>24.59</v>
      </c>
      <c r="G7" s="1504">
        <f t="shared" si="2"/>
        <v>0</v>
      </c>
      <c r="H7" s="1501">
        <f t="shared" si="2"/>
        <v>24.59</v>
      </c>
      <c r="I7" s="1498">
        <f t="shared" si="2"/>
        <v>25.09</v>
      </c>
      <c r="J7" s="1504">
        <f t="shared" si="2"/>
        <v>0</v>
      </c>
      <c r="K7" s="1501">
        <f t="shared" si="2"/>
        <v>25.09</v>
      </c>
      <c r="L7" s="1498">
        <f t="shared" si="2"/>
        <v>25.44</v>
      </c>
      <c r="M7" s="1504">
        <f t="shared" si="2"/>
        <v>0</v>
      </c>
      <c r="N7" s="1501">
        <f t="shared" si="2"/>
        <v>25.44</v>
      </c>
      <c r="O7" s="1498">
        <f t="shared" si="2"/>
        <v>25.63</v>
      </c>
      <c r="P7" s="1504">
        <f t="shared" si="2"/>
        <v>0</v>
      </c>
      <c r="Q7" s="1501">
        <f t="shared" si="2"/>
        <v>25.63</v>
      </c>
      <c r="R7" s="1498">
        <f t="shared" si="2"/>
        <v>25.76</v>
      </c>
      <c r="S7" s="1504">
        <f t="shared" si="2"/>
        <v>0</v>
      </c>
      <c r="T7" s="1501">
        <f t="shared" si="2"/>
        <v>25.76</v>
      </c>
      <c r="U7" s="1498">
        <f t="shared" si="2"/>
        <v>25.81</v>
      </c>
      <c r="V7" s="1504">
        <f t="shared" si="2"/>
        <v>0</v>
      </c>
      <c r="W7" s="1501">
        <f t="shared" si="2"/>
        <v>25.81</v>
      </c>
      <c r="X7" s="1514">
        <f t="shared" si="0"/>
        <v>0.1</v>
      </c>
      <c r="Y7" s="1498">
        <f t="shared" ref="Y7" si="3">SUM(Y5:Y6)</f>
        <v>27.37</v>
      </c>
      <c r="Z7" s="1504">
        <f t="shared" ref="Z7" si="4">SUM(Z5:Z6)</f>
        <v>0</v>
      </c>
      <c r="AA7" s="1501">
        <f t="shared" ref="AA7" si="5">SUM(AA5:AA6)</f>
        <v>27.37</v>
      </c>
      <c r="AC7" s="1823">
        <f t="shared" si="1"/>
        <v>2.3199999999999998</v>
      </c>
    </row>
    <row r="8" spans="1:29" ht="26.25">
      <c r="A8" s="282" t="s">
        <v>63</v>
      </c>
      <c r="B8" s="1492" t="s">
        <v>15</v>
      </c>
      <c r="C8" s="1497">
        <f>'Table 6'!K5</f>
        <v>0.85</v>
      </c>
      <c r="D8" s="1507">
        <f>'Table 6'!L5</f>
        <v>0</v>
      </c>
      <c r="E8" s="1499">
        <f>'Table 6'!M5</f>
        <v>0.85</v>
      </c>
      <c r="F8" s="1497">
        <f>'Table 6'!N5</f>
        <v>0.67</v>
      </c>
      <c r="G8" s="1507">
        <f>'Table 6'!O5</f>
        <v>0</v>
      </c>
      <c r="H8" s="1499">
        <f>'Table 6'!P5</f>
        <v>0.67</v>
      </c>
      <c r="I8" s="1497">
        <f>'Table 6'!Q5</f>
        <v>0.7</v>
      </c>
      <c r="J8" s="1507">
        <f>'Table 6'!R5</f>
        <v>0</v>
      </c>
      <c r="K8" s="1499">
        <f>'Table 6'!S5</f>
        <v>0.7</v>
      </c>
      <c r="L8" s="1497">
        <f>'Table 6'!T5</f>
        <v>0.83</v>
      </c>
      <c r="M8" s="1507">
        <f>'Table 6'!U5</f>
        <v>0</v>
      </c>
      <c r="N8" s="1499">
        <f>'Table 6'!V5</f>
        <v>0.83</v>
      </c>
      <c r="O8" s="1497">
        <f>'Table 6'!W5</f>
        <v>0.83</v>
      </c>
      <c r="P8" s="1507">
        <f>'Table 6'!X5</f>
        <v>0</v>
      </c>
      <c r="Q8" s="1499">
        <f>'Table 6'!Y5</f>
        <v>0.83</v>
      </c>
      <c r="R8" s="1497">
        <f>'Table 6'!Z5</f>
        <v>0.9</v>
      </c>
      <c r="S8" s="1507">
        <f>'Table 6'!AA5</f>
        <v>0</v>
      </c>
      <c r="T8" s="1499">
        <f>'Table 6'!AB5</f>
        <v>0.9</v>
      </c>
      <c r="U8" s="1497">
        <f>'Table 6'!AC5</f>
        <v>1</v>
      </c>
      <c r="V8" s="1507">
        <f>'Table 6'!AD5</f>
        <v>0</v>
      </c>
      <c r="W8" s="1499">
        <f>'Table 6'!AE5</f>
        <v>1</v>
      </c>
      <c r="X8" s="1813">
        <f t="shared" si="0"/>
        <v>0.18</v>
      </c>
      <c r="Y8" s="1497">
        <f>'Table 6'!AG5</f>
        <v>1.06</v>
      </c>
      <c r="Z8" s="1507">
        <f>'Table 6'!AH5</f>
        <v>0</v>
      </c>
      <c r="AA8" s="1499">
        <f>'Table 6'!AI5</f>
        <v>1.06</v>
      </c>
      <c r="AC8" s="1653">
        <f t="shared" si="1"/>
        <v>0.15</v>
      </c>
    </row>
    <row r="9" spans="1:29" ht="27" thickBot="1">
      <c r="A9" s="175" t="s">
        <v>63</v>
      </c>
      <c r="B9" s="1489" t="s">
        <v>17</v>
      </c>
      <c r="C9" s="1922">
        <f>'Table 6'!K6</f>
        <v>1.84</v>
      </c>
      <c r="D9" s="1503">
        <f>'Table 6'!L6</f>
        <v>0</v>
      </c>
      <c r="E9" s="1500">
        <f>'Table 6'!M6</f>
        <v>1.84</v>
      </c>
      <c r="F9" s="1922">
        <f>'Table 6'!N6</f>
        <v>2.27</v>
      </c>
      <c r="G9" s="1503">
        <f>'Table 6'!O6</f>
        <v>0</v>
      </c>
      <c r="H9" s="1500">
        <f>'Table 6'!P6</f>
        <v>2.27</v>
      </c>
      <c r="I9" s="1922">
        <f>'Table 6'!Q6</f>
        <v>2.63</v>
      </c>
      <c r="J9" s="1503">
        <f>'Table 6'!R6</f>
        <v>0</v>
      </c>
      <c r="K9" s="1500">
        <f>'Table 6'!S6</f>
        <v>2.63</v>
      </c>
      <c r="L9" s="1922">
        <f>'Table 6'!T6</f>
        <v>2.89</v>
      </c>
      <c r="M9" s="1503">
        <f>'Table 6'!U6</f>
        <v>0</v>
      </c>
      <c r="N9" s="1500">
        <f>'Table 6'!V6</f>
        <v>2.89</v>
      </c>
      <c r="O9" s="1922">
        <f>'Table 6'!W6</f>
        <v>3.27</v>
      </c>
      <c r="P9" s="1503">
        <f>'Table 6'!X6</f>
        <v>0</v>
      </c>
      <c r="Q9" s="1500">
        <f>'Table 6'!Y6</f>
        <v>3.27</v>
      </c>
      <c r="R9" s="1922">
        <f>'Table 6'!Z6</f>
        <v>3.54</v>
      </c>
      <c r="S9" s="1503">
        <f>'Table 6'!AA6</f>
        <v>0</v>
      </c>
      <c r="T9" s="1500">
        <f>'Table 6'!AB6</f>
        <v>3.54</v>
      </c>
      <c r="U9" s="1922">
        <f>'Table 6'!AC6</f>
        <v>3.75</v>
      </c>
      <c r="V9" s="1503">
        <f>'Table 6'!AD6</f>
        <v>0</v>
      </c>
      <c r="W9" s="1500">
        <f>'Table 6'!AE6</f>
        <v>3.75</v>
      </c>
      <c r="X9" s="1819">
        <f t="shared" si="0"/>
        <v>1.04</v>
      </c>
      <c r="Y9" s="1922">
        <f>'Table 6'!AG6</f>
        <v>3.97</v>
      </c>
      <c r="Z9" s="1503">
        <f>'Table 6'!AH6</f>
        <v>0</v>
      </c>
      <c r="AA9" s="1500">
        <f>'Table 6'!AI6</f>
        <v>3.97</v>
      </c>
      <c r="AC9" s="846">
        <f t="shared" si="1"/>
        <v>1.91</v>
      </c>
    </row>
    <row r="10" spans="1:29" ht="27.75" thickTop="1" thickBot="1">
      <c r="A10" s="1491" t="s">
        <v>63</v>
      </c>
      <c r="B10" s="1505" t="s">
        <v>18</v>
      </c>
      <c r="C10" s="1498">
        <f>SUM(C8:C9)</f>
        <v>2.69</v>
      </c>
      <c r="D10" s="1504">
        <f t="shared" ref="D10:W10" si="6">SUM(D8:D9)</f>
        <v>0</v>
      </c>
      <c r="E10" s="1501">
        <f t="shared" si="6"/>
        <v>2.69</v>
      </c>
      <c r="F10" s="1498">
        <f t="shared" si="6"/>
        <v>2.94</v>
      </c>
      <c r="G10" s="1504">
        <f t="shared" si="6"/>
        <v>0</v>
      </c>
      <c r="H10" s="1501">
        <f t="shared" si="6"/>
        <v>2.94</v>
      </c>
      <c r="I10" s="1498">
        <f t="shared" si="6"/>
        <v>3.33</v>
      </c>
      <c r="J10" s="1504">
        <f t="shared" si="6"/>
        <v>0</v>
      </c>
      <c r="K10" s="1501">
        <f t="shared" si="6"/>
        <v>3.33</v>
      </c>
      <c r="L10" s="1498">
        <f t="shared" si="6"/>
        <v>3.72</v>
      </c>
      <c r="M10" s="1504">
        <f t="shared" si="6"/>
        <v>0</v>
      </c>
      <c r="N10" s="1501">
        <f t="shared" si="6"/>
        <v>3.72</v>
      </c>
      <c r="O10" s="1498">
        <f t="shared" si="6"/>
        <v>4.0999999999999996</v>
      </c>
      <c r="P10" s="1504">
        <f t="shared" si="6"/>
        <v>0</v>
      </c>
      <c r="Q10" s="1501">
        <f t="shared" si="6"/>
        <v>4.0999999999999996</v>
      </c>
      <c r="R10" s="1498">
        <f t="shared" si="6"/>
        <v>4.4400000000000004</v>
      </c>
      <c r="S10" s="1504">
        <f t="shared" si="6"/>
        <v>0</v>
      </c>
      <c r="T10" s="1501">
        <f t="shared" si="6"/>
        <v>4.4400000000000004</v>
      </c>
      <c r="U10" s="1498">
        <f t="shared" si="6"/>
        <v>4.75</v>
      </c>
      <c r="V10" s="1504">
        <f t="shared" si="6"/>
        <v>0</v>
      </c>
      <c r="W10" s="1501">
        <f t="shared" si="6"/>
        <v>4.75</v>
      </c>
      <c r="X10" s="1514">
        <f t="shared" si="0"/>
        <v>0.77</v>
      </c>
      <c r="Y10" s="1498">
        <f t="shared" ref="Y10" si="7">SUM(Y8:Y9)</f>
        <v>5.03</v>
      </c>
      <c r="Z10" s="1504">
        <f t="shared" ref="Z10" si="8">SUM(Z8:Z9)</f>
        <v>0</v>
      </c>
      <c r="AA10" s="1501">
        <f t="shared" ref="AA10" si="9">SUM(AA8:AA9)</f>
        <v>5.03</v>
      </c>
      <c r="AC10" s="1823">
        <f t="shared" si="1"/>
        <v>2.06</v>
      </c>
    </row>
    <row r="11" spans="1:29">
      <c r="A11" s="993" t="s">
        <v>64</v>
      </c>
      <c r="B11" s="1492" t="s">
        <v>15</v>
      </c>
      <c r="C11" s="1497">
        <f>'Table 7'!C5</f>
        <v>2.99</v>
      </c>
      <c r="D11" s="1507">
        <f>'Table 7'!D5</f>
        <v>0</v>
      </c>
      <c r="E11" s="1499">
        <f>'Table 7'!E5</f>
        <v>2.99</v>
      </c>
      <c r="F11" s="1497">
        <f>'Table 7'!F5</f>
        <v>3.13</v>
      </c>
      <c r="G11" s="1507">
        <f>'Table 7'!G5</f>
        <v>0</v>
      </c>
      <c r="H11" s="1499">
        <f>'Table 7'!H5</f>
        <v>3.13</v>
      </c>
      <c r="I11" s="1497">
        <f>'Table 7'!I5</f>
        <v>3.18</v>
      </c>
      <c r="J11" s="1507">
        <f>'Table 7'!J5</f>
        <v>0</v>
      </c>
      <c r="K11" s="1499">
        <f>'Table 7'!K5</f>
        <v>3.18</v>
      </c>
      <c r="L11" s="1497">
        <f>'Table 7'!L5</f>
        <v>3.27</v>
      </c>
      <c r="M11" s="1507">
        <f>'Table 7'!M5</f>
        <v>0</v>
      </c>
      <c r="N11" s="1499">
        <f>'Table 7'!N5</f>
        <v>3.27</v>
      </c>
      <c r="O11" s="1497">
        <f>'Table 7'!O5</f>
        <v>3.39</v>
      </c>
      <c r="P11" s="1507">
        <f>'Table 7'!P5</f>
        <v>0</v>
      </c>
      <c r="Q11" s="1499">
        <f>'Table 7'!Q5</f>
        <v>3.39</v>
      </c>
      <c r="R11" s="1497">
        <f>'Table 7'!R5</f>
        <v>3.52</v>
      </c>
      <c r="S11" s="1507">
        <f>'Table 7'!S5</f>
        <v>0</v>
      </c>
      <c r="T11" s="1499">
        <f>'Table 7'!T5</f>
        <v>3.52</v>
      </c>
      <c r="U11" s="1497">
        <f>'Table 7'!U5</f>
        <v>3.56</v>
      </c>
      <c r="V11" s="1507">
        <f>'Table 7'!V5</f>
        <v>0</v>
      </c>
      <c r="W11" s="1499">
        <f>'Table 7'!W5</f>
        <v>3.56</v>
      </c>
      <c r="X11" s="1813">
        <f t="shared" si="0"/>
        <v>0.19</v>
      </c>
      <c r="Y11" s="1497">
        <f>'Table 7'!AG5</f>
        <v>5.44</v>
      </c>
      <c r="Z11" s="1507">
        <f>'Table 7'!AH5</f>
        <v>0</v>
      </c>
      <c r="AA11" s="1499">
        <f>'Table 7'!AI5</f>
        <v>5.44</v>
      </c>
      <c r="AC11" s="1653">
        <f t="shared" si="1"/>
        <v>0.56999999999999995</v>
      </c>
    </row>
    <row r="12" spans="1:29" ht="15.75" thickBot="1">
      <c r="A12" s="175" t="s">
        <v>64</v>
      </c>
      <c r="B12" s="1489" t="s">
        <v>17</v>
      </c>
      <c r="C12" s="1922">
        <f>'Table 7'!C6</f>
        <v>12.22</v>
      </c>
      <c r="D12" s="1503">
        <f>'Table 7'!D6</f>
        <v>0</v>
      </c>
      <c r="E12" s="1500">
        <f>'Table 7'!E6</f>
        <v>12.22</v>
      </c>
      <c r="F12" s="1922">
        <f>'Table 7'!F6</f>
        <v>11.25</v>
      </c>
      <c r="G12" s="1503">
        <f>'Table 7'!G6</f>
        <v>0</v>
      </c>
      <c r="H12" s="1500">
        <f>'Table 7'!H6</f>
        <v>11.25</v>
      </c>
      <c r="I12" s="1922">
        <f>'Table 7'!I6</f>
        <v>11.45</v>
      </c>
      <c r="J12" s="1503">
        <f>'Table 7'!J6</f>
        <v>0</v>
      </c>
      <c r="K12" s="1500">
        <f>'Table 7'!K6</f>
        <v>11.45</v>
      </c>
      <c r="L12" s="1922">
        <f>'Table 7'!L6</f>
        <v>11.54</v>
      </c>
      <c r="M12" s="1503">
        <f>'Table 7'!M6</f>
        <v>0</v>
      </c>
      <c r="N12" s="1500">
        <f>'Table 7'!N6</f>
        <v>11.54</v>
      </c>
      <c r="O12" s="1922">
        <f>'Table 7'!O6</f>
        <v>11.79</v>
      </c>
      <c r="P12" s="1503">
        <f>'Table 7'!P6</f>
        <v>0</v>
      </c>
      <c r="Q12" s="1500">
        <f>'Table 7'!Q6</f>
        <v>11.79</v>
      </c>
      <c r="R12" s="1922">
        <f>'Table 7'!R6</f>
        <v>11.97</v>
      </c>
      <c r="S12" s="1503">
        <f>'Table 7'!S6</f>
        <v>0</v>
      </c>
      <c r="T12" s="1500">
        <f>'Table 7'!T6</f>
        <v>11.97</v>
      </c>
      <c r="U12" s="1922">
        <f>'Table 7'!U6</f>
        <v>12.24</v>
      </c>
      <c r="V12" s="1503">
        <f>'Table 7'!V6</f>
        <v>0</v>
      </c>
      <c r="W12" s="1500">
        <f>'Table 7'!W6</f>
        <v>12.24</v>
      </c>
      <c r="X12" s="1819">
        <f t="shared" si="0"/>
        <v>0</v>
      </c>
      <c r="Y12" s="1922">
        <f>'Table 7'!AG6</f>
        <v>15.72</v>
      </c>
      <c r="Z12" s="1503">
        <f>'Table 7'!AH6</f>
        <v>0</v>
      </c>
      <c r="AA12" s="1500">
        <f>'Table 7'!AI6</f>
        <v>15.72</v>
      </c>
      <c r="AC12" s="846">
        <f t="shared" si="1"/>
        <v>0.02</v>
      </c>
    </row>
    <row r="13" spans="1:29" ht="16.5" thickTop="1" thickBot="1">
      <c r="A13" s="1490" t="s">
        <v>64</v>
      </c>
      <c r="B13" s="1505" t="s">
        <v>18</v>
      </c>
      <c r="C13" s="1498">
        <f>SUM(C11:C12)</f>
        <v>15.21</v>
      </c>
      <c r="D13" s="1504">
        <f t="shared" ref="D13:W13" si="10">SUM(D11:D12)</f>
        <v>0</v>
      </c>
      <c r="E13" s="1501">
        <f t="shared" si="10"/>
        <v>15.21</v>
      </c>
      <c r="F13" s="1498">
        <f t="shared" si="10"/>
        <v>14.38</v>
      </c>
      <c r="G13" s="1504">
        <f t="shared" si="10"/>
        <v>0</v>
      </c>
      <c r="H13" s="1501">
        <f t="shared" si="10"/>
        <v>14.38</v>
      </c>
      <c r="I13" s="1498">
        <f t="shared" si="10"/>
        <v>14.63</v>
      </c>
      <c r="J13" s="1504">
        <f t="shared" si="10"/>
        <v>0</v>
      </c>
      <c r="K13" s="1501">
        <f t="shared" si="10"/>
        <v>14.63</v>
      </c>
      <c r="L13" s="1498">
        <f t="shared" si="10"/>
        <v>14.81</v>
      </c>
      <c r="M13" s="1504">
        <f t="shared" si="10"/>
        <v>0</v>
      </c>
      <c r="N13" s="1501">
        <f t="shared" si="10"/>
        <v>14.81</v>
      </c>
      <c r="O13" s="1498">
        <f t="shared" si="10"/>
        <v>15.18</v>
      </c>
      <c r="P13" s="1504">
        <f t="shared" si="10"/>
        <v>0</v>
      </c>
      <c r="Q13" s="1501">
        <f t="shared" si="10"/>
        <v>15.18</v>
      </c>
      <c r="R13" s="1498">
        <f t="shared" si="10"/>
        <v>15.49</v>
      </c>
      <c r="S13" s="1504">
        <f t="shared" si="10"/>
        <v>0</v>
      </c>
      <c r="T13" s="1501">
        <f t="shared" si="10"/>
        <v>15.49</v>
      </c>
      <c r="U13" s="1498">
        <f t="shared" si="10"/>
        <v>15.8</v>
      </c>
      <c r="V13" s="1504">
        <f t="shared" si="10"/>
        <v>0</v>
      </c>
      <c r="W13" s="1501">
        <f t="shared" si="10"/>
        <v>15.8</v>
      </c>
      <c r="X13" s="1514">
        <f t="shared" si="0"/>
        <v>0.04</v>
      </c>
      <c r="Y13" s="1498">
        <f t="shared" ref="Y13" si="11">SUM(Y11:Y12)</f>
        <v>21.16</v>
      </c>
      <c r="Z13" s="1504">
        <f t="shared" ref="Z13" si="12">SUM(Z11:Z12)</f>
        <v>0</v>
      </c>
      <c r="AA13" s="1501">
        <f t="shared" ref="AA13" si="13">SUM(AA11:AA12)</f>
        <v>21.16</v>
      </c>
      <c r="AC13" s="1823">
        <f t="shared" si="1"/>
        <v>0.59</v>
      </c>
    </row>
    <row r="14" spans="1:29">
      <c r="A14" s="282" t="s">
        <v>65</v>
      </c>
      <c r="B14" s="1492" t="s">
        <v>15</v>
      </c>
      <c r="C14" s="1497">
        <f>'Table 8'!C5</f>
        <v>0.19</v>
      </c>
      <c r="D14" s="1507">
        <f>'Table 8'!D5</f>
        <v>0.08</v>
      </c>
      <c r="E14" s="1499">
        <f>'Table 8'!E5</f>
        <v>0.27</v>
      </c>
      <c r="F14" s="1497">
        <f>'Table 8'!F5</f>
        <v>0.2</v>
      </c>
      <c r="G14" s="1507">
        <f>'Table 8'!G5</f>
        <v>0.08</v>
      </c>
      <c r="H14" s="1499">
        <f>'Table 8'!H5</f>
        <v>0.28000000000000003</v>
      </c>
      <c r="I14" s="1497">
        <f>'Table 8'!I5</f>
        <v>0.2</v>
      </c>
      <c r="J14" s="1507">
        <f>'Table 8'!J5</f>
        <v>0.08</v>
      </c>
      <c r="K14" s="1499">
        <f>'Table 8'!K5</f>
        <v>0.28000000000000003</v>
      </c>
      <c r="L14" s="1497">
        <f>'Table 8'!L5</f>
        <v>0.2</v>
      </c>
      <c r="M14" s="1507">
        <f>'Table 8'!M5</f>
        <v>0.08</v>
      </c>
      <c r="N14" s="1499">
        <f>'Table 8'!N5</f>
        <v>0.28000000000000003</v>
      </c>
      <c r="O14" s="1497">
        <f>'Table 8'!O5</f>
        <v>0.2</v>
      </c>
      <c r="P14" s="1507">
        <f>'Table 8'!P5</f>
        <v>0.08</v>
      </c>
      <c r="Q14" s="1499">
        <f>'Table 8'!Q5</f>
        <v>0.28000000000000003</v>
      </c>
      <c r="R14" s="1497">
        <f>'Table 8'!R5</f>
        <v>0.2</v>
      </c>
      <c r="S14" s="1507">
        <f>'Table 8'!S5</f>
        <v>0.08</v>
      </c>
      <c r="T14" s="1499">
        <f>'Table 8'!T5</f>
        <v>0.28000000000000003</v>
      </c>
      <c r="U14" s="1497">
        <f>'Table 8'!U5</f>
        <v>0.2</v>
      </c>
      <c r="V14" s="1507">
        <f>'Table 8'!V5</f>
        <v>0.08</v>
      </c>
      <c r="W14" s="1499">
        <f>'Table 8'!W5</f>
        <v>0.28000000000000003</v>
      </c>
      <c r="X14" s="1813">
        <f t="shared" si="0"/>
        <v>0.04</v>
      </c>
      <c r="Y14" s="1497">
        <f>'Table 8'!Y5</f>
        <v>0.34</v>
      </c>
      <c r="Z14" s="1507">
        <f>'Table 8'!Z5</f>
        <v>0.14000000000000001</v>
      </c>
      <c r="AA14" s="1499">
        <f>'Table 8'!AA5</f>
        <v>0.48</v>
      </c>
      <c r="AC14" s="1653">
        <f t="shared" si="1"/>
        <v>0.01</v>
      </c>
    </row>
    <row r="15" spans="1:29" ht="15.75" thickBot="1">
      <c r="A15" s="175" t="s">
        <v>65</v>
      </c>
      <c r="B15" s="1489" t="s">
        <v>17</v>
      </c>
      <c r="C15" s="1922">
        <f>'Table 8'!C6</f>
        <v>1.04</v>
      </c>
      <c r="D15" s="1503">
        <f>'Table 8'!D6</f>
        <v>0</v>
      </c>
      <c r="E15" s="1500">
        <f>'Table 8'!E6</f>
        <v>1.04</v>
      </c>
      <c r="F15" s="1922">
        <f>'Table 8'!F6</f>
        <v>1.21</v>
      </c>
      <c r="G15" s="1503">
        <f>'Table 8'!G6</f>
        <v>0</v>
      </c>
      <c r="H15" s="1500">
        <f>'Table 8'!H6</f>
        <v>1.21</v>
      </c>
      <c r="I15" s="1922">
        <f>'Table 8'!I6</f>
        <v>1.34</v>
      </c>
      <c r="J15" s="1503">
        <f>'Table 8'!J6</f>
        <v>0</v>
      </c>
      <c r="K15" s="1500">
        <f>'Table 8'!K6</f>
        <v>1.34</v>
      </c>
      <c r="L15" s="1922">
        <f>'Table 8'!L6</f>
        <v>1.45</v>
      </c>
      <c r="M15" s="1503">
        <f>'Table 8'!M6</f>
        <v>0</v>
      </c>
      <c r="N15" s="1500">
        <f>'Table 8'!N6</f>
        <v>1.45</v>
      </c>
      <c r="O15" s="1922">
        <f>'Table 8'!O6</f>
        <v>1.6</v>
      </c>
      <c r="P15" s="1503">
        <f>'Table 8'!P6</f>
        <v>0</v>
      </c>
      <c r="Q15" s="1500">
        <f>'Table 8'!Q6</f>
        <v>1.6</v>
      </c>
      <c r="R15" s="1922">
        <f>'Table 8'!R6</f>
        <v>1.7</v>
      </c>
      <c r="S15" s="1503">
        <f>'Table 8'!S6</f>
        <v>0</v>
      </c>
      <c r="T15" s="1500">
        <f>'Table 8'!T6</f>
        <v>1.7</v>
      </c>
      <c r="U15" s="1922">
        <f>'Table 8'!U6</f>
        <v>1.78</v>
      </c>
      <c r="V15" s="1503">
        <f>'Table 8'!V6</f>
        <v>0</v>
      </c>
      <c r="W15" s="1500">
        <f>'Table 8'!W6</f>
        <v>1.78</v>
      </c>
      <c r="X15" s="1819">
        <f t="shared" si="0"/>
        <v>0.71</v>
      </c>
      <c r="Y15" s="1922">
        <f>'Table 8'!Y6</f>
        <v>1.8</v>
      </c>
      <c r="Z15" s="1503">
        <f>'Table 8'!Z6</f>
        <v>0</v>
      </c>
      <c r="AA15" s="1500">
        <f>'Table 8'!AA6</f>
        <v>1.8</v>
      </c>
      <c r="AC15" s="846">
        <f t="shared" si="1"/>
        <v>0.74</v>
      </c>
    </row>
    <row r="16" spans="1:29" ht="16.5" thickTop="1" thickBot="1">
      <c r="A16" s="1491" t="s">
        <v>65</v>
      </c>
      <c r="B16" s="1505" t="s">
        <v>18</v>
      </c>
      <c r="C16" s="1498">
        <f>SUM(C14:C15)</f>
        <v>1.23</v>
      </c>
      <c r="D16" s="1504">
        <f t="shared" ref="D16:W16" si="14">SUM(D14:D15)</f>
        <v>0.08</v>
      </c>
      <c r="E16" s="1501">
        <f t="shared" si="14"/>
        <v>1.31</v>
      </c>
      <c r="F16" s="1498">
        <f t="shared" si="14"/>
        <v>1.41</v>
      </c>
      <c r="G16" s="1504">
        <f t="shared" si="14"/>
        <v>0.08</v>
      </c>
      <c r="H16" s="1501">
        <f t="shared" si="14"/>
        <v>1.49</v>
      </c>
      <c r="I16" s="1498">
        <f t="shared" si="14"/>
        <v>1.54</v>
      </c>
      <c r="J16" s="1504">
        <f t="shared" si="14"/>
        <v>0.08</v>
      </c>
      <c r="K16" s="1501">
        <f t="shared" si="14"/>
        <v>1.62</v>
      </c>
      <c r="L16" s="1498">
        <f t="shared" si="14"/>
        <v>1.65</v>
      </c>
      <c r="M16" s="1504">
        <f t="shared" si="14"/>
        <v>0.08</v>
      </c>
      <c r="N16" s="1501">
        <f t="shared" si="14"/>
        <v>1.73</v>
      </c>
      <c r="O16" s="1498">
        <f t="shared" si="14"/>
        <v>1.8</v>
      </c>
      <c r="P16" s="1504">
        <f t="shared" si="14"/>
        <v>0.08</v>
      </c>
      <c r="Q16" s="1501">
        <f t="shared" si="14"/>
        <v>1.88</v>
      </c>
      <c r="R16" s="1498">
        <f t="shared" si="14"/>
        <v>1.9</v>
      </c>
      <c r="S16" s="1504">
        <f t="shared" si="14"/>
        <v>0.08</v>
      </c>
      <c r="T16" s="1501">
        <f t="shared" si="14"/>
        <v>1.98</v>
      </c>
      <c r="U16" s="1498">
        <f t="shared" si="14"/>
        <v>1.98</v>
      </c>
      <c r="V16" s="1504">
        <f t="shared" si="14"/>
        <v>0.08</v>
      </c>
      <c r="W16" s="1501">
        <f t="shared" si="14"/>
        <v>2.06</v>
      </c>
      <c r="X16" s="1514">
        <f t="shared" si="0"/>
        <v>0.56999999999999995</v>
      </c>
      <c r="Y16" s="1498">
        <f t="shared" ref="Y16" si="15">SUM(Y14:Y15)</f>
        <v>2.14</v>
      </c>
      <c r="Z16" s="1504">
        <f t="shared" ref="Z16" si="16">SUM(Z14:Z15)</f>
        <v>0.14000000000000001</v>
      </c>
      <c r="AA16" s="1501">
        <f t="shared" ref="AA16" si="17">SUM(AA14:AA15)</f>
        <v>2.2799999999999998</v>
      </c>
      <c r="AC16" s="1823">
        <f t="shared" si="1"/>
        <v>0.75</v>
      </c>
    </row>
    <row r="17" spans="1:29" ht="15" customHeight="1">
      <c r="A17" s="282" t="s">
        <v>66</v>
      </c>
      <c r="B17" s="1492" t="s">
        <v>15</v>
      </c>
      <c r="C17" s="1497">
        <f>'Table 9'!C5</f>
        <v>0.11</v>
      </c>
      <c r="D17" s="1507">
        <f>'Table 9'!D5</f>
        <v>0</v>
      </c>
      <c r="E17" s="1499">
        <f>'Table 9'!E5</f>
        <v>0.11</v>
      </c>
      <c r="F17" s="1497">
        <f>'Table 9'!F5</f>
        <v>0.12</v>
      </c>
      <c r="G17" s="1507">
        <f>'Table 9'!G5</f>
        <v>0</v>
      </c>
      <c r="H17" s="1499">
        <f>'Table 9'!H5</f>
        <v>0.12</v>
      </c>
      <c r="I17" s="1497">
        <f>'Table 9'!I5</f>
        <v>0.12</v>
      </c>
      <c r="J17" s="1507">
        <f>'Table 9'!J5</f>
        <v>0</v>
      </c>
      <c r="K17" s="1499">
        <f>'Table 9'!K5</f>
        <v>0.12</v>
      </c>
      <c r="L17" s="1497">
        <f>'Table 9'!L5</f>
        <v>0.12</v>
      </c>
      <c r="M17" s="1507">
        <f>'Table 9'!M5</f>
        <v>0</v>
      </c>
      <c r="N17" s="1499">
        <f>'Table 9'!N5</f>
        <v>0.12</v>
      </c>
      <c r="O17" s="1497">
        <f>'Table 9'!O5</f>
        <v>0.12</v>
      </c>
      <c r="P17" s="1507">
        <f>'Table 9'!P5</f>
        <v>0</v>
      </c>
      <c r="Q17" s="1499">
        <f>'Table 9'!Q5</f>
        <v>0.12</v>
      </c>
      <c r="R17" s="1497">
        <f>'Table 9'!R5</f>
        <v>0.12</v>
      </c>
      <c r="S17" s="1507">
        <f>'Table 9'!S5</f>
        <v>0</v>
      </c>
      <c r="T17" s="1499">
        <f>'Table 9'!T5</f>
        <v>0.12</v>
      </c>
      <c r="U17" s="1497">
        <f>'Table 9'!U5</f>
        <v>0.12</v>
      </c>
      <c r="V17" s="1507">
        <f>'Table 9'!V5</f>
        <v>0</v>
      </c>
      <c r="W17" s="1499">
        <f>'Table 9'!W5</f>
        <v>0.12</v>
      </c>
      <c r="X17" s="1813">
        <f t="shared" si="0"/>
        <v>0.09</v>
      </c>
      <c r="Y17" s="1497">
        <f>U17</f>
        <v>0.12</v>
      </c>
      <c r="Z17" s="1507">
        <f t="shared" ref="Z17:AA18" si="18">V17</f>
        <v>0</v>
      </c>
      <c r="AA17" s="1499">
        <f t="shared" si="18"/>
        <v>0.12</v>
      </c>
      <c r="AC17" s="1653">
        <f t="shared" si="1"/>
        <v>0.01</v>
      </c>
    </row>
    <row r="18" spans="1:29" ht="15" customHeight="1" thickBot="1">
      <c r="A18" s="1488" t="s">
        <v>66</v>
      </c>
      <c r="B18" s="1489" t="s">
        <v>17</v>
      </c>
      <c r="C18" s="1922">
        <f>'Table 9'!C6</f>
        <v>0.36</v>
      </c>
      <c r="D18" s="1503">
        <f>'Table 9'!D6</f>
        <v>0</v>
      </c>
      <c r="E18" s="1500">
        <f>'Table 9'!E6</f>
        <v>0.36</v>
      </c>
      <c r="F18" s="1922">
        <f>'Table 9'!F6</f>
        <v>0.42</v>
      </c>
      <c r="G18" s="1503">
        <f>'Table 9'!G6</f>
        <v>0</v>
      </c>
      <c r="H18" s="1500">
        <f>'Table 9'!H6</f>
        <v>0.42</v>
      </c>
      <c r="I18" s="1922">
        <f>'Table 9'!I6</f>
        <v>0.46</v>
      </c>
      <c r="J18" s="1503">
        <f>'Table 9'!J6</f>
        <v>0</v>
      </c>
      <c r="K18" s="1500">
        <f>'Table 9'!K6</f>
        <v>0.46</v>
      </c>
      <c r="L18" s="1922">
        <f>'Table 9'!L6</f>
        <v>0.5</v>
      </c>
      <c r="M18" s="1503">
        <f>'Table 9'!M6</f>
        <v>0</v>
      </c>
      <c r="N18" s="1500">
        <f>'Table 9'!N6</f>
        <v>0.5</v>
      </c>
      <c r="O18" s="1922">
        <f>'Table 9'!O6</f>
        <v>0.55000000000000004</v>
      </c>
      <c r="P18" s="1503">
        <f>'Table 9'!P6</f>
        <v>0</v>
      </c>
      <c r="Q18" s="1500">
        <f>'Table 9'!Q6</f>
        <v>0.55000000000000004</v>
      </c>
      <c r="R18" s="1922">
        <f>'Table 9'!R6</f>
        <v>0.57999999999999996</v>
      </c>
      <c r="S18" s="1503">
        <f>'Table 9'!S6</f>
        <v>0</v>
      </c>
      <c r="T18" s="1500">
        <f>'Table 9'!T6</f>
        <v>0.57999999999999996</v>
      </c>
      <c r="U18" s="1922">
        <f>'Table 9'!U6</f>
        <v>0.61</v>
      </c>
      <c r="V18" s="1503">
        <f>'Table 9'!V6</f>
        <v>0</v>
      </c>
      <c r="W18" s="1500">
        <f>'Table 9'!W6</f>
        <v>0.61</v>
      </c>
      <c r="X18" s="1819">
        <f t="shared" si="0"/>
        <v>0.69</v>
      </c>
      <c r="Y18" s="1922">
        <f>U18</f>
        <v>0.61</v>
      </c>
      <c r="Z18" s="1503">
        <f t="shared" si="18"/>
        <v>0</v>
      </c>
      <c r="AA18" s="1500">
        <f t="shared" si="18"/>
        <v>0.61</v>
      </c>
      <c r="AC18" s="846">
        <f t="shared" si="1"/>
        <v>0.25</v>
      </c>
    </row>
    <row r="19" spans="1:29" ht="27.75" thickTop="1" thickBot="1">
      <c r="A19" s="1490" t="s">
        <v>66</v>
      </c>
      <c r="B19" s="1505" t="s">
        <v>18</v>
      </c>
      <c r="C19" s="1498">
        <f>SUM(C17:C18)</f>
        <v>0.47</v>
      </c>
      <c r="D19" s="1504">
        <f t="shared" ref="D19:W19" si="19">SUM(D17:D18)</f>
        <v>0</v>
      </c>
      <c r="E19" s="1501">
        <f t="shared" si="19"/>
        <v>0.47</v>
      </c>
      <c r="F19" s="1498">
        <f t="shared" si="19"/>
        <v>0.54</v>
      </c>
      <c r="G19" s="1504">
        <f t="shared" si="19"/>
        <v>0</v>
      </c>
      <c r="H19" s="1501">
        <f t="shared" si="19"/>
        <v>0.54</v>
      </c>
      <c r="I19" s="1498">
        <f t="shared" si="19"/>
        <v>0.57999999999999996</v>
      </c>
      <c r="J19" s="1504">
        <f t="shared" si="19"/>
        <v>0</v>
      </c>
      <c r="K19" s="1501">
        <f t="shared" si="19"/>
        <v>0.57999999999999996</v>
      </c>
      <c r="L19" s="1498">
        <f t="shared" si="19"/>
        <v>0.62</v>
      </c>
      <c r="M19" s="1504">
        <f t="shared" si="19"/>
        <v>0</v>
      </c>
      <c r="N19" s="1501">
        <f t="shared" si="19"/>
        <v>0.62</v>
      </c>
      <c r="O19" s="1498">
        <f t="shared" si="19"/>
        <v>0.67</v>
      </c>
      <c r="P19" s="1504">
        <f t="shared" si="19"/>
        <v>0</v>
      </c>
      <c r="Q19" s="1501">
        <f t="shared" si="19"/>
        <v>0.67</v>
      </c>
      <c r="R19" s="1498">
        <f t="shared" si="19"/>
        <v>0.7</v>
      </c>
      <c r="S19" s="1504">
        <f t="shared" si="19"/>
        <v>0</v>
      </c>
      <c r="T19" s="1501">
        <f t="shared" si="19"/>
        <v>0.7</v>
      </c>
      <c r="U19" s="1498">
        <f t="shared" si="19"/>
        <v>0.73</v>
      </c>
      <c r="V19" s="1504">
        <f t="shared" si="19"/>
        <v>0</v>
      </c>
      <c r="W19" s="1501">
        <f t="shared" si="19"/>
        <v>0.73</v>
      </c>
      <c r="X19" s="1514">
        <f t="shared" si="0"/>
        <v>0.55000000000000004</v>
      </c>
      <c r="Y19" s="1498">
        <f t="shared" ref="Y19" si="20">SUM(Y17:Y18)</f>
        <v>0.73</v>
      </c>
      <c r="Z19" s="1504">
        <f t="shared" ref="Z19" si="21">SUM(Z17:Z18)</f>
        <v>0</v>
      </c>
      <c r="AA19" s="1501">
        <f t="shared" ref="AA19" si="22">SUM(AA17:AA18)</f>
        <v>0.73</v>
      </c>
      <c r="AC19" s="1823">
        <f t="shared" si="1"/>
        <v>0.26</v>
      </c>
    </row>
    <row r="20" spans="1:29">
      <c r="A20" s="1493" t="s">
        <v>67</v>
      </c>
      <c r="B20" s="1492" t="s">
        <v>15</v>
      </c>
      <c r="C20" s="1497">
        <f>'Table 10'!C5</f>
        <v>0.51</v>
      </c>
      <c r="D20" s="1507">
        <f>'Table 10'!D5</f>
        <v>0</v>
      </c>
      <c r="E20" s="1499">
        <f>'Table 10'!E5</f>
        <v>0.51</v>
      </c>
      <c r="F20" s="1497">
        <f>'Table 10'!F5</f>
        <v>0.53</v>
      </c>
      <c r="G20" s="1507">
        <f>'Table 10'!G5</f>
        <v>0</v>
      </c>
      <c r="H20" s="1499">
        <f>'Table 10'!H5</f>
        <v>0.53</v>
      </c>
      <c r="I20" s="1497">
        <f>'Table 10'!I5</f>
        <v>0.55000000000000004</v>
      </c>
      <c r="J20" s="1507">
        <f>'Table 10'!J5</f>
        <v>0</v>
      </c>
      <c r="K20" s="1499">
        <f>'Table 10'!K5</f>
        <v>0.55000000000000004</v>
      </c>
      <c r="L20" s="1497">
        <f>'Table 10'!L5</f>
        <v>0.56000000000000005</v>
      </c>
      <c r="M20" s="1507">
        <f>'Table 10'!M5</f>
        <v>0</v>
      </c>
      <c r="N20" s="1499">
        <f>'Table 10'!N5</f>
        <v>0.56000000000000005</v>
      </c>
      <c r="O20" s="1497">
        <f>'Table 10'!O5</f>
        <v>0.59</v>
      </c>
      <c r="P20" s="1507">
        <f>'Table 10'!P5</f>
        <v>0</v>
      </c>
      <c r="Q20" s="1499">
        <f>'Table 10'!Q5</f>
        <v>0.59</v>
      </c>
      <c r="R20" s="1497">
        <f>'Table 10'!R5</f>
        <v>0.61</v>
      </c>
      <c r="S20" s="1507">
        <f>'Table 10'!S5</f>
        <v>0</v>
      </c>
      <c r="T20" s="1499">
        <f>'Table 10'!T5</f>
        <v>0.61</v>
      </c>
      <c r="U20" s="1497">
        <f>'Table 10'!U5</f>
        <v>0.63</v>
      </c>
      <c r="V20" s="1507">
        <f>'Table 10'!V5</f>
        <v>0</v>
      </c>
      <c r="W20" s="1499">
        <f>'Table 10'!W5</f>
        <v>0.63</v>
      </c>
      <c r="X20" s="1813">
        <f t="shared" si="0"/>
        <v>0.24</v>
      </c>
      <c r="Y20" s="1497">
        <f>U20</f>
        <v>0.63</v>
      </c>
      <c r="Z20" s="1507">
        <f t="shared" ref="Z20:Z21" si="23">V20</f>
        <v>0</v>
      </c>
      <c r="AA20" s="1499">
        <f t="shared" ref="AA20:AA21" si="24">W20</f>
        <v>0.63</v>
      </c>
      <c r="AC20" s="1653">
        <f t="shared" si="1"/>
        <v>0.12</v>
      </c>
    </row>
    <row r="21" spans="1:29" ht="15.75" thickBot="1">
      <c r="A21" s="175" t="s">
        <v>67</v>
      </c>
      <c r="B21" s="1489" t="s">
        <v>17</v>
      </c>
      <c r="C21" s="1922">
        <f>'Table 10'!C6</f>
        <v>1.77</v>
      </c>
      <c r="D21" s="1503">
        <f>'Table 10'!D6</f>
        <v>0</v>
      </c>
      <c r="E21" s="1500">
        <f>'Table 10'!E6</f>
        <v>1.77</v>
      </c>
      <c r="F21" s="1922">
        <f>'Table 10'!F6</f>
        <v>1.76</v>
      </c>
      <c r="G21" s="1503">
        <f>'Table 10'!G6</f>
        <v>0</v>
      </c>
      <c r="H21" s="1500">
        <f>'Table 10'!H6</f>
        <v>1.76</v>
      </c>
      <c r="I21" s="1922">
        <f>'Table 10'!I6</f>
        <v>1.67</v>
      </c>
      <c r="J21" s="1503">
        <f>'Table 10'!J6</f>
        <v>0</v>
      </c>
      <c r="K21" s="1500">
        <f>'Table 10'!K6</f>
        <v>1.67</v>
      </c>
      <c r="L21" s="1922">
        <f>'Table 10'!L6</f>
        <v>1.71</v>
      </c>
      <c r="M21" s="1503">
        <f>'Table 10'!M6</f>
        <v>0</v>
      </c>
      <c r="N21" s="1500">
        <f>'Table 10'!N6</f>
        <v>1.71</v>
      </c>
      <c r="O21" s="1922">
        <f>'Table 10'!O6</f>
        <v>1.78</v>
      </c>
      <c r="P21" s="1503">
        <f>'Table 10'!P6</f>
        <v>0</v>
      </c>
      <c r="Q21" s="1500">
        <f>'Table 10'!Q6</f>
        <v>1.78</v>
      </c>
      <c r="R21" s="1922">
        <f>'Table 10'!R6</f>
        <v>1.86</v>
      </c>
      <c r="S21" s="1503">
        <f>'Table 10'!S6</f>
        <v>0</v>
      </c>
      <c r="T21" s="1500">
        <f>'Table 10'!T6</f>
        <v>1.86</v>
      </c>
      <c r="U21" s="1922">
        <f>'Table 10'!U6</f>
        <v>1.93</v>
      </c>
      <c r="V21" s="1503">
        <f>'Table 10'!V6</f>
        <v>0</v>
      </c>
      <c r="W21" s="1500">
        <f>'Table 10'!W6</f>
        <v>1.93</v>
      </c>
      <c r="X21" s="1819">
        <f t="shared" si="0"/>
        <v>0.09</v>
      </c>
      <c r="Y21" s="1922">
        <f>U21</f>
        <v>1.93</v>
      </c>
      <c r="Z21" s="1503">
        <f t="shared" si="23"/>
        <v>0</v>
      </c>
      <c r="AA21" s="1500">
        <f t="shared" si="24"/>
        <v>1.93</v>
      </c>
      <c r="AC21" s="846">
        <f t="shared" si="1"/>
        <v>0.16</v>
      </c>
    </row>
    <row r="22" spans="1:29" ht="16.5" thickTop="1" thickBot="1">
      <c r="A22" s="1491" t="s">
        <v>67</v>
      </c>
      <c r="B22" s="1505" t="s">
        <v>18</v>
      </c>
      <c r="C22" s="1498">
        <f>SUM(C20:C21)</f>
        <v>2.2799999999999998</v>
      </c>
      <c r="D22" s="1504">
        <f t="shared" ref="D22:W22" si="25">SUM(D20:D21)</f>
        <v>0</v>
      </c>
      <c r="E22" s="1501">
        <f t="shared" si="25"/>
        <v>2.2799999999999998</v>
      </c>
      <c r="F22" s="1498">
        <f t="shared" si="25"/>
        <v>2.29</v>
      </c>
      <c r="G22" s="1504">
        <f t="shared" si="25"/>
        <v>0</v>
      </c>
      <c r="H22" s="1501">
        <f t="shared" si="25"/>
        <v>2.29</v>
      </c>
      <c r="I22" s="1498">
        <f t="shared" si="25"/>
        <v>2.2200000000000002</v>
      </c>
      <c r="J22" s="1504">
        <f t="shared" si="25"/>
        <v>0</v>
      </c>
      <c r="K22" s="1501">
        <f t="shared" si="25"/>
        <v>2.2200000000000002</v>
      </c>
      <c r="L22" s="1498">
        <f t="shared" si="25"/>
        <v>2.27</v>
      </c>
      <c r="M22" s="1504">
        <f t="shared" si="25"/>
        <v>0</v>
      </c>
      <c r="N22" s="1501">
        <f t="shared" si="25"/>
        <v>2.27</v>
      </c>
      <c r="O22" s="1498">
        <f t="shared" si="25"/>
        <v>2.37</v>
      </c>
      <c r="P22" s="1504">
        <f t="shared" si="25"/>
        <v>0</v>
      </c>
      <c r="Q22" s="1501">
        <f t="shared" si="25"/>
        <v>2.37</v>
      </c>
      <c r="R22" s="1498">
        <f t="shared" si="25"/>
        <v>2.4700000000000002</v>
      </c>
      <c r="S22" s="1504">
        <f t="shared" si="25"/>
        <v>0</v>
      </c>
      <c r="T22" s="1501">
        <f t="shared" si="25"/>
        <v>2.4700000000000002</v>
      </c>
      <c r="U22" s="1498">
        <f t="shared" si="25"/>
        <v>2.56</v>
      </c>
      <c r="V22" s="1504">
        <f t="shared" si="25"/>
        <v>0</v>
      </c>
      <c r="W22" s="1501">
        <f t="shared" si="25"/>
        <v>2.56</v>
      </c>
      <c r="X22" s="1514">
        <f t="shared" si="0"/>
        <v>0.12</v>
      </c>
      <c r="Y22" s="1498">
        <f t="shared" ref="Y22" si="26">SUM(Y20:Y21)</f>
        <v>2.56</v>
      </c>
      <c r="Z22" s="1504">
        <f t="shared" ref="Z22" si="27">SUM(Z20:Z21)</f>
        <v>0</v>
      </c>
      <c r="AA22" s="1501">
        <f t="shared" ref="AA22" si="28">SUM(AA20:AA21)</f>
        <v>2.56</v>
      </c>
      <c r="AC22" s="1823">
        <f t="shared" si="1"/>
        <v>0.28000000000000003</v>
      </c>
    </row>
    <row r="23" spans="1:29" ht="15.75" thickBot="1">
      <c r="A23" s="1494" t="s">
        <v>690</v>
      </c>
      <c r="B23" s="1506" t="s">
        <v>15</v>
      </c>
      <c r="C23" s="1508">
        <f>C5+C8+C11+C14+C17+C20</f>
        <v>25.79</v>
      </c>
      <c r="D23" s="1536">
        <f t="shared" ref="D23:W23" si="29">D5+D8+D11+D14+D17+D20</f>
        <v>0.08</v>
      </c>
      <c r="E23" s="1534">
        <f t="shared" si="29"/>
        <v>25.87</v>
      </c>
      <c r="F23" s="1508">
        <f t="shared" si="29"/>
        <v>26.7</v>
      </c>
      <c r="G23" s="1536">
        <f t="shared" si="29"/>
        <v>0.08</v>
      </c>
      <c r="H23" s="1534">
        <f t="shared" si="29"/>
        <v>26.78</v>
      </c>
      <c r="I23" s="1508">
        <f t="shared" si="29"/>
        <v>27.28</v>
      </c>
      <c r="J23" s="1536">
        <f t="shared" si="29"/>
        <v>0.08</v>
      </c>
      <c r="K23" s="1534">
        <f t="shared" si="29"/>
        <v>27.36</v>
      </c>
      <c r="L23" s="1508">
        <f t="shared" si="29"/>
        <v>27.71</v>
      </c>
      <c r="M23" s="1536">
        <f t="shared" si="29"/>
        <v>0.08</v>
      </c>
      <c r="N23" s="1534">
        <f t="shared" si="29"/>
        <v>27.79</v>
      </c>
      <c r="O23" s="1508">
        <f t="shared" si="29"/>
        <v>27.87</v>
      </c>
      <c r="P23" s="1536">
        <f t="shared" si="29"/>
        <v>0.08</v>
      </c>
      <c r="Q23" s="1534">
        <f t="shared" si="29"/>
        <v>27.95</v>
      </c>
      <c r="R23" s="1508">
        <f t="shared" si="29"/>
        <v>28.16</v>
      </c>
      <c r="S23" s="1536">
        <f t="shared" si="29"/>
        <v>0.08</v>
      </c>
      <c r="T23" s="1534">
        <f t="shared" si="29"/>
        <v>28.24</v>
      </c>
      <c r="U23" s="1508">
        <f t="shared" si="29"/>
        <v>28.34</v>
      </c>
      <c r="V23" s="1536">
        <f t="shared" si="29"/>
        <v>0.08</v>
      </c>
      <c r="W23" s="1534">
        <f t="shared" si="29"/>
        <v>28.42</v>
      </c>
      <c r="X23" s="1515">
        <f t="shared" si="0"/>
        <v>0.1</v>
      </c>
      <c r="Y23" s="1508">
        <f t="shared" ref="Y23:AA23" si="30">Y5+Y8+Y11+Y14+Y17+Y20</f>
        <v>31.79</v>
      </c>
      <c r="Z23" s="1536">
        <f t="shared" si="30"/>
        <v>0.14000000000000001</v>
      </c>
      <c r="AA23" s="1509">
        <f t="shared" si="30"/>
        <v>31.93</v>
      </c>
      <c r="AC23" s="1824">
        <f t="shared" si="1"/>
        <v>2.5499999999999998</v>
      </c>
    </row>
    <row r="24" spans="1:29" ht="15.75" thickBot="1">
      <c r="A24" s="1495" t="s">
        <v>690</v>
      </c>
      <c r="B24" s="1489" t="s">
        <v>17</v>
      </c>
      <c r="C24" s="1510">
        <f>C6+C9+C12+C15+C18+C21</f>
        <v>19.579999999999998</v>
      </c>
      <c r="D24" s="1537">
        <f t="shared" ref="D24:W24" si="31">D6+D9+D12+D15+D18+D21</f>
        <v>0</v>
      </c>
      <c r="E24" s="1535">
        <f t="shared" si="31"/>
        <v>19.579999999999998</v>
      </c>
      <c r="F24" s="1510">
        <f t="shared" si="31"/>
        <v>19.45</v>
      </c>
      <c r="G24" s="1537">
        <f t="shared" si="31"/>
        <v>0</v>
      </c>
      <c r="H24" s="1535">
        <f t="shared" si="31"/>
        <v>19.45</v>
      </c>
      <c r="I24" s="1510">
        <f t="shared" si="31"/>
        <v>20.11</v>
      </c>
      <c r="J24" s="1537">
        <f t="shared" si="31"/>
        <v>0</v>
      </c>
      <c r="K24" s="1535">
        <f t="shared" si="31"/>
        <v>20.11</v>
      </c>
      <c r="L24" s="1510">
        <f t="shared" si="31"/>
        <v>20.8</v>
      </c>
      <c r="M24" s="1537">
        <f t="shared" ref="M24" si="32">M6+M9+M12+M15+M18+M21</f>
        <v>0</v>
      </c>
      <c r="N24" s="1535">
        <f t="shared" si="31"/>
        <v>20.8</v>
      </c>
      <c r="O24" s="1510">
        <f t="shared" si="31"/>
        <v>21.88</v>
      </c>
      <c r="P24" s="1537">
        <f t="shared" si="31"/>
        <v>0</v>
      </c>
      <c r="Q24" s="1535">
        <f t="shared" si="31"/>
        <v>21.88</v>
      </c>
      <c r="R24" s="1510">
        <f t="shared" si="31"/>
        <v>22.6</v>
      </c>
      <c r="S24" s="1537">
        <f t="shared" si="31"/>
        <v>0</v>
      </c>
      <c r="T24" s="1535">
        <f t="shared" si="31"/>
        <v>22.6</v>
      </c>
      <c r="U24" s="1510">
        <f t="shared" si="31"/>
        <v>23.29</v>
      </c>
      <c r="V24" s="1537">
        <f t="shared" si="31"/>
        <v>0</v>
      </c>
      <c r="W24" s="1535">
        <f t="shared" si="31"/>
        <v>23.29</v>
      </c>
      <c r="X24" s="1516">
        <f t="shared" si="0"/>
        <v>0.19</v>
      </c>
      <c r="Y24" s="1510">
        <f t="shared" ref="Y24:AA24" si="33">Y6+Y9+Y12+Y15+Y18+Y21</f>
        <v>27.2</v>
      </c>
      <c r="Z24" s="1537">
        <f t="shared" si="33"/>
        <v>0</v>
      </c>
      <c r="AA24" s="1511">
        <f t="shared" si="33"/>
        <v>27.2</v>
      </c>
      <c r="AC24" s="1825">
        <f t="shared" si="1"/>
        <v>3.71</v>
      </c>
    </row>
    <row r="25" spans="1:29" ht="16.5" thickTop="1" thickBot="1">
      <c r="A25" s="3406" t="s">
        <v>691</v>
      </c>
      <c r="B25" s="3407"/>
      <c r="C25" s="1512">
        <f>C23+C24</f>
        <v>45.37</v>
      </c>
      <c r="D25" s="1538">
        <f t="shared" ref="D25:W25" si="34">D23+D24</f>
        <v>0.08</v>
      </c>
      <c r="E25" s="1513">
        <f t="shared" si="34"/>
        <v>45.45</v>
      </c>
      <c r="F25" s="1512">
        <f t="shared" si="34"/>
        <v>46.15</v>
      </c>
      <c r="G25" s="1538">
        <f t="shared" si="34"/>
        <v>0.08</v>
      </c>
      <c r="H25" s="1513">
        <f t="shared" si="34"/>
        <v>46.23</v>
      </c>
      <c r="I25" s="1512">
        <f t="shared" si="34"/>
        <v>47.39</v>
      </c>
      <c r="J25" s="1538">
        <f t="shared" si="34"/>
        <v>0.08</v>
      </c>
      <c r="K25" s="1513">
        <f t="shared" si="34"/>
        <v>47.47</v>
      </c>
      <c r="L25" s="1512">
        <f t="shared" si="34"/>
        <v>48.51</v>
      </c>
      <c r="M25" s="1538">
        <f t="shared" si="34"/>
        <v>0.08</v>
      </c>
      <c r="N25" s="1513">
        <f t="shared" si="34"/>
        <v>48.59</v>
      </c>
      <c r="O25" s="1512">
        <f t="shared" si="34"/>
        <v>49.75</v>
      </c>
      <c r="P25" s="1538">
        <f t="shared" si="34"/>
        <v>0.08</v>
      </c>
      <c r="Q25" s="1513">
        <f t="shared" si="34"/>
        <v>49.83</v>
      </c>
      <c r="R25" s="1512">
        <f t="shared" si="34"/>
        <v>50.76</v>
      </c>
      <c r="S25" s="1538">
        <f t="shared" si="34"/>
        <v>0.08</v>
      </c>
      <c r="T25" s="1513">
        <f t="shared" si="34"/>
        <v>50.84</v>
      </c>
      <c r="U25" s="1512">
        <f t="shared" si="34"/>
        <v>51.63</v>
      </c>
      <c r="V25" s="1538">
        <f t="shared" si="34"/>
        <v>0.08</v>
      </c>
      <c r="W25" s="1513">
        <f t="shared" si="34"/>
        <v>51.71</v>
      </c>
      <c r="X25" s="1517">
        <f t="shared" si="0"/>
        <v>0.14000000000000001</v>
      </c>
      <c r="Y25" s="1512">
        <f t="shared" ref="Y25" si="35">Y23+Y24</f>
        <v>58.99</v>
      </c>
      <c r="Z25" s="1538">
        <f t="shared" ref="Z25" si="36">Z23+Z24</f>
        <v>0.14000000000000001</v>
      </c>
      <c r="AA25" s="1513">
        <f t="shared" ref="AA25" si="37">AA23+AA24</f>
        <v>59.13</v>
      </c>
      <c r="AC25" s="855">
        <f t="shared" si="1"/>
        <v>6.26</v>
      </c>
    </row>
    <row r="26" spans="1:29">
      <c r="A26" s="89" t="s">
        <v>35</v>
      </c>
    </row>
    <row r="27" spans="1:29">
      <c r="A27" s="1" t="s">
        <v>68</v>
      </c>
    </row>
    <row r="28" spans="1:29">
      <c r="A28" s="1" t="s">
        <v>69</v>
      </c>
    </row>
    <row r="30" spans="1:29" ht="15.75" thickBot="1">
      <c r="A30" s="1" t="s">
        <v>692</v>
      </c>
    </row>
    <row r="31" spans="1:29" ht="15.75" customHeight="1" thickBot="1">
      <c r="A31" s="3204" t="s">
        <v>54</v>
      </c>
      <c r="B31" s="3206" t="s">
        <v>2</v>
      </c>
      <c r="C31" s="3261" t="s">
        <v>55</v>
      </c>
      <c r="D31" s="3262"/>
      <c r="E31" s="3263"/>
      <c r="F31" s="3261" t="s">
        <v>56</v>
      </c>
      <c r="G31" s="3262"/>
      <c r="H31" s="3262"/>
      <c r="I31" s="3262"/>
      <c r="J31" s="3262"/>
      <c r="K31" s="3262"/>
      <c r="L31" s="3262"/>
      <c r="M31" s="3262"/>
      <c r="N31" s="3262"/>
      <c r="O31" s="3262"/>
      <c r="P31" s="3262"/>
      <c r="Q31" s="3262"/>
      <c r="R31" s="3262"/>
      <c r="S31" s="3262"/>
      <c r="T31" s="3262"/>
      <c r="U31" s="3262"/>
      <c r="V31" s="3262"/>
      <c r="W31" s="3263"/>
      <c r="X31" s="3255" t="s">
        <v>57</v>
      </c>
      <c r="Y31" s="3261" t="s">
        <v>58</v>
      </c>
      <c r="Z31" s="3262"/>
      <c r="AA31" s="3263"/>
      <c r="AC31" s="3255" t="s">
        <v>80</v>
      </c>
    </row>
    <row r="32" spans="1:29">
      <c r="A32" s="3205"/>
      <c r="B32" s="3207"/>
      <c r="C32" s="3258">
        <v>2015</v>
      </c>
      <c r="D32" s="3264"/>
      <c r="E32" s="3245"/>
      <c r="F32" s="3258">
        <v>2020</v>
      </c>
      <c r="G32" s="3264"/>
      <c r="H32" s="3245"/>
      <c r="I32" s="3258">
        <v>2025</v>
      </c>
      <c r="J32" s="3264"/>
      <c r="K32" s="3245"/>
      <c r="L32" s="3258">
        <v>2030</v>
      </c>
      <c r="M32" s="3264"/>
      <c r="N32" s="3245"/>
      <c r="O32" s="3258">
        <v>2035</v>
      </c>
      <c r="P32" s="3264"/>
      <c r="Q32" s="3245"/>
      <c r="R32" s="3258">
        <v>2040</v>
      </c>
      <c r="S32" s="3264"/>
      <c r="T32" s="3245"/>
      <c r="U32" s="3258">
        <v>2045</v>
      </c>
      <c r="V32" s="3264"/>
      <c r="W32" s="3245"/>
      <c r="X32" s="3256"/>
      <c r="Y32" s="3258">
        <v>2045</v>
      </c>
      <c r="Z32" s="3264"/>
      <c r="AA32" s="3245"/>
      <c r="AC32" s="3256"/>
    </row>
    <row r="33" spans="1:29" ht="15.75" thickBot="1">
      <c r="A33" s="3485"/>
      <c r="B33" s="3208"/>
      <c r="C33" s="1130" t="s">
        <v>60</v>
      </c>
      <c r="D33" s="1128" t="s">
        <v>61</v>
      </c>
      <c r="E33" s="1681" t="s">
        <v>18</v>
      </c>
      <c r="F33" s="1127" t="s">
        <v>60</v>
      </c>
      <c r="G33" s="1131" t="s">
        <v>61</v>
      </c>
      <c r="H33" s="1680" t="s">
        <v>18</v>
      </c>
      <c r="I33" s="1130" t="s">
        <v>60</v>
      </c>
      <c r="J33" s="1128" t="s">
        <v>61</v>
      </c>
      <c r="K33" s="1681" t="s">
        <v>18</v>
      </c>
      <c r="L33" s="1127" t="s">
        <v>60</v>
      </c>
      <c r="M33" s="1131" t="s">
        <v>61</v>
      </c>
      <c r="N33" s="1680" t="s">
        <v>18</v>
      </c>
      <c r="O33" s="1130" t="s">
        <v>60</v>
      </c>
      <c r="P33" s="1128" t="s">
        <v>61</v>
      </c>
      <c r="Q33" s="1681" t="s">
        <v>18</v>
      </c>
      <c r="R33" s="1130" t="s">
        <v>60</v>
      </c>
      <c r="S33" s="1131" t="s">
        <v>61</v>
      </c>
      <c r="T33" s="1680" t="s">
        <v>18</v>
      </c>
      <c r="U33" s="1130" t="s">
        <v>60</v>
      </c>
      <c r="V33" s="1131" t="s">
        <v>61</v>
      </c>
      <c r="W33" s="1680" t="s">
        <v>18</v>
      </c>
      <c r="X33" s="3257"/>
      <c r="Y33" s="1817" t="s">
        <v>60</v>
      </c>
      <c r="Z33" s="1818" t="s">
        <v>61</v>
      </c>
      <c r="AA33" s="1135" t="s">
        <v>18</v>
      </c>
      <c r="AC33" s="3483"/>
    </row>
    <row r="34" spans="1:29">
      <c r="A34" s="993" t="s">
        <v>62</v>
      </c>
      <c r="B34" s="1492" t="s">
        <v>15</v>
      </c>
      <c r="C34" s="1497">
        <f>'Table 4'!J8</f>
        <v>0.92</v>
      </c>
      <c r="D34" s="1507">
        <f>'Table 4'!K8</f>
        <v>0</v>
      </c>
      <c r="E34" s="1499">
        <f>'Table 4'!L8</f>
        <v>0.92</v>
      </c>
      <c r="F34" s="1497">
        <f>'Table 4'!M8</f>
        <v>0.95</v>
      </c>
      <c r="G34" s="1507">
        <f>'Table 4'!N8</f>
        <v>0</v>
      </c>
      <c r="H34" s="1499">
        <f>'Table 4'!O8</f>
        <v>0.95</v>
      </c>
      <c r="I34" s="1497">
        <f>'Table 4'!Q8</f>
        <v>0.99</v>
      </c>
      <c r="J34" s="1507">
        <f>'Table 4'!R8</f>
        <v>0</v>
      </c>
      <c r="K34" s="1499">
        <f>'Table 4'!S8</f>
        <v>0.99</v>
      </c>
      <c r="L34" s="1497">
        <f>'Table 4'!U8</f>
        <v>1.06</v>
      </c>
      <c r="M34" s="1507">
        <f>'Table 4'!V8</f>
        <v>0</v>
      </c>
      <c r="N34" s="1499">
        <f>'Table 4'!W8</f>
        <v>1.06</v>
      </c>
      <c r="O34" s="1497">
        <f>'Table 4'!Y8</f>
        <v>1.08</v>
      </c>
      <c r="P34" s="1507">
        <f>'Table 4'!Z8</f>
        <v>0</v>
      </c>
      <c r="Q34" s="1499">
        <f>'Table 4'!AA8</f>
        <v>1.08</v>
      </c>
      <c r="R34" s="1497">
        <f>'Table 4'!AC8</f>
        <v>1.0900000000000001</v>
      </c>
      <c r="S34" s="1507">
        <f>'Table 4'!AD8</f>
        <v>0</v>
      </c>
      <c r="T34" s="1499">
        <f>'Table 4'!AE8</f>
        <v>1.0900000000000001</v>
      </c>
      <c r="U34" s="1497">
        <f>'Table 4'!AG8</f>
        <v>1.0900000000000001</v>
      </c>
      <c r="V34" s="1507">
        <f>'Table 4'!AH8</f>
        <v>0</v>
      </c>
      <c r="W34" s="1499">
        <f>'Table 4'!AI8</f>
        <v>1.0900000000000001</v>
      </c>
      <c r="X34" s="1813">
        <f>(W34-E34)/E34</f>
        <v>0.18</v>
      </c>
      <c r="Y34" s="1497">
        <f>'Table 4'!AL8</f>
        <v>1.1499999999999999</v>
      </c>
      <c r="Z34" s="1507">
        <f>'Table 4'!AM8</f>
        <v>0</v>
      </c>
      <c r="AA34" s="1499">
        <f>'Table 4'!AN8</f>
        <v>1.1499999999999999</v>
      </c>
      <c r="AC34" s="1653">
        <f>W34-E34</f>
        <v>0.17</v>
      </c>
    </row>
    <row r="35" spans="1:29" ht="15.75" thickBot="1">
      <c r="A35" s="1488" t="s">
        <v>62</v>
      </c>
      <c r="B35" s="1489" t="s">
        <v>17</v>
      </c>
      <c r="C35" s="1922">
        <f>'Table 4'!J9</f>
        <v>0</v>
      </c>
      <c r="D35" s="1503">
        <f>'Table 4'!K9</f>
        <v>0</v>
      </c>
      <c r="E35" s="1500">
        <f>'Table 4'!L9</f>
        <v>0</v>
      </c>
      <c r="F35" s="1922">
        <f>'Table 4'!M9</f>
        <v>0</v>
      </c>
      <c r="G35" s="1503">
        <f>'Table 4'!N9</f>
        <v>0</v>
      </c>
      <c r="H35" s="1500">
        <f>'Table 4'!O9</f>
        <v>0</v>
      </c>
      <c r="I35" s="1922">
        <f>'Table 4'!Q9</f>
        <v>0</v>
      </c>
      <c r="J35" s="1503">
        <f>'Table 4'!R9</f>
        <v>0</v>
      </c>
      <c r="K35" s="1500">
        <f>'Table 4'!S9</f>
        <v>0</v>
      </c>
      <c r="L35" s="1922">
        <f>'Table 4'!U9</f>
        <v>0</v>
      </c>
      <c r="M35" s="1503">
        <f>'Table 4'!V9</f>
        <v>0</v>
      </c>
      <c r="N35" s="1500">
        <f>'Table 4'!W9</f>
        <v>0</v>
      </c>
      <c r="O35" s="1922">
        <f>'Table 4'!Y9</f>
        <v>0</v>
      </c>
      <c r="P35" s="1503">
        <f>'Table 4'!Z9</f>
        <v>0</v>
      </c>
      <c r="Q35" s="1500">
        <f>'Table 4'!AA9</f>
        <v>0</v>
      </c>
      <c r="R35" s="1922">
        <f>'Table 4'!AC9</f>
        <v>0</v>
      </c>
      <c r="S35" s="1503">
        <f>'Table 4'!AD9</f>
        <v>0</v>
      </c>
      <c r="T35" s="1500">
        <f>'Table 4'!AE9</f>
        <v>0</v>
      </c>
      <c r="U35" s="1922">
        <f>'Table 4'!AG9</f>
        <v>0</v>
      </c>
      <c r="V35" s="1503">
        <f>'Table 4'!AH9</f>
        <v>0</v>
      </c>
      <c r="W35" s="1500">
        <f>'Table 4'!AI9</f>
        <v>0</v>
      </c>
      <c r="X35" s="1820" t="s">
        <v>16</v>
      </c>
      <c r="Y35" s="1922">
        <f>'Table 4'!AL9</f>
        <v>0</v>
      </c>
      <c r="Z35" s="1503">
        <f>'Table 4'!AM9</f>
        <v>0</v>
      </c>
      <c r="AA35" s="1500">
        <f>'Table 4'!AN9</f>
        <v>0</v>
      </c>
      <c r="AC35" s="846">
        <f t="shared" ref="AC35:AC54" si="38">W35-E35</f>
        <v>0</v>
      </c>
    </row>
    <row r="36" spans="1:29" ht="16.5" thickTop="1" thickBot="1">
      <c r="A36" s="1490" t="s">
        <v>62</v>
      </c>
      <c r="B36" s="1496" t="s">
        <v>18</v>
      </c>
      <c r="C36" s="1498">
        <f>SUM(C34:C35)</f>
        <v>0.92</v>
      </c>
      <c r="D36" s="1504">
        <f t="shared" ref="D36" si="39">SUM(D34:D35)</f>
        <v>0</v>
      </c>
      <c r="E36" s="1501">
        <f t="shared" ref="E36" si="40">SUM(E34:E35)</f>
        <v>0.92</v>
      </c>
      <c r="F36" s="1498">
        <f t="shared" ref="F36" si="41">SUM(F34:F35)</f>
        <v>0.95</v>
      </c>
      <c r="G36" s="1504">
        <f t="shared" ref="G36" si="42">SUM(G34:G35)</f>
        <v>0</v>
      </c>
      <c r="H36" s="1501">
        <f t="shared" ref="H36" si="43">SUM(H34:H35)</f>
        <v>0.95</v>
      </c>
      <c r="I36" s="1498">
        <f t="shared" ref="I36" si="44">SUM(I34:I35)</f>
        <v>0.99</v>
      </c>
      <c r="J36" s="1504">
        <f t="shared" ref="J36" si="45">SUM(J34:J35)</f>
        <v>0</v>
      </c>
      <c r="K36" s="1501">
        <f t="shared" ref="K36" si="46">SUM(K34:K35)</f>
        <v>0.99</v>
      </c>
      <c r="L36" s="1498">
        <f t="shared" ref="L36" si="47">SUM(L34:L35)</f>
        <v>1.06</v>
      </c>
      <c r="M36" s="1504">
        <f t="shared" ref="M36" si="48">SUM(M34:M35)</f>
        <v>0</v>
      </c>
      <c r="N36" s="1501">
        <f t="shared" ref="N36" si="49">SUM(N34:N35)</f>
        <v>1.06</v>
      </c>
      <c r="O36" s="1498">
        <f t="shared" ref="O36" si="50">SUM(O34:O35)</f>
        <v>1.08</v>
      </c>
      <c r="P36" s="1504">
        <f t="shared" ref="P36" si="51">SUM(P34:P35)</f>
        <v>0</v>
      </c>
      <c r="Q36" s="1501">
        <f t="shared" ref="Q36" si="52">SUM(Q34:Q35)</f>
        <v>1.08</v>
      </c>
      <c r="R36" s="1498">
        <f t="shared" ref="R36" si="53">SUM(R34:R35)</f>
        <v>1.0900000000000001</v>
      </c>
      <c r="S36" s="1504">
        <f t="shared" ref="S36" si="54">SUM(S34:S35)</f>
        <v>0</v>
      </c>
      <c r="T36" s="1501">
        <f t="shared" ref="T36" si="55">SUM(T34:T35)</f>
        <v>1.0900000000000001</v>
      </c>
      <c r="U36" s="1498">
        <f t="shared" ref="U36" si="56">SUM(U34:U35)</f>
        <v>1.0900000000000001</v>
      </c>
      <c r="V36" s="1504">
        <f t="shared" ref="V36" si="57">SUM(V34:V35)</f>
        <v>0</v>
      </c>
      <c r="W36" s="1501">
        <f t="shared" ref="W36" si="58">SUM(W34:W35)</f>
        <v>1.0900000000000001</v>
      </c>
      <c r="X36" s="1514">
        <f t="shared" ref="X36:X54" si="59">(W36-E36)/E36</f>
        <v>0.18</v>
      </c>
      <c r="Y36" s="1498">
        <f t="shared" ref="Y36" si="60">SUM(Y34:Y35)</f>
        <v>1.1499999999999999</v>
      </c>
      <c r="Z36" s="1504">
        <f t="shared" ref="Z36" si="61">SUM(Z34:Z35)</f>
        <v>0</v>
      </c>
      <c r="AA36" s="1501">
        <f t="shared" ref="AA36" si="62">SUM(AA34:AA35)</f>
        <v>1.1499999999999999</v>
      </c>
      <c r="AC36" s="1823">
        <f t="shared" si="38"/>
        <v>0.17</v>
      </c>
    </row>
    <row r="37" spans="1:29" ht="26.25">
      <c r="A37" s="282" t="s">
        <v>63</v>
      </c>
      <c r="B37" s="1492" t="s">
        <v>15</v>
      </c>
      <c r="C37" s="1497">
        <f>'Table 6'!K8</f>
        <v>2.08</v>
      </c>
      <c r="D37" s="1507">
        <f>'Table 6'!L8</f>
        <v>0</v>
      </c>
      <c r="E37" s="1499">
        <f>'Table 6'!M8</f>
        <v>2.08</v>
      </c>
      <c r="F37" s="1497">
        <f>'Table 6'!N8</f>
        <v>2.4300000000000002</v>
      </c>
      <c r="G37" s="1507">
        <f>'Table 6'!O8</f>
        <v>0</v>
      </c>
      <c r="H37" s="1499">
        <f>'Table 6'!P8</f>
        <v>2.4300000000000002</v>
      </c>
      <c r="I37" s="1497">
        <f>'Table 6'!Q8</f>
        <v>2.56</v>
      </c>
      <c r="J37" s="1507">
        <f>'Table 6'!R8</f>
        <v>0</v>
      </c>
      <c r="K37" s="1499">
        <f>'Table 6'!S8</f>
        <v>2.56</v>
      </c>
      <c r="L37" s="1497">
        <f>'Table 6'!T8</f>
        <v>2.64</v>
      </c>
      <c r="M37" s="1507">
        <f>'Table 6'!U8</f>
        <v>0</v>
      </c>
      <c r="N37" s="1499">
        <f>'Table 6'!V8</f>
        <v>2.64</v>
      </c>
      <c r="O37" s="1497">
        <f>'Table 6'!W8</f>
        <v>2.73</v>
      </c>
      <c r="P37" s="1507">
        <f>'Table 6'!X8</f>
        <v>0</v>
      </c>
      <c r="Q37" s="1499">
        <f>'Table 6'!Y8</f>
        <v>2.73</v>
      </c>
      <c r="R37" s="1497">
        <f>'Table 6'!Z8</f>
        <v>2.81</v>
      </c>
      <c r="S37" s="1507">
        <f>'Table 6'!AA8</f>
        <v>0</v>
      </c>
      <c r="T37" s="1499">
        <f>'Table 6'!AB8</f>
        <v>2.81</v>
      </c>
      <c r="U37" s="1497">
        <f>'Table 6'!AC8</f>
        <v>2.9</v>
      </c>
      <c r="V37" s="1507">
        <f>'Table 6'!AD8</f>
        <v>0</v>
      </c>
      <c r="W37" s="1499">
        <f>'Table 6'!AE8</f>
        <v>2.9</v>
      </c>
      <c r="X37" s="1813">
        <f t="shared" si="59"/>
        <v>0.39</v>
      </c>
      <c r="Y37" s="1497">
        <f>'Table 6'!AG8</f>
        <v>3.07</v>
      </c>
      <c r="Z37" s="1507">
        <f>'Table 6'!AH8</f>
        <v>0</v>
      </c>
      <c r="AA37" s="1499">
        <f>'Table 6'!AI8</f>
        <v>3.07</v>
      </c>
      <c r="AC37" s="1653">
        <f t="shared" si="38"/>
        <v>0.82</v>
      </c>
    </row>
    <row r="38" spans="1:29" ht="27" thickBot="1">
      <c r="A38" s="175" t="s">
        <v>63</v>
      </c>
      <c r="B38" s="1489" t="s">
        <v>17</v>
      </c>
      <c r="C38" s="1922">
        <f>'Table 6'!K9</f>
        <v>0.05</v>
      </c>
      <c r="D38" s="1503">
        <f>'Table 6'!L9</f>
        <v>0</v>
      </c>
      <c r="E38" s="1500">
        <f>'Table 6'!M9</f>
        <v>0.05</v>
      </c>
      <c r="F38" s="1922">
        <f>'Table 6'!N9</f>
        <v>0.06</v>
      </c>
      <c r="G38" s="1503">
        <f>'Table 6'!O9</f>
        <v>0</v>
      </c>
      <c r="H38" s="1500">
        <f>'Table 6'!P9</f>
        <v>0.06</v>
      </c>
      <c r="I38" s="1922">
        <f>'Table 6'!Q9</f>
        <v>0.06</v>
      </c>
      <c r="J38" s="1503">
        <f>'Table 6'!R9</f>
        <v>0</v>
      </c>
      <c r="K38" s="1500">
        <f>'Table 6'!S9</f>
        <v>0.06</v>
      </c>
      <c r="L38" s="1922">
        <f>'Table 6'!T9</f>
        <v>0.06</v>
      </c>
      <c r="M38" s="1503">
        <f>'Table 6'!U9</f>
        <v>0</v>
      </c>
      <c r="N38" s="1500">
        <f>'Table 6'!V9</f>
        <v>0.06</v>
      </c>
      <c r="O38" s="1922">
        <f>'Table 6'!W9</f>
        <v>0.06</v>
      </c>
      <c r="P38" s="1503">
        <f>'Table 6'!X9</f>
        <v>0</v>
      </c>
      <c r="Q38" s="1500">
        <f>'Table 6'!Y9</f>
        <v>0.06</v>
      </c>
      <c r="R38" s="1922">
        <f>'Table 6'!Z9</f>
        <v>7.0000000000000007E-2</v>
      </c>
      <c r="S38" s="1503">
        <f>'Table 6'!AA9</f>
        <v>0</v>
      </c>
      <c r="T38" s="1500">
        <f>'Table 6'!AB9</f>
        <v>7.0000000000000007E-2</v>
      </c>
      <c r="U38" s="1922">
        <f>'Table 6'!AC9</f>
        <v>7.0000000000000007E-2</v>
      </c>
      <c r="V38" s="1503">
        <f>'Table 6'!AD9</f>
        <v>0</v>
      </c>
      <c r="W38" s="1500">
        <f>'Table 6'!AE9</f>
        <v>7.0000000000000007E-2</v>
      </c>
      <c r="X38" s="1819">
        <f t="shared" si="59"/>
        <v>0.4</v>
      </c>
      <c r="Y38" s="1922">
        <f>'Table 6'!AG9</f>
        <v>7.0000000000000007E-2</v>
      </c>
      <c r="Z38" s="1503">
        <f>'Table 6'!AH9</f>
        <v>0</v>
      </c>
      <c r="AA38" s="1500">
        <f>'Table 6'!AI9</f>
        <v>7.0000000000000007E-2</v>
      </c>
      <c r="AC38" s="846">
        <f t="shared" si="38"/>
        <v>0.02</v>
      </c>
    </row>
    <row r="39" spans="1:29" ht="27.75" thickTop="1" thickBot="1">
      <c r="A39" s="1491" t="s">
        <v>63</v>
      </c>
      <c r="B39" s="1505" t="s">
        <v>18</v>
      </c>
      <c r="C39" s="1498">
        <f>SUM(C37:C38)</f>
        <v>2.13</v>
      </c>
      <c r="D39" s="1504">
        <f t="shared" ref="D39" si="63">SUM(D37:D38)</f>
        <v>0</v>
      </c>
      <c r="E39" s="1501">
        <f t="shared" ref="E39" si="64">SUM(E37:E38)</f>
        <v>2.13</v>
      </c>
      <c r="F39" s="1498">
        <f t="shared" ref="F39" si="65">SUM(F37:F38)</f>
        <v>2.4900000000000002</v>
      </c>
      <c r="G39" s="1504">
        <f t="shared" ref="G39" si="66">SUM(G37:G38)</f>
        <v>0</v>
      </c>
      <c r="H39" s="1501">
        <f t="shared" ref="H39" si="67">SUM(H37:H38)</f>
        <v>2.4900000000000002</v>
      </c>
      <c r="I39" s="1498">
        <f t="shared" ref="I39" si="68">SUM(I37:I38)</f>
        <v>2.62</v>
      </c>
      <c r="J39" s="1504">
        <f t="shared" ref="J39" si="69">SUM(J37:J38)</f>
        <v>0</v>
      </c>
      <c r="K39" s="1501">
        <f t="shared" ref="K39" si="70">SUM(K37:K38)</f>
        <v>2.62</v>
      </c>
      <c r="L39" s="1498">
        <f t="shared" ref="L39" si="71">SUM(L37:L38)</f>
        <v>2.7</v>
      </c>
      <c r="M39" s="1504">
        <f t="shared" ref="M39" si="72">SUM(M37:M38)</f>
        <v>0</v>
      </c>
      <c r="N39" s="1501">
        <f t="shared" ref="N39" si="73">SUM(N37:N38)</f>
        <v>2.7</v>
      </c>
      <c r="O39" s="1498">
        <f t="shared" ref="O39" si="74">SUM(O37:O38)</f>
        <v>2.79</v>
      </c>
      <c r="P39" s="1504">
        <f t="shared" ref="P39" si="75">SUM(P37:P38)</f>
        <v>0</v>
      </c>
      <c r="Q39" s="1501">
        <f t="shared" ref="Q39" si="76">SUM(Q37:Q38)</f>
        <v>2.79</v>
      </c>
      <c r="R39" s="1498">
        <f t="shared" ref="R39" si="77">SUM(R37:R38)</f>
        <v>2.88</v>
      </c>
      <c r="S39" s="1504">
        <f t="shared" ref="S39" si="78">SUM(S37:S38)</f>
        <v>0</v>
      </c>
      <c r="T39" s="1501">
        <f t="shared" ref="T39" si="79">SUM(T37:T38)</f>
        <v>2.88</v>
      </c>
      <c r="U39" s="1498">
        <f t="shared" ref="U39" si="80">SUM(U37:U38)</f>
        <v>2.97</v>
      </c>
      <c r="V39" s="1504">
        <f t="shared" ref="V39" si="81">SUM(V37:V38)</f>
        <v>0</v>
      </c>
      <c r="W39" s="1501">
        <f t="shared" ref="W39" si="82">SUM(W37:W38)</f>
        <v>2.97</v>
      </c>
      <c r="X39" s="1514">
        <f t="shared" si="59"/>
        <v>0.39</v>
      </c>
      <c r="Y39" s="1498">
        <f t="shared" ref="Y39" si="83">SUM(Y37:Y38)</f>
        <v>3.14</v>
      </c>
      <c r="Z39" s="1504">
        <f t="shared" ref="Z39" si="84">SUM(Z37:Z38)</f>
        <v>0</v>
      </c>
      <c r="AA39" s="1501">
        <f t="shared" ref="AA39" si="85">SUM(AA37:AA38)</f>
        <v>3.14</v>
      </c>
      <c r="AC39" s="1823">
        <f t="shared" si="38"/>
        <v>0.84</v>
      </c>
    </row>
    <row r="40" spans="1:29">
      <c r="A40" s="993" t="s">
        <v>64</v>
      </c>
      <c r="B40" s="1492" t="s">
        <v>15</v>
      </c>
      <c r="C40" s="1497">
        <f>'Table 7'!C8</f>
        <v>0.36</v>
      </c>
      <c r="D40" s="1507">
        <f>'Table 7'!D8</f>
        <v>0.2</v>
      </c>
      <c r="E40" s="1499">
        <f>'Table 7'!E8</f>
        <v>0.56000000000000005</v>
      </c>
      <c r="F40" s="1497">
        <f>'Table 7'!F8</f>
        <v>0.28000000000000003</v>
      </c>
      <c r="G40" s="1507">
        <f>'Table 7'!G8</f>
        <v>0.15</v>
      </c>
      <c r="H40" s="1499">
        <f>'Table 7'!H8</f>
        <v>0.43</v>
      </c>
      <c r="I40" s="1497">
        <f>'Table 7'!I8</f>
        <v>0.28000000000000003</v>
      </c>
      <c r="J40" s="1507">
        <f>'Table 7'!J8</f>
        <v>0.16</v>
      </c>
      <c r="K40" s="1499">
        <f>'Table 7'!K8</f>
        <v>0.44</v>
      </c>
      <c r="L40" s="1497">
        <f>'Table 7'!L8</f>
        <v>0.28999999999999998</v>
      </c>
      <c r="M40" s="1507">
        <f>'Table 7'!M8</f>
        <v>0.16</v>
      </c>
      <c r="N40" s="1499">
        <f>'Table 7'!N8</f>
        <v>0.45</v>
      </c>
      <c r="O40" s="1497">
        <f>'Table 7'!O8</f>
        <v>0.28999999999999998</v>
      </c>
      <c r="P40" s="1507">
        <f>'Table 7'!P8</f>
        <v>0.16</v>
      </c>
      <c r="Q40" s="1499">
        <f>'Table 7'!Q8</f>
        <v>0.45</v>
      </c>
      <c r="R40" s="1497">
        <f>'Table 7'!R8</f>
        <v>0.3</v>
      </c>
      <c r="S40" s="1507">
        <f>'Table 7'!S8</f>
        <v>0.17</v>
      </c>
      <c r="T40" s="1499">
        <f>'Table 7'!T8</f>
        <v>0.47</v>
      </c>
      <c r="U40" s="1497">
        <f>'Table 7'!U8</f>
        <v>0.3</v>
      </c>
      <c r="V40" s="1507">
        <f>'Table 7'!V8</f>
        <v>0.17</v>
      </c>
      <c r="W40" s="1499">
        <f>'Table 7'!W8</f>
        <v>0.47</v>
      </c>
      <c r="X40" s="1821">
        <f t="shared" si="59"/>
        <v>-0.16</v>
      </c>
      <c r="Y40" s="1497">
        <f>'Table 7'!AG8</f>
        <v>0.35</v>
      </c>
      <c r="Z40" s="1507">
        <f>'Table 7'!AH8</f>
        <v>0.2</v>
      </c>
      <c r="AA40" s="1499">
        <f>'Table 7'!AI8</f>
        <v>0.55000000000000004</v>
      </c>
      <c r="AC40" s="1653">
        <f t="shared" si="38"/>
        <v>-0.09</v>
      </c>
    </row>
    <row r="41" spans="1:29" ht="15.75" thickBot="1">
      <c r="A41" s="175" t="s">
        <v>64</v>
      </c>
      <c r="B41" s="1489" t="s">
        <v>17</v>
      </c>
      <c r="C41" s="1922">
        <f>'Table 7'!C9</f>
        <v>0</v>
      </c>
      <c r="D41" s="1503">
        <f>'Table 7'!D9</f>
        <v>0</v>
      </c>
      <c r="E41" s="1500">
        <f>'Table 7'!E9</f>
        <v>0</v>
      </c>
      <c r="F41" s="1922">
        <f>'Table 7'!F9</f>
        <v>0</v>
      </c>
      <c r="G41" s="1503">
        <f>'Table 7'!G9</f>
        <v>0</v>
      </c>
      <c r="H41" s="1500">
        <f>'Table 7'!H9</f>
        <v>0</v>
      </c>
      <c r="I41" s="1922">
        <f>'Table 7'!I9</f>
        <v>0</v>
      </c>
      <c r="J41" s="1503">
        <f>'Table 7'!J9</f>
        <v>0</v>
      </c>
      <c r="K41" s="1500">
        <f>'Table 7'!K9</f>
        <v>0</v>
      </c>
      <c r="L41" s="1922">
        <f>'Table 7'!L9</f>
        <v>0</v>
      </c>
      <c r="M41" s="1503">
        <f>'Table 7'!M9</f>
        <v>0</v>
      </c>
      <c r="N41" s="1500">
        <f>'Table 7'!N9</f>
        <v>0</v>
      </c>
      <c r="O41" s="1922">
        <f>'Table 7'!O9</f>
        <v>0</v>
      </c>
      <c r="P41" s="1503">
        <f>'Table 7'!P9</f>
        <v>0</v>
      </c>
      <c r="Q41" s="1500">
        <f>'Table 7'!Q9</f>
        <v>0</v>
      </c>
      <c r="R41" s="1922">
        <f>'Table 7'!R9</f>
        <v>0</v>
      </c>
      <c r="S41" s="1503">
        <f>'Table 7'!S9</f>
        <v>0</v>
      </c>
      <c r="T41" s="1500">
        <f>'Table 7'!T9</f>
        <v>0</v>
      </c>
      <c r="U41" s="1922">
        <f>'Table 7'!U9</f>
        <v>0</v>
      </c>
      <c r="V41" s="1503">
        <f>'Table 7'!V9</f>
        <v>0</v>
      </c>
      <c r="W41" s="1500">
        <f>'Table 7'!W9</f>
        <v>0</v>
      </c>
      <c r="X41" s="1820" t="s">
        <v>16</v>
      </c>
      <c r="Y41" s="1922">
        <f>'Table 7'!AG9</f>
        <v>0</v>
      </c>
      <c r="Z41" s="1503">
        <f>'Table 7'!AH9</f>
        <v>0</v>
      </c>
      <c r="AA41" s="1500">
        <f>'Table 7'!AI9</f>
        <v>0</v>
      </c>
      <c r="AC41" s="846">
        <f t="shared" si="38"/>
        <v>0</v>
      </c>
    </row>
    <row r="42" spans="1:29" ht="16.5" thickTop="1" thickBot="1">
      <c r="A42" s="1490" t="s">
        <v>64</v>
      </c>
      <c r="B42" s="1505" t="s">
        <v>18</v>
      </c>
      <c r="C42" s="1498">
        <f>SUM(C40:C41)</f>
        <v>0.36</v>
      </c>
      <c r="D42" s="1504">
        <f t="shared" ref="D42" si="86">SUM(D40:D41)</f>
        <v>0.2</v>
      </c>
      <c r="E42" s="1501">
        <f t="shared" ref="E42" si="87">SUM(E40:E41)</f>
        <v>0.56000000000000005</v>
      </c>
      <c r="F42" s="1498">
        <f t="shared" ref="F42" si="88">SUM(F40:F41)</f>
        <v>0.28000000000000003</v>
      </c>
      <c r="G42" s="1504">
        <f t="shared" ref="G42" si="89">SUM(G40:G41)</f>
        <v>0.15</v>
      </c>
      <c r="H42" s="1501">
        <f t="shared" ref="H42" si="90">SUM(H40:H41)</f>
        <v>0.43</v>
      </c>
      <c r="I42" s="1498">
        <f t="shared" ref="I42" si="91">SUM(I40:I41)</f>
        <v>0.28000000000000003</v>
      </c>
      <c r="J42" s="1504">
        <f t="shared" ref="J42" si="92">SUM(J40:J41)</f>
        <v>0.16</v>
      </c>
      <c r="K42" s="1501">
        <f t="shared" ref="K42" si="93">SUM(K40:K41)</f>
        <v>0.44</v>
      </c>
      <c r="L42" s="1498">
        <f t="shared" ref="L42" si="94">SUM(L40:L41)</f>
        <v>0.28999999999999998</v>
      </c>
      <c r="M42" s="1504">
        <f t="shared" ref="M42" si="95">SUM(M40:M41)</f>
        <v>0.16</v>
      </c>
      <c r="N42" s="1501">
        <f t="shared" ref="N42" si="96">SUM(N40:N41)</f>
        <v>0.45</v>
      </c>
      <c r="O42" s="1498">
        <f t="shared" ref="O42" si="97">SUM(O40:O41)</f>
        <v>0.28999999999999998</v>
      </c>
      <c r="P42" s="1504">
        <f t="shared" ref="P42" si="98">SUM(P40:P41)</f>
        <v>0.16</v>
      </c>
      <c r="Q42" s="1501">
        <f t="shared" ref="Q42" si="99">SUM(Q40:Q41)</f>
        <v>0.45</v>
      </c>
      <c r="R42" s="1498">
        <f t="shared" ref="R42" si="100">SUM(R40:R41)</f>
        <v>0.3</v>
      </c>
      <c r="S42" s="1504">
        <f t="shared" ref="S42" si="101">SUM(S40:S41)</f>
        <v>0.17</v>
      </c>
      <c r="T42" s="1501">
        <f t="shared" ref="T42" si="102">SUM(T40:T41)</f>
        <v>0.47</v>
      </c>
      <c r="U42" s="1498">
        <f t="shared" ref="U42" si="103">SUM(U40:U41)</f>
        <v>0.3</v>
      </c>
      <c r="V42" s="1504">
        <f t="shared" ref="V42" si="104">SUM(V40:V41)</f>
        <v>0.17</v>
      </c>
      <c r="W42" s="1501">
        <f t="shared" ref="W42" si="105">SUM(W40:W41)</f>
        <v>0.47</v>
      </c>
      <c r="X42" s="1533">
        <f t="shared" si="59"/>
        <v>-0.16</v>
      </c>
      <c r="Y42" s="1498">
        <f t="shared" ref="Y42" si="106">SUM(Y40:Y41)</f>
        <v>0.35</v>
      </c>
      <c r="Z42" s="1504">
        <f t="shared" ref="Z42" si="107">SUM(Z40:Z41)</f>
        <v>0.2</v>
      </c>
      <c r="AA42" s="1501">
        <f t="shared" ref="AA42" si="108">SUM(AA40:AA41)</f>
        <v>0.55000000000000004</v>
      </c>
      <c r="AC42" s="1823">
        <f t="shared" si="38"/>
        <v>-0.09</v>
      </c>
    </row>
    <row r="43" spans="1:29">
      <c r="A43" s="282" t="s">
        <v>65</v>
      </c>
      <c r="B43" s="1492" t="s">
        <v>15</v>
      </c>
      <c r="C43" s="1497">
        <f>'Table 8'!C8</f>
        <v>0</v>
      </c>
      <c r="D43" s="1507">
        <f>'Table 8'!D8</f>
        <v>0</v>
      </c>
      <c r="E43" s="1499">
        <f>'Table 8'!E8</f>
        <v>0</v>
      </c>
      <c r="F43" s="1497">
        <f>'Table 8'!F8</f>
        <v>0</v>
      </c>
      <c r="G43" s="1507">
        <f>'Table 8'!G8</f>
        <v>0</v>
      </c>
      <c r="H43" s="1499">
        <f>'Table 8'!H8</f>
        <v>0</v>
      </c>
      <c r="I43" s="1497">
        <f>'Table 8'!I8</f>
        <v>0</v>
      </c>
      <c r="J43" s="1507">
        <f>'Table 8'!J8</f>
        <v>0</v>
      </c>
      <c r="K43" s="1499">
        <f>'Table 8'!K8</f>
        <v>0</v>
      </c>
      <c r="L43" s="1497">
        <f>'Table 8'!L8</f>
        <v>0</v>
      </c>
      <c r="M43" s="1507">
        <f>'Table 8'!M8</f>
        <v>0</v>
      </c>
      <c r="N43" s="1499">
        <f>'Table 8'!N8</f>
        <v>0</v>
      </c>
      <c r="O43" s="1497">
        <f>'Table 8'!O8</f>
        <v>0</v>
      </c>
      <c r="P43" s="1507">
        <f>'Table 8'!P8</f>
        <v>0</v>
      </c>
      <c r="Q43" s="1499">
        <f>'Table 8'!Q8</f>
        <v>0</v>
      </c>
      <c r="R43" s="1497">
        <f>'Table 8'!R8</f>
        <v>0</v>
      </c>
      <c r="S43" s="1507">
        <f>'Table 8'!S8</f>
        <v>0</v>
      </c>
      <c r="T43" s="1499">
        <f>'Table 8'!T8</f>
        <v>0</v>
      </c>
      <c r="U43" s="1497">
        <f>'Table 8'!U8</f>
        <v>0</v>
      </c>
      <c r="V43" s="1507">
        <f>'Table 8'!V8</f>
        <v>0</v>
      </c>
      <c r="W43" s="1499">
        <f>'Table 8'!W8</f>
        <v>0</v>
      </c>
      <c r="X43" s="1821" t="s">
        <v>16</v>
      </c>
      <c r="Y43" s="1497">
        <f>'Table 8'!Y8</f>
        <v>0</v>
      </c>
      <c r="Z43" s="1507">
        <f>'Table 8'!Z8</f>
        <v>0</v>
      </c>
      <c r="AA43" s="1499">
        <f>'Table 8'!AA8</f>
        <v>0</v>
      </c>
      <c r="AC43" s="1653">
        <f t="shared" si="38"/>
        <v>0</v>
      </c>
    </row>
    <row r="44" spans="1:29" ht="15.75" thickBot="1">
      <c r="A44" s="175" t="s">
        <v>65</v>
      </c>
      <c r="B44" s="1489" t="s">
        <v>17</v>
      </c>
      <c r="C44" s="1922">
        <f>'Table 8'!C9</f>
        <v>0</v>
      </c>
      <c r="D44" s="1503">
        <f>'Table 8'!D9</f>
        <v>0</v>
      </c>
      <c r="E44" s="1500">
        <f>'Table 8'!E9</f>
        <v>0</v>
      </c>
      <c r="F44" s="1922">
        <f>'Table 8'!F9</f>
        <v>0</v>
      </c>
      <c r="G44" s="1503">
        <f>'Table 8'!G9</f>
        <v>0</v>
      </c>
      <c r="H44" s="1500">
        <f>'Table 8'!H9</f>
        <v>0</v>
      </c>
      <c r="I44" s="1922">
        <f>'Table 8'!I9</f>
        <v>0</v>
      </c>
      <c r="J44" s="1503">
        <f>'Table 8'!J9</f>
        <v>0</v>
      </c>
      <c r="K44" s="1500">
        <f>'Table 8'!K9</f>
        <v>0</v>
      </c>
      <c r="L44" s="1922">
        <f>'Table 8'!L9</f>
        <v>0</v>
      </c>
      <c r="M44" s="1503">
        <f>'Table 8'!M9</f>
        <v>0</v>
      </c>
      <c r="N44" s="1500">
        <f>'Table 8'!N9</f>
        <v>0</v>
      </c>
      <c r="O44" s="1922">
        <f>'Table 8'!O9</f>
        <v>0</v>
      </c>
      <c r="P44" s="1503">
        <f>'Table 8'!P9</f>
        <v>0</v>
      </c>
      <c r="Q44" s="1500">
        <f>'Table 8'!Q9</f>
        <v>0</v>
      </c>
      <c r="R44" s="1922">
        <f>'Table 8'!R9</f>
        <v>0</v>
      </c>
      <c r="S44" s="1503">
        <f>'Table 8'!S9</f>
        <v>0</v>
      </c>
      <c r="T44" s="1500">
        <f>'Table 8'!T9</f>
        <v>0</v>
      </c>
      <c r="U44" s="1922">
        <f>'Table 8'!U9</f>
        <v>0</v>
      </c>
      <c r="V44" s="1503">
        <f>'Table 8'!V9</f>
        <v>0</v>
      </c>
      <c r="W44" s="1500">
        <f>'Table 8'!W9</f>
        <v>0</v>
      </c>
      <c r="X44" s="1820" t="s">
        <v>16</v>
      </c>
      <c r="Y44" s="1922">
        <f>'Table 8'!Y9</f>
        <v>0</v>
      </c>
      <c r="Z44" s="1503">
        <f>'Table 8'!Z9</f>
        <v>0</v>
      </c>
      <c r="AA44" s="1500">
        <f>'Table 8'!AA9</f>
        <v>0</v>
      </c>
      <c r="AC44" s="846">
        <f t="shared" si="38"/>
        <v>0</v>
      </c>
    </row>
    <row r="45" spans="1:29" ht="16.5" thickTop="1" thickBot="1">
      <c r="A45" s="1491" t="s">
        <v>65</v>
      </c>
      <c r="B45" s="1505" t="s">
        <v>18</v>
      </c>
      <c r="C45" s="1498">
        <f>SUM(C43:C44)</f>
        <v>0</v>
      </c>
      <c r="D45" s="1504">
        <f t="shared" ref="D45" si="109">SUM(D43:D44)</f>
        <v>0</v>
      </c>
      <c r="E45" s="1501">
        <f t="shared" ref="E45" si="110">SUM(E43:E44)</f>
        <v>0</v>
      </c>
      <c r="F45" s="1498">
        <f t="shared" ref="F45" si="111">SUM(F43:F44)</f>
        <v>0</v>
      </c>
      <c r="G45" s="1504">
        <f t="shared" ref="G45" si="112">SUM(G43:G44)</f>
        <v>0</v>
      </c>
      <c r="H45" s="1501">
        <f t="shared" ref="H45" si="113">SUM(H43:H44)</f>
        <v>0</v>
      </c>
      <c r="I45" s="1498">
        <f t="shared" ref="I45" si="114">SUM(I43:I44)</f>
        <v>0</v>
      </c>
      <c r="J45" s="1504">
        <f t="shared" ref="J45" si="115">SUM(J43:J44)</f>
        <v>0</v>
      </c>
      <c r="K45" s="1501">
        <f t="shared" ref="K45" si="116">SUM(K43:K44)</f>
        <v>0</v>
      </c>
      <c r="L45" s="1498">
        <f t="shared" ref="L45" si="117">SUM(L43:L44)</f>
        <v>0</v>
      </c>
      <c r="M45" s="1504">
        <f t="shared" ref="M45" si="118">SUM(M43:M44)</f>
        <v>0</v>
      </c>
      <c r="N45" s="1501">
        <f t="shared" ref="N45" si="119">SUM(N43:N44)</f>
        <v>0</v>
      </c>
      <c r="O45" s="1498">
        <f t="shared" ref="O45" si="120">SUM(O43:O44)</f>
        <v>0</v>
      </c>
      <c r="P45" s="1504">
        <f t="shared" ref="P45" si="121">SUM(P43:P44)</f>
        <v>0</v>
      </c>
      <c r="Q45" s="1501">
        <f t="shared" ref="Q45" si="122">SUM(Q43:Q44)</f>
        <v>0</v>
      </c>
      <c r="R45" s="1498">
        <f t="shared" ref="R45" si="123">SUM(R43:R44)</f>
        <v>0</v>
      </c>
      <c r="S45" s="1504">
        <f t="shared" ref="S45" si="124">SUM(S43:S44)</f>
        <v>0</v>
      </c>
      <c r="T45" s="1501">
        <f t="shared" ref="T45" si="125">SUM(T43:T44)</f>
        <v>0</v>
      </c>
      <c r="U45" s="1498">
        <f t="shared" ref="U45" si="126">SUM(U43:U44)</f>
        <v>0</v>
      </c>
      <c r="V45" s="1504">
        <f t="shared" ref="V45" si="127">SUM(V43:V44)</f>
        <v>0</v>
      </c>
      <c r="W45" s="1501">
        <f t="shared" ref="W45" si="128">SUM(W43:W44)</f>
        <v>0</v>
      </c>
      <c r="X45" s="1533" t="s">
        <v>16</v>
      </c>
      <c r="Y45" s="1498">
        <f t="shared" ref="Y45" si="129">SUM(Y43:Y44)</f>
        <v>0</v>
      </c>
      <c r="Z45" s="1504">
        <f t="shared" ref="Z45" si="130">SUM(Z43:Z44)</f>
        <v>0</v>
      </c>
      <c r="AA45" s="1501">
        <f t="shared" ref="AA45" si="131">SUM(AA43:AA44)</f>
        <v>0</v>
      </c>
      <c r="AC45" s="1823">
        <f t="shared" si="38"/>
        <v>0</v>
      </c>
    </row>
    <row r="46" spans="1:29" ht="15" customHeight="1">
      <c r="A46" s="282" t="s">
        <v>66</v>
      </c>
      <c r="B46" s="1492" t="s">
        <v>15</v>
      </c>
      <c r="C46" s="1497">
        <f>'Table 9'!C8</f>
        <v>0.15</v>
      </c>
      <c r="D46" s="1507">
        <f>'Table 9'!D8</f>
        <v>0.27</v>
      </c>
      <c r="E46" s="1499">
        <f>'Table 9'!E8</f>
        <v>0.42</v>
      </c>
      <c r="F46" s="1497">
        <f>'Table 9'!F8</f>
        <v>0.15</v>
      </c>
      <c r="G46" s="1507">
        <f>'Table 9'!G8</f>
        <v>0.28000000000000003</v>
      </c>
      <c r="H46" s="1499">
        <f>'Table 9'!H8</f>
        <v>0.43</v>
      </c>
      <c r="I46" s="1497">
        <f>'Table 9'!I8</f>
        <v>0.16</v>
      </c>
      <c r="J46" s="1507">
        <f>'Table 9'!J8</f>
        <v>0.28999999999999998</v>
      </c>
      <c r="K46" s="1499">
        <f>'Table 9'!K8</f>
        <v>0.45</v>
      </c>
      <c r="L46" s="1497">
        <f>'Table 9'!L8</f>
        <v>0.17</v>
      </c>
      <c r="M46" s="1507">
        <f>'Table 9'!M8</f>
        <v>0.3</v>
      </c>
      <c r="N46" s="1499">
        <f>'Table 9'!N8</f>
        <v>0.47</v>
      </c>
      <c r="O46" s="1497">
        <f>'Table 9'!O8</f>
        <v>0.17</v>
      </c>
      <c r="P46" s="1507">
        <f>'Table 9'!P8</f>
        <v>0.31</v>
      </c>
      <c r="Q46" s="1499">
        <f>'Table 9'!Q8</f>
        <v>0.48</v>
      </c>
      <c r="R46" s="1497">
        <f>'Table 9'!R8</f>
        <v>0.17</v>
      </c>
      <c r="S46" s="1507">
        <f>'Table 9'!S8</f>
        <v>0.32</v>
      </c>
      <c r="T46" s="1499">
        <f>'Table 9'!T8</f>
        <v>0.49</v>
      </c>
      <c r="U46" s="1497">
        <f>'Table 9'!U8</f>
        <v>0.18</v>
      </c>
      <c r="V46" s="1507">
        <f>'Table 9'!V8</f>
        <v>0.32</v>
      </c>
      <c r="W46" s="1499">
        <f>'Table 9'!W8</f>
        <v>0.5</v>
      </c>
      <c r="X46" s="1821">
        <f t="shared" si="59"/>
        <v>0.19</v>
      </c>
      <c r="Y46" s="1497">
        <f>U46</f>
        <v>0.18</v>
      </c>
      <c r="Z46" s="1507">
        <f t="shared" ref="Z46:Z47" si="132">V46</f>
        <v>0.32</v>
      </c>
      <c r="AA46" s="1499">
        <f t="shared" ref="AA46:AA47" si="133">W46</f>
        <v>0.5</v>
      </c>
      <c r="AC46" s="1653">
        <f t="shared" si="38"/>
        <v>0.08</v>
      </c>
    </row>
    <row r="47" spans="1:29" ht="15" customHeight="1" thickBot="1">
      <c r="A47" s="1488" t="s">
        <v>66</v>
      </c>
      <c r="B47" s="1489" t="s">
        <v>17</v>
      </c>
      <c r="C47" s="1922">
        <f>'Table 9'!C9</f>
        <v>0.21</v>
      </c>
      <c r="D47" s="1503">
        <f>'Table 9'!D9</f>
        <v>0</v>
      </c>
      <c r="E47" s="1500">
        <f>'Table 9'!E9</f>
        <v>0.21</v>
      </c>
      <c r="F47" s="1922">
        <f>'Table 9'!F9</f>
        <v>0.22</v>
      </c>
      <c r="G47" s="1503">
        <f>'Table 9'!G9</f>
        <v>0</v>
      </c>
      <c r="H47" s="1500">
        <f>'Table 9'!H9</f>
        <v>0.22</v>
      </c>
      <c r="I47" s="1922">
        <f>'Table 9'!I9</f>
        <v>0.23</v>
      </c>
      <c r="J47" s="1503">
        <f>'Table 9'!J9</f>
        <v>0</v>
      </c>
      <c r="K47" s="1500">
        <f>'Table 9'!K9</f>
        <v>0.23</v>
      </c>
      <c r="L47" s="1922">
        <f>'Table 9'!L9</f>
        <v>0.24</v>
      </c>
      <c r="M47" s="1503">
        <f>'Table 9'!M9</f>
        <v>0</v>
      </c>
      <c r="N47" s="1500">
        <f>'Table 9'!N9</f>
        <v>0.24</v>
      </c>
      <c r="O47" s="1922">
        <f>'Table 9'!O9</f>
        <v>0.25</v>
      </c>
      <c r="P47" s="1503">
        <f>'Table 9'!P9</f>
        <v>0</v>
      </c>
      <c r="Q47" s="1500">
        <f>'Table 9'!Q9</f>
        <v>0.25</v>
      </c>
      <c r="R47" s="1922">
        <f>'Table 9'!R9</f>
        <v>0.26</v>
      </c>
      <c r="S47" s="1503">
        <f>'Table 9'!S9</f>
        <v>0</v>
      </c>
      <c r="T47" s="1500">
        <f>'Table 9'!T9</f>
        <v>0.26</v>
      </c>
      <c r="U47" s="1922">
        <f>'Table 9'!U9</f>
        <v>0.27</v>
      </c>
      <c r="V47" s="1503">
        <f>'Table 9'!V9</f>
        <v>0</v>
      </c>
      <c r="W47" s="1500">
        <f>'Table 9'!W9</f>
        <v>0.27</v>
      </c>
      <c r="X47" s="1820">
        <f t="shared" si="59"/>
        <v>0.28999999999999998</v>
      </c>
      <c r="Y47" s="1922">
        <f>U47</f>
        <v>0.27</v>
      </c>
      <c r="Z47" s="1503">
        <f t="shared" si="132"/>
        <v>0</v>
      </c>
      <c r="AA47" s="1500">
        <f t="shared" si="133"/>
        <v>0.27</v>
      </c>
      <c r="AC47" s="846">
        <f t="shared" si="38"/>
        <v>0.06</v>
      </c>
    </row>
    <row r="48" spans="1:29" ht="27.75" thickTop="1" thickBot="1">
      <c r="A48" s="1490" t="s">
        <v>66</v>
      </c>
      <c r="B48" s="1505" t="s">
        <v>18</v>
      </c>
      <c r="C48" s="1498">
        <f>SUM(C46:C47)</f>
        <v>0.36</v>
      </c>
      <c r="D48" s="1504">
        <f t="shared" ref="D48" si="134">SUM(D46:D47)</f>
        <v>0.27</v>
      </c>
      <c r="E48" s="1501">
        <f t="shared" ref="E48" si="135">SUM(E46:E47)</f>
        <v>0.63</v>
      </c>
      <c r="F48" s="1498">
        <f t="shared" ref="F48" si="136">SUM(F46:F47)</f>
        <v>0.37</v>
      </c>
      <c r="G48" s="1504">
        <f t="shared" ref="G48" si="137">SUM(G46:G47)</f>
        <v>0.28000000000000003</v>
      </c>
      <c r="H48" s="1501">
        <f t="shared" ref="H48" si="138">SUM(H46:H47)</f>
        <v>0.65</v>
      </c>
      <c r="I48" s="1498">
        <f t="shared" ref="I48" si="139">SUM(I46:I47)</f>
        <v>0.39</v>
      </c>
      <c r="J48" s="1504">
        <f t="shared" ref="J48" si="140">SUM(J46:J47)</f>
        <v>0.28999999999999998</v>
      </c>
      <c r="K48" s="1501">
        <f t="shared" ref="K48" si="141">SUM(K46:K47)</f>
        <v>0.68</v>
      </c>
      <c r="L48" s="1498">
        <f t="shared" ref="L48" si="142">SUM(L46:L47)</f>
        <v>0.41</v>
      </c>
      <c r="M48" s="1504">
        <f t="shared" ref="M48" si="143">SUM(M46:M47)</f>
        <v>0.3</v>
      </c>
      <c r="N48" s="1501">
        <f t="shared" ref="N48" si="144">SUM(N46:N47)</f>
        <v>0.71</v>
      </c>
      <c r="O48" s="1498">
        <f t="shared" ref="O48" si="145">SUM(O46:O47)</f>
        <v>0.42</v>
      </c>
      <c r="P48" s="1504">
        <f t="shared" ref="P48" si="146">SUM(P46:P47)</f>
        <v>0.31</v>
      </c>
      <c r="Q48" s="1501">
        <f t="shared" ref="Q48" si="147">SUM(Q46:Q47)</f>
        <v>0.73</v>
      </c>
      <c r="R48" s="1498">
        <f t="shared" ref="R48" si="148">SUM(R46:R47)</f>
        <v>0.43</v>
      </c>
      <c r="S48" s="1504">
        <f t="shared" ref="S48" si="149">SUM(S46:S47)</f>
        <v>0.32</v>
      </c>
      <c r="T48" s="1501">
        <f t="shared" ref="T48" si="150">SUM(T46:T47)</f>
        <v>0.75</v>
      </c>
      <c r="U48" s="1498">
        <f t="shared" ref="U48" si="151">SUM(U46:U47)</f>
        <v>0.45</v>
      </c>
      <c r="V48" s="1504">
        <f t="shared" ref="V48" si="152">SUM(V46:V47)</f>
        <v>0.32</v>
      </c>
      <c r="W48" s="1501">
        <f t="shared" ref="W48" si="153">SUM(W46:W47)</f>
        <v>0.77</v>
      </c>
      <c r="X48" s="1533">
        <f t="shared" si="59"/>
        <v>0.22</v>
      </c>
      <c r="Y48" s="1498">
        <f t="shared" ref="Y48" si="154">SUM(Y46:Y47)</f>
        <v>0.45</v>
      </c>
      <c r="Z48" s="1504">
        <f t="shared" ref="Z48" si="155">SUM(Z46:Z47)</f>
        <v>0.32</v>
      </c>
      <c r="AA48" s="1501">
        <f t="shared" ref="AA48" si="156">SUM(AA46:AA47)</f>
        <v>0.77</v>
      </c>
      <c r="AC48" s="1823">
        <f t="shared" si="38"/>
        <v>0.14000000000000001</v>
      </c>
    </row>
    <row r="49" spans="1:29">
      <c r="A49" s="1493" t="s">
        <v>67</v>
      </c>
      <c r="B49" s="1492" t="s">
        <v>15</v>
      </c>
      <c r="C49" s="1497">
        <f>'Table 10'!C8</f>
        <v>0</v>
      </c>
      <c r="D49" s="1507">
        <f>'Table 10'!D8</f>
        <v>0</v>
      </c>
      <c r="E49" s="1499">
        <f>'Table 10'!E8</f>
        <v>0</v>
      </c>
      <c r="F49" s="1497">
        <f>'Table 10'!F8</f>
        <v>0</v>
      </c>
      <c r="G49" s="1507">
        <f>'Table 10'!G8</f>
        <v>0</v>
      </c>
      <c r="H49" s="1499">
        <f>'Table 10'!H8</f>
        <v>0</v>
      </c>
      <c r="I49" s="1497">
        <f>'Table 10'!I8</f>
        <v>0</v>
      </c>
      <c r="J49" s="1507">
        <f>'Table 10'!J8</f>
        <v>0</v>
      </c>
      <c r="K49" s="1499">
        <f>'Table 10'!K8</f>
        <v>0</v>
      </c>
      <c r="L49" s="1497">
        <f>'Table 10'!L8</f>
        <v>0</v>
      </c>
      <c r="M49" s="1507">
        <f>'Table 10'!M8</f>
        <v>0</v>
      </c>
      <c r="N49" s="1499">
        <f>'Table 10'!N8</f>
        <v>0</v>
      </c>
      <c r="O49" s="1497">
        <f>'Table 10'!O8</f>
        <v>0</v>
      </c>
      <c r="P49" s="1507">
        <f>'Table 10'!P8</f>
        <v>0</v>
      </c>
      <c r="Q49" s="1499">
        <f>'Table 10'!Q8</f>
        <v>0</v>
      </c>
      <c r="R49" s="1497">
        <f>'Table 10'!R8</f>
        <v>0</v>
      </c>
      <c r="S49" s="1507">
        <f>'Table 10'!S8</f>
        <v>0</v>
      </c>
      <c r="T49" s="1499">
        <f>'Table 10'!T8</f>
        <v>0</v>
      </c>
      <c r="U49" s="1497">
        <f>'Table 10'!U8</f>
        <v>0</v>
      </c>
      <c r="V49" s="1507">
        <f>'Table 10'!V8</f>
        <v>0</v>
      </c>
      <c r="W49" s="1499">
        <f>'Table 10'!W8</f>
        <v>0</v>
      </c>
      <c r="X49" s="1821" t="s">
        <v>16</v>
      </c>
      <c r="Y49" s="1497">
        <f>U49</f>
        <v>0</v>
      </c>
      <c r="Z49" s="1507">
        <f t="shared" ref="Z49:Z50" si="157">V49</f>
        <v>0</v>
      </c>
      <c r="AA49" s="1499">
        <f t="shared" ref="AA49:AA50" si="158">W49</f>
        <v>0</v>
      </c>
      <c r="AC49" s="1653">
        <f t="shared" si="38"/>
        <v>0</v>
      </c>
    </row>
    <row r="50" spans="1:29" ht="15.75" thickBot="1">
      <c r="A50" s="175" t="s">
        <v>67</v>
      </c>
      <c r="B50" s="1489" t="s">
        <v>17</v>
      </c>
      <c r="C50" s="1922">
        <f>'Table 10'!C9</f>
        <v>0</v>
      </c>
      <c r="D50" s="1503">
        <f>'Table 10'!D9</f>
        <v>0</v>
      </c>
      <c r="E50" s="1500">
        <f>'Table 10'!E9</f>
        <v>0</v>
      </c>
      <c r="F50" s="1922">
        <f>'Table 10'!F9</f>
        <v>0</v>
      </c>
      <c r="G50" s="1503">
        <f>'Table 10'!G9</f>
        <v>0</v>
      </c>
      <c r="H50" s="1500">
        <f>'Table 10'!H9</f>
        <v>0</v>
      </c>
      <c r="I50" s="1922">
        <f>'Table 10'!I9</f>
        <v>0</v>
      </c>
      <c r="J50" s="1503">
        <f>'Table 10'!J9</f>
        <v>0</v>
      </c>
      <c r="K50" s="1500">
        <f>'Table 10'!K9</f>
        <v>0</v>
      </c>
      <c r="L50" s="1922">
        <f>'Table 10'!L9</f>
        <v>0</v>
      </c>
      <c r="M50" s="1503">
        <f>'Table 10'!M9</f>
        <v>0</v>
      </c>
      <c r="N50" s="1500">
        <f>'Table 10'!N9</f>
        <v>0</v>
      </c>
      <c r="O50" s="1922">
        <f>'Table 10'!O9</f>
        <v>0</v>
      </c>
      <c r="P50" s="1503">
        <f>'Table 10'!P9</f>
        <v>0</v>
      </c>
      <c r="Q50" s="1500">
        <f>'Table 10'!Q9</f>
        <v>0</v>
      </c>
      <c r="R50" s="1922">
        <f>'Table 10'!R9</f>
        <v>0</v>
      </c>
      <c r="S50" s="1503">
        <f>'Table 10'!S9</f>
        <v>0</v>
      </c>
      <c r="T50" s="1500">
        <f>'Table 10'!T9</f>
        <v>0</v>
      </c>
      <c r="U50" s="1922">
        <f>'Table 10'!U9</f>
        <v>0</v>
      </c>
      <c r="V50" s="1503">
        <f>'Table 10'!V9</f>
        <v>0</v>
      </c>
      <c r="W50" s="1500">
        <f>'Table 10'!W9</f>
        <v>0</v>
      </c>
      <c r="X50" s="1820" t="s">
        <v>16</v>
      </c>
      <c r="Y50" s="1922">
        <f>U50</f>
        <v>0</v>
      </c>
      <c r="Z50" s="1503">
        <f t="shared" si="157"/>
        <v>0</v>
      </c>
      <c r="AA50" s="1500">
        <f t="shared" si="158"/>
        <v>0</v>
      </c>
      <c r="AC50" s="846">
        <f t="shared" si="38"/>
        <v>0</v>
      </c>
    </row>
    <row r="51" spans="1:29" ht="16.5" thickTop="1" thickBot="1">
      <c r="A51" s="1491" t="s">
        <v>67</v>
      </c>
      <c r="B51" s="1505" t="s">
        <v>18</v>
      </c>
      <c r="C51" s="1498">
        <f>SUM(C49:C50)</f>
        <v>0</v>
      </c>
      <c r="D51" s="1504">
        <f t="shared" ref="D51" si="159">SUM(D49:D50)</f>
        <v>0</v>
      </c>
      <c r="E51" s="1501">
        <f t="shared" ref="E51" si="160">SUM(E49:E50)</f>
        <v>0</v>
      </c>
      <c r="F51" s="1498">
        <f t="shared" ref="F51" si="161">SUM(F49:F50)</f>
        <v>0</v>
      </c>
      <c r="G51" s="1504">
        <f t="shared" ref="G51" si="162">SUM(G49:G50)</f>
        <v>0</v>
      </c>
      <c r="H51" s="1501">
        <f t="shared" ref="H51" si="163">SUM(H49:H50)</f>
        <v>0</v>
      </c>
      <c r="I51" s="1498">
        <f t="shared" ref="I51" si="164">SUM(I49:I50)</f>
        <v>0</v>
      </c>
      <c r="J51" s="1504">
        <f t="shared" ref="J51" si="165">SUM(J49:J50)</f>
        <v>0</v>
      </c>
      <c r="K51" s="1501">
        <f t="shared" ref="K51" si="166">SUM(K49:K50)</f>
        <v>0</v>
      </c>
      <c r="L51" s="1498">
        <f t="shared" ref="L51" si="167">SUM(L49:L50)</f>
        <v>0</v>
      </c>
      <c r="M51" s="1504">
        <f t="shared" ref="M51" si="168">SUM(M49:M50)</f>
        <v>0</v>
      </c>
      <c r="N51" s="1501">
        <f t="shared" ref="N51" si="169">SUM(N49:N50)</f>
        <v>0</v>
      </c>
      <c r="O51" s="1498">
        <f t="shared" ref="O51" si="170">SUM(O49:O50)</f>
        <v>0</v>
      </c>
      <c r="P51" s="1504">
        <f t="shared" ref="P51" si="171">SUM(P49:P50)</f>
        <v>0</v>
      </c>
      <c r="Q51" s="1501">
        <f t="shared" ref="Q51" si="172">SUM(Q49:Q50)</f>
        <v>0</v>
      </c>
      <c r="R51" s="1498">
        <f t="shared" ref="R51" si="173">SUM(R49:R50)</f>
        <v>0</v>
      </c>
      <c r="S51" s="1504">
        <f t="shared" ref="S51" si="174">SUM(S49:S50)</f>
        <v>0</v>
      </c>
      <c r="T51" s="1501">
        <f t="shared" ref="T51" si="175">SUM(T49:T50)</f>
        <v>0</v>
      </c>
      <c r="U51" s="1498">
        <f t="shared" ref="U51" si="176">SUM(U49:U50)</f>
        <v>0</v>
      </c>
      <c r="V51" s="1504">
        <f t="shared" ref="V51" si="177">SUM(V49:V50)</f>
        <v>0</v>
      </c>
      <c r="W51" s="1501">
        <f t="shared" ref="W51" si="178">SUM(W49:W50)</f>
        <v>0</v>
      </c>
      <c r="X51" s="1533" t="s">
        <v>16</v>
      </c>
      <c r="Y51" s="1498">
        <f t="shared" ref="Y51" si="179">SUM(Y49:Y50)</f>
        <v>0</v>
      </c>
      <c r="Z51" s="1504">
        <f t="shared" ref="Z51" si="180">SUM(Z49:Z50)</f>
        <v>0</v>
      </c>
      <c r="AA51" s="1501">
        <f t="shared" ref="AA51" si="181">SUM(AA49:AA50)</f>
        <v>0</v>
      </c>
      <c r="AC51" s="1823">
        <f t="shared" si="38"/>
        <v>0</v>
      </c>
    </row>
    <row r="52" spans="1:29" ht="15.75" thickBot="1">
      <c r="A52" s="1494" t="s">
        <v>693</v>
      </c>
      <c r="B52" s="1506" t="s">
        <v>15</v>
      </c>
      <c r="C52" s="1508">
        <f>C34+C37+C40+C43+C46+C49</f>
        <v>3.51</v>
      </c>
      <c r="D52" s="1536">
        <f t="shared" ref="D52:W53" si="182">D34+D37+D40+D43+D46+D49</f>
        <v>0.47</v>
      </c>
      <c r="E52" s="1534">
        <f t="shared" si="182"/>
        <v>3.98</v>
      </c>
      <c r="F52" s="1508">
        <f t="shared" si="182"/>
        <v>3.81</v>
      </c>
      <c r="G52" s="1536">
        <f t="shared" si="182"/>
        <v>0.43</v>
      </c>
      <c r="H52" s="1534">
        <f t="shared" si="182"/>
        <v>4.24</v>
      </c>
      <c r="I52" s="1508">
        <f t="shared" si="182"/>
        <v>3.99</v>
      </c>
      <c r="J52" s="1536">
        <f t="shared" si="182"/>
        <v>0.45</v>
      </c>
      <c r="K52" s="1534">
        <f t="shared" si="182"/>
        <v>4.4400000000000004</v>
      </c>
      <c r="L52" s="1508">
        <f t="shared" si="182"/>
        <v>4.16</v>
      </c>
      <c r="M52" s="1536">
        <f t="shared" si="182"/>
        <v>0.46</v>
      </c>
      <c r="N52" s="1534">
        <f t="shared" si="182"/>
        <v>4.62</v>
      </c>
      <c r="O52" s="1508">
        <f t="shared" si="182"/>
        <v>4.2699999999999996</v>
      </c>
      <c r="P52" s="1536">
        <f t="shared" si="182"/>
        <v>0.47</v>
      </c>
      <c r="Q52" s="1534">
        <f t="shared" si="182"/>
        <v>4.74</v>
      </c>
      <c r="R52" s="1508">
        <f t="shared" si="182"/>
        <v>4.37</v>
      </c>
      <c r="S52" s="1536">
        <f t="shared" si="182"/>
        <v>0.49</v>
      </c>
      <c r="T52" s="1534">
        <f t="shared" si="182"/>
        <v>4.8600000000000003</v>
      </c>
      <c r="U52" s="1508">
        <f t="shared" si="182"/>
        <v>4.47</v>
      </c>
      <c r="V52" s="1536">
        <f t="shared" si="182"/>
        <v>0.49</v>
      </c>
      <c r="W52" s="1534">
        <f t="shared" si="182"/>
        <v>4.96</v>
      </c>
      <c r="X52" s="1515">
        <f t="shared" si="59"/>
        <v>0.25</v>
      </c>
      <c r="Y52" s="1508">
        <f t="shared" ref="Y52:AA52" si="183">Y34+Y37+Y40+Y43+Y46+Y49</f>
        <v>4.75</v>
      </c>
      <c r="Z52" s="1536">
        <f t="shared" si="183"/>
        <v>0.52</v>
      </c>
      <c r="AA52" s="1509">
        <f t="shared" si="183"/>
        <v>5.27</v>
      </c>
      <c r="AC52" s="1824">
        <f t="shared" si="38"/>
        <v>0.98</v>
      </c>
    </row>
    <row r="53" spans="1:29" ht="15.75" thickBot="1">
      <c r="A53" s="1495" t="s">
        <v>693</v>
      </c>
      <c r="B53" s="1489" t="s">
        <v>17</v>
      </c>
      <c r="C53" s="1510">
        <f>C35+C38+C41+C44+C47+C50</f>
        <v>0.26</v>
      </c>
      <c r="D53" s="1537">
        <f t="shared" ref="D53:L53" si="184">D35+D38+D41+D44+D47+D50</f>
        <v>0</v>
      </c>
      <c r="E53" s="1535">
        <f t="shared" si="184"/>
        <v>0.26</v>
      </c>
      <c r="F53" s="1510">
        <f t="shared" si="184"/>
        <v>0.28000000000000003</v>
      </c>
      <c r="G53" s="1537">
        <f t="shared" si="184"/>
        <v>0</v>
      </c>
      <c r="H53" s="1535">
        <f t="shared" si="184"/>
        <v>0.28000000000000003</v>
      </c>
      <c r="I53" s="1510">
        <f t="shared" si="184"/>
        <v>0.28999999999999998</v>
      </c>
      <c r="J53" s="1537">
        <f t="shared" si="184"/>
        <v>0</v>
      </c>
      <c r="K53" s="1535">
        <f t="shared" si="184"/>
        <v>0.28999999999999998</v>
      </c>
      <c r="L53" s="1510">
        <f t="shared" si="184"/>
        <v>0.3</v>
      </c>
      <c r="M53" s="1537">
        <f t="shared" si="182"/>
        <v>0</v>
      </c>
      <c r="N53" s="1535">
        <f t="shared" si="182"/>
        <v>0.3</v>
      </c>
      <c r="O53" s="1510">
        <f t="shared" si="182"/>
        <v>0.31</v>
      </c>
      <c r="P53" s="1537">
        <f t="shared" si="182"/>
        <v>0</v>
      </c>
      <c r="Q53" s="1535">
        <f t="shared" si="182"/>
        <v>0.31</v>
      </c>
      <c r="R53" s="1510">
        <f t="shared" si="182"/>
        <v>0.33</v>
      </c>
      <c r="S53" s="1537">
        <f t="shared" si="182"/>
        <v>0</v>
      </c>
      <c r="T53" s="1535">
        <f t="shared" si="182"/>
        <v>0.33</v>
      </c>
      <c r="U53" s="1510">
        <f t="shared" si="182"/>
        <v>0.34</v>
      </c>
      <c r="V53" s="1537">
        <f t="shared" si="182"/>
        <v>0</v>
      </c>
      <c r="W53" s="1535">
        <f t="shared" si="182"/>
        <v>0.34</v>
      </c>
      <c r="X53" s="1516">
        <f t="shared" si="59"/>
        <v>0.31</v>
      </c>
      <c r="Y53" s="1510">
        <f t="shared" ref="Y53:AA53" si="185">Y35+Y38+Y41+Y44+Y47+Y50</f>
        <v>0.34</v>
      </c>
      <c r="Z53" s="1537">
        <f t="shared" si="185"/>
        <v>0</v>
      </c>
      <c r="AA53" s="1511">
        <f t="shared" si="185"/>
        <v>0.34</v>
      </c>
      <c r="AC53" s="1825">
        <f t="shared" si="38"/>
        <v>0.08</v>
      </c>
    </row>
    <row r="54" spans="1:29" ht="16.5" thickTop="1" thickBot="1">
      <c r="A54" s="3406" t="s">
        <v>694</v>
      </c>
      <c r="B54" s="3407"/>
      <c r="C54" s="1512">
        <f>C52+C53</f>
        <v>3.77</v>
      </c>
      <c r="D54" s="1538">
        <f t="shared" ref="D54" si="186">D52+D53</f>
        <v>0.47</v>
      </c>
      <c r="E54" s="1513">
        <f t="shared" ref="E54" si="187">E52+E53</f>
        <v>4.24</v>
      </c>
      <c r="F54" s="1512">
        <f t="shared" ref="F54" si="188">F52+F53</f>
        <v>4.09</v>
      </c>
      <c r="G54" s="1538">
        <f t="shared" ref="G54" si="189">G52+G53</f>
        <v>0.43</v>
      </c>
      <c r="H54" s="1513">
        <f t="shared" ref="H54" si="190">H52+H53</f>
        <v>4.5199999999999996</v>
      </c>
      <c r="I54" s="1512">
        <f t="shared" ref="I54" si="191">I52+I53</f>
        <v>4.28</v>
      </c>
      <c r="J54" s="1538">
        <f t="shared" ref="J54" si="192">J52+J53</f>
        <v>0.45</v>
      </c>
      <c r="K54" s="1513">
        <f t="shared" ref="K54" si="193">K52+K53</f>
        <v>4.7300000000000004</v>
      </c>
      <c r="L54" s="1512">
        <f t="shared" ref="L54" si="194">L52+L53</f>
        <v>4.46</v>
      </c>
      <c r="M54" s="1538">
        <f t="shared" ref="M54" si="195">M52+M53</f>
        <v>0.46</v>
      </c>
      <c r="N54" s="1513">
        <f t="shared" ref="N54" si="196">N52+N53</f>
        <v>4.92</v>
      </c>
      <c r="O54" s="1512">
        <f t="shared" ref="O54" si="197">O52+O53</f>
        <v>4.58</v>
      </c>
      <c r="P54" s="1538">
        <f t="shared" ref="P54" si="198">P52+P53</f>
        <v>0.47</v>
      </c>
      <c r="Q54" s="1513">
        <f t="shared" ref="Q54" si="199">Q52+Q53</f>
        <v>5.05</v>
      </c>
      <c r="R54" s="1512">
        <f t="shared" ref="R54" si="200">R52+R53</f>
        <v>4.7</v>
      </c>
      <c r="S54" s="1538">
        <f t="shared" ref="S54" si="201">S52+S53</f>
        <v>0.49</v>
      </c>
      <c r="T54" s="1513">
        <f t="shared" ref="T54" si="202">T52+T53</f>
        <v>5.19</v>
      </c>
      <c r="U54" s="1512">
        <f t="shared" ref="U54" si="203">U52+U53</f>
        <v>4.8099999999999996</v>
      </c>
      <c r="V54" s="1538">
        <f t="shared" ref="V54" si="204">V52+V53</f>
        <v>0.49</v>
      </c>
      <c r="W54" s="1513">
        <f t="shared" ref="W54" si="205">W52+W53</f>
        <v>5.3</v>
      </c>
      <c r="X54" s="1517">
        <f t="shared" si="59"/>
        <v>0.25</v>
      </c>
      <c r="Y54" s="1512">
        <f t="shared" ref="Y54" si="206">Y52+Y53</f>
        <v>5.09</v>
      </c>
      <c r="Z54" s="1538">
        <f t="shared" ref="Z54" si="207">Z52+Z53</f>
        <v>0.52</v>
      </c>
      <c r="AA54" s="1513">
        <f t="shared" ref="AA54" si="208">AA52+AA53</f>
        <v>5.61</v>
      </c>
      <c r="AC54" s="855">
        <f t="shared" si="38"/>
        <v>1.06</v>
      </c>
    </row>
    <row r="55" spans="1:29">
      <c r="A55" s="89" t="s">
        <v>35</v>
      </c>
    </row>
    <row r="56" spans="1:29">
      <c r="A56" s="1" t="s">
        <v>68</v>
      </c>
    </row>
    <row r="57" spans="1:29">
      <c r="A57" s="1" t="s">
        <v>69</v>
      </c>
    </row>
    <row r="59" spans="1:29" ht="15.75" thickBot="1">
      <c r="A59" s="1" t="s">
        <v>695</v>
      </c>
    </row>
    <row r="60" spans="1:29" ht="15.75" customHeight="1" thickBot="1">
      <c r="A60" s="3204" t="s">
        <v>54</v>
      </c>
      <c r="B60" s="3206" t="s">
        <v>2</v>
      </c>
      <c r="C60" s="3261" t="s">
        <v>55</v>
      </c>
      <c r="D60" s="3262"/>
      <c r="E60" s="3263"/>
      <c r="F60" s="3261" t="s">
        <v>56</v>
      </c>
      <c r="G60" s="3262"/>
      <c r="H60" s="3262"/>
      <c r="I60" s="3262"/>
      <c r="J60" s="3262"/>
      <c r="K60" s="3262"/>
      <c r="L60" s="3262"/>
      <c r="M60" s="3262"/>
      <c r="N60" s="3262"/>
      <c r="O60" s="3262"/>
      <c r="P60" s="3262"/>
      <c r="Q60" s="3262"/>
      <c r="R60" s="3262"/>
      <c r="S60" s="3262"/>
      <c r="T60" s="3262"/>
      <c r="U60" s="3262"/>
      <c r="V60" s="3262"/>
      <c r="W60" s="3263"/>
      <c r="X60" s="3255" t="s">
        <v>57</v>
      </c>
      <c r="Y60" s="3261" t="s">
        <v>58</v>
      </c>
      <c r="Z60" s="3262"/>
      <c r="AA60" s="3263"/>
      <c r="AC60" s="3255" t="s">
        <v>80</v>
      </c>
    </row>
    <row r="61" spans="1:29">
      <c r="A61" s="3205"/>
      <c r="B61" s="3207"/>
      <c r="C61" s="3258">
        <v>2015</v>
      </c>
      <c r="D61" s="3264"/>
      <c r="E61" s="3245"/>
      <c r="F61" s="3258">
        <v>2020</v>
      </c>
      <c r="G61" s="3264"/>
      <c r="H61" s="3245"/>
      <c r="I61" s="3258">
        <v>2025</v>
      </c>
      <c r="J61" s="3264"/>
      <c r="K61" s="3245"/>
      <c r="L61" s="3258">
        <v>2030</v>
      </c>
      <c r="M61" s="3264"/>
      <c r="N61" s="3245"/>
      <c r="O61" s="3258">
        <v>2035</v>
      </c>
      <c r="P61" s="3264"/>
      <c r="Q61" s="3245"/>
      <c r="R61" s="3258">
        <v>2040</v>
      </c>
      <c r="S61" s="3264"/>
      <c r="T61" s="3245"/>
      <c r="U61" s="3258">
        <v>2045</v>
      </c>
      <c r="V61" s="3264"/>
      <c r="W61" s="3245"/>
      <c r="X61" s="3256"/>
      <c r="Y61" s="3258">
        <v>2045</v>
      </c>
      <c r="Z61" s="3264"/>
      <c r="AA61" s="3245"/>
      <c r="AC61" s="3256"/>
    </row>
    <row r="62" spans="1:29" ht="15.75" thickBot="1">
      <c r="A62" s="3485"/>
      <c r="B62" s="3208"/>
      <c r="C62" s="1130" t="s">
        <v>60</v>
      </c>
      <c r="D62" s="1128" t="s">
        <v>61</v>
      </c>
      <c r="E62" s="1681" t="s">
        <v>18</v>
      </c>
      <c r="F62" s="1127" t="s">
        <v>60</v>
      </c>
      <c r="G62" s="1131" t="s">
        <v>61</v>
      </c>
      <c r="H62" s="1680" t="s">
        <v>18</v>
      </c>
      <c r="I62" s="1130" t="s">
        <v>60</v>
      </c>
      <c r="J62" s="1128" t="s">
        <v>61</v>
      </c>
      <c r="K62" s="1681" t="s">
        <v>18</v>
      </c>
      <c r="L62" s="1127" t="s">
        <v>60</v>
      </c>
      <c r="M62" s="1131" t="s">
        <v>61</v>
      </c>
      <c r="N62" s="1680" t="s">
        <v>18</v>
      </c>
      <c r="O62" s="1130" t="s">
        <v>60</v>
      </c>
      <c r="P62" s="1128" t="s">
        <v>61</v>
      </c>
      <c r="Q62" s="1681" t="s">
        <v>18</v>
      </c>
      <c r="R62" s="1130" t="s">
        <v>60</v>
      </c>
      <c r="S62" s="1131" t="s">
        <v>61</v>
      </c>
      <c r="T62" s="1680" t="s">
        <v>18</v>
      </c>
      <c r="U62" s="1130" t="s">
        <v>60</v>
      </c>
      <c r="V62" s="1131" t="s">
        <v>61</v>
      </c>
      <c r="W62" s="1680" t="s">
        <v>18</v>
      </c>
      <c r="X62" s="3257"/>
      <c r="Y62" s="1817" t="s">
        <v>60</v>
      </c>
      <c r="Z62" s="1818" t="s">
        <v>61</v>
      </c>
      <c r="AA62" s="1135" t="s">
        <v>18</v>
      </c>
      <c r="AC62" s="3483"/>
    </row>
    <row r="63" spans="1:29">
      <c r="A63" s="993" t="s">
        <v>62</v>
      </c>
      <c r="B63" s="1492" t="s">
        <v>15</v>
      </c>
      <c r="C63" s="1497">
        <f>'Table 4'!J11</f>
        <v>0.04</v>
      </c>
      <c r="D63" s="1507">
        <f>'Table 4'!K11</f>
        <v>0</v>
      </c>
      <c r="E63" s="1499">
        <f>'Table 4'!L11</f>
        <v>0.04</v>
      </c>
      <c r="F63" s="1497">
        <f>'Table 4'!M11</f>
        <v>0.01</v>
      </c>
      <c r="G63" s="1507">
        <f>'Table 4'!N11</f>
        <v>0</v>
      </c>
      <c r="H63" s="1499">
        <f>'Table 4'!O11</f>
        <v>0.01</v>
      </c>
      <c r="I63" s="1497">
        <f>'Table 4'!Q11</f>
        <v>0.01</v>
      </c>
      <c r="J63" s="1507">
        <f>'Table 4'!R11</f>
        <v>0</v>
      </c>
      <c r="K63" s="1499">
        <f>'Table 4'!S11</f>
        <v>0.01</v>
      </c>
      <c r="L63" s="1497">
        <f>'Table 4'!U11</f>
        <v>0.01</v>
      </c>
      <c r="M63" s="1507">
        <f>'Table 4'!V11</f>
        <v>0</v>
      </c>
      <c r="N63" s="1499">
        <f>'Table 4'!W11</f>
        <v>0.01</v>
      </c>
      <c r="O63" s="1497">
        <f>'Table 4'!Y11</f>
        <v>0.01</v>
      </c>
      <c r="P63" s="1507">
        <f>'Table 4'!Z11</f>
        <v>0</v>
      </c>
      <c r="Q63" s="1499">
        <f>'Table 4'!AA11</f>
        <v>0.01</v>
      </c>
      <c r="R63" s="1497">
        <f>'Table 4'!AC11</f>
        <v>0.01</v>
      </c>
      <c r="S63" s="1507">
        <f>'Table 4'!AD11</f>
        <v>0</v>
      </c>
      <c r="T63" s="1499">
        <f>'Table 4'!AE11</f>
        <v>0.01</v>
      </c>
      <c r="U63" s="1497">
        <f>'Table 4'!AG11</f>
        <v>0.01</v>
      </c>
      <c r="V63" s="1507">
        <f>'Table 4'!AH11</f>
        <v>0</v>
      </c>
      <c r="W63" s="1499">
        <f>'Table 4'!AI11</f>
        <v>0.01</v>
      </c>
      <c r="X63" s="1813">
        <f>(W63-E63)/E63</f>
        <v>-0.75</v>
      </c>
      <c r="Y63" s="1497">
        <f>'Table 4'!AL11</f>
        <v>0.01</v>
      </c>
      <c r="Z63" s="1507">
        <f>'Table 4'!AM11</f>
        <v>0</v>
      </c>
      <c r="AA63" s="1499">
        <f>'Table 4'!AN11</f>
        <v>0.01</v>
      </c>
      <c r="AC63" s="1653">
        <f>W63-E63</f>
        <v>-0.03</v>
      </c>
    </row>
    <row r="64" spans="1:29" ht="15.75" thickBot="1">
      <c r="A64" s="1488" t="s">
        <v>62</v>
      </c>
      <c r="B64" s="1489" t="s">
        <v>17</v>
      </c>
      <c r="C64" s="1922">
        <f>'Table 4'!J12</f>
        <v>0.94</v>
      </c>
      <c r="D64" s="1503">
        <f>'Table 4'!K12</f>
        <v>0</v>
      </c>
      <c r="E64" s="1500">
        <f>'Table 4'!L12</f>
        <v>0.94</v>
      </c>
      <c r="F64" s="1922">
        <f>'Table 4'!M12</f>
        <v>1.04</v>
      </c>
      <c r="G64" s="1503">
        <f>'Table 4'!N12</f>
        <v>0</v>
      </c>
      <c r="H64" s="1500">
        <f>'Table 4'!O12</f>
        <v>1.04</v>
      </c>
      <c r="I64" s="1922">
        <f>'Table 4'!Q12</f>
        <v>1.05</v>
      </c>
      <c r="J64" s="1503">
        <f>'Table 4'!R12</f>
        <v>0</v>
      </c>
      <c r="K64" s="1500">
        <f>'Table 4'!S12</f>
        <v>1.05</v>
      </c>
      <c r="L64" s="1922">
        <f>'Table 4'!U12</f>
        <v>1.07</v>
      </c>
      <c r="M64" s="1503">
        <f>'Table 4'!V12</f>
        <v>0</v>
      </c>
      <c r="N64" s="1500">
        <f>'Table 4'!W12</f>
        <v>1.07</v>
      </c>
      <c r="O64" s="1922">
        <f>'Table 4'!Y12</f>
        <v>1.08</v>
      </c>
      <c r="P64" s="1503">
        <f>'Table 4'!Z12</f>
        <v>0</v>
      </c>
      <c r="Q64" s="1500">
        <f>'Table 4'!AA12</f>
        <v>1.08</v>
      </c>
      <c r="R64" s="1922">
        <f>'Table 4'!AC12</f>
        <v>1.0900000000000001</v>
      </c>
      <c r="S64" s="1503">
        <f>'Table 4'!AD12</f>
        <v>0</v>
      </c>
      <c r="T64" s="1500">
        <f>'Table 4'!AE12</f>
        <v>1.0900000000000001</v>
      </c>
      <c r="U64" s="1922">
        <f>'Table 4'!AG12</f>
        <v>1.1100000000000001</v>
      </c>
      <c r="V64" s="1503">
        <f>'Table 4'!AH12</f>
        <v>0</v>
      </c>
      <c r="W64" s="1500">
        <f>'Table 4'!AI12</f>
        <v>1.1100000000000001</v>
      </c>
      <c r="X64" s="1819">
        <f t="shared" ref="X64:X83" si="209">(W64-E64)/E64</f>
        <v>0.18</v>
      </c>
      <c r="Y64" s="1922">
        <f>'Table 4'!AL12</f>
        <v>1.17</v>
      </c>
      <c r="Z64" s="1503">
        <f>'Table 4'!AM12</f>
        <v>0</v>
      </c>
      <c r="AA64" s="1500">
        <f>'Table 4'!AN12</f>
        <v>1.17</v>
      </c>
      <c r="AC64" s="846">
        <f t="shared" ref="AC64:AC83" si="210">W64-E64</f>
        <v>0.17</v>
      </c>
    </row>
    <row r="65" spans="1:29" ht="16.5" thickTop="1" thickBot="1">
      <c r="A65" s="1490" t="s">
        <v>62</v>
      </c>
      <c r="B65" s="1496" t="s">
        <v>18</v>
      </c>
      <c r="C65" s="1498">
        <f>SUM(C63:C64)</f>
        <v>0.98</v>
      </c>
      <c r="D65" s="1504">
        <f t="shared" ref="D65" si="211">SUM(D63:D64)</f>
        <v>0</v>
      </c>
      <c r="E65" s="1501">
        <f t="shared" ref="E65" si="212">SUM(E63:E64)</f>
        <v>0.98</v>
      </c>
      <c r="F65" s="1498">
        <f t="shared" ref="F65" si="213">SUM(F63:F64)</f>
        <v>1.05</v>
      </c>
      <c r="G65" s="1504">
        <f t="shared" ref="G65" si="214">SUM(G63:G64)</f>
        <v>0</v>
      </c>
      <c r="H65" s="1501">
        <f t="shared" ref="H65" si="215">SUM(H63:H64)</f>
        <v>1.05</v>
      </c>
      <c r="I65" s="1498">
        <f t="shared" ref="I65" si="216">SUM(I63:I64)</f>
        <v>1.06</v>
      </c>
      <c r="J65" s="1504">
        <f t="shared" ref="J65" si="217">SUM(J63:J64)</f>
        <v>0</v>
      </c>
      <c r="K65" s="1501">
        <f t="shared" ref="K65" si="218">SUM(K63:K64)</f>
        <v>1.06</v>
      </c>
      <c r="L65" s="1498">
        <f t="shared" ref="L65" si="219">SUM(L63:L64)</f>
        <v>1.08</v>
      </c>
      <c r="M65" s="1504">
        <f t="shared" ref="M65" si="220">SUM(M63:M64)</f>
        <v>0</v>
      </c>
      <c r="N65" s="1501">
        <f t="shared" ref="N65" si="221">SUM(N63:N64)</f>
        <v>1.08</v>
      </c>
      <c r="O65" s="1498">
        <f t="shared" ref="O65" si="222">SUM(O63:O64)</f>
        <v>1.0900000000000001</v>
      </c>
      <c r="P65" s="1504">
        <f t="shared" ref="P65" si="223">SUM(P63:P64)</f>
        <v>0</v>
      </c>
      <c r="Q65" s="1501">
        <f t="shared" ref="Q65" si="224">SUM(Q63:Q64)</f>
        <v>1.0900000000000001</v>
      </c>
      <c r="R65" s="1498">
        <f t="shared" ref="R65" si="225">SUM(R63:R64)</f>
        <v>1.1000000000000001</v>
      </c>
      <c r="S65" s="1504">
        <f t="shared" ref="S65" si="226">SUM(S63:S64)</f>
        <v>0</v>
      </c>
      <c r="T65" s="1501">
        <f t="shared" ref="T65" si="227">SUM(T63:T64)</f>
        <v>1.1000000000000001</v>
      </c>
      <c r="U65" s="1498">
        <f t="shared" ref="U65" si="228">SUM(U63:U64)</f>
        <v>1.1200000000000001</v>
      </c>
      <c r="V65" s="1504">
        <f t="shared" ref="V65" si="229">SUM(V63:V64)</f>
        <v>0</v>
      </c>
      <c r="W65" s="1501">
        <f t="shared" ref="W65" si="230">SUM(W63:W64)</f>
        <v>1.1200000000000001</v>
      </c>
      <c r="X65" s="1514">
        <f t="shared" si="209"/>
        <v>0.14000000000000001</v>
      </c>
      <c r="Y65" s="1498">
        <f t="shared" ref="Y65" si="231">SUM(Y63:Y64)</f>
        <v>1.18</v>
      </c>
      <c r="Z65" s="1504">
        <f t="shared" ref="Z65" si="232">SUM(Z63:Z64)</f>
        <v>0</v>
      </c>
      <c r="AA65" s="1501">
        <f t="shared" ref="AA65" si="233">SUM(AA63:AA64)</f>
        <v>1.18</v>
      </c>
      <c r="AC65" s="1823">
        <f t="shared" si="210"/>
        <v>0.14000000000000001</v>
      </c>
    </row>
    <row r="66" spans="1:29" ht="26.25">
      <c r="A66" s="282" t="s">
        <v>63</v>
      </c>
      <c r="B66" s="1492" t="s">
        <v>15</v>
      </c>
      <c r="C66" s="1497">
        <f>'Table 6'!K11</f>
        <v>0.28000000000000003</v>
      </c>
      <c r="D66" s="1507">
        <f>'Table 6'!L11</f>
        <v>0</v>
      </c>
      <c r="E66" s="1499">
        <f>'Table 6'!M11</f>
        <v>0.28000000000000003</v>
      </c>
      <c r="F66" s="1497">
        <f>'Table 6'!N11</f>
        <v>0.21</v>
      </c>
      <c r="G66" s="1507">
        <f>'Table 6'!O11</f>
        <v>0</v>
      </c>
      <c r="H66" s="1499">
        <f>'Table 6'!P11</f>
        <v>0.21</v>
      </c>
      <c r="I66" s="1497">
        <f>'Table 6'!Q11</f>
        <v>0.25</v>
      </c>
      <c r="J66" s="1507">
        <f>'Table 6'!R11</f>
        <v>0</v>
      </c>
      <c r="K66" s="1499">
        <f>'Table 6'!S11</f>
        <v>0.25</v>
      </c>
      <c r="L66" s="1497">
        <f>'Table 6'!T11</f>
        <v>0.27</v>
      </c>
      <c r="M66" s="1507">
        <f>'Table 6'!U11</f>
        <v>0</v>
      </c>
      <c r="N66" s="1499">
        <f>'Table 6'!V11</f>
        <v>0.27</v>
      </c>
      <c r="O66" s="1497">
        <f>'Table 6'!W11</f>
        <v>0.27</v>
      </c>
      <c r="P66" s="1507">
        <f>'Table 6'!X11</f>
        <v>0</v>
      </c>
      <c r="Q66" s="1499">
        <f>'Table 6'!Y11</f>
        <v>0.27</v>
      </c>
      <c r="R66" s="1497">
        <f>'Table 6'!Z11</f>
        <v>0.28000000000000003</v>
      </c>
      <c r="S66" s="1507">
        <f>'Table 6'!AA11</f>
        <v>0</v>
      </c>
      <c r="T66" s="1499">
        <f>'Table 6'!AB11</f>
        <v>0.28000000000000003</v>
      </c>
      <c r="U66" s="1497">
        <f>'Table 6'!AC11</f>
        <v>0.3</v>
      </c>
      <c r="V66" s="1507">
        <f>'Table 6'!AD11</f>
        <v>0</v>
      </c>
      <c r="W66" s="1499">
        <f>'Table 6'!AE11</f>
        <v>0.3</v>
      </c>
      <c r="X66" s="1813">
        <f t="shared" si="209"/>
        <v>7.0000000000000007E-2</v>
      </c>
      <c r="Y66" s="1497">
        <f>'Table 6'!AG11</f>
        <v>0.32</v>
      </c>
      <c r="Z66" s="1507">
        <f>'Table 6'!AH11</f>
        <v>0</v>
      </c>
      <c r="AA66" s="1499">
        <f>'Table 6'!AI11</f>
        <v>0.32</v>
      </c>
      <c r="AC66" s="1653">
        <f t="shared" si="210"/>
        <v>0.02</v>
      </c>
    </row>
    <row r="67" spans="1:29" ht="27" thickBot="1">
      <c r="A67" s="175" t="s">
        <v>63</v>
      </c>
      <c r="B67" s="1489" t="s">
        <v>17</v>
      </c>
      <c r="C67" s="1922">
        <f>'Table 6'!K12</f>
        <v>0.61</v>
      </c>
      <c r="D67" s="1503">
        <f>'Table 6'!L12</f>
        <v>0</v>
      </c>
      <c r="E67" s="1500">
        <f>'Table 6'!M12</f>
        <v>0.61</v>
      </c>
      <c r="F67" s="1922">
        <f>'Table 6'!N12</f>
        <v>0.56999999999999995</v>
      </c>
      <c r="G67" s="1503">
        <f>'Table 6'!O12</f>
        <v>0</v>
      </c>
      <c r="H67" s="1500">
        <f>'Table 6'!P12</f>
        <v>0.56999999999999995</v>
      </c>
      <c r="I67" s="1922">
        <f>'Table 6'!Q12</f>
        <v>0.56000000000000005</v>
      </c>
      <c r="J67" s="1503">
        <f>'Table 6'!R12</f>
        <v>0</v>
      </c>
      <c r="K67" s="1500">
        <f>'Table 6'!S12</f>
        <v>0.56000000000000005</v>
      </c>
      <c r="L67" s="1922">
        <f>'Table 6'!T12</f>
        <v>0.56000000000000005</v>
      </c>
      <c r="M67" s="1503">
        <f>'Table 6'!U12</f>
        <v>0</v>
      </c>
      <c r="N67" s="1500">
        <f>'Table 6'!V12</f>
        <v>0.56000000000000005</v>
      </c>
      <c r="O67" s="1922">
        <f>'Table 6'!W12</f>
        <v>0.55000000000000004</v>
      </c>
      <c r="P67" s="1503">
        <f>'Table 6'!X12</f>
        <v>0</v>
      </c>
      <c r="Q67" s="1500">
        <f>'Table 6'!Y12</f>
        <v>0.55000000000000004</v>
      </c>
      <c r="R67" s="1922">
        <f>'Table 6'!Z12</f>
        <v>0.55000000000000004</v>
      </c>
      <c r="S67" s="1503">
        <f>'Table 6'!AA12</f>
        <v>0</v>
      </c>
      <c r="T67" s="1500">
        <f>'Table 6'!AB12</f>
        <v>0.55000000000000004</v>
      </c>
      <c r="U67" s="1922">
        <f>'Table 6'!AC12</f>
        <v>0.53</v>
      </c>
      <c r="V67" s="1503">
        <f>'Table 6'!AD12</f>
        <v>0</v>
      </c>
      <c r="W67" s="1500">
        <f>'Table 6'!AE12</f>
        <v>0.53</v>
      </c>
      <c r="X67" s="1819">
        <f t="shared" si="209"/>
        <v>-0.13</v>
      </c>
      <c r="Y67" s="1922">
        <f>'Table 6'!AG12</f>
        <v>0.52</v>
      </c>
      <c r="Z67" s="1503">
        <f>'Table 6'!AH12</f>
        <v>0</v>
      </c>
      <c r="AA67" s="1500">
        <f>'Table 6'!AI12</f>
        <v>0.52</v>
      </c>
      <c r="AC67" s="846">
        <f t="shared" si="210"/>
        <v>-0.08</v>
      </c>
    </row>
    <row r="68" spans="1:29" ht="27.75" thickTop="1" thickBot="1">
      <c r="A68" s="1491" t="s">
        <v>63</v>
      </c>
      <c r="B68" s="1505" t="s">
        <v>18</v>
      </c>
      <c r="C68" s="1498">
        <f>SUM(C66:C67)</f>
        <v>0.89</v>
      </c>
      <c r="D68" s="1504">
        <f t="shared" ref="D68" si="234">SUM(D66:D67)</f>
        <v>0</v>
      </c>
      <c r="E68" s="1501">
        <f t="shared" ref="E68" si="235">SUM(E66:E67)</f>
        <v>0.89</v>
      </c>
      <c r="F68" s="1498">
        <f t="shared" ref="F68" si="236">SUM(F66:F67)</f>
        <v>0.78</v>
      </c>
      <c r="G68" s="1504">
        <f t="shared" ref="G68" si="237">SUM(G66:G67)</f>
        <v>0</v>
      </c>
      <c r="H68" s="1501">
        <f t="shared" ref="H68" si="238">SUM(H66:H67)</f>
        <v>0.78</v>
      </c>
      <c r="I68" s="1498">
        <f t="shared" ref="I68" si="239">SUM(I66:I67)</f>
        <v>0.81</v>
      </c>
      <c r="J68" s="1504">
        <f t="shared" ref="J68" si="240">SUM(J66:J67)</f>
        <v>0</v>
      </c>
      <c r="K68" s="1501">
        <f t="shared" ref="K68" si="241">SUM(K66:K67)</f>
        <v>0.81</v>
      </c>
      <c r="L68" s="1498">
        <f t="shared" ref="L68" si="242">SUM(L66:L67)</f>
        <v>0.83</v>
      </c>
      <c r="M68" s="1504">
        <f t="shared" ref="M68" si="243">SUM(M66:M67)</f>
        <v>0</v>
      </c>
      <c r="N68" s="1501">
        <f t="shared" ref="N68" si="244">SUM(N66:N67)</f>
        <v>0.83</v>
      </c>
      <c r="O68" s="1498">
        <f t="shared" ref="O68" si="245">SUM(O66:O67)</f>
        <v>0.82</v>
      </c>
      <c r="P68" s="1504">
        <f t="shared" ref="P68" si="246">SUM(P66:P67)</f>
        <v>0</v>
      </c>
      <c r="Q68" s="1501">
        <f t="shared" ref="Q68" si="247">SUM(Q66:Q67)</f>
        <v>0.82</v>
      </c>
      <c r="R68" s="1498">
        <f t="shared" ref="R68" si="248">SUM(R66:R67)</f>
        <v>0.83</v>
      </c>
      <c r="S68" s="1504">
        <f t="shared" ref="S68" si="249">SUM(S66:S67)</f>
        <v>0</v>
      </c>
      <c r="T68" s="1501">
        <f t="shared" ref="T68" si="250">SUM(T66:T67)</f>
        <v>0.83</v>
      </c>
      <c r="U68" s="1498">
        <f t="shared" ref="U68" si="251">SUM(U66:U67)</f>
        <v>0.83</v>
      </c>
      <c r="V68" s="1504">
        <f t="shared" ref="V68" si="252">SUM(V66:V67)</f>
        <v>0</v>
      </c>
      <c r="W68" s="1501">
        <f t="shared" ref="W68" si="253">SUM(W66:W67)</f>
        <v>0.83</v>
      </c>
      <c r="X68" s="1514">
        <f t="shared" si="209"/>
        <v>-7.0000000000000007E-2</v>
      </c>
      <c r="Y68" s="1498">
        <f t="shared" ref="Y68" si="254">SUM(Y66:Y67)</f>
        <v>0.84</v>
      </c>
      <c r="Z68" s="1504">
        <f t="shared" ref="Z68" si="255">SUM(Z66:Z67)</f>
        <v>0</v>
      </c>
      <c r="AA68" s="1501">
        <f t="shared" ref="AA68" si="256">SUM(AA66:AA67)</f>
        <v>0.84</v>
      </c>
      <c r="AC68" s="1823">
        <f t="shared" si="210"/>
        <v>-0.06</v>
      </c>
    </row>
    <row r="69" spans="1:29">
      <c r="A69" s="993" t="s">
        <v>64</v>
      </c>
      <c r="B69" s="1492" t="s">
        <v>15</v>
      </c>
      <c r="C69" s="1497">
        <f>'Table 7'!C11</f>
        <v>0</v>
      </c>
      <c r="D69" s="1507">
        <f>'Table 7'!D11</f>
        <v>0</v>
      </c>
      <c r="E69" s="1499">
        <f>'Table 7'!E11</f>
        <v>0</v>
      </c>
      <c r="F69" s="1497">
        <f>'Table 7'!F11</f>
        <v>0</v>
      </c>
      <c r="G69" s="1507">
        <f>'Table 7'!G11</f>
        <v>0</v>
      </c>
      <c r="H69" s="1499">
        <f>'Table 7'!H11</f>
        <v>0</v>
      </c>
      <c r="I69" s="1497">
        <f>'Table 7'!I11</f>
        <v>0</v>
      </c>
      <c r="J69" s="1507">
        <f>'Table 7'!J11</f>
        <v>0</v>
      </c>
      <c r="K69" s="1499">
        <f>'Table 7'!K11</f>
        <v>0</v>
      </c>
      <c r="L69" s="1497">
        <f>'Table 7'!L11</f>
        <v>0</v>
      </c>
      <c r="M69" s="1507">
        <f>'Table 7'!M11</f>
        <v>0</v>
      </c>
      <c r="N69" s="1499">
        <f>'Table 7'!N11</f>
        <v>0</v>
      </c>
      <c r="O69" s="1497">
        <f>'Table 7'!O11</f>
        <v>0</v>
      </c>
      <c r="P69" s="1507">
        <f>'Table 7'!P11</f>
        <v>0</v>
      </c>
      <c r="Q69" s="1499">
        <f>'Table 7'!Q11</f>
        <v>0</v>
      </c>
      <c r="R69" s="1497">
        <f>'Table 7'!R11</f>
        <v>0</v>
      </c>
      <c r="S69" s="1507">
        <f>'Table 7'!S11</f>
        <v>0</v>
      </c>
      <c r="T69" s="1499">
        <f>'Table 7'!T11</f>
        <v>0</v>
      </c>
      <c r="U69" s="1497">
        <f>'Table 7'!U11</f>
        <v>0</v>
      </c>
      <c r="V69" s="1507">
        <f>'Table 7'!V11</f>
        <v>0</v>
      </c>
      <c r="W69" s="1499">
        <f>'Table 7'!W11</f>
        <v>0</v>
      </c>
      <c r="X69" s="1821" t="s">
        <v>16</v>
      </c>
      <c r="Y69" s="1497">
        <f>'Table 7'!AG11</f>
        <v>0</v>
      </c>
      <c r="Z69" s="1507">
        <f>'Table 7'!AH11</f>
        <v>0</v>
      </c>
      <c r="AA69" s="1499">
        <f>'Table 7'!AI11</f>
        <v>0</v>
      </c>
      <c r="AC69" s="1653">
        <f t="shared" si="210"/>
        <v>0</v>
      </c>
    </row>
    <row r="70" spans="1:29" ht="15.75" thickBot="1">
      <c r="A70" s="175" t="s">
        <v>64</v>
      </c>
      <c r="B70" s="1489" t="s">
        <v>17</v>
      </c>
      <c r="C70" s="1922">
        <f>'Table 7'!C12</f>
        <v>1.82</v>
      </c>
      <c r="D70" s="1503">
        <f>'Table 7'!D12</f>
        <v>0</v>
      </c>
      <c r="E70" s="1500">
        <f>'Table 7'!E12</f>
        <v>1.82</v>
      </c>
      <c r="F70" s="1922">
        <f>'Table 7'!F12</f>
        <v>1.89</v>
      </c>
      <c r="G70" s="1503">
        <f>'Table 7'!G12</f>
        <v>0</v>
      </c>
      <c r="H70" s="1500">
        <f>'Table 7'!H12</f>
        <v>1.89</v>
      </c>
      <c r="I70" s="1922">
        <f>'Table 7'!I12</f>
        <v>1.87</v>
      </c>
      <c r="J70" s="1503">
        <f>'Table 7'!J12</f>
        <v>0</v>
      </c>
      <c r="K70" s="1500">
        <f>'Table 7'!K12</f>
        <v>1.87</v>
      </c>
      <c r="L70" s="1922">
        <f>'Table 7'!L12</f>
        <v>1.85</v>
      </c>
      <c r="M70" s="1503">
        <f>'Table 7'!M12</f>
        <v>0</v>
      </c>
      <c r="N70" s="1500">
        <f>'Table 7'!N12</f>
        <v>1.85</v>
      </c>
      <c r="O70" s="1922">
        <f>'Table 7'!O12</f>
        <v>1.88</v>
      </c>
      <c r="P70" s="1503">
        <f>'Table 7'!P12</f>
        <v>0</v>
      </c>
      <c r="Q70" s="1500">
        <f>'Table 7'!Q12</f>
        <v>1.88</v>
      </c>
      <c r="R70" s="1922">
        <f>'Table 7'!R12</f>
        <v>1.87</v>
      </c>
      <c r="S70" s="1503">
        <f>'Table 7'!S12</f>
        <v>0</v>
      </c>
      <c r="T70" s="1500">
        <f>'Table 7'!T12</f>
        <v>1.87</v>
      </c>
      <c r="U70" s="1922">
        <f>'Table 7'!U12</f>
        <v>1.86</v>
      </c>
      <c r="V70" s="1503">
        <f>'Table 7'!V12</f>
        <v>0</v>
      </c>
      <c r="W70" s="1500">
        <f>'Table 7'!W12</f>
        <v>1.86</v>
      </c>
      <c r="X70" s="1819">
        <f t="shared" si="209"/>
        <v>0.02</v>
      </c>
      <c r="Y70" s="1922">
        <f>'Table 7'!AG12</f>
        <v>2.38</v>
      </c>
      <c r="Z70" s="1503">
        <f>'Table 7'!AH12</f>
        <v>0</v>
      </c>
      <c r="AA70" s="1500">
        <f>'Table 7'!AI12</f>
        <v>2.38</v>
      </c>
      <c r="AC70" s="846">
        <f t="shared" si="210"/>
        <v>0.04</v>
      </c>
    </row>
    <row r="71" spans="1:29" ht="16.5" thickTop="1" thickBot="1">
      <c r="A71" s="1490" t="s">
        <v>64</v>
      </c>
      <c r="B71" s="1505" t="s">
        <v>18</v>
      </c>
      <c r="C71" s="1498">
        <f>SUM(C69:C70)</f>
        <v>1.82</v>
      </c>
      <c r="D71" s="1504">
        <f t="shared" ref="D71" si="257">SUM(D69:D70)</f>
        <v>0</v>
      </c>
      <c r="E71" s="1501">
        <f t="shared" ref="E71" si="258">SUM(E69:E70)</f>
        <v>1.82</v>
      </c>
      <c r="F71" s="1498">
        <f t="shared" ref="F71" si="259">SUM(F69:F70)</f>
        <v>1.89</v>
      </c>
      <c r="G71" s="1504">
        <f t="shared" ref="G71" si="260">SUM(G69:G70)</f>
        <v>0</v>
      </c>
      <c r="H71" s="1501">
        <f t="shared" ref="H71" si="261">SUM(H69:H70)</f>
        <v>1.89</v>
      </c>
      <c r="I71" s="1498">
        <f t="shared" ref="I71" si="262">SUM(I69:I70)</f>
        <v>1.87</v>
      </c>
      <c r="J71" s="1504">
        <f t="shared" ref="J71" si="263">SUM(J69:J70)</f>
        <v>0</v>
      </c>
      <c r="K71" s="1501">
        <f t="shared" ref="K71" si="264">SUM(K69:K70)</f>
        <v>1.87</v>
      </c>
      <c r="L71" s="1498">
        <f t="shared" ref="L71" si="265">SUM(L69:L70)</f>
        <v>1.85</v>
      </c>
      <c r="M71" s="1504">
        <f t="shared" ref="M71" si="266">SUM(M69:M70)</f>
        <v>0</v>
      </c>
      <c r="N71" s="1501">
        <f t="shared" ref="N71" si="267">SUM(N69:N70)</f>
        <v>1.85</v>
      </c>
      <c r="O71" s="1498">
        <f t="shared" ref="O71" si="268">SUM(O69:O70)</f>
        <v>1.88</v>
      </c>
      <c r="P71" s="1504">
        <f t="shared" ref="P71" si="269">SUM(P69:P70)</f>
        <v>0</v>
      </c>
      <c r="Q71" s="1501">
        <f t="shared" ref="Q71" si="270">SUM(Q69:Q70)</f>
        <v>1.88</v>
      </c>
      <c r="R71" s="1498">
        <f t="shared" ref="R71" si="271">SUM(R69:R70)</f>
        <v>1.87</v>
      </c>
      <c r="S71" s="1504">
        <f t="shared" ref="S71" si="272">SUM(S69:S70)</f>
        <v>0</v>
      </c>
      <c r="T71" s="1501">
        <f t="shared" ref="T71" si="273">SUM(T69:T70)</f>
        <v>1.87</v>
      </c>
      <c r="U71" s="1498">
        <f t="shared" ref="U71" si="274">SUM(U69:U70)</f>
        <v>1.86</v>
      </c>
      <c r="V71" s="1504">
        <f t="shared" ref="V71" si="275">SUM(V69:V70)</f>
        <v>0</v>
      </c>
      <c r="W71" s="1501">
        <f t="shared" ref="W71" si="276">SUM(W69:W70)</f>
        <v>1.86</v>
      </c>
      <c r="X71" s="1514">
        <f t="shared" si="209"/>
        <v>0.02</v>
      </c>
      <c r="Y71" s="1498">
        <f t="shared" ref="Y71" si="277">SUM(Y69:Y70)</f>
        <v>2.38</v>
      </c>
      <c r="Z71" s="1504">
        <f t="shared" ref="Z71" si="278">SUM(Z69:Z70)</f>
        <v>0</v>
      </c>
      <c r="AA71" s="1501">
        <f t="shared" ref="AA71" si="279">SUM(AA69:AA70)</f>
        <v>2.38</v>
      </c>
      <c r="AC71" s="1823">
        <f t="shared" si="210"/>
        <v>0.04</v>
      </c>
    </row>
    <row r="72" spans="1:29">
      <c r="A72" s="282" t="s">
        <v>65</v>
      </c>
      <c r="B72" s="1492" t="s">
        <v>15</v>
      </c>
      <c r="C72" s="1497">
        <f>'Table 8'!C11</f>
        <v>0</v>
      </c>
      <c r="D72" s="1507">
        <f>'Table 8'!D11</f>
        <v>0</v>
      </c>
      <c r="E72" s="1499">
        <f>'Table 8'!E11</f>
        <v>0</v>
      </c>
      <c r="F72" s="1497">
        <f>'Table 8'!F11</f>
        <v>0</v>
      </c>
      <c r="G72" s="1507">
        <f>'Table 8'!G11</f>
        <v>0</v>
      </c>
      <c r="H72" s="1499">
        <f>'Table 8'!H11</f>
        <v>0</v>
      </c>
      <c r="I72" s="1497">
        <f>'Table 8'!I11</f>
        <v>0</v>
      </c>
      <c r="J72" s="1507">
        <f>'Table 8'!J11</f>
        <v>0</v>
      </c>
      <c r="K72" s="1499">
        <f>'Table 8'!K11</f>
        <v>0</v>
      </c>
      <c r="L72" s="1497">
        <f>'Table 8'!L11</f>
        <v>0</v>
      </c>
      <c r="M72" s="1507">
        <f>'Table 8'!M11</f>
        <v>0</v>
      </c>
      <c r="N72" s="1499">
        <f>'Table 8'!N11</f>
        <v>0</v>
      </c>
      <c r="O72" s="1497">
        <f>'Table 8'!O11</f>
        <v>0</v>
      </c>
      <c r="P72" s="1507">
        <f>'Table 8'!P11</f>
        <v>0</v>
      </c>
      <c r="Q72" s="1499">
        <f>'Table 8'!Q11</f>
        <v>0</v>
      </c>
      <c r="R72" s="1497">
        <f>'Table 8'!R11</f>
        <v>0</v>
      </c>
      <c r="S72" s="1507">
        <f>'Table 8'!S11</f>
        <v>0</v>
      </c>
      <c r="T72" s="1499">
        <f>'Table 8'!T11</f>
        <v>0</v>
      </c>
      <c r="U72" s="1497">
        <f>'Table 8'!U11</f>
        <v>0</v>
      </c>
      <c r="V72" s="1507">
        <f>'Table 8'!V11</f>
        <v>0</v>
      </c>
      <c r="W72" s="1499">
        <f>'Table 8'!W11</f>
        <v>0</v>
      </c>
      <c r="X72" s="1821" t="s">
        <v>16</v>
      </c>
      <c r="Y72" s="1497">
        <f>'Table 8'!Y11</f>
        <v>0</v>
      </c>
      <c r="Z72" s="1507">
        <f>'Table 8'!Z11</f>
        <v>0</v>
      </c>
      <c r="AA72" s="1499">
        <f>'Table 8'!AA11</f>
        <v>0</v>
      </c>
      <c r="AC72" s="1653">
        <f t="shared" si="210"/>
        <v>0</v>
      </c>
    </row>
    <row r="73" spans="1:29" ht="15.75" thickBot="1">
      <c r="A73" s="175" t="s">
        <v>65</v>
      </c>
      <c r="B73" s="1489" t="s">
        <v>17</v>
      </c>
      <c r="C73" s="1922">
        <f>'Table 8'!C12</f>
        <v>0.3</v>
      </c>
      <c r="D73" s="1503">
        <f>'Table 8'!D12</f>
        <v>0</v>
      </c>
      <c r="E73" s="1500">
        <f>'Table 8'!E12</f>
        <v>0.3</v>
      </c>
      <c r="F73" s="1922">
        <f>'Table 8'!F12</f>
        <v>0.3</v>
      </c>
      <c r="G73" s="1503">
        <f>'Table 8'!G12</f>
        <v>0</v>
      </c>
      <c r="H73" s="1500">
        <f>'Table 8'!H12</f>
        <v>0.3</v>
      </c>
      <c r="I73" s="1922">
        <f>'Table 8'!I12</f>
        <v>0.3</v>
      </c>
      <c r="J73" s="1503">
        <f>'Table 8'!J12</f>
        <v>0</v>
      </c>
      <c r="K73" s="1500">
        <f>'Table 8'!K12</f>
        <v>0.3</v>
      </c>
      <c r="L73" s="1922">
        <f>'Table 8'!L12</f>
        <v>0.3</v>
      </c>
      <c r="M73" s="1503">
        <f>'Table 8'!M12</f>
        <v>0</v>
      </c>
      <c r="N73" s="1500">
        <f>'Table 8'!N12</f>
        <v>0.3</v>
      </c>
      <c r="O73" s="1922">
        <f>'Table 8'!O12</f>
        <v>0.3</v>
      </c>
      <c r="P73" s="1503">
        <f>'Table 8'!P12</f>
        <v>0</v>
      </c>
      <c r="Q73" s="1500">
        <f>'Table 8'!Q12</f>
        <v>0.3</v>
      </c>
      <c r="R73" s="1922">
        <f>'Table 8'!R12</f>
        <v>0.3</v>
      </c>
      <c r="S73" s="1503">
        <f>'Table 8'!S12</f>
        <v>0</v>
      </c>
      <c r="T73" s="1500">
        <f>'Table 8'!T12</f>
        <v>0.3</v>
      </c>
      <c r="U73" s="1922">
        <f>'Table 8'!U12</f>
        <v>0.3</v>
      </c>
      <c r="V73" s="1503">
        <f>'Table 8'!V12</f>
        <v>0</v>
      </c>
      <c r="W73" s="1500">
        <f>'Table 8'!W12</f>
        <v>0.3</v>
      </c>
      <c r="X73" s="1819">
        <f t="shared" si="209"/>
        <v>0</v>
      </c>
      <c r="Y73" s="1922">
        <f>'Table 8'!Y12</f>
        <v>0.35</v>
      </c>
      <c r="Z73" s="1503">
        <f>'Table 8'!Z12</f>
        <v>0</v>
      </c>
      <c r="AA73" s="1500">
        <f>'Table 8'!AA12</f>
        <v>0.35</v>
      </c>
      <c r="AC73" s="846">
        <f t="shared" si="210"/>
        <v>0</v>
      </c>
    </row>
    <row r="74" spans="1:29" ht="16.5" thickTop="1" thickBot="1">
      <c r="A74" s="1491" t="s">
        <v>65</v>
      </c>
      <c r="B74" s="1505" t="s">
        <v>18</v>
      </c>
      <c r="C74" s="1498">
        <f>SUM(C72:C73)</f>
        <v>0.3</v>
      </c>
      <c r="D74" s="1504">
        <f t="shared" ref="D74" si="280">SUM(D72:D73)</f>
        <v>0</v>
      </c>
      <c r="E74" s="1501">
        <f t="shared" ref="E74" si="281">SUM(E72:E73)</f>
        <v>0.3</v>
      </c>
      <c r="F74" s="1498">
        <f t="shared" ref="F74" si="282">SUM(F72:F73)</f>
        <v>0.3</v>
      </c>
      <c r="G74" s="1504">
        <f t="shared" ref="G74" si="283">SUM(G72:G73)</f>
        <v>0</v>
      </c>
      <c r="H74" s="1501">
        <f t="shared" ref="H74" si="284">SUM(H72:H73)</f>
        <v>0.3</v>
      </c>
      <c r="I74" s="1498">
        <f t="shared" ref="I74" si="285">SUM(I72:I73)</f>
        <v>0.3</v>
      </c>
      <c r="J74" s="1504">
        <f t="shared" ref="J74" si="286">SUM(J72:J73)</f>
        <v>0</v>
      </c>
      <c r="K74" s="1501">
        <f t="shared" ref="K74" si="287">SUM(K72:K73)</f>
        <v>0.3</v>
      </c>
      <c r="L74" s="1498">
        <f t="shared" ref="L74" si="288">SUM(L72:L73)</f>
        <v>0.3</v>
      </c>
      <c r="M74" s="1504">
        <f t="shared" ref="M74" si="289">SUM(M72:M73)</f>
        <v>0</v>
      </c>
      <c r="N74" s="1501">
        <f t="shared" ref="N74" si="290">SUM(N72:N73)</f>
        <v>0.3</v>
      </c>
      <c r="O74" s="1498">
        <f t="shared" ref="O74" si="291">SUM(O72:O73)</f>
        <v>0.3</v>
      </c>
      <c r="P74" s="1504">
        <f t="shared" ref="P74" si="292">SUM(P72:P73)</f>
        <v>0</v>
      </c>
      <c r="Q74" s="1501">
        <f t="shared" ref="Q74" si="293">SUM(Q72:Q73)</f>
        <v>0.3</v>
      </c>
      <c r="R74" s="1498">
        <f t="shared" ref="R74" si="294">SUM(R72:R73)</f>
        <v>0.3</v>
      </c>
      <c r="S74" s="1504">
        <f t="shared" ref="S74" si="295">SUM(S72:S73)</f>
        <v>0</v>
      </c>
      <c r="T74" s="1501">
        <f t="shared" ref="T74" si="296">SUM(T72:T73)</f>
        <v>0.3</v>
      </c>
      <c r="U74" s="1498">
        <f t="shared" ref="U74" si="297">SUM(U72:U73)</f>
        <v>0.3</v>
      </c>
      <c r="V74" s="1504">
        <f t="shared" ref="V74" si="298">SUM(V72:V73)</f>
        <v>0</v>
      </c>
      <c r="W74" s="1501">
        <f t="shared" ref="W74" si="299">SUM(W72:W73)</f>
        <v>0.3</v>
      </c>
      <c r="X74" s="1514">
        <f t="shared" si="209"/>
        <v>0</v>
      </c>
      <c r="Y74" s="1498">
        <f t="shared" ref="Y74" si="300">SUM(Y72:Y73)</f>
        <v>0.35</v>
      </c>
      <c r="Z74" s="1504">
        <f t="shared" ref="Z74" si="301">SUM(Z72:Z73)</f>
        <v>0</v>
      </c>
      <c r="AA74" s="1501">
        <f t="shared" ref="AA74" si="302">SUM(AA72:AA73)</f>
        <v>0.35</v>
      </c>
      <c r="AC74" s="1823">
        <f t="shared" si="210"/>
        <v>0</v>
      </c>
    </row>
    <row r="75" spans="1:29" ht="15" customHeight="1">
      <c r="A75" s="282" t="s">
        <v>66</v>
      </c>
      <c r="B75" s="1492" t="s">
        <v>15</v>
      </c>
      <c r="C75" s="1497">
        <f>'Table 9'!C11</f>
        <v>0</v>
      </c>
      <c r="D75" s="1507">
        <f>'Table 9'!D11</f>
        <v>0</v>
      </c>
      <c r="E75" s="1499">
        <f>'Table 9'!E11</f>
        <v>0</v>
      </c>
      <c r="F75" s="1497">
        <f>'Table 9'!F11</f>
        <v>0</v>
      </c>
      <c r="G75" s="1507">
        <f>'Table 9'!G11</f>
        <v>0</v>
      </c>
      <c r="H75" s="1499">
        <f>'Table 9'!H11</f>
        <v>0</v>
      </c>
      <c r="I75" s="1497">
        <f>'Table 9'!I11</f>
        <v>0</v>
      </c>
      <c r="J75" s="1507">
        <f>'Table 9'!J11</f>
        <v>0</v>
      </c>
      <c r="K75" s="1499">
        <f>'Table 9'!K11</f>
        <v>0</v>
      </c>
      <c r="L75" s="1497">
        <f>'Table 9'!L11</f>
        <v>0</v>
      </c>
      <c r="M75" s="1507">
        <f>'Table 9'!M11</f>
        <v>0</v>
      </c>
      <c r="N75" s="1499">
        <f>'Table 9'!N11</f>
        <v>0</v>
      </c>
      <c r="O75" s="1497">
        <f>'Table 9'!O11</f>
        <v>0</v>
      </c>
      <c r="P75" s="1507">
        <f>'Table 9'!P11</f>
        <v>0</v>
      </c>
      <c r="Q75" s="1499">
        <f>'Table 9'!Q11</f>
        <v>0</v>
      </c>
      <c r="R75" s="1497">
        <f>'Table 9'!R11</f>
        <v>0</v>
      </c>
      <c r="S75" s="1507">
        <f>'Table 9'!S11</f>
        <v>0</v>
      </c>
      <c r="T75" s="1499">
        <f>'Table 9'!T11</f>
        <v>0</v>
      </c>
      <c r="U75" s="1497">
        <f>'Table 9'!U11</f>
        <v>0</v>
      </c>
      <c r="V75" s="1507">
        <f>'Table 9'!V11</f>
        <v>0</v>
      </c>
      <c r="W75" s="1499">
        <f>'Table 9'!W11</f>
        <v>0</v>
      </c>
      <c r="X75" s="1821" t="s">
        <v>16</v>
      </c>
      <c r="Y75" s="1497">
        <f>U75</f>
        <v>0</v>
      </c>
      <c r="Z75" s="1507">
        <f t="shared" ref="Z75:Z76" si="303">V75</f>
        <v>0</v>
      </c>
      <c r="AA75" s="1499">
        <f t="shared" ref="AA75:AA76" si="304">W75</f>
        <v>0</v>
      </c>
      <c r="AC75" s="1653">
        <f t="shared" si="210"/>
        <v>0</v>
      </c>
    </row>
    <row r="76" spans="1:29" ht="15" customHeight="1" thickBot="1">
      <c r="A76" s="1488" t="s">
        <v>66</v>
      </c>
      <c r="B76" s="1489" t="s">
        <v>17</v>
      </c>
      <c r="C76" s="1922">
        <f>'Table 9'!C12</f>
        <v>1.04</v>
      </c>
      <c r="D76" s="1503">
        <f>'Table 9'!D12</f>
        <v>0</v>
      </c>
      <c r="E76" s="1500">
        <f>'Table 9'!E12</f>
        <v>1.04</v>
      </c>
      <c r="F76" s="1922">
        <f>'Table 9'!F12</f>
        <v>1.06</v>
      </c>
      <c r="G76" s="1503">
        <f>'Table 9'!G12</f>
        <v>0</v>
      </c>
      <c r="H76" s="1500">
        <f>'Table 9'!H12</f>
        <v>1.06</v>
      </c>
      <c r="I76" s="1922">
        <f>'Table 9'!I12</f>
        <v>1.06</v>
      </c>
      <c r="J76" s="1503">
        <f>'Table 9'!J12</f>
        <v>0</v>
      </c>
      <c r="K76" s="1500">
        <f>'Table 9'!K12</f>
        <v>1.06</v>
      </c>
      <c r="L76" s="1922">
        <f>'Table 9'!L12</f>
        <v>1.06</v>
      </c>
      <c r="M76" s="1503">
        <f>'Table 9'!M12</f>
        <v>0</v>
      </c>
      <c r="N76" s="1500">
        <f>'Table 9'!N12</f>
        <v>1.06</v>
      </c>
      <c r="O76" s="1922">
        <f>'Table 9'!O12</f>
        <v>1.06</v>
      </c>
      <c r="P76" s="1503">
        <f>'Table 9'!P12</f>
        <v>0</v>
      </c>
      <c r="Q76" s="1500">
        <f>'Table 9'!Q12</f>
        <v>1.06</v>
      </c>
      <c r="R76" s="1922">
        <f>'Table 9'!R12</f>
        <v>1.06</v>
      </c>
      <c r="S76" s="1503">
        <f>'Table 9'!S12</f>
        <v>0</v>
      </c>
      <c r="T76" s="1500">
        <f>'Table 9'!T12</f>
        <v>1.06</v>
      </c>
      <c r="U76" s="1922">
        <f>'Table 9'!U12</f>
        <v>1.05</v>
      </c>
      <c r="V76" s="1503">
        <f>'Table 9'!V12</f>
        <v>0</v>
      </c>
      <c r="W76" s="1500">
        <f>'Table 9'!W12</f>
        <v>1.05</v>
      </c>
      <c r="X76" s="1819">
        <f t="shared" si="209"/>
        <v>0.01</v>
      </c>
      <c r="Y76" s="1922">
        <f>U76</f>
        <v>1.05</v>
      </c>
      <c r="Z76" s="1503">
        <f t="shared" si="303"/>
        <v>0</v>
      </c>
      <c r="AA76" s="1500">
        <f t="shared" si="304"/>
        <v>1.05</v>
      </c>
      <c r="AC76" s="846">
        <f t="shared" si="210"/>
        <v>0.01</v>
      </c>
    </row>
    <row r="77" spans="1:29" ht="27.75" thickTop="1" thickBot="1">
      <c r="A77" s="1490" t="s">
        <v>66</v>
      </c>
      <c r="B77" s="1505" t="s">
        <v>18</v>
      </c>
      <c r="C77" s="1498">
        <f>SUM(C75:C76)</f>
        <v>1.04</v>
      </c>
      <c r="D77" s="1504">
        <f t="shared" ref="D77" si="305">SUM(D75:D76)</f>
        <v>0</v>
      </c>
      <c r="E77" s="1501">
        <f t="shared" ref="E77" si="306">SUM(E75:E76)</f>
        <v>1.04</v>
      </c>
      <c r="F77" s="1498">
        <f t="shared" ref="F77" si="307">SUM(F75:F76)</f>
        <v>1.06</v>
      </c>
      <c r="G77" s="1504">
        <f t="shared" ref="G77" si="308">SUM(G75:G76)</f>
        <v>0</v>
      </c>
      <c r="H77" s="1501">
        <f t="shared" ref="H77" si="309">SUM(H75:H76)</f>
        <v>1.06</v>
      </c>
      <c r="I77" s="1498">
        <f t="shared" ref="I77" si="310">SUM(I75:I76)</f>
        <v>1.06</v>
      </c>
      <c r="J77" s="1504">
        <f t="shared" ref="J77" si="311">SUM(J75:J76)</f>
        <v>0</v>
      </c>
      <c r="K77" s="1501">
        <f t="shared" ref="K77" si="312">SUM(K75:K76)</f>
        <v>1.06</v>
      </c>
      <c r="L77" s="1498">
        <f t="shared" ref="L77" si="313">SUM(L75:L76)</f>
        <v>1.06</v>
      </c>
      <c r="M77" s="1504">
        <f t="shared" ref="M77" si="314">SUM(M75:M76)</f>
        <v>0</v>
      </c>
      <c r="N77" s="1501">
        <f t="shared" ref="N77" si="315">SUM(N75:N76)</f>
        <v>1.06</v>
      </c>
      <c r="O77" s="1498">
        <f t="shared" ref="O77" si="316">SUM(O75:O76)</f>
        <v>1.06</v>
      </c>
      <c r="P77" s="1504">
        <f t="shared" ref="P77" si="317">SUM(P75:P76)</f>
        <v>0</v>
      </c>
      <c r="Q77" s="1501">
        <f t="shared" ref="Q77" si="318">SUM(Q75:Q76)</f>
        <v>1.06</v>
      </c>
      <c r="R77" s="1498">
        <f t="shared" ref="R77" si="319">SUM(R75:R76)</f>
        <v>1.06</v>
      </c>
      <c r="S77" s="1504">
        <f t="shared" ref="S77" si="320">SUM(S75:S76)</f>
        <v>0</v>
      </c>
      <c r="T77" s="1501">
        <f t="shared" ref="T77" si="321">SUM(T75:T76)</f>
        <v>1.06</v>
      </c>
      <c r="U77" s="1498">
        <f t="shared" ref="U77" si="322">SUM(U75:U76)</f>
        <v>1.05</v>
      </c>
      <c r="V77" s="1504">
        <f t="shared" ref="V77" si="323">SUM(V75:V76)</f>
        <v>0</v>
      </c>
      <c r="W77" s="1501">
        <f t="shared" ref="W77" si="324">SUM(W75:W76)</f>
        <v>1.05</v>
      </c>
      <c r="X77" s="1514">
        <f t="shared" si="209"/>
        <v>0.01</v>
      </c>
      <c r="Y77" s="1498">
        <f t="shared" ref="Y77" si="325">SUM(Y75:Y76)</f>
        <v>1.05</v>
      </c>
      <c r="Z77" s="1504">
        <f t="shared" ref="Z77" si="326">SUM(Z75:Z76)</f>
        <v>0</v>
      </c>
      <c r="AA77" s="1501">
        <f t="shared" ref="AA77" si="327">SUM(AA75:AA76)</f>
        <v>1.05</v>
      </c>
      <c r="AC77" s="1823">
        <f t="shared" si="210"/>
        <v>0.01</v>
      </c>
    </row>
    <row r="78" spans="1:29">
      <c r="A78" s="1493" t="s">
        <v>67</v>
      </c>
      <c r="B78" s="1492" t="s">
        <v>15</v>
      </c>
      <c r="C78" s="1497">
        <f>'Table 10'!C11</f>
        <v>0</v>
      </c>
      <c r="D78" s="1507">
        <f>'Table 10'!D11</f>
        <v>0</v>
      </c>
      <c r="E78" s="1499">
        <f>'Table 10'!E11</f>
        <v>0</v>
      </c>
      <c r="F78" s="1497">
        <f>'Table 10'!F11</f>
        <v>0</v>
      </c>
      <c r="G78" s="1507">
        <f>'Table 10'!G11</f>
        <v>0</v>
      </c>
      <c r="H78" s="1499">
        <f>'Table 10'!H11</f>
        <v>0</v>
      </c>
      <c r="I78" s="1497">
        <f>'Table 10'!I11</f>
        <v>0</v>
      </c>
      <c r="J78" s="1507">
        <f>'Table 10'!J11</f>
        <v>0</v>
      </c>
      <c r="K78" s="1499">
        <f>'Table 10'!K11</f>
        <v>0</v>
      </c>
      <c r="L78" s="1497">
        <f>'Table 10'!L11</f>
        <v>0</v>
      </c>
      <c r="M78" s="1507">
        <f>'Table 10'!M11</f>
        <v>0</v>
      </c>
      <c r="N78" s="1499">
        <f>'Table 10'!N11</f>
        <v>0</v>
      </c>
      <c r="O78" s="1497">
        <f>'Table 10'!O11</f>
        <v>0</v>
      </c>
      <c r="P78" s="1507">
        <f>'Table 10'!P11</f>
        <v>0</v>
      </c>
      <c r="Q78" s="1499">
        <f>'Table 10'!Q11</f>
        <v>0</v>
      </c>
      <c r="R78" s="1497">
        <f>'Table 10'!R11</f>
        <v>0</v>
      </c>
      <c r="S78" s="1507">
        <f>'Table 10'!S11</f>
        <v>0</v>
      </c>
      <c r="T78" s="1499">
        <f>'Table 10'!T11</f>
        <v>0</v>
      </c>
      <c r="U78" s="1497">
        <f>'Table 10'!U11</f>
        <v>0</v>
      </c>
      <c r="V78" s="1507">
        <f>'Table 10'!V11</f>
        <v>0</v>
      </c>
      <c r="W78" s="1499">
        <f>'Table 10'!W11</f>
        <v>0</v>
      </c>
      <c r="X78" s="1821" t="s">
        <v>16</v>
      </c>
      <c r="Y78" s="1497">
        <f>U78</f>
        <v>0</v>
      </c>
      <c r="Z78" s="1507">
        <f t="shared" ref="Z78:Z79" si="328">V78</f>
        <v>0</v>
      </c>
      <c r="AA78" s="1499">
        <f t="shared" ref="AA78:AA79" si="329">W78</f>
        <v>0</v>
      </c>
      <c r="AC78" s="1653">
        <f t="shared" si="210"/>
        <v>0</v>
      </c>
    </row>
    <row r="79" spans="1:29" ht="15.75" thickBot="1">
      <c r="A79" s="175" t="s">
        <v>67</v>
      </c>
      <c r="B79" s="1489" t="s">
        <v>17</v>
      </c>
      <c r="C79" s="1922">
        <f>'Table 10'!C12</f>
        <v>0</v>
      </c>
      <c r="D79" s="1503">
        <f>'Table 10'!D12</f>
        <v>0</v>
      </c>
      <c r="E79" s="1500">
        <f>'Table 10'!E12</f>
        <v>0</v>
      </c>
      <c r="F79" s="1922">
        <f>'Table 10'!F12</f>
        <v>0</v>
      </c>
      <c r="G79" s="1503">
        <f>'Table 10'!G12</f>
        <v>0</v>
      </c>
      <c r="H79" s="1500">
        <f>'Table 10'!H12</f>
        <v>0</v>
      </c>
      <c r="I79" s="1922">
        <f>'Table 10'!I12</f>
        <v>0</v>
      </c>
      <c r="J79" s="1503">
        <f>'Table 10'!J12</f>
        <v>0</v>
      </c>
      <c r="K79" s="1500">
        <f>'Table 10'!K12</f>
        <v>0</v>
      </c>
      <c r="L79" s="1922">
        <f>'Table 10'!L12</f>
        <v>0</v>
      </c>
      <c r="M79" s="1503">
        <f>'Table 10'!M12</f>
        <v>0</v>
      </c>
      <c r="N79" s="1500">
        <f>'Table 10'!N12</f>
        <v>0</v>
      </c>
      <c r="O79" s="1922">
        <f>'Table 10'!O12</f>
        <v>0</v>
      </c>
      <c r="P79" s="1503">
        <f>'Table 10'!P12</f>
        <v>0</v>
      </c>
      <c r="Q79" s="1500">
        <f>'Table 10'!Q12</f>
        <v>0</v>
      </c>
      <c r="R79" s="1922">
        <f>'Table 10'!R12</f>
        <v>0</v>
      </c>
      <c r="S79" s="1503">
        <f>'Table 10'!S12</f>
        <v>0</v>
      </c>
      <c r="T79" s="1500">
        <f>'Table 10'!T12</f>
        <v>0</v>
      </c>
      <c r="U79" s="1922">
        <f>'Table 10'!U12</f>
        <v>0</v>
      </c>
      <c r="V79" s="1503">
        <f>'Table 10'!V12</f>
        <v>0</v>
      </c>
      <c r="W79" s="1500">
        <f>'Table 10'!W12</f>
        <v>0</v>
      </c>
      <c r="X79" s="1820" t="s">
        <v>16</v>
      </c>
      <c r="Y79" s="1922">
        <f>U79</f>
        <v>0</v>
      </c>
      <c r="Z79" s="1503">
        <f t="shared" si="328"/>
        <v>0</v>
      </c>
      <c r="AA79" s="1500">
        <f t="shared" si="329"/>
        <v>0</v>
      </c>
      <c r="AC79" s="846">
        <f t="shared" si="210"/>
        <v>0</v>
      </c>
    </row>
    <row r="80" spans="1:29" ht="16.5" thickTop="1" thickBot="1">
      <c r="A80" s="1491" t="s">
        <v>67</v>
      </c>
      <c r="B80" s="1505" t="s">
        <v>18</v>
      </c>
      <c r="C80" s="1498">
        <f>SUM(C78:C79)</f>
        <v>0</v>
      </c>
      <c r="D80" s="1504">
        <f t="shared" ref="D80" si="330">SUM(D78:D79)</f>
        <v>0</v>
      </c>
      <c r="E80" s="1501">
        <f t="shared" ref="E80" si="331">SUM(E78:E79)</f>
        <v>0</v>
      </c>
      <c r="F80" s="1498">
        <f t="shared" ref="F80" si="332">SUM(F78:F79)</f>
        <v>0</v>
      </c>
      <c r="G80" s="1504">
        <f t="shared" ref="G80" si="333">SUM(G78:G79)</f>
        <v>0</v>
      </c>
      <c r="H80" s="1501">
        <f t="shared" ref="H80" si="334">SUM(H78:H79)</f>
        <v>0</v>
      </c>
      <c r="I80" s="1498">
        <f t="shared" ref="I80" si="335">SUM(I78:I79)</f>
        <v>0</v>
      </c>
      <c r="J80" s="1504">
        <f t="shared" ref="J80" si="336">SUM(J78:J79)</f>
        <v>0</v>
      </c>
      <c r="K80" s="1501">
        <f t="shared" ref="K80" si="337">SUM(K78:K79)</f>
        <v>0</v>
      </c>
      <c r="L80" s="1498">
        <f t="shared" ref="L80" si="338">SUM(L78:L79)</f>
        <v>0</v>
      </c>
      <c r="M80" s="1504">
        <f t="shared" ref="M80" si="339">SUM(M78:M79)</f>
        <v>0</v>
      </c>
      <c r="N80" s="1501">
        <f t="shared" ref="N80" si="340">SUM(N78:N79)</f>
        <v>0</v>
      </c>
      <c r="O80" s="1498">
        <f t="shared" ref="O80" si="341">SUM(O78:O79)</f>
        <v>0</v>
      </c>
      <c r="P80" s="1504">
        <f t="shared" ref="P80" si="342">SUM(P78:P79)</f>
        <v>0</v>
      </c>
      <c r="Q80" s="1501">
        <f t="shared" ref="Q80" si="343">SUM(Q78:Q79)</f>
        <v>0</v>
      </c>
      <c r="R80" s="1498">
        <f t="shared" ref="R80" si="344">SUM(R78:R79)</f>
        <v>0</v>
      </c>
      <c r="S80" s="1504">
        <f t="shared" ref="S80" si="345">SUM(S78:S79)</f>
        <v>0</v>
      </c>
      <c r="T80" s="1501">
        <f t="shared" ref="T80" si="346">SUM(T78:T79)</f>
        <v>0</v>
      </c>
      <c r="U80" s="1498">
        <f t="shared" ref="U80" si="347">SUM(U78:U79)</f>
        <v>0</v>
      </c>
      <c r="V80" s="1504">
        <f t="shared" ref="V80" si="348">SUM(V78:V79)</f>
        <v>0</v>
      </c>
      <c r="W80" s="1501">
        <f t="shared" ref="W80" si="349">SUM(W78:W79)</f>
        <v>0</v>
      </c>
      <c r="X80" s="1533" t="s">
        <v>16</v>
      </c>
      <c r="Y80" s="1498">
        <f t="shared" ref="Y80" si="350">SUM(Y78:Y79)</f>
        <v>0</v>
      </c>
      <c r="Z80" s="1504">
        <f t="shared" ref="Z80" si="351">SUM(Z78:Z79)</f>
        <v>0</v>
      </c>
      <c r="AA80" s="1501">
        <f t="shared" ref="AA80" si="352">SUM(AA78:AA79)</f>
        <v>0</v>
      </c>
      <c r="AC80" s="1823">
        <f t="shared" si="210"/>
        <v>0</v>
      </c>
    </row>
    <row r="81" spans="1:29" ht="15.75" thickBot="1">
      <c r="A81" s="1494" t="s">
        <v>696</v>
      </c>
      <c r="B81" s="1506" t="s">
        <v>15</v>
      </c>
      <c r="C81" s="1508">
        <f>C63+C66+C69+C72+C75+C78</f>
        <v>0.32</v>
      </c>
      <c r="D81" s="1536">
        <f t="shared" ref="D81:W81" si="353">D63+D66+D69+D72+D75+D78</f>
        <v>0</v>
      </c>
      <c r="E81" s="1534">
        <f t="shared" si="353"/>
        <v>0.32</v>
      </c>
      <c r="F81" s="1508">
        <f t="shared" si="353"/>
        <v>0.22</v>
      </c>
      <c r="G81" s="1536">
        <f t="shared" si="353"/>
        <v>0</v>
      </c>
      <c r="H81" s="1534">
        <f t="shared" si="353"/>
        <v>0.22</v>
      </c>
      <c r="I81" s="1508">
        <f t="shared" si="353"/>
        <v>0.26</v>
      </c>
      <c r="J81" s="1536">
        <f t="shared" si="353"/>
        <v>0</v>
      </c>
      <c r="K81" s="1534">
        <f t="shared" si="353"/>
        <v>0.26</v>
      </c>
      <c r="L81" s="1508">
        <f t="shared" si="353"/>
        <v>0.28000000000000003</v>
      </c>
      <c r="M81" s="1536">
        <f t="shared" si="353"/>
        <v>0</v>
      </c>
      <c r="N81" s="1534">
        <f t="shared" si="353"/>
        <v>0.28000000000000003</v>
      </c>
      <c r="O81" s="1508">
        <f t="shared" si="353"/>
        <v>0.28000000000000003</v>
      </c>
      <c r="P81" s="1536">
        <f t="shared" si="353"/>
        <v>0</v>
      </c>
      <c r="Q81" s="1534">
        <f t="shared" si="353"/>
        <v>0.28000000000000003</v>
      </c>
      <c r="R81" s="1508">
        <f t="shared" si="353"/>
        <v>0.28999999999999998</v>
      </c>
      <c r="S81" s="1536">
        <f t="shared" si="353"/>
        <v>0</v>
      </c>
      <c r="T81" s="1534">
        <f t="shared" si="353"/>
        <v>0.28999999999999998</v>
      </c>
      <c r="U81" s="1508">
        <f t="shared" si="353"/>
        <v>0.31</v>
      </c>
      <c r="V81" s="1536">
        <f t="shared" si="353"/>
        <v>0</v>
      </c>
      <c r="W81" s="1534">
        <f t="shared" si="353"/>
        <v>0.31</v>
      </c>
      <c r="X81" s="1515">
        <f t="shared" si="209"/>
        <v>-0.03</v>
      </c>
      <c r="Y81" s="1508">
        <f t="shared" ref="Y81:AA81" si="354">Y63+Y66+Y69+Y72+Y75+Y78</f>
        <v>0.33</v>
      </c>
      <c r="Z81" s="1536">
        <f t="shared" si="354"/>
        <v>0</v>
      </c>
      <c r="AA81" s="1509">
        <f t="shared" si="354"/>
        <v>0.33</v>
      </c>
      <c r="AC81" s="1824">
        <f t="shared" si="210"/>
        <v>-0.01</v>
      </c>
    </row>
    <row r="82" spans="1:29" ht="15.75" thickBot="1">
      <c r="A82" s="1495" t="s">
        <v>696</v>
      </c>
      <c r="B82" s="1489" t="s">
        <v>17</v>
      </c>
      <c r="C82" s="1510">
        <f>C64+C67+C70+C73+C76+C79</f>
        <v>4.71</v>
      </c>
      <c r="D82" s="1537">
        <f t="shared" ref="D82:W82" si="355">D64+D67+D70+D73+D76+D79</f>
        <v>0</v>
      </c>
      <c r="E82" s="1535">
        <f t="shared" si="355"/>
        <v>4.71</v>
      </c>
      <c r="F82" s="1510">
        <f t="shared" si="355"/>
        <v>4.8600000000000003</v>
      </c>
      <c r="G82" s="1537">
        <f t="shared" si="355"/>
        <v>0</v>
      </c>
      <c r="H82" s="1535">
        <f t="shared" si="355"/>
        <v>4.8600000000000003</v>
      </c>
      <c r="I82" s="1510">
        <f t="shared" si="355"/>
        <v>4.84</v>
      </c>
      <c r="J82" s="1537">
        <f t="shared" si="355"/>
        <v>0</v>
      </c>
      <c r="K82" s="1535">
        <f t="shared" si="355"/>
        <v>4.84</v>
      </c>
      <c r="L82" s="1510">
        <f t="shared" si="355"/>
        <v>4.84</v>
      </c>
      <c r="M82" s="1537">
        <f t="shared" si="355"/>
        <v>0</v>
      </c>
      <c r="N82" s="1535">
        <f t="shared" si="355"/>
        <v>4.84</v>
      </c>
      <c r="O82" s="1510">
        <f t="shared" si="355"/>
        <v>4.87</v>
      </c>
      <c r="P82" s="1537">
        <f t="shared" si="355"/>
        <v>0</v>
      </c>
      <c r="Q82" s="1535">
        <f t="shared" si="355"/>
        <v>4.87</v>
      </c>
      <c r="R82" s="1510">
        <f t="shared" si="355"/>
        <v>4.87</v>
      </c>
      <c r="S82" s="1537">
        <f t="shared" si="355"/>
        <v>0</v>
      </c>
      <c r="T82" s="1535">
        <f t="shared" si="355"/>
        <v>4.87</v>
      </c>
      <c r="U82" s="1510">
        <f t="shared" si="355"/>
        <v>4.8499999999999996</v>
      </c>
      <c r="V82" s="1537">
        <f t="shared" si="355"/>
        <v>0</v>
      </c>
      <c r="W82" s="1535">
        <f t="shared" si="355"/>
        <v>4.8499999999999996</v>
      </c>
      <c r="X82" s="1516">
        <f t="shared" si="209"/>
        <v>0.03</v>
      </c>
      <c r="Y82" s="1510">
        <f t="shared" ref="Y82:AA82" si="356">Y64+Y67+Y70+Y73+Y76+Y79</f>
        <v>5.47</v>
      </c>
      <c r="Z82" s="1537">
        <f t="shared" si="356"/>
        <v>0</v>
      </c>
      <c r="AA82" s="1511">
        <f t="shared" si="356"/>
        <v>5.47</v>
      </c>
      <c r="AC82" s="1825">
        <f t="shared" si="210"/>
        <v>0.14000000000000001</v>
      </c>
    </row>
    <row r="83" spans="1:29" ht="16.5" thickTop="1" thickBot="1">
      <c r="A83" s="3406" t="s">
        <v>697</v>
      </c>
      <c r="B83" s="3407"/>
      <c r="C83" s="1512">
        <f>C81+C82</f>
        <v>5.03</v>
      </c>
      <c r="D83" s="1538">
        <f t="shared" ref="D83" si="357">D81+D82</f>
        <v>0</v>
      </c>
      <c r="E83" s="1513">
        <f t="shared" ref="E83" si="358">E81+E82</f>
        <v>5.03</v>
      </c>
      <c r="F83" s="1512">
        <f t="shared" ref="F83" si="359">F81+F82</f>
        <v>5.08</v>
      </c>
      <c r="G83" s="1538">
        <f t="shared" ref="G83" si="360">G81+G82</f>
        <v>0</v>
      </c>
      <c r="H83" s="1513">
        <f t="shared" ref="H83" si="361">H81+H82</f>
        <v>5.08</v>
      </c>
      <c r="I83" s="1512">
        <f t="shared" ref="I83" si="362">I81+I82</f>
        <v>5.0999999999999996</v>
      </c>
      <c r="J83" s="1538">
        <f t="shared" ref="J83" si="363">J81+J82</f>
        <v>0</v>
      </c>
      <c r="K83" s="1513">
        <f t="shared" ref="K83" si="364">K81+K82</f>
        <v>5.0999999999999996</v>
      </c>
      <c r="L83" s="1512">
        <f t="shared" ref="L83" si="365">L81+L82</f>
        <v>5.12</v>
      </c>
      <c r="M83" s="1538">
        <f t="shared" ref="M83" si="366">M81+M82</f>
        <v>0</v>
      </c>
      <c r="N83" s="1513">
        <f t="shared" ref="N83" si="367">N81+N82</f>
        <v>5.12</v>
      </c>
      <c r="O83" s="1512">
        <f t="shared" ref="O83" si="368">O81+O82</f>
        <v>5.15</v>
      </c>
      <c r="P83" s="1538">
        <f t="shared" ref="P83" si="369">P81+P82</f>
        <v>0</v>
      </c>
      <c r="Q83" s="1513">
        <f t="shared" ref="Q83" si="370">Q81+Q82</f>
        <v>5.15</v>
      </c>
      <c r="R83" s="1512">
        <f t="shared" ref="R83" si="371">R81+R82</f>
        <v>5.16</v>
      </c>
      <c r="S83" s="1538">
        <f t="shared" ref="S83" si="372">S81+S82</f>
        <v>0</v>
      </c>
      <c r="T83" s="1513">
        <f t="shared" ref="T83" si="373">T81+T82</f>
        <v>5.16</v>
      </c>
      <c r="U83" s="1512">
        <f t="shared" ref="U83" si="374">U81+U82</f>
        <v>5.16</v>
      </c>
      <c r="V83" s="1538">
        <f t="shared" ref="V83" si="375">V81+V82</f>
        <v>0</v>
      </c>
      <c r="W83" s="1513">
        <f t="shared" ref="W83" si="376">W81+W82</f>
        <v>5.16</v>
      </c>
      <c r="X83" s="1517">
        <f t="shared" si="209"/>
        <v>0.03</v>
      </c>
      <c r="Y83" s="1512">
        <f t="shared" ref="Y83" si="377">Y81+Y82</f>
        <v>5.8</v>
      </c>
      <c r="Z83" s="1538">
        <f t="shared" ref="Z83" si="378">Z81+Z82</f>
        <v>0</v>
      </c>
      <c r="AA83" s="1513">
        <f t="shared" ref="AA83" si="379">AA81+AA82</f>
        <v>5.8</v>
      </c>
      <c r="AC83" s="855">
        <f t="shared" si="210"/>
        <v>0.13</v>
      </c>
    </row>
    <row r="84" spans="1:29">
      <c r="A84" s="89" t="s">
        <v>35</v>
      </c>
    </row>
    <row r="85" spans="1:29">
      <c r="A85" s="1" t="s">
        <v>68</v>
      </c>
    </row>
    <row r="86" spans="1:29">
      <c r="A86" s="1" t="s">
        <v>69</v>
      </c>
    </row>
    <row r="88" spans="1:29" ht="15.75" thickBot="1">
      <c r="A88" s="1" t="s">
        <v>698</v>
      </c>
    </row>
    <row r="89" spans="1:29" ht="15.75" customHeight="1" thickBot="1">
      <c r="A89" s="3204" t="s">
        <v>54</v>
      </c>
      <c r="B89" s="3206" t="s">
        <v>2</v>
      </c>
      <c r="C89" s="3261" t="s">
        <v>55</v>
      </c>
      <c r="D89" s="3262"/>
      <c r="E89" s="3263"/>
      <c r="F89" s="3261" t="s">
        <v>56</v>
      </c>
      <c r="G89" s="3262"/>
      <c r="H89" s="3262"/>
      <c r="I89" s="3262"/>
      <c r="J89" s="3262"/>
      <c r="K89" s="3262"/>
      <c r="L89" s="3262"/>
      <c r="M89" s="3262"/>
      <c r="N89" s="3262"/>
      <c r="O89" s="3262"/>
      <c r="P89" s="3262"/>
      <c r="Q89" s="3262"/>
      <c r="R89" s="3262"/>
      <c r="S89" s="3262"/>
      <c r="T89" s="3262"/>
      <c r="U89" s="3262"/>
      <c r="V89" s="3262"/>
      <c r="W89" s="3263"/>
      <c r="X89" s="3255" t="s">
        <v>57</v>
      </c>
      <c r="Y89" s="3261" t="s">
        <v>58</v>
      </c>
      <c r="Z89" s="3262"/>
      <c r="AA89" s="3263"/>
      <c r="AC89" s="3255" t="s">
        <v>80</v>
      </c>
    </row>
    <row r="90" spans="1:29">
      <c r="A90" s="3205"/>
      <c r="B90" s="3207"/>
      <c r="C90" s="3258">
        <v>2015</v>
      </c>
      <c r="D90" s="3264"/>
      <c r="E90" s="3245"/>
      <c r="F90" s="3258">
        <v>2020</v>
      </c>
      <c r="G90" s="3264"/>
      <c r="H90" s="3245"/>
      <c r="I90" s="3258">
        <v>2025</v>
      </c>
      <c r="J90" s="3264"/>
      <c r="K90" s="3245"/>
      <c r="L90" s="3258">
        <v>2030</v>
      </c>
      <c r="M90" s="3264"/>
      <c r="N90" s="3245"/>
      <c r="O90" s="3258">
        <v>2035</v>
      </c>
      <c r="P90" s="3264"/>
      <c r="Q90" s="3245"/>
      <c r="R90" s="3258">
        <v>2040</v>
      </c>
      <c r="S90" s="3264"/>
      <c r="T90" s="3245"/>
      <c r="U90" s="3258">
        <v>2045</v>
      </c>
      <c r="V90" s="3264"/>
      <c r="W90" s="3245"/>
      <c r="X90" s="3256"/>
      <c r="Y90" s="3258">
        <v>2045</v>
      </c>
      <c r="Z90" s="3264"/>
      <c r="AA90" s="3245"/>
      <c r="AC90" s="3256"/>
    </row>
    <row r="91" spans="1:29" ht="15.75" thickBot="1">
      <c r="A91" s="3485"/>
      <c r="B91" s="3208"/>
      <c r="C91" s="1130" t="s">
        <v>60</v>
      </c>
      <c r="D91" s="1128" t="s">
        <v>61</v>
      </c>
      <c r="E91" s="1681" t="s">
        <v>18</v>
      </c>
      <c r="F91" s="1127" t="s">
        <v>60</v>
      </c>
      <c r="G91" s="1131" t="s">
        <v>61</v>
      </c>
      <c r="H91" s="1680" t="s">
        <v>18</v>
      </c>
      <c r="I91" s="1130" t="s">
        <v>60</v>
      </c>
      <c r="J91" s="1128" t="s">
        <v>61</v>
      </c>
      <c r="K91" s="1681" t="s">
        <v>18</v>
      </c>
      <c r="L91" s="1127" t="s">
        <v>60</v>
      </c>
      <c r="M91" s="1131" t="s">
        <v>61</v>
      </c>
      <c r="N91" s="1680" t="s">
        <v>18</v>
      </c>
      <c r="O91" s="1130" t="s">
        <v>60</v>
      </c>
      <c r="P91" s="1128" t="s">
        <v>61</v>
      </c>
      <c r="Q91" s="1681" t="s">
        <v>18</v>
      </c>
      <c r="R91" s="1130" t="s">
        <v>60</v>
      </c>
      <c r="S91" s="1131" t="s">
        <v>61</v>
      </c>
      <c r="T91" s="1680" t="s">
        <v>18</v>
      </c>
      <c r="U91" s="1130" t="s">
        <v>60</v>
      </c>
      <c r="V91" s="1131" t="s">
        <v>61</v>
      </c>
      <c r="W91" s="1680" t="s">
        <v>18</v>
      </c>
      <c r="X91" s="3257"/>
      <c r="Y91" s="1817" t="s">
        <v>60</v>
      </c>
      <c r="Z91" s="1818" t="s">
        <v>61</v>
      </c>
      <c r="AA91" s="1135" t="s">
        <v>18</v>
      </c>
      <c r="AC91" s="3483"/>
    </row>
    <row r="92" spans="1:29">
      <c r="A92" s="993" t="s">
        <v>62</v>
      </c>
      <c r="B92" s="1492" t="s">
        <v>15</v>
      </c>
      <c r="C92" s="1497">
        <f>'Table 4'!J14</f>
        <v>12.89</v>
      </c>
      <c r="D92" s="1507">
        <f>'Table 4'!K14</f>
        <v>0</v>
      </c>
      <c r="E92" s="1499">
        <f>'Table 4'!L14</f>
        <v>12.89</v>
      </c>
      <c r="F92" s="1497">
        <f>'Table 4'!M14</f>
        <v>13.7</v>
      </c>
      <c r="G92" s="1507">
        <f>'Table 4'!N14</f>
        <v>0</v>
      </c>
      <c r="H92" s="1499">
        <f>'Table 4'!O14+'Table 4'!P14</f>
        <v>14.99</v>
      </c>
      <c r="I92" s="1497">
        <f>'Table 4'!Q14</f>
        <v>15.29</v>
      </c>
      <c r="J92" s="1507">
        <f>'Table 4'!R14</f>
        <v>0</v>
      </c>
      <c r="K92" s="1499">
        <f>'Table 4'!S14+'Table 4'!T14</f>
        <v>16.579999999999998</v>
      </c>
      <c r="L92" s="1497">
        <f>'Table 4'!U14</f>
        <v>15.63</v>
      </c>
      <c r="M92" s="1507">
        <f>'Table 4'!V14</f>
        <v>0</v>
      </c>
      <c r="N92" s="1499">
        <f>'Table 4'!W14+'Table 4'!X14</f>
        <v>16.920000000000002</v>
      </c>
      <c r="O92" s="1497">
        <f>'Table 4'!Y14</f>
        <v>16.77</v>
      </c>
      <c r="P92" s="1507">
        <f>'Table 4'!Z14</f>
        <v>0</v>
      </c>
      <c r="Q92" s="1499">
        <f>'Table 4'!AA14+'Table 4'!AB14</f>
        <v>18.059999999999999</v>
      </c>
      <c r="R92" s="1497">
        <f>'Table 4'!AC14</f>
        <v>17.440000000000001</v>
      </c>
      <c r="S92" s="1507">
        <f>'Table 4'!AD14</f>
        <v>0</v>
      </c>
      <c r="T92" s="1499">
        <f>'Table 4'!AE14+'Table 4'!AF14</f>
        <v>18.73</v>
      </c>
      <c r="U92" s="1497">
        <f>'Table 4'!AG14</f>
        <v>18.16</v>
      </c>
      <c r="V92" s="1507">
        <f>'Table 4'!AH14</f>
        <v>0</v>
      </c>
      <c r="W92" s="1499">
        <f>'Table 4'!AI14+'Table 4'!AJ14</f>
        <v>19.600000000000001</v>
      </c>
      <c r="X92" s="1813">
        <f>(W92-E92)/E92</f>
        <v>0.52</v>
      </c>
      <c r="Y92" s="1497">
        <f>'Table 4'!AL14</f>
        <v>19.25</v>
      </c>
      <c r="Z92" s="1507">
        <f>'Table 4'!AM14</f>
        <v>0</v>
      </c>
      <c r="AA92" s="1499">
        <f>'Table 4'!AN14+'Table 4'!AO14</f>
        <v>20.78</v>
      </c>
      <c r="AC92" s="1653">
        <f>W92-E92</f>
        <v>6.71</v>
      </c>
    </row>
    <row r="93" spans="1:29" ht="26.25">
      <c r="A93" s="993" t="s">
        <v>63</v>
      </c>
      <c r="B93" s="1492" t="s">
        <v>15</v>
      </c>
      <c r="C93" s="1497">
        <f>'Table 6'!K14</f>
        <v>6.8</v>
      </c>
      <c r="D93" s="1507">
        <f>'Table 6'!L14</f>
        <v>0</v>
      </c>
      <c r="E93" s="1499">
        <f>'Table 6'!M14</f>
        <v>6.8</v>
      </c>
      <c r="F93" s="1497">
        <f>'Table 6'!N14</f>
        <v>5.0999999999999996</v>
      </c>
      <c r="G93" s="1507">
        <f>'Table 6'!O14</f>
        <v>0</v>
      </c>
      <c r="H93" s="1499">
        <f>'Table 6'!P14</f>
        <v>5.0999999999999996</v>
      </c>
      <c r="I93" s="1497">
        <f>'Table 6'!Q14</f>
        <v>5.61</v>
      </c>
      <c r="J93" s="1507">
        <f>'Table 6'!R14</f>
        <v>0</v>
      </c>
      <c r="K93" s="1499">
        <f>'Table 6'!S14</f>
        <v>5.61</v>
      </c>
      <c r="L93" s="1497">
        <f>'Table 6'!T14</f>
        <v>6.31</v>
      </c>
      <c r="M93" s="1507">
        <f>'Table 6'!U14</f>
        <v>0</v>
      </c>
      <c r="N93" s="1499">
        <f>'Table 6'!V14</f>
        <v>6.31</v>
      </c>
      <c r="O93" s="1497">
        <f>'Table 6'!W14</f>
        <v>6.55</v>
      </c>
      <c r="P93" s="1507">
        <f>'Table 6'!X14</f>
        <v>0</v>
      </c>
      <c r="Q93" s="1499">
        <f>'Table 6'!Y14</f>
        <v>6.55</v>
      </c>
      <c r="R93" s="1497">
        <f>'Table 6'!Z14</f>
        <v>6.75</v>
      </c>
      <c r="S93" s="1507">
        <f>'Table 6'!AA14</f>
        <v>0</v>
      </c>
      <c r="T93" s="1499">
        <f>'Table 6'!AB14</f>
        <v>6.75</v>
      </c>
      <c r="U93" s="1497">
        <f>'Table 6'!AC14</f>
        <v>6.9</v>
      </c>
      <c r="V93" s="1507">
        <f>'Table 6'!AD14</f>
        <v>0</v>
      </c>
      <c r="W93" s="1499">
        <f>'Table 6'!AE14</f>
        <v>6.9</v>
      </c>
      <c r="X93" s="1813">
        <f t="shared" ref="X93:X98" si="380">(W93-E93)/E93</f>
        <v>0.01</v>
      </c>
      <c r="Y93" s="1497">
        <f>'Table 6'!AG14</f>
        <v>7.31</v>
      </c>
      <c r="Z93" s="1507">
        <f>'Table 6'!AH14</f>
        <v>0</v>
      </c>
      <c r="AA93" s="1499">
        <f>'Table 6'!AI14</f>
        <v>7.31</v>
      </c>
      <c r="AC93" s="1653">
        <f t="shared" ref="AC93:AC98" si="381">W93-E93</f>
        <v>0.1</v>
      </c>
    </row>
    <row r="94" spans="1:29">
      <c r="A94" s="798" t="s">
        <v>64</v>
      </c>
      <c r="B94" s="1492" t="s">
        <v>15</v>
      </c>
      <c r="C94" s="1497">
        <f>'Table 7'!C14</f>
        <v>1.1000000000000001</v>
      </c>
      <c r="D94" s="1507">
        <f>'Table 7'!D14</f>
        <v>0.13</v>
      </c>
      <c r="E94" s="1499">
        <f>'Table 7'!E14</f>
        <v>1.23</v>
      </c>
      <c r="F94" s="1497">
        <f>'Table 7'!F14</f>
        <v>1.23</v>
      </c>
      <c r="G94" s="1507">
        <f>'Table 7'!G14</f>
        <v>0.14000000000000001</v>
      </c>
      <c r="H94" s="1499">
        <f>'Table 7'!H14</f>
        <v>1.37</v>
      </c>
      <c r="I94" s="1497">
        <f>'Table 7'!I14</f>
        <v>1.23</v>
      </c>
      <c r="J94" s="1507">
        <f>'Table 7'!J14</f>
        <v>0.15</v>
      </c>
      <c r="K94" s="1499">
        <f>'Table 7'!K14</f>
        <v>1.38</v>
      </c>
      <c r="L94" s="1497">
        <f>'Table 7'!L14</f>
        <v>1.23</v>
      </c>
      <c r="M94" s="1507">
        <f>'Table 7'!M14</f>
        <v>0.15</v>
      </c>
      <c r="N94" s="1499">
        <f>'Table 7'!N14</f>
        <v>1.38</v>
      </c>
      <c r="O94" s="1497">
        <f>'Table 7'!O14</f>
        <v>1.24</v>
      </c>
      <c r="P94" s="1507">
        <f>'Table 7'!P14</f>
        <v>0.15</v>
      </c>
      <c r="Q94" s="1499">
        <f>'Table 7'!Q14</f>
        <v>1.39</v>
      </c>
      <c r="R94" s="1497">
        <f>'Table 7'!R14</f>
        <v>1.26</v>
      </c>
      <c r="S94" s="1507">
        <f>'Table 7'!S14</f>
        <v>0.15</v>
      </c>
      <c r="T94" s="1499">
        <f>'Table 7'!T14</f>
        <v>1.41</v>
      </c>
      <c r="U94" s="1497">
        <f>'Table 7'!U14</f>
        <v>1.28</v>
      </c>
      <c r="V94" s="1507">
        <f>'Table 7'!V14</f>
        <v>0.15</v>
      </c>
      <c r="W94" s="1499">
        <f>'Table 7'!W14</f>
        <v>1.43</v>
      </c>
      <c r="X94" s="1813">
        <f t="shared" si="380"/>
        <v>0.16</v>
      </c>
      <c r="Y94" s="1497">
        <f>'Table 7'!AG14</f>
        <v>1.54</v>
      </c>
      <c r="Z94" s="1507">
        <f>'Table 7'!AH14</f>
        <v>0.18</v>
      </c>
      <c r="AA94" s="1499">
        <f>'Table 7'!AI14</f>
        <v>1.72</v>
      </c>
      <c r="AC94" s="1653">
        <f t="shared" si="381"/>
        <v>0.2</v>
      </c>
    </row>
    <row r="95" spans="1:29">
      <c r="A95" s="798" t="s">
        <v>65</v>
      </c>
      <c r="B95" s="1492" t="s">
        <v>15</v>
      </c>
      <c r="C95" s="1497">
        <f>'Table 8'!C14</f>
        <v>0.21</v>
      </c>
      <c r="D95" s="1507">
        <f>'Table 8'!D14</f>
        <v>0.2</v>
      </c>
      <c r="E95" s="1499">
        <f>'Table 8'!E14</f>
        <v>0.41</v>
      </c>
      <c r="F95" s="1497">
        <f>'Table 8'!F14</f>
        <v>0.23</v>
      </c>
      <c r="G95" s="1507">
        <f>'Table 8'!G14</f>
        <v>0.22</v>
      </c>
      <c r="H95" s="1499">
        <f>'Table 8'!H14</f>
        <v>0.45</v>
      </c>
      <c r="I95" s="1497">
        <f>'Table 8'!I14</f>
        <v>0.26</v>
      </c>
      <c r="J95" s="1507">
        <f>'Table 8'!J14</f>
        <v>0.24</v>
      </c>
      <c r="K95" s="1499">
        <f>'Table 8'!K14</f>
        <v>0.5</v>
      </c>
      <c r="L95" s="1497">
        <f>'Table 8'!L14</f>
        <v>0.28000000000000003</v>
      </c>
      <c r="M95" s="1507">
        <f>'Table 8'!M14</f>
        <v>0.26</v>
      </c>
      <c r="N95" s="1499">
        <f>'Table 8'!N14</f>
        <v>0.54</v>
      </c>
      <c r="O95" s="1497">
        <f>'Table 8'!O14</f>
        <v>0.3</v>
      </c>
      <c r="P95" s="1507">
        <f>'Table 8'!P14</f>
        <v>0.28999999999999998</v>
      </c>
      <c r="Q95" s="1499">
        <f>'Table 8'!Q14</f>
        <v>0.59</v>
      </c>
      <c r="R95" s="1497">
        <f>'Table 8'!R14</f>
        <v>0.32</v>
      </c>
      <c r="S95" s="1507">
        <f>'Table 8'!S14</f>
        <v>0.3</v>
      </c>
      <c r="T95" s="1499">
        <f>'Table 8'!T14</f>
        <v>0.62</v>
      </c>
      <c r="U95" s="1497">
        <f>'Table 8'!U14</f>
        <v>0.33</v>
      </c>
      <c r="V95" s="1507">
        <f>'Table 8'!V14</f>
        <v>0.32</v>
      </c>
      <c r="W95" s="1499">
        <f>'Table 8'!W14</f>
        <v>0.65</v>
      </c>
      <c r="X95" s="1813">
        <f t="shared" si="380"/>
        <v>0.59</v>
      </c>
      <c r="Y95" s="1497">
        <f>'Table 8'!Y14</f>
        <v>0.46</v>
      </c>
      <c r="Z95" s="1507">
        <f>'Table 8'!Z14</f>
        <v>0.44</v>
      </c>
      <c r="AA95" s="1499">
        <f>'Table 8'!AA14</f>
        <v>0.9</v>
      </c>
      <c r="AC95" s="1653">
        <f t="shared" si="381"/>
        <v>0.24</v>
      </c>
    </row>
    <row r="96" spans="1:29" ht="15" customHeight="1">
      <c r="A96" s="798" t="s">
        <v>66</v>
      </c>
      <c r="B96" s="1518" t="s">
        <v>15</v>
      </c>
      <c r="C96" s="1519">
        <f>'Table 9'!C14</f>
        <v>0.31</v>
      </c>
      <c r="D96" s="1520">
        <f>'Table 9'!D14</f>
        <v>0</v>
      </c>
      <c r="E96" s="1521">
        <f>'Table 9'!E14</f>
        <v>0.31</v>
      </c>
      <c r="F96" s="1519">
        <f>'Table 9'!F14</f>
        <v>0.32</v>
      </c>
      <c r="G96" s="1520">
        <f>'Table 9'!G14</f>
        <v>0</v>
      </c>
      <c r="H96" s="1521">
        <f>'Table 9'!H14</f>
        <v>0.32</v>
      </c>
      <c r="I96" s="1519">
        <f>'Table 9'!I14</f>
        <v>0.34</v>
      </c>
      <c r="J96" s="1520">
        <f>'Table 9'!J14</f>
        <v>0</v>
      </c>
      <c r="K96" s="1521">
        <f>'Table 9'!K14</f>
        <v>0.34</v>
      </c>
      <c r="L96" s="1519">
        <f>'Table 9'!L14</f>
        <v>0.35</v>
      </c>
      <c r="M96" s="1520">
        <f>'Table 9'!M14</f>
        <v>0</v>
      </c>
      <c r="N96" s="1521">
        <f>'Table 9'!N14</f>
        <v>0.35</v>
      </c>
      <c r="O96" s="1519">
        <f>'Table 9'!O14</f>
        <v>0.37</v>
      </c>
      <c r="P96" s="1520">
        <f>'Table 9'!P14</f>
        <v>0</v>
      </c>
      <c r="Q96" s="1521">
        <f>'Table 9'!Q14</f>
        <v>0.37</v>
      </c>
      <c r="R96" s="1519">
        <f>'Table 9'!R14</f>
        <v>0.38</v>
      </c>
      <c r="S96" s="1520">
        <f>'Table 9'!S14</f>
        <v>0</v>
      </c>
      <c r="T96" s="1521">
        <f>'Table 9'!T14</f>
        <v>0.38</v>
      </c>
      <c r="U96" s="1519">
        <f>'Table 9'!U14</f>
        <v>0.39</v>
      </c>
      <c r="V96" s="1520">
        <f>'Table 9'!V14</f>
        <v>0</v>
      </c>
      <c r="W96" s="1521">
        <f>'Table 9'!W14</f>
        <v>0.39</v>
      </c>
      <c r="X96" s="1814">
        <f t="shared" si="380"/>
        <v>0.26</v>
      </c>
      <c r="Y96" s="1519">
        <f>U96</f>
        <v>0.39</v>
      </c>
      <c r="Z96" s="1520">
        <f t="shared" ref="Z96:Z97" si="382">V96</f>
        <v>0</v>
      </c>
      <c r="AA96" s="1521">
        <f t="shared" ref="AA96:AA97" si="383">W96</f>
        <v>0.39</v>
      </c>
      <c r="AC96" s="841">
        <f t="shared" si="381"/>
        <v>0.08</v>
      </c>
    </row>
    <row r="97" spans="1:29" ht="15.75" thickBot="1">
      <c r="A97" s="175" t="s">
        <v>67</v>
      </c>
      <c r="B97" s="1489" t="s">
        <v>15</v>
      </c>
      <c r="C97" s="1522">
        <f>'Table 10'!C14</f>
        <v>0</v>
      </c>
      <c r="D97" s="1523">
        <f>'Table 10'!D14</f>
        <v>0</v>
      </c>
      <c r="E97" s="1524">
        <f>'Table 10'!E14</f>
        <v>0</v>
      </c>
      <c r="F97" s="1522">
        <f>'Table 10'!F14</f>
        <v>0</v>
      </c>
      <c r="G97" s="1523">
        <f>'Table 10'!G14</f>
        <v>0</v>
      </c>
      <c r="H97" s="1524">
        <f>'Table 10'!H14</f>
        <v>0</v>
      </c>
      <c r="I97" s="1522">
        <f>'Table 10'!I14</f>
        <v>0</v>
      </c>
      <c r="J97" s="1523">
        <f>'Table 10'!J14</f>
        <v>0</v>
      </c>
      <c r="K97" s="1524">
        <f>'Table 10'!K14</f>
        <v>0</v>
      </c>
      <c r="L97" s="1522">
        <f>'Table 10'!L14</f>
        <v>0</v>
      </c>
      <c r="M97" s="1523">
        <f>'Table 10'!M14</f>
        <v>0</v>
      </c>
      <c r="N97" s="1524">
        <f>'Table 10'!N14</f>
        <v>0</v>
      </c>
      <c r="O97" s="1522">
        <f>'Table 10'!O14</f>
        <v>0</v>
      </c>
      <c r="P97" s="1523">
        <f>'Table 10'!P14</f>
        <v>0</v>
      </c>
      <c r="Q97" s="1524">
        <f>'Table 10'!Q14</f>
        <v>0</v>
      </c>
      <c r="R97" s="1522">
        <f>'Table 10'!R14</f>
        <v>0</v>
      </c>
      <c r="S97" s="1523">
        <f>'Table 10'!S14</f>
        <v>0</v>
      </c>
      <c r="T97" s="1524">
        <f>'Table 10'!T14</f>
        <v>0</v>
      </c>
      <c r="U97" s="1522">
        <f>'Table 10'!U14</f>
        <v>0</v>
      </c>
      <c r="V97" s="1523">
        <f>'Table 10'!V14</f>
        <v>0</v>
      </c>
      <c r="W97" s="1524">
        <f>'Table 10'!W14</f>
        <v>0</v>
      </c>
      <c r="X97" s="1815" t="s">
        <v>16</v>
      </c>
      <c r="Y97" s="1522">
        <f>U97</f>
        <v>0</v>
      </c>
      <c r="Z97" s="1523">
        <f t="shared" si="382"/>
        <v>0</v>
      </c>
      <c r="AA97" s="1524">
        <f t="shared" si="383"/>
        <v>0</v>
      </c>
      <c r="AC97" s="1822">
        <f t="shared" si="381"/>
        <v>0</v>
      </c>
    </row>
    <row r="98" spans="1:29" ht="16.5" thickTop="1" thickBot="1">
      <c r="A98" s="3481" t="s">
        <v>699</v>
      </c>
      <c r="B98" s="3482"/>
      <c r="C98" s="1512">
        <f t="shared" ref="C98:W98" si="384">C92+C93+C94+C95+C96+C97</f>
        <v>21.31</v>
      </c>
      <c r="D98" s="1538">
        <f t="shared" si="384"/>
        <v>0.33</v>
      </c>
      <c r="E98" s="1513">
        <f t="shared" si="384"/>
        <v>21.64</v>
      </c>
      <c r="F98" s="1512">
        <f t="shared" si="384"/>
        <v>20.58</v>
      </c>
      <c r="G98" s="1538">
        <f t="shared" si="384"/>
        <v>0.36</v>
      </c>
      <c r="H98" s="1513">
        <f t="shared" si="384"/>
        <v>22.23</v>
      </c>
      <c r="I98" s="1512">
        <f t="shared" si="384"/>
        <v>22.73</v>
      </c>
      <c r="J98" s="1538">
        <f t="shared" si="384"/>
        <v>0.39</v>
      </c>
      <c r="K98" s="1513">
        <f t="shared" si="384"/>
        <v>24.41</v>
      </c>
      <c r="L98" s="1512">
        <f t="shared" si="384"/>
        <v>23.8</v>
      </c>
      <c r="M98" s="1538">
        <f t="shared" si="384"/>
        <v>0.41</v>
      </c>
      <c r="N98" s="1513">
        <f t="shared" si="384"/>
        <v>25.5</v>
      </c>
      <c r="O98" s="1512">
        <f t="shared" si="384"/>
        <v>25.23</v>
      </c>
      <c r="P98" s="1538">
        <f t="shared" si="384"/>
        <v>0.44</v>
      </c>
      <c r="Q98" s="1513">
        <f t="shared" si="384"/>
        <v>26.96</v>
      </c>
      <c r="R98" s="1512">
        <f t="shared" si="384"/>
        <v>26.15</v>
      </c>
      <c r="S98" s="1538">
        <f t="shared" si="384"/>
        <v>0.45</v>
      </c>
      <c r="T98" s="1513">
        <f t="shared" si="384"/>
        <v>27.89</v>
      </c>
      <c r="U98" s="1512">
        <f t="shared" si="384"/>
        <v>27.06</v>
      </c>
      <c r="V98" s="1538">
        <f t="shared" si="384"/>
        <v>0.47</v>
      </c>
      <c r="W98" s="1513">
        <f t="shared" si="384"/>
        <v>28.97</v>
      </c>
      <c r="X98" s="1517">
        <f t="shared" si="380"/>
        <v>0.34</v>
      </c>
      <c r="Y98" s="1512">
        <f>Y92+Y93+Y94+Y95+Y96+Y97</f>
        <v>28.95</v>
      </c>
      <c r="Z98" s="1538">
        <f>Z92+Z93+Z94+Z95+Z96+Z97</f>
        <v>0.62</v>
      </c>
      <c r="AA98" s="1513">
        <f>AA92+AA93+AA94+AA95+AA96+AA97</f>
        <v>31.1</v>
      </c>
      <c r="AC98" s="855">
        <f t="shared" si="381"/>
        <v>7.33</v>
      </c>
    </row>
    <row r="99" spans="1:29">
      <c r="A99" s="89" t="s">
        <v>35</v>
      </c>
    </row>
    <row r="100" spans="1:29">
      <c r="A100" s="1" t="s">
        <v>68</v>
      </c>
    </row>
    <row r="101" spans="1:29">
      <c r="A101" s="1" t="s">
        <v>69</v>
      </c>
    </row>
    <row r="102" spans="1:29">
      <c r="A102" s="1" t="s">
        <v>70</v>
      </c>
    </row>
    <row r="104" spans="1:29" ht="15.75" thickBot="1">
      <c r="A104" s="1" t="s">
        <v>700</v>
      </c>
    </row>
    <row r="105" spans="1:29" ht="15.75" customHeight="1" thickBot="1">
      <c r="A105" s="3204" t="s">
        <v>54</v>
      </c>
      <c r="B105" s="3206" t="s">
        <v>2</v>
      </c>
      <c r="C105" s="3261" t="s">
        <v>55</v>
      </c>
      <c r="D105" s="3262"/>
      <c r="E105" s="3263"/>
      <c r="F105" s="3261" t="s">
        <v>56</v>
      </c>
      <c r="G105" s="3262"/>
      <c r="H105" s="3262"/>
      <c r="I105" s="3262"/>
      <c r="J105" s="3262"/>
      <c r="K105" s="3262"/>
      <c r="L105" s="3262"/>
      <c r="M105" s="3262"/>
      <c r="N105" s="3262"/>
      <c r="O105" s="3262"/>
      <c r="P105" s="3262"/>
      <c r="Q105" s="3262"/>
      <c r="R105" s="3262"/>
      <c r="S105" s="3262"/>
      <c r="T105" s="3262"/>
      <c r="U105" s="3262"/>
      <c r="V105" s="3262"/>
      <c r="W105" s="3263"/>
      <c r="X105" s="3255" t="s">
        <v>57</v>
      </c>
      <c r="Y105" s="3261" t="s">
        <v>58</v>
      </c>
      <c r="Z105" s="3262"/>
      <c r="AA105" s="3263"/>
      <c r="AC105" s="3255" t="s">
        <v>80</v>
      </c>
    </row>
    <row r="106" spans="1:29">
      <c r="A106" s="3205"/>
      <c r="B106" s="3207"/>
      <c r="C106" s="3258">
        <v>2015</v>
      </c>
      <c r="D106" s="3264"/>
      <c r="E106" s="3245"/>
      <c r="F106" s="3258">
        <v>2020</v>
      </c>
      <c r="G106" s="3264"/>
      <c r="H106" s="3245"/>
      <c r="I106" s="3258">
        <v>2025</v>
      </c>
      <c r="J106" s="3264"/>
      <c r="K106" s="3245"/>
      <c r="L106" s="3258">
        <v>2030</v>
      </c>
      <c r="M106" s="3264"/>
      <c r="N106" s="3245"/>
      <c r="O106" s="3258">
        <v>2035</v>
      </c>
      <c r="P106" s="3264"/>
      <c r="Q106" s="3245"/>
      <c r="R106" s="3258">
        <v>2040</v>
      </c>
      <c r="S106" s="3264"/>
      <c r="T106" s="3245"/>
      <c r="U106" s="3258">
        <v>2045</v>
      </c>
      <c r="V106" s="3264"/>
      <c r="W106" s="3245"/>
      <c r="X106" s="3256"/>
      <c r="Y106" s="3258">
        <v>2045</v>
      </c>
      <c r="Z106" s="3264"/>
      <c r="AA106" s="3245"/>
      <c r="AC106" s="3256"/>
    </row>
    <row r="107" spans="1:29" ht="15.75" thickBot="1">
      <c r="A107" s="3485"/>
      <c r="B107" s="3208"/>
      <c r="C107" s="1130" t="s">
        <v>60</v>
      </c>
      <c r="D107" s="1128" t="s">
        <v>61</v>
      </c>
      <c r="E107" s="1681" t="s">
        <v>18</v>
      </c>
      <c r="F107" s="1127" t="s">
        <v>60</v>
      </c>
      <c r="G107" s="1131" t="s">
        <v>61</v>
      </c>
      <c r="H107" s="1680" t="s">
        <v>18</v>
      </c>
      <c r="I107" s="1130" t="s">
        <v>60</v>
      </c>
      <c r="J107" s="1128" t="s">
        <v>61</v>
      </c>
      <c r="K107" s="1681" t="s">
        <v>18</v>
      </c>
      <c r="L107" s="1127" t="s">
        <v>60</v>
      </c>
      <c r="M107" s="1131" t="s">
        <v>61</v>
      </c>
      <c r="N107" s="1680" t="s">
        <v>18</v>
      </c>
      <c r="O107" s="1130" t="s">
        <v>60</v>
      </c>
      <c r="P107" s="1128" t="s">
        <v>61</v>
      </c>
      <c r="Q107" s="1681" t="s">
        <v>18</v>
      </c>
      <c r="R107" s="1130" t="s">
        <v>60</v>
      </c>
      <c r="S107" s="1131" t="s">
        <v>61</v>
      </c>
      <c r="T107" s="1680" t="s">
        <v>18</v>
      </c>
      <c r="U107" s="1130" t="s">
        <v>60</v>
      </c>
      <c r="V107" s="1131" t="s">
        <v>61</v>
      </c>
      <c r="W107" s="1680" t="s">
        <v>18</v>
      </c>
      <c r="X107" s="3257"/>
      <c r="Y107" s="1817" t="s">
        <v>60</v>
      </c>
      <c r="Z107" s="1818" t="s">
        <v>61</v>
      </c>
      <c r="AA107" s="1135" t="s">
        <v>18</v>
      </c>
      <c r="AC107" s="3483"/>
    </row>
    <row r="108" spans="1:29">
      <c r="A108" s="993" t="s">
        <v>62</v>
      </c>
      <c r="B108" s="1492" t="s">
        <v>17</v>
      </c>
      <c r="C108" s="1497">
        <f>'Table 4'!J15</f>
        <v>3.32</v>
      </c>
      <c r="D108" s="1507">
        <f>'Table 4'!K15</f>
        <v>0</v>
      </c>
      <c r="E108" s="1499">
        <f>'Table 4'!L15</f>
        <v>3.32</v>
      </c>
      <c r="F108" s="1497">
        <f>'Table 4'!M15</f>
        <v>3.47</v>
      </c>
      <c r="G108" s="1507">
        <f>'Table 4'!N15</f>
        <v>0</v>
      </c>
      <c r="H108" s="1499">
        <f>'Table 4'!O15</f>
        <v>3.47</v>
      </c>
      <c r="I108" s="1497">
        <f>'Table 4'!Q15</f>
        <v>3.58</v>
      </c>
      <c r="J108" s="1507">
        <f>'Table 4'!R15</f>
        <v>0</v>
      </c>
      <c r="K108" s="1499">
        <f>'Table 4'!S15</f>
        <v>3.58</v>
      </c>
      <c r="L108" s="1497">
        <f>'Table 4'!U15</f>
        <v>3.68</v>
      </c>
      <c r="M108" s="1507">
        <f>'Table 4'!V15</f>
        <v>0</v>
      </c>
      <c r="N108" s="1499">
        <f>'Table 4'!W15</f>
        <v>3.68</v>
      </c>
      <c r="O108" s="1497">
        <f>'Table 4'!Y15</f>
        <v>3.78</v>
      </c>
      <c r="P108" s="1507">
        <f>'Table 4'!Z15</f>
        <v>0</v>
      </c>
      <c r="Q108" s="1499">
        <f>'Table 4'!AA15</f>
        <v>3.78</v>
      </c>
      <c r="R108" s="1497">
        <f>'Table 4'!AC15</f>
        <v>3.89</v>
      </c>
      <c r="S108" s="1507">
        <f>'Table 4'!AD15</f>
        <v>0</v>
      </c>
      <c r="T108" s="1499">
        <f>'Table 4'!AE15</f>
        <v>3.89</v>
      </c>
      <c r="U108" s="1497">
        <f>'Table 4'!AG15</f>
        <v>4</v>
      </c>
      <c r="V108" s="1507">
        <f>'Table 4'!AH15</f>
        <v>0</v>
      </c>
      <c r="W108" s="1499">
        <f>'Table 4'!AI15</f>
        <v>4</v>
      </c>
      <c r="X108" s="1813">
        <f>(W108-E108)/E108</f>
        <v>0.2</v>
      </c>
      <c r="Y108" s="1497">
        <f>'Table 4'!AL15</f>
        <v>4.24</v>
      </c>
      <c r="Z108" s="1507">
        <f>'Table 4'!AM15</f>
        <v>0</v>
      </c>
      <c r="AA108" s="1499">
        <f>'Table 4'!AN15</f>
        <v>4.24</v>
      </c>
      <c r="AC108" s="1653">
        <f>W108-E108</f>
        <v>0.68</v>
      </c>
    </row>
    <row r="109" spans="1:29" ht="26.25">
      <c r="A109" s="993" t="s">
        <v>63</v>
      </c>
      <c r="B109" s="1492" t="s">
        <v>17</v>
      </c>
      <c r="C109" s="1497">
        <f>'Table 6'!K15</f>
        <v>2.65</v>
      </c>
      <c r="D109" s="1507">
        <f>'Table 6'!L15</f>
        <v>0</v>
      </c>
      <c r="E109" s="1499">
        <f>'Table 6'!M15</f>
        <v>2.65</v>
      </c>
      <c r="F109" s="1497">
        <f>'Table 6'!N15</f>
        <v>2.73</v>
      </c>
      <c r="G109" s="1507">
        <f>'Table 6'!O15</f>
        <v>0</v>
      </c>
      <c r="H109" s="1499">
        <f>'Table 6'!P15</f>
        <v>2.73</v>
      </c>
      <c r="I109" s="1497">
        <f>'Table 6'!Q15</f>
        <v>2.86</v>
      </c>
      <c r="J109" s="1507">
        <f>'Table 6'!R15</f>
        <v>0</v>
      </c>
      <c r="K109" s="1499">
        <f>'Table 6'!S15</f>
        <v>2.86</v>
      </c>
      <c r="L109" s="1497">
        <f>'Table 6'!T15</f>
        <v>2.97</v>
      </c>
      <c r="M109" s="1507">
        <f>'Table 6'!U15</f>
        <v>0</v>
      </c>
      <c r="N109" s="1499">
        <f>'Table 6'!V15</f>
        <v>2.97</v>
      </c>
      <c r="O109" s="1497">
        <f>'Table 6'!W15</f>
        <v>3.05</v>
      </c>
      <c r="P109" s="1507">
        <f>'Table 6'!X15</f>
        <v>0</v>
      </c>
      <c r="Q109" s="1499">
        <f>'Table 6'!Y15</f>
        <v>3.05</v>
      </c>
      <c r="R109" s="1497">
        <f>'Table 6'!Z15</f>
        <v>3.12</v>
      </c>
      <c r="S109" s="1507">
        <f>'Table 6'!AA15</f>
        <v>0</v>
      </c>
      <c r="T109" s="1499">
        <f>'Table 6'!AB15</f>
        <v>3.12</v>
      </c>
      <c r="U109" s="1497">
        <f>'Table 6'!AC15</f>
        <v>3.18</v>
      </c>
      <c r="V109" s="1507">
        <f>'Table 6'!AD15</f>
        <v>0</v>
      </c>
      <c r="W109" s="1499">
        <f>'Table 6'!AE15</f>
        <v>3.18</v>
      </c>
      <c r="X109" s="1813">
        <f t="shared" ref="X109:X114" si="385">(W109-E109)/E109</f>
        <v>0.2</v>
      </c>
      <c r="Y109" s="1497">
        <f>'Table 6'!AG15</f>
        <v>3.32</v>
      </c>
      <c r="Z109" s="1507">
        <f>'Table 6'!AH15</f>
        <v>0</v>
      </c>
      <c r="AA109" s="1499">
        <f>'Table 6'!AI15</f>
        <v>3.32</v>
      </c>
      <c r="AC109" s="1653">
        <f t="shared" ref="AC109:AC114" si="386">W109-E109</f>
        <v>0.53</v>
      </c>
    </row>
    <row r="110" spans="1:29">
      <c r="A110" s="798" t="s">
        <v>64</v>
      </c>
      <c r="B110" s="1492" t="s">
        <v>17</v>
      </c>
      <c r="C110" s="1497">
        <f>'Table 7'!C15</f>
        <v>4.66</v>
      </c>
      <c r="D110" s="1507">
        <f>'Table 7'!D15</f>
        <v>0</v>
      </c>
      <c r="E110" s="1499">
        <f>'Table 7'!E15</f>
        <v>4.66</v>
      </c>
      <c r="F110" s="1497">
        <f>'Table 7'!F15</f>
        <v>4.34</v>
      </c>
      <c r="G110" s="1507">
        <f>'Table 7'!G15</f>
        <v>0</v>
      </c>
      <c r="H110" s="1499">
        <f>'Table 7'!H15</f>
        <v>4.34</v>
      </c>
      <c r="I110" s="1497">
        <f>'Table 7'!I15</f>
        <v>5.47</v>
      </c>
      <c r="J110" s="1507">
        <f>'Table 7'!J15</f>
        <v>0</v>
      </c>
      <c r="K110" s="1499">
        <f>'Table 7'!K15</f>
        <v>5.47</v>
      </c>
      <c r="L110" s="1497">
        <f>'Table 7'!L15</f>
        <v>6.41</v>
      </c>
      <c r="M110" s="1507">
        <f>'Table 7'!M15</f>
        <v>0</v>
      </c>
      <c r="N110" s="1499">
        <f>'Table 7'!N15</f>
        <v>6.41</v>
      </c>
      <c r="O110" s="1497">
        <f>'Table 7'!O15</f>
        <v>7.35</v>
      </c>
      <c r="P110" s="1507">
        <f>'Table 7'!P15</f>
        <v>0</v>
      </c>
      <c r="Q110" s="1499">
        <f>'Table 7'!Q15</f>
        <v>7.35</v>
      </c>
      <c r="R110" s="1497">
        <f>'Table 7'!R15</f>
        <v>8.49</v>
      </c>
      <c r="S110" s="1507">
        <f>'Table 7'!S15</f>
        <v>0</v>
      </c>
      <c r="T110" s="1499">
        <f>'Table 7'!T15</f>
        <v>8.49</v>
      </c>
      <c r="U110" s="1497">
        <f>'Table 7'!U15</f>
        <v>9.64</v>
      </c>
      <c r="V110" s="1507">
        <f>'Table 7'!V15</f>
        <v>0</v>
      </c>
      <c r="W110" s="1499">
        <f>'Table 7'!W15</f>
        <v>9.64</v>
      </c>
      <c r="X110" s="1813">
        <f t="shared" si="385"/>
        <v>1.07</v>
      </c>
      <c r="Y110" s="1497">
        <f>'Table 7'!AG15</f>
        <v>12.22</v>
      </c>
      <c r="Z110" s="1507">
        <f>'Table 7'!AH15</f>
        <v>0</v>
      </c>
      <c r="AA110" s="1499">
        <f>'Table 7'!AI15</f>
        <v>12.22</v>
      </c>
      <c r="AC110" s="1653">
        <f t="shared" si="386"/>
        <v>4.9800000000000004</v>
      </c>
    </row>
    <row r="111" spans="1:29">
      <c r="A111" s="798" t="s">
        <v>65</v>
      </c>
      <c r="B111" s="1492" t="s">
        <v>17</v>
      </c>
      <c r="C111" s="1497">
        <f>'Table 8'!C15</f>
        <v>0.73</v>
      </c>
      <c r="D111" s="1507">
        <f>'Table 8'!D15</f>
        <v>0</v>
      </c>
      <c r="E111" s="1499">
        <f>'Table 8'!E15</f>
        <v>0.73</v>
      </c>
      <c r="F111" s="1497">
        <f>'Table 8'!F15</f>
        <v>0.76</v>
      </c>
      <c r="G111" s="1507">
        <f>'Table 8'!G15</f>
        <v>0</v>
      </c>
      <c r="H111" s="1499">
        <f>'Table 8'!H15</f>
        <v>0.76</v>
      </c>
      <c r="I111" s="1497">
        <f>'Table 8'!I15</f>
        <v>0.79</v>
      </c>
      <c r="J111" s="1507">
        <f>'Table 8'!J15</f>
        <v>0</v>
      </c>
      <c r="K111" s="1499">
        <f>'Table 8'!K15</f>
        <v>0.79</v>
      </c>
      <c r="L111" s="1497">
        <f>'Table 8'!L15</f>
        <v>0.82</v>
      </c>
      <c r="M111" s="1507">
        <f>'Table 8'!M15</f>
        <v>0</v>
      </c>
      <c r="N111" s="1499">
        <f>'Table 8'!N15</f>
        <v>0.82</v>
      </c>
      <c r="O111" s="1497">
        <f>'Table 8'!O15</f>
        <v>0.84</v>
      </c>
      <c r="P111" s="1507">
        <f>'Table 8'!P15</f>
        <v>0</v>
      </c>
      <c r="Q111" s="1499">
        <f>'Table 8'!Q15</f>
        <v>0.84</v>
      </c>
      <c r="R111" s="1497">
        <f>'Table 8'!R15</f>
        <v>0.86</v>
      </c>
      <c r="S111" s="1507">
        <f>'Table 8'!S15</f>
        <v>0</v>
      </c>
      <c r="T111" s="1499">
        <f>'Table 8'!T15</f>
        <v>0.86</v>
      </c>
      <c r="U111" s="1497">
        <f>'Table 8'!U15</f>
        <v>0.88</v>
      </c>
      <c r="V111" s="1507">
        <f>'Table 8'!V15</f>
        <v>0</v>
      </c>
      <c r="W111" s="1499">
        <f>'Table 8'!W15</f>
        <v>0.88</v>
      </c>
      <c r="X111" s="1813">
        <f t="shared" si="385"/>
        <v>0.21</v>
      </c>
      <c r="Y111" s="1497">
        <f>'Table 8'!Y15</f>
        <v>0.91</v>
      </c>
      <c r="Z111" s="1507">
        <f>'Table 8'!Z15</f>
        <v>0</v>
      </c>
      <c r="AA111" s="1499">
        <f>'Table 8'!AA15</f>
        <v>0.91</v>
      </c>
      <c r="AC111" s="1653">
        <f t="shared" si="386"/>
        <v>0.15</v>
      </c>
    </row>
    <row r="112" spans="1:29" ht="15" customHeight="1">
      <c r="A112" s="798" t="s">
        <v>66</v>
      </c>
      <c r="B112" s="1518" t="s">
        <v>17</v>
      </c>
      <c r="C112" s="1519">
        <f>'Table 9'!C15</f>
        <v>0.41</v>
      </c>
      <c r="D112" s="1520">
        <f>'Table 9'!D15</f>
        <v>0</v>
      </c>
      <c r="E112" s="1521">
        <f>'Table 9'!E15</f>
        <v>0.41</v>
      </c>
      <c r="F112" s="1519">
        <f>'Table 9'!F15</f>
        <v>0.42</v>
      </c>
      <c r="G112" s="1520">
        <f>'Table 9'!G15</f>
        <v>0</v>
      </c>
      <c r="H112" s="1521">
        <f>'Table 9'!H15</f>
        <v>0.42</v>
      </c>
      <c r="I112" s="1519">
        <f>'Table 9'!I15</f>
        <v>0.44</v>
      </c>
      <c r="J112" s="1520">
        <f>'Table 9'!J15</f>
        <v>0</v>
      </c>
      <c r="K112" s="1521">
        <f>'Table 9'!K15</f>
        <v>0.44</v>
      </c>
      <c r="L112" s="1519">
        <f>'Table 9'!L15</f>
        <v>0.46</v>
      </c>
      <c r="M112" s="1520">
        <f>'Table 9'!M15</f>
        <v>0</v>
      </c>
      <c r="N112" s="1521">
        <f>'Table 9'!N15</f>
        <v>0.46</v>
      </c>
      <c r="O112" s="1519">
        <f>'Table 9'!O15</f>
        <v>0.47</v>
      </c>
      <c r="P112" s="1520">
        <f>'Table 9'!P15</f>
        <v>0</v>
      </c>
      <c r="Q112" s="1521">
        <f>'Table 9'!Q15</f>
        <v>0.47</v>
      </c>
      <c r="R112" s="1519">
        <f>'Table 9'!R15</f>
        <v>0.48</v>
      </c>
      <c r="S112" s="1520">
        <f>'Table 9'!S15</f>
        <v>0</v>
      </c>
      <c r="T112" s="1521">
        <f>'Table 9'!T15</f>
        <v>0.48</v>
      </c>
      <c r="U112" s="1519">
        <f>'Table 9'!U15</f>
        <v>0.49</v>
      </c>
      <c r="V112" s="1520">
        <f>'Table 9'!V15</f>
        <v>0</v>
      </c>
      <c r="W112" s="1521">
        <f>'Table 9'!W15</f>
        <v>0.49</v>
      </c>
      <c r="X112" s="1814">
        <f t="shared" si="385"/>
        <v>0.2</v>
      </c>
      <c r="Y112" s="1519">
        <f>U112</f>
        <v>0.49</v>
      </c>
      <c r="Z112" s="1520">
        <f t="shared" ref="Z112:Z113" si="387">V112</f>
        <v>0</v>
      </c>
      <c r="AA112" s="1521">
        <f t="shared" ref="AA112:AA113" si="388">W112</f>
        <v>0.49</v>
      </c>
      <c r="AC112" s="841">
        <f t="shared" si="386"/>
        <v>0.08</v>
      </c>
    </row>
    <row r="113" spans="1:29" ht="15.75" thickBot="1">
      <c r="A113" s="175" t="s">
        <v>67</v>
      </c>
      <c r="B113" s="1489" t="s">
        <v>17</v>
      </c>
      <c r="C113" s="1522">
        <f>'Table 10'!C15</f>
        <v>0</v>
      </c>
      <c r="D113" s="1523">
        <f>'Table 10'!D15</f>
        <v>0</v>
      </c>
      <c r="E113" s="1524">
        <f>'Table 10'!E15</f>
        <v>0</v>
      </c>
      <c r="F113" s="1522">
        <f>'Table 10'!F15</f>
        <v>0</v>
      </c>
      <c r="G113" s="1523">
        <f>'Table 10'!G15</f>
        <v>0</v>
      </c>
      <c r="H113" s="1524">
        <f>'Table 10'!H15</f>
        <v>0</v>
      </c>
      <c r="I113" s="1522">
        <f>'Table 10'!I15</f>
        <v>0</v>
      </c>
      <c r="J113" s="1523">
        <f>'Table 10'!J15</f>
        <v>0</v>
      </c>
      <c r="K113" s="1524">
        <f>'Table 10'!K15</f>
        <v>0</v>
      </c>
      <c r="L113" s="1522">
        <f>'Table 10'!L15</f>
        <v>0</v>
      </c>
      <c r="M113" s="1523">
        <f>'Table 10'!M15</f>
        <v>0</v>
      </c>
      <c r="N113" s="1524">
        <f>'Table 10'!N15</f>
        <v>0</v>
      </c>
      <c r="O113" s="1522">
        <f>'Table 10'!O15</f>
        <v>0</v>
      </c>
      <c r="P113" s="1523">
        <f>'Table 10'!P15</f>
        <v>0</v>
      </c>
      <c r="Q113" s="1524">
        <f>'Table 10'!Q15</f>
        <v>0</v>
      </c>
      <c r="R113" s="1522">
        <f>'Table 10'!R15</f>
        <v>0</v>
      </c>
      <c r="S113" s="1523">
        <f>'Table 10'!S15</f>
        <v>0</v>
      </c>
      <c r="T113" s="1524">
        <f>'Table 10'!T15</f>
        <v>0</v>
      </c>
      <c r="U113" s="1522">
        <f>'Table 10'!U15</f>
        <v>0</v>
      </c>
      <c r="V113" s="1523">
        <f>'Table 10'!V15</f>
        <v>0</v>
      </c>
      <c r="W113" s="1524">
        <f>'Table 10'!W15</f>
        <v>0</v>
      </c>
      <c r="X113" s="1815" t="s">
        <v>16</v>
      </c>
      <c r="Y113" s="1522">
        <f>U113</f>
        <v>0</v>
      </c>
      <c r="Z113" s="1523">
        <f t="shared" si="387"/>
        <v>0</v>
      </c>
      <c r="AA113" s="1524">
        <f t="shared" si="388"/>
        <v>0</v>
      </c>
      <c r="AC113" s="1822">
        <f t="shared" si="386"/>
        <v>0</v>
      </c>
    </row>
    <row r="114" spans="1:29" ht="16.5" thickTop="1" thickBot="1">
      <c r="A114" s="3481" t="s">
        <v>701</v>
      </c>
      <c r="B114" s="3482"/>
      <c r="C114" s="1512">
        <f t="shared" ref="C114:W114" si="389">C108+C109+C110+C111+C112+C113</f>
        <v>11.77</v>
      </c>
      <c r="D114" s="1538">
        <f t="shared" si="389"/>
        <v>0</v>
      </c>
      <c r="E114" s="1513">
        <f t="shared" si="389"/>
        <v>11.77</v>
      </c>
      <c r="F114" s="1512">
        <f t="shared" si="389"/>
        <v>11.72</v>
      </c>
      <c r="G114" s="1538">
        <f t="shared" si="389"/>
        <v>0</v>
      </c>
      <c r="H114" s="1513">
        <f t="shared" si="389"/>
        <v>11.72</v>
      </c>
      <c r="I114" s="1512">
        <f t="shared" si="389"/>
        <v>13.14</v>
      </c>
      <c r="J114" s="1538">
        <f t="shared" si="389"/>
        <v>0</v>
      </c>
      <c r="K114" s="1513">
        <f t="shared" si="389"/>
        <v>13.14</v>
      </c>
      <c r="L114" s="1512">
        <f t="shared" si="389"/>
        <v>14.34</v>
      </c>
      <c r="M114" s="1538">
        <f t="shared" si="389"/>
        <v>0</v>
      </c>
      <c r="N114" s="1513">
        <f t="shared" si="389"/>
        <v>14.34</v>
      </c>
      <c r="O114" s="1512">
        <f t="shared" si="389"/>
        <v>15.49</v>
      </c>
      <c r="P114" s="1538">
        <f t="shared" si="389"/>
        <v>0</v>
      </c>
      <c r="Q114" s="1513">
        <f t="shared" si="389"/>
        <v>15.49</v>
      </c>
      <c r="R114" s="1512">
        <f t="shared" si="389"/>
        <v>16.84</v>
      </c>
      <c r="S114" s="1538">
        <f t="shared" si="389"/>
        <v>0</v>
      </c>
      <c r="T114" s="1513">
        <f t="shared" si="389"/>
        <v>16.84</v>
      </c>
      <c r="U114" s="1512">
        <f t="shared" si="389"/>
        <v>18.190000000000001</v>
      </c>
      <c r="V114" s="1538">
        <f t="shared" si="389"/>
        <v>0</v>
      </c>
      <c r="W114" s="1513">
        <f t="shared" si="389"/>
        <v>18.190000000000001</v>
      </c>
      <c r="X114" s="1517">
        <f t="shared" si="385"/>
        <v>0.55000000000000004</v>
      </c>
      <c r="Y114" s="1512">
        <f>Y108+Y109+Y110+Y111+Y112+Y113</f>
        <v>21.18</v>
      </c>
      <c r="Z114" s="1538">
        <f>Z108+Z109+Z110+Z111+Z112+Z113</f>
        <v>0</v>
      </c>
      <c r="AA114" s="1513">
        <f>AA108+AA109+AA110+AA111+AA112+AA113</f>
        <v>21.18</v>
      </c>
      <c r="AC114" s="855">
        <f t="shared" si="386"/>
        <v>6.42</v>
      </c>
    </row>
    <row r="115" spans="1:29">
      <c r="A115" s="89" t="s">
        <v>35</v>
      </c>
    </row>
    <row r="116" spans="1:29">
      <c r="A116" s="1" t="s">
        <v>68</v>
      </c>
    </row>
    <row r="117" spans="1:29">
      <c r="A117" s="1" t="s">
        <v>69</v>
      </c>
    </row>
    <row r="119" spans="1:29" ht="15.75" thickBot="1">
      <c r="A119" s="1" t="s">
        <v>702</v>
      </c>
    </row>
    <row r="120" spans="1:29" ht="15.75" customHeight="1" thickBot="1">
      <c r="A120" s="3204" t="s">
        <v>54</v>
      </c>
      <c r="B120" s="3206" t="s">
        <v>2</v>
      </c>
      <c r="C120" s="3261" t="s">
        <v>55</v>
      </c>
      <c r="D120" s="3262"/>
      <c r="E120" s="3263"/>
      <c r="F120" s="3261" t="s">
        <v>56</v>
      </c>
      <c r="G120" s="3262"/>
      <c r="H120" s="3262"/>
      <c r="I120" s="3262"/>
      <c r="J120" s="3262"/>
      <c r="K120" s="3262"/>
      <c r="L120" s="3262"/>
      <c r="M120" s="3262"/>
      <c r="N120" s="3262"/>
      <c r="O120" s="3262"/>
      <c r="P120" s="3262"/>
      <c r="Q120" s="3262"/>
      <c r="R120" s="3262"/>
      <c r="S120" s="3262"/>
      <c r="T120" s="3262"/>
      <c r="U120" s="3262"/>
      <c r="V120" s="3262"/>
      <c r="W120" s="3263"/>
      <c r="X120" s="3255" t="s">
        <v>57</v>
      </c>
      <c r="Y120" s="3261" t="s">
        <v>58</v>
      </c>
      <c r="Z120" s="3262"/>
      <c r="AA120" s="3263"/>
      <c r="AC120" s="3255" t="s">
        <v>80</v>
      </c>
    </row>
    <row r="121" spans="1:29">
      <c r="A121" s="3205"/>
      <c r="B121" s="3207"/>
      <c r="C121" s="3258">
        <v>2015</v>
      </c>
      <c r="D121" s="3264"/>
      <c r="E121" s="3245"/>
      <c r="F121" s="3258">
        <v>2020</v>
      </c>
      <c r="G121" s="3264"/>
      <c r="H121" s="3245"/>
      <c r="I121" s="3258">
        <v>2025</v>
      </c>
      <c r="J121" s="3264"/>
      <c r="K121" s="3245"/>
      <c r="L121" s="3258">
        <v>2030</v>
      </c>
      <c r="M121" s="3264"/>
      <c r="N121" s="3245"/>
      <c r="O121" s="3258">
        <v>2035</v>
      </c>
      <c r="P121" s="3264"/>
      <c r="Q121" s="3245"/>
      <c r="R121" s="3258">
        <v>2040</v>
      </c>
      <c r="S121" s="3264"/>
      <c r="T121" s="3245"/>
      <c r="U121" s="3258">
        <v>2045</v>
      </c>
      <c r="V121" s="3264"/>
      <c r="W121" s="3245"/>
      <c r="X121" s="3256"/>
      <c r="Y121" s="3258">
        <v>2045</v>
      </c>
      <c r="Z121" s="3264"/>
      <c r="AA121" s="3245"/>
      <c r="AC121" s="3256"/>
    </row>
    <row r="122" spans="1:29" ht="15.75" thickBot="1">
      <c r="A122" s="3485"/>
      <c r="B122" s="3208"/>
      <c r="C122" s="1130" t="s">
        <v>60</v>
      </c>
      <c r="D122" s="1128" t="s">
        <v>61</v>
      </c>
      <c r="E122" s="1681" t="s">
        <v>18</v>
      </c>
      <c r="F122" s="1127" t="s">
        <v>60</v>
      </c>
      <c r="G122" s="1131" t="s">
        <v>61</v>
      </c>
      <c r="H122" s="1680" t="s">
        <v>18</v>
      </c>
      <c r="I122" s="1130" t="s">
        <v>60</v>
      </c>
      <c r="J122" s="1128" t="s">
        <v>61</v>
      </c>
      <c r="K122" s="1681" t="s">
        <v>18</v>
      </c>
      <c r="L122" s="1127" t="s">
        <v>60</v>
      </c>
      <c r="M122" s="1131" t="s">
        <v>61</v>
      </c>
      <c r="N122" s="1680" t="s">
        <v>18</v>
      </c>
      <c r="O122" s="1130" t="s">
        <v>60</v>
      </c>
      <c r="P122" s="1128" t="s">
        <v>61</v>
      </c>
      <c r="Q122" s="1681" t="s">
        <v>18</v>
      </c>
      <c r="R122" s="1130" t="s">
        <v>60</v>
      </c>
      <c r="S122" s="1131" t="s">
        <v>61</v>
      </c>
      <c r="T122" s="1680" t="s">
        <v>18</v>
      </c>
      <c r="U122" s="1130" t="s">
        <v>60</v>
      </c>
      <c r="V122" s="1131" t="s">
        <v>61</v>
      </c>
      <c r="W122" s="1680" t="s">
        <v>18</v>
      </c>
      <c r="X122" s="3257"/>
      <c r="Y122" s="1817" t="s">
        <v>60</v>
      </c>
      <c r="Z122" s="1818" t="s">
        <v>61</v>
      </c>
      <c r="AA122" s="1135" t="s">
        <v>18</v>
      </c>
      <c r="AC122" s="3483"/>
    </row>
    <row r="123" spans="1:29">
      <c r="A123" s="993" t="s">
        <v>62</v>
      </c>
      <c r="B123" s="1492" t="s">
        <v>15</v>
      </c>
      <c r="C123" s="1497">
        <f>'Table 4'!J16</f>
        <v>106.52</v>
      </c>
      <c r="D123" s="1507">
        <f>'Table 4'!K16</f>
        <v>0</v>
      </c>
      <c r="E123" s="1499">
        <f>'Table 4'!L16</f>
        <v>106.52</v>
      </c>
      <c r="F123" s="1497">
        <f>'Table 4'!M16</f>
        <v>110.97</v>
      </c>
      <c r="G123" s="1507">
        <f>'Table 4'!N16</f>
        <v>0</v>
      </c>
      <c r="H123" s="1499">
        <f>'Table 4'!O16</f>
        <v>110.97</v>
      </c>
      <c r="I123" s="1497">
        <f>'Table 4'!Q16</f>
        <v>118.59</v>
      </c>
      <c r="J123" s="1507">
        <f>'Table 4'!R16</f>
        <v>0</v>
      </c>
      <c r="K123" s="1499">
        <f>'Table 4'!S16</f>
        <v>118.59</v>
      </c>
      <c r="L123" s="1497">
        <f>'Table 4'!U16</f>
        <v>124.49</v>
      </c>
      <c r="M123" s="1507">
        <f>'Table 4'!V16</f>
        <v>0</v>
      </c>
      <c r="N123" s="1499">
        <f>'Table 4'!W16</f>
        <v>124.49</v>
      </c>
      <c r="O123" s="1497">
        <f>'Table 4'!Y16</f>
        <v>129.65</v>
      </c>
      <c r="P123" s="1507">
        <f>'Table 4'!Z16</f>
        <v>0</v>
      </c>
      <c r="Q123" s="1499">
        <f>'Table 4'!AA16</f>
        <v>129.65</v>
      </c>
      <c r="R123" s="1497">
        <f>'Table 4'!AC16</f>
        <v>133.77000000000001</v>
      </c>
      <c r="S123" s="1507">
        <f>'Table 4'!AD16</f>
        <v>0</v>
      </c>
      <c r="T123" s="1499">
        <f>'Table 4'!AE16</f>
        <v>133.77000000000001</v>
      </c>
      <c r="U123" s="1497">
        <f>'Table 4'!AG16</f>
        <v>137.38</v>
      </c>
      <c r="V123" s="1507">
        <f>'Table 4'!AH16</f>
        <v>0</v>
      </c>
      <c r="W123" s="1499">
        <f>'Table 4'!AI16</f>
        <v>137.38</v>
      </c>
      <c r="X123" s="1813">
        <f>(W123-E123)/E123</f>
        <v>0.28999999999999998</v>
      </c>
      <c r="Y123" s="1497">
        <f>'Table 4'!AL16</f>
        <v>145.62</v>
      </c>
      <c r="Z123" s="1507">
        <f>'Table 4'!AM16</f>
        <v>0</v>
      </c>
      <c r="AA123" s="1499">
        <f>'Table 4'!AN16</f>
        <v>145.62</v>
      </c>
      <c r="AC123" s="1653">
        <f>W123-E123</f>
        <v>30.86</v>
      </c>
    </row>
    <row r="124" spans="1:29" ht="26.25">
      <c r="A124" s="993" t="s">
        <v>63</v>
      </c>
      <c r="B124" s="1492" t="s">
        <v>15</v>
      </c>
      <c r="C124" s="1497">
        <f>'Table 6'!K16</f>
        <v>12.73</v>
      </c>
      <c r="D124" s="1507">
        <f>'Table 6'!L16</f>
        <v>0</v>
      </c>
      <c r="E124" s="1499">
        <f>'Table 6'!M16</f>
        <v>12.73</v>
      </c>
      <c r="F124" s="1497">
        <f>'Table 6'!N16</f>
        <v>22.16</v>
      </c>
      <c r="G124" s="1507">
        <f>'Table 6'!O16</f>
        <v>0</v>
      </c>
      <c r="H124" s="1499">
        <f>'Table 6'!P16</f>
        <v>22.16</v>
      </c>
      <c r="I124" s="1497">
        <f>'Table 6'!Q16</f>
        <v>23.81</v>
      </c>
      <c r="J124" s="1507">
        <f>'Table 6'!R16</f>
        <v>0</v>
      </c>
      <c r="K124" s="1499">
        <f>'Table 6'!S16</f>
        <v>23.81</v>
      </c>
      <c r="L124" s="1497">
        <f>'Table 6'!T16</f>
        <v>25.07</v>
      </c>
      <c r="M124" s="1507">
        <f>'Table 6'!U16</f>
        <v>0</v>
      </c>
      <c r="N124" s="1499">
        <f>'Table 6'!V16</f>
        <v>25.07</v>
      </c>
      <c r="O124" s="1497">
        <f>'Table 6'!W16</f>
        <v>26.19</v>
      </c>
      <c r="P124" s="1507">
        <f>'Table 6'!X16</f>
        <v>0</v>
      </c>
      <c r="Q124" s="1499">
        <f>'Table 6'!Y16</f>
        <v>26.19</v>
      </c>
      <c r="R124" s="1497">
        <f>'Table 6'!Z16</f>
        <v>27.08</v>
      </c>
      <c r="S124" s="1507">
        <f>'Table 6'!AA16</f>
        <v>0</v>
      </c>
      <c r="T124" s="1499">
        <f>'Table 6'!AB16</f>
        <v>27.08</v>
      </c>
      <c r="U124" s="1497">
        <f>'Table 6'!AC16</f>
        <v>27.85</v>
      </c>
      <c r="V124" s="1507">
        <f>'Table 6'!AD16</f>
        <v>0</v>
      </c>
      <c r="W124" s="1499">
        <f>'Table 6'!AE16</f>
        <v>27.85</v>
      </c>
      <c r="X124" s="1813">
        <f t="shared" ref="X124:X129" si="390">(W124-E124)/E124</f>
        <v>1.19</v>
      </c>
      <c r="Y124" s="1497">
        <f>'Table 6'!AG16</f>
        <v>29.52</v>
      </c>
      <c r="Z124" s="1507">
        <f>'Table 6'!AH16</f>
        <v>0</v>
      </c>
      <c r="AA124" s="1499">
        <f>'Table 6'!AI16</f>
        <v>29.52</v>
      </c>
      <c r="AC124" s="1653">
        <f t="shared" ref="AC124:AC129" si="391">W124-E124</f>
        <v>15.12</v>
      </c>
    </row>
    <row r="125" spans="1:29">
      <c r="A125" s="798" t="s">
        <v>64</v>
      </c>
      <c r="B125" s="1492" t="s">
        <v>15</v>
      </c>
      <c r="C125" s="1497">
        <f>'Table 7'!C16</f>
        <v>0.1</v>
      </c>
      <c r="D125" s="1507">
        <f>'Table 7'!D16</f>
        <v>1.66</v>
      </c>
      <c r="E125" s="1499">
        <f>'Table 7'!E16</f>
        <v>1.76</v>
      </c>
      <c r="F125" s="1497">
        <f>'Table 7'!F16</f>
        <v>0.09</v>
      </c>
      <c r="G125" s="1507">
        <f>'Table 7'!G16</f>
        <v>1.51</v>
      </c>
      <c r="H125" s="1499">
        <f>'Table 7'!H16</f>
        <v>1.6</v>
      </c>
      <c r="I125" s="1497">
        <f>'Table 7'!I16</f>
        <v>0.09</v>
      </c>
      <c r="J125" s="1507">
        <f>'Table 7'!J16</f>
        <v>1.52</v>
      </c>
      <c r="K125" s="1499">
        <f>'Table 7'!K16</f>
        <v>1.61</v>
      </c>
      <c r="L125" s="1497">
        <f>'Table 7'!L16</f>
        <v>0.09</v>
      </c>
      <c r="M125" s="1507">
        <f>'Table 7'!M16</f>
        <v>1.53</v>
      </c>
      <c r="N125" s="1499">
        <f>'Table 7'!N16</f>
        <v>1.62</v>
      </c>
      <c r="O125" s="1497">
        <f>'Table 7'!O16</f>
        <v>0.09</v>
      </c>
      <c r="P125" s="1507">
        <f>'Table 7'!P16</f>
        <v>1.52</v>
      </c>
      <c r="Q125" s="1499">
        <f>'Table 7'!Q16</f>
        <v>1.61</v>
      </c>
      <c r="R125" s="1497">
        <f>'Table 7'!R16</f>
        <v>0.09</v>
      </c>
      <c r="S125" s="1507">
        <f>'Table 7'!S16</f>
        <v>1.53</v>
      </c>
      <c r="T125" s="1499">
        <f>'Table 7'!T16</f>
        <v>1.62</v>
      </c>
      <c r="U125" s="1497">
        <f>'Table 7'!U16</f>
        <v>0.09</v>
      </c>
      <c r="V125" s="1507">
        <f>'Table 7'!V16</f>
        <v>1.52</v>
      </c>
      <c r="W125" s="1499">
        <f>'Table 7'!W16</f>
        <v>1.61</v>
      </c>
      <c r="X125" s="1813">
        <f t="shared" si="390"/>
        <v>-0.09</v>
      </c>
      <c r="Y125" s="1497">
        <f>'Table 7'!AG16</f>
        <v>0.11</v>
      </c>
      <c r="Z125" s="1507">
        <f>'Table 7'!AH16</f>
        <v>1.83</v>
      </c>
      <c r="AA125" s="1499">
        <f>'Table 7'!AI16</f>
        <v>1.94</v>
      </c>
      <c r="AC125" s="1653">
        <f t="shared" si="391"/>
        <v>-0.15</v>
      </c>
    </row>
    <row r="126" spans="1:29">
      <c r="A126" s="798" t="s">
        <v>65</v>
      </c>
      <c r="B126" s="1492" t="s">
        <v>15</v>
      </c>
      <c r="C126" s="1497">
        <f>'Table 8'!C16</f>
        <v>1.64</v>
      </c>
      <c r="D126" s="1507">
        <f>'Table 8'!D16</f>
        <v>3.19</v>
      </c>
      <c r="E126" s="1499">
        <f>'Table 8'!E16</f>
        <v>4.83</v>
      </c>
      <c r="F126" s="1497">
        <f>'Table 8'!F16</f>
        <v>1.75</v>
      </c>
      <c r="G126" s="1507">
        <f>'Table 8'!G16</f>
        <v>3.4</v>
      </c>
      <c r="H126" s="1499">
        <f>'Table 8'!H16</f>
        <v>5.15</v>
      </c>
      <c r="I126" s="1497">
        <f>'Table 8'!I16</f>
        <v>1.86</v>
      </c>
      <c r="J126" s="1507">
        <f>'Table 8'!J16</f>
        <v>3.62</v>
      </c>
      <c r="K126" s="1499">
        <f>'Table 8'!K16</f>
        <v>5.48</v>
      </c>
      <c r="L126" s="1497">
        <f>'Table 8'!L16</f>
        <v>1.95</v>
      </c>
      <c r="M126" s="1507">
        <f>'Table 8'!M16</f>
        <v>3.79</v>
      </c>
      <c r="N126" s="1499">
        <f>'Table 8'!N16</f>
        <v>5.74</v>
      </c>
      <c r="O126" s="1497">
        <f>'Table 8'!O16</f>
        <v>2.02</v>
      </c>
      <c r="P126" s="1507">
        <f>'Table 8'!P16</f>
        <v>3.94</v>
      </c>
      <c r="Q126" s="1499">
        <f>'Table 8'!Q16</f>
        <v>5.96</v>
      </c>
      <c r="R126" s="1497">
        <f>'Table 8'!R16</f>
        <v>2.08</v>
      </c>
      <c r="S126" s="1507">
        <f>'Table 8'!S16</f>
        <v>4.0599999999999996</v>
      </c>
      <c r="T126" s="1499">
        <f>'Table 8'!T16</f>
        <v>6.14</v>
      </c>
      <c r="U126" s="1497">
        <f>'Table 8'!U16</f>
        <v>2.14</v>
      </c>
      <c r="V126" s="1507">
        <f>'Table 8'!V16</f>
        <v>4.16</v>
      </c>
      <c r="W126" s="1499">
        <f>'Table 8'!W16</f>
        <v>6.3</v>
      </c>
      <c r="X126" s="1813">
        <f t="shared" si="390"/>
        <v>0.3</v>
      </c>
      <c r="Y126" s="1497">
        <f>'Table 8'!Y16</f>
        <v>2.95</v>
      </c>
      <c r="Z126" s="1507">
        <f>'Table 8'!Z16</f>
        <v>5.74</v>
      </c>
      <c r="AA126" s="1499">
        <f>'Table 8'!AA16</f>
        <v>8.69</v>
      </c>
      <c r="AC126" s="1653">
        <f t="shared" si="391"/>
        <v>1.47</v>
      </c>
    </row>
    <row r="127" spans="1:29" ht="15" customHeight="1">
      <c r="A127" s="798" t="s">
        <v>66</v>
      </c>
      <c r="B127" s="1518" t="s">
        <v>15</v>
      </c>
      <c r="C127" s="1519">
        <f>'Table 9'!C16</f>
        <v>14.16</v>
      </c>
      <c r="D127" s="1520">
        <f>'Table 9'!D16</f>
        <v>0.79</v>
      </c>
      <c r="E127" s="1521">
        <f>'Table 9'!E16</f>
        <v>14.95</v>
      </c>
      <c r="F127" s="1519">
        <f>'Table 9'!F16</f>
        <v>15.07</v>
      </c>
      <c r="G127" s="1520">
        <f>'Table 9'!G16</f>
        <v>0.84</v>
      </c>
      <c r="H127" s="1521">
        <f>'Table 9'!H16</f>
        <v>15.91</v>
      </c>
      <c r="I127" s="1519">
        <f>'Table 9'!I16</f>
        <v>16.02</v>
      </c>
      <c r="J127" s="1520">
        <f>'Table 9'!J16</f>
        <v>0.89</v>
      </c>
      <c r="K127" s="1521">
        <f>'Table 9'!K16</f>
        <v>16.91</v>
      </c>
      <c r="L127" s="1519">
        <f>'Table 9'!L16</f>
        <v>16.75</v>
      </c>
      <c r="M127" s="1520">
        <f>'Table 9'!M16</f>
        <v>0.93</v>
      </c>
      <c r="N127" s="1521">
        <f>'Table 9'!N16</f>
        <v>17.68</v>
      </c>
      <c r="O127" s="1519">
        <f>'Table 9'!O16</f>
        <v>17.38</v>
      </c>
      <c r="P127" s="1520">
        <f>'Table 9'!P16</f>
        <v>0.97</v>
      </c>
      <c r="Q127" s="1521">
        <f>'Table 9'!Q16</f>
        <v>18.350000000000001</v>
      </c>
      <c r="R127" s="1519">
        <f>'Table 9'!R16</f>
        <v>17.899999999999999</v>
      </c>
      <c r="S127" s="1520">
        <f>'Table 9'!S16</f>
        <v>1</v>
      </c>
      <c r="T127" s="1521">
        <f>'Table 9'!T16</f>
        <v>18.899999999999999</v>
      </c>
      <c r="U127" s="1519">
        <f>'Table 9'!U16</f>
        <v>18.350000000000001</v>
      </c>
      <c r="V127" s="1520">
        <f>'Table 9'!V16</f>
        <v>1.02</v>
      </c>
      <c r="W127" s="1521">
        <f>'Table 9'!W16</f>
        <v>19.37</v>
      </c>
      <c r="X127" s="1814">
        <f t="shared" si="390"/>
        <v>0.3</v>
      </c>
      <c r="Y127" s="1519">
        <f>U127</f>
        <v>18.350000000000001</v>
      </c>
      <c r="Z127" s="1520">
        <f t="shared" ref="Z127:Z128" si="392">V127</f>
        <v>1.02</v>
      </c>
      <c r="AA127" s="1521">
        <f t="shared" ref="AA127:AA128" si="393">W127</f>
        <v>19.37</v>
      </c>
      <c r="AC127" s="841">
        <f t="shared" si="391"/>
        <v>4.42</v>
      </c>
    </row>
    <row r="128" spans="1:29" ht="15.75" thickBot="1">
      <c r="A128" s="175" t="s">
        <v>67</v>
      </c>
      <c r="B128" s="1489" t="s">
        <v>15</v>
      </c>
      <c r="C128" s="1522">
        <f>'Table 10'!C16</f>
        <v>6.37</v>
      </c>
      <c r="D128" s="1523">
        <f>'Table 10'!D16</f>
        <v>12.18</v>
      </c>
      <c r="E128" s="1524">
        <f>'Table 10'!E16</f>
        <v>18.55</v>
      </c>
      <c r="F128" s="1522">
        <f>'Table 10'!F16</f>
        <v>5.04</v>
      </c>
      <c r="G128" s="1523">
        <f>'Table 10'!G16</f>
        <v>13.08</v>
      </c>
      <c r="H128" s="1524">
        <f>'Table 10'!H16</f>
        <v>18.12</v>
      </c>
      <c r="I128" s="1522">
        <f>'Table 10'!I16</f>
        <v>5.18</v>
      </c>
      <c r="J128" s="1523">
        <f>'Table 10'!J16</f>
        <v>13.44</v>
      </c>
      <c r="K128" s="1524">
        <f>'Table 10'!K16</f>
        <v>18.62</v>
      </c>
      <c r="L128" s="1522">
        <f>'Table 10'!L16</f>
        <v>5.4</v>
      </c>
      <c r="M128" s="1523">
        <f>'Table 10'!M16</f>
        <v>13.99</v>
      </c>
      <c r="N128" s="1524">
        <f>'Table 10'!N16</f>
        <v>19.39</v>
      </c>
      <c r="O128" s="1522">
        <f>'Table 10'!O16</f>
        <v>5.8</v>
      </c>
      <c r="P128" s="1523">
        <f>'Table 10'!P16</f>
        <v>15.07</v>
      </c>
      <c r="Q128" s="1524">
        <f>'Table 10'!Q16</f>
        <v>20.87</v>
      </c>
      <c r="R128" s="1522">
        <f>'Table 10'!R16</f>
        <v>6.25</v>
      </c>
      <c r="S128" s="1523">
        <f>'Table 10'!S16</f>
        <v>16.21</v>
      </c>
      <c r="T128" s="1524">
        <f>'Table 10'!T16</f>
        <v>22.46</v>
      </c>
      <c r="U128" s="1522">
        <f>'Table 10'!U16</f>
        <v>6.72</v>
      </c>
      <c r="V128" s="1523">
        <f>'Table 10'!V16</f>
        <v>17.440000000000001</v>
      </c>
      <c r="W128" s="1524">
        <f>'Table 10'!W16</f>
        <v>24.16</v>
      </c>
      <c r="X128" s="1816">
        <f t="shared" si="390"/>
        <v>0.3</v>
      </c>
      <c r="Y128" s="1522">
        <f>U128</f>
        <v>6.72</v>
      </c>
      <c r="Z128" s="1523">
        <f t="shared" si="392"/>
        <v>17.440000000000001</v>
      </c>
      <c r="AA128" s="1524">
        <f t="shared" si="393"/>
        <v>24.16</v>
      </c>
      <c r="AC128" s="1822">
        <f t="shared" si="391"/>
        <v>5.61</v>
      </c>
    </row>
    <row r="129" spans="1:29" ht="16.5" thickTop="1" thickBot="1">
      <c r="A129" s="3481" t="s">
        <v>703</v>
      </c>
      <c r="B129" s="3482"/>
      <c r="C129" s="1512">
        <f t="shared" ref="C129:W129" si="394">C123+C124+C125+C126+C127+C128</f>
        <v>141.52000000000001</v>
      </c>
      <c r="D129" s="1538">
        <f t="shared" si="394"/>
        <v>17.82</v>
      </c>
      <c r="E129" s="1513">
        <f t="shared" si="394"/>
        <v>159.34</v>
      </c>
      <c r="F129" s="1512">
        <f t="shared" si="394"/>
        <v>155.08000000000001</v>
      </c>
      <c r="G129" s="1538">
        <f t="shared" si="394"/>
        <v>18.829999999999998</v>
      </c>
      <c r="H129" s="1513">
        <f t="shared" si="394"/>
        <v>173.91</v>
      </c>
      <c r="I129" s="1512">
        <f t="shared" si="394"/>
        <v>165.55</v>
      </c>
      <c r="J129" s="1538">
        <f t="shared" si="394"/>
        <v>19.47</v>
      </c>
      <c r="K129" s="1513">
        <f t="shared" si="394"/>
        <v>185.02</v>
      </c>
      <c r="L129" s="1512">
        <f t="shared" si="394"/>
        <v>173.75</v>
      </c>
      <c r="M129" s="1538">
        <f t="shared" si="394"/>
        <v>20.239999999999998</v>
      </c>
      <c r="N129" s="1513">
        <f t="shared" si="394"/>
        <v>193.99</v>
      </c>
      <c r="O129" s="1512">
        <f t="shared" si="394"/>
        <v>181.13</v>
      </c>
      <c r="P129" s="1538">
        <f t="shared" si="394"/>
        <v>21.5</v>
      </c>
      <c r="Q129" s="1513">
        <f t="shared" si="394"/>
        <v>202.63</v>
      </c>
      <c r="R129" s="1512">
        <f t="shared" si="394"/>
        <v>187.17</v>
      </c>
      <c r="S129" s="1538">
        <f t="shared" si="394"/>
        <v>22.8</v>
      </c>
      <c r="T129" s="1513">
        <f t="shared" si="394"/>
        <v>209.97</v>
      </c>
      <c r="U129" s="1512">
        <f t="shared" si="394"/>
        <v>192.53</v>
      </c>
      <c r="V129" s="1538">
        <f t="shared" si="394"/>
        <v>24.14</v>
      </c>
      <c r="W129" s="1513">
        <f t="shared" si="394"/>
        <v>216.67</v>
      </c>
      <c r="X129" s="1517">
        <f t="shared" si="390"/>
        <v>0.36</v>
      </c>
      <c r="Y129" s="1512">
        <f>Y123+Y124+Y125+Y126+Y127+Y128</f>
        <v>203.27</v>
      </c>
      <c r="Z129" s="1538">
        <f>Z123+Z124+Z125+Z126+Z127+Z128</f>
        <v>26.03</v>
      </c>
      <c r="AA129" s="1513">
        <f>AA123+AA124+AA125+AA126+AA127+AA128</f>
        <v>229.3</v>
      </c>
      <c r="AC129" s="855">
        <f t="shared" si="391"/>
        <v>57.33</v>
      </c>
    </row>
    <row r="130" spans="1:29">
      <c r="A130" s="89" t="s">
        <v>35</v>
      </c>
    </row>
    <row r="131" spans="1:29">
      <c r="A131" s="1" t="s">
        <v>68</v>
      </c>
    </row>
    <row r="132" spans="1:29">
      <c r="A132" s="1" t="s">
        <v>69</v>
      </c>
    </row>
    <row r="134" spans="1:29" ht="15.75" thickBot="1">
      <c r="A134" s="1" t="s">
        <v>704</v>
      </c>
    </row>
    <row r="135" spans="1:29" ht="15.75" customHeight="1" thickBot="1">
      <c r="A135" s="3204" t="s">
        <v>54</v>
      </c>
      <c r="B135" s="3206" t="s">
        <v>2</v>
      </c>
      <c r="C135" s="3261" t="s">
        <v>55</v>
      </c>
      <c r="D135" s="3262"/>
      <c r="E135" s="3263"/>
      <c r="F135" s="3261" t="s">
        <v>56</v>
      </c>
      <c r="G135" s="3262"/>
      <c r="H135" s="3262"/>
      <c r="I135" s="3262"/>
      <c r="J135" s="3262"/>
      <c r="K135" s="3262"/>
      <c r="L135" s="3262"/>
      <c r="M135" s="3262"/>
      <c r="N135" s="3262"/>
      <c r="O135" s="3262"/>
      <c r="P135" s="3262"/>
      <c r="Q135" s="3262"/>
      <c r="R135" s="3262"/>
      <c r="S135" s="3262"/>
      <c r="T135" s="3262"/>
      <c r="U135" s="3262"/>
      <c r="V135" s="3262"/>
      <c r="W135" s="3263"/>
      <c r="X135" s="3255" t="s">
        <v>57</v>
      </c>
      <c r="Y135" s="3261" t="s">
        <v>58</v>
      </c>
      <c r="Z135" s="3262"/>
      <c r="AA135" s="3263"/>
      <c r="AC135" s="3255" t="s">
        <v>80</v>
      </c>
    </row>
    <row r="136" spans="1:29">
      <c r="A136" s="3205"/>
      <c r="B136" s="3207"/>
      <c r="C136" s="3258">
        <v>2015</v>
      </c>
      <c r="D136" s="3264"/>
      <c r="E136" s="3245"/>
      <c r="F136" s="3258">
        <v>2020</v>
      </c>
      <c r="G136" s="3264"/>
      <c r="H136" s="3245"/>
      <c r="I136" s="3258">
        <v>2025</v>
      </c>
      <c r="J136" s="3264"/>
      <c r="K136" s="3245"/>
      <c r="L136" s="3258">
        <v>2030</v>
      </c>
      <c r="M136" s="3264"/>
      <c r="N136" s="3245"/>
      <c r="O136" s="3258">
        <v>2035</v>
      </c>
      <c r="P136" s="3264"/>
      <c r="Q136" s="3245"/>
      <c r="R136" s="3258">
        <v>2040</v>
      </c>
      <c r="S136" s="3264"/>
      <c r="T136" s="3245"/>
      <c r="U136" s="3258">
        <v>2045</v>
      </c>
      <c r="V136" s="3264"/>
      <c r="W136" s="3245"/>
      <c r="X136" s="3256"/>
      <c r="Y136" s="3258">
        <v>2045</v>
      </c>
      <c r="Z136" s="3264"/>
      <c r="AA136" s="3245"/>
      <c r="AC136" s="3256"/>
    </row>
    <row r="137" spans="1:29" ht="15.75" thickBot="1">
      <c r="A137" s="3485"/>
      <c r="B137" s="3208"/>
      <c r="C137" s="1130" t="s">
        <v>60</v>
      </c>
      <c r="D137" s="1128" t="s">
        <v>61</v>
      </c>
      <c r="E137" s="1681" t="s">
        <v>18</v>
      </c>
      <c r="F137" s="1127" t="s">
        <v>60</v>
      </c>
      <c r="G137" s="1131" t="s">
        <v>61</v>
      </c>
      <c r="H137" s="1680" t="s">
        <v>18</v>
      </c>
      <c r="I137" s="1130" t="s">
        <v>60</v>
      </c>
      <c r="J137" s="1128" t="s">
        <v>61</v>
      </c>
      <c r="K137" s="1681" t="s">
        <v>18</v>
      </c>
      <c r="L137" s="1127" t="s">
        <v>60</v>
      </c>
      <c r="M137" s="1131" t="s">
        <v>61</v>
      </c>
      <c r="N137" s="1680" t="s">
        <v>18</v>
      </c>
      <c r="O137" s="1130" t="s">
        <v>60</v>
      </c>
      <c r="P137" s="1128" t="s">
        <v>61</v>
      </c>
      <c r="Q137" s="1681" t="s">
        <v>18</v>
      </c>
      <c r="R137" s="1130" t="s">
        <v>60</v>
      </c>
      <c r="S137" s="1131" t="s">
        <v>61</v>
      </c>
      <c r="T137" s="1680" t="s">
        <v>18</v>
      </c>
      <c r="U137" s="1130" t="s">
        <v>60</v>
      </c>
      <c r="V137" s="1131" t="s">
        <v>61</v>
      </c>
      <c r="W137" s="1680" t="s">
        <v>18</v>
      </c>
      <c r="X137" s="3257"/>
      <c r="Y137" s="1817" t="s">
        <v>60</v>
      </c>
      <c r="Z137" s="1818" t="s">
        <v>61</v>
      </c>
      <c r="AA137" s="1135" t="s">
        <v>18</v>
      </c>
      <c r="AC137" s="3483"/>
    </row>
    <row r="138" spans="1:29">
      <c r="A138" s="993" t="s">
        <v>62</v>
      </c>
      <c r="B138" s="1492" t="s">
        <v>15</v>
      </c>
      <c r="C138" s="1497">
        <f>'Table 4'!J17</f>
        <v>8.98</v>
      </c>
      <c r="D138" s="1507">
        <f>'Table 4'!K17</f>
        <v>7.0000000000000007E-2</v>
      </c>
      <c r="E138" s="1499">
        <f>'Table 4'!L17</f>
        <v>9.0500000000000007</v>
      </c>
      <c r="F138" s="1497">
        <f>'Table 4'!M17</f>
        <v>10.26</v>
      </c>
      <c r="G138" s="1507">
        <f>'Table 4'!N17</f>
        <v>0.03</v>
      </c>
      <c r="H138" s="1499">
        <f>'Table 4'!O17</f>
        <v>10.29</v>
      </c>
      <c r="I138" s="1497">
        <f>'Table 4'!Q17</f>
        <v>11.42</v>
      </c>
      <c r="J138" s="1507">
        <f>'Table 4'!R17</f>
        <v>0.03</v>
      </c>
      <c r="K138" s="1499">
        <f>'Table 4'!S17</f>
        <v>11.45</v>
      </c>
      <c r="L138" s="1497">
        <f>'Table 4'!U17</f>
        <v>12.42</v>
      </c>
      <c r="M138" s="1507">
        <f>'Table 4'!V17</f>
        <v>0.03</v>
      </c>
      <c r="N138" s="1499">
        <f>'Table 4'!W17</f>
        <v>12.45</v>
      </c>
      <c r="O138" s="1497">
        <f>'Table 4'!Y17</f>
        <v>13.23</v>
      </c>
      <c r="P138" s="1507">
        <f>'Table 4'!Z17</f>
        <v>0.03</v>
      </c>
      <c r="Q138" s="1499">
        <f>'Table 4'!AA17</f>
        <v>13.26</v>
      </c>
      <c r="R138" s="1497">
        <f>'Table 4'!AC17</f>
        <v>13.76</v>
      </c>
      <c r="S138" s="1507">
        <f>'Table 4'!AD17</f>
        <v>0.03</v>
      </c>
      <c r="T138" s="1499">
        <f>'Table 4'!AE17</f>
        <v>13.79</v>
      </c>
      <c r="U138" s="1497">
        <f>'Table 4'!AG17</f>
        <v>14.3</v>
      </c>
      <c r="V138" s="1507">
        <f>'Table 4'!AH17</f>
        <v>0.03</v>
      </c>
      <c r="W138" s="1499">
        <f>'Table 4'!AI17</f>
        <v>14.33</v>
      </c>
      <c r="X138" s="1813">
        <f>(W138-E138)/E138</f>
        <v>0.57999999999999996</v>
      </c>
      <c r="Y138" s="1497">
        <f>'Table 4'!AL17</f>
        <v>15.15</v>
      </c>
      <c r="Z138" s="1507">
        <f>'Table 4'!AM17</f>
        <v>0.03</v>
      </c>
      <c r="AA138" s="1499">
        <f>'Table 4'!AN17</f>
        <v>15.18</v>
      </c>
      <c r="AC138" s="1653">
        <f>W138-E138</f>
        <v>5.28</v>
      </c>
    </row>
    <row r="139" spans="1:29" ht="26.25">
      <c r="A139" s="993" t="s">
        <v>63</v>
      </c>
      <c r="B139" s="1492" t="s">
        <v>15</v>
      </c>
      <c r="C139" s="1497">
        <f>'Table 6'!K17</f>
        <v>0.31</v>
      </c>
      <c r="D139" s="1507">
        <f>'Table 6'!L17</f>
        <v>0</v>
      </c>
      <c r="E139" s="1499">
        <f>'Table 6'!M17</f>
        <v>0.31</v>
      </c>
      <c r="F139" s="1497">
        <f>'Table 6'!N17</f>
        <v>0.3</v>
      </c>
      <c r="G139" s="1507">
        <f>'Table 6'!O17</f>
        <v>0</v>
      </c>
      <c r="H139" s="1499">
        <f>'Table 6'!P17</f>
        <v>0.3</v>
      </c>
      <c r="I139" s="1497">
        <f>'Table 6'!Q17</f>
        <v>0.3</v>
      </c>
      <c r="J139" s="1507">
        <f>'Table 6'!R17</f>
        <v>0</v>
      </c>
      <c r="K139" s="1499">
        <f>'Table 6'!S17</f>
        <v>0.3</v>
      </c>
      <c r="L139" s="1497">
        <f>'Table 6'!T17</f>
        <v>0.38</v>
      </c>
      <c r="M139" s="1507">
        <f>'Table 6'!U17</f>
        <v>0</v>
      </c>
      <c r="N139" s="1499">
        <f>'Table 6'!V17</f>
        <v>0.38</v>
      </c>
      <c r="O139" s="1497">
        <f>'Table 6'!W17</f>
        <v>0.39</v>
      </c>
      <c r="P139" s="1507">
        <f>'Table 6'!X17</f>
        <v>0</v>
      </c>
      <c r="Q139" s="1499">
        <f>'Table 6'!Y17</f>
        <v>0.39</v>
      </c>
      <c r="R139" s="1497">
        <f>'Table 6'!Z17</f>
        <v>0.39</v>
      </c>
      <c r="S139" s="1507">
        <f>'Table 6'!AA17</f>
        <v>0</v>
      </c>
      <c r="T139" s="1499">
        <f>'Table 6'!AB17</f>
        <v>0.39</v>
      </c>
      <c r="U139" s="1497">
        <f>'Table 6'!AC17</f>
        <v>0.4</v>
      </c>
      <c r="V139" s="1507">
        <f>'Table 6'!AD17</f>
        <v>0</v>
      </c>
      <c r="W139" s="1499">
        <f>'Table 6'!AE17</f>
        <v>0.4</v>
      </c>
      <c r="X139" s="1813">
        <f t="shared" ref="X139:X144" si="395">(W139-E139)/E139</f>
        <v>0.28999999999999998</v>
      </c>
      <c r="Y139" s="1497">
        <f>'Table 6'!AG17</f>
        <v>0.42</v>
      </c>
      <c r="Z139" s="1507">
        <f>'Table 6'!AH17</f>
        <v>0</v>
      </c>
      <c r="AA139" s="1499">
        <f>'Table 6'!AI17</f>
        <v>0.42</v>
      </c>
      <c r="AC139" s="1653">
        <f t="shared" ref="AC139:AC144" si="396">W139-E139</f>
        <v>0.09</v>
      </c>
    </row>
    <row r="140" spans="1:29">
      <c r="A140" s="798" t="s">
        <v>64</v>
      </c>
      <c r="B140" s="1492" t="s">
        <v>15</v>
      </c>
      <c r="C140" s="1497">
        <f>'Table 7'!C17</f>
        <v>6.45</v>
      </c>
      <c r="D140" s="1507">
        <f>'Table 7'!D17</f>
        <v>0.41</v>
      </c>
      <c r="E140" s="1499">
        <f>'Table 7'!E17</f>
        <v>6.86</v>
      </c>
      <c r="F140" s="1497">
        <f>'Table 7'!F17</f>
        <v>10.56</v>
      </c>
      <c r="G140" s="1507">
        <f>'Table 7'!G17</f>
        <v>0.67</v>
      </c>
      <c r="H140" s="1499">
        <f>'Table 7'!H17</f>
        <v>11.23</v>
      </c>
      <c r="I140" s="1497">
        <f>'Table 7'!I17</f>
        <v>10.47</v>
      </c>
      <c r="J140" s="1507">
        <f>'Table 7'!J17</f>
        <v>0.67</v>
      </c>
      <c r="K140" s="1499">
        <f>'Table 7'!K17</f>
        <v>11.14</v>
      </c>
      <c r="L140" s="1497">
        <f>'Table 7'!L17</f>
        <v>10.34</v>
      </c>
      <c r="M140" s="1507">
        <f>'Table 7'!M17</f>
        <v>0.66</v>
      </c>
      <c r="N140" s="1499">
        <f>'Table 7'!N17</f>
        <v>11</v>
      </c>
      <c r="O140" s="1497">
        <f>'Table 7'!O17</f>
        <v>10.32</v>
      </c>
      <c r="P140" s="1507">
        <f>'Table 7'!P17</f>
        <v>0.66</v>
      </c>
      <c r="Q140" s="1499">
        <f>'Table 7'!Q17</f>
        <v>10.98</v>
      </c>
      <c r="R140" s="1497">
        <f>'Table 7'!R17</f>
        <v>10.199999999999999</v>
      </c>
      <c r="S140" s="1507">
        <f>'Table 7'!S17</f>
        <v>0.65</v>
      </c>
      <c r="T140" s="1499">
        <f>'Table 7'!T17</f>
        <v>10.85</v>
      </c>
      <c r="U140" s="1497">
        <f>'Table 7'!U17</f>
        <v>10.130000000000001</v>
      </c>
      <c r="V140" s="1507">
        <f>'Table 7'!V17</f>
        <v>0.64</v>
      </c>
      <c r="W140" s="1499">
        <f>'Table 7'!W17</f>
        <v>10.77</v>
      </c>
      <c r="X140" s="1813">
        <f t="shared" si="395"/>
        <v>0.56999999999999995</v>
      </c>
      <c r="Y140" s="1497">
        <f>'Table 7'!AG17</f>
        <v>14.24</v>
      </c>
      <c r="Z140" s="1507">
        <f>'Table 7'!AH17</f>
        <v>0.9</v>
      </c>
      <c r="AA140" s="1499">
        <f>'Table 7'!AI17</f>
        <v>15.14</v>
      </c>
      <c r="AC140" s="1653">
        <f t="shared" si="396"/>
        <v>3.91</v>
      </c>
    </row>
    <row r="141" spans="1:29">
      <c r="A141" s="798" t="s">
        <v>65</v>
      </c>
      <c r="B141" s="1492" t="s">
        <v>15</v>
      </c>
      <c r="C141" s="1497">
        <f>'Table 8'!C17</f>
        <v>0.43</v>
      </c>
      <c r="D141" s="1507">
        <f>'Table 8'!D17</f>
        <v>1.41</v>
      </c>
      <c r="E141" s="1499">
        <f>'Table 8'!E17</f>
        <v>1.84</v>
      </c>
      <c r="F141" s="1497">
        <f>'Table 8'!F17</f>
        <v>0.48</v>
      </c>
      <c r="G141" s="1507">
        <f>'Table 8'!G17</f>
        <v>1.59</v>
      </c>
      <c r="H141" s="1499">
        <f>'Table 8'!H17</f>
        <v>2.0699999999999998</v>
      </c>
      <c r="I141" s="1497">
        <f>'Table 8'!I17</f>
        <v>0.54</v>
      </c>
      <c r="J141" s="1507">
        <f>'Table 8'!J17</f>
        <v>1.75</v>
      </c>
      <c r="K141" s="1499">
        <f>'Table 8'!K17</f>
        <v>2.29</v>
      </c>
      <c r="L141" s="1497">
        <f>'Table 8'!L17</f>
        <v>0.57999999999999996</v>
      </c>
      <c r="M141" s="1507">
        <f>'Table 8'!M17</f>
        <v>1.9</v>
      </c>
      <c r="N141" s="1499">
        <f>'Table 8'!N17</f>
        <v>2.48</v>
      </c>
      <c r="O141" s="1497">
        <f>'Table 8'!O17</f>
        <v>0.61</v>
      </c>
      <c r="P141" s="1507">
        <f>'Table 8'!P17</f>
        <v>2.02</v>
      </c>
      <c r="Q141" s="1499">
        <f>'Table 8'!Q17</f>
        <v>2.63</v>
      </c>
      <c r="R141" s="1497">
        <f>'Table 8'!R17</f>
        <v>0.64</v>
      </c>
      <c r="S141" s="1507">
        <f>'Table 8'!S17</f>
        <v>2.09</v>
      </c>
      <c r="T141" s="1499">
        <f>'Table 8'!T17</f>
        <v>2.73</v>
      </c>
      <c r="U141" s="1497">
        <f>'Table 8'!U17</f>
        <v>0.66</v>
      </c>
      <c r="V141" s="1507">
        <f>'Table 8'!V17</f>
        <v>2.15</v>
      </c>
      <c r="W141" s="1499">
        <f>'Table 8'!W17</f>
        <v>2.81</v>
      </c>
      <c r="X141" s="1813">
        <f t="shared" si="395"/>
        <v>0.53</v>
      </c>
      <c r="Y141" s="1497">
        <f>'Table 8'!Y17</f>
        <v>0.76</v>
      </c>
      <c r="Z141" s="1507">
        <f>'Table 8'!Z17</f>
        <v>2.5</v>
      </c>
      <c r="AA141" s="1499">
        <f>'Table 8'!AA17</f>
        <v>3.26</v>
      </c>
      <c r="AC141" s="1653">
        <f t="shared" si="396"/>
        <v>0.97</v>
      </c>
    </row>
    <row r="142" spans="1:29" ht="15" customHeight="1">
      <c r="A142" s="798" t="s">
        <v>66</v>
      </c>
      <c r="B142" s="1518" t="s">
        <v>15</v>
      </c>
      <c r="C142" s="1519">
        <f>'Table 9'!C17</f>
        <v>0.26</v>
      </c>
      <c r="D142" s="1520">
        <f>'Table 9'!D17</f>
        <v>0</v>
      </c>
      <c r="E142" s="1521">
        <f>'Table 9'!E17</f>
        <v>0.26</v>
      </c>
      <c r="F142" s="1519">
        <f>'Table 9'!F17</f>
        <v>0.27</v>
      </c>
      <c r="G142" s="1520">
        <f>'Table 9'!G17</f>
        <v>0</v>
      </c>
      <c r="H142" s="1521">
        <f>'Table 9'!H17</f>
        <v>0.27</v>
      </c>
      <c r="I142" s="1519">
        <f>'Table 9'!I17</f>
        <v>0.28000000000000003</v>
      </c>
      <c r="J142" s="1520">
        <f>'Table 9'!J17</f>
        <v>0</v>
      </c>
      <c r="K142" s="1521">
        <f>'Table 9'!K17</f>
        <v>0.28000000000000003</v>
      </c>
      <c r="L142" s="1519">
        <f>'Table 9'!L17</f>
        <v>0.28999999999999998</v>
      </c>
      <c r="M142" s="1520">
        <f>'Table 9'!M17</f>
        <v>0</v>
      </c>
      <c r="N142" s="1521">
        <f>'Table 9'!N17</f>
        <v>0.28999999999999998</v>
      </c>
      <c r="O142" s="1519">
        <f>'Table 9'!O17</f>
        <v>0.3</v>
      </c>
      <c r="P142" s="1520">
        <f>'Table 9'!P17</f>
        <v>0</v>
      </c>
      <c r="Q142" s="1521">
        <f>'Table 9'!Q17</f>
        <v>0.3</v>
      </c>
      <c r="R142" s="1519">
        <f>'Table 9'!R17</f>
        <v>0.31</v>
      </c>
      <c r="S142" s="1520">
        <f>'Table 9'!S17</f>
        <v>0</v>
      </c>
      <c r="T142" s="1521">
        <f>'Table 9'!T17</f>
        <v>0.31</v>
      </c>
      <c r="U142" s="1519">
        <f>'Table 9'!U17</f>
        <v>0.31</v>
      </c>
      <c r="V142" s="1520">
        <f>'Table 9'!V17</f>
        <v>0</v>
      </c>
      <c r="W142" s="1521">
        <f>'Table 9'!W17</f>
        <v>0.31</v>
      </c>
      <c r="X142" s="1814">
        <f t="shared" si="395"/>
        <v>0.19</v>
      </c>
      <c r="Y142" s="1519">
        <f>U142</f>
        <v>0.31</v>
      </c>
      <c r="Z142" s="1520">
        <f t="shared" ref="Z142:Z143" si="397">V142</f>
        <v>0</v>
      </c>
      <c r="AA142" s="1521">
        <f t="shared" ref="AA142:AA143" si="398">W142</f>
        <v>0.31</v>
      </c>
      <c r="AC142" s="841">
        <f t="shared" si="396"/>
        <v>0.05</v>
      </c>
    </row>
    <row r="143" spans="1:29" ht="15.75" thickBot="1">
      <c r="A143" s="175" t="s">
        <v>67</v>
      </c>
      <c r="B143" s="1489" t="s">
        <v>15</v>
      </c>
      <c r="C143" s="1522">
        <f>'Table 10'!C17</f>
        <v>0</v>
      </c>
      <c r="D143" s="1523">
        <f>'Table 10'!D17</f>
        <v>0</v>
      </c>
      <c r="E143" s="1524">
        <f>'Table 10'!E17</f>
        <v>0</v>
      </c>
      <c r="F143" s="1522">
        <f>'Table 10'!F17</f>
        <v>0</v>
      </c>
      <c r="G143" s="1523">
        <f>'Table 10'!G17</f>
        <v>0</v>
      </c>
      <c r="H143" s="1524">
        <f>'Table 10'!H17</f>
        <v>0</v>
      </c>
      <c r="I143" s="1522">
        <f>'Table 10'!I17</f>
        <v>0</v>
      </c>
      <c r="J143" s="1523">
        <f>'Table 10'!J17</f>
        <v>0</v>
      </c>
      <c r="K143" s="1524">
        <f>'Table 10'!K17</f>
        <v>0</v>
      </c>
      <c r="L143" s="1522">
        <f>'Table 10'!L17</f>
        <v>0</v>
      </c>
      <c r="M143" s="1523">
        <f>'Table 10'!M17</f>
        <v>0</v>
      </c>
      <c r="N143" s="1524">
        <f>'Table 10'!N17</f>
        <v>0</v>
      </c>
      <c r="O143" s="1522">
        <f>'Table 10'!O17</f>
        <v>0</v>
      </c>
      <c r="P143" s="1523">
        <f>'Table 10'!P17</f>
        <v>0</v>
      </c>
      <c r="Q143" s="1524">
        <f>'Table 10'!Q17</f>
        <v>0</v>
      </c>
      <c r="R143" s="1522">
        <f>'Table 10'!R17</f>
        <v>0</v>
      </c>
      <c r="S143" s="1523">
        <f>'Table 10'!S17</f>
        <v>0</v>
      </c>
      <c r="T143" s="1524">
        <f>'Table 10'!T17</f>
        <v>0</v>
      </c>
      <c r="U143" s="1522">
        <f>'Table 10'!U17</f>
        <v>0</v>
      </c>
      <c r="V143" s="1523">
        <f>'Table 10'!V17</f>
        <v>0</v>
      </c>
      <c r="W143" s="1524">
        <f>'Table 10'!W17</f>
        <v>0</v>
      </c>
      <c r="X143" s="1815" t="s">
        <v>16</v>
      </c>
      <c r="Y143" s="1522">
        <f>U143</f>
        <v>0</v>
      </c>
      <c r="Z143" s="1523">
        <f t="shared" si="397"/>
        <v>0</v>
      </c>
      <c r="AA143" s="1524">
        <f t="shared" si="398"/>
        <v>0</v>
      </c>
      <c r="AC143" s="1822">
        <f t="shared" si="396"/>
        <v>0</v>
      </c>
    </row>
    <row r="144" spans="1:29" ht="16.5" thickTop="1" thickBot="1">
      <c r="A144" s="3481" t="s">
        <v>705</v>
      </c>
      <c r="B144" s="3482"/>
      <c r="C144" s="1512">
        <f t="shared" ref="C144:W144" si="399">C138+C139+C140+C141+C142+C143</f>
        <v>16.43</v>
      </c>
      <c r="D144" s="1538">
        <f t="shared" si="399"/>
        <v>1.89</v>
      </c>
      <c r="E144" s="1513">
        <f t="shared" si="399"/>
        <v>18.32</v>
      </c>
      <c r="F144" s="1512">
        <f t="shared" si="399"/>
        <v>21.87</v>
      </c>
      <c r="G144" s="1538">
        <f t="shared" si="399"/>
        <v>2.29</v>
      </c>
      <c r="H144" s="1513">
        <f t="shared" si="399"/>
        <v>24.16</v>
      </c>
      <c r="I144" s="1512">
        <f t="shared" si="399"/>
        <v>23.01</v>
      </c>
      <c r="J144" s="1538">
        <f t="shared" si="399"/>
        <v>2.4500000000000002</v>
      </c>
      <c r="K144" s="1513">
        <f t="shared" si="399"/>
        <v>25.46</v>
      </c>
      <c r="L144" s="1512">
        <f t="shared" si="399"/>
        <v>24.01</v>
      </c>
      <c r="M144" s="1538">
        <f t="shared" si="399"/>
        <v>2.59</v>
      </c>
      <c r="N144" s="1513">
        <f t="shared" si="399"/>
        <v>26.6</v>
      </c>
      <c r="O144" s="1512">
        <f t="shared" si="399"/>
        <v>24.85</v>
      </c>
      <c r="P144" s="1538">
        <f t="shared" si="399"/>
        <v>2.71</v>
      </c>
      <c r="Q144" s="1513">
        <f t="shared" si="399"/>
        <v>27.56</v>
      </c>
      <c r="R144" s="1512">
        <f t="shared" si="399"/>
        <v>25.3</v>
      </c>
      <c r="S144" s="1538">
        <f t="shared" si="399"/>
        <v>2.77</v>
      </c>
      <c r="T144" s="1513">
        <f t="shared" si="399"/>
        <v>28.07</v>
      </c>
      <c r="U144" s="1512">
        <f t="shared" si="399"/>
        <v>25.8</v>
      </c>
      <c r="V144" s="1538">
        <f t="shared" si="399"/>
        <v>2.82</v>
      </c>
      <c r="W144" s="1513">
        <f t="shared" si="399"/>
        <v>28.62</v>
      </c>
      <c r="X144" s="1517">
        <f t="shared" si="395"/>
        <v>0.56000000000000005</v>
      </c>
      <c r="Y144" s="1512">
        <f>Y138+Y139+Y140+Y141+Y142+Y143</f>
        <v>30.88</v>
      </c>
      <c r="Z144" s="1538">
        <f>Z138+Z139+Z140+Z141+Z142+Z143</f>
        <v>3.43</v>
      </c>
      <c r="AA144" s="1513">
        <f>AA138+AA139+AA140+AA141+AA142+AA143</f>
        <v>34.31</v>
      </c>
      <c r="AC144" s="855">
        <f t="shared" si="396"/>
        <v>10.3</v>
      </c>
    </row>
    <row r="145" spans="1:29">
      <c r="A145" s="89" t="s">
        <v>35</v>
      </c>
    </row>
    <row r="146" spans="1:29">
      <c r="A146" s="1" t="s">
        <v>68</v>
      </c>
    </row>
    <row r="147" spans="1:29">
      <c r="A147" s="1" t="s">
        <v>69</v>
      </c>
    </row>
    <row r="149" spans="1:29" ht="15.75" thickBot="1">
      <c r="A149" s="1" t="s">
        <v>706</v>
      </c>
    </row>
    <row r="150" spans="1:29" ht="15.75" customHeight="1" thickBot="1">
      <c r="A150" s="3204" t="s">
        <v>54</v>
      </c>
      <c r="B150" s="3206" t="s">
        <v>2</v>
      </c>
      <c r="C150" s="3261" t="s">
        <v>55</v>
      </c>
      <c r="D150" s="3262"/>
      <c r="E150" s="3263"/>
      <c r="F150" s="3261" t="s">
        <v>56</v>
      </c>
      <c r="G150" s="3262"/>
      <c r="H150" s="3262"/>
      <c r="I150" s="3262"/>
      <c r="J150" s="3262"/>
      <c r="K150" s="3262"/>
      <c r="L150" s="3262"/>
      <c r="M150" s="3262"/>
      <c r="N150" s="3262"/>
      <c r="O150" s="3262"/>
      <c r="P150" s="3262"/>
      <c r="Q150" s="3262"/>
      <c r="R150" s="3262"/>
      <c r="S150" s="3262"/>
      <c r="T150" s="3262"/>
      <c r="U150" s="3262"/>
      <c r="V150" s="3262"/>
      <c r="W150" s="3263"/>
      <c r="X150" s="3255" t="s">
        <v>57</v>
      </c>
      <c r="Y150" s="3261" t="s">
        <v>58</v>
      </c>
      <c r="Z150" s="3262"/>
      <c r="AA150" s="3263"/>
      <c r="AC150" s="3255" t="s">
        <v>80</v>
      </c>
    </row>
    <row r="151" spans="1:29">
      <c r="A151" s="3205"/>
      <c r="B151" s="3207"/>
      <c r="C151" s="3258">
        <v>2015</v>
      </c>
      <c r="D151" s="3264"/>
      <c r="E151" s="3245"/>
      <c r="F151" s="3258">
        <v>2020</v>
      </c>
      <c r="G151" s="3264"/>
      <c r="H151" s="3245"/>
      <c r="I151" s="3258">
        <v>2025</v>
      </c>
      <c r="J151" s="3264"/>
      <c r="K151" s="3245"/>
      <c r="L151" s="3258">
        <v>2030</v>
      </c>
      <c r="M151" s="3264"/>
      <c r="N151" s="3245"/>
      <c r="O151" s="3258">
        <v>2035</v>
      </c>
      <c r="P151" s="3264"/>
      <c r="Q151" s="3245"/>
      <c r="R151" s="3258">
        <v>2040</v>
      </c>
      <c r="S151" s="3264"/>
      <c r="T151" s="3245"/>
      <c r="U151" s="3258">
        <v>2045</v>
      </c>
      <c r="V151" s="3264"/>
      <c r="W151" s="3245"/>
      <c r="X151" s="3256"/>
      <c r="Y151" s="3258">
        <v>2045</v>
      </c>
      <c r="Z151" s="3264"/>
      <c r="AA151" s="3245"/>
      <c r="AC151" s="3256"/>
    </row>
    <row r="152" spans="1:29" ht="15.75" thickBot="1">
      <c r="A152" s="3485"/>
      <c r="B152" s="3208"/>
      <c r="C152" s="1130" t="s">
        <v>60</v>
      </c>
      <c r="D152" s="1128" t="s">
        <v>61</v>
      </c>
      <c r="E152" s="1681" t="s">
        <v>18</v>
      </c>
      <c r="F152" s="1127" t="s">
        <v>60</v>
      </c>
      <c r="G152" s="1131" t="s">
        <v>61</v>
      </c>
      <c r="H152" s="1680" t="s">
        <v>18</v>
      </c>
      <c r="I152" s="1130" t="s">
        <v>60</v>
      </c>
      <c r="J152" s="1128" t="s">
        <v>61</v>
      </c>
      <c r="K152" s="1681" t="s">
        <v>18</v>
      </c>
      <c r="L152" s="1127" t="s">
        <v>60</v>
      </c>
      <c r="M152" s="1131" t="s">
        <v>61</v>
      </c>
      <c r="N152" s="1680" t="s">
        <v>18</v>
      </c>
      <c r="O152" s="1130" t="s">
        <v>60</v>
      </c>
      <c r="P152" s="1128" t="s">
        <v>61</v>
      </c>
      <c r="Q152" s="1681" t="s">
        <v>18</v>
      </c>
      <c r="R152" s="1130" t="s">
        <v>60</v>
      </c>
      <c r="S152" s="1131" t="s">
        <v>61</v>
      </c>
      <c r="T152" s="1680" t="s">
        <v>18</v>
      </c>
      <c r="U152" s="1130" t="s">
        <v>60</v>
      </c>
      <c r="V152" s="1131" t="s">
        <v>61</v>
      </c>
      <c r="W152" s="1680" t="s">
        <v>18</v>
      </c>
      <c r="X152" s="3257"/>
      <c r="Y152" s="1817" t="s">
        <v>60</v>
      </c>
      <c r="Z152" s="1818" t="s">
        <v>61</v>
      </c>
      <c r="AA152" s="1135" t="s">
        <v>18</v>
      </c>
      <c r="AC152" s="3483"/>
    </row>
    <row r="153" spans="1:29">
      <c r="A153" s="993" t="s">
        <v>62</v>
      </c>
      <c r="B153" s="1492" t="s">
        <v>17</v>
      </c>
      <c r="C153" s="1497">
        <f>'Table 4'!J18</f>
        <v>0.22</v>
      </c>
      <c r="D153" s="1507">
        <f>'Table 4'!K18</f>
        <v>0</v>
      </c>
      <c r="E153" s="1499">
        <f>'Table 4'!L18</f>
        <v>0.22</v>
      </c>
      <c r="F153" s="1497">
        <f>'Table 4'!M18</f>
        <v>0.22</v>
      </c>
      <c r="G153" s="1507">
        <f>'Table 4'!N18</f>
        <v>0</v>
      </c>
      <c r="H153" s="1499">
        <f>'Table 4'!O18</f>
        <v>0.22</v>
      </c>
      <c r="I153" s="1497">
        <f>'Table 4'!Q18</f>
        <v>0.25</v>
      </c>
      <c r="J153" s="1507">
        <f>'Table 4'!R18</f>
        <v>0</v>
      </c>
      <c r="K153" s="1499">
        <f>'Table 4'!S18</f>
        <v>0.25</v>
      </c>
      <c r="L153" s="1497">
        <f>'Table 4'!U18</f>
        <v>0.27</v>
      </c>
      <c r="M153" s="1507">
        <f>'Table 4'!V18</f>
        <v>0</v>
      </c>
      <c r="N153" s="1499">
        <f>'Table 4'!W18</f>
        <v>0.27</v>
      </c>
      <c r="O153" s="1497">
        <f>'Table 4'!Y18</f>
        <v>0.28000000000000003</v>
      </c>
      <c r="P153" s="1507">
        <f>'Table 4'!Z18</f>
        <v>0</v>
      </c>
      <c r="Q153" s="1499">
        <f>'Table 4'!AA18</f>
        <v>0.28000000000000003</v>
      </c>
      <c r="R153" s="1497">
        <f>'Table 4'!AC18</f>
        <v>0.28000000000000003</v>
      </c>
      <c r="S153" s="1507">
        <f>'Table 4'!AD18</f>
        <v>0</v>
      </c>
      <c r="T153" s="1499">
        <f>'Table 4'!AE18</f>
        <v>0.28000000000000003</v>
      </c>
      <c r="U153" s="1497">
        <f>'Table 4'!AG18</f>
        <v>0.28000000000000003</v>
      </c>
      <c r="V153" s="1507">
        <f>'Table 4'!AH18</f>
        <v>0</v>
      </c>
      <c r="W153" s="1499">
        <f>'Table 4'!AI18</f>
        <v>0.28000000000000003</v>
      </c>
      <c r="X153" s="1813">
        <f>(W153-E153)/E153</f>
        <v>0.27</v>
      </c>
      <c r="Y153" s="1497">
        <f>'Table 4'!AL18</f>
        <v>0.3</v>
      </c>
      <c r="Z153" s="1507">
        <f>'Table 4'!AM18</f>
        <v>0</v>
      </c>
      <c r="AA153" s="1499">
        <f>'Table 4'!AN18</f>
        <v>0.3</v>
      </c>
      <c r="AC153" s="1653">
        <f>W153-E153</f>
        <v>0.06</v>
      </c>
    </row>
    <row r="154" spans="1:29" ht="26.25">
      <c r="A154" s="993" t="s">
        <v>63</v>
      </c>
      <c r="B154" s="1492" t="s">
        <v>17</v>
      </c>
      <c r="C154" s="1497">
        <f>'Table 6'!K18</f>
        <v>0.98</v>
      </c>
      <c r="D154" s="1507">
        <f>'Table 6'!L18</f>
        <v>0</v>
      </c>
      <c r="E154" s="1499">
        <f>'Table 6'!M18</f>
        <v>0.98</v>
      </c>
      <c r="F154" s="1497">
        <f>'Table 6'!N18</f>
        <v>1.05</v>
      </c>
      <c r="G154" s="1507">
        <f>'Table 6'!O18</f>
        <v>0</v>
      </c>
      <c r="H154" s="1499">
        <f>'Table 6'!P18</f>
        <v>1.05</v>
      </c>
      <c r="I154" s="1497">
        <f>'Table 6'!Q18</f>
        <v>1.0900000000000001</v>
      </c>
      <c r="J154" s="1507">
        <f>'Table 6'!R18</f>
        <v>0</v>
      </c>
      <c r="K154" s="1499">
        <f>'Table 6'!S18</f>
        <v>1.0900000000000001</v>
      </c>
      <c r="L154" s="1497">
        <f>'Table 6'!T18</f>
        <v>1.1299999999999999</v>
      </c>
      <c r="M154" s="1507">
        <f>'Table 6'!U18</f>
        <v>0</v>
      </c>
      <c r="N154" s="1499">
        <f>'Table 6'!V18</f>
        <v>1.1299999999999999</v>
      </c>
      <c r="O154" s="1497">
        <f>'Table 6'!W18</f>
        <v>1.17</v>
      </c>
      <c r="P154" s="1507">
        <f>'Table 6'!X18</f>
        <v>0</v>
      </c>
      <c r="Q154" s="1499">
        <f>'Table 6'!Y18</f>
        <v>1.17</v>
      </c>
      <c r="R154" s="1497">
        <f>'Table 6'!Z18</f>
        <v>1.21</v>
      </c>
      <c r="S154" s="1507">
        <f>'Table 6'!AA18</f>
        <v>0</v>
      </c>
      <c r="T154" s="1499">
        <f>'Table 6'!AB18</f>
        <v>1.21</v>
      </c>
      <c r="U154" s="1497">
        <f>'Table 6'!AC18</f>
        <v>1.24</v>
      </c>
      <c r="V154" s="1507">
        <f>'Table 6'!AD18</f>
        <v>0</v>
      </c>
      <c r="W154" s="1499">
        <f>'Table 6'!AE18</f>
        <v>1.24</v>
      </c>
      <c r="X154" s="1813">
        <f t="shared" ref="X154:X159" si="400">(W154-E154)/E154</f>
        <v>0.27</v>
      </c>
      <c r="Y154" s="1497">
        <f>'Table 6'!AG18</f>
        <v>1.31</v>
      </c>
      <c r="Z154" s="1507">
        <f>'Table 6'!AH18</f>
        <v>0</v>
      </c>
      <c r="AA154" s="1499">
        <f>'Table 6'!AI18</f>
        <v>1.31</v>
      </c>
      <c r="AC154" s="1653">
        <f t="shared" ref="AC154:AC159" si="401">W154-E154</f>
        <v>0.26</v>
      </c>
    </row>
    <row r="155" spans="1:29">
      <c r="A155" s="798" t="s">
        <v>64</v>
      </c>
      <c r="B155" s="1492" t="s">
        <v>17</v>
      </c>
      <c r="C155" s="1497">
        <f>'Table 7'!C18</f>
        <v>19.010000000000002</v>
      </c>
      <c r="D155" s="1507">
        <f>'Table 7'!D18</f>
        <v>0</v>
      </c>
      <c r="E155" s="1499">
        <f>'Table 7'!E18</f>
        <v>19.010000000000002</v>
      </c>
      <c r="F155" s="1497">
        <f>'Table 7'!F18</f>
        <v>19</v>
      </c>
      <c r="G155" s="1507">
        <f>'Table 7'!G18</f>
        <v>0</v>
      </c>
      <c r="H155" s="1499">
        <f>'Table 7'!H18</f>
        <v>19</v>
      </c>
      <c r="I155" s="1497">
        <f>'Table 7'!I18</f>
        <v>19.649999999999999</v>
      </c>
      <c r="J155" s="1507">
        <f>'Table 7'!J18</f>
        <v>0</v>
      </c>
      <c r="K155" s="1499">
        <f>'Table 7'!K18</f>
        <v>19.649999999999999</v>
      </c>
      <c r="L155" s="1497">
        <f>'Table 7'!L18</f>
        <v>20.3</v>
      </c>
      <c r="M155" s="1507">
        <f>'Table 7'!M18</f>
        <v>0</v>
      </c>
      <c r="N155" s="1499">
        <f>'Table 7'!N18</f>
        <v>20.3</v>
      </c>
      <c r="O155" s="1497">
        <f>'Table 7'!O18</f>
        <v>21.06</v>
      </c>
      <c r="P155" s="1507">
        <f>'Table 7'!P18</f>
        <v>0</v>
      </c>
      <c r="Q155" s="1499">
        <f>'Table 7'!Q18</f>
        <v>21.06</v>
      </c>
      <c r="R155" s="1497">
        <f>'Table 7'!R18</f>
        <v>21.78</v>
      </c>
      <c r="S155" s="1507">
        <f>'Table 7'!S18</f>
        <v>0</v>
      </c>
      <c r="T155" s="1499">
        <f>'Table 7'!T18</f>
        <v>21.78</v>
      </c>
      <c r="U155" s="1497">
        <f>'Table 7'!U18</f>
        <v>22.57</v>
      </c>
      <c r="V155" s="1507">
        <f>'Table 7'!V18</f>
        <v>0</v>
      </c>
      <c r="W155" s="1499">
        <f>'Table 7'!W18</f>
        <v>22.57</v>
      </c>
      <c r="X155" s="1813">
        <f t="shared" si="400"/>
        <v>0.19</v>
      </c>
      <c r="Y155" s="1497">
        <f>'Table 7'!AG18</f>
        <v>28.32</v>
      </c>
      <c r="Z155" s="1507">
        <f>'Table 7'!AH18</f>
        <v>0</v>
      </c>
      <c r="AA155" s="1499">
        <f>'Table 7'!AI18</f>
        <v>28.32</v>
      </c>
      <c r="AC155" s="1653">
        <f t="shared" si="401"/>
        <v>3.56</v>
      </c>
    </row>
    <row r="156" spans="1:29">
      <c r="A156" s="798" t="s">
        <v>65</v>
      </c>
      <c r="B156" s="1492" t="s">
        <v>17</v>
      </c>
      <c r="C156" s="1497">
        <f>'Table 8'!C18</f>
        <v>0.16</v>
      </c>
      <c r="D156" s="1507">
        <f>'Table 8'!D18</f>
        <v>0</v>
      </c>
      <c r="E156" s="1499">
        <f>'Table 8'!E18</f>
        <v>0.16</v>
      </c>
      <c r="F156" s="1497">
        <f>'Table 8'!F18</f>
        <v>0</v>
      </c>
      <c r="G156" s="1507">
        <f>'Table 8'!G18</f>
        <v>0</v>
      </c>
      <c r="H156" s="1499">
        <f>'Table 8'!H18</f>
        <v>0.17</v>
      </c>
      <c r="I156" s="1497">
        <f>'Table 8'!I18</f>
        <v>0.18</v>
      </c>
      <c r="J156" s="1507">
        <f>'Table 8'!J18</f>
        <v>0</v>
      </c>
      <c r="K156" s="1499">
        <f>'Table 8'!K18</f>
        <v>0.18</v>
      </c>
      <c r="L156" s="1497">
        <f>'Table 8'!L18</f>
        <v>0.19</v>
      </c>
      <c r="M156" s="1507">
        <f>'Table 8'!M18</f>
        <v>0</v>
      </c>
      <c r="N156" s="1499">
        <f>'Table 8'!N18</f>
        <v>0.19</v>
      </c>
      <c r="O156" s="1497">
        <f>'Table 8'!O18</f>
        <v>0.2</v>
      </c>
      <c r="P156" s="1507">
        <f>'Table 8'!P18</f>
        <v>0</v>
      </c>
      <c r="Q156" s="1499">
        <f>'Table 8'!Q18</f>
        <v>0.2</v>
      </c>
      <c r="R156" s="1497">
        <f>'Table 8'!R18</f>
        <v>0.21</v>
      </c>
      <c r="S156" s="1507">
        <f>'Table 8'!S18</f>
        <v>0</v>
      </c>
      <c r="T156" s="1499">
        <f>'Table 8'!T18</f>
        <v>0.21</v>
      </c>
      <c r="U156" s="1497">
        <f>'Table 8'!U18</f>
        <v>0.22</v>
      </c>
      <c r="V156" s="1507">
        <f>'Table 8'!V18</f>
        <v>0</v>
      </c>
      <c r="W156" s="1499">
        <f>'Table 8'!W18</f>
        <v>0.22</v>
      </c>
      <c r="X156" s="1813">
        <f t="shared" si="400"/>
        <v>0.38</v>
      </c>
      <c r="Y156" s="1497">
        <f>'Table 8'!Y18</f>
        <v>0.23</v>
      </c>
      <c r="Z156" s="1507">
        <f>'Table 8'!Z18</f>
        <v>0</v>
      </c>
      <c r="AA156" s="1499">
        <f>'Table 8'!AA18</f>
        <v>0.23</v>
      </c>
      <c r="AC156" s="1653">
        <f t="shared" si="401"/>
        <v>0.06</v>
      </c>
    </row>
    <row r="157" spans="1:29" ht="15" customHeight="1">
      <c r="A157" s="798" t="s">
        <v>66</v>
      </c>
      <c r="B157" s="1518" t="s">
        <v>17</v>
      </c>
      <c r="C157" s="1519">
        <f>'Table 9'!C18</f>
        <v>0.37</v>
      </c>
      <c r="D157" s="1520">
        <f>'Table 9'!D18</f>
        <v>0</v>
      </c>
      <c r="E157" s="1521">
        <f>'Table 9'!E18</f>
        <v>0.37</v>
      </c>
      <c r="F157" s="1519">
        <f>'Table 9'!F18</f>
        <v>0.4</v>
      </c>
      <c r="G157" s="1520">
        <f>'Table 9'!G18</f>
        <v>0</v>
      </c>
      <c r="H157" s="1521">
        <f>'Table 9'!H18</f>
        <v>0.4</v>
      </c>
      <c r="I157" s="1519">
        <f>'Table 9'!I18</f>
        <v>0.42</v>
      </c>
      <c r="J157" s="1520">
        <f>'Table 9'!J18</f>
        <v>0</v>
      </c>
      <c r="K157" s="1521">
        <f>'Table 9'!K18</f>
        <v>0.42</v>
      </c>
      <c r="L157" s="1519">
        <f>'Table 9'!L18</f>
        <v>0.44</v>
      </c>
      <c r="M157" s="1520">
        <f>'Table 9'!M18</f>
        <v>0</v>
      </c>
      <c r="N157" s="1521">
        <f>'Table 9'!N18</f>
        <v>0.44</v>
      </c>
      <c r="O157" s="1519">
        <f>'Table 9'!O18</f>
        <v>0.46</v>
      </c>
      <c r="P157" s="1520">
        <f>'Table 9'!P18</f>
        <v>0</v>
      </c>
      <c r="Q157" s="1521">
        <f>'Table 9'!Q18</f>
        <v>0.46</v>
      </c>
      <c r="R157" s="1519">
        <f>'Table 9'!R18</f>
        <v>0.47</v>
      </c>
      <c r="S157" s="1520">
        <f>'Table 9'!S18</f>
        <v>0</v>
      </c>
      <c r="T157" s="1521">
        <f>'Table 9'!T18</f>
        <v>0.47</v>
      </c>
      <c r="U157" s="1519">
        <f>'Table 9'!U18</f>
        <v>0.48</v>
      </c>
      <c r="V157" s="1520">
        <f>'Table 9'!V18</f>
        <v>0</v>
      </c>
      <c r="W157" s="1521">
        <f>'Table 9'!W18</f>
        <v>0.48</v>
      </c>
      <c r="X157" s="1814">
        <f t="shared" si="400"/>
        <v>0.3</v>
      </c>
      <c r="Y157" s="1519">
        <f>U157</f>
        <v>0.48</v>
      </c>
      <c r="Z157" s="1520">
        <f t="shared" ref="Z157:Z158" si="402">V157</f>
        <v>0</v>
      </c>
      <c r="AA157" s="1521">
        <f t="shared" ref="AA157:AA158" si="403">W157</f>
        <v>0.48</v>
      </c>
      <c r="AC157" s="841">
        <f t="shared" si="401"/>
        <v>0.11</v>
      </c>
    </row>
    <row r="158" spans="1:29" ht="15.75" thickBot="1">
      <c r="A158" s="175" t="s">
        <v>67</v>
      </c>
      <c r="B158" s="1489" t="s">
        <v>17</v>
      </c>
      <c r="C158" s="1522">
        <f>'Table 10'!C18</f>
        <v>0</v>
      </c>
      <c r="D158" s="1523">
        <f>'Table 10'!D18</f>
        <v>0</v>
      </c>
      <c r="E158" s="1524">
        <f>'Table 10'!E18</f>
        <v>0</v>
      </c>
      <c r="F158" s="1522">
        <f>'Table 10'!F18</f>
        <v>0</v>
      </c>
      <c r="G158" s="1523">
        <f>'Table 10'!G18</f>
        <v>0</v>
      </c>
      <c r="H158" s="1524">
        <f>'Table 10'!H18</f>
        <v>0</v>
      </c>
      <c r="I158" s="1522">
        <f>'Table 10'!I18</f>
        <v>0</v>
      </c>
      <c r="J158" s="1523">
        <f>'Table 10'!J18</f>
        <v>0</v>
      </c>
      <c r="K158" s="1524">
        <f>'Table 10'!K18</f>
        <v>0</v>
      </c>
      <c r="L158" s="1522">
        <f>'Table 10'!L18</f>
        <v>0</v>
      </c>
      <c r="M158" s="1523">
        <f>'Table 10'!M18</f>
        <v>0</v>
      </c>
      <c r="N158" s="1524">
        <f>'Table 10'!N18</f>
        <v>0</v>
      </c>
      <c r="O158" s="1522">
        <f>'Table 10'!O18</f>
        <v>0</v>
      </c>
      <c r="P158" s="1523">
        <f>'Table 10'!P18</f>
        <v>0</v>
      </c>
      <c r="Q158" s="1524">
        <f>'Table 10'!Q18</f>
        <v>0</v>
      </c>
      <c r="R158" s="1522">
        <f>'Table 10'!R18</f>
        <v>0</v>
      </c>
      <c r="S158" s="1523">
        <f>'Table 10'!S18</f>
        <v>0</v>
      </c>
      <c r="T158" s="1524">
        <f>'Table 10'!T18</f>
        <v>0</v>
      </c>
      <c r="U158" s="1522">
        <f>'Table 10'!U18</f>
        <v>0</v>
      </c>
      <c r="V158" s="1523">
        <f>'Table 10'!V18</f>
        <v>0</v>
      </c>
      <c r="W158" s="1524">
        <f>'Table 10'!W18</f>
        <v>0</v>
      </c>
      <c r="X158" s="1815" t="s">
        <v>16</v>
      </c>
      <c r="Y158" s="1522">
        <f>U158</f>
        <v>0</v>
      </c>
      <c r="Z158" s="1523">
        <f t="shared" si="402"/>
        <v>0</v>
      </c>
      <c r="AA158" s="1524">
        <f t="shared" si="403"/>
        <v>0</v>
      </c>
      <c r="AC158" s="1822">
        <f t="shared" si="401"/>
        <v>0</v>
      </c>
    </row>
    <row r="159" spans="1:29" ht="16.5" thickTop="1" thickBot="1">
      <c r="A159" s="3481" t="s">
        <v>707</v>
      </c>
      <c r="B159" s="3482"/>
      <c r="C159" s="1512">
        <f t="shared" ref="C159:W159" si="404">C153+C154+C155+C156+C157+C158</f>
        <v>20.74</v>
      </c>
      <c r="D159" s="1538">
        <f t="shared" si="404"/>
        <v>0</v>
      </c>
      <c r="E159" s="1513">
        <f t="shared" si="404"/>
        <v>20.74</v>
      </c>
      <c r="F159" s="1512">
        <f t="shared" si="404"/>
        <v>20.67</v>
      </c>
      <c r="G159" s="1538">
        <f t="shared" si="404"/>
        <v>0</v>
      </c>
      <c r="H159" s="1513">
        <f t="shared" si="404"/>
        <v>20.84</v>
      </c>
      <c r="I159" s="1512">
        <f t="shared" si="404"/>
        <v>21.59</v>
      </c>
      <c r="J159" s="1538">
        <f t="shared" si="404"/>
        <v>0</v>
      </c>
      <c r="K159" s="1513">
        <f t="shared" si="404"/>
        <v>21.59</v>
      </c>
      <c r="L159" s="1512">
        <f t="shared" si="404"/>
        <v>22.33</v>
      </c>
      <c r="M159" s="1538">
        <f t="shared" si="404"/>
        <v>0</v>
      </c>
      <c r="N159" s="1513">
        <f t="shared" si="404"/>
        <v>22.33</v>
      </c>
      <c r="O159" s="1512">
        <f t="shared" si="404"/>
        <v>23.17</v>
      </c>
      <c r="P159" s="1538">
        <f t="shared" si="404"/>
        <v>0</v>
      </c>
      <c r="Q159" s="1513">
        <f t="shared" si="404"/>
        <v>23.17</v>
      </c>
      <c r="R159" s="1512">
        <f t="shared" si="404"/>
        <v>23.95</v>
      </c>
      <c r="S159" s="1538">
        <f t="shared" si="404"/>
        <v>0</v>
      </c>
      <c r="T159" s="1513">
        <f t="shared" si="404"/>
        <v>23.95</v>
      </c>
      <c r="U159" s="1512">
        <f t="shared" si="404"/>
        <v>24.79</v>
      </c>
      <c r="V159" s="1538">
        <f t="shared" si="404"/>
        <v>0</v>
      </c>
      <c r="W159" s="1513">
        <f t="shared" si="404"/>
        <v>24.79</v>
      </c>
      <c r="X159" s="1517">
        <f t="shared" si="400"/>
        <v>0.2</v>
      </c>
      <c r="Y159" s="1512">
        <f>Y153+Y154+Y155+Y156+Y157+Y158</f>
        <v>30.64</v>
      </c>
      <c r="Z159" s="1538">
        <f>Z153+Z154+Z155+Z156+Z157+Z158</f>
        <v>0</v>
      </c>
      <c r="AA159" s="1513">
        <f>AA153+AA154+AA155+AA156+AA157+AA158</f>
        <v>30.64</v>
      </c>
      <c r="AC159" s="855">
        <f t="shared" si="401"/>
        <v>4.05</v>
      </c>
    </row>
    <row r="160" spans="1:29">
      <c r="A160" s="89" t="s">
        <v>35</v>
      </c>
    </row>
    <row r="161" spans="1:29">
      <c r="A161" s="1" t="s">
        <v>68</v>
      </c>
    </row>
    <row r="162" spans="1:29">
      <c r="A162" s="1" t="s">
        <v>69</v>
      </c>
    </row>
    <row r="164" spans="1:29" ht="15.75" thickBot="1">
      <c r="A164" s="1" t="s">
        <v>708</v>
      </c>
    </row>
    <row r="165" spans="1:29" ht="15.75" customHeight="1" thickBot="1">
      <c r="A165" s="3204" t="s">
        <v>54</v>
      </c>
      <c r="B165" s="3206" t="s">
        <v>2</v>
      </c>
      <c r="C165" s="3261" t="s">
        <v>55</v>
      </c>
      <c r="D165" s="3262"/>
      <c r="E165" s="3263"/>
      <c r="F165" s="3261" t="s">
        <v>56</v>
      </c>
      <c r="G165" s="3262"/>
      <c r="H165" s="3262"/>
      <c r="I165" s="3262"/>
      <c r="J165" s="3262"/>
      <c r="K165" s="3262"/>
      <c r="L165" s="3262"/>
      <c r="M165" s="3262"/>
      <c r="N165" s="3262"/>
      <c r="O165" s="3262"/>
      <c r="P165" s="3262"/>
      <c r="Q165" s="3262"/>
      <c r="R165" s="3262"/>
      <c r="S165" s="3262"/>
      <c r="T165" s="3262"/>
      <c r="U165" s="3262"/>
      <c r="V165" s="3262"/>
      <c r="W165" s="3263"/>
      <c r="X165" s="3255" t="s">
        <v>57</v>
      </c>
      <c r="Y165" s="3261" t="s">
        <v>58</v>
      </c>
      <c r="Z165" s="3262"/>
      <c r="AA165" s="3263"/>
      <c r="AC165" s="3255" t="s">
        <v>80</v>
      </c>
    </row>
    <row r="166" spans="1:29">
      <c r="A166" s="3205"/>
      <c r="B166" s="3207"/>
      <c r="C166" s="3258">
        <v>2015</v>
      </c>
      <c r="D166" s="3264"/>
      <c r="E166" s="3245"/>
      <c r="F166" s="3258">
        <v>2020</v>
      </c>
      <c r="G166" s="3264"/>
      <c r="H166" s="3245"/>
      <c r="I166" s="3258">
        <v>2025</v>
      </c>
      <c r="J166" s="3264"/>
      <c r="K166" s="3245"/>
      <c r="L166" s="3258">
        <v>2030</v>
      </c>
      <c r="M166" s="3264"/>
      <c r="N166" s="3245"/>
      <c r="O166" s="3258">
        <v>2035</v>
      </c>
      <c r="P166" s="3264"/>
      <c r="Q166" s="3245"/>
      <c r="R166" s="3258">
        <v>2040</v>
      </c>
      <c r="S166" s="3264"/>
      <c r="T166" s="3245"/>
      <c r="U166" s="3258">
        <v>2045</v>
      </c>
      <c r="V166" s="3264"/>
      <c r="W166" s="3245"/>
      <c r="X166" s="3256"/>
      <c r="Y166" s="3258">
        <v>2045</v>
      </c>
      <c r="Z166" s="3264"/>
      <c r="AA166" s="3245"/>
      <c r="AC166" s="3256"/>
    </row>
    <row r="167" spans="1:29" ht="15.75" thickBot="1">
      <c r="A167" s="3485"/>
      <c r="B167" s="3208"/>
      <c r="C167" s="1130" t="s">
        <v>60</v>
      </c>
      <c r="D167" s="1128" t="s">
        <v>61</v>
      </c>
      <c r="E167" s="1681" t="s">
        <v>18</v>
      </c>
      <c r="F167" s="1127" t="s">
        <v>60</v>
      </c>
      <c r="G167" s="1131" t="s">
        <v>61</v>
      </c>
      <c r="H167" s="1680" t="s">
        <v>18</v>
      </c>
      <c r="I167" s="1130" t="s">
        <v>60</v>
      </c>
      <c r="J167" s="1128" t="s">
        <v>61</v>
      </c>
      <c r="K167" s="1681" t="s">
        <v>18</v>
      </c>
      <c r="L167" s="1127" t="s">
        <v>60</v>
      </c>
      <c r="M167" s="1131" t="s">
        <v>61</v>
      </c>
      <c r="N167" s="1680" t="s">
        <v>18</v>
      </c>
      <c r="O167" s="1130" t="s">
        <v>60</v>
      </c>
      <c r="P167" s="1128" t="s">
        <v>61</v>
      </c>
      <c r="Q167" s="1681" t="s">
        <v>18</v>
      </c>
      <c r="R167" s="1130" t="s">
        <v>60</v>
      </c>
      <c r="S167" s="1131" t="s">
        <v>61</v>
      </c>
      <c r="T167" s="1680" t="s">
        <v>18</v>
      </c>
      <c r="U167" s="1130" t="s">
        <v>60</v>
      </c>
      <c r="V167" s="1131" t="s">
        <v>61</v>
      </c>
      <c r="W167" s="1680" t="s">
        <v>18</v>
      </c>
      <c r="X167" s="3257"/>
      <c r="Y167" s="1817" t="s">
        <v>60</v>
      </c>
      <c r="Z167" s="1818" t="s">
        <v>61</v>
      </c>
      <c r="AA167" s="1135" t="s">
        <v>18</v>
      </c>
      <c r="AC167" s="3483"/>
    </row>
    <row r="168" spans="1:29">
      <c r="A168" s="993" t="s">
        <v>62</v>
      </c>
      <c r="B168" s="1492" t="s">
        <v>17</v>
      </c>
      <c r="C168" s="1497">
        <f>'Table 4'!J19</f>
        <v>0.91</v>
      </c>
      <c r="D168" s="1507">
        <f>'Table 4'!K19</f>
        <v>0</v>
      </c>
      <c r="E168" s="1499">
        <f>'Table 4'!L19</f>
        <v>0.91</v>
      </c>
      <c r="F168" s="1497">
        <f>'Table 4'!M19</f>
        <v>1.03</v>
      </c>
      <c r="G168" s="1507">
        <f>'Table 4'!N19</f>
        <v>0</v>
      </c>
      <c r="H168" s="1499">
        <f>'Table 4'!O19</f>
        <v>1.03</v>
      </c>
      <c r="I168" s="1497">
        <f>'Table 4'!Q19</f>
        <v>1.03</v>
      </c>
      <c r="J168" s="1507">
        <f>'Table 4'!R19</f>
        <v>0</v>
      </c>
      <c r="K168" s="1499">
        <f>'Table 4'!S19</f>
        <v>1.03</v>
      </c>
      <c r="L168" s="1497">
        <f>'Table 4'!U19</f>
        <v>1.03</v>
      </c>
      <c r="M168" s="1507">
        <f>'Table 4'!V19</f>
        <v>0</v>
      </c>
      <c r="N168" s="1499">
        <f>'Table 4'!W19</f>
        <v>1.03</v>
      </c>
      <c r="O168" s="1497">
        <f>'Table 4'!Y19</f>
        <v>1.03</v>
      </c>
      <c r="P168" s="1507">
        <f>'Table 4'!Z19</f>
        <v>0</v>
      </c>
      <c r="Q168" s="1499">
        <f>'Table 4'!AA19</f>
        <v>1.03</v>
      </c>
      <c r="R168" s="1497">
        <f>'Table 4'!AC19</f>
        <v>1.03</v>
      </c>
      <c r="S168" s="1507">
        <f>'Table 4'!AD19</f>
        <v>0</v>
      </c>
      <c r="T168" s="1499">
        <f>'Table 4'!AE19</f>
        <v>1.03</v>
      </c>
      <c r="U168" s="1497">
        <f>'Table 4'!AG19</f>
        <v>1.03</v>
      </c>
      <c r="V168" s="1507">
        <f>'Table 4'!AH19</f>
        <v>0</v>
      </c>
      <c r="W168" s="1499">
        <f>'Table 4'!AI19</f>
        <v>1.03</v>
      </c>
      <c r="X168" s="1813">
        <f>(W168-E168)/E168</f>
        <v>0.13</v>
      </c>
      <c r="Y168" s="1497">
        <f>'Table 4'!AL19</f>
        <v>1.0900000000000001</v>
      </c>
      <c r="Z168" s="1507">
        <f>'Table 4'!AM19</f>
        <v>0</v>
      </c>
      <c r="AA168" s="1499">
        <f>'Table 4'!AN19</f>
        <v>1.0900000000000001</v>
      </c>
      <c r="AC168" s="1653">
        <f>W168-E168</f>
        <v>0.12</v>
      </c>
    </row>
    <row r="169" spans="1:29" ht="26.25">
      <c r="A169" s="993" t="s">
        <v>63</v>
      </c>
      <c r="B169" s="1492" t="s">
        <v>17</v>
      </c>
      <c r="C169" s="1497">
        <f>'Table 6'!K19</f>
        <v>0.51</v>
      </c>
      <c r="D169" s="1507">
        <f>'Table 6'!L19</f>
        <v>0</v>
      </c>
      <c r="E169" s="1499">
        <f>'Table 6'!M19</f>
        <v>0.51</v>
      </c>
      <c r="F169" s="1497">
        <f>'Table 6'!N19</f>
        <v>0.49</v>
      </c>
      <c r="G169" s="1507">
        <f>'Table 6'!O19</f>
        <v>0</v>
      </c>
      <c r="H169" s="1499">
        <f>'Table 6'!P19</f>
        <v>0.49</v>
      </c>
      <c r="I169" s="1497">
        <f>'Table 6'!Q19</f>
        <v>0.5</v>
      </c>
      <c r="J169" s="1507">
        <f>'Table 6'!R19</f>
        <v>0</v>
      </c>
      <c r="K169" s="1499">
        <f>'Table 6'!S19</f>
        <v>0.5</v>
      </c>
      <c r="L169" s="1497">
        <f>'Table 6'!T19</f>
        <v>0.5</v>
      </c>
      <c r="M169" s="1507">
        <f>'Table 6'!U19</f>
        <v>0</v>
      </c>
      <c r="N169" s="1499">
        <f>'Table 6'!V19</f>
        <v>0.5</v>
      </c>
      <c r="O169" s="1497">
        <f>'Table 6'!W19</f>
        <v>0.5</v>
      </c>
      <c r="P169" s="1507">
        <f>'Table 6'!X19</f>
        <v>0</v>
      </c>
      <c r="Q169" s="1499">
        <f>'Table 6'!Y19</f>
        <v>0.5</v>
      </c>
      <c r="R169" s="1497">
        <f>'Table 6'!Z19</f>
        <v>0.5</v>
      </c>
      <c r="S169" s="1507">
        <f>'Table 6'!AA19</f>
        <v>0</v>
      </c>
      <c r="T169" s="1499">
        <f>'Table 6'!AB19</f>
        <v>0.5</v>
      </c>
      <c r="U169" s="1497">
        <f>'Table 6'!AC19</f>
        <v>0.51</v>
      </c>
      <c r="V169" s="1507">
        <f>'Table 6'!AD19</f>
        <v>0</v>
      </c>
      <c r="W169" s="1499">
        <f>'Table 6'!AE19</f>
        <v>0.51</v>
      </c>
      <c r="X169" s="1813">
        <f t="shared" ref="X169:X174" si="405">(W169-E169)/E169</f>
        <v>0</v>
      </c>
      <c r="Y169" s="1497">
        <f>'Table 6'!AG19</f>
        <v>0.54</v>
      </c>
      <c r="Z169" s="1507">
        <f>'Table 6'!AH19</f>
        <v>0</v>
      </c>
      <c r="AA169" s="1499">
        <f>'Table 6'!AI19</f>
        <v>0.54</v>
      </c>
      <c r="AC169" s="1653">
        <f t="shared" ref="AC169:AC174" si="406">W169-E169</f>
        <v>0</v>
      </c>
    </row>
    <row r="170" spans="1:29">
      <c r="A170" s="798" t="s">
        <v>64</v>
      </c>
      <c r="B170" s="1492" t="s">
        <v>17</v>
      </c>
      <c r="C170" s="1497">
        <f>'Table 7'!C19</f>
        <v>16.100000000000001</v>
      </c>
      <c r="D170" s="1507">
        <f>'Table 7'!D19</f>
        <v>0</v>
      </c>
      <c r="E170" s="1499">
        <f>'Table 7'!E19</f>
        <v>16.100000000000001</v>
      </c>
      <c r="F170" s="1497">
        <f>'Table 7'!F19</f>
        <v>13.95</v>
      </c>
      <c r="G170" s="1507">
        <f>'Table 7'!G19</f>
        <v>0</v>
      </c>
      <c r="H170" s="1499">
        <f>'Table 7'!H19</f>
        <v>13.95</v>
      </c>
      <c r="I170" s="1497">
        <f>'Table 7'!I19</f>
        <v>14.69</v>
      </c>
      <c r="J170" s="1507">
        <f>'Table 7'!J19</f>
        <v>0</v>
      </c>
      <c r="K170" s="1499">
        <f>'Table 7'!K19</f>
        <v>14.69</v>
      </c>
      <c r="L170" s="1497">
        <f>'Table 7'!L19</f>
        <v>15.36</v>
      </c>
      <c r="M170" s="1507">
        <f>'Table 7'!M19</f>
        <v>0</v>
      </c>
      <c r="N170" s="1499">
        <f>'Table 7'!N19</f>
        <v>15.36</v>
      </c>
      <c r="O170" s="1497">
        <f>'Table 7'!O19</f>
        <v>16.100000000000001</v>
      </c>
      <c r="P170" s="1507">
        <f>'Table 7'!P19</f>
        <v>0</v>
      </c>
      <c r="Q170" s="1499">
        <f>'Table 7'!Q19</f>
        <v>16.100000000000001</v>
      </c>
      <c r="R170" s="1497">
        <f>'Table 7'!R19</f>
        <v>16.86</v>
      </c>
      <c r="S170" s="1507">
        <f>'Table 7'!S19</f>
        <v>0</v>
      </c>
      <c r="T170" s="1499">
        <f>'Table 7'!T19</f>
        <v>16.86</v>
      </c>
      <c r="U170" s="1497">
        <f>'Table 7'!U19</f>
        <v>17.55</v>
      </c>
      <c r="V170" s="1507">
        <f>'Table 7'!V19</f>
        <v>0</v>
      </c>
      <c r="W170" s="1499">
        <f>'Table 7'!W19</f>
        <v>17.55</v>
      </c>
      <c r="X170" s="1813">
        <f t="shared" si="405"/>
        <v>0.09</v>
      </c>
      <c r="Y170" s="1497">
        <f>'Table 7'!AG19</f>
        <v>22.45</v>
      </c>
      <c r="Z170" s="1507">
        <f>'Table 7'!AH19</f>
        <v>0</v>
      </c>
      <c r="AA170" s="1499">
        <f>'Table 7'!AI19</f>
        <v>22.45</v>
      </c>
      <c r="AC170" s="1653">
        <f t="shared" si="406"/>
        <v>1.45</v>
      </c>
    </row>
    <row r="171" spans="1:29">
      <c r="A171" s="798" t="s">
        <v>65</v>
      </c>
      <c r="B171" s="1492" t="s">
        <v>17</v>
      </c>
      <c r="C171" s="1497">
        <f>'Table 8'!C19</f>
        <v>0.1</v>
      </c>
      <c r="D171" s="1507">
        <f>'Table 8'!D19</f>
        <v>0</v>
      </c>
      <c r="E171" s="1499">
        <f>'Table 8'!E19</f>
        <v>0.1</v>
      </c>
      <c r="F171" s="1497">
        <f>'Table 8'!F19</f>
        <v>0</v>
      </c>
      <c r="G171" s="1507">
        <f>'Table 8'!G19</f>
        <v>0</v>
      </c>
      <c r="H171" s="1499">
        <f>'Table 8'!H19</f>
        <v>0.1</v>
      </c>
      <c r="I171" s="1497">
        <f>'Table 8'!I19</f>
        <v>0.1</v>
      </c>
      <c r="J171" s="1507">
        <f>'Table 8'!J19</f>
        <v>0</v>
      </c>
      <c r="K171" s="1499">
        <f>'Table 8'!K19</f>
        <v>0.1</v>
      </c>
      <c r="L171" s="1497">
        <f>'Table 8'!L19</f>
        <v>0.1</v>
      </c>
      <c r="M171" s="1507">
        <f>'Table 8'!M19</f>
        <v>0</v>
      </c>
      <c r="N171" s="1499">
        <f>'Table 8'!N19</f>
        <v>0.1</v>
      </c>
      <c r="O171" s="1497">
        <f>'Table 8'!O19</f>
        <v>0.1</v>
      </c>
      <c r="P171" s="1507">
        <f>'Table 8'!P19</f>
        <v>0</v>
      </c>
      <c r="Q171" s="1499">
        <f>'Table 8'!Q19</f>
        <v>0.1</v>
      </c>
      <c r="R171" s="1497">
        <f>'Table 8'!R19</f>
        <v>0.1</v>
      </c>
      <c r="S171" s="1507">
        <f>'Table 8'!S19</f>
        <v>0</v>
      </c>
      <c r="T171" s="1499">
        <f>'Table 8'!T19</f>
        <v>0.1</v>
      </c>
      <c r="U171" s="1497">
        <f>'Table 8'!U19</f>
        <v>0.1</v>
      </c>
      <c r="V171" s="1507">
        <f>'Table 8'!V19</f>
        <v>0</v>
      </c>
      <c r="W171" s="1499">
        <f>'Table 8'!W19</f>
        <v>0.1</v>
      </c>
      <c r="X171" s="1813">
        <f t="shared" si="405"/>
        <v>0</v>
      </c>
      <c r="Y171" s="1497">
        <f>'Table 8'!Y19</f>
        <v>0.17</v>
      </c>
      <c r="Z171" s="1507">
        <f>'Table 8'!Z19</f>
        <v>0</v>
      </c>
      <c r="AA171" s="1499">
        <f>'Table 8'!AA19</f>
        <v>0.17</v>
      </c>
      <c r="AC171" s="1653">
        <f t="shared" si="406"/>
        <v>0</v>
      </c>
    </row>
    <row r="172" spans="1:29" ht="15" customHeight="1">
      <c r="A172" s="798" t="s">
        <v>66</v>
      </c>
      <c r="B172" s="1518" t="s">
        <v>17</v>
      </c>
      <c r="C172" s="1519">
        <f>'Table 9'!C19</f>
        <v>22.94</v>
      </c>
      <c r="D172" s="1520">
        <f>'Table 9'!D19</f>
        <v>17.190000000000001</v>
      </c>
      <c r="E172" s="1521">
        <f>'Table 9'!E19</f>
        <v>40.130000000000003</v>
      </c>
      <c r="F172" s="1519">
        <f>'Table 9'!F19</f>
        <v>22.94</v>
      </c>
      <c r="G172" s="1520">
        <f>'Table 9'!G19</f>
        <v>17.190000000000001</v>
      </c>
      <c r="H172" s="1521">
        <f>'Table 9'!H19</f>
        <v>40.130000000000003</v>
      </c>
      <c r="I172" s="1519">
        <f>'Table 9'!I19</f>
        <v>22.94</v>
      </c>
      <c r="J172" s="1520">
        <f>'Table 9'!J19</f>
        <v>17.190000000000001</v>
      </c>
      <c r="K172" s="1521">
        <f>'Table 9'!K19</f>
        <v>40.130000000000003</v>
      </c>
      <c r="L172" s="1519">
        <f>'Table 9'!L19</f>
        <v>22.94</v>
      </c>
      <c r="M172" s="1520">
        <f>'Table 9'!M19</f>
        <v>17.190000000000001</v>
      </c>
      <c r="N172" s="1521">
        <f>'Table 9'!N19</f>
        <v>40.130000000000003</v>
      </c>
      <c r="O172" s="1519">
        <f>'Table 9'!O19</f>
        <v>22.94</v>
      </c>
      <c r="P172" s="1520">
        <f>'Table 9'!P19</f>
        <v>17.190000000000001</v>
      </c>
      <c r="Q172" s="1521">
        <f>'Table 9'!Q19</f>
        <v>40.130000000000003</v>
      </c>
      <c r="R172" s="1519">
        <f>'Table 9'!R19</f>
        <v>22.94</v>
      </c>
      <c r="S172" s="1520">
        <f>'Table 9'!S19</f>
        <v>17.190000000000001</v>
      </c>
      <c r="T172" s="1521">
        <f>'Table 9'!T19</f>
        <v>40.130000000000003</v>
      </c>
      <c r="U172" s="1519">
        <f>'Table 9'!U19</f>
        <v>22.94</v>
      </c>
      <c r="V172" s="1520">
        <f>'Table 9'!V19</f>
        <v>17.190000000000001</v>
      </c>
      <c r="W172" s="1521">
        <f>'Table 9'!W19</f>
        <v>40.130000000000003</v>
      </c>
      <c r="X172" s="1814">
        <f t="shared" si="405"/>
        <v>0</v>
      </c>
      <c r="Y172" s="1519">
        <f>U172</f>
        <v>22.94</v>
      </c>
      <c r="Z172" s="1520">
        <f t="shared" ref="Z172:Z173" si="407">V172</f>
        <v>17.190000000000001</v>
      </c>
      <c r="AA172" s="1521">
        <f t="shared" ref="AA172:AA173" si="408">W172</f>
        <v>40.130000000000003</v>
      </c>
      <c r="AC172" s="841">
        <f t="shared" si="406"/>
        <v>0</v>
      </c>
    </row>
    <row r="173" spans="1:29" ht="15.75" thickBot="1">
      <c r="A173" s="175" t="s">
        <v>67</v>
      </c>
      <c r="B173" s="1489" t="s">
        <v>17</v>
      </c>
      <c r="C173" s="1522">
        <f>'Table 10'!C19</f>
        <v>0</v>
      </c>
      <c r="D173" s="1523">
        <f>'Table 10'!D19</f>
        <v>0</v>
      </c>
      <c r="E173" s="1524">
        <f>'Table 10'!E19</f>
        <v>0</v>
      </c>
      <c r="F173" s="1522">
        <f>'Table 10'!F19</f>
        <v>0</v>
      </c>
      <c r="G173" s="1523">
        <f>'Table 10'!G19</f>
        <v>0</v>
      </c>
      <c r="H173" s="1524">
        <f>'Table 10'!H19</f>
        <v>0</v>
      </c>
      <c r="I173" s="1522">
        <f>'Table 10'!I19</f>
        <v>0</v>
      </c>
      <c r="J173" s="1523">
        <f>'Table 10'!J19</f>
        <v>0</v>
      </c>
      <c r="K173" s="1524">
        <f>'Table 10'!K19</f>
        <v>0</v>
      </c>
      <c r="L173" s="1522">
        <f>'Table 10'!L19</f>
        <v>0</v>
      </c>
      <c r="M173" s="1523">
        <f>'Table 10'!M19</f>
        <v>0</v>
      </c>
      <c r="N173" s="1524">
        <f>'Table 10'!N19</f>
        <v>0</v>
      </c>
      <c r="O173" s="1522">
        <f>'Table 10'!O19</f>
        <v>0</v>
      </c>
      <c r="P173" s="1523">
        <f>'Table 10'!P19</f>
        <v>0</v>
      </c>
      <c r="Q173" s="1524">
        <f>'Table 10'!Q19</f>
        <v>0</v>
      </c>
      <c r="R173" s="1522">
        <f>'Table 10'!R19</f>
        <v>0</v>
      </c>
      <c r="S173" s="1523">
        <f>'Table 10'!S19</f>
        <v>0</v>
      </c>
      <c r="T173" s="1524">
        <f>'Table 10'!T19</f>
        <v>0</v>
      </c>
      <c r="U173" s="1522">
        <f>'Table 10'!U19</f>
        <v>0</v>
      </c>
      <c r="V173" s="1523">
        <f>'Table 10'!V19</f>
        <v>0</v>
      </c>
      <c r="W173" s="1524">
        <f>'Table 10'!W19</f>
        <v>0</v>
      </c>
      <c r="X173" s="1815" t="s">
        <v>16</v>
      </c>
      <c r="Y173" s="1522">
        <f>U173</f>
        <v>0</v>
      </c>
      <c r="Z173" s="1523">
        <f t="shared" si="407"/>
        <v>0</v>
      </c>
      <c r="AA173" s="1524">
        <f t="shared" si="408"/>
        <v>0</v>
      </c>
      <c r="AC173" s="1822">
        <f t="shared" si="406"/>
        <v>0</v>
      </c>
    </row>
    <row r="174" spans="1:29" ht="16.5" thickTop="1" thickBot="1">
      <c r="A174" s="3481" t="s">
        <v>709</v>
      </c>
      <c r="B174" s="3482"/>
      <c r="C174" s="1512">
        <f t="shared" ref="C174:W174" si="409">C168+C169+C170+C171+C172+C173</f>
        <v>40.56</v>
      </c>
      <c r="D174" s="1538">
        <f t="shared" si="409"/>
        <v>17.190000000000001</v>
      </c>
      <c r="E174" s="1513">
        <f t="shared" si="409"/>
        <v>57.75</v>
      </c>
      <c r="F174" s="1512">
        <f t="shared" si="409"/>
        <v>38.409999999999997</v>
      </c>
      <c r="G174" s="1538">
        <f t="shared" si="409"/>
        <v>17.190000000000001</v>
      </c>
      <c r="H174" s="1513">
        <f t="shared" si="409"/>
        <v>55.7</v>
      </c>
      <c r="I174" s="1512">
        <f t="shared" si="409"/>
        <v>39.26</v>
      </c>
      <c r="J174" s="1538">
        <f t="shared" si="409"/>
        <v>17.190000000000001</v>
      </c>
      <c r="K174" s="1513">
        <f t="shared" si="409"/>
        <v>56.45</v>
      </c>
      <c r="L174" s="1512">
        <f t="shared" si="409"/>
        <v>39.93</v>
      </c>
      <c r="M174" s="1538">
        <f t="shared" si="409"/>
        <v>17.190000000000001</v>
      </c>
      <c r="N174" s="1513">
        <f t="shared" si="409"/>
        <v>57.12</v>
      </c>
      <c r="O174" s="1512">
        <f t="shared" si="409"/>
        <v>40.67</v>
      </c>
      <c r="P174" s="1538">
        <f t="shared" si="409"/>
        <v>17.190000000000001</v>
      </c>
      <c r="Q174" s="1513">
        <f t="shared" si="409"/>
        <v>57.86</v>
      </c>
      <c r="R174" s="1512">
        <f t="shared" si="409"/>
        <v>41.43</v>
      </c>
      <c r="S174" s="1538">
        <f t="shared" si="409"/>
        <v>17.190000000000001</v>
      </c>
      <c r="T174" s="1513">
        <f t="shared" si="409"/>
        <v>58.62</v>
      </c>
      <c r="U174" s="1512">
        <f t="shared" si="409"/>
        <v>42.13</v>
      </c>
      <c r="V174" s="1538">
        <f t="shared" si="409"/>
        <v>17.190000000000001</v>
      </c>
      <c r="W174" s="1513">
        <f t="shared" si="409"/>
        <v>59.32</v>
      </c>
      <c r="X174" s="1517">
        <f t="shared" si="405"/>
        <v>0.03</v>
      </c>
      <c r="Y174" s="1512">
        <f>Y168+Y169+Y170+Y171+Y172+Y173</f>
        <v>47.19</v>
      </c>
      <c r="Z174" s="1538">
        <f>Z168+Z169+Z170+Z171+Z172+Z173</f>
        <v>17.190000000000001</v>
      </c>
      <c r="AA174" s="1513">
        <f>AA168+AA169+AA170+AA171+AA172+AA173</f>
        <v>64.38</v>
      </c>
      <c r="AC174" s="855">
        <f t="shared" si="406"/>
        <v>1.57</v>
      </c>
    </row>
    <row r="175" spans="1:29">
      <c r="A175" s="89" t="s">
        <v>35</v>
      </c>
    </row>
    <row r="176" spans="1:29">
      <c r="A176" s="1" t="s">
        <v>68</v>
      </c>
    </row>
    <row r="177" spans="1:29">
      <c r="A177" s="1" t="s">
        <v>69</v>
      </c>
    </row>
    <row r="179" spans="1:29" ht="15.75" thickBot="1">
      <c r="A179" s="1" t="s">
        <v>710</v>
      </c>
    </row>
    <row r="180" spans="1:29" ht="15.75" customHeight="1" thickBot="1">
      <c r="A180" s="3204" t="s">
        <v>54</v>
      </c>
      <c r="B180" s="3206" t="s">
        <v>2</v>
      </c>
      <c r="C180" s="3261" t="s">
        <v>55</v>
      </c>
      <c r="D180" s="3262"/>
      <c r="E180" s="3263"/>
      <c r="F180" s="3261" t="s">
        <v>56</v>
      </c>
      <c r="G180" s="3262"/>
      <c r="H180" s="3262"/>
      <c r="I180" s="3262"/>
      <c r="J180" s="3262"/>
      <c r="K180" s="3262"/>
      <c r="L180" s="3262"/>
      <c r="M180" s="3262"/>
      <c r="N180" s="3262"/>
      <c r="O180" s="3262"/>
      <c r="P180" s="3262"/>
      <c r="Q180" s="3262"/>
      <c r="R180" s="3262"/>
      <c r="S180" s="3262"/>
      <c r="T180" s="3262"/>
      <c r="U180" s="3262"/>
      <c r="V180" s="3262"/>
      <c r="W180" s="3263"/>
      <c r="X180" s="3255" t="s">
        <v>57</v>
      </c>
      <c r="Y180" s="3261" t="s">
        <v>58</v>
      </c>
      <c r="Z180" s="3262"/>
      <c r="AA180" s="3263"/>
      <c r="AC180" s="3255" t="s">
        <v>80</v>
      </c>
    </row>
    <row r="181" spans="1:29">
      <c r="A181" s="3205"/>
      <c r="B181" s="3207"/>
      <c r="C181" s="3258">
        <v>2015</v>
      </c>
      <c r="D181" s="3264"/>
      <c r="E181" s="3245"/>
      <c r="F181" s="3258">
        <v>2020</v>
      </c>
      <c r="G181" s="3264"/>
      <c r="H181" s="3245"/>
      <c r="I181" s="3258">
        <v>2025</v>
      </c>
      <c r="J181" s="3264"/>
      <c r="K181" s="3245"/>
      <c r="L181" s="3258">
        <v>2030</v>
      </c>
      <c r="M181" s="3264"/>
      <c r="N181" s="3245"/>
      <c r="O181" s="3258">
        <v>2035</v>
      </c>
      <c r="P181" s="3264"/>
      <c r="Q181" s="3245"/>
      <c r="R181" s="3258">
        <v>2040</v>
      </c>
      <c r="S181" s="3264"/>
      <c r="T181" s="3245"/>
      <c r="U181" s="3258">
        <v>2045</v>
      </c>
      <c r="V181" s="3264"/>
      <c r="W181" s="3245"/>
      <c r="X181" s="3256"/>
      <c r="Y181" s="3258">
        <v>2045</v>
      </c>
      <c r="Z181" s="3264"/>
      <c r="AA181" s="3245"/>
      <c r="AC181" s="3256"/>
    </row>
    <row r="182" spans="1:29" ht="15.75" thickBot="1">
      <c r="A182" s="3485"/>
      <c r="B182" s="3208"/>
      <c r="C182" s="1130" t="s">
        <v>60</v>
      </c>
      <c r="D182" s="1128" t="s">
        <v>61</v>
      </c>
      <c r="E182" s="1681" t="s">
        <v>18</v>
      </c>
      <c r="F182" s="1127" t="s">
        <v>60</v>
      </c>
      <c r="G182" s="1131" t="s">
        <v>61</v>
      </c>
      <c r="H182" s="1680" t="s">
        <v>18</v>
      </c>
      <c r="I182" s="1130" t="s">
        <v>60</v>
      </c>
      <c r="J182" s="1128" t="s">
        <v>61</v>
      </c>
      <c r="K182" s="1681" t="s">
        <v>18</v>
      </c>
      <c r="L182" s="1127" t="s">
        <v>60</v>
      </c>
      <c r="M182" s="1131" t="s">
        <v>61</v>
      </c>
      <c r="N182" s="1680" t="s">
        <v>18</v>
      </c>
      <c r="O182" s="1130" t="s">
        <v>60</v>
      </c>
      <c r="P182" s="1128" t="s">
        <v>61</v>
      </c>
      <c r="Q182" s="1681" t="s">
        <v>18</v>
      </c>
      <c r="R182" s="1130" t="s">
        <v>60</v>
      </c>
      <c r="S182" s="1131" t="s">
        <v>61</v>
      </c>
      <c r="T182" s="1680" t="s">
        <v>18</v>
      </c>
      <c r="U182" s="1130" t="s">
        <v>60</v>
      </c>
      <c r="V182" s="1131" t="s">
        <v>61</v>
      </c>
      <c r="W182" s="1680" t="s">
        <v>18</v>
      </c>
      <c r="X182" s="3257"/>
      <c r="Y182" s="1817" t="s">
        <v>60</v>
      </c>
      <c r="Z182" s="1818" t="s">
        <v>61</v>
      </c>
      <c r="AA182" s="1135" t="s">
        <v>18</v>
      </c>
      <c r="AC182" s="3483"/>
    </row>
    <row r="183" spans="1:29">
      <c r="A183" s="993" t="s">
        <v>62</v>
      </c>
      <c r="B183" s="1492" t="s">
        <v>15</v>
      </c>
      <c r="C183" s="1497">
        <f>'Table 4'!J20</f>
        <v>6.92</v>
      </c>
      <c r="D183" s="1507">
        <f>'Table 4'!K20</f>
        <v>0</v>
      </c>
      <c r="E183" s="1499">
        <f>'Table 4'!L20</f>
        <v>6.92</v>
      </c>
      <c r="F183" s="1497">
        <f>'Table 4'!M20</f>
        <v>8.07</v>
      </c>
      <c r="G183" s="1507">
        <f>'Table 4'!N20</f>
        <v>0</v>
      </c>
      <c r="H183" s="1499">
        <f>'Table 4'!O20+'Table 4'!P20</f>
        <v>8.07</v>
      </c>
      <c r="I183" s="1497">
        <f>'Table 4'!Q20</f>
        <v>8.69</v>
      </c>
      <c r="J183" s="1507">
        <f>'Table 4'!R20</f>
        <v>0</v>
      </c>
      <c r="K183" s="1499">
        <f>'Table 4'!S20+'Table 4'!T20</f>
        <v>8.69</v>
      </c>
      <c r="L183" s="1497">
        <f>'Table 4'!U20</f>
        <v>9.15</v>
      </c>
      <c r="M183" s="1507">
        <f>'Table 4'!V20</f>
        <v>0</v>
      </c>
      <c r="N183" s="1499">
        <f>'Table 4'!W20+'Table 4'!X20</f>
        <v>9.15</v>
      </c>
      <c r="O183" s="1497">
        <f>'Table 4'!Y20</f>
        <v>9.3800000000000008</v>
      </c>
      <c r="P183" s="1507">
        <f>'Table 4'!Z20</f>
        <v>0</v>
      </c>
      <c r="Q183" s="1499">
        <f>'Table 4'!AA20+'Table 4'!AB20</f>
        <v>9.51</v>
      </c>
      <c r="R183" s="1497">
        <f>'Table 4'!AC20</f>
        <v>9.4</v>
      </c>
      <c r="S183" s="1507">
        <f>'Table 4'!AD20</f>
        <v>0</v>
      </c>
      <c r="T183" s="1499">
        <f>'Table 4'!AE20+'Table 4'!AF20</f>
        <v>9.81</v>
      </c>
      <c r="U183" s="1497">
        <f>'Table 4'!AG20</f>
        <v>9.4</v>
      </c>
      <c r="V183" s="1507">
        <f>'Table 4'!AH20</f>
        <v>0</v>
      </c>
      <c r="W183" s="1499">
        <f>'Table 4'!AI20+'Table 4'!AJ20</f>
        <v>10.08</v>
      </c>
      <c r="X183" s="1813">
        <f>(W183-E183)/E183</f>
        <v>0.46</v>
      </c>
      <c r="Y183" s="1497">
        <f>'Table 4'!AL20</f>
        <v>9.74</v>
      </c>
      <c r="Z183" s="1507">
        <f>'Table 4'!AM20</f>
        <v>0</v>
      </c>
      <c r="AA183" s="1499">
        <f>'Table 4'!AN20+'Table 4'!AO20</f>
        <v>10.69</v>
      </c>
      <c r="AC183" s="1653">
        <f>W183-E183</f>
        <v>3.16</v>
      </c>
    </row>
    <row r="184" spans="1:29" ht="26.25">
      <c r="A184" s="993" t="s">
        <v>63</v>
      </c>
      <c r="B184" s="1492" t="s">
        <v>15</v>
      </c>
      <c r="C184" s="1497">
        <f>'Table 6'!K20</f>
        <v>3.87</v>
      </c>
      <c r="D184" s="1507">
        <f>'Table 6'!L20</f>
        <v>0</v>
      </c>
      <c r="E184" s="1499">
        <f>'Table 6'!M20</f>
        <v>3.87</v>
      </c>
      <c r="F184" s="1497">
        <f>'Table 6'!N20</f>
        <v>1.49</v>
      </c>
      <c r="G184" s="1507">
        <f>'Table 6'!O20</f>
        <v>0</v>
      </c>
      <c r="H184" s="1499">
        <f>'Table 6'!P20</f>
        <v>1.49</v>
      </c>
      <c r="I184" s="1497">
        <f>'Table 6'!Q20</f>
        <v>1.72</v>
      </c>
      <c r="J184" s="1507">
        <f>'Table 6'!R20</f>
        <v>0</v>
      </c>
      <c r="K184" s="1499">
        <f>'Table 6'!S20</f>
        <v>1.72</v>
      </c>
      <c r="L184" s="1497">
        <f>'Table 6'!T20</f>
        <v>1.85</v>
      </c>
      <c r="M184" s="1507">
        <f>'Table 6'!U20</f>
        <v>0</v>
      </c>
      <c r="N184" s="1499">
        <f>'Table 6'!V20</f>
        <v>1.85</v>
      </c>
      <c r="O184" s="1497">
        <f>'Table 6'!W20</f>
        <v>2.0299999999999998</v>
      </c>
      <c r="P184" s="1507">
        <f>'Table 6'!X20</f>
        <v>0</v>
      </c>
      <c r="Q184" s="1499">
        <f>'Table 6'!Y20</f>
        <v>2.0299999999999998</v>
      </c>
      <c r="R184" s="1497">
        <f>'Table 6'!Z20</f>
        <v>2.16</v>
      </c>
      <c r="S184" s="1507">
        <f>'Table 6'!AA20</f>
        <v>0</v>
      </c>
      <c r="T184" s="1499">
        <f>'Table 6'!AB20</f>
        <v>2.16</v>
      </c>
      <c r="U184" s="1497">
        <f>'Table 6'!AC20</f>
        <v>2.2799999999999998</v>
      </c>
      <c r="V184" s="1507">
        <f>'Table 6'!AD20</f>
        <v>0</v>
      </c>
      <c r="W184" s="1499">
        <f>'Table 6'!AE20</f>
        <v>2.2799999999999998</v>
      </c>
      <c r="X184" s="1813">
        <f t="shared" ref="X184:X189" si="410">(W184-E184)/E184</f>
        <v>-0.41</v>
      </c>
      <c r="Y184" s="1497">
        <f>'Table 6'!AG20</f>
        <v>2.42</v>
      </c>
      <c r="Z184" s="1507">
        <f>'Table 6'!AH20</f>
        <v>0</v>
      </c>
      <c r="AA184" s="1499">
        <f>'Table 6'!AI20</f>
        <v>2.42</v>
      </c>
      <c r="AC184" s="1653">
        <f t="shared" ref="AC184:AC189" si="411">W184-E184</f>
        <v>-1.59</v>
      </c>
    </row>
    <row r="185" spans="1:29">
      <c r="A185" s="798" t="s">
        <v>64</v>
      </c>
      <c r="B185" s="1492" t="s">
        <v>15</v>
      </c>
      <c r="C185" s="1497">
        <f>'Table 7'!C20</f>
        <v>0.67</v>
      </c>
      <c r="D185" s="1507">
        <f>'Table 7'!D20</f>
        <v>0</v>
      </c>
      <c r="E185" s="1499">
        <f>'Table 7'!E20</f>
        <v>0.67</v>
      </c>
      <c r="F185" s="1497">
        <f>'Table 7'!F20</f>
        <v>0.95</v>
      </c>
      <c r="G185" s="1507">
        <f>'Table 7'!G20</f>
        <v>0</v>
      </c>
      <c r="H185" s="1499">
        <f>'Table 7'!H20</f>
        <v>0.95</v>
      </c>
      <c r="I185" s="1497">
        <f>'Table 7'!I20</f>
        <v>0.97</v>
      </c>
      <c r="J185" s="1507">
        <f>'Table 7'!J20</f>
        <v>0</v>
      </c>
      <c r="K185" s="1499">
        <f>'Table 7'!K20</f>
        <v>0.97</v>
      </c>
      <c r="L185" s="1497">
        <f>'Table 7'!L20</f>
        <v>0.97</v>
      </c>
      <c r="M185" s="1507">
        <f>'Table 7'!M20</f>
        <v>0</v>
      </c>
      <c r="N185" s="1499">
        <f>'Table 7'!N20</f>
        <v>0.97</v>
      </c>
      <c r="O185" s="1497">
        <f>'Table 7'!O20</f>
        <v>0.98</v>
      </c>
      <c r="P185" s="1507">
        <f>'Table 7'!P20</f>
        <v>0</v>
      </c>
      <c r="Q185" s="1499">
        <f>'Table 7'!Q20</f>
        <v>0.98</v>
      </c>
      <c r="R185" s="1497">
        <f>'Table 7'!R20</f>
        <v>0.98</v>
      </c>
      <c r="S185" s="1507">
        <f>'Table 7'!S20</f>
        <v>0</v>
      </c>
      <c r="T185" s="1499">
        <f>'Table 7'!T20</f>
        <v>0.98</v>
      </c>
      <c r="U185" s="1497">
        <f>'Table 7'!U20</f>
        <v>1.17</v>
      </c>
      <c r="V185" s="1507">
        <f>'Table 7'!V20</f>
        <v>0</v>
      </c>
      <c r="W185" s="1499">
        <f>'Table 7'!W20</f>
        <v>1.17</v>
      </c>
      <c r="X185" s="1813">
        <f t="shared" si="410"/>
        <v>0.75</v>
      </c>
      <c r="Y185" s="1497">
        <f>'Table 7'!AG20</f>
        <v>1.29</v>
      </c>
      <c r="Z185" s="1507">
        <f>'Table 7'!AH20</f>
        <v>0</v>
      </c>
      <c r="AA185" s="1499">
        <f>'Table 7'!AI20</f>
        <v>1.29</v>
      </c>
      <c r="AC185" s="1653">
        <f t="shared" si="411"/>
        <v>0.5</v>
      </c>
    </row>
    <row r="186" spans="1:29">
      <c r="A186" s="798" t="s">
        <v>65</v>
      </c>
      <c r="B186" s="1492" t="s">
        <v>15</v>
      </c>
      <c r="C186" s="1497">
        <f>'Table 8'!C20</f>
        <v>0.86</v>
      </c>
      <c r="D186" s="1507">
        <f>'Table 8'!D20</f>
        <v>1.64</v>
      </c>
      <c r="E186" s="1499">
        <f>'Table 8'!E20</f>
        <v>2.5</v>
      </c>
      <c r="F186" s="1497">
        <f>'Table 8'!F20</f>
        <v>0.95</v>
      </c>
      <c r="G186" s="1507">
        <f>'Table 8'!G20</f>
        <v>1.8</v>
      </c>
      <c r="H186" s="1499">
        <f>'Table 8'!H20</f>
        <v>2.75</v>
      </c>
      <c r="I186" s="1497">
        <f>'Table 8'!I20</f>
        <v>1.05</v>
      </c>
      <c r="J186" s="1507">
        <f>'Table 8'!J20</f>
        <v>1.99</v>
      </c>
      <c r="K186" s="1499">
        <f>'Table 8'!K20</f>
        <v>3.04</v>
      </c>
      <c r="L186" s="1497">
        <f>'Table 8'!L20</f>
        <v>1.1200000000000001</v>
      </c>
      <c r="M186" s="1507">
        <f>'Table 8'!M20</f>
        <v>2.14</v>
      </c>
      <c r="N186" s="1499">
        <f>'Table 8'!N20</f>
        <v>3.26</v>
      </c>
      <c r="O186" s="1497">
        <f>'Table 8'!O20</f>
        <v>1.19</v>
      </c>
      <c r="P186" s="1507">
        <f>'Table 8'!P20</f>
        <v>2.2599999999999998</v>
      </c>
      <c r="Q186" s="1499">
        <f>'Table 8'!Q20</f>
        <v>3.45</v>
      </c>
      <c r="R186" s="1497">
        <f>'Table 8'!R20</f>
        <v>1.24</v>
      </c>
      <c r="S186" s="1507">
        <f>'Table 8'!S20</f>
        <v>2.37</v>
      </c>
      <c r="T186" s="1499">
        <f>'Table 8'!T20</f>
        <v>3.61</v>
      </c>
      <c r="U186" s="1497">
        <f>'Table 8'!U20</f>
        <v>1.29</v>
      </c>
      <c r="V186" s="1507">
        <f>'Table 8'!V20</f>
        <v>2.46</v>
      </c>
      <c r="W186" s="1499">
        <f>'Table 8'!W20</f>
        <v>3.75</v>
      </c>
      <c r="X186" s="1813">
        <f t="shared" si="410"/>
        <v>0.5</v>
      </c>
      <c r="Y186" s="1497">
        <f>'Table 8'!Y20</f>
        <v>1.58</v>
      </c>
      <c r="Z186" s="1507">
        <f>'Table 8'!Z20</f>
        <v>3</v>
      </c>
      <c r="AA186" s="1499">
        <f>'Table 8'!AA20</f>
        <v>4.58</v>
      </c>
      <c r="AC186" s="1653">
        <f t="shared" si="411"/>
        <v>1.25</v>
      </c>
    </row>
    <row r="187" spans="1:29" ht="15" customHeight="1">
      <c r="A187" s="798" t="s">
        <v>66</v>
      </c>
      <c r="B187" s="1518" t="s">
        <v>15</v>
      </c>
      <c r="C187" s="1519">
        <f>'Table 9'!C20</f>
        <v>33.06</v>
      </c>
      <c r="D187" s="1520">
        <f>'Table 9'!D20</f>
        <v>0.05</v>
      </c>
      <c r="E187" s="1521">
        <f>'Table 9'!E20</f>
        <v>33.11</v>
      </c>
      <c r="F187" s="1519">
        <f>'Table 9'!F20</f>
        <v>33.090000000000003</v>
      </c>
      <c r="G187" s="1520">
        <f>'Table 9'!G20</f>
        <v>0.05</v>
      </c>
      <c r="H187" s="1521">
        <f>'Table 9'!H20</f>
        <v>33.14</v>
      </c>
      <c r="I187" s="1519">
        <f>'Table 9'!I20</f>
        <v>33.130000000000003</v>
      </c>
      <c r="J187" s="1520">
        <f>'Table 9'!J20</f>
        <v>0.05</v>
      </c>
      <c r="K187" s="1521">
        <f>'Table 9'!K20</f>
        <v>33.18</v>
      </c>
      <c r="L187" s="1519">
        <f>'Table 9'!L20</f>
        <v>33.159999999999997</v>
      </c>
      <c r="M187" s="1520">
        <f>'Table 9'!M20</f>
        <v>0.05</v>
      </c>
      <c r="N187" s="1521">
        <f>'Table 9'!N20</f>
        <v>33.21</v>
      </c>
      <c r="O187" s="1519">
        <f>'Table 9'!O20</f>
        <v>33.18</v>
      </c>
      <c r="P187" s="1520">
        <f>'Table 9'!P20</f>
        <v>0.05</v>
      </c>
      <c r="Q187" s="1521">
        <f>'Table 9'!Q20</f>
        <v>33.229999999999997</v>
      </c>
      <c r="R187" s="1519">
        <f>'Table 9'!R20</f>
        <v>33.200000000000003</v>
      </c>
      <c r="S187" s="1520">
        <f>'Table 9'!S20</f>
        <v>0.05</v>
      </c>
      <c r="T187" s="1521">
        <f>'Table 9'!T20</f>
        <v>33.25</v>
      </c>
      <c r="U187" s="1519">
        <f>'Table 9'!U20</f>
        <v>33.22</v>
      </c>
      <c r="V187" s="1520">
        <f>'Table 9'!V20</f>
        <v>0.05</v>
      </c>
      <c r="W187" s="1521">
        <f>'Table 9'!W20</f>
        <v>33.270000000000003</v>
      </c>
      <c r="X187" s="1814">
        <f t="shared" si="410"/>
        <v>0</v>
      </c>
      <c r="Y187" s="1519">
        <f>U187</f>
        <v>33.22</v>
      </c>
      <c r="Z187" s="1520">
        <f t="shared" ref="Z187:Z188" si="412">V187</f>
        <v>0.05</v>
      </c>
      <c r="AA187" s="1521">
        <f t="shared" ref="AA187:AA188" si="413">W187</f>
        <v>33.270000000000003</v>
      </c>
      <c r="AC187" s="841">
        <f t="shared" si="411"/>
        <v>0.16</v>
      </c>
    </row>
    <row r="188" spans="1:29" ht="15.75" thickBot="1">
      <c r="A188" s="175" t="s">
        <v>67</v>
      </c>
      <c r="B188" s="1489" t="s">
        <v>15</v>
      </c>
      <c r="C188" s="1522">
        <f>'Table 10'!C20</f>
        <v>0</v>
      </c>
      <c r="D188" s="1523">
        <f>'Table 10'!D20</f>
        <v>0</v>
      </c>
      <c r="E188" s="1524">
        <f>'Table 10'!E20</f>
        <v>0</v>
      </c>
      <c r="F188" s="1522">
        <f>'Table 10'!F20</f>
        <v>0</v>
      </c>
      <c r="G188" s="1523">
        <f>'Table 10'!G20</f>
        <v>0</v>
      </c>
      <c r="H188" s="1524">
        <f>'Table 10'!H20</f>
        <v>0</v>
      </c>
      <c r="I188" s="1522">
        <f>'Table 10'!I20</f>
        <v>0</v>
      </c>
      <c r="J188" s="1523">
        <f>'Table 10'!J20</f>
        <v>0</v>
      </c>
      <c r="K188" s="1524">
        <f>'Table 10'!K20</f>
        <v>0</v>
      </c>
      <c r="L188" s="1522">
        <f>'Table 10'!L20</f>
        <v>0</v>
      </c>
      <c r="M188" s="1523">
        <f>'Table 10'!M20</f>
        <v>0</v>
      </c>
      <c r="N188" s="1524">
        <f>'Table 10'!N20</f>
        <v>0</v>
      </c>
      <c r="O188" s="1522">
        <f>'Table 10'!O20</f>
        <v>0</v>
      </c>
      <c r="P188" s="1523">
        <f>'Table 10'!P20</f>
        <v>0</v>
      </c>
      <c r="Q188" s="1524">
        <f>'Table 10'!Q20</f>
        <v>0</v>
      </c>
      <c r="R188" s="1522">
        <f>'Table 10'!R20</f>
        <v>0</v>
      </c>
      <c r="S188" s="1523">
        <f>'Table 10'!S20</f>
        <v>0</v>
      </c>
      <c r="T188" s="1524">
        <f>'Table 10'!T20</f>
        <v>0</v>
      </c>
      <c r="U188" s="1522">
        <f>'Table 10'!U20</f>
        <v>0</v>
      </c>
      <c r="V188" s="1523">
        <f>'Table 10'!V20</f>
        <v>0</v>
      </c>
      <c r="W188" s="1524">
        <f>'Table 10'!W20</f>
        <v>0</v>
      </c>
      <c r="X188" s="1815" t="s">
        <v>16</v>
      </c>
      <c r="Y188" s="1522">
        <f>U188</f>
        <v>0</v>
      </c>
      <c r="Z188" s="1523">
        <f t="shared" si="412"/>
        <v>0</v>
      </c>
      <c r="AA188" s="1524">
        <f t="shared" si="413"/>
        <v>0</v>
      </c>
      <c r="AC188" s="1822">
        <f t="shared" si="411"/>
        <v>0</v>
      </c>
    </row>
    <row r="189" spans="1:29" ht="16.5" thickTop="1" thickBot="1">
      <c r="A189" s="3481" t="s">
        <v>711</v>
      </c>
      <c r="B189" s="3482"/>
      <c r="C189" s="1512">
        <f t="shared" ref="C189:W189" si="414">C183+C184+C185+C186+C187+C188</f>
        <v>45.38</v>
      </c>
      <c r="D189" s="1538">
        <f t="shared" si="414"/>
        <v>1.69</v>
      </c>
      <c r="E189" s="1513">
        <f t="shared" si="414"/>
        <v>47.07</v>
      </c>
      <c r="F189" s="1512">
        <f t="shared" si="414"/>
        <v>44.55</v>
      </c>
      <c r="G189" s="1538">
        <f t="shared" si="414"/>
        <v>1.85</v>
      </c>
      <c r="H189" s="1513">
        <f t="shared" si="414"/>
        <v>46.4</v>
      </c>
      <c r="I189" s="1512">
        <f t="shared" si="414"/>
        <v>45.56</v>
      </c>
      <c r="J189" s="1538">
        <f t="shared" si="414"/>
        <v>2.04</v>
      </c>
      <c r="K189" s="1513">
        <f t="shared" si="414"/>
        <v>47.6</v>
      </c>
      <c r="L189" s="1512">
        <f t="shared" si="414"/>
        <v>46.25</v>
      </c>
      <c r="M189" s="1538">
        <f t="shared" si="414"/>
        <v>2.19</v>
      </c>
      <c r="N189" s="1513">
        <f t="shared" si="414"/>
        <v>48.44</v>
      </c>
      <c r="O189" s="1512">
        <f t="shared" si="414"/>
        <v>46.76</v>
      </c>
      <c r="P189" s="1538">
        <f t="shared" si="414"/>
        <v>2.31</v>
      </c>
      <c r="Q189" s="1513">
        <f t="shared" si="414"/>
        <v>49.2</v>
      </c>
      <c r="R189" s="1512">
        <f t="shared" si="414"/>
        <v>46.98</v>
      </c>
      <c r="S189" s="1538">
        <f t="shared" si="414"/>
        <v>2.42</v>
      </c>
      <c r="T189" s="1513">
        <f t="shared" si="414"/>
        <v>49.81</v>
      </c>
      <c r="U189" s="1512">
        <f t="shared" si="414"/>
        <v>47.36</v>
      </c>
      <c r="V189" s="1538">
        <f t="shared" si="414"/>
        <v>2.5099999999999998</v>
      </c>
      <c r="W189" s="1513">
        <f t="shared" si="414"/>
        <v>50.55</v>
      </c>
      <c r="X189" s="1517">
        <f t="shared" si="410"/>
        <v>7.0000000000000007E-2</v>
      </c>
      <c r="Y189" s="1512">
        <f>Y183+Y184+Y185+Y186+Y187+Y188</f>
        <v>48.25</v>
      </c>
      <c r="Z189" s="1538">
        <f>Z183+Z184+Z185+Z186+Z187+Z188</f>
        <v>3.05</v>
      </c>
      <c r="AA189" s="1513">
        <f>AA183+AA184+AA185+AA186+AA187+AA188</f>
        <v>52.25</v>
      </c>
      <c r="AC189" s="855">
        <f t="shared" si="411"/>
        <v>3.48</v>
      </c>
    </row>
    <row r="190" spans="1:29">
      <c r="A190" s="89" t="s">
        <v>35</v>
      </c>
    </row>
    <row r="191" spans="1:29">
      <c r="A191" s="1" t="s">
        <v>68</v>
      </c>
    </row>
    <row r="192" spans="1:29">
      <c r="A192" s="1" t="s">
        <v>69</v>
      </c>
    </row>
    <row r="193" spans="1:29">
      <c r="A193" s="1" t="s">
        <v>70</v>
      </c>
    </row>
    <row r="195" spans="1:29" ht="15.75" thickBot="1">
      <c r="A195" s="1" t="s">
        <v>712</v>
      </c>
    </row>
    <row r="196" spans="1:29" ht="15.75" customHeight="1" thickBot="1">
      <c r="A196" s="3204" t="s">
        <v>54</v>
      </c>
      <c r="B196" s="3206" t="s">
        <v>2</v>
      </c>
      <c r="C196" s="3261" t="s">
        <v>55</v>
      </c>
      <c r="D196" s="3262"/>
      <c r="E196" s="3263"/>
      <c r="F196" s="3261" t="s">
        <v>56</v>
      </c>
      <c r="G196" s="3262"/>
      <c r="H196" s="3262"/>
      <c r="I196" s="3262"/>
      <c r="J196" s="3262"/>
      <c r="K196" s="3262"/>
      <c r="L196" s="3262"/>
      <c r="M196" s="3262"/>
      <c r="N196" s="3262"/>
      <c r="O196" s="3262"/>
      <c r="P196" s="3262"/>
      <c r="Q196" s="3262"/>
      <c r="R196" s="3262"/>
      <c r="S196" s="3262"/>
      <c r="T196" s="3262"/>
      <c r="U196" s="3262"/>
      <c r="V196" s="3262"/>
      <c r="W196" s="3263"/>
      <c r="X196" s="3255" t="s">
        <v>57</v>
      </c>
      <c r="Y196" s="3261" t="s">
        <v>58</v>
      </c>
      <c r="Z196" s="3262"/>
      <c r="AA196" s="3263"/>
      <c r="AC196" s="3255" t="s">
        <v>80</v>
      </c>
    </row>
    <row r="197" spans="1:29">
      <c r="A197" s="3205"/>
      <c r="B197" s="3207"/>
      <c r="C197" s="3258">
        <v>2015</v>
      </c>
      <c r="D197" s="3264"/>
      <c r="E197" s="3245"/>
      <c r="F197" s="3258">
        <v>2020</v>
      </c>
      <c r="G197" s="3264"/>
      <c r="H197" s="3245"/>
      <c r="I197" s="3258">
        <v>2025</v>
      </c>
      <c r="J197" s="3264"/>
      <c r="K197" s="3245"/>
      <c r="L197" s="3258">
        <v>2030</v>
      </c>
      <c r="M197" s="3264"/>
      <c r="N197" s="3245"/>
      <c r="O197" s="3258">
        <v>2035</v>
      </c>
      <c r="P197" s="3264"/>
      <c r="Q197" s="3245"/>
      <c r="R197" s="3258">
        <v>2040</v>
      </c>
      <c r="S197" s="3264"/>
      <c r="T197" s="3245"/>
      <c r="U197" s="3258">
        <v>2045</v>
      </c>
      <c r="V197" s="3264"/>
      <c r="W197" s="3245"/>
      <c r="X197" s="3256"/>
      <c r="Y197" s="3258">
        <v>2045</v>
      </c>
      <c r="Z197" s="3264"/>
      <c r="AA197" s="3245"/>
      <c r="AC197" s="3256"/>
    </row>
    <row r="198" spans="1:29" ht="15.75" thickBot="1">
      <c r="A198" s="3485"/>
      <c r="B198" s="3208"/>
      <c r="C198" s="1130" t="s">
        <v>60</v>
      </c>
      <c r="D198" s="1128" t="s">
        <v>61</v>
      </c>
      <c r="E198" s="1681" t="s">
        <v>18</v>
      </c>
      <c r="F198" s="1127" t="s">
        <v>60</v>
      </c>
      <c r="G198" s="1131" t="s">
        <v>61</v>
      </c>
      <c r="H198" s="1680" t="s">
        <v>18</v>
      </c>
      <c r="I198" s="1130" t="s">
        <v>60</v>
      </c>
      <c r="J198" s="1128" t="s">
        <v>61</v>
      </c>
      <c r="K198" s="1681" t="s">
        <v>18</v>
      </c>
      <c r="L198" s="1127" t="s">
        <v>60</v>
      </c>
      <c r="M198" s="1131" t="s">
        <v>61</v>
      </c>
      <c r="N198" s="1680" t="s">
        <v>18</v>
      </c>
      <c r="O198" s="1130" t="s">
        <v>60</v>
      </c>
      <c r="P198" s="1128" t="s">
        <v>61</v>
      </c>
      <c r="Q198" s="1681" t="s">
        <v>18</v>
      </c>
      <c r="R198" s="1130" t="s">
        <v>60</v>
      </c>
      <c r="S198" s="1131" t="s">
        <v>61</v>
      </c>
      <c r="T198" s="1680" t="s">
        <v>18</v>
      </c>
      <c r="U198" s="1130" t="s">
        <v>60</v>
      </c>
      <c r="V198" s="1131" t="s">
        <v>61</v>
      </c>
      <c r="W198" s="1680" t="s">
        <v>18</v>
      </c>
      <c r="X198" s="3257"/>
      <c r="Y198" s="1817" t="s">
        <v>60</v>
      </c>
      <c r="Z198" s="1818" t="s">
        <v>61</v>
      </c>
      <c r="AA198" s="1135" t="s">
        <v>18</v>
      </c>
      <c r="AC198" s="3483"/>
    </row>
    <row r="199" spans="1:29">
      <c r="A199" s="993" t="s">
        <v>62</v>
      </c>
      <c r="B199" s="1492" t="s">
        <v>15</v>
      </c>
      <c r="C199" s="1497">
        <f>'Table 4'!J21</f>
        <v>2.1800000000000002</v>
      </c>
      <c r="D199" s="1507">
        <f>'Table 4'!K21</f>
        <v>0</v>
      </c>
      <c r="E199" s="1499">
        <f>'Table 4'!L21</f>
        <v>2.1800000000000002</v>
      </c>
      <c r="F199" s="1497">
        <f>'Table 4'!M21</f>
        <v>2.1</v>
      </c>
      <c r="G199" s="1507">
        <f>'Table 4'!N21</f>
        <v>0</v>
      </c>
      <c r="H199" s="1499">
        <f>'Table 4'!O21</f>
        <v>2.1</v>
      </c>
      <c r="I199" s="1497">
        <f>'Table 4'!Q21</f>
        <v>2.11</v>
      </c>
      <c r="J199" s="1507">
        <f>'Table 4'!R21</f>
        <v>0</v>
      </c>
      <c r="K199" s="1499">
        <f>'Table 4'!S21</f>
        <v>2.11</v>
      </c>
      <c r="L199" s="1497">
        <f>'Table 4'!U21</f>
        <v>2.12</v>
      </c>
      <c r="M199" s="1507">
        <f>'Table 4'!V21</f>
        <v>0</v>
      </c>
      <c r="N199" s="1499">
        <f>'Table 4'!W21</f>
        <v>2.12</v>
      </c>
      <c r="O199" s="1497">
        <f>'Table 4'!Y21</f>
        <v>2.13</v>
      </c>
      <c r="P199" s="1507">
        <f>'Table 4'!Z21</f>
        <v>0</v>
      </c>
      <c r="Q199" s="1499">
        <f>'Table 4'!AA21</f>
        <v>2.13</v>
      </c>
      <c r="R199" s="1497">
        <f>'Table 4'!AC21</f>
        <v>2.14</v>
      </c>
      <c r="S199" s="1507">
        <f>'Table 4'!AD21</f>
        <v>0</v>
      </c>
      <c r="T199" s="1499">
        <f>'Table 4'!AE21</f>
        <v>2.14</v>
      </c>
      <c r="U199" s="1497">
        <f>'Table 4'!AG21</f>
        <v>2.15</v>
      </c>
      <c r="V199" s="1507">
        <f>'Table 4'!AH21</f>
        <v>0</v>
      </c>
      <c r="W199" s="1499">
        <f>'Table 4'!AI21</f>
        <v>2.15</v>
      </c>
      <c r="X199" s="1813">
        <f>(W199-E199)/E199</f>
        <v>-0.01</v>
      </c>
      <c r="Y199" s="1497">
        <f>'Table 4'!AL21</f>
        <v>2.2799999999999998</v>
      </c>
      <c r="Z199" s="1507">
        <f>'Table 4'!AM21</f>
        <v>0</v>
      </c>
      <c r="AA199" s="1499">
        <f>'Table 4'!AN21</f>
        <v>2.2799999999999998</v>
      </c>
      <c r="AC199" s="1653">
        <f>W199-E199</f>
        <v>-0.03</v>
      </c>
    </row>
    <row r="200" spans="1:29" ht="26.25">
      <c r="A200" s="993" t="s">
        <v>63</v>
      </c>
      <c r="B200" s="1492" t="s">
        <v>15</v>
      </c>
      <c r="C200" s="1497">
        <f>'Table 6'!K21</f>
        <v>2.5499999999999998</v>
      </c>
      <c r="D200" s="1507">
        <f>'Table 6'!L21</f>
        <v>0</v>
      </c>
      <c r="E200" s="1499">
        <f>'Table 6'!M21</f>
        <v>2.5499999999999998</v>
      </c>
      <c r="F200" s="1497">
        <f>'Table 6'!N21</f>
        <v>3.24</v>
      </c>
      <c r="G200" s="1507">
        <f>'Table 6'!O21</f>
        <v>0</v>
      </c>
      <c r="H200" s="1499">
        <f>'Table 6'!P21</f>
        <v>3.24</v>
      </c>
      <c r="I200" s="1497">
        <f>'Table 6'!Q21</f>
        <v>3.24</v>
      </c>
      <c r="J200" s="1507">
        <f>'Table 6'!R21</f>
        <v>0</v>
      </c>
      <c r="K200" s="1499">
        <f>'Table 6'!S21</f>
        <v>3.24</v>
      </c>
      <c r="L200" s="1497">
        <f>'Table 6'!T21</f>
        <v>3.24</v>
      </c>
      <c r="M200" s="1507">
        <f>'Table 6'!U21</f>
        <v>0</v>
      </c>
      <c r="N200" s="1499">
        <f>'Table 6'!V21</f>
        <v>3.24</v>
      </c>
      <c r="O200" s="1497">
        <f>'Table 6'!W21</f>
        <v>3.24</v>
      </c>
      <c r="P200" s="1507">
        <f>'Table 6'!X21</f>
        <v>0</v>
      </c>
      <c r="Q200" s="1499">
        <f>'Table 6'!Y21</f>
        <v>3.24</v>
      </c>
      <c r="R200" s="1497">
        <f>'Table 6'!Z21</f>
        <v>3.24</v>
      </c>
      <c r="S200" s="1507">
        <f>'Table 6'!AA21</f>
        <v>0</v>
      </c>
      <c r="T200" s="1499">
        <f>'Table 6'!AB21</f>
        <v>3.24</v>
      </c>
      <c r="U200" s="1497">
        <f>'Table 6'!AC21</f>
        <v>3.24</v>
      </c>
      <c r="V200" s="1507">
        <f>'Table 6'!AD21</f>
        <v>0</v>
      </c>
      <c r="W200" s="1499">
        <f>'Table 6'!AE21</f>
        <v>3.24</v>
      </c>
      <c r="X200" s="1813">
        <f t="shared" ref="X200:X205" si="415">(W200-E200)/E200</f>
        <v>0.27</v>
      </c>
      <c r="Y200" s="1497">
        <f>'Table 6'!AG21</f>
        <v>3.43</v>
      </c>
      <c r="Z200" s="1507">
        <f>'Table 6'!AH21</f>
        <v>0</v>
      </c>
      <c r="AA200" s="1499">
        <f>'Table 6'!AI21</f>
        <v>3.43</v>
      </c>
      <c r="AC200" s="1653">
        <f t="shared" ref="AC200:AC205" si="416">W200-E200</f>
        <v>0.69</v>
      </c>
    </row>
    <row r="201" spans="1:29">
      <c r="A201" s="798" t="s">
        <v>64</v>
      </c>
      <c r="B201" s="1492" t="s">
        <v>15</v>
      </c>
      <c r="C201" s="1497">
        <f>'Table 7'!C21</f>
        <v>15.5</v>
      </c>
      <c r="D201" s="1507">
        <f>'Table 7'!D21</f>
        <v>0.26</v>
      </c>
      <c r="E201" s="1499">
        <f>'Table 7'!E21</f>
        <v>15.76</v>
      </c>
      <c r="F201" s="1497">
        <f>'Table 7'!F21</f>
        <v>16.75</v>
      </c>
      <c r="G201" s="1507">
        <f>'Table 7'!G21</f>
        <v>0.28000000000000003</v>
      </c>
      <c r="H201" s="1499">
        <f>'Table 7'!H21</f>
        <v>17.03</v>
      </c>
      <c r="I201" s="1497">
        <f>'Table 7'!I21</f>
        <v>17.75</v>
      </c>
      <c r="J201" s="1507">
        <f>'Table 7'!J21</f>
        <v>0.3</v>
      </c>
      <c r="K201" s="1499">
        <f>'Table 7'!K21</f>
        <v>18.05</v>
      </c>
      <c r="L201" s="1497">
        <f>'Table 7'!L21</f>
        <v>18.64</v>
      </c>
      <c r="M201" s="1507">
        <f>'Table 7'!M21</f>
        <v>0.31</v>
      </c>
      <c r="N201" s="1499">
        <f>'Table 7'!N21</f>
        <v>18.95</v>
      </c>
      <c r="O201" s="1497">
        <f>'Table 7'!O21</f>
        <v>19.45</v>
      </c>
      <c r="P201" s="1507">
        <f>'Table 7'!P21</f>
        <v>0.33</v>
      </c>
      <c r="Q201" s="1499">
        <f>'Table 7'!Q21</f>
        <v>19.78</v>
      </c>
      <c r="R201" s="1497">
        <f>'Table 7'!R21</f>
        <v>20.38</v>
      </c>
      <c r="S201" s="1507">
        <f>'Table 7'!S21</f>
        <v>0.34</v>
      </c>
      <c r="T201" s="1499">
        <f>'Table 7'!T21</f>
        <v>20.72</v>
      </c>
      <c r="U201" s="1497">
        <f>'Table 7'!U21</f>
        <v>21.3</v>
      </c>
      <c r="V201" s="1507">
        <f>'Table 7'!V21</f>
        <v>0.36</v>
      </c>
      <c r="W201" s="1499">
        <f>'Table 7'!W21</f>
        <v>21.66</v>
      </c>
      <c r="X201" s="1813">
        <f t="shared" si="415"/>
        <v>0.37</v>
      </c>
      <c r="Y201" s="1497">
        <f>'Table 7'!AG21</f>
        <v>28.77</v>
      </c>
      <c r="Z201" s="1507">
        <f>'Table 7'!AH21</f>
        <v>0.48</v>
      </c>
      <c r="AA201" s="1499">
        <f>'Table 7'!AI21</f>
        <v>29.25</v>
      </c>
      <c r="AC201" s="1653">
        <f t="shared" si="416"/>
        <v>5.9</v>
      </c>
    </row>
    <row r="202" spans="1:29">
      <c r="A202" s="798" t="s">
        <v>65</v>
      </c>
      <c r="B202" s="1492" t="s">
        <v>15</v>
      </c>
      <c r="C202" s="1497">
        <f>'Table 8'!C21</f>
        <v>0.37</v>
      </c>
      <c r="D202" s="1507">
        <f>'Table 8'!D21</f>
        <v>0.49</v>
      </c>
      <c r="E202" s="1499">
        <f>'Table 8'!E21</f>
        <v>0.86</v>
      </c>
      <c r="F202" s="1497">
        <f>'Table 8'!F21</f>
        <v>0.37</v>
      </c>
      <c r="G202" s="1507">
        <f>'Table 8'!G21</f>
        <v>0.5</v>
      </c>
      <c r="H202" s="1499">
        <f>'Table 8'!H21</f>
        <v>0.87</v>
      </c>
      <c r="I202" s="1497">
        <f>'Table 8'!I21</f>
        <v>0.37</v>
      </c>
      <c r="J202" s="1507">
        <f>'Table 8'!J21</f>
        <v>0.5</v>
      </c>
      <c r="K202" s="1499">
        <f>'Table 8'!K21</f>
        <v>0.87</v>
      </c>
      <c r="L202" s="1497">
        <f>'Table 8'!L21</f>
        <v>0.37</v>
      </c>
      <c r="M202" s="1507">
        <f>'Table 8'!M21</f>
        <v>0.5</v>
      </c>
      <c r="N202" s="1499">
        <f>'Table 8'!N21</f>
        <v>0.87</v>
      </c>
      <c r="O202" s="1497">
        <f>'Table 8'!O21</f>
        <v>0.37</v>
      </c>
      <c r="P202" s="1507">
        <f>'Table 8'!P21</f>
        <v>0.5</v>
      </c>
      <c r="Q202" s="1499">
        <f>'Table 8'!Q21</f>
        <v>0.87</v>
      </c>
      <c r="R202" s="1497">
        <f>'Table 8'!R21</f>
        <v>0.37</v>
      </c>
      <c r="S202" s="1507">
        <f>'Table 8'!S21</f>
        <v>0.5</v>
      </c>
      <c r="T202" s="1499">
        <f>'Table 8'!T21</f>
        <v>0.87</v>
      </c>
      <c r="U202" s="1497">
        <f>'Table 8'!U21</f>
        <v>0.37</v>
      </c>
      <c r="V202" s="1507">
        <f>'Table 8'!V21</f>
        <v>0.5</v>
      </c>
      <c r="W202" s="1499">
        <f>'Table 8'!W21</f>
        <v>0.87</v>
      </c>
      <c r="X202" s="1813">
        <f t="shared" si="415"/>
        <v>0.01</v>
      </c>
      <c r="Y202" s="1497">
        <f>'Table 8'!Y21</f>
        <v>0.68</v>
      </c>
      <c r="Z202" s="1507">
        <f>'Table 8'!Z21</f>
        <v>0.9</v>
      </c>
      <c r="AA202" s="1499">
        <f>'Table 8'!AA21</f>
        <v>1.58</v>
      </c>
      <c r="AC202" s="1653">
        <f t="shared" si="416"/>
        <v>0.01</v>
      </c>
    </row>
    <row r="203" spans="1:29" ht="15" customHeight="1">
      <c r="A203" s="798" t="s">
        <v>66</v>
      </c>
      <c r="B203" s="1518" t="s">
        <v>15</v>
      </c>
      <c r="C203" s="1519">
        <f>'Table 9'!C21</f>
        <v>3.69</v>
      </c>
      <c r="D203" s="1520">
        <f>'Table 9'!D21</f>
        <v>23.85</v>
      </c>
      <c r="E203" s="1521">
        <f>'Table 9'!E21</f>
        <v>27.54</v>
      </c>
      <c r="F203" s="1519">
        <f>'Table 9'!F21</f>
        <v>3.69</v>
      </c>
      <c r="G203" s="1520">
        <f>'Table 9'!G21</f>
        <v>23.87</v>
      </c>
      <c r="H203" s="1521">
        <f>'Table 9'!H21</f>
        <v>27.56</v>
      </c>
      <c r="I203" s="1519">
        <f>'Table 9'!I21</f>
        <v>3.69</v>
      </c>
      <c r="J203" s="1520">
        <f>'Table 9'!J21</f>
        <v>23.88</v>
      </c>
      <c r="K203" s="1521">
        <f>'Table 9'!K21</f>
        <v>27.57</v>
      </c>
      <c r="L203" s="1519">
        <f>'Table 9'!L21</f>
        <v>3.69</v>
      </c>
      <c r="M203" s="1520">
        <f>'Table 9'!M21</f>
        <v>23.88</v>
      </c>
      <c r="N203" s="1521">
        <f>'Table 9'!N21</f>
        <v>27.57</v>
      </c>
      <c r="O203" s="1519">
        <f>'Table 9'!O21</f>
        <v>3.7</v>
      </c>
      <c r="P203" s="1520">
        <f>'Table 9'!P21</f>
        <v>23.88</v>
      </c>
      <c r="Q203" s="1521">
        <f>'Table 9'!Q21</f>
        <v>27.58</v>
      </c>
      <c r="R203" s="1519">
        <f>'Table 9'!R21</f>
        <v>3.7</v>
      </c>
      <c r="S203" s="1520">
        <f>'Table 9'!S21</f>
        <v>23.89</v>
      </c>
      <c r="T203" s="1521">
        <f>'Table 9'!T21</f>
        <v>27.59</v>
      </c>
      <c r="U203" s="1519">
        <f>'Table 9'!U21</f>
        <v>3.7</v>
      </c>
      <c r="V203" s="1520">
        <f>'Table 9'!V21</f>
        <v>23.9</v>
      </c>
      <c r="W203" s="1521">
        <f>'Table 9'!W21</f>
        <v>27.6</v>
      </c>
      <c r="X203" s="1814">
        <f t="shared" si="415"/>
        <v>0</v>
      </c>
      <c r="Y203" s="1519">
        <f>U203</f>
        <v>3.7</v>
      </c>
      <c r="Z203" s="1520">
        <f t="shared" ref="Z203:Z204" si="417">V203</f>
        <v>23.9</v>
      </c>
      <c r="AA203" s="1521">
        <f t="shared" ref="AA203:AA204" si="418">W203</f>
        <v>27.6</v>
      </c>
      <c r="AC203" s="841">
        <f t="shared" si="416"/>
        <v>0.06</v>
      </c>
    </row>
    <row r="204" spans="1:29" ht="15.75" thickBot="1">
      <c r="A204" s="175" t="s">
        <v>67</v>
      </c>
      <c r="B204" s="1489" t="s">
        <v>15</v>
      </c>
      <c r="C204" s="1522">
        <f>'Table 10'!C21</f>
        <v>0.45</v>
      </c>
      <c r="D204" s="1523">
        <f>'Table 10'!D21</f>
        <v>0.3</v>
      </c>
      <c r="E204" s="1524">
        <f>'Table 10'!E21</f>
        <v>0.75</v>
      </c>
      <c r="F204" s="1522">
        <f>'Table 10'!F21</f>
        <v>0.48</v>
      </c>
      <c r="G204" s="1523">
        <f>'Table 10'!G21</f>
        <v>0.32</v>
      </c>
      <c r="H204" s="1524">
        <f>'Table 10'!H21</f>
        <v>0.8</v>
      </c>
      <c r="I204" s="1522">
        <f>'Table 10'!I21</f>
        <v>0.51</v>
      </c>
      <c r="J204" s="1523">
        <f>'Table 10'!J21</f>
        <v>0.34</v>
      </c>
      <c r="K204" s="1524">
        <f>'Table 10'!K21</f>
        <v>0.85</v>
      </c>
      <c r="L204" s="1522">
        <f>'Table 10'!L21</f>
        <v>0.54</v>
      </c>
      <c r="M204" s="1523">
        <f>'Table 10'!M21</f>
        <v>0.36</v>
      </c>
      <c r="N204" s="1524">
        <f>'Table 10'!N21</f>
        <v>0.9</v>
      </c>
      <c r="O204" s="1522">
        <f>'Table 10'!O21</f>
        <v>0.56000000000000005</v>
      </c>
      <c r="P204" s="1523">
        <f>'Table 10'!P21</f>
        <v>0.37</v>
      </c>
      <c r="Q204" s="1524">
        <f>'Table 10'!Q21</f>
        <v>0.93</v>
      </c>
      <c r="R204" s="1522">
        <f>'Table 10'!R21</f>
        <v>0.56999999999999995</v>
      </c>
      <c r="S204" s="1523">
        <f>'Table 10'!S21</f>
        <v>0.38</v>
      </c>
      <c r="T204" s="1524">
        <f>'Table 10'!T21</f>
        <v>0.95</v>
      </c>
      <c r="U204" s="1522">
        <f>'Table 10'!U21</f>
        <v>0.57999999999999996</v>
      </c>
      <c r="V204" s="1523">
        <f>'Table 10'!V21</f>
        <v>0.39</v>
      </c>
      <c r="W204" s="1524">
        <f>'Table 10'!W21</f>
        <v>0.97</v>
      </c>
      <c r="X204" s="1816">
        <f t="shared" si="415"/>
        <v>0.28999999999999998</v>
      </c>
      <c r="Y204" s="1522">
        <f>U204</f>
        <v>0.57999999999999996</v>
      </c>
      <c r="Z204" s="1523">
        <f t="shared" si="417"/>
        <v>0.39</v>
      </c>
      <c r="AA204" s="1524">
        <f t="shared" si="418"/>
        <v>0.97</v>
      </c>
      <c r="AC204" s="1822">
        <f t="shared" si="416"/>
        <v>0.22</v>
      </c>
    </row>
    <row r="205" spans="1:29" ht="16.5" thickTop="1" thickBot="1">
      <c r="A205" s="3481" t="s">
        <v>713</v>
      </c>
      <c r="B205" s="3482"/>
      <c r="C205" s="1512">
        <f t="shared" ref="C205:W205" si="419">C199+C200+C201+C202+C203+C204</f>
        <v>24.74</v>
      </c>
      <c r="D205" s="1538">
        <f t="shared" si="419"/>
        <v>24.9</v>
      </c>
      <c r="E205" s="1513">
        <f t="shared" si="419"/>
        <v>49.64</v>
      </c>
      <c r="F205" s="1512">
        <f t="shared" si="419"/>
        <v>26.63</v>
      </c>
      <c r="G205" s="1538">
        <f t="shared" si="419"/>
        <v>24.97</v>
      </c>
      <c r="H205" s="1513">
        <f t="shared" si="419"/>
        <v>51.6</v>
      </c>
      <c r="I205" s="1512">
        <f t="shared" si="419"/>
        <v>27.67</v>
      </c>
      <c r="J205" s="1538">
        <f t="shared" si="419"/>
        <v>25.02</v>
      </c>
      <c r="K205" s="1513">
        <f t="shared" si="419"/>
        <v>52.69</v>
      </c>
      <c r="L205" s="1512">
        <f t="shared" si="419"/>
        <v>28.6</v>
      </c>
      <c r="M205" s="1538">
        <f t="shared" si="419"/>
        <v>25.05</v>
      </c>
      <c r="N205" s="1513">
        <f t="shared" si="419"/>
        <v>53.65</v>
      </c>
      <c r="O205" s="1512">
        <f t="shared" si="419"/>
        <v>29.45</v>
      </c>
      <c r="P205" s="1538">
        <f t="shared" si="419"/>
        <v>25.08</v>
      </c>
      <c r="Q205" s="1513">
        <f t="shared" si="419"/>
        <v>54.53</v>
      </c>
      <c r="R205" s="1512">
        <f t="shared" si="419"/>
        <v>30.4</v>
      </c>
      <c r="S205" s="1538">
        <f t="shared" si="419"/>
        <v>25.11</v>
      </c>
      <c r="T205" s="1513">
        <f t="shared" si="419"/>
        <v>55.51</v>
      </c>
      <c r="U205" s="1512">
        <f t="shared" si="419"/>
        <v>31.34</v>
      </c>
      <c r="V205" s="1538">
        <f t="shared" si="419"/>
        <v>25.15</v>
      </c>
      <c r="W205" s="1513">
        <f t="shared" si="419"/>
        <v>56.49</v>
      </c>
      <c r="X205" s="1517">
        <f t="shared" si="415"/>
        <v>0.14000000000000001</v>
      </c>
      <c r="Y205" s="1512">
        <f>Y199+Y200+Y201+Y202+Y203+Y204</f>
        <v>39.44</v>
      </c>
      <c r="Z205" s="1538">
        <f>Z199+Z200+Z201+Z202+Z203+Z204</f>
        <v>25.67</v>
      </c>
      <c r="AA205" s="1513">
        <f>AA199+AA200+AA201+AA202+AA203+AA204</f>
        <v>65.11</v>
      </c>
      <c r="AC205" s="855">
        <f t="shared" si="416"/>
        <v>6.85</v>
      </c>
    </row>
    <row r="206" spans="1:29">
      <c r="A206" s="89" t="s">
        <v>35</v>
      </c>
    </row>
    <row r="207" spans="1:29">
      <c r="A207" s="1" t="s">
        <v>68</v>
      </c>
    </row>
    <row r="208" spans="1:29">
      <c r="A208" s="1" t="s">
        <v>69</v>
      </c>
    </row>
    <row r="210" spans="1:29" ht="15.75" thickBot="1">
      <c r="A210" s="1" t="s">
        <v>714</v>
      </c>
    </row>
    <row r="211" spans="1:29" ht="15.75" customHeight="1" thickBot="1">
      <c r="A211" s="3204" t="s">
        <v>54</v>
      </c>
      <c r="B211" s="3206" t="s">
        <v>2</v>
      </c>
      <c r="C211" s="3261" t="s">
        <v>55</v>
      </c>
      <c r="D211" s="3262"/>
      <c r="E211" s="3263"/>
      <c r="F211" s="3261" t="s">
        <v>56</v>
      </c>
      <c r="G211" s="3262"/>
      <c r="H211" s="3262"/>
      <c r="I211" s="3262"/>
      <c r="J211" s="3262"/>
      <c r="K211" s="3262"/>
      <c r="L211" s="3262"/>
      <c r="M211" s="3262"/>
      <c r="N211" s="3262"/>
      <c r="O211" s="3262"/>
      <c r="P211" s="3262"/>
      <c r="Q211" s="3262"/>
      <c r="R211" s="3262"/>
      <c r="S211" s="3262"/>
      <c r="T211" s="3262"/>
      <c r="U211" s="3262"/>
      <c r="V211" s="3262"/>
      <c r="W211" s="3263"/>
      <c r="X211" s="3255" t="s">
        <v>57</v>
      </c>
      <c r="Y211" s="3261" t="s">
        <v>58</v>
      </c>
      <c r="Z211" s="3262"/>
      <c r="AA211" s="3263"/>
      <c r="AC211" s="3255" t="s">
        <v>80</v>
      </c>
    </row>
    <row r="212" spans="1:29">
      <c r="A212" s="3205"/>
      <c r="B212" s="3207"/>
      <c r="C212" s="3258">
        <v>2015</v>
      </c>
      <c r="D212" s="3264"/>
      <c r="E212" s="3245"/>
      <c r="F212" s="3258">
        <v>2020</v>
      </c>
      <c r="G212" s="3264"/>
      <c r="H212" s="3245"/>
      <c r="I212" s="3258">
        <v>2025</v>
      </c>
      <c r="J212" s="3264"/>
      <c r="K212" s="3245"/>
      <c r="L212" s="3258">
        <v>2030</v>
      </c>
      <c r="M212" s="3264"/>
      <c r="N212" s="3245"/>
      <c r="O212" s="3258">
        <v>2035</v>
      </c>
      <c r="P212" s="3264"/>
      <c r="Q212" s="3245"/>
      <c r="R212" s="3258">
        <v>2040</v>
      </c>
      <c r="S212" s="3264"/>
      <c r="T212" s="3245"/>
      <c r="U212" s="3258">
        <v>2045</v>
      </c>
      <c r="V212" s="3264"/>
      <c r="W212" s="3245"/>
      <c r="X212" s="3256"/>
      <c r="Y212" s="3258">
        <v>2045</v>
      </c>
      <c r="Z212" s="3264"/>
      <c r="AA212" s="3245"/>
      <c r="AC212" s="3256"/>
    </row>
    <row r="213" spans="1:29" ht="15.75" thickBot="1">
      <c r="A213" s="3485"/>
      <c r="B213" s="3208"/>
      <c r="C213" s="1130" t="s">
        <v>60</v>
      </c>
      <c r="D213" s="1128" t="s">
        <v>61</v>
      </c>
      <c r="E213" s="1681" t="s">
        <v>18</v>
      </c>
      <c r="F213" s="1127" t="s">
        <v>60</v>
      </c>
      <c r="G213" s="1131" t="s">
        <v>61</v>
      </c>
      <c r="H213" s="1680" t="s">
        <v>18</v>
      </c>
      <c r="I213" s="1130" t="s">
        <v>60</v>
      </c>
      <c r="J213" s="1128" t="s">
        <v>61</v>
      </c>
      <c r="K213" s="1681" t="s">
        <v>18</v>
      </c>
      <c r="L213" s="1127" t="s">
        <v>60</v>
      </c>
      <c r="M213" s="1131" t="s">
        <v>61</v>
      </c>
      <c r="N213" s="1680" t="s">
        <v>18</v>
      </c>
      <c r="O213" s="1130" t="s">
        <v>60</v>
      </c>
      <c r="P213" s="1128" t="s">
        <v>61</v>
      </c>
      <c r="Q213" s="1681" t="s">
        <v>18</v>
      </c>
      <c r="R213" s="1130" t="s">
        <v>60</v>
      </c>
      <c r="S213" s="1131" t="s">
        <v>61</v>
      </c>
      <c r="T213" s="1680" t="s">
        <v>18</v>
      </c>
      <c r="U213" s="1130" t="s">
        <v>60</v>
      </c>
      <c r="V213" s="1131" t="s">
        <v>61</v>
      </c>
      <c r="W213" s="1680" t="s">
        <v>18</v>
      </c>
      <c r="X213" s="3257"/>
      <c r="Y213" s="1817" t="s">
        <v>60</v>
      </c>
      <c r="Z213" s="1818" t="s">
        <v>61</v>
      </c>
      <c r="AA213" s="1135" t="s">
        <v>18</v>
      </c>
      <c r="AC213" s="3483"/>
    </row>
    <row r="214" spans="1:29">
      <c r="A214" s="993" t="s">
        <v>62</v>
      </c>
      <c r="B214" s="1492" t="s">
        <v>15</v>
      </c>
      <c r="C214" s="1497">
        <f>'Table 4'!J22</f>
        <v>19.21</v>
      </c>
      <c r="D214" s="1507">
        <f>'Table 4'!K22</f>
        <v>0</v>
      </c>
      <c r="E214" s="1499">
        <f>'Table 4'!L22</f>
        <v>19.21</v>
      </c>
      <c r="F214" s="1497">
        <f>'Table 4'!M22</f>
        <v>28.56</v>
      </c>
      <c r="G214" s="1507">
        <f>'Table 4'!N22</f>
        <v>0</v>
      </c>
      <c r="H214" s="1499">
        <f>'Table 4'!O22+'Table 4'!P22</f>
        <v>30.77</v>
      </c>
      <c r="I214" s="1497">
        <f>'Table 4'!Q22</f>
        <v>32.479999999999997</v>
      </c>
      <c r="J214" s="1507">
        <f>'Table 4'!R22</f>
        <v>0</v>
      </c>
      <c r="K214" s="1499">
        <f>'Table 4'!S22+'Table 4'!T22</f>
        <v>36.32</v>
      </c>
      <c r="L214" s="1497">
        <f>'Table 4'!U22</f>
        <v>32.590000000000003</v>
      </c>
      <c r="M214" s="1507">
        <f>'Table 4'!V22</f>
        <v>0</v>
      </c>
      <c r="N214" s="1499">
        <f>'Table 4'!W22+'Table 4'!X22</f>
        <v>40.99</v>
      </c>
      <c r="O214" s="1497">
        <f>'Table 4'!Y22</f>
        <v>32.65</v>
      </c>
      <c r="P214" s="1507">
        <f>'Table 4'!Z22</f>
        <v>0</v>
      </c>
      <c r="Q214" s="1499">
        <f>'Table 4'!AA22+'Table 4'!AB22</f>
        <v>44.79</v>
      </c>
      <c r="R214" s="1497">
        <f>'Table 4'!AC22</f>
        <v>32.76</v>
      </c>
      <c r="S214" s="1507">
        <f>'Table 4'!AD22</f>
        <v>0</v>
      </c>
      <c r="T214" s="1499">
        <f>'Table 4'!AE22+'Table 4'!AF22</f>
        <v>48.04</v>
      </c>
      <c r="U214" s="1497">
        <f>'Table 4'!AG22</f>
        <v>33.07</v>
      </c>
      <c r="V214" s="1507">
        <f>'Table 4'!AH22</f>
        <v>0</v>
      </c>
      <c r="W214" s="1499">
        <f>'Table 4'!AI22+'Table 4'!AJ22</f>
        <v>51.02</v>
      </c>
      <c r="X214" s="1813">
        <f>(W214-E214)/E214</f>
        <v>1.66</v>
      </c>
      <c r="Y214" s="1497">
        <f>'Table 4'!AL22</f>
        <v>33.75</v>
      </c>
      <c r="Z214" s="1507">
        <f>'Table 4'!AM22</f>
        <v>0</v>
      </c>
      <c r="AA214" s="1499">
        <f>'Table 4'!AN22+'Table 4'!AO22</f>
        <v>54.08</v>
      </c>
      <c r="AC214" s="1653">
        <f>W214-E214</f>
        <v>31.81</v>
      </c>
    </row>
    <row r="215" spans="1:29" ht="26.25">
      <c r="A215" s="993" t="s">
        <v>63</v>
      </c>
      <c r="B215" s="1492" t="s">
        <v>15</v>
      </c>
      <c r="C215" s="1497">
        <f>'Table 6'!K22</f>
        <v>2.78</v>
      </c>
      <c r="D215" s="1507">
        <f>'Table 6'!L22</f>
        <v>0</v>
      </c>
      <c r="E215" s="1499">
        <f>'Table 6'!M22</f>
        <v>2.78</v>
      </c>
      <c r="F215" s="1497">
        <f>'Table 6'!N22</f>
        <v>4.6100000000000003</v>
      </c>
      <c r="G215" s="1507">
        <f>'Table 6'!O22</f>
        <v>0</v>
      </c>
      <c r="H215" s="1499">
        <f>'Table 6'!P22</f>
        <v>4.6100000000000003</v>
      </c>
      <c r="I215" s="1497">
        <f>'Table 6'!Q22</f>
        <v>5.4</v>
      </c>
      <c r="J215" s="1507">
        <f>'Table 6'!R22</f>
        <v>0</v>
      </c>
      <c r="K215" s="1499">
        <f>'Table 6'!S22</f>
        <v>5.4</v>
      </c>
      <c r="L215" s="1497">
        <f>'Table 6'!T22</f>
        <v>6.22</v>
      </c>
      <c r="M215" s="1507">
        <f>'Table 6'!U22</f>
        <v>0</v>
      </c>
      <c r="N215" s="1499">
        <f>'Table 6'!V22</f>
        <v>6.22</v>
      </c>
      <c r="O215" s="1497">
        <f>'Table 6'!W22</f>
        <v>6.89</v>
      </c>
      <c r="P215" s="1507">
        <f>'Table 6'!X22</f>
        <v>0</v>
      </c>
      <c r="Q215" s="1499">
        <f>'Table 6'!Y22</f>
        <v>6.89</v>
      </c>
      <c r="R215" s="1497">
        <f>'Table 6'!Z22</f>
        <v>7.6</v>
      </c>
      <c r="S215" s="1507">
        <f>'Table 6'!AA22</f>
        <v>0</v>
      </c>
      <c r="T215" s="1499">
        <f>'Table 6'!AB22</f>
        <v>7.6</v>
      </c>
      <c r="U215" s="1497">
        <f>'Table 6'!AC22</f>
        <v>8.25</v>
      </c>
      <c r="V215" s="1507">
        <f>'Table 6'!AD22</f>
        <v>0</v>
      </c>
      <c r="W215" s="1499">
        <f>'Table 6'!AE22</f>
        <v>8.25</v>
      </c>
      <c r="X215" s="1813">
        <f t="shared" ref="X215:X220" si="420">(W215-E215)/E215</f>
        <v>1.97</v>
      </c>
      <c r="Y215" s="1497">
        <f>'Table 6'!AG22</f>
        <v>8.74</v>
      </c>
      <c r="Z215" s="1507">
        <f>'Table 6'!AH22</f>
        <v>0</v>
      </c>
      <c r="AA215" s="1499">
        <f>'Table 6'!AI22</f>
        <v>8.74</v>
      </c>
      <c r="AC215" s="1653">
        <f t="shared" ref="AC215:AC220" si="421">W215-E215</f>
        <v>5.47</v>
      </c>
    </row>
    <row r="216" spans="1:29">
      <c r="A216" s="798" t="s">
        <v>64</v>
      </c>
      <c r="B216" s="1492" t="s">
        <v>15</v>
      </c>
      <c r="C216" s="1497">
        <f>'Table 7'!C22</f>
        <v>18.18</v>
      </c>
      <c r="D216" s="1507">
        <f>'Table 7'!D22</f>
        <v>0</v>
      </c>
      <c r="E216" s="1499">
        <f>'Table 7'!E22</f>
        <v>18.18</v>
      </c>
      <c r="F216" s="1497">
        <f>'Table 7'!F22</f>
        <v>25.76</v>
      </c>
      <c r="G216" s="1507">
        <f>'Table 7'!G22</f>
        <v>0</v>
      </c>
      <c r="H216" s="1499">
        <f>'Table 7'!H22</f>
        <v>25.76</v>
      </c>
      <c r="I216" s="1497">
        <f>'Table 7'!I22</f>
        <v>25.35</v>
      </c>
      <c r="J216" s="1507">
        <f>'Table 7'!J22</f>
        <v>0</v>
      </c>
      <c r="K216" s="1499">
        <f>'Table 7'!K22</f>
        <v>25.35</v>
      </c>
      <c r="L216" s="1497">
        <f>'Table 7'!L22</f>
        <v>24.87</v>
      </c>
      <c r="M216" s="1507">
        <f>'Table 7'!M22</f>
        <v>0</v>
      </c>
      <c r="N216" s="1499">
        <f>'Table 7'!N22</f>
        <v>24.87</v>
      </c>
      <c r="O216" s="1497">
        <f>'Table 7'!O22</f>
        <v>24.46</v>
      </c>
      <c r="P216" s="1507">
        <f>'Table 7'!P22</f>
        <v>0</v>
      </c>
      <c r="Q216" s="1499">
        <f>'Table 7'!Q22</f>
        <v>24.46</v>
      </c>
      <c r="R216" s="1497">
        <f>'Table 7'!R22</f>
        <v>23.92</v>
      </c>
      <c r="S216" s="1507">
        <f>'Table 7'!S22</f>
        <v>0</v>
      </c>
      <c r="T216" s="1499">
        <f>'Table 7'!T22</f>
        <v>23.92</v>
      </c>
      <c r="U216" s="1497">
        <f>'Table 7'!U22</f>
        <v>23.41</v>
      </c>
      <c r="V216" s="1507">
        <f>'Table 7'!V22</f>
        <v>0</v>
      </c>
      <c r="W216" s="1499">
        <f>'Table 7'!W22</f>
        <v>23.41</v>
      </c>
      <c r="X216" s="1813">
        <f t="shared" si="420"/>
        <v>0.28999999999999998</v>
      </c>
      <c r="Y216" s="1497">
        <f>'Table 7'!AG22</f>
        <v>34.25</v>
      </c>
      <c r="Z216" s="1507">
        <f>'Table 7'!AH22</f>
        <v>0</v>
      </c>
      <c r="AA216" s="1499">
        <f>'Table 7'!AI22</f>
        <v>34.25</v>
      </c>
      <c r="AC216" s="1653">
        <f t="shared" si="421"/>
        <v>5.23</v>
      </c>
    </row>
    <row r="217" spans="1:29">
      <c r="A217" s="798" t="s">
        <v>65</v>
      </c>
      <c r="B217" s="1492" t="s">
        <v>15</v>
      </c>
      <c r="C217" s="1497">
        <f>'Table 8'!C22</f>
        <v>0.52</v>
      </c>
      <c r="D217" s="1507">
        <f>'Table 8'!D22</f>
        <v>4.1900000000000004</v>
      </c>
      <c r="E217" s="1499">
        <f>'Table 8'!E22</f>
        <v>4.71</v>
      </c>
      <c r="F217" s="1497">
        <f>'Table 8'!F22</f>
        <v>0.61</v>
      </c>
      <c r="G217" s="1507">
        <f>'Table 8'!G22</f>
        <v>4.93</v>
      </c>
      <c r="H217" s="1499">
        <f>'Table 8'!H22</f>
        <v>5.54</v>
      </c>
      <c r="I217" s="1497">
        <f>'Table 8'!I22</f>
        <v>0.72</v>
      </c>
      <c r="J217" s="1507">
        <f>'Table 8'!J22</f>
        <v>5.81</v>
      </c>
      <c r="K217" s="1499">
        <f>'Table 8'!K22</f>
        <v>6.53</v>
      </c>
      <c r="L217" s="1497">
        <f>'Table 8'!L22</f>
        <v>0.81</v>
      </c>
      <c r="M217" s="1507">
        <f>'Table 8'!M22</f>
        <v>6.57</v>
      </c>
      <c r="N217" s="1499">
        <f>'Table 8'!N22</f>
        <v>7.38</v>
      </c>
      <c r="O217" s="1497">
        <f>'Table 8'!O22</f>
        <v>0.89</v>
      </c>
      <c r="P217" s="1507">
        <f>'Table 8'!P22</f>
        <v>7.18</v>
      </c>
      <c r="Q217" s="1499">
        <f>'Table 8'!Q22</f>
        <v>8.07</v>
      </c>
      <c r="R217" s="1497">
        <f>'Table 8'!R22</f>
        <v>0.96</v>
      </c>
      <c r="S217" s="1507">
        <f>'Table 8'!S22</f>
        <v>7.74</v>
      </c>
      <c r="T217" s="1499">
        <f>'Table 8'!T22</f>
        <v>8.6999999999999993</v>
      </c>
      <c r="U217" s="1497">
        <f>'Table 8'!U22</f>
        <v>1.03</v>
      </c>
      <c r="V217" s="1507">
        <f>'Table 8'!V22</f>
        <v>8.27</v>
      </c>
      <c r="W217" s="1499">
        <f>'Table 8'!W22</f>
        <v>9.3000000000000007</v>
      </c>
      <c r="X217" s="1813">
        <f t="shared" si="420"/>
        <v>0.97</v>
      </c>
      <c r="Y217" s="1497">
        <f>'Table 8'!Y22</f>
        <v>1.23</v>
      </c>
      <c r="Z217" s="1507">
        <f>'Table 8'!Z22</f>
        <v>9.93</v>
      </c>
      <c r="AA217" s="1499">
        <f>'Table 8'!AA22</f>
        <v>11.16</v>
      </c>
      <c r="AC217" s="1653">
        <f t="shared" si="421"/>
        <v>4.59</v>
      </c>
    </row>
    <row r="218" spans="1:29" ht="15" customHeight="1">
      <c r="A218" s="798" t="s">
        <v>66</v>
      </c>
      <c r="B218" s="1518" t="s">
        <v>15</v>
      </c>
      <c r="C218" s="1519">
        <f>'Table 9'!C22</f>
        <v>0.56000000000000005</v>
      </c>
      <c r="D218" s="1520">
        <f>'Table 9'!D22</f>
        <v>0.2</v>
      </c>
      <c r="E218" s="1521">
        <f>'Table 9'!E22</f>
        <v>0.76</v>
      </c>
      <c r="F218" s="1519">
        <f>'Table 9'!F22</f>
        <v>0.64</v>
      </c>
      <c r="G218" s="1520">
        <f>'Table 9'!G22</f>
        <v>0.23</v>
      </c>
      <c r="H218" s="1521">
        <f>'Table 9'!H22</f>
        <v>0.87</v>
      </c>
      <c r="I218" s="1519">
        <f>'Table 9'!I22</f>
        <v>0.74</v>
      </c>
      <c r="J218" s="1520">
        <f>'Table 9'!J22</f>
        <v>0.27</v>
      </c>
      <c r="K218" s="1521">
        <f>'Table 9'!K22</f>
        <v>1.01</v>
      </c>
      <c r="L218" s="1519">
        <f>'Table 9'!L22</f>
        <v>0.83</v>
      </c>
      <c r="M218" s="1520">
        <f>'Table 9'!M22</f>
        <v>0.3</v>
      </c>
      <c r="N218" s="1521">
        <f>'Table 9'!N22</f>
        <v>1.1299999999999999</v>
      </c>
      <c r="O218" s="1519">
        <f>'Table 9'!O22</f>
        <v>0.9</v>
      </c>
      <c r="P218" s="1520">
        <f>'Table 9'!P22</f>
        <v>0.32</v>
      </c>
      <c r="Q218" s="1521">
        <f>'Table 9'!Q22</f>
        <v>1.22</v>
      </c>
      <c r="R218" s="1519">
        <f>'Table 9'!R22</f>
        <v>0.97</v>
      </c>
      <c r="S218" s="1520">
        <f>'Table 9'!S22</f>
        <v>0.34</v>
      </c>
      <c r="T218" s="1521">
        <f>'Table 9'!T22</f>
        <v>1.31</v>
      </c>
      <c r="U218" s="1519">
        <f>'Table 9'!U22</f>
        <v>1.02</v>
      </c>
      <c r="V218" s="1520">
        <f>'Table 9'!V22</f>
        <v>0.37</v>
      </c>
      <c r="W218" s="1521">
        <f>'Table 9'!W22</f>
        <v>1.39</v>
      </c>
      <c r="X218" s="1814">
        <f t="shared" si="420"/>
        <v>0.83</v>
      </c>
      <c r="Y218" s="1519">
        <f>U218</f>
        <v>1.02</v>
      </c>
      <c r="Z218" s="1520">
        <f t="shared" ref="Z218:Z219" si="422">V218</f>
        <v>0.37</v>
      </c>
      <c r="AA218" s="1521">
        <f t="shared" ref="AA218:AA219" si="423">W218</f>
        <v>1.39</v>
      </c>
      <c r="AC218" s="841">
        <f t="shared" si="421"/>
        <v>0.63</v>
      </c>
    </row>
    <row r="219" spans="1:29" ht="15.75" thickBot="1">
      <c r="A219" s="175" t="s">
        <v>67</v>
      </c>
      <c r="B219" s="1489" t="s">
        <v>15</v>
      </c>
      <c r="C219" s="1522">
        <f>'Table 10'!C22</f>
        <v>0</v>
      </c>
      <c r="D219" s="1523">
        <f>'Table 10'!D22</f>
        <v>0</v>
      </c>
      <c r="E219" s="1524">
        <f>'Table 10'!E22</f>
        <v>0</v>
      </c>
      <c r="F219" s="1522">
        <f>'Table 10'!F22</f>
        <v>0</v>
      </c>
      <c r="G219" s="1523">
        <f>'Table 10'!G22</f>
        <v>0</v>
      </c>
      <c r="H219" s="1524">
        <f>'Table 10'!H22</f>
        <v>0</v>
      </c>
      <c r="I219" s="1522">
        <f>'Table 10'!I22</f>
        <v>0</v>
      </c>
      <c r="J219" s="1523">
        <f>'Table 10'!J22</f>
        <v>0</v>
      </c>
      <c r="K219" s="1524">
        <f>'Table 10'!K22</f>
        <v>0</v>
      </c>
      <c r="L219" s="1522">
        <f>'Table 10'!L22</f>
        <v>0</v>
      </c>
      <c r="M219" s="1523">
        <f>'Table 10'!M22</f>
        <v>0</v>
      </c>
      <c r="N219" s="1524">
        <f>'Table 10'!N22</f>
        <v>0</v>
      </c>
      <c r="O219" s="1522">
        <f>'Table 10'!O22</f>
        <v>0</v>
      </c>
      <c r="P219" s="1523">
        <f>'Table 10'!P22</f>
        <v>0</v>
      </c>
      <c r="Q219" s="1524">
        <f>'Table 10'!Q22</f>
        <v>0</v>
      </c>
      <c r="R219" s="1522">
        <f>'Table 10'!R22</f>
        <v>0</v>
      </c>
      <c r="S219" s="1523">
        <f>'Table 10'!S22</f>
        <v>0</v>
      </c>
      <c r="T219" s="1524">
        <f>'Table 10'!T22</f>
        <v>0</v>
      </c>
      <c r="U219" s="1522">
        <f>'Table 10'!U22</f>
        <v>0</v>
      </c>
      <c r="V219" s="1523">
        <f>'Table 10'!V22</f>
        <v>0</v>
      </c>
      <c r="W219" s="1524">
        <f>'Table 10'!W22</f>
        <v>0</v>
      </c>
      <c r="X219" s="1815" t="s">
        <v>16</v>
      </c>
      <c r="Y219" s="1522">
        <f>U219</f>
        <v>0</v>
      </c>
      <c r="Z219" s="1523">
        <f t="shared" si="422"/>
        <v>0</v>
      </c>
      <c r="AA219" s="1524">
        <f t="shared" si="423"/>
        <v>0</v>
      </c>
      <c r="AC219" s="1822">
        <f t="shared" si="421"/>
        <v>0</v>
      </c>
    </row>
    <row r="220" spans="1:29" ht="16.5" thickTop="1" thickBot="1">
      <c r="A220" s="3481" t="s">
        <v>715</v>
      </c>
      <c r="B220" s="3482"/>
      <c r="C220" s="1512">
        <f t="shared" ref="C220:W220" si="424">C214+C215+C216+C217+C218+C219</f>
        <v>41.25</v>
      </c>
      <c r="D220" s="1538">
        <f t="shared" si="424"/>
        <v>4.3899999999999997</v>
      </c>
      <c r="E220" s="1513">
        <f t="shared" si="424"/>
        <v>45.64</v>
      </c>
      <c r="F220" s="1512">
        <f t="shared" si="424"/>
        <v>60.18</v>
      </c>
      <c r="G220" s="1538">
        <f t="shared" si="424"/>
        <v>5.16</v>
      </c>
      <c r="H220" s="1513">
        <f t="shared" si="424"/>
        <v>67.55</v>
      </c>
      <c r="I220" s="1512">
        <f t="shared" si="424"/>
        <v>64.69</v>
      </c>
      <c r="J220" s="1538">
        <f t="shared" si="424"/>
        <v>6.08</v>
      </c>
      <c r="K220" s="1513">
        <f t="shared" si="424"/>
        <v>74.61</v>
      </c>
      <c r="L220" s="1512">
        <f t="shared" si="424"/>
        <v>65.319999999999993</v>
      </c>
      <c r="M220" s="1538">
        <f t="shared" si="424"/>
        <v>6.87</v>
      </c>
      <c r="N220" s="1513">
        <f t="shared" si="424"/>
        <v>80.59</v>
      </c>
      <c r="O220" s="1512">
        <f t="shared" si="424"/>
        <v>65.790000000000006</v>
      </c>
      <c r="P220" s="1538">
        <f t="shared" si="424"/>
        <v>7.5</v>
      </c>
      <c r="Q220" s="1513">
        <f t="shared" si="424"/>
        <v>85.43</v>
      </c>
      <c r="R220" s="1512">
        <f t="shared" si="424"/>
        <v>66.209999999999994</v>
      </c>
      <c r="S220" s="1538">
        <f t="shared" si="424"/>
        <v>8.08</v>
      </c>
      <c r="T220" s="1513">
        <f t="shared" si="424"/>
        <v>89.57</v>
      </c>
      <c r="U220" s="1512">
        <f t="shared" si="424"/>
        <v>66.78</v>
      </c>
      <c r="V220" s="1538">
        <f t="shared" si="424"/>
        <v>8.64</v>
      </c>
      <c r="W220" s="1513">
        <f t="shared" si="424"/>
        <v>93.37</v>
      </c>
      <c r="X220" s="1517">
        <f t="shared" si="420"/>
        <v>1.05</v>
      </c>
      <c r="Y220" s="1512">
        <f>Y214+Y215+Y216+Y217+Y218+Y219</f>
        <v>78.989999999999995</v>
      </c>
      <c r="Z220" s="1538">
        <f>Z214+Z215+Z216+Z217+Z218+Z219</f>
        <v>10.3</v>
      </c>
      <c r="AA220" s="1513">
        <f>AA214+AA215+AA216+AA217+AA218+AA219</f>
        <v>109.62</v>
      </c>
      <c r="AC220" s="855">
        <f t="shared" si="421"/>
        <v>47.73</v>
      </c>
    </row>
    <row r="221" spans="1:29">
      <c r="A221" s="89" t="s">
        <v>35</v>
      </c>
    </row>
    <row r="222" spans="1:29">
      <c r="A222" s="1" t="s">
        <v>68</v>
      </c>
    </row>
    <row r="223" spans="1:29">
      <c r="A223" s="1" t="s">
        <v>69</v>
      </c>
    </row>
    <row r="224" spans="1:29">
      <c r="A224" s="1" t="s">
        <v>70</v>
      </c>
    </row>
    <row r="226" spans="1:29" ht="15.75" thickBot="1">
      <c r="A226" s="1" t="s">
        <v>716</v>
      </c>
    </row>
    <row r="227" spans="1:29" ht="15.75" customHeight="1" thickBot="1">
      <c r="A227" s="3204" t="s">
        <v>54</v>
      </c>
      <c r="B227" s="3206" t="s">
        <v>2</v>
      </c>
      <c r="C227" s="3261" t="s">
        <v>55</v>
      </c>
      <c r="D227" s="3262"/>
      <c r="E227" s="3263"/>
      <c r="F227" s="3261" t="s">
        <v>56</v>
      </c>
      <c r="G227" s="3262"/>
      <c r="H227" s="3262"/>
      <c r="I227" s="3262"/>
      <c r="J227" s="3262"/>
      <c r="K227" s="3262"/>
      <c r="L227" s="3262"/>
      <c r="M227" s="3262"/>
      <c r="N227" s="3262"/>
      <c r="O227" s="3262"/>
      <c r="P227" s="3262"/>
      <c r="Q227" s="3262"/>
      <c r="R227" s="3262"/>
      <c r="S227" s="3262"/>
      <c r="T227" s="3262"/>
      <c r="U227" s="3262"/>
      <c r="V227" s="3262"/>
      <c r="W227" s="3263"/>
      <c r="X227" s="3255" t="s">
        <v>57</v>
      </c>
      <c r="Y227" s="3261" t="s">
        <v>58</v>
      </c>
      <c r="Z227" s="3262"/>
      <c r="AA227" s="3263"/>
      <c r="AC227" s="3255" t="s">
        <v>80</v>
      </c>
    </row>
    <row r="228" spans="1:29">
      <c r="A228" s="3205"/>
      <c r="B228" s="3207"/>
      <c r="C228" s="3258">
        <v>2015</v>
      </c>
      <c r="D228" s="3264"/>
      <c r="E228" s="3245"/>
      <c r="F228" s="3258">
        <v>2020</v>
      </c>
      <c r="G228" s="3264"/>
      <c r="H228" s="3245"/>
      <c r="I228" s="3258">
        <v>2025</v>
      </c>
      <c r="J228" s="3264"/>
      <c r="K228" s="3245"/>
      <c r="L228" s="3258">
        <v>2030</v>
      </c>
      <c r="M228" s="3264"/>
      <c r="N228" s="3245"/>
      <c r="O228" s="3258">
        <v>2035</v>
      </c>
      <c r="P228" s="3264"/>
      <c r="Q228" s="3245"/>
      <c r="R228" s="3258">
        <v>2040</v>
      </c>
      <c r="S228" s="3264"/>
      <c r="T228" s="3245"/>
      <c r="U228" s="3258">
        <v>2045</v>
      </c>
      <c r="V228" s="3264"/>
      <c r="W228" s="3245"/>
      <c r="X228" s="3256"/>
      <c r="Y228" s="3258">
        <v>2045</v>
      </c>
      <c r="Z228" s="3264"/>
      <c r="AA228" s="3245"/>
      <c r="AC228" s="3256"/>
    </row>
    <row r="229" spans="1:29" ht="15.75" thickBot="1">
      <c r="A229" s="3485"/>
      <c r="B229" s="3208"/>
      <c r="C229" s="1130" t="s">
        <v>60</v>
      </c>
      <c r="D229" s="1128" t="s">
        <v>61</v>
      </c>
      <c r="E229" s="1681" t="s">
        <v>18</v>
      </c>
      <c r="F229" s="1127" t="s">
        <v>60</v>
      </c>
      <c r="G229" s="1131" t="s">
        <v>61</v>
      </c>
      <c r="H229" s="1680" t="s">
        <v>18</v>
      </c>
      <c r="I229" s="1130" t="s">
        <v>60</v>
      </c>
      <c r="J229" s="1128" t="s">
        <v>61</v>
      </c>
      <c r="K229" s="1681" t="s">
        <v>18</v>
      </c>
      <c r="L229" s="1127" t="s">
        <v>60</v>
      </c>
      <c r="M229" s="1131" t="s">
        <v>61</v>
      </c>
      <c r="N229" s="1680" t="s">
        <v>18</v>
      </c>
      <c r="O229" s="1130" t="s">
        <v>60</v>
      </c>
      <c r="P229" s="1128" t="s">
        <v>61</v>
      </c>
      <c r="Q229" s="1681" t="s">
        <v>18</v>
      </c>
      <c r="R229" s="1130" t="s">
        <v>60</v>
      </c>
      <c r="S229" s="1131" t="s">
        <v>61</v>
      </c>
      <c r="T229" s="1680" t="s">
        <v>18</v>
      </c>
      <c r="U229" s="1130" t="s">
        <v>60</v>
      </c>
      <c r="V229" s="1131" t="s">
        <v>61</v>
      </c>
      <c r="W229" s="1680" t="s">
        <v>18</v>
      </c>
      <c r="X229" s="3257"/>
      <c r="Y229" s="1817" t="s">
        <v>60</v>
      </c>
      <c r="Z229" s="1818" t="s">
        <v>61</v>
      </c>
      <c r="AA229" s="1135" t="s">
        <v>18</v>
      </c>
      <c r="AC229" s="3483"/>
    </row>
    <row r="230" spans="1:29">
      <c r="A230" s="993" t="s">
        <v>62</v>
      </c>
      <c r="B230" s="1492" t="s">
        <v>17</v>
      </c>
      <c r="C230" s="1497">
        <f>'Table 4'!J23</f>
        <v>1.32</v>
      </c>
      <c r="D230" s="1507">
        <f>'Table 4'!K23</f>
        <v>0</v>
      </c>
      <c r="E230" s="1499">
        <f>'Table 4'!L23</f>
        <v>1.32</v>
      </c>
      <c r="F230" s="1497">
        <f>'Table 4'!M23</f>
        <v>1.45</v>
      </c>
      <c r="G230" s="1507">
        <f>'Table 4'!N23</f>
        <v>0</v>
      </c>
      <c r="H230" s="1499">
        <f>'Table 4'!O23</f>
        <v>1.45</v>
      </c>
      <c r="I230" s="1497">
        <f>'Table 4'!Q23</f>
        <v>1.61</v>
      </c>
      <c r="J230" s="1507">
        <f>'Table 4'!R23</f>
        <v>0</v>
      </c>
      <c r="K230" s="1499">
        <f>'Table 4'!S23</f>
        <v>1.61</v>
      </c>
      <c r="L230" s="1497">
        <f>'Table 4'!U23</f>
        <v>1.73</v>
      </c>
      <c r="M230" s="1507">
        <f>'Table 4'!V23</f>
        <v>0</v>
      </c>
      <c r="N230" s="1499">
        <f>'Table 4'!W23</f>
        <v>1.73</v>
      </c>
      <c r="O230" s="1497">
        <f>'Table 4'!Y23</f>
        <v>1.79</v>
      </c>
      <c r="P230" s="1507">
        <f>'Table 4'!Z23</f>
        <v>0</v>
      </c>
      <c r="Q230" s="1499">
        <f>'Table 4'!AA23</f>
        <v>1.79</v>
      </c>
      <c r="R230" s="1497">
        <f>'Table 4'!AC23</f>
        <v>1.84</v>
      </c>
      <c r="S230" s="1507">
        <f>'Table 4'!AD23</f>
        <v>0</v>
      </c>
      <c r="T230" s="1499">
        <f>'Table 4'!AE23</f>
        <v>1.84</v>
      </c>
      <c r="U230" s="1497">
        <f>'Table 4'!AG23</f>
        <v>1.87</v>
      </c>
      <c r="V230" s="1507">
        <f>'Table 4'!AH23</f>
        <v>0</v>
      </c>
      <c r="W230" s="1499">
        <f>'Table 4'!AI23</f>
        <v>1.87</v>
      </c>
      <c r="X230" s="1813">
        <f>(W230-E230)/E230</f>
        <v>0.42</v>
      </c>
      <c r="Y230" s="1497">
        <f>'Table 4'!AL23</f>
        <v>1.98</v>
      </c>
      <c r="Z230" s="1507">
        <f>'Table 4'!AM23</f>
        <v>0</v>
      </c>
      <c r="AA230" s="1499">
        <f>'Table 4'!AN23</f>
        <v>1.98</v>
      </c>
      <c r="AC230" s="1653">
        <f>W230-E230</f>
        <v>0.55000000000000004</v>
      </c>
    </row>
    <row r="231" spans="1:29" ht="26.25">
      <c r="A231" s="993" t="s">
        <v>63</v>
      </c>
      <c r="B231" s="1492" t="s">
        <v>17</v>
      </c>
      <c r="C231" s="1497">
        <f>'Table 6'!K23</f>
        <v>2.2200000000000002</v>
      </c>
      <c r="D231" s="1507">
        <f>'Table 6'!L23</f>
        <v>0</v>
      </c>
      <c r="E231" s="1499">
        <f>'Table 6'!M23</f>
        <v>2.2200000000000002</v>
      </c>
      <c r="F231" s="1497">
        <f>'Table 6'!N23</f>
        <v>2.34</v>
      </c>
      <c r="G231" s="1507">
        <f>'Table 6'!O23</f>
        <v>0</v>
      </c>
      <c r="H231" s="1499">
        <f>'Table 6'!P23</f>
        <v>2.34</v>
      </c>
      <c r="I231" s="1497">
        <f>'Table 6'!Q23</f>
        <v>2.44</v>
      </c>
      <c r="J231" s="1507">
        <f>'Table 6'!R23</f>
        <v>0</v>
      </c>
      <c r="K231" s="1499">
        <f>'Table 6'!S23</f>
        <v>2.44</v>
      </c>
      <c r="L231" s="1497">
        <f>'Table 6'!T23</f>
        <v>2.54</v>
      </c>
      <c r="M231" s="1507">
        <f>'Table 6'!U23</f>
        <v>0</v>
      </c>
      <c r="N231" s="1499">
        <f>'Table 6'!V23</f>
        <v>2.54</v>
      </c>
      <c r="O231" s="1497">
        <f>'Table 6'!W23</f>
        <v>2.62</v>
      </c>
      <c r="P231" s="1507">
        <f>'Table 6'!X23</f>
        <v>0</v>
      </c>
      <c r="Q231" s="1499">
        <f>'Table 6'!Y23</f>
        <v>2.62</v>
      </c>
      <c r="R231" s="1497">
        <f>'Table 6'!Z23</f>
        <v>2.69</v>
      </c>
      <c r="S231" s="1507">
        <f>'Table 6'!AA23</f>
        <v>0</v>
      </c>
      <c r="T231" s="1499">
        <f>'Table 6'!AB23</f>
        <v>2.69</v>
      </c>
      <c r="U231" s="1497">
        <f>'Table 6'!AC23</f>
        <v>2.76</v>
      </c>
      <c r="V231" s="1507">
        <f>'Table 6'!AD23</f>
        <v>0</v>
      </c>
      <c r="W231" s="1499">
        <f>'Table 6'!AE23</f>
        <v>2.76</v>
      </c>
      <c r="X231" s="1813">
        <f t="shared" ref="X231:X236" si="425">(W231-E231)/E231</f>
        <v>0.24</v>
      </c>
      <c r="Y231" s="1497">
        <f>'Table 6'!AG23</f>
        <v>2.92</v>
      </c>
      <c r="Z231" s="1507">
        <f>'Table 6'!AH23</f>
        <v>0</v>
      </c>
      <c r="AA231" s="1499">
        <f>'Table 6'!AI23</f>
        <v>2.92</v>
      </c>
      <c r="AC231" s="1653">
        <f t="shared" ref="AC231:AC236" si="426">W231-E231</f>
        <v>0.54</v>
      </c>
    </row>
    <row r="232" spans="1:29">
      <c r="A232" s="798" t="s">
        <v>64</v>
      </c>
      <c r="B232" s="1492" t="s">
        <v>17</v>
      </c>
      <c r="C232" s="1497">
        <f>'Table 7'!C23</f>
        <v>33.9</v>
      </c>
      <c r="D232" s="1507">
        <f>'Table 7'!D23</f>
        <v>0</v>
      </c>
      <c r="E232" s="1499">
        <f>'Table 7'!E23</f>
        <v>33.9</v>
      </c>
      <c r="F232" s="1497">
        <f>'Table 7'!F23</f>
        <v>36.39</v>
      </c>
      <c r="G232" s="1507">
        <f>'Table 7'!G23</f>
        <v>0</v>
      </c>
      <c r="H232" s="1499">
        <f>'Table 7'!H23</f>
        <v>36.39</v>
      </c>
      <c r="I232" s="1497">
        <f>'Table 7'!I23</f>
        <v>38.47</v>
      </c>
      <c r="J232" s="1507">
        <f>'Table 7'!J23</f>
        <v>0</v>
      </c>
      <c r="K232" s="1499">
        <f>'Table 7'!K23</f>
        <v>38.47</v>
      </c>
      <c r="L232" s="1497">
        <f>'Table 7'!L23</f>
        <v>39.99</v>
      </c>
      <c r="M232" s="1507">
        <f>'Table 7'!M23</f>
        <v>0</v>
      </c>
      <c r="N232" s="1499">
        <f>'Table 7'!N23</f>
        <v>39.99</v>
      </c>
      <c r="O232" s="1497">
        <f>'Table 7'!O23</f>
        <v>41.84</v>
      </c>
      <c r="P232" s="1507">
        <f>'Table 7'!P23</f>
        <v>0</v>
      </c>
      <c r="Q232" s="1499">
        <f>'Table 7'!Q23</f>
        <v>41.84</v>
      </c>
      <c r="R232" s="1497">
        <f>'Table 7'!R23</f>
        <v>43.65</v>
      </c>
      <c r="S232" s="1507">
        <f>'Table 7'!S23</f>
        <v>0</v>
      </c>
      <c r="T232" s="1499">
        <f>'Table 7'!T23</f>
        <v>43.65</v>
      </c>
      <c r="U232" s="1497">
        <f>'Table 7'!U23</f>
        <v>45.58</v>
      </c>
      <c r="V232" s="1507">
        <f>'Table 7'!V23</f>
        <v>0</v>
      </c>
      <c r="W232" s="1499">
        <f>'Table 7'!W23</f>
        <v>45.58</v>
      </c>
      <c r="X232" s="1813">
        <f t="shared" si="425"/>
        <v>0.34</v>
      </c>
      <c r="Y232" s="1497">
        <f>'Table 7'!AG23</f>
        <v>58.13</v>
      </c>
      <c r="Z232" s="1507">
        <f>'Table 7'!AH23</f>
        <v>0</v>
      </c>
      <c r="AA232" s="1499">
        <f>'Table 7'!AI23</f>
        <v>58.13</v>
      </c>
      <c r="AC232" s="1653">
        <f t="shared" si="426"/>
        <v>11.68</v>
      </c>
    </row>
    <row r="233" spans="1:29">
      <c r="A233" s="798" t="s">
        <v>65</v>
      </c>
      <c r="B233" s="1492" t="s">
        <v>17</v>
      </c>
      <c r="C233" s="1497">
        <f>'Table 8'!C23</f>
        <v>0.41</v>
      </c>
      <c r="D233" s="1507">
        <f>'Table 8'!D23</f>
        <v>0</v>
      </c>
      <c r="E233" s="1499">
        <f>'Table 8'!E23</f>
        <v>0.41</v>
      </c>
      <c r="F233" s="1497">
        <f>'Table 8'!F23</f>
        <v>0.43</v>
      </c>
      <c r="G233" s="1507">
        <f>'Table 8'!G23</f>
        <v>0</v>
      </c>
      <c r="H233" s="1499">
        <f>'Table 8'!H23</f>
        <v>0.43</v>
      </c>
      <c r="I233" s="1497">
        <f>'Table 8'!I23</f>
        <v>0.45</v>
      </c>
      <c r="J233" s="1507">
        <f>'Table 8'!J23</f>
        <v>0</v>
      </c>
      <c r="K233" s="1499">
        <f>'Table 8'!K23</f>
        <v>0.45</v>
      </c>
      <c r="L233" s="1497">
        <f>'Table 8'!L23</f>
        <v>0.47</v>
      </c>
      <c r="M233" s="1507">
        <f>'Table 8'!M23</f>
        <v>0</v>
      </c>
      <c r="N233" s="1499">
        <f>'Table 8'!N23</f>
        <v>0.47</v>
      </c>
      <c r="O233" s="1497">
        <f>'Table 8'!O23</f>
        <v>0.49</v>
      </c>
      <c r="P233" s="1507">
        <f>'Table 8'!P23</f>
        <v>0</v>
      </c>
      <c r="Q233" s="1499">
        <f>'Table 8'!Q23</f>
        <v>0.49</v>
      </c>
      <c r="R233" s="1497">
        <f>'Table 8'!R23</f>
        <v>0.5</v>
      </c>
      <c r="S233" s="1507">
        <f>'Table 8'!S23</f>
        <v>0</v>
      </c>
      <c r="T233" s="1499">
        <f>'Table 8'!T23</f>
        <v>0.5</v>
      </c>
      <c r="U233" s="1497">
        <f>'Table 8'!U23</f>
        <v>0.51</v>
      </c>
      <c r="V233" s="1507">
        <f>'Table 8'!V23</f>
        <v>0</v>
      </c>
      <c r="W233" s="1499">
        <f>'Table 8'!W23</f>
        <v>0.51</v>
      </c>
      <c r="X233" s="1813">
        <f t="shared" si="425"/>
        <v>0.24</v>
      </c>
      <c r="Y233" s="1497">
        <f>'Table 8'!Y23</f>
        <v>0.62</v>
      </c>
      <c r="Z233" s="1507">
        <f>'Table 8'!Z23</f>
        <v>0</v>
      </c>
      <c r="AA233" s="1499">
        <f>'Table 8'!AA23</f>
        <v>0.62</v>
      </c>
      <c r="AC233" s="1653">
        <f t="shared" si="426"/>
        <v>0.1</v>
      </c>
    </row>
    <row r="234" spans="1:29" ht="15" customHeight="1">
      <c r="A234" s="798" t="s">
        <v>66</v>
      </c>
      <c r="B234" s="1518" t="s">
        <v>17</v>
      </c>
      <c r="C234" s="1519">
        <f>'Table 9'!C23</f>
        <v>3.73</v>
      </c>
      <c r="D234" s="1520">
        <f>'Table 9'!D23</f>
        <v>0</v>
      </c>
      <c r="E234" s="1521">
        <f>'Table 9'!E23</f>
        <v>3.73</v>
      </c>
      <c r="F234" s="1519">
        <f>'Table 9'!F23</f>
        <v>3.94</v>
      </c>
      <c r="G234" s="1520">
        <f>'Table 9'!G23</f>
        <v>0</v>
      </c>
      <c r="H234" s="1521">
        <f>'Table 9'!H23</f>
        <v>3.94</v>
      </c>
      <c r="I234" s="1519">
        <f>'Table 9'!I23</f>
        <v>4.1500000000000004</v>
      </c>
      <c r="J234" s="1520">
        <f>'Table 9'!J23</f>
        <v>0</v>
      </c>
      <c r="K234" s="1521">
        <f>'Table 9'!K23</f>
        <v>4.1500000000000004</v>
      </c>
      <c r="L234" s="1519">
        <f>'Table 9'!L23</f>
        <v>4.34</v>
      </c>
      <c r="M234" s="1520">
        <f>'Table 9'!M23</f>
        <v>0</v>
      </c>
      <c r="N234" s="1521">
        <f>'Table 9'!N23</f>
        <v>4.34</v>
      </c>
      <c r="O234" s="1519">
        <f>'Table 9'!O23</f>
        <v>4.49</v>
      </c>
      <c r="P234" s="1520">
        <f>'Table 9'!P23</f>
        <v>0</v>
      </c>
      <c r="Q234" s="1521">
        <f>'Table 9'!Q23</f>
        <v>4.49</v>
      </c>
      <c r="R234" s="1519">
        <f>'Table 9'!R23</f>
        <v>4.6100000000000003</v>
      </c>
      <c r="S234" s="1520">
        <f>'Table 9'!S23</f>
        <v>0</v>
      </c>
      <c r="T234" s="1521">
        <f>'Table 9'!T23</f>
        <v>4.6100000000000003</v>
      </c>
      <c r="U234" s="1519">
        <f>'Table 9'!U23</f>
        <v>4.72</v>
      </c>
      <c r="V234" s="1520">
        <f>'Table 9'!V23</f>
        <v>0</v>
      </c>
      <c r="W234" s="1521">
        <f>'Table 9'!W23</f>
        <v>4.72</v>
      </c>
      <c r="X234" s="1814">
        <f t="shared" si="425"/>
        <v>0.27</v>
      </c>
      <c r="Y234" s="1519">
        <f>U234</f>
        <v>4.72</v>
      </c>
      <c r="Z234" s="1520">
        <f t="shared" ref="Z234:Z235" si="427">V234</f>
        <v>0</v>
      </c>
      <c r="AA234" s="1521">
        <f t="shared" ref="AA234:AA235" si="428">W234</f>
        <v>4.72</v>
      </c>
      <c r="AC234" s="841">
        <f t="shared" si="426"/>
        <v>0.99</v>
      </c>
    </row>
    <row r="235" spans="1:29" ht="15.75" thickBot="1">
      <c r="A235" s="175" t="s">
        <v>67</v>
      </c>
      <c r="B235" s="1489" t="s">
        <v>17</v>
      </c>
      <c r="C235" s="1522">
        <f>'Table 10'!C23</f>
        <v>0.1</v>
      </c>
      <c r="D235" s="1523">
        <f>'Table 10'!D23</f>
        <v>0.06</v>
      </c>
      <c r="E235" s="1524">
        <f>'Table 10'!E23</f>
        <v>0.16</v>
      </c>
      <c r="F235" s="1522">
        <f>'Table 10'!F23</f>
        <v>7.0000000000000007E-2</v>
      </c>
      <c r="G235" s="1523">
        <f>'Table 10'!G23</f>
        <v>0.05</v>
      </c>
      <c r="H235" s="1524">
        <f>'Table 10'!H23</f>
        <v>0.12</v>
      </c>
      <c r="I235" s="1522">
        <f>'Table 10'!I23</f>
        <v>7.0000000000000007E-2</v>
      </c>
      <c r="J235" s="1523">
        <f>'Table 10'!J23</f>
        <v>0.05</v>
      </c>
      <c r="K235" s="1524">
        <f>'Table 10'!K23</f>
        <v>0.12</v>
      </c>
      <c r="L235" s="1522">
        <f>'Table 10'!L23</f>
        <v>7.0000000000000007E-2</v>
      </c>
      <c r="M235" s="1523">
        <f>'Table 10'!M23</f>
        <v>0.05</v>
      </c>
      <c r="N235" s="1524">
        <f>'Table 10'!N23</f>
        <v>0.12</v>
      </c>
      <c r="O235" s="1522">
        <f>'Table 10'!O23</f>
        <v>7.0000000000000007E-2</v>
      </c>
      <c r="P235" s="1523">
        <f>'Table 10'!P23</f>
        <v>0.05</v>
      </c>
      <c r="Q235" s="1524">
        <f>'Table 10'!Q23</f>
        <v>0.12</v>
      </c>
      <c r="R235" s="1522">
        <f>'Table 10'!R23</f>
        <v>7.0000000000000007E-2</v>
      </c>
      <c r="S235" s="1523">
        <f>'Table 10'!S23</f>
        <v>0.05</v>
      </c>
      <c r="T235" s="1524">
        <f>'Table 10'!T23</f>
        <v>0.12</v>
      </c>
      <c r="U235" s="1522">
        <f>'Table 10'!U23</f>
        <v>7.0000000000000007E-2</v>
      </c>
      <c r="V235" s="1523">
        <f>'Table 10'!V23</f>
        <v>0.05</v>
      </c>
      <c r="W235" s="1524">
        <f>'Table 10'!W23</f>
        <v>0.12</v>
      </c>
      <c r="X235" s="1816">
        <f t="shared" si="425"/>
        <v>-0.25</v>
      </c>
      <c r="Y235" s="1522">
        <f>U235</f>
        <v>7.0000000000000007E-2</v>
      </c>
      <c r="Z235" s="1523">
        <f t="shared" si="427"/>
        <v>0.05</v>
      </c>
      <c r="AA235" s="1524">
        <f t="shared" si="428"/>
        <v>0.12</v>
      </c>
      <c r="AC235" s="1822">
        <f t="shared" si="426"/>
        <v>-0.04</v>
      </c>
    </row>
    <row r="236" spans="1:29" ht="16.5" thickTop="1" thickBot="1">
      <c r="A236" s="3481" t="s">
        <v>717</v>
      </c>
      <c r="B236" s="3482"/>
      <c r="C236" s="1512">
        <f t="shared" ref="C236:W236" si="429">C230+C231+C232+C233+C234+C235</f>
        <v>41.68</v>
      </c>
      <c r="D236" s="1538">
        <f t="shared" si="429"/>
        <v>0.06</v>
      </c>
      <c r="E236" s="1513">
        <f t="shared" si="429"/>
        <v>41.74</v>
      </c>
      <c r="F236" s="1512">
        <f t="shared" si="429"/>
        <v>44.62</v>
      </c>
      <c r="G236" s="1538">
        <f t="shared" si="429"/>
        <v>0.05</v>
      </c>
      <c r="H236" s="1513">
        <f t="shared" si="429"/>
        <v>44.67</v>
      </c>
      <c r="I236" s="1512">
        <f t="shared" si="429"/>
        <v>47.19</v>
      </c>
      <c r="J236" s="1538">
        <f t="shared" si="429"/>
        <v>0.05</v>
      </c>
      <c r="K236" s="1513">
        <f t="shared" si="429"/>
        <v>47.24</v>
      </c>
      <c r="L236" s="1512">
        <f t="shared" si="429"/>
        <v>49.14</v>
      </c>
      <c r="M236" s="1538">
        <f t="shared" si="429"/>
        <v>0.05</v>
      </c>
      <c r="N236" s="1513">
        <f t="shared" si="429"/>
        <v>49.19</v>
      </c>
      <c r="O236" s="1512">
        <f t="shared" si="429"/>
        <v>51.3</v>
      </c>
      <c r="P236" s="1538">
        <f t="shared" si="429"/>
        <v>0.05</v>
      </c>
      <c r="Q236" s="1513">
        <f t="shared" si="429"/>
        <v>51.35</v>
      </c>
      <c r="R236" s="1512">
        <f t="shared" si="429"/>
        <v>53.36</v>
      </c>
      <c r="S236" s="1538">
        <f t="shared" si="429"/>
        <v>0.05</v>
      </c>
      <c r="T236" s="1513">
        <f t="shared" si="429"/>
        <v>53.41</v>
      </c>
      <c r="U236" s="1512">
        <f t="shared" si="429"/>
        <v>55.51</v>
      </c>
      <c r="V236" s="1538">
        <f t="shared" si="429"/>
        <v>0.05</v>
      </c>
      <c r="W236" s="1513">
        <f t="shared" si="429"/>
        <v>55.56</v>
      </c>
      <c r="X236" s="1517">
        <f t="shared" si="425"/>
        <v>0.33</v>
      </c>
      <c r="Y236" s="1512">
        <f>Y230+Y231+Y232+Y233+Y234+Y235</f>
        <v>68.44</v>
      </c>
      <c r="Z236" s="1538">
        <f>Z230+Z231+Z232+Z233+Z234+Z235</f>
        <v>0.05</v>
      </c>
      <c r="AA236" s="1513">
        <f>AA230+AA231+AA232+AA233+AA234+AA235</f>
        <v>68.489999999999995</v>
      </c>
      <c r="AC236" s="855">
        <f t="shared" si="426"/>
        <v>13.82</v>
      </c>
    </row>
    <row r="237" spans="1:29">
      <c r="A237" s="89" t="s">
        <v>35</v>
      </c>
    </row>
    <row r="238" spans="1:29">
      <c r="A238" s="1" t="s">
        <v>68</v>
      </c>
    </row>
    <row r="239" spans="1:29">
      <c r="A239" s="1" t="s">
        <v>69</v>
      </c>
    </row>
    <row r="241" spans="1:29" ht="15.75" thickBot="1">
      <c r="A241" s="1" t="s">
        <v>718</v>
      </c>
    </row>
    <row r="242" spans="1:29" ht="15.75" customHeight="1" thickBot="1">
      <c r="A242" s="3204" t="s">
        <v>54</v>
      </c>
      <c r="B242" s="3206" t="s">
        <v>2</v>
      </c>
      <c r="C242" s="3261" t="s">
        <v>55</v>
      </c>
      <c r="D242" s="3262"/>
      <c r="E242" s="3263"/>
      <c r="F242" s="3261" t="s">
        <v>56</v>
      </c>
      <c r="G242" s="3262"/>
      <c r="H242" s="3262"/>
      <c r="I242" s="3262"/>
      <c r="J242" s="3262"/>
      <c r="K242" s="3262"/>
      <c r="L242" s="3262"/>
      <c r="M242" s="3262"/>
      <c r="N242" s="3262"/>
      <c r="O242" s="3262"/>
      <c r="P242" s="3262"/>
      <c r="Q242" s="3262"/>
      <c r="R242" s="3262"/>
      <c r="S242" s="3262"/>
      <c r="T242" s="3262"/>
      <c r="U242" s="3262"/>
      <c r="V242" s="3262"/>
      <c r="W242" s="3263"/>
      <c r="X242" s="3255" t="s">
        <v>57</v>
      </c>
      <c r="Y242" s="3261" t="s">
        <v>58</v>
      </c>
      <c r="Z242" s="3262"/>
      <c r="AA242" s="3263"/>
      <c r="AC242" s="3255" t="s">
        <v>80</v>
      </c>
    </row>
    <row r="243" spans="1:29">
      <c r="A243" s="3205"/>
      <c r="B243" s="3207"/>
      <c r="C243" s="3258">
        <v>2015</v>
      </c>
      <c r="D243" s="3264"/>
      <c r="E243" s="3245"/>
      <c r="F243" s="3258">
        <v>2020</v>
      </c>
      <c r="G243" s="3264"/>
      <c r="H243" s="3245"/>
      <c r="I243" s="3258">
        <v>2025</v>
      </c>
      <c r="J243" s="3264"/>
      <c r="K243" s="3245"/>
      <c r="L243" s="3258">
        <v>2030</v>
      </c>
      <c r="M243" s="3264"/>
      <c r="N243" s="3245"/>
      <c r="O243" s="3258">
        <v>2035</v>
      </c>
      <c r="P243" s="3264"/>
      <c r="Q243" s="3245"/>
      <c r="R243" s="3258">
        <v>2040</v>
      </c>
      <c r="S243" s="3264"/>
      <c r="T243" s="3245"/>
      <c r="U243" s="3258">
        <v>2045</v>
      </c>
      <c r="V243" s="3264"/>
      <c r="W243" s="3245"/>
      <c r="X243" s="3256"/>
      <c r="Y243" s="3258">
        <v>2045</v>
      </c>
      <c r="Z243" s="3264"/>
      <c r="AA243" s="3245"/>
      <c r="AC243" s="3256"/>
    </row>
    <row r="244" spans="1:29" ht="15.75" thickBot="1">
      <c r="A244" s="3485"/>
      <c r="B244" s="3208"/>
      <c r="C244" s="1130" t="s">
        <v>60</v>
      </c>
      <c r="D244" s="1128" t="s">
        <v>61</v>
      </c>
      <c r="E244" s="1681" t="s">
        <v>18</v>
      </c>
      <c r="F244" s="1127" t="s">
        <v>60</v>
      </c>
      <c r="G244" s="1131" t="s">
        <v>61</v>
      </c>
      <c r="H244" s="1680" t="s">
        <v>18</v>
      </c>
      <c r="I244" s="1130" t="s">
        <v>60</v>
      </c>
      <c r="J244" s="1128" t="s">
        <v>61</v>
      </c>
      <c r="K244" s="1681" t="s">
        <v>18</v>
      </c>
      <c r="L244" s="1127" t="s">
        <v>60</v>
      </c>
      <c r="M244" s="1131" t="s">
        <v>61</v>
      </c>
      <c r="N244" s="1680" t="s">
        <v>18</v>
      </c>
      <c r="O244" s="1130" t="s">
        <v>60</v>
      </c>
      <c r="P244" s="1128" t="s">
        <v>61</v>
      </c>
      <c r="Q244" s="1681" t="s">
        <v>18</v>
      </c>
      <c r="R244" s="1130" t="s">
        <v>60</v>
      </c>
      <c r="S244" s="1131" t="s">
        <v>61</v>
      </c>
      <c r="T244" s="1680" t="s">
        <v>18</v>
      </c>
      <c r="U244" s="1130" t="s">
        <v>60</v>
      </c>
      <c r="V244" s="1131" t="s">
        <v>61</v>
      </c>
      <c r="W244" s="1680" t="s">
        <v>18</v>
      </c>
      <c r="X244" s="3257"/>
      <c r="Y244" s="1817" t="s">
        <v>60</v>
      </c>
      <c r="Z244" s="1818" t="s">
        <v>61</v>
      </c>
      <c r="AA244" s="1135" t="s">
        <v>18</v>
      </c>
      <c r="AC244" s="3483"/>
    </row>
    <row r="245" spans="1:29">
      <c r="A245" s="993" t="s">
        <v>62</v>
      </c>
      <c r="B245" s="1492" t="s">
        <v>17</v>
      </c>
      <c r="C245" s="1497">
        <f>'Table 4'!J24</f>
        <v>0.26</v>
      </c>
      <c r="D245" s="1507">
        <f>'Table 4'!K24</f>
        <v>0</v>
      </c>
      <c r="E245" s="1499">
        <f>'Table 4'!L24</f>
        <v>0.26</v>
      </c>
      <c r="F245" s="1497">
        <f>'Table 4'!M24</f>
        <v>0.24</v>
      </c>
      <c r="G245" s="1507">
        <f>'Table 4'!N24</f>
        <v>0</v>
      </c>
      <c r="H245" s="1499">
        <f>'Table 4'!O24</f>
        <v>0.24</v>
      </c>
      <c r="I245" s="1497">
        <f>'Table 4'!Q24</f>
        <v>0.24</v>
      </c>
      <c r="J245" s="1507">
        <f>'Table 4'!R24</f>
        <v>0</v>
      </c>
      <c r="K245" s="1499">
        <f>'Table 4'!S24</f>
        <v>0.24</v>
      </c>
      <c r="L245" s="1497">
        <f>'Table 4'!U24</f>
        <v>0.24</v>
      </c>
      <c r="M245" s="1507">
        <f>'Table 4'!V24</f>
        <v>0</v>
      </c>
      <c r="N245" s="1499">
        <f>'Table 4'!W24</f>
        <v>0.24</v>
      </c>
      <c r="O245" s="1497">
        <f>'Table 4'!Y24</f>
        <v>0.25</v>
      </c>
      <c r="P245" s="1507">
        <f>'Table 4'!Z24</f>
        <v>0</v>
      </c>
      <c r="Q245" s="1499">
        <f>'Table 4'!AA24</f>
        <v>0.25</v>
      </c>
      <c r="R245" s="1497">
        <f>'Table 4'!AC24</f>
        <v>0.25</v>
      </c>
      <c r="S245" s="1507">
        <f>'Table 4'!AD24</f>
        <v>0</v>
      </c>
      <c r="T245" s="1499">
        <f>'Table 4'!AE24</f>
        <v>0.25</v>
      </c>
      <c r="U245" s="1497">
        <f>'Table 4'!AG24</f>
        <v>0.25</v>
      </c>
      <c r="V245" s="1507">
        <f>'Table 4'!AH24</f>
        <v>0</v>
      </c>
      <c r="W245" s="1499">
        <f>'Table 4'!AI24</f>
        <v>0.25</v>
      </c>
      <c r="X245" s="1813">
        <f>(W245-E245)/E245</f>
        <v>-0.04</v>
      </c>
      <c r="Y245" s="1497">
        <f>'Table 4'!AL24</f>
        <v>0.27</v>
      </c>
      <c r="Z245" s="1507">
        <f>'Table 4'!AM24</f>
        <v>0</v>
      </c>
      <c r="AA245" s="1499">
        <f>'Table 4'!AN24</f>
        <v>0.27</v>
      </c>
      <c r="AC245" s="1653">
        <f>W245-E245</f>
        <v>-0.01</v>
      </c>
    </row>
    <row r="246" spans="1:29" ht="26.25">
      <c r="A246" s="993" t="s">
        <v>63</v>
      </c>
      <c r="B246" s="1492" t="s">
        <v>17</v>
      </c>
      <c r="C246" s="1497">
        <f>'Table 6'!K24</f>
        <v>0.67</v>
      </c>
      <c r="D246" s="1507">
        <f>'Table 6'!L24</f>
        <v>0</v>
      </c>
      <c r="E246" s="1499">
        <f>'Table 6'!M24</f>
        <v>0.67</v>
      </c>
      <c r="F246" s="1497">
        <f>'Table 6'!N24</f>
        <v>0.65</v>
      </c>
      <c r="G246" s="1507">
        <f>'Table 6'!O24</f>
        <v>0</v>
      </c>
      <c r="H246" s="1499">
        <f>'Table 6'!P24</f>
        <v>0.65</v>
      </c>
      <c r="I246" s="1497">
        <f>'Table 6'!Q24</f>
        <v>0.65</v>
      </c>
      <c r="J246" s="1507">
        <f>'Table 6'!R24</f>
        <v>0</v>
      </c>
      <c r="K246" s="1499">
        <f>'Table 6'!S24</f>
        <v>0.65</v>
      </c>
      <c r="L246" s="1497">
        <f>'Table 6'!T24</f>
        <v>0.65</v>
      </c>
      <c r="M246" s="1507">
        <f>'Table 6'!U24</f>
        <v>0</v>
      </c>
      <c r="N246" s="1499">
        <f>'Table 6'!V24</f>
        <v>0.65</v>
      </c>
      <c r="O246" s="1497">
        <f>'Table 6'!W24</f>
        <v>0.66</v>
      </c>
      <c r="P246" s="1507">
        <f>'Table 6'!X24</f>
        <v>0</v>
      </c>
      <c r="Q246" s="1499">
        <f>'Table 6'!Y24</f>
        <v>0.66</v>
      </c>
      <c r="R246" s="1497">
        <f>'Table 6'!Z24</f>
        <v>0.66</v>
      </c>
      <c r="S246" s="1507">
        <f>'Table 6'!AA24</f>
        <v>0</v>
      </c>
      <c r="T246" s="1499">
        <f>'Table 6'!AB24</f>
        <v>0.66</v>
      </c>
      <c r="U246" s="1497">
        <f>'Table 6'!AC24</f>
        <v>0.66</v>
      </c>
      <c r="V246" s="1507">
        <f>'Table 6'!AD24</f>
        <v>0</v>
      </c>
      <c r="W246" s="1499">
        <f>'Table 6'!AE24</f>
        <v>0.66</v>
      </c>
      <c r="X246" s="1813">
        <f t="shared" ref="X246:X251" si="430">(W246-E246)/E246</f>
        <v>-0.01</v>
      </c>
      <c r="Y246" s="1497">
        <f>'Table 6'!AG24</f>
        <v>0.7</v>
      </c>
      <c r="Z246" s="1507">
        <f>'Table 6'!AH24</f>
        <v>0</v>
      </c>
      <c r="AA246" s="1499">
        <f>'Table 6'!AI24</f>
        <v>0.7</v>
      </c>
      <c r="AC246" s="1653">
        <f t="shared" ref="AC246:AC251" si="431">W246-E246</f>
        <v>-0.01</v>
      </c>
    </row>
    <row r="247" spans="1:29">
      <c r="A247" s="798" t="s">
        <v>64</v>
      </c>
      <c r="B247" s="1492" t="s">
        <v>17</v>
      </c>
      <c r="C247" s="1497">
        <f>'Table 7'!C24</f>
        <v>1.22</v>
      </c>
      <c r="D247" s="1507">
        <f>'Table 7'!D24</f>
        <v>0</v>
      </c>
      <c r="E247" s="1499">
        <f>'Table 7'!E24</f>
        <v>1.22</v>
      </c>
      <c r="F247" s="1497">
        <f>'Table 7'!F24</f>
        <v>1.32</v>
      </c>
      <c r="G247" s="1507">
        <f>'Table 7'!G24</f>
        <v>0</v>
      </c>
      <c r="H247" s="1499">
        <f>'Table 7'!H24</f>
        <v>1.32</v>
      </c>
      <c r="I247" s="1497">
        <f>'Table 7'!I24</f>
        <v>1.53</v>
      </c>
      <c r="J247" s="1507">
        <f>'Table 7'!J24</f>
        <v>0</v>
      </c>
      <c r="K247" s="1499">
        <f>'Table 7'!K24</f>
        <v>1.53</v>
      </c>
      <c r="L247" s="1497">
        <f>'Table 7'!L24</f>
        <v>1.68</v>
      </c>
      <c r="M247" s="1507">
        <f>'Table 7'!M24</f>
        <v>0</v>
      </c>
      <c r="N247" s="1499">
        <f>'Table 7'!N24</f>
        <v>1.68</v>
      </c>
      <c r="O247" s="1497">
        <f>'Table 7'!O24</f>
        <v>1.77</v>
      </c>
      <c r="P247" s="1507">
        <f>'Table 7'!P24</f>
        <v>0</v>
      </c>
      <c r="Q247" s="1499">
        <f>'Table 7'!Q24</f>
        <v>1.77</v>
      </c>
      <c r="R247" s="1497">
        <f>'Table 7'!R24</f>
        <v>1.94</v>
      </c>
      <c r="S247" s="1507">
        <f>'Table 7'!S24</f>
        <v>0</v>
      </c>
      <c r="T247" s="1499">
        <f>'Table 7'!T24</f>
        <v>1.94</v>
      </c>
      <c r="U247" s="1497">
        <f>'Table 7'!U24</f>
        <v>2.06</v>
      </c>
      <c r="V247" s="1507">
        <f>'Table 7'!V24</f>
        <v>0</v>
      </c>
      <c r="W247" s="1499">
        <f>'Table 7'!W24</f>
        <v>2.06</v>
      </c>
      <c r="X247" s="1813">
        <f t="shared" si="430"/>
        <v>0.69</v>
      </c>
      <c r="Y247" s="1497">
        <f>'Table 7'!AG24</f>
        <v>2.68</v>
      </c>
      <c r="Z247" s="1507">
        <f>'Table 7'!AH24</f>
        <v>0</v>
      </c>
      <c r="AA247" s="1499">
        <f>'Table 7'!AI24</f>
        <v>2.68</v>
      </c>
      <c r="AC247" s="1653">
        <f t="shared" si="431"/>
        <v>0.84</v>
      </c>
    </row>
    <row r="248" spans="1:29">
      <c r="A248" s="798" t="s">
        <v>65</v>
      </c>
      <c r="B248" s="1492" t="s">
        <v>17</v>
      </c>
      <c r="C248" s="1497">
        <f>'Table 8'!C24</f>
        <v>0.1</v>
      </c>
      <c r="D248" s="1507">
        <f>'Table 8'!D24</f>
        <v>0</v>
      </c>
      <c r="E248" s="1499">
        <f>'Table 8'!E24</f>
        <v>0.1</v>
      </c>
      <c r="F248" s="1497">
        <f>'Table 8'!F24</f>
        <v>0</v>
      </c>
      <c r="G248" s="1507">
        <f>'Table 8'!G24</f>
        <v>0</v>
      </c>
      <c r="H248" s="1499">
        <f>'Table 8'!H24</f>
        <v>0.1</v>
      </c>
      <c r="I248" s="1497">
        <f>'Table 8'!I24</f>
        <v>0.1</v>
      </c>
      <c r="J248" s="1507">
        <f>'Table 8'!J24</f>
        <v>0</v>
      </c>
      <c r="K248" s="1499">
        <f>'Table 8'!K24</f>
        <v>0.1</v>
      </c>
      <c r="L248" s="1497">
        <f>'Table 8'!L24</f>
        <v>0.1</v>
      </c>
      <c r="M248" s="1507">
        <f>'Table 8'!M24</f>
        <v>0</v>
      </c>
      <c r="N248" s="1499">
        <f>'Table 8'!N24</f>
        <v>0.1</v>
      </c>
      <c r="O248" s="1497">
        <f>'Table 8'!O24</f>
        <v>0.1</v>
      </c>
      <c r="P248" s="1507">
        <f>'Table 8'!P24</f>
        <v>0</v>
      </c>
      <c r="Q248" s="1499">
        <f>'Table 8'!Q24</f>
        <v>0.1</v>
      </c>
      <c r="R248" s="1497">
        <f>'Table 8'!R24</f>
        <v>0.1</v>
      </c>
      <c r="S248" s="1507">
        <f>'Table 8'!S24</f>
        <v>0</v>
      </c>
      <c r="T248" s="1499">
        <f>'Table 8'!T24</f>
        <v>0.1</v>
      </c>
      <c r="U248" s="1497">
        <f>'Table 8'!U24</f>
        <v>0.1</v>
      </c>
      <c r="V248" s="1507">
        <f>'Table 8'!V24</f>
        <v>0</v>
      </c>
      <c r="W248" s="1499">
        <f>'Table 8'!W24</f>
        <v>0.1</v>
      </c>
      <c r="X248" s="1813">
        <f t="shared" si="430"/>
        <v>0</v>
      </c>
      <c r="Y248" s="1497">
        <f>'Table 8'!Y24</f>
        <v>0.14000000000000001</v>
      </c>
      <c r="Z248" s="1507">
        <f>'Table 8'!Z24</f>
        <v>0</v>
      </c>
      <c r="AA248" s="1499">
        <f>'Table 8'!AA24</f>
        <v>0.14000000000000001</v>
      </c>
      <c r="AC248" s="1653">
        <f t="shared" si="431"/>
        <v>0</v>
      </c>
    </row>
    <row r="249" spans="1:29" ht="15" customHeight="1">
      <c r="A249" s="798" t="s">
        <v>66</v>
      </c>
      <c r="B249" s="1518" t="s">
        <v>17</v>
      </c>
      <c r="C249" s="1519">
        <f>'Table 9'!C24</f>
        <v>0.51</v>
      </c>
      <c r="D249" s="1520">
        <f>'Table 9'!D24</f>
        <v>0</v>
      </c>
      <c r="E249" s="1521">
        <f>'Table 9'!E24</f>
        <v>0.51</v>
      </c>
      <c r="F249" s="1519">
        <f>'Table 9'!F24</f>
        <v>0.5</v>
      </c>
      <c r="G249" s="1520">
        <f>'Table 9'!G24</f>
        <v>0</v>
      </c>
      <c r="H249" s="1521">
        <f>'Table 9'!H24</f>
        <v>0.5</v>
      </c>
      <c r="I249" s="1519">
        <f>'Table 9'!I24</f>
        <v>0.5</v>
      </c>
      <c r="J249" s="1520">
        <f>'Table 9'!J24</f>
        <v>0</v>
      </c>
      <c r="K249" s="1521">
        <f>'Table 9'!K24</f>
        <v>0.5</v>
      </c>
      <c r="L249" s="1519">
        <f>'Table 9'!L24</f>
        <v>0.5</v>
      </c>
      <c r="M249" s="1520">
        <f>'Table 9'!M24</f>
        <v>0</v>
      </c>
      <c r="N249" s="1521">
        <f>'Table 9'!N24</f>
        <v>0.5</v>
      </c>
      <c r="O249" s="1519">
        <f>'Table 9'!O24</f>
        <v>0.5</v>
      </c>
      <c r="P249" s="1520">
        <f>'Table 9'!P24</f>
        <v>0</v>
      </c>
      <c r="Q249" s="1521">
        <f>'Table 9'!Q24</f>
        <v>0.5</v>
      </c>
      <c r="R249" s="1519">
        <f>'Table 9'!R24</f>
        <v>0.5</v>
      </c>
      <c r="S249" s="1520">
        <f>'Table 9'!S24</f>
        <v>0</v>
      </c>
      <c r="T249" s="1521">
        <f>'Table 9'!T24</f>
        <v>0.5</v>
      </c>
      <c r="U249" s="1519">
        <f>'Table 9'!U24</f>
        <v>0.5</v>
      </c>
      <c r="V249" s="1520">
        <f>'Table 9'!V24</f>
        <v>0</v>
      </c>
      <c r="W249" s="1521">
        <f>'Table 9'!W24</f>
        <v>0.5</v>
      </c>
      <c r="X249" s="1814">
        <f t="shared" si="430"/>
        <v>-0.02</v>
      </c>
      <c r="Y249" s="1519">
        <f>U249</f>
        <v>0.5</v>
      </c>
      <c r="Z249" s="1520">
        <f t="shared" ref="Z249:Z250" si="432">V249</f>
        <v>0</v>
      </c>
      <c r="AA249" s="1521">
        <f t="shared" ref="AA249:AA250" si="433">W249</f>
        <v>0.5</v>
      </c>
      <c r="AC249" s="841">
        <f t="shared" si="431"/>
        <v>-0.01</v>
      </c>
    </row>
    <row r="250" spans="1:29" ht="15.75" thickBot="1">
      <c r="A250" s="175" t="s">
        <v>67</v>
      </c>
      <c r="B250" s="1489" t="s">
        <v>17</v>
      </c>
      <c r="C250" s="1522">
        <f>'Table 10'!C24</f>
        <v>0</v>
      </c>
      <c r="D250" s="1523">
        <f>'Table 10'!D24</f>
        <v>0</v>
      </c>
      <c r="E250" s="1524">
        <f>'Table 10'!E24</f>
        <v>0</v>
      </c>
      <c r="F250" s="1522">
        <f>'Table 10'!F24</f>
        <v>0</v>
      </c>
      <c r="G250" s="1523">
        <f>'Table 10'!G24</f>
        <v>0</v>
      </c>
      <c r="H250" s="1524">
        <f>'Table 10'!H24</f>
        <v>0</v>
      </c>
      <c r="I250" s="1522">
        <f>'Table 10'!I24</f>
        <v>0</v>
      </c>
      <c r="J250" s="1523">
        <f>'Table 10'!J24</f>
        <v>0</v>
      </c>
      <c r="K250" s="1524">
        <f>'Table 10'!K24</f>
        <v>0</v>
      </c>
      <c r="L250" s="1522">
        <f>'Table 10'!L24</f>
        <v>0</v>
      </c>
      <c r="M250" s="1523">
        <f>'Table 10'!M24</f>
        <v>0</v>
      </c>
      <c r="N250" s="1524">
        <f>'Table 10'!N24</f>
        <v>0</v>
      </c>
      <c r="O250" s="1522">
        <f>'Table 10'!O24</f>
        <v>0</v>
      </c>
      <c r="P250" s="1523">
        <f>'Table 10'!P24</f>
        <v>0</v>
      </c>
      <c r="Q250" s="1524">
        <f>'Table 10'!Q24</f>
        <v>0</v>
      </c>
      <c r="R250" s="1522">
        <f>'Table 10'!R24</f>
        <v>0</v>
      </c>
      <c r="S250" s="1523">
        <f>'Table 10'!S24</f>
        <v>0</v>
      </c>
      <c r="T250" s="1524">
        <f>'Table 10'!T24</f>
        <v>0</v>
      </c>
      <c r="U250" s="1522">
        <f>'Table 10'!U24</f>
        <v>0</v>
      </c>
      <c r="V250" s="1523">
        <f>'Table 10'!V24</f>
        <v>0</v>
      </c>
      <c r="W250" s="1524">
        <f>'Table 10'!W24</f>
        <v>0</v>
      </c>
      <c r="X250" s="1815" t="s">
        <v>16</v>
      </c>
      <c r="Y250" s="1522">
        <f>U250</f>
        <v>0</v>
      </c>
      <c r="Z250" s="1523">
        <f t="shared" si="432"/>
        <v>0</v>
      </c>
      <c r="AA250" s="1524">
        <f t="shared" si="433"/>
        <v>0</v>
      </c>
      <c r="AC250" s="1822">
        <f t="shared" si="431"/>
        <v>0</v>
      </c>
    </row>
    <row r="251" spans="1:29" ht="16.5" thickTop="1" thickBot="1">
      <c r="A251" s="3481" t="s">
        <v>719</v>
      </c>
      <c r="B251" s="3482"/>
      <c r="C251" s="1512">
        <f t="shared" ref="C251:W251" si="434">C245+C246+C247+C248+C249+C250</f>
        <v>2.76</v>
      </c>
      <c r="D251" s="1538">
        <f t="shared" si="434"/>
        <v>0</v>
      </c>
      <c r="E251" s="1513">
        <f t="shared" si="434"/>
        <v>2.76</v>
      </c>
      <c r="F251" s="1512">
        <f t="shared" si="434"/>
        <v>2.71</v>
      </c>
      <c r="G251" s="1538">
        <f t="shared" si="434"/>
        <v>0</v>
      </c>
      <c r="H251" s="1513">
        <f t="shared" si="434"/>
        <v>2.81</v>
      </c>
      <c r="I251" s="1512">
        <f t="shared" si="434"/>
        <v>3.02</v>
      </c>
      <c r="J251" s="1538">
        <f t="shared" si="434"/>
        <v>0</v>
      </c>
      <c r="K251" s="1513">
        <f t="shared" si="434"/>
        <v>3.02</v>
      </c>
      <c r="L251" s="1512">
        <f t="shared" si="434"/>
        <v>3.17</v>
      </c>
      <c r="M251" s="1538">
        <f t="shared" si="434"/>
        <v>0</v>
      </c>
      <c r="N251" s="1513">
        <f t="shared" si="434"/>
        <v>3.17</v>
      </c>
      <c r="O251" s="1512">
        <f t="shared" si="434"/>
        <v>3.28</v>
      </c>
      <c r="P251" s="1538">
        <f t="shared" si="434"/>
        <v>0</v>
      </c>
      <c r="Q251" s="1513">
        <f t="shared" si="434"/>
        <v>3.28</v>
      </c>
      <c r="R251" s="1512">
        <f t="shared" si="434"/>
        <v>3.45</v>
      </c>
      <c r="S251" s="1538">
        <f t="shared" si="434"/>
        <v>0</v>
      </c>
      <c r="T251" s="1513">
        <f t="shared" si="434"/>
        <v>3.45</v>
      </c>
      <c r="U251" s="1512">
        <f t="shared" si="434"/>
        <v>3.57</v>
      </c>
      <c r="V251" s="1538">
        <f t="shared" si="434"/>
        <v>0</v>
      </c>
      <c r="W251" s="1513">
        <f t="shared" si="434"/>
        <v>3.57</v>
      </c>
      <c r="X251" s="1517">
        <f t="shared" si="430"/>
        <v>0.28999999999999998</v>
      </c>
      <c r="Y251" s="1512">
        <f>Y245+Y246+Y247+Y248+Y249+Y250</f>
        <v>4.29</v>
      </c>
      <c r="Z251" s="1538">
        <f>Z245+Z246+Z247+Z248+Z249+Z250</f>
        <v>0</v>
      </c>
      <c r="AA251" s="1513">
        <f>AA245+AA246+AA247+AA248+AA249+AA250</f>
        <v>4.29</v>
      </c>
      <c r="AC251" s="855">
        <f t="shared" si="431"/>
        <v>0.81</v>
      </c>
    </row>
    <row r="252" spans="1:29">
      <c r="A252" s="89" t="s">
        <v>35</v>
      </c>
    </row>
    <row r="253" spans="1:29">
      <c r="A253" s="1" t="s">
        <v>68</v>
      </c>
    </row>
    <row r="254" spans="1:29">
      <c r="A254" s="1" t="s">
        <v>69</v>
      </c>
    </row>
    <row r="256" spans="1:29" ht="15.75" thickBot="1">
      <c r="A256" s="1" t="s">
        <v>720</v>
      </c>
    </row>
    <row r="257" spans="1:29" ht="15.75" customHeight="1" thickBot="1">
      <c r="A257" s="3204" t="s">
        <v>54</v>
      </c>
      <c r="B257" s="3206" t="s">
        <v>2</v>
      </c>
      <c r="C257" s="3261" t="s">
        <v>55</v>
      </c>
      <c r="D257" s="3262"/>
      <c r="E257" s="3263"/>
      <c r="F257" s="3261" t="s">
        <v>56</v>
      </c>
      <c r="G257" s="3262"/>
      <c r="H257" s="3262"/>
      <c r="I257" s="3262"/>
      <c r="J257" s="3262"/>
      <c r="K257" s="3262"/>
      <c r="L257" s="3262"/>
      <c r="M257" s="3262"/>
      <c r="N257" s="3262"/>
      <c r="O257" s="3262"/>
      <c r="P257" s="3262"/>
      <c r="Q257" s="3262"/>
      <c r="R257" s="3262"/>
      <c r="S257" s="3262"/>
      <c r="T257" s="3262"/>
      <c r="U257" s="3262"/>
      <c r="V257" s="3262"/>
      <c r="W257" s="3263"/>
      <c r="X257" s="3255" t="s">
        <v>57</v>
      </c>
      <c r="Y257" s="3261" t="s">
        <v>58</v>
      </c>
      <c r="Z257" s="3262"/>
      <c r="AA257" s="3263"/>
      <c r="AC257" s="3255" t="s">
        <v>80</v>
      </c>
    </row>
    <row r="258" spans="1:29">
      <c r="A258" s="3205"/>
      <c r="B258" s="3207"/>
      <c r="C258" s="3258">
        <v>2015</v>
      </c>
      <c r="D258" s="3264"/>
      <c r="E258" s="3245"/>
      <c r="F258" s="3258">
        <v>2020</v>
      </c>
      <c r="G258" s="3264"/>
      <c r="H258" s="3245"/>
      <c r="I258" s="3258">
        <v>2025</v>
      </c>
      <c r="J258" s="3264"/>
      <c r="K258" s="3245"/>
      <c r="L258" s="3258">
        <v>2030</v>
      </c>
      <c r="M258" s="3264"/>
      <c r="N258" s="3245"/>
      <c r="O258" s="3258">
        <v>2035</v>
      </c>
      <c r="P258" s="3264"/>
      <c r="Q258" s="3245"/>
      <c r="R258" s="3258">
        <v>2040</v>
      </c>
      <c r="S258" s="3264"/>
      <c r="T258" s="3245"/>
      <c r="U258" s="3258">
        <v>2045</v>
      </c>
      <c r="V258" s="3264"/>
      <c r="W258" s="3245"/>
      <c r="X258" s="3256"/>
      <c r="Y258" s="3258">
        <v>2045</v>
      </c>
      <c r="Z258" s="3264"/>
      <c r="AA258" s="3245"/>
      <c r="AC258" s="3256"/>
    </row>
    <row r="259" spans="1:29" ht="15.75" thickBot="1">
      <c r="A259" s="3485"/>
      <c r="B259" s="3208"/>
      <c r="C259" s="1130" t="s">
        <v>60</v>
      </c>
      <c r="D259" s="1128" t="s">
        <v>61</v>
      </c>
      <c r="E259" s="1681" t="s">
        <v>18</v>
      </c>
      <c r="F259" s="1127" t="s">
        <v>60</v>
      </c>
      <c r="G259" s="1131" t="s">
        <v>61</v>
      </c>
      <c r="H259" s="1680" t="s">
        <v>18</v>
      </c>
      <c r="I259" s="1130" t="s">
        <v>60</v>
      </c>
      <c r="J259" s="1128" t="s">
        <v>61</v>
      </c>
      <c r="K259" s="1681" t="s">
        <v>18</v>
      </c>
      <c r="L259" s="1127" t="s">
        <v>60</v>
      </c>
      <c r="M259" s="1131" t="s">
        <v>61</v>
      </c>
      <c r="N259" s="1680" t="s">
        <v>18</v>
      </c>
      <c r="O259" s="1130" t="s">
        <v>60</v>
      </c>
      <c r="P259" s="1128" t="s">
        <v>61</v>
      </c>
      <c r="Q259" s="1681" t="s">
        <v>18</v>
      </c>
      <c r="R259" s="1130" t="s">
        <v>60</v>
      </c>
      <c r="S259" s="1131" t="s">
        <v>61</v>
      </c>
      <c r="T259" s="1680" t="s">
        <v>18</v>
      </c>
      <c r="U259" s="1130" t="s">
        <v>60</v>
      </c>
      <c r="V259" s="1131" t="s">
        <v>61</v>
      </c>
      <c r="W259" s="1680" t="s">
        <v>18</v>
      </c>
      <c r="X259" s="3257"/>
      <c r="Y259" s="1817" t="s">
        <v>60</v>
      </c>
      <c r="Z259" s="1818" t="s">
        <v>61</v>
      </c>
      <c r="AA259" s="1135" t="s">
        <v>18</v>
      </c>
      <c r="AC259" s="3483"/>
    </row>
    <row r="260" spans="1:29">
      <c r="A260" s="993" t="s">
        <v>62</v>
      </c>
      <c r="B260" s="1492" t="s">
        <v>17</v>
      </c>
      <c r="C260" s="1497">
        <f>'Table 4'!J37</f>
        <v>0.65</v>
      </c>
      <c r="D260" s="1507">
        <f>'Table 4'!K37</f>
        <v>0</v>
      </c>
      <c r="E260" s="1499">
        <f>'Table 4'!L37</f>
        <v>0.65</v>
      </c>
      <c r="F260" s="1497">
        <f>'Table 4'!M37</f>
        <v>0.8</v>
      </c>
      <c r="G260" s="1507">
        <f>'Table 4'!N37</f>
        <v>0</v>
      </c>
      <c r="H260" s="1499">
        <f>'Table 4'!O37</f>
        <v>0.8</v>
      </c>
      <c r="I260" s="1497">
        <f>'Table 4'!Q37</f>
        <v>0.84</v>
      </c>
      <c r="J260" s="1507">
        <f>'Table 4'!R37</f>
        <v>0</v>
      </c>
      <c r="K260" s="1499">
        <f>'Table 4'!S37</f>
        <v>0.84</v>
      </c>
      <c r="L260" s="1497">
        <f>'Table 4'!U37</f>
        <v>0.87</v>
      </c>
      <c r="M260" s="1507">
        <f>'Table 4'!V37</f>
        <v>0</v>
      </c>
      <c r="N260" s="1499">
        <f>'Table 4'!W37</f>
        <v>0.87</v>
      </c>
      <c r="O260" s="1497">
        <f>'Table 4'!Y37</f>
        <v>0.87</v>
      </c>
      <c r="P260" s="1507">
        <f>'Table 4'!Z37</f>
        <v>0</v>
      </c>
      <c r="Q260" s="1499">
        <f>'Table 4'!AA37</f>
        <v>0.87</v>
      </c>
      <c r="R260" s="1497">
        <f>'Table 4'!AC37</f>
        <v>0.87</v>
      </c>
      <c r="S260" s="1507">
        <f>'Table 4'!AD37</f>
        <v>0</v>
      </c>
      <c r="T260" s="1499">
        <f>'Table 4'!AE37</f>
        <v>0.87</v>
      </c>
      <c r="U260" s="1497">
        <f>'Table 4'!AG37</f>
        <v>0.87</v>
      </c>
      <c r="V260" s="1507">
        <f>'Table 4'!AH37</f>
        <v>0</v>
      </c>
      <c r="W260" s="1499">
        <f>'Table 4'!AI37</f>
        <v>0.87</v>
      </c>
      <c r="X260" s="1813">
        <f>(W260-E260)/E260</f>
        <v>0.34</v>
      </c>
      <c r="Y260" s="1497">
        <f>'Table 4'!AL37</f>
        <v>0.92</v>
      </c>
      <c r="Z260" s="1507">
        <f>'Table 4'!AM37</f>
        <v>0</v>
      </c>
      <c r="AA260" s="1499">
        <f>'Table 4'!AN37</f>
        <v>0.87</v>
      </c>
      <c r="AC260" s="1653">
        <f>W260-E260</f>
        <v>0.22</v>
      </c>
    </row>
    <row r="261" spans="1:29" ht="26.25">
      <c r="A261" s="993" t="s">
        <v>63</v>
      </c>
      <c r="B261" s="1492" t="s">
        <v>17</v>
      </c>
      <c r="C261" s="1497">
        <f>'Table 6'!K38</f>
        <v>1.21</v>
      </c>
      <c r="D261" s="1507">
        <f>'Table 6'!L38</f>
        <v>0</v>
      </c>
      <c r="E261" s="1499">
        <f>'Table 6'!M38</f>
        <v>1.21</v>
      </c>
      <c r="F261" s="1497">
        <f>'Table 6'!N38</f>
        <v>1.18</v>
      </c>
      <c r="G261" s="1507">
        <f>'Table 6'!O38</f>
        <v>0</v>
      </c>
      <c r="H261" s="1499">
        <f>'Table 6'!P38</f>
        <v>1.18</v>
      </c>
      <c r="I261" s="1497">
        <f>'Table 6'!Q38</f>
        <v>1.18</v>
      </c>
      <c r="J261" s="1507">
        <f>'Table 6'!R38</f>
        <v>0</v>
      </c>
      <c r="K261" s="1499">
        <f>'Table 6'!S38</f>
        <v>1.18</v>
      </c>
      <c r="L261" s="1497">
        <f>'Table 6'!T38</f>
        <v>1.19</v>
      </c>
      <c r="M261" s="1507">
        <f>'Table 6'!U38</f>
        <v>0</v>
      </c>
      <c r="N261" s="1499">
        <f>'Table 6'!V38</f>
        <v>1.19</v>
      </c>
      <c r="O261" s="1497">
        <f>'Table 6'!W38</f>
        <v>1.19</v>
      </c>
      <c r="P261" s="1507">
        <f>'Table 6'!X38</f>
        <v>0</v>
      </c>
      <c r="Q261" s="1499">
        <f>'Table 6'!Y38</f>
        <v>1.19</v>
      </c>
      <c r="R261" s="1497">
        <f>'Table 6'!Z38</f>
        <v>1.19</v>
      </c>
      <c r="S261" s="1507">
        <f>'Table 6'!AA38</f>
        <v>0</v>
      </c>
      <c r="T261" s="1499">
        <f>'Table 6'!AB38</f>
        <v>1.19</v>
      </c>
      <c r="U261" s="1497">
        <f>'Table 6'!AC38</f>
        <v>1.19</v>
      </c>
      <c r="V261" s="1507">
        <f>'Table 6'!AD38</f>
        <v>0</v>
      </c>
      <c r="W261" s="1499">
        <f>'Table 6'!AE38</f>
        <v>1.19</v>
      </c>
      <c r="X261" s="1813">
        <f t="shared" ref="X261:X266" si="435">(W261-E261)/E261</f>
        <v>-0.02</v>
      </c>
      <c r="Y261" s="1497">
        <f>'Table 6'!AG38</f>
        <v>1.26</v>
      </c>
      <c r="Z261" s="1507">
        <f>'Table 6'!AH38</f>
        <v>0</v>
      </c>
      <c r="AA261" s="1499">
        <f>'Table 6'!AI38</f>
        <v>1.26</v>
      </c>
      <c r="AC261" s="1653">
        <f t="shared" ref="AC261:AC266" si="436">W261-E261</f>
        <v>-0.02</v>
      </c>
    </row>
    <row r="262" spans="1:29">
      <c r="A262" s="798" t="s">
        <v>64</v>
      </c>
      <c r="B262" s="1492" t="s">
        <v>17</v>
      </c>
      <c r="C262" s="1497">
        <f>'Table 7'!C40</f>
        <v>6.81</v>
      </c>
      <c r="D262" s="1507">
        <f>'Table 7'!D40</f>
        <v>0</v>
      </c>
      <c r="E262" s="1499">
        <f>'Table 7'!E40</f>
        <v>6.81</v>
      </c>
      <c r="F262" s="1497">
        <f>'Table 7'!F40</f>
        <v>5.56</v>
      </c>
      <c r="G262" s="1507">
        <f>'Table 7'!G40</f>
        <v>0</v>
      </c>
      <c r="H262" s="1499">
        <f>'Table 7'!H40</f>
        <v>5.56</v>
      </c>
      <c r="I262" s="1497">
        <f>'Table 7'!I40</f>
        <v>6.01</v>
      </c>
      <c r="J262" s="1507">
        <f>'Table 7'!J40</f>
        <v>0</v>
      </c>
      <c r="K262" s="1499">
        <f>'Table 7'!K40</f>
        <v>6.01</v>
      </c>
      <c r="L262" s="1497">
        <f>'Table 7'!L40</f>
        <v>6.45</v>
      </c>
      <c r="M262" s="1507">
        <f>'Table 7'!M40</f>
        <v>0</v>
      </c>
      <c r="N262" s="1499">
        <f>'Table 7'!N40</f>
        <v>6.45</v>
      </c>
      <c r="O262" s="1497">
        <f>'Table 7'!O40</f>
        <v>6.86</v>
      </c>
      <c r="P262" s="1507">
        <f>'Table 7'!P40</f>
        <v>0</v>
      </c>
      <c r="Q262" s="1499">
        <f>'Table 7'!Q40</f>
        <v>6.86</v>
      </c>
      <c r="R262" s="1497">
        <f>'Table 7'!R40</f>
        <v>7.36</v>
      </c>
      <c r="S262" s="1507">
        <f>'Table 7'!S40</f>
        <v>0</v>
      </c>
      <c r="T262" s="1499">
        <f>'Table 7'!T40</f>
        <v>7.36</v>
      </c>
      <c r="U262" s="1497">
        <f>'Table 7'!U40</f>
        <v>7.73</v>
      </c>
      <c r="V262" s="1507">
        <f>'Table 7'!V40</f>
        <v>0</v>
      </c>
      <c r="W262" s="1499">
        <f>'Table 7'!W40</f>
        <v>7.73</v>
      </c>
      <c r="X262" s="1813">
        <f t="shared" si="435"/>
        <v>0.14000000000000001</v>
      </c>
      <c r="Y262" s="1497">
        <f>'Table 7'!AG40</f>
        <v>9.9700000000000006</v>
      </c>
      <c r="Z262" s="1507">
        <f>'Table 7'!AH40</f>
        <v>0</v>
      </c>
      <c r="AA262" s="1499">
        <f>'Table 7'!AI40</f>
        <v>9.9700000000000006</v>
      </c>
      <c r="AC262" s="1653">
        <f t="shared" si="436"/>
        <v>0.92</v>
      </c>
    </row>
    <row r="263" spans="1:29">
      <c r="A263" s="798" t="s">
        <v>65</v>
      </c>
      <c r="B263" s="1492" t="s">
        <v>17</v>
      </c>
      <c r="C263" s="1497">
        <f>'Table 8'!C39</f>
        <v>0.12</v>
      </c>
      <c r="D263" s="1507">
        <f>'Table 8'!D39</f>
        <v>0</v>
      </c>
      <c r="E263" s="1499">
        <f>'Table 8'!E39</f>
        <v>0.12</v>
      </c>
      <c r="F263" s="1497">
        <f>'Table 8'!F39</f>
        <v>0</v>
      </c>
      <c r="G263" s="1507">
        <f>'Table 8'!G39</f>
        <v>0</v>
      </c>
      <c r="H263" s="1499">
        <f>'Table 8'!H39</f>
        <v>0.12</v>
      </c>
      <c r="I263" s="1497">
        <f>'Table 8'!I39</f>
        <v>0.12</v>
      </c>
      <c r="J263" s="1507">
        <f>'Table 8'!J39</f>
        <v>0</v>
      </c>
      <c r="K263" s="1499">
        <f>'Table 8'!K39</f>
        <v>0.12</v>
      </c>
      <c r="L263" s="1497">
        <f>'Table 8'!L39</f>
        <v>0.12</v>
      </c>
      <c r="M263" s="1507">
        <f>'Table 8'!M39</f>
        <v>0</v>
      </c>
      <c r="N263" s="1499">
        <f>'Table 8'!N39</f>
        <v>0.12</v>
      </c>
      <c r="O263" s="1497">
        <f>'Table 8'!O39</f>
        <v>0.12</v>
      </c>
      <c r="P263" s="1507">
        <f>'Table 8'!P39</f>
        <v>0</v>
      </c>
      <c r="Q263" s="1499">
        <f>'Table 8'!Q39</f>
        <v>0.12</v>
      </c>
      <c r="R263" s="1497">
        <f>'Table 8'!R39</f>
        <v>0.12</v>
      </c>
      <c r="S263" s="1507">
        <f>'Table 8'!S39</f>
        <v>0</v>
      </c>
      <c r="T263" s="1499">
        <f>'Table 8'!T39</f>
        <v>0.12</v>
      </c>
      <c r="U263" s="1497">
        <f>'Table 8'!U39</f>
        <v>0.12</v>
      </c>
      <c r="V263" s="1507">
        <f>'Table 8'!V39</f>
        <v>0</v>
      </c>
      <c r="W263" s="1499">
        <f>'Table 8'!W39</f>
        <v>0.12</v>
      </c>
      <c r="X263" s="1813">
        <f t="shared" si="435"/>
        <v>0</v>
      </c>
      <c r="Y263" s="1497">
        <f>'Table 8'!Y39</f>
        <v>0.12</v>
      </c>
      <c r="Z263" s="1507">
        <f>'Table 8'!Z39</f>
        <v>0</v>
      </c>
      <c r="AA263" s="1499">
        <f>'Table 8'!AA39</f>
        <v>0.12</v>
      </c>
      <c r="AC263" s="1653">
        <f t="shared" si="436"/>
        <v>0</v>
      </c>
    </row>
    <row r="264" spans="1:29" ht="15" customHeight="1">
      <c r="A264" s="798" t="s">
        <v>66</v>
      </c>
      <c r="B264" s="1518" t="s">
        <v>17</v>
      </c>
      <c r="C264" s="1519">
        <f>'Table 9'!C39</f>
        <v>0.2</v>
      </c>
      <c r="D264" s="1520">
        <f>'Table 9'!D39</f>
        <v>0</v>
      </c>
      <c r="E264" s="1521">
        <f>'Table 9'!E39</f>
        <v>0.2</v>
      </c>
      <c r="F264" s="1519">
        <f>'Table 9'!F39</f>
        <v>0.2</v>
      </c>
      <c r="G264" s="1520">
        <f>'Table 9'!G39</f>
        <v>0</v>
      </c>
      <c r="H264" s="1521">
        <f>'Table 9'!H39</f>
        <v>0.2</v>
      </c>
      <c r="I264" s="1519">
        <f>'Table 9'!I39</f>
        <v>0.2</v>
      </c>
      <c r="J264" s="1520">
        <f>'Table 9'!J39</f>
        <v>0</v>
      </c>
      <c r="K264" s="1521">
        <f>'Table 9'!K39</f>
        <v>0.2</v>
      </c>
      <c r="L264" s="1519">
        <f>'Table 9'!L39</f>
        <v>0.2</v>
      </c>
      <c r="M264" s="1520">
        <f>'Table 9'!M39</f>
        <v>0</v>
      </c>
      <c r="N264" s="1521">
        <f>'Table 9'!N39</f>
        <v>0.2</v>
      </c>
      <c r="O264" s="1519">
        <f>'Table 9'!O39</f>
        <v>0.2</v>
      </c>
      <c r="P264" s="1520">
        <f>'Table 9'!P39</f>
        <v>0</v>
      </c>
      <c r="Q264" s="1521">
        <f>'Table 9'!Q39</f>
        <v>0.2</v>
      </c>
      <c r="R264" s="1519">
        <f>'Table 9'!R39</f>
        <v>0.2</v>
      </c>
      <c r="S264" s="1520">
        <f>'Table 9'!S39</f>
        <v>0</v>
      </c>
      <c r="T264" s="1521">
        <f>'Table 9'!T39</f>
        <v>0.2</v>
      </c>
      <c r="U264" s="1519">
        <f>'Table 9'!U39</f>
        <v>0.2</v>
      </c>
      <c r="V264" s="1520">
        <f>'Table 9'!V39</f>
        <v>0</v>
      </c>
      <c r="W264" s="1521">
        <f>'Table 9'!W39</f>
        <v>0.2</v>
      </c>
      <c r="X264" s="1814">
        <f t="shared" si="435"/>
        <v>0</v>
      </c>
      <c r="Y264" s="1519">
        <f>U264</f>
        <v>0.2</v>
      </c>
      <c r="Z264" s="1520">
        <f t="shared" ref="Z264:Z265" si="437">V264</f>
        <v>0</v>
      </c>
      <c r="AA264" s="1521">
        <f t="shared" ref="AA264:AA265" si="438">W264</f>
        <v>0.2</v>
      </c>
      <c r="AC264" s="841">
        <f t="shared" si="436"/>
        <v>0</v>
      </c>
    </row>
    <row r="265" spans="1:29" ht="15.75" thickBot="1">
      <c r="A265" s="175" t="s">
        <v>67</v>
      </c>
      <c r="B265" s="1489" t="s">
        <v>17</v>
      </c>
      <c r="C265" s="1522">
        <f>'Table 10'!C38</f>
        <v>0</v>
      </c>
      <c r="D265" s="1523">
        <f>'Table 10'!D38</f>
        <v>0</v>
      </c>
      <c r="E265" s="1524">
        <f>'Table 10'!E38</f>
        <v>0</v>
      </c>
      <c r="F265" s="1522">
        <f>'Table 10'!F38</f>
        <v>0</v>
      </c>
      <c r="G265" s="1523">
        <f>'Table 10'!G38</f>
        <v>0</v>
      </c>
      <c r="H265" s="1524">
        <f>'Table 10'!H38</f>
        <v>0</v>
      </c>
      <c r="I265" s="1522">
        <f>'Table 10'!I38</f>
        <v>0</v>
      </c>
      <c r="J265" s="1523">
        <f>'Table 10'!J38</f>
        <v>0</v>
      </c>
      <c r="K265" s="1524">
        <f>'Table 10'!K38</f>
        <v>0</v>
      </c>
      <c r="L265" s="1522">
        <f>'Table 10'!L38</f>
        <v>0</v>
      </c>
      <c r="M265" s="1523">
        <f>'Table 10'!M38</f>
        <v>0</v>
      </c>
      <c r="N265" s="1524">
        <f>'Table 10'!N38</f>
        <v>0</v>
      </c>
      <c r="O265" s="1522">
        <f>'Table 10'!O38</f>
        <v>0</v>
      </c>
      <c r="P265" s="1523">
        <f>'Table 10'!P38</f>
        <v>0</v>
      </c>
      <c r="Q265" s="1524">
        <f>'Table 10'!Q38</f>
        <v>0</v>
      </c>
      <c r="R265" s="1522">
        <f>'Table 10'!R38</f>
        <v>0</v>
      </c>
      <c r="S265" s="1523">
        <f>'Table 10'!S38</f>
        <v>0</v>
      </c>
      <c r="T265" s="1524">
        <f>'Table 10'!T38</f>
        <v>0</v>
      </c>
      <c r="U265" s="1522">
        <f>'Table 10'!U38</f>
        <v>0</v>
      </c>
      <c r="V265" s="1523">
        <f>'Table 10'!V38</f>
        <v>0</v>
      </c>
      <c r="W265" s="1524">
        <f>'Table 10'!W38</f>
        <v>0</v>
      </c>
      <c r="X265" s="1815" t="s">
        <v>16</v>
      </c>
      <c r="Y265" s="1522">
        <f>U265</f>
        <v>0</v>
      </c>
      <c r="Z265" s="1523">
        <f t="shared" si="437"/>
        <v>0</v>
      </c>
      <c r="AA265" s="1524">
        <f t="shared" si="438"/>
        <v>0</v>
      </c>
      <c r="AC265" s="1822">
        <f t="shared" si="436"/>
        <v>0</v>
      </c>
    </row>
    <row r="266" spans="1:29" ht="16.5" thickTop="1" thickBot="1">
      <c r="A266" s="3481" t="s">
        <v>721</v>
      </c>
      <c r="B266" s="3482"/>
      <c r="C266" s="1512">
        <f t="shared" ref="C266:W266" si="439">C260+C261+C262+C263+C264+C265</f>
        <v>8.99</v>
      </c>
      <c r="D266" s="1538">
        <f t="shared" si="439"/>
        <v>0</v>
      </c>
      <c r="E266" s="1513">
        <f t="shared" si="439"/>
        <v>8.99</v>
      </c>
      <c r="F266" s="1512">
        <f t="shared" si="439"/>
        <v>7.74</v>
      </c>
      <c r="G266" s="1538">
        <f t="shared" si="439"/>
        <v>0</v>
      </c>
      <c r="H266" s="1513">
        <f t="shared" si="439"/>
        <v>7.86</v>
      </c>
      <c r="I266" s="1512">
        <f t="shared" si="439"/>
        <v>8.35</v>
      </c>
      <c r="J266" s="1538">
        <f t="shared" si="439"/>
        <v>0</v>
      </c>
      <c r="K266" s="1513">
        <f t="shared" si="439"/>
        <v>8.35</v>
      </c>
      <c r="L266" s="1512">
        <f t="shared" si="439"/>
        <v>8.83</v>
      </c>
      <c r="M266" s="1538">
        <f t="shared" si="439"/>
        <v>0</v>
      </c>
      <c r="N266" s="1513">
        <f t="shared" si="439"/>
        <v>8.83</v>
      </c>
      <c r="O266" s="1512">
        <f t="shared" si="439"/>
        <v>9.24</v>
      </c>
      <c r="P266" s="1538">
        <f t="shared" si="439"/>
        <v>0</v>
      </c>
      <c r="Q266" s="1513">
        <f t="shared" si="439"/>
        <v>9.24</v>
      </c>
      <c r="R266" s="1512">
        <f t="shared" si="439"/>
        <v>9.74</v>
      </c>
      <c r="S266" s="1538">
        <f t="shared" si="439"/>
        <v>0</v>
      </c>
      <c r="T266" s="1513">
        <f t="shared" si="439"/>
        <v>9.74</v>
      </c>
      <c r="U266" s="1512">
        <f t="shared" si="439"/>
        <v>10.11</v>
      </c>
      <c r="V266" s="1538">
        <f t="shared" si="439"/>
        <v>0</v>
      </c>
      <c r="W266" s="1513">
        <f t="shared" si="439"/>
        <v>10.11</v>
      </c>
      <c r="X266" s="1517">
        <f t="shared" si="435"/>
        <v>0.12</v>
      </c>
      <c r="Y266" s="1512">
        <f>Y260+Y261+Y262+Y263+Y264+Y265</f>
        <v>12.47</v>
      </c>
      <c r="Z266" s="1538">
        <f>Z260+Z261+Z262+Z263+Z264+Z265</f>
        <v>0</v>
      </c>
      <c r="AA266" s="1513">
        <f>AA260+AA261+AA262+AA263+AA264+AA265</f>
        <v>12.42</v>
      </c>
      <c r="AC266" s="855">
        <f t="shared" si="436"/>
        <v>1.1200000000000001</v>
      </c>
    </row>
    <row r="267" spans="1:29">
      <c r="A267" s="89" t="s">
        <v>35</v>
      </c>
    </row>
    <row r="268" spans="1:29">
      <c r="A268" s="1" t="s">
        <v>68</v>
      </c>
    </row>
    <row r="269" spans="1:29">
      <c r="A269" s="1" t="s">
        <v>69</v>
      </c>
    </row>
    <row r="271" spans="1:29" ht="15.75" thickBot="1">
      <c r="A271" s="1" t="s">
        <v>722</v>
      </c>
    </row>
    <row r="272" spans="1:29" ht="15.75" customHeight="1" thickBot="1">
      <c r="A272" s="3204" t="s">
        <v>54</v>
      </c>
      <c r="B272" s="3206" t="s">
        <v>2</v>
      </c>
      <c r="C272" s="3261" t="s">
        <v>55</v>
      </c>
      <c r="D272" s="3262"/>
      <c r="E272" s="3263"/>
      <c r="F272" s="3261" t="s">
        <v>56</v>
      </c>
      <c r="G272" s="3262"/>
      <c r="H272" s="3262"/>
      <c r="I272" s="3262"/>
      <c r="J272" s="3262"/>
      <c r="K272" s="3262"/>
      <c r="L272" s="3262"/>
      <c r="M272" s="3262"/>
      <c r="N272" s="3262"/>
      <c r="O272" s="3262"/>
      <c r="P272" s="3262"/>
      <c r="Q272" s="3262"/>
      <c r="R272" s="3262"/>
      <c r="S272" s="3262"/>
      <c r="T272" s="3262"/>
      <c r="U272" s="3262"/>
      <c r="V272" s="3262"/>
      <c r="W272" s="3263"/>
      <c r="X272" s="3255" t="s">
        <v>57</v>
      </c>
      <c r="Y272" s="3261" t="s">
        <v>58</v>
      </c>
      <c r="Z272" s="3262"/>
      <c r="AA272" s="3263"/>
      <c r="AC272" s="3255" t="s">
        <v>80</v>
      </c>
    </row>
    <row r="273" spans="1:29">
      <c r="A273" s="3205"/>
      <c r="B273" s="3207"/>
      <c r="C273" s="3258">
        <v>2015</v>
      </c>
      <c r="D273" s="3264"/>
      <c r="E273" s="3245"/>
      <c r="F273" s="3258">
        <v>2020</v>
      </c>
      <c r="G273" s="3264"/>
      <c r="H273" s="3245"/>
      <c r="I273" s="3258">
        <v>2025</v>
      </c>
      <c r="J273" s="3264"/>
      <c r="K273" s="3245"/>
      <c r="L273" s="3258">
        <v>2030</v>
      </c>
      <c r="M273" s="3264"/>
      <c r="N273" s="3245"/>
      <c r="O273" s="3258">
        <v>2035</v>
      </c>
      <c r="P273" s="3264"/>
      <c r="Q273" s="3245"/>
      <c r="R273" s="3258">
        <v>2040</v>
      </c>
      <c r="S273" s="3264"/>
      <c r="T273" s="3245"/>
      <c r="U273" s="3258">
        <v>2045</v>
      </c>
      <c r="V273" s="3264"/>
      <c r="W273" s="3245"/>
      <c r="X273" s="3256"/>
      <c r="Y273" s="3258">
        <v>2045</v>
      </c>
      <c r="Z273" s="3264"/>
      <c r="AA273" s="3245"/>
      <c r="AC273" s="3256"/>
    </row>
    <row r="274" spans="1:29" ht="15.75" thickBot="1">
      <c r="A274" s="3485"/>
      <c r="B274" s="3208"/>
      <c r="C274" s="1130" t="s">
        <v>60</v>
      </c>
      <c r="D274" s="1128" t="s">
        <v>61</v>
      </c>
      <c r="E274" s="1681" t="s">
        <v>18</v>
      </c>
      <c r="F274" s="1127" t="s">
        <v>60</v>
      </c>
      <c r="G274" s="1131" t="s">
        <v>61</v>
      </c>
      <c r="H274" s="1680" t="s">
        <v>18</v>
      </c>
      <c r="I274" s="1130" t="s">
        <v>60</v>
      </c>
      <c r="J274" s="1128" t="s">
        <v>61</v>
      </c>
      <c r="K274" s="1681" t="s">
        <v>18</v>
      </c>
      <c r="L274" s="1127" t="s">
        <v>60</v>
      </c>
      <c r="M274" s="1131" t="s">
        <v>61</v>
      </c>
      <c r="N274" s="1680" t="s">
        <v>18</v>
      </c>
      <c r="O274" s="1130" t="s">
        <v>60</v>
      </c>
      <c r="P274" s="1128" t="s">
        <v>61</v>
      </c>
      <c r="Q274" s="1681" t="s">
        <v>18</v>
      </c>
      <c r="R274" s="1130" t="s">
        <v>60</v>
      </c>
      <c r="S274" s="1131" t="s">
        <v>61</v>
      </c>
      <c r="T274" s="1680" t="s">
        <v>18</v>
      </c>
      <c r="U274" s="1130" t="s">
        <v>60</v>
      </c>
      <c r="V274" s="1131" t="s">
        <v>61</v>
      </c>
      <c r="W274" s="1680" t="s">
        <v>18</v>
      </c>
      <c r="X274" s="3257"/>
      <c r="Y274" s="1817" t="s">
        <v>60</v>
      </c>
      <c r="Z274" s="1818" t="s">
        <v>61</v>
      </c>
      <c r="AA274" s="1135" t="s">
        <v>18</v>
      </c>
      <c r="AC274" s="3483"/>
    </row>
    <row r="275" spans="1:29">
      <c r="A275" s="993" t="s">
        <v>62</v>
      </c>
      <c r="B275" s="1492" t="s">
        <v>17</v>
      </c>
      <c r="C275" s="1497">
        <f>'Table 4'!J38</f>
        <v>0</v>
      </c>
      <c r="D275" s="1507">
        <f>'Table 4'!K38</f>
        <v>0</v>
      </c>
      <c r="E275" s="1499">
        <f>'Table 4'!L38</f>
        <v>0</v>
      </c>
      <c r="F275" s="1497">
        <f>'Table 4'!M38</f>
        <v>0</v>
      </c>
      <c r="G275" s="1507">
        <f>'Table 4'!N38</f>
        <v>0</v>
      </c>
      <c r="H275" s="1499">
        <f>'Table 4'!O38</f>
        <v>0</v>
      </c>
      <c r="I275" s="1497">
        <f>'Table 4'!Q38</f>
        <v>0</v>
      </c>
      <c r="J275" s="1507">
        <f>'Table 4'!R38</f>
        <v>0</v>
      </c>
      <c r="K275" s="1499">
        <f>'Table 4'!S38</f>
        <v>0</v>
      </c>
      <c r="L275" s="1497">
        <f>'Table 4'!U38</f>
        <v>0</v>
      </c>
      <c r="M275" s="1507">
        <f>'Table 4'!V38</f>
        <v>0</v>
      </c>
      <c r="N275" s="1499">
        <f>'Table 4'!W38</f>
        <v>0</v>
      </c>
      <c r="O275" s="1497">
        <f>'Table 4'!Y38</f>
        <v>0</v>
      </c>
      <c r="P275" s="1507">
        <f>'Table 4'!Z38</f>
        <v>0</v>
      </c>
      <c r="Q275" s="1499">
        <f>'Table 4'!AA38</f>
        <v>0</v>
      </c>
      <c r="R275" s="1497">
        <f>'Table 4'!AC38</f>
        <v>0</v>
      </c>
      <c r="S275" s="1507">
        <f>'Table 4'!AD38</f>
        <v>0</v>
      </c>
      <c r="T275" s="1499">
        <f>'Table 4'!AE38</f>
        <v>0</v>
      </c>
      <c r="U275" s="1497">
        <f>'Table 4'!AG38</f>
        <v>0</v>
      </c>
      <c r="V275" s="1507">
        <f>'Table 4'!AH38</f>
        <v>0</v>
      </c>
      <c r="W275" s="1499">
        <f>'Table 4'!AI38</f>
        <v>0</v>
      </c>
      <c r="X275" s="1821" t="s">
        <v>16</v>
      </c>
      <c r="Y275" s="1497">
        <f>'Table 4'!AL38</f>
        <v>0</v>
      </c>
      <c r="Z275" s="1507">
        <f>'Table 4'!AM38</f>
        <v>0</v>
      </c>
      <c r="AA275" s="1499">
        <f>'Table 4'!AN38</f>
        <v>0</v>
      </c>
      <c r="AC275" s="1653">
        <f>W275-E275</f>
        <v>0</v>
      </c>
    </row>
    <row r="276" spans="1:29" ht="26.25">
      <c r="A276" s="993" t="s">
        <v>63</v>
      </c>
      <c r="B276" s="1492" t="s">
        <v>17</v>
      </c>
      <c r="C276" s="1497">
        <f>'Table 6'!K39</f>
        <v>0.25</v>
      </c>
      <c r="D276" s="1507">
        <f>'Table 6'!L39</f>
        <v>0</v>
      </c>
      <c r="E276" s="1499">
        <f>'Table 6'!M39</f>
        <v>0.25</v>
      </c>
      <c r="F276" s="1497">
        <f>'Table 6'!N39</f>
        <v>0.25</v>
      </c>
      <c r="G276" s="1507">
        <f>'Table 6'!O39</f>
        <v>0</v>
      </c>
      <c r="H276" s="1499">
        <f>'Table 6'!P39</f>
        <v>0.25</v>
      </c>
      <c r="I276" s="1497">
        <f>'Table 6'!Q39</f>
        <v>0.25</v>
      </c>
      <c r="J276" s="1507">
        <f>'Table 6'!R39</f>
        <v>0</v>
      </c>
      <c r="K276" s="1499">
        <f>'Table 6'!S39</f>
        <v>0.25</v>
      </c>
      <c r="L276" s="1497">
        <f>'Table 6'!T39</f>
        <v>0.26</v>
      </c>
      <c r="M276" s="1507">
        <f>'Table 6'!U39</f>
        <v>0</v>
      </c>
      <c r="N276" s="1499">
        <f>'Table 6'!V39</f>
        <v>0.26</v>
      </c>
      <c r="O276" s="1497">
        <f>'Table 6'!W39</f>
        <v>0.26</v>
      </c>
      <c r="P276" s="1507">
        <f>'Table 6'!X39</f>
        <v>0</v>
      </c>
      <c r="Q276" s="1499">
        <f>'Table 6'!Y39</f>
        <v>0.26</v>
      </c>
      <c r="R276" s="1497">
        <f>'Table 6'!Z39</f>
        <v>0.26</v>
      </c>
      <c r="S276" s="1507">
        <f>'Table 6'!AA39</f>
        <v>0</v>
      </c>
      <c r="T276" s="1499">
        <f>'Table 6'!AB39</f>
        <v>0.26</v>
      </c>
      <c r="U276" s="1497">
        <f>'Table 6'!AC39</f>
        <v>0.26</v>
      </c>
      <c r="V276" s="1507">
        <f>'Table 6'!AD39</f>
        <v>0</v>
      </c>
      <c r="W276" s="1499">
        <f>'Table 6'!AE39</f>
        <v>0.26</v>
      </c>
      <c r="X276" s="1813">
        <f t="shared" ref="X276:X281" si="440">(W276-E276)/E276</f>
        <v>0.04</v>
      </c>
      <c r="Y276" s="1497">
        <f>'Table 6'!AG39</f>
        <v>0.28000000000000003</v>
      </c>
      <c r="Z276" s="1507">
        <f>'Table 6'!AH39</f>
        <v>0</v>
      </c>
      <c r="AA276" s="1499">
        <f>'Table 6'!AI39</f>
        <v>0.28000000000000003</v>
      </c>
      <c r="AC276" s="1653">
        <f t="shared" ref="AC276:AC281" si="441">W276-E276</f>
        <v>0.01</v>
      </c>
    </row>
    <row r="277" spans="1:29">
      <c r="A277" s="798" t="s">
        <v>64</v>
      </c>
      <c r="B277" s="1492" t="s">
        <v>17</v>
      </c>
      <c r="C277" s="1497">
        <f>'Table 7'!C41</f>
        <v>3.27</v>
      </c>
      <c r="D277" s="1507">
        <f>'Table 7'!D41</f>
        <v>0.02</v>
      </c>
      <c r="E277" s="1499">
        <f>'Table 7'!E41</f>
        <v>3.29</v>
      </c>
      <c r="F277" s="1497">
        <f>'Table 7'!F41</f>
        <v>2.72</v>
      </c>
      <c r="G277" s="1507">
        <f>'Table 7'!G41</f>
        <v>0.02</v>
      </c>
      <c r="H277" s="1499">
        <f>'Table 7'!H41</f>
        <v>2.74</v>
      </c>
      <c r="I277" s="1497">
        <f>'Table 7'!I41</f>
        <v>2.73</v>
      </c>
      <c r="J277" s="1507">
        <f>'Table 7'!J41</f>
        <v>0.02</v>
      </c>
      <c r="K277" s="1499">
        <f>'Table 7'!K41</f>
        <v>2.75</v>
      </c>
      <c r="L277" s="1497">
        <f>'Table 7'!L41</f>
        <v>2.74</v>
      </c>
      <c r="M277" s="1507">
        <f>'Table 7'!M41</f>
        <v>0.02</v>
      </c>
      <c r="N277" s="1499">
        <f>'Table 7'!N41</f>
        <v>2.76</v>
      </c>
      <c r="O277" s="1497">
        <f>'Table 7'!O41</f>
        <v>2.77</v>
      </c>
      <c r="P277" s="1507">
        <f>'Table 7'!P41</f>
        <v>0.02</v>
      </c>
      <c r="Q277" s="1499">
        <f>'Table 7'!Q41</f>
        <v>2.79</v>
      </c>
      <c r="R277" s="1497">
        <f>'Table 7'!R41</f>
        <v>2.78</v>
      </c>
      <c r="S277" s="1507">
        <f>'Table 7'!S41</f>
        <v>0.02</v>
      </c>
      <c r="T277" s="1499">
        <f>'Table 7'!T41</f>
        <v>2.8</v>
      </c>
      <c r="U277" s="1497">
        <f>'Table 7'!U41</f>
        <v>2.81</v>
      </c>
      <c r="V277" s="1507">
        <f>'Table 7'!V41</f>
        <v>0.02</v>
      </c>
      <c r="W277" s="1499">
        <f>'Table 7'!W41</f>
        <v>2.83</v>
      </c>
      <c r="X277" s="1813">
        <f t="shared" si="440"/>
        <v>-0.14000000000000001</v>
      </c>
      <c r="Y277" s="1497">
        <f>'Table 7'!AG41</f>
        <v>3.44</v>
      </c>
      <c r="Z277" s="1507">
        <f>'Table 7'!AH41</f>
        <v>0.02</v>
      </c>
      <c r="AA277" s="1499">
        <f>'Table 7'!AI41</f>
        <v>3.46</v>
      </c>
      <c r="AC277" s="1653">
        <f t="shared" si="441"/>
        <v>-0.46</v>
      </c>
    </row>
    <row r="278" spans="1:29">
      <c r="A278" s="798" t="s">
        <v>65</v>
      </c>
      <c r="B278" s="1492" t="s">
        <v>17</v>
      </c>
      <c r="C278" s="1497">
        <f>'Table 8'!C40</f>
        <v>0.09</v>
      </c>
      <c r="D278" s="1507">
        <f>'Table 8'!D40</f>
        <v>0</v>
      </c>
      <c r="E278" s="1499">
        <f>'Table 8'!E40</f>
        <v>0.09</v>
      </c>
      <c r="F278" s="1497">
        <f>'Table 8'!F40</f>
        <v>0.09</v>
      </c>
      <c r="G278" s="1507">
        <f>'Table 8'!G40</f>
        <v>0</v>
      </c>
      <c r="H278" s="1499">
        <f>'Table 8'!H40</f>
        <v>0.09</v>
      </c>
      <c r="I278" s="1497">
        <f>'Table 8'!I40</f>
        <v>0.09</v>
      </c>
      <c r="J278" s="1507">
        <f>'Table 8'!J40</f>
        <v>0</v>
      </c>
      <c r="K278" s="1499">
        <f>'Table 8'!K40</f>
        <v>0.09</v>
      </c>
      <c r="L278" s="1497">
        <f>'Table 8'!L40</f>
        <v>0.09</v>
      </c>
      <c r="M278" s="1507">
        <f>'Table 8'!M40</f>
        <v>0</v>
      </c>
      <c r="N278" s="1499">
        <f>'Table 8'!N40</f>
        <v>0.09</v>
      </c>
      <c r="O278" s="1497">
        <f>'Table 8'!O40</f>
        <v>0.09</v>
      </c>
      <c r="P278" s="1507">
        <f>'Table 8'!P40</f>
        <v>0</v>
      </c>
      <c r="Q278" s="1499">
        <f>'Table 8'!Q40</f>
        <v>0.09</v>
      </c>
      <c r="R278" s="1497">
        <f>'Table 8'!R40</f>
        <v>0.09</v>
      </c>
      <c r="S278" s="1507">
        <f>'Table 8'!S40</f>
        <v>0</v>
      </c>
      <c r="T278" s="1499">
        <f>'Table 8'!T40</f>
        <v>0.09</v>
      </c>
      <c r="U278" s="1497">
        <f>'Table 8'!U40</f>
        <v>0.09</v>
      </c>
      <c r="V278" s="1507">
        <f>'Table 8'!V40</f>
        <v>0</v>
      </c>
      <c r="W278" s="1499">
        <f>'Table 8'!W40</f>
        <v>0.09</v>
      </c>
      <c r="X278" s="1813">
        <f t="shared" si="440"/>
        <v>0</v>
      </c>
      <c r="Y278" s="1497">
        <f>'Table 8'!Y40</f>
        <v>0.12</v>
      </c>
      <c r="Z278" s="1507">
        <f>'Table 8'!Z40</f>
        <v>0</v>
      </c>
      <c r="AA278" s="1499">
        <f>'Table 8'!AA40</f>
        <v>0.12</v>
      </c>
      <c r="AC278" s="1653">
        <f t="shared" si="441"/>
        <v>0</v>
      </c>
    </row>
    <row r="279" spans="1:29" ht="15" customHeight="1">
      <c r="A279" s="798" t="s">
        <v>66</v>
      </c>
      <c r="B279" s="1518" t="s">
        <v>17</v>
      </c>
      <c r="C279" s="1519">
        <f>'Table 9'!C40</f>
        <v>0.16</v>
      </c>
      <c r="D279" s="1520">
        <f>'Table 9'!D40</f>
        <v>0</v>
      </c>
      <c r="E279" s="1521">
        <f>'Table 9'!E40</f>
        <v>0.16</v>
      </c>
      <c r="F279" s="1519">
        <f>'Table 9'!F40</f>
        <v>0.16</v>
      </c>
      <c r="G279" s="1520">
        <f>'Table 9'!G40</f>
        <v>0</v>
      </c>
      <c r="H279" s="1521">
        <f>'Table 9'!H40</f>
        <v>0.16</v>
      </c>
      <c r="I279" s="1519">
        <f>'Table 9'!I40</f>
        <v>0.16</v>
      </c>
      <c r="J279" s="1520">
        <f>'Table 9'!J40</f>
        <v>0</v>
      </c>
      <c r="K279" s="1521">
        <f>'Table 9'!K40</f>
        <v>0.16</v>
      </c>
      <c r="L279" s="1519">
        <f>'Table 9'!L40</f>
        <v>0.16</v>
      </c>
      <c r="M279" s="1520">
        <f>'Table 9'!M40</f>
        <v>0</v>
      </c>
      <c r="N279" s="1521">
        <f>'Table 9'!N40</f>
        <v>0.16</v>
      </c>
      <c r="O279" s="1519">
        <f>'Table 9'!O40</f>
        <v>0.16</v>
      </c>
      <c r="P279" s="1520">
        <f>'Table 9'!P40</f>
        <v>0</v>
      </c>
      <c r="Q279" s="1521">
        <f>'Table 9'!Q40</f>
        <v>0.16</v>
      </c>
      <c r="R279" s="1519">
        <f>'Table 9'!R40</f>
        <v>0.16</v>
      </c>
      <c r="S279" s="1520">
        <f>'Table 9'!S40</f>
        <v>0</v>
      </c>
      <c r="T279" s="1521">
        <f>'Table 9'!T40</f>
        <v>0.16</v>
      </c>
      <c r="U279" s="1519">
        <f>'Table 9'!U40</f>
        <v>0.16</v>
      </c>
      <c r="V279" s="1520">
        <f>'Table 9'!V40</f>
        <v>0</v>
      </c>
      <c r="W279" s="1521">
        <f>'Table 9'!W40</f>
        <v>0.16</v>
      </c>
      <c r="X279" s="1814">
        <f t="shared" si="440"/>
        <v>0</v>
      </c>
      <c r="Y279" s="1519">
        <f>U279</f>
        <v>0.16</v>
      </c>
      <c r="Z279" s="1520">
        <f t="shared" ref="Z279:Z280" si="442">V279</f>
        <v>0</v>
      </c>
      <c r="AA279" s="1521">
        <f t="shared" ref="AA279:AA280" si="443">W279</f>
        <v>0.16</v>
      </c>
      <c r="AC279" s="841">
        <f t="shared" si="441"/>
        <v>0</v>
      </c>
    </row>
    <row r="280" spans="1:29" ht="15.75" thickBot="1">
      <c r="A280" s="175" t="s">
        <v>67</v>
      </c>
      <c r="B280" s="1489" t="s">
        <v>17</v>
      </c>
      <c r="C280" s="1522">
        <f>'Table 10'!C39</f>
        <v>0</v>
      </c>
      <c r="D280" s="1523">
        <f>'Table 10'!D39</f>
        <v>0</v>
      </c>
      <c r="E280" s="1524">
        <f>'Table 10'!E39</f>
        <v>0</v>
      </c>
      <c r="F280" s="1522">
        <f>'Table 10'!F39</f>
        <v>0</v>
      </c>
      <c r="G280" s="1523">
        <f>'Table 10'!G39</f>
        <v>0</v>
      </c>
      <c r="H280" s="1524">
        <f>'Table 10'!H39</f>
        <v>0</v>
      </c>
      <c r="I280" s="1522">
        <f>'Table 10'!I39</f>
        <v>0</v>
      </c>
      <c r="J280" s="1523">
        <f>'Table 10'!J39</f>
        <v>0</v>
      </c>
      <c r="K280" s="1524">
        <f>'Table 10'!K39</f>
        <v>0</v>
      </c>
      <c r="L280" s="1522">
        <f>'Table 10'!L39</f>
        <v>0</v>
      </c>
      <c r="M280" s="1523">
        <f>'Table 10'!M39</f>
        <v>0</v>
      </c>
      <c r="N280" s="1524">
        <f>'Table 10'!N39</f>
        <v>0</v>
      </c>
      <c r="O280" s="1522">
        <f>'Table 10'!O39</f>
        <v>0</v>
      </c>
      <c r="P280" s="1523">
        <f>'Table 10'!P39</f>
        <v>0</v>
      </c>
      <c r="Q280" s="1524">
        <f>'Table 10'!Q39</f>
        <v>0</v>
      </c>
      <c r="R280" s="1522">
        <f>'Table 10'!R39</f>
        <v>0</v>
      </c>
      <c r="S280" s="1523">
        <f>'Table 10'!S39</f>
        <v>0</v>
      </c>
      <c r="T280" s="1524">
        <f>'Table 10'!T39</f>
        <v>0</v>
      </c>
      <c r="U280" s="1522">
        <f>'Table 10'!U39</f>
        <v>0</v>
      </c>
      <c r="V280" s="1523">
        <f>'Table 10'!V39</f>
        <v>0</v>
      </c>
      <c r="W280" s="1524">
        <f>'Table 10'!W39</f>
        <v>0</v>
      </c>
      <c r="X280" s="1815" t="s">
        <v>16</v>
      </c>
      <c r="Y280" s="1522">
        <f>U280</f>
        <v>0</v>
      </c>
      <c r="Z280" s="1523">
        <f t="shared" si="442"/>
        <v>0</v>
      </c>
      <c r="AA280" s="1524">
        <f t="shared" si="443"/>
        <v>0</v>
      </c>
      <c r="AC280" s="1822">
        <f t="shared" si="441"/>
        <v>0</v>
      </c>
    </row>
    <row r="281" spans="1:29" ht="16.5" thickTop="1" thickBot="1">
      <c r="A281" s="3481" t="s">
        <v>723</v>
      </c>
      <c r="B281" s="3482"/>
      <c r="C281" s="1512">
        <f t="shared" ref="C281:W281" si="444">C275+C276+C277+C278+C279+C280</f>
        <v>3.77</v>
      </c>
      <c r="D281" s="1538">
        <f t="shared" si="444"/>
        <v>0.02</v>
      </c>
      <c r="E281" s="1513">
        <f t="shared" si="444"/>
        <v>3.79</v>
      </c>
      <c r="F281" s="1512">
        <f t="shared" si="444"/>
        <v>3.22</v>
      </c>
      <c r="G281" s="1538">
        <f t="shared" si="444"/>
        <v>0.02</v>
      </c>
      <c r="H281" s="1513">
        <f t="shared" si="444"/>
        <v>3.24</v>
      </c>
      <c r="I281" s="1512">
        <f t="shared" si="444"/>
        <v>3.23</v>
      </c>
      <c r="J281" s="1538">
        <f t="shared" si="444"/>
        <v>0.02</v>
      </c>
      <c r="K281" s="1513">
        <f t="shared" si="444"/>
        <v>3.25</v>
      </c>
      <c r="L281" s="1512">
        <f t="shared" si="444"/>
        <v>3.25</v>
      </c>
      <c r="M281" s="1538">
        <f t="shared" si="444"/>
        <v>0.02</v>
      </c>
      <c r="N281" s="1513">
        <f t="shared" si="444"/>
        <v>3.27</v>
      </c>
      <c r="O281" s="1512">
        <f t="shared" si="444"/>
        <v>3.28</v>
      </c>
      <c r="P281" s="1538">
        <f t="shared" si="444"/>
        <v>0.02</v>
      </c>
      <c r="Q281" s="1513">
        <f t="shared" si="444"/>
        <v>3.3</v>
      </c>
      <c r="R281" s="1512">
        <f t="shared" si="444"/>
        <v>3.29</v>
      </c>
      <c r="S281" s="1538">
        <f t="shared" si="444"/>
        <v>0.02</v>
      </c>
      <c r="T281" s="1513">
        <f t="shared" si="444"/>
        <v>3.31</v>
      </c>
      <c r="U281" s="1512">
        <f t="shared" si="444"/>
        <v>3.32</v>
      </c>
      <c r="V281" s="1538">
        <f t="shared" si="444"/>
        <v>0.02</v>
      </c>
      <c r="W281" s="1513">
        <f t="shared" si="444"/>
        <v>3.34</v>
      </c>
      <c r="X281" s="1517">
        <f t="shared" si="440"/>
        <v>-0.12</v>
      </c>
      <c r="Y281" s="1512">
        <f>Y275+Y276+Y277+Y278+Y279+Y280</f>
        <v>4</v>
      </c>
      <c r="Z281" s="1538">
        <f>Z275+Z276+Z277+Z278+Z279+Z280</f>
        <v>0.02</v>
      </c>
      <c r="AA281" s="1513">
        <f>AA275+AA276+AA277+AA278+AA279+AA280</f>
        <v>4.0199999999999996</v>
      </c>
      <c r="AC281" s="855">
        <f t="shared" si="441"/>
        <v>-0.45</v>
      </c>
    </row>
    <row r="282" spans="1:29">
      <c r="A282" s="89" t="s">
        <v>35</v>
      </c>
    </row>
    <row r="283" spans="1:29">
      <c r="A283" s="1" t="s">
        <v>68</v>
      </c>
    </row>
    <row r="284" spans="1:29">
      <c r="A284" s="1" t="s">
        <v>69</v>
      </c>
    </row>
    <row r="286" spans="1:29" ht="15.75" thickBot="1">
      <c r="A286" s="1" t="s">
        <v>724</v>
      </c>
    </row>
    <row r="287" spans="1:29" ht="15.75" customHeight="1" thickBot="1">
      <c r="A287" s="3204" t="s">
        <v>54</v>
      </c>
      <c r="B287" s="3206" t="s">
        <v>2</v>
      </c>
      <c r="C287" s="3261" t="s">
        <v>55</v>
      </c>
      <c r="D287" s="3262"/>
      <c r="E287" s="3263"/>
      <c r="F287" s="3261" t="s">
        <v>56</v>
      </c>
      <c r="G287" s="3262"/>
      <c r="H287" s="3262"/>
      <c r="I287" s="3262"/>
      <c r="J287" s="3262"/>
      <c r="K287" s="3262"/>
      <c r="L287" s="3262"/>
      <c r="M287" s="3262"/>
      <c r="N287" s="3262"/>
      <c r="O287" s="3262"/>
      <c r="P287" s="3262"/>
      <c r="Q287" s="3262"/>
      <c r="R287" s="3262"/>
      <c r="S287" s="3262"/>
      <c r="T287" s="3262"/>
      <c r="U287" s="3262"/>
      <c r="V287" s="3262"/>
      <c r="W287" s="3263"/>
      <c r="X287" s="3255" t="s">
        <v>57</v>
      </c>
      <c r="Y287" s="3261" t="s">
        <v>58</v>
      </c>
      <c r="Z287" s="3262"/>
      <c r="AA287" s="3263"/>
      <c r="AC287" s="3255" t="s">
        <v>80</v>
      </c>
    </row>
    <row r="288" spans="1:29">
      <c r="A288" s="3205"/>
      <c r="B288" s="3207"/>
      <c r="C288" s="3258">
        <v>2015</v>
      </c>
      <c r="D288" s="3264"/>
      <c r="E288" s="3245"/>
      <c r="F288" s="3258">
        <v>2020</v>
      </c>
      <c r="G288" s="3264"/>
      <c r="H288" s="3245"/>
      <c r="I288" s="3258">
        <v>2025</v>
      </c>
      <c r="J288" s="3264"/>
      <c r="K288" s="3245"/>
      <c r="L288" s="3258">
        <v>2030</v>
      </c>
      <c r="M288" s="3264"/>
      <c r="N288" s="3245"/>
      <c r="O288" s="3258">
        <v>2035</v>
      </c>
      <c r="P288" s="3264"/>
      <c r="Q288" s="3245"/>
      <c r="R288" s="3258">
        <v>2040</v>
      </c>
      <c r="S288" s="3264"/>
      <c r="T288" s="3245"/>
      <c r="U288" s="3258">
        <v>2045</v>
      </c>
      <c r="V288" s="3264"/>
      <c r="W288" s="3245"/>
      <c r="X288" s="3256"/>
      <c r="Y288" s="3258">
        <v>2045</v>
      </c>
      <c r="Z288" s="3264"/>
      <c r="AA288" s="3245"/>
      <c r="AC288" s="3256"/>
    </row>
    <row r="289" spans="1:29" ht="15.75" thickBot="1">
      <c r="A289" s="3485"/>
      <c r="B289" s="3208"/>
      <c r="C289" s="1130" t="s">
        <v>60</v>
      </c>
      <c r="D289" s="1128" t="s">
        <v>61</v>
      </c>
      <c r="E289" s="1681" t="s">
        <v>18</v>
      </c>
      <c r="F289" s="1127" t="s">
        <v>60</v>
      </c>
      <c r="G289" s="1131" t="s">
        <v>61</v>
      </c>
      <c r="H289" s="1680" t="s">
        <v>18</v>
      </c>
      <c r="I289" s="1130" t="s">
        <v>60</v>
      </c>
      <c r="J289" s="1128" t="s">
        <v>61</v>
      </c>
      <c r="K289" s="1681" t="s">
        <v>18</v>
      </c>
      <c r="L289" s="1127" t="s">
        <v>60</v>
      </c>
      <c r="M289" s="1131" t="s">
        <v>61</v>
      </c>
      <c r="N289" s="1680" t="s">
        <v>18</v>
      </c>
      <c r="O289" s="1130" t="s">
        <v>60</v>
      </c>
      <c r="P289" s="1128" t="s">
        <v>61</v>
      </c>
      <c r="Q289" s="1681" t="s">
        <v>18</v>
      </c>
      <c r="R289" s="1130" t="s">
        <v>60</v>
      </c>
      <c r="S289" s="1131" t="s">
        <v>61</v>
      </c>
      <c r="T289" s="1680" t="s">
        <v>18</v>
      </c>
      <c r="U289" s="1130" t="s">
        <v>60</v>
      </c>
      <c r="V289" s="1131" t="s">
        <v>61</v>
      </c>
      <c r="W289" s="1680" t="s">
        <v>18</v>
      </c>
      <c r="X289" s="3257"/>
      <c r="Y289" s="1817" t="s">
        <v>60</v>
      </c>
      <c r="Z289" s="1818" t="s">
        <v>61</v>
      </c>
      <c r="AA289" s="1135" t="s">
        <v>18</v>
      </c>
      <c r="AC289" s="3483"/>
    </row>
    <row r="290" spans="1:29">
      <c r="A290" s="993" t="s">
        <v>62</v>
      </c>
      <c r="B290" s="1492" t="s">
        <v>17</v>
      </c>
      <c r="C290" s="1497">
        <f>'Table 4'!J39</f>
        <v>0.15</v>
      </c>
      <c r="D290" s="1507">
        <f>'Table 4'!K39</f>
        <v>0</v>
      </c>
      <c r="E290" s="1499">
        <f>'Table 4'!L39</f>
        <v>0.15</v>
      </c>
      <c r="F290" s="1497">
        <f>'Table 4'!M39</f>
        <v>0.16</v>
      </c>
      <c r="G290" s="1507">
        <f>'Table 4'!N39</f>
        <v>0</v>
      </c>
      <c r="H290" s="1499">
        <f>'Table 4'!O39</f>
        <v>0.16</v>
      </c>
      <c r="I290" s="1497">
        <f>'Table 4'!Q39</f>
        <v>0.16</v>
      </c>
      <c r="J290" s="1507">
        <f>'Table 4'!R39</f>
        <v>0</v>
      </c>
      <c r="K290" s="1499">
        <f>'Table 4'!S39</f>
        <v>0.16</v>
      </c>
      <c r="L290" s="1497">
        <f>'Table 4'!U39</f>
        <v>0.16</v>
      </c>
      <c r="M290" s="1507">
        <f>'Table 4'!V39</f>
        <v>0</v>
      </c>
      <c r="N290" s="1499">
        <f>'Table 4'!W39</f>
        <v>0.16</v>
      </c>
      <c r="O290" s="1497">
        <f>'Table 4'!Y39</f>
        <v>0.16</v>
      </c>
      <c r="P290" s="1507">
        <f>'Table 4'!Z39</f>
        <v>0</v>
      </c>
      <c r="Q290" s="1499">
        <f>'Table 4'!AA39</f>
        <v>0.16</v>
      </c>
      <c r="R290" s="1497">
        <f>'Table 4'!AC39</f>
        <v>0.16</v>
      </c>
      <c r="S290" s="1507">
        <f>'Table 4'!AD39</f>
        <v>0</v>
      </c>
      <c r="T290" s="1499">
        <f>'Table 4'!AE39</f>
        <v>0.16</v>
      </c>
      <c r="U290" s="1497">
        <f>'Table 4'!AG39</f>
        <v>0.16</v>
      </c>
      <c r="V290" s="1507">
        <f>'Table 4'!AH39</f>
        <v>0</v>
      </c>
      <c r="W290" s="1499">
        <f>'Table 4'!AI39</f>
        <v>0.16</v>
      </c>
      <c r="X290" s="1813">
        <f>(W290-E290)/E290</f>
        <v>7.0000000000000007E-2</v>
      </c>
      <c r="Y290" s="1497">
        <f>'Table 4'!AL39</f>
        <v>0.17</v>
      </c>
      <c r="Z290" s="1507">
        <f>'Table 4'!AM39</f>
        <v>0</v>
      </c>
      <c r="AA290" s="1499">
        <f>'Table 4'!AN39</f>
        <v>0.17</v>
      </c>
      <c r="AC290" s="1653">
        <f>W290-E290</f>
        <v>0.01</v>
      </c>
    </row>
    <row r="291" spans="1:29" ht="26.25">
      <c r="A291" s="993" t="s">
        <v>63</v>
      </c>
      <c r="B291" s="1492" t="s">
        <v>17</v>
      </c>
      <c r="C291" s="1497">
        <f>'Table 6'!K40</f>
        <v>0.56000000000000005</v>
      </c>
      <c r="D291" s="1507">
        <f>'Table 6'!L40</f>
        <v>0</v>
      </c>
      <c r="E291" s="1499">
        <f>'Table 6'!M40</f>
        <v>0.56000000000000005</v>
      </c>
      <c r="F291" s="1497">
        <f>'Table 6'!N40</f>
        <v>0.6</v>
      </c>
      <c r="G291" s="1507">
        <f>'Table 6'!O40</f>
        <v>0</v>
      </c>
      <c r="H291" s="1499">
        <f>'Table 6'!P40</f>
        <v>0.6</v>
      </c>
      <c r="I291" s="1497">
        <f>'Table 6'!Q40</f>
        <v>0.64</v>
      </c>
      <c r="J291" s="1507">
        <f>'Table 6'!R40</f>
        <v>0</v>
      </c>
      <c r="K291" s="1499">
        <f>'Table 6'!S40</f>
        <v>0.64</v>
      </c>
      <c r="L291" s="1497">
        <f>'Table 6'!T40</f>
        <v>0.67</v>
      </c>
      <c r="M291" s="1507">
        <f>'Table 6'!U40</f>
        <v>0</v>
      </c>
      <c r="N291" s="1499">
        <f>'Table 6'!V40</f>
        <v>0.67</v>
      </c>
      <c r="O291" s="1497">
        <f>'Table 6'!W40</f>
        <v>0.7</v>
      </c>
      <c r="P291" s="1507">
        <f>'Table 6'!X40</f>
        <v>0</v>
      </c>
      <c r="Q291" s="1499">
        <f>'Table 6'!Y40</f>
        <v>0.7</v>
      </c>
      <c r="R291" s="1497">
        <f>'Table 6'!Z40</f>
        <v>0.72</v>
      </c>
      <c r="S291" s="1507">
        <f>'Table 6'!AA40</f>
        <v>0</v>
      </c>
      <c r="T291" s="1499">
        <f>'Table 6'!AB40</f>
        <v>0.72</v>
      </c>
      <c r="U291" s="1497">
        <f>'Table 6'!AC40</f>
        <v>0.74</v>
      </c>
      <c r="V291" s="1507">
        <f>'Table 6'!AD40</f>
        <v>0</v>
      </c>
      <c r="W291" s="1499">
        <f>'Table 6'!AE40</f>
        <v>0.74</v>
      </c>
      <c r="X291" s="1813">
        <f t="shared" ref="X291:X296" si="445">(W291-E291)/E291</f>
        <v>0.32</v>
      </c>
      <c r="Y291" s="1497">
        <f>'Table 6'!AG40</f>
        <v>0.78</v>
      </c>
      <c r="Z291" s="1507">
        <f>'Table 6'!AH40</f>
        <v>0</v>
      </c>
      <c r="AA291" s="1499">
        <f>'Table 6'!AI40</f>
        <v>0.78</v>
      </c>
      <c r="AC291" s="1653">
        <f t="shared" ref="AC291:AC296" si="446">W291-E291</f>
        <v>0.18</v>
      </c>
    </row>
    <row r="292" spans="1:29">
      <c r="A292" s="798" t="s">
        <v>64</v>
      </c>
      <c r="B292" s="1492" t="s">
        <v>17</v>
      </c>
      <c r="C292" s="1497">
        <f>'Table 7'!C42</f>
        <v>11.76</v>
      </c>
      <c r="D292" s="1507">
        <f>'Table 7'!D42</f>
        <v>0</v>
      </c>
      <c r="E292" s="1499">
        <f>'Table 7'!E42</f>
        <v>11.76</v>
      </c>
      <c r="F292" s="1497">
        <f>'Table 7'!F42</f>
        <v>11.4</v>
      </c>
      <c r="G292" s="1507">
        <f>'Table 7'!G42</f>
        <v>0</v>
      </c>
      <c r="H292" s="1499">
        <f>'Table 7'!H42</f>
        <v>11.4</v>
      </c>
      <c r="I292" s="1497">
        <f>'Table 7'!I42</f>
        <v>12.43</v>
      </c>
      <c r="J292" s="1507">
        <f>'Table 7'!J42</f>
        <v>0</v>
      </c>
      <c r="K292" s="1499">
        <f>'Table 7'!K42</f>
        <v>12.43</v>
      </c>
      <c r="L292" s="1497">
        <f>'Table 7'!L42</f>
        <v>13.36</v>
      </c>
      <c r="M292" s="1507">
        <f>'Table 7'!M42</f>
        <v>0</v>
      </c>
      <c r="N292" s="1499">
        <f>'Table 7'!N42</f>
        <v>13.36</v>
      </c>
      <c r="O292" s="1497">
        <f>'Table 7'!O42</f>
        <v>14.27</v>
      </c>
      <c r="P292" s="1507">
        <f>'Table 7'!P42</f>
        <v>0</v>
      </c>
      <c r="Q292" s="1499">
        <f>'Table 7'!Q42</f>
        <v>14.27</v>
      </c>
      <c r="R292" s="1497">
        <f>'Table 7'!R42</f>
        <v>15.3</v>
      </c>
      <c r="S292" s="1507">
        <f>'Table 7'!S42</f>
        <v>0</v>
      </c>
      <c r="T292" s="1499">
        <f>'Table 7'!T42</f>
        <v>15.3</v>
      </c>
      <c r="U292" s="1497">
        <f>'Table 7'!U42</f>
        <v>16.23</v>
      </c>
      <c r="V292" s="1507">
        <f>'Table 7'!V42</f>
        <v>0</v>
      </c>
      <c r="W292" s="1499">
        <f>'Table 7'!W42</f>
        <v>16.23</v>
      </c>
      <c r="X292" s="1813">
        <f t="shared" si="445"/>
        <v>0.38</v>
      </c>
      <c r="Y292" s="1497">
        <f>'Table 7'!AG42</f>
        <v>20.5</v>
      </c>
      <c r="Z292" s="1507">
        <f>'Table 7'!AH42</f>
        <v>0</v>
      </c>
      <c r="AA292" s="1499">
        <f>'Table 7'!AI42</f>
        <v>20.5</v>
      </c>
      <c r="AC292" s="1653">
        <f t="shared" si="446"/>
        <v>4.47</v>
      </c>
    </row>
    <row r="293" spans="1:29">
      <c r="A293" s="798" t="s">
        <v>65</v>
      </c>
      <c r="B293" s="1492" t="s">
        <v>17</v>
      </c>
      <c r="C293" s="1497">
        <f>'Table 8'!C41</f>
        <v>0.06</v>
      </c>
      <c r="D293" s="1507">
        <f>'Table 8'!D41</f>
        <v>0</v>
      </c>
      <c r="E293" s="1499">
        <f>'Table 8'!E41</f>
        <v>0.06</v>
      </c>
      <c r="F293" s="1497">
        <f>'Table 8'!F41</f>
        <v>0</v>
      </c>
      <c r="G293" s="1507">
        <f>'Table 8'!G41</f>
        <v>0</v>
      </c>
      <c r="H293" s="1499">
        <f>'Table 8'!H41</f>
        <v>0.06</v>
      </c>
      <c r="I293" s="1497">
        <f>'Table 8'!I41</f>
        <v>0.06</v>
      </c>
      <c r="J293" s="1507">
        <f>'Table 8'!J41</f>
        <v>0</v>
      </c>
      <c r="K293" s="1499">
        <f>'Table 8'!K41</f>
        <v>0.06</v>
      </c>
      <c r="L293" s="1497">
        <f>'Table 8'!L41</f>
        <v>0.06</v>
      </c>
      <c r="M293" s="1507">
        <f>'Table 8'!M41</f>
        <v>0</v>
      </c>
      <c r="N293" s="1499">
        <f>'Table 8'!N41</f>
        <v>0.06</v>
      </c>
      <c r="O293" s="1497">
        <f>'Table 8'!O41</f>
        <v>0.06</v>
      </c>
      <c r="P293" s="1507">
        <f>'Table 8'!P41</f>
        <v>0</v>
      </c>
      <c r="Q293" s="1499">
        <f>'Table 8'!Q41</f>
        <v>0.06</v>
      </c>
      <c r="R293" s="1497">
        <f>'Table 8'!R41</f>
        <v>0.06</v>
      </c>
      <c r="S293" s="1507">
        <f>'Table 8'!S41</f>
        <v>0</v>
      </c>
      <c r="T293" s="1499">
        <f>'Table 8'!T41</f>
        <v>0.06</v>
      </c>
      <c r="U293" s="1497">
        <f>'Table 8'!U41</f>
        <v>0.06</v>
      </c>
      <c r="V293" s="1507">
        <f>'Table 8'!V41</f>
        <v>0</v>
      </c>
      <c r="W293" s="1499">
        <f>'Table 8'!W41</f>
        <v>0.06</v>
      </c>
      <c r="X293" s="1813">
        <f t="shared" si="445"/>
        <v>0</v>
      </c>
      <c r="Y293" s="1497">
        <f>'Table 8'!Y41</f>
        <v>0.06</v>
      </c>
      <c r="Z293" s="1507">
        <f>'Table 8'!Z41</f>
        <v>0</v>
      </c>
      <c r="AA293" s="1499">
        <f>'Table 8'!AA41</f>
        <v>0.06</v>
      </c>
      <c r="AC293" s="1653">
        <f t="shared" si="446"/>
        <v>0</v>
      </c>
    </row>
    <row r="294" spans="1:29" ht="15" customHeight="1">
      <c r="A294" s="798" t="s">
        <v>66</v>
      </c>
      <c r="B294" s="1518" t="s">
        <v>17</v>
      </c>
      <c r="C294" s="1519">
        <f>'Table 9'!C41</f>
        <v>0.33</v>
      </c>
      <c r="D294" s="1520">
        <f>'Table 9'!D41</f>
        <v>0</v>
      </c>
      <c r="E294" s="1521">
        <f>'Table 9'!E41</f>
        <v>0.33</v>
      </c>
      <c r="F294" s="1519">
        <f>'Table 9'!F41</f>
        <v>0.35</v>
      </c>
      <c r="G294" s="1520">
        <f>'Table 9'!G41</f>
        <v>0</v>
      </c>
      <c r="H294" s="1521">
        <f>'Table 9'!H41</f>
        <v>0.35</v>
      </c>
      <c r="I294" s="1519">
        <f>'Table 9'!I41</f>
        <v>0.37</v>
      </c>
      <c r="J294" s="1520">
        <f>'Table 9'!J41</f>
        <v>0</v>
      </c>
      <c r="K294" s="1521">
        <f>'Table 9'!K41</f>
        <v>0.37</v>
      </c>
      <c r="L294" s="1519">
        <f>'Table 9'!L41</f>
        <v>0.38</v>
      </c>
      <c r="M294" s="1520">
        <f>'Table 9'!M41</f>
        <v>0</v>
      </c>
      <c r="N294" s="1521">
        <f>'Table 9'!N41</f>
        <v>0.38</v>
      </c>
      <c r="O294" s="1519">
        <f>'Table 9'!O41</f>
        <v>0.39</v>
      </c>
      <c r="P294" s="1520">
        <f>'Table 9'!P41</f>
        <v>0</v>
      </c>
      <c r="Q294" s="1521">
        <f>'Table 9'!Q41</f>
        <v>0.39</v>
      </c>
      <c r="R294" s="1519">
        <f>'Table 9'!R41</f>
        <v>0.4</v>
      </c>
      <c r="S294" s="1520">
        <f>'Table 9'!S41</f>
        <v>0</v>
      </c>
      <c r="T294" s="1521">
        <f>'Table 9'!T41</f>
        <v>0.4</v>
      </c>
      <c r="U294" s="1519">
        <f>'Table 9'!U41</f>
        <v>0.41</v>
      </c>
      <c r="V294" s="1520">
        <f>'Table 9'!V41</f>
        <v>0</v>
      </c>
      <c r="W294" s="1521">
        <f>'Table 9'!W41</f>
        <v>0.41</v>
      </c>
      <c r="X294" s="1814">
        <f t="shared" si="445"/>
        <v>0.24</v>
      </c>
      <c r="Y294" s="1519">
        <f>U294</f>
        <v>0.41</v>
      </c>
      <c r="Z294" s="1520">
        <f t="shared" ref="Z294:Z295" si="447">V294</f>
        <v>0</v>
      </c>
      <c r="AA294" s="1521">
        <f t="shared" ref="AA294:AA295" si="448">W294</f>
        <v>0.41</v>
      </c>
      <c r="AC294" s="841">
        <f t="shared" si="446"/>
        <v>0.08</v>
      </c>
    </row>
    <row r="295" spans="1:29" ht="15.75" thickBot="1">
      <c r="A295" s="175" t="s">
        <v>67</v>
      </c>
      <c r="B295" s="1489" t="s">
        <v>17</v>
      </c>
      <c r="C295" s="1522">
        <f>'Table 10'!C40</f>
        <v>0</v>
      </c>
      <c r="D295" s="1523">
        <f>'Table 10'!D40</f>
        <v>0</v>
      </c>
      <c r="E295" s="1524">
        <f>'Table 10'!E40</f>
        <v>0</v>
      </c>
      <c r="F295" s="1522">
        <f>'Table 10'!F40</f>
        <v>0</v>
      </c>
      <c r="G295" s="1523">
        <f>'Table 10'!G40</f>
        <v>0</v>
      </c>
      <c r="H295" s="1524">
        <f>'Table 10'!H40</f>
        <v>0</v>
      </c>
      <c r="I295" s="1522">
        <f>'Table 10'!I40</f>
        <v>0</v>
      </c>
      <c r="J295" s="1523">
        <f>'Table 10'!J40</f>
        <v>0</v>
      </c>
      <c r="K295" s="1524">
        <f>'Table 10'!K40</f>
        <v>0</v>
      </c>
      <c r="L295" s="1522">
        <f>'Table 10'!L40</f>
        <v>0</v>
      </c>
      <c r="M295" s="1523">
        <f>'Table 10'!M40</f>
        <v>0</v>
      </c>
      <c r="N295" s="1524">
        <f>'Table 10'!N40</f>
        <v>0</v>
      </c>
      <c r="O295" s="1522">
        <f>'Table 10'!O40</f>
        <v>0</v>
      </c>
      <c r="P295" s="1523">
        <f>'Table 10'!P40</f>
        <v>0</v>
      </c>
      <c r="Q295" s="1524">
        <f>'Table 10'!Q40</f>
        <v>0</v>
      </c>
      <c r="R295" s="1522">
        <f>'Table 10'!R40</f>
        <v>0</v>
      </c>
      <c r="S295" s="1523">
        <f>'Table 10'!S40</f>
        <v>0</v>
      </c>
      <c r="T295" s="1524">
        <f>'Table 10'!T40</f>
        <v>0</v>
      </c>
      <c r="U295" s="1522">
        <f>'Table 10'!U40</f>
        <v>0</v>
      </c>
      <c r="V295" s="1523">
        <f>'Table 10'!V40</f>
        <v>0</v>
      </c>
      <c r="W295" s="1524">
        <f>'Table 10'!W40</f>
        <v>0</v>
      </c>
      <c r="X295" s="1815" t="s">
        <v>16</v>
      </c>
      <c r="Y295" s="1522">
        <f>U295</f>
        <v>0</v>
      </c>
      <c r="Z295" s="1523">
        <f t="shared" si="447"/>
        <v>0</v>
      </c>
      <c r="AA295" s="1524">
        <f t="shared" si="448"/>
        <v>0</v>
      </c>
      <c r="AC295" s="1822">
        <f t="shared" si="446"/>
        <v>0</v>
      </c>
    </row>
    <row r="296" spans="1:29" ht="16.5" thickTop="1" thickBot="1">
      <c r="A296" s="3481" t="s">
        <v>725</v>
      </c>
      <c r="B296" s="3482"/>
      <c r="C296" s="1512">
        <f t="shared" ref="C296:W296" si="449">C290+C291+C292+C293+C294+C295</f>
        <v>12.86</v>
      </c>
      <c r="D296" s="1538">
        <f t="shared" si="449"/>
        <v>0</v>
      </c>
      <c r="E296" s="1513">
        <f t="shared" si="449"/>
        <v>12.86</v>
      </c>
      <c r="F296" s="1512">
        <f t="shared" si="449"/>
        <v>12.51</v>
      </c>
      <c r="G296" s="1538">
        <f t="shared" si="449"/>
        <v>0</v>
      </c>
      <c r="H296" s="1513">
        <f t="shared" si="449"/>
        <v>12.57</v>
      </c>
      <c r="I296" s="1512">
        <f t="shared" si="449"/>
        <v>13.66</v>
      </c>
      <c r="J296" s="1538">
        <f t="shared" si="449"/>
        <v>0</v>
      </c>
      <c r="K296" s="1513">
        <f t="shared" si="449"/>
        <v>13.66</v>
      </c>
      <c r="L296" s="1512">
        <f t="shared" si="449"/>
        <v>14.63</v>
      </c>
      <c r="M296" s="1538">
        <f t="shared" si="449"/>
        <v>0</v>
      </c>
      <c r="N296" s="1513">
        <f t="shared" si="449"/>
        <v>14.63</v>
      </c>
      <c r="O296" s="1512">
        <f t="shared" si="449"/>
        <v>15.58</v>
      </c>
      <c r="P296" s="1538">
        <f t="shared" si="449"/>
        <v>0</v>
      </c>
      <c r="Q296" s="1513">
        <f t="shared" si="449"/>
        <v>15.58</v>
      </c>
      <c r="R296" s="1512">
        <f t="shared" si="449"/>
        <v>16.64</v>
      </c>
      <c r="S296" s="1538">
        <f t="shared" si="449"/>
        <v>0</v>
      </c>
      <c r="T296" s="1513">
        <f t="shared" si="449"/>
        <v>16.64</v>
      </c>
      <c r="U296" s="1512">
        <f t="shared" si="449"/>
        <v>17.600000000000001</v>
      </c>
      <c r="V296" s="1538">
        <f t="shared" si="449"/>
        <v>0</v>
      </c>
      <c r="W296" s="1513">
        <f t="shared" si="449"/>
        <v>17.600000000000001</v>
      </c>
      <c r="X296" s="1517">
        <f t="shared" si="445"/>
        <v>0.37</v>
      </c>
      <c r="Y296" s="1512">
        <f>Y290+Y291+Y292+Y293+Y294+Y295</f>
        <v>21.92</v>
      </c>
      <c r="Z296" s="1538">
        <f>Z290+Z291+Z292+Z293+Z294+Z295</f>
        <v>0</v>
      </c>
      <c r="AA296" s="1513">
        <f>AA290+AA291+AA292+AA293+AA294+AA295</f>
        <v>21.92</v>
      </c>
      <c r="AC296" s="855">
        <f t="shared" si="446"/>
        <v>4.74</v>
      </c>
    </row>
    <row r="297" spans="1:29">
      <c r="A297" s="89" t="s">
        <v>35</v>
      </c>
    </row>
    <row r="298" spans="1:29">
      <c r="A298" s="1" t="s">
        <v>68</v>
      </c>
    </row>
    <row r="299" spans="1:29">
      <c r="A299" s="1" t="s">
        <v>69</v>
      </c>
    </row>
    <row r="301" spans="1:29" ht="15.75" thickBot="1">
      <c r="A301" s="1" t="s">
        <v>726</v>
      </c>
    </row>
    <row r="302" spans="1:29" ht="15.75" customHeight="1" thickBot="1">
      <c r="A302" s="3204" t="s">
        <v>54</v>
      </c>
      <c r="B302" s="3206" t="s">
        <v>2</v>
      </c>
      <c r="C302" s="3261" t="s">
        <v>55</v>
      </c>
      <c r="D302" s="3262"/>
      <c r="E302" s="3263"/>
      <c r="F302" s="3261" t="s">
        <v>56</v>
      </c>
      <c r="G302" s="3262"/>
      <c r="H302" s="3262"/>
      <c r="I302" s="3262"/>
      <c r="J302" s="3262"/>
      <c r="K302" s="3262"/>
      <c r="L302" s="3262"/>
      <c r="M302" s="3262"/>
      <c r="N302" s="3262"/>
      <c r="O302" s="3262"/>
      <c r="P302" s="3262"/>
      <c r="Q302" s="3262"/>
      <c r="R302" s="3262"/>
      <c r="S302" s="3262"/>
      <c r="T302" s="3262"/>
      <c r="U302" s="3262"/>
      <c r="V302" s="3262"/>
      <c r="W302" s="3263"/>
      <c r="X302" s="3255" t="s">
        <v>57</v>
      </c>
      <c r="Y302" s="3261" t="s">
        <v>58</v>
      </c>
      <c r="Z302" s="3262"/>
      <c r="AA302" s="3263"/>
      <c r="AC302" s="3255" t="s">
        <v>80</v>
      </c>
    </row>
    <row r="303" spans="1:29">
      <c r="A303" s="3205"/>
      <c r="B303" s="3207"/>
      <c r="C303" s="3258">
        <v>2015</v>
      </c>
      <c r="D303" s="3264"/>
      <c r="E303" s="3245"/>
      <c r="F303" s="3258">
        <v>2020</v>
      </c>
      <c r="G303" s="3264"/>
      <c r="H303" s="3245"/>
      <c r="I303" s="3258">
        <v>2025</v>
      </c>
      <c r="J303" s="3264"/>
      <c r="K303" s="3245"/>
      <c r="L303" s="3258">
        <v>2030</v>
      </c>
      <c r="M303" s="3264"/>
      <c r="N303" s="3245"/>
      <c r="O303" s="3258">
        <v>2035</v>
      </c>
      <c r="P303" s="3264"/>
      <c r="Q303" s="3245"/>
      <c r="R303" s="3258">
        <v>2040</v>
      </c>
      <c r="S303" s="3264"/>
      <c r="T303" s="3245"/>
      <c r="U303" s="3258">
        <v>2045</v>
      </c>
      <c r="V303" s="3264"/>
      <c r="W303" s="3245"/>
      <c r="X303" s="3256"/>
      <c r="Y303" s="3258">
        <v>2045</v>
      </c>
      <c r="Z303" s="3264"/>
      <c r="AA303" s="3245"/>
      <c r="AC303" s="3256"/>
    </row>
    <row r="304" spans="1:29" ht="15.75" thickBot="1">
      <c r="A304" s="3485"/>
      <c r="B304" s="3208"/>
      <c r="C304" s="1130" t="s">
        <v>60</v>
      </c>
      <c r="D304" s="1128" t="s">
        <v>61</v>
      </c>
      <c r="E304" s="1681" t="s">
        <v>18</v>
      </c>
      <c r="F304" s="1127" t="s">
        <v>60</v>
      </c>
      <c r="G304" s="1131" t="s">
        <v>61</v>
      </c>
      <c r="H304" s="1680" t="s">
        <v>18</v>
      </c>
      <c r="I304" s="1130" t="s">
        <v>60</v>
      </c>
      <c r="J304" s="1128" t="s">
        <v>61</v>
      </c>
      <c r="K304" s="1681" t="s">
        <v>18</v>
      </c>
      <c r="L304" s="1127" t="s">
        <v>60</v>
      </c>
      <c r="M304" s="1131" t="s">
        <v>61</v>
      </c>
      <c r="N304" s="1680" t="s">
        <v>18</v>
      </c>
      <c r="O304" s="1130" t="s">
        <v>60</v>
      </c>
      <c r="P304" s="1128" t="s">
        <v>61</v>
      </c>
      <c r="Q304" s="1681" t="s">
        <v>18</v>
      </c>
      <c r="R304" s="1130" t="s">
        <v>60</v>
      </c>
      <c r="S304" s="1131" t="s">
        <v>61</v>
      </c>
      <c r="T304" s="1680" t="s">
        <v>18</v>
      </c>
      <c r="U304" s="1130" t="s">
        <v>60</v>
      </c>
      <c r="V304" s="1131" t="s">
        <v>61</v>
      </c>
      <c r="W304" s="1680" t="s">
        <v>18</v>
      </c>
      <c r="X304" s="3257"/>
      <c r="Y304" s="1817" t="s">
        <v>60</v>
      </c>
      <c r="Z304" s="1818" t="s">
        <v>61</v>
      </c>
      <c r="AA304" s="1135" t="s">
        <v>18</v>
      </c>
      <c r="AC304" s="3483"/>
    </row>
    <row r="305" spans="1:29">
      <c r="A305" s="993" t="s">
        <v>62</v>
      </c>
      <c r="B305" s="1492" t="s">
        <v>17</v>
      </c>
      <c r="C305" s="1497">
        <f>'Table 4'!J40</f>
        <v>0.68</v>
      </c>
      <c r="D305" s="1507">
        <f>'Table 4'!K40</f>
        <v>0</v>
      </c>
      <c r="E305" s="1499">
        <f>'Table 4'!L40</f>
        <v>0.68</v>
      </c>
      <c r="F305" s="1497">
        <f>'Table 4'!M40</f>
        <v>0.61</v>
      </c>
      <c r="G305" s="1507">
        <f>'Table 4'!N40</f>
        <v>0</v>
      </c>
      <c r="H305" s="1499">
        <f>'Table 4'!O40</f>
        <v>0.61</v>
      </c>
      <c r="I305" s="1497">
        <f>'Table 4'!Q40</f>
        <v>0.62</v>
      </c>
      <c r="J305" s="1507">
        <f>'Table 4'!R40</f>
        <v>0</v>
      </c>
      <c r="K305" s="1499">
        <f>'Table 4'!S40</f>
        <v>0.62</v>
      </c>
      <c r="L305" s="1497">
        <f>'Table 4'!U40</f>
        <v>0.64</v>
      </c>
      <c r="M305" s="1507">
        <f>'Table 4'!V40</f>
        <v>0</v>
      </c>
      <c r="N305" s="1499">
        <f>'Table 4'!W40</f>
        <v>0.64</v>
      </c>
      <c r="O305" s="1497">
        <f>'Table 4'!Y40</f>
        <v>0.64</v>
      </c>
      <c r="P305" s="1507">
        <f>'Table 4'!Z40</f>
        <v>0</v>
      </c>
      <c r="Q305" s="1499">
        <f>'Table 4'!AA40</f>
        <v>0.64</v>
      </c>
      <c r="R305" s="1497">
        <f>'Table 4'!AC40</f>
        <v>0.65</v>
      </c>
      <c r="S305" s="1507">
        <f>'Table 4'!AD40</f>
        <v>0</v>
      </c>
      <c r="T305" s="1499">
        <f>'Table 4'!AE40</f>
        <v>0.65</v>
      </c>
      <c r="U305" s="1497">
        <f>'Table 4'!AG40</f>
        <v>0.66</v>
      </c>
      <c r="V305" s="1507">
        <f>'Table 4'!AH40</f>
        <v>0</v>
      </c>
      <c r="W305" s="1499">
        <f>'Table 4'!AI40</f>
        <v>0.66</v>
      </c>
      <c r="X305" s="1813">
        <f>(W305-E305)/E305</f>
        <v>-0.03</v>
      </c>
      <c r="Y305" s="1497">
        <f>'Table 4'!AL40</f>
        <v>0.7</v>
      </c>
      <c r="Z305" s="1507">
        <f>'Table 4'!AM40</f>
        <v>0</v>
      </c>
      <c r="AA305" s="1499">
        <f>'Table 4'!AN40</f>
        <v>0.7</v>
      </c>
      <c r="AC305" s="1653">
        <f>W305-E305</f>
        <v>-0.02</v>
      </c>
    </row>
    <row r="306" spans="1:29" ht="26.25">
      <c r="A306" s="993" t="s">
        <v>63</v>
      </c>
      <c r="B306" s="1492" t="s">
        <v>17</v>
      </c>
      <c r="C306" s="1497">
        <f>'Table 6'!K41</f>
        <v>0.92</v>
      </c>
      <c r="D306" s="1507">
        <f>'Table 6'!L41</f>
        <v>0</v>
      </c>
      <c r="E306" s="1499">
        <f>'Table 6'!M41</f>
        <v>0.92</v>
      </c>
      <c r="F306" s="1497">
        <f>'Table 6'!N41</f>
        <v>0.88</v>
      </c>
      <c r="G306" s="1507">
        <f>'Table 6'!O41</f>
        <v>0</v>
      </c>
      <c r="H306" s="1499">
        <f>'Table 6'!P41</f>
        <v>0.88</v>
      </c>
      <c r="I306" s="1497">
        <f>'Table 6'!Q41</f>
        <v>0.9</v>
      </c>
      <c r="J306" s="1507">
        <f>'Table 6'!R41</f>
        <v>0</v>
      </c>
      <c r="K306" s="1499">
        <f>'Table 6'!S41</f>
        <v>0.9</v>
      </c>
      <c r="L306" s="1497">
        <f>'Table 6'!T41</f>
        <v>0.92</v>
      </c>
      <c r="M306" s="1507">
        <f>'Table 6'!U41</f>
        <v>0</v>
      </c>
      <c r="N306" s="1499">
        <f>'Table 6'!V41</f>
        <v>0.92</v>
      </c>
      <c r="O306" s="1497">
        <f>'Table 6'!W41</f>
        <v>0.94</v>
      </c>
      <c r="P306" s="1507">
        <f>'Table 6'!X41</f>
        <v>0</v>
      </c>
      <c r="Q306" s="1499">
        <f>'Table 6'!Y41</f>
        <v>0.94</v>
      </c>
      <c r="R306" s="1497">
        <f>'Table 6'!Z41</f>
        <v>0.97</v>
      </c>
      <c r="S306" s="1507">
        <f>'Table 6'!AA41</f>
        <v>0</v>
      </c>
      <c r="T306" s="1499">
        <f>'Table 6'!AB41</f>
        <v>0.97</v>
      </c>
      <c r="U306" s="1497">
        <f>'Table 6'!AC41</f>
        <v>0.98</v>
      </c>
      <c r="V306" s="1507">
        <f>'Table 6'!AD41</f>
        <v>0</v>
      </c>
      <c r="W306" s="1499">
        <f>'Table 6'!AE41</f>
        <v>0.98</v>
      </c>
      <c r="X306" s="1813">
        <f t="shared" ref="X306:X311" si="450">(W306-E306)/E306</f>
        <v>7.0000000000000007E-2</v>
      </c>
      <c r="Y306" s="1497">
        <f>'Table 6'!AG41</f>
        <v>1.03</v>
      </c>
      <c r="Z306" s="1507">
        <f>'Table 6'!AH41</f>
        <v>0</v>
      </c>
      <c r="AA306" s="1499">
        <f>'Table 6'!AI41</f>
        <v>1.03</v>
      </c>
      <c r="AC306" s="1653">
        <f t="shared" ref="AC306:AC311" si="451">W306-E306</f>
        <v>0.06</v>
      </c>
    </row>
    <row r="307" spans="1:29">
      <c r="A307" s="798" t="s">
        <v>64</v>
      </c>
      <c r="B307" s="1492" t="s">
        <v>17</v>
      </c>
      <c r="C307" s="1497">
        <f>'Table 7'!C43</f>
        <v>14.8</v>
      </c>
      <c r="D307" s="1507">
        <f>'Table 7'!D43</f>
        <v>0</v>
      </c>
      <c r="E307" s="1499">
        <f>'Table 7'!E43</f>
        <v>14.8</v>
      </c>
      <c r="F307" s="1497">
        <f>'Table 7'!F43</f>
        <v>14.28</v>
      </c>
      <c r="G307" s="1507">
        <f>'Table 7'!G43</f>
        <v>0</v>
      </c>
      <c r="H307" s="1499">
        <f>'Table 7'!H43</f>
        <v>14.28</v>
      </c>
      <c r="I307" s="1497">
        <f>'Table 7'!I43</f>
        <v>15.76</v>
      </c>
      <c r="J307" s="1507">
        <f>'Table 7'!J43</f>
        <v>0</v>
      </c>
      <c r="K307" s="1499">
        <f>'Table 7'!K43</f>
        <v>15.76</v>
      </c>
      <c r="L307" s="1497">
        <f>'Table 7'!L43</f>
        <v>17.14</v>
      </c>
      <c r="M307" s="1507">
        <f>'Table 7'!M43</f>
        <v>0</v>
      </c>
      <c r="N307" s="1499">
        <f>'Table 7'!N43</f>
        <v>17.14</v>
      </c>
      <c r="O307" s="1497">
        <f>'Table 7'!O43</f>
        <v>18.36</v>
      </c>
      <c r="P307" s="1507">
        <f>'Table 7'!P43</f>
        <v>0</v>
      </c>
      <c r="Q307" s="1499">
        <f>'Table 7'!Q43</f>
        <v>18.36</v>
      </c>
      <c r="R307" s="1497">
        <f>'Table 7'!R43</f>
        <v>19.75</v>
      </c>
      <c r="S307" s="1507">
        <f>'Table 7'!S43</f>
        <v>0</v>
      </c>
      <c r="T307" s="1499">
        <f>'Table 7'!T43</f>
        <v>19.75</v>
      </c>
      <c r="U307" s="1497">
        <f>'Table 7'!U43</f>
        <v>20.96</v>
      </c>
      <c r="V307" s="1507">
        <f>'Table 7'!V43</f>
        <v>0</v>
      </c>
      <c r="W307" s="1499">
        <f>'Table 7'!W43</f>
        <v>20.96</v>
      </c>
      <c r="X307" s="1813">
        <f t="shared" si="450"/>
        <v>0.42</v>
      </c>
      <c r="Y307" s="1497">
        <f>'Table 7'!AG43</f>
        <v>26.53</v>
      </c>
      <c r="Z307" s="1507">
        <f>'Table 7'!AH43</f>
        <v>0</v>
      </c>
      <c r="AA307" s="1499">
        <f>'Table 7'!AI43</f>
        <v>26.53</v>
      </c>
      <c r="AC307" s="1653">
        <f t="shared" si="451"/>
        <v>6.16</v>
      </c>
    </row>
    <row r="308" spans="1:29">
      <c r="A308" s="798" t="s">
        <v>65</v>
      </c>
      <c r="B308" s="1492" t="s">
        <v>17</v>
      </c>
      <c r="C308" s="1497">
        <f>'Table 8'!C42</f>
        <v>0.21</v>
      </c>
      <c r="D308" s="1507">
        <f>'Table 8'!D42</f>
        <v>0</v>
      </c>
      <c r="E308" s="1499">
        <f>'Table 8'!E42</f>
        <v>0.21</v>
      </c>
      <c r="F308" s="1497">
        <f>'Table 8'!F42</f>
        <v>0.21</v>
      </c>
      <c r="G308" s="1507">
        <f>'Table 8'!G42</f>
        <v>0</v>
      </c>
      <c r="H308" s="1499">
        <f>'Table 8'!H42</f>
        <v>0.21</v>
      </c>
      <c r="I308" s="1497">
        <f>'Table 8'!I42</f>
        <v>0.22</v>
      </c>
      <c r="J308" s="1507">
        <f>'Table 8'!J42</f>
        <v>0</v>
      </c>
      <c r="K308" s="1499">
        <f>'Table 8'!K42</f>
        <v>0.22</v>
      </c>
      <c r="L308" s="1497">
        <f>'Table 8'!L42</f>
        <v>0.22</v>
      </c>
      <c r="M308" s="1507">
        <f>'Table 8'!M42</f>
        <v>0</v>
      </c>
      <c r="N308" s="1499">
        <f>'Table 8'!N42</f>
        <v>0.22</v>
      </c>
      <c r="O308" s="1497">
        <f>'Table 8'!O42</f>
        <v>0.22</v>
      </c>
      <c r="P308" s="1507">
        <f>'Table 8'!P42</f>
        <v>0</v>
      </c>
      <c r="Q308" s="1499">
        <f>'Table 8'!Q42</f>
        <v>0.22</v>
      </c>
      <c r="R308" s="1497">
        <f>'Table 8'!R42</f>
        <v>0.22</v>
      </c>
      <c r="S308" s="1507">
        <f>'Table 8'!S42</f>
        <v>0</v>
      </c>
      <c r="T308" s="1499">
        <f>'Table 8'!T42</f>
        <v>0.22</v>
      </c>
      <c r="U308" s="1497">
        <f>'Table 8'!U42</f>
        <v>0.22</v>
      </c>
      <c r="V308" s="1507">
        <f>'Table 8'!V42</f>
        <v>0</v>
      </c>
      <c r="W308" s="1499">
        <f>'Table 8'!W42</f>
        <v>0.22</v>
      </c>
      <c r="X308" s="1813">
        <f t="shared" si="450"/>
        <v>0.05</v>
      </c>
      <c r="Y308" s="1497">
        <f>'Table 8'!Y42</f>
        <v>0.26</v>
      </c>
      <c r="Z308" s="1507">
        <f>'Table 8'!Z42</f>
        <v>0</v>
      </c>
      <c r="AA308" s="1499">
        <f>'Table 8'!AA42</f>
        <v>0.26</v>
      </c>
      <c r="AC308" s="1653">
        <f t="shared" si="451"/>
        <v>0.01</v>
      </c>
    </row>
    <row r="309" spans="1:29" ht="15" customHeight="1">
      <c r="A309" s="798" t="s">
        <v>66</v>
      </c>
      <c r="B309" s="1518" t="s">
        <v>17</v>
      </c>
      <c r="C309" s="1519">
        <f>'Table 9'!C42</f>
        <v>0.16</v>
      </c>
      <c r="D309" s="1520">
        <f>'Table 9'!D42</f>
        <v>0</v>
      </c>
      <c r="E309" s="1521">
        <f>'Table 9'!E42</f>
        <v>0.16</v>
      </c>
      <c r="F309" s="1519">
        <f>'Table 9'!F42</f>
        <v>0.16</v>
      </c>
      <c r="G309" s="1520">
        <f>'Table 9'!G42</f>
        <v>0</v>
      </c>
      <c r="H309" s="1521">
        <f>'Table 9'!H42</f>
        <v>0.16</v>
      </c>
      <c r="I309" s="1519">
        <f>'Table 9'!I42</f>
        <v>0.16</v>
      </c>
      <c r="J309" s="1520">
        <f>'Table 9'!J42</f>
        <v>0</v>
      </c>
      <c r="K309" s="1521">
        <f>'Table 9'!K42</f>
        <v>0.16</v>
      </c>
      <c r="L309" s="1519">
        <f>'Table 9'!L42</f>
        <v>0.16</v>
      </c>
      <c r="M309" s="1520">
        <f>'Table 9'!M42</f>
        <v>0</v>
      </c>
      <c r="N309" s="1521">
        <f>'Table 9'!N42</f>
        <v>0.16</v>
      </c>
      <c r="O309" s="1519">
        <f>'Table 9'!O42</f>
        <v>0.16</v>
      </c>
      <c r="P309" s="1520">
        <f>'Table 9'!P42</f>
        <v>0</v>
      </c>
      <c r="Q309" s="1521">
        <f>'Table 9'!Q42</f>
        <v>0.16</v>
      </c>
      <c r="R309" s="1519">
        <f>'Table 9'!R42</f>
        <v>0.16</v>
      </c>
      <c r="S309" s="1520">
        <f>'Table 9'!S42</f>
        <v>0</v>
      </c>
      <c r="T309" s="1521">
        <f>'Table 9'!T42</f>
        <v>0.16</v>
      </c>
      <c r="U309" s="1519">
        <f>'Table 9'!U42</f>
        <v>0.16</v>
      </c>
      <c r="V309" s="1520">
        <f>'Table 9'!V42</f>
        <v>0</v>
      </c>
      <c r="W309" s="1521">
        <f>'Table 9'!W42</f>
        <v>0.16</v>
      </c>
      <c r="X309" s="1814">
        <f t="shared" si="450"/>
        <v>0</v>
      </c>
      <c r="Y309" s="1519">
        <f>U309</f>
        <v>0.16</v>
      </c>
      <c r="Z309" s="1520">
        <f t="shared" ref="Z309:Z310" si="452">V309</f>
        <v>0</v>
      </c>
      <c r="AA309" s="1521">
        <f t="shared" ref="AA309:AA310" si="453">W309</f>
        <v>0.16</v>
      </c>
      <c r="AC309" s="841">
        <f t="shared" si="451"/>
        <v>0</v>
      </c>
    </row>
    <row r="310" spans="1:29" ht="15.75" thickBot="1">
      <c r="A310" s="175" t="s">
        <v>67</v>
      </c>
      <c r="B310" s="1489" t="s">
        <v>17</v>
      </c>
      <c r="C310" s="1522">
        <f>'Table 10'!C41</f>
        <v>0</v>
      </c>
      <c r="D310" s="1523">
        <f>'Table 10'!D41</f>
        <v>0</v>
      </c>
      <c r="E310" s="1524">
        <f>'Table 10'!E41</f>
        <v>0</v>
      </c>
      <c r="F310" s="1522">
        <f>'Table 10'!F41</f>
        <v>0</v>
      </c>
      <c r="G310" s="1523">
        <f>'Table 10'!G41</f>
        <v>0</v>
      </c>
      <c r="H310" s="1524">
        <f>'Table 10'!H41</f>
        <v>0</v>
      </c>
      <c r="I310" s="1522">
        <f>'Table 10'!I41</f>
        <v>0</v>
      </c>
      <c r="J310" s="1523">
        <f>'Table 10'!J41</f>
        <v>0</v>
      </c>
      <c r="K310" s="1524">
        <f>'Table 10'!K41</f>
        <v>0</v>
      </c>
      <c r="L310" s="1522">
        <f>'Table 10'!L41</f>
        <v>0</v>
      </c>
      <c r="M310" s="1523">
        <f>'Table 10'!M41</f>
        <v>0</v>
      </c>
      <c r="N310" s="1524">
        <f>'Table 10'!N41</f>
        <v>0</v>
      </c>
      <c r="O310" s="1522">
        <f>'Table 10'!O41</f>
        <v>0</v>
      </c>
      <c r="P310" s="1523">
        <f>'Table 10'!P41</f>
        <v>0</v>
      </c>
      <c r="Q310" s="1524">
        <f>'Table 10'!Q41</f>
        <v>0</v>
      </c>
      <c r="R310" s="1522">
        <f>'Table 10'!R41</f>
        <v>0</v>
      </c>
      <c r="S310" s="1523">
        <f>'Table 10'!S41</f>
        <v>0</v>
      </c>
      <c r="T310" s="1524">
        <f>'Table 10'!T41</f>
        <v>0</v>
      </c>
      <c r="U310" s="1522">
        <f>'Table 10'!U41</f>
        <v>0</v>
      </c>
      <c r="V310" s="1523">
        <f>'Table 10'!V41</f>
        <v>0</v>
      </c>
      <c r="W310" s="1524">
        <f>'Table 10'!W41</f>
        <v>0</v>
      </c>
      <c r="X310" s="1815" t="s">
        <v>16</v>
      </c>
      <c r="Y310" s="1522">
        <f>U310</f>
        <v>0</v>
      </c>
      <c r="Z310" s="1523">
        <f t="shared" si="452"/>
        <v>0</v>
      </c>
      <c r="AA310" s="1524">
        <f t="shared" si="453"/>
        <v>0</v>
      </c>
      <c r="AC310" s="1822">
        <f t="shared" si="451"/>
        <v>0</v>
      </c>
    </row>
    <row r="311" spans="1:29" ht="16.5" thickTop="1" thickBot="1">
      <c r="A311" s="3481" t="s">
        <v>727</v>
      </c>
      <c r="B311" s="3482"/>
      <c r="C311" s="1512">
        <f t="shared" ref="C311:W311" si="454">C305+C306+C307+C308+C309+C310</f>
        <v>16.77</v>
      </c>
      <c r="D311" s="1538">
        <f t="shared" si="454"/>
        <v>0</v>
      </c>
      <c r="E311" s="1513">
        <f t="shared" si="454"/>
        <v>16.77</v>
      </c>
      <c r="F311" s="1512">
        <f t="shared" si="454"/>
        <v>16.14</v>
      </c>
      <c r="G311" s="1538">
        <f t="shared" si="454"/>
        <v>0</v>
      </c>
      <c r="H311" s="1513">
        <f t="shared" si="454"/>
        <v>16.14</v>
      </c>
      <c r="I311" s="1512">
        <f t="shared" si="454"/>
        <v>17.66</v>
      </c>
      <c r="J311" s="1538">
        <f t="shared" si="454"/>
        <v>0</v>
      </c>
      <c r="K311" s="1513">
        <f t="shared" si="454"/>
        <v>17.66</v>
      </c>
      <c r="L311" s="1512">
        <f t="shared" si="454"/>
        <v>19.079999999999998</v>
      </c>
      <c r="M311" s="1538">
        <f t="shared" si="454"/>
        <v>0</v>
      </c>
      <c r="N311" s="1513">
        <f t="shared" si="454"/>
        <v>19.079999999999998</v>
      </c>
      <c r="O311" s="1512">
        <f t="shared" si="454"/>
        <v>20.32</v>
      </c>
      <c r="P311" s="1538">
        <f t="shared" si="454"/>
        <v>0</v>
      </c>
      <c r="Q311" s="1513">
        <f t="shared" si="454"/>
        <v>20.32</v>
      </c>
      <c r="R311" s="1512">
        <f t="shared" si="454"/>
        <v>21.75</v>
      </c>
      <c r="S311" s="1538">
        <f t="shared" si="454"/>
        <v>0</v>
      </c>
      <c r="T311" s="1513">
        <f t="shared" si="454"/>
        <v>21.75</v>
      </c>
      <c r="U311" s="1512">
        <f t="shared" si="454"/>
        <v>22.98</v>
      </c>
      <c r="V311" s="1538">
        <f t="shared" si="454"/>
        <v>0</v>
      </c>
      <c r="W311" s="1513">
        <f t="shared" si="454"/>
        <v>22.98</v>
      </c>
      <c r="X311" s="1517">
        <f t="shared" si="450"/>
        <v>0.37</v>
      </c>
      <c r="Y311" s="1512">
        <f>Y305+Y306+Y307+Y308+Y309+Y310</f>
        <v>28.68</v>
      </c>
      <c r="Z311" s="1538">
        <f>Z305+Z306+Z307+Z308+Z309+Z310</f>
        <v>0</v>
      </c>
      <c r="AA311" s="1513">
        <f>AA305+AA306+AA307+AA308+AA309+AA310</f>
        <v>28.68</v>
      </c>
      <c r="AC311" s="855">
        <f t="shared" si="451"/>
        <v>6.21</v>
      </c>
    </row>
    <row r="312" spans="1:29">
      <c r="A312" s="89" t="s">
        <v>35</v>
      </c>
    </row>
    <row r="313" spans="1:29">
      <c r="A313" s="1" t="s">
        <v>68</v>
      </c>
    </row>
    <row r="314" spans="1:29">
      <c r="A314" s="1" t="s">
        <v>69</v>
      </c>
    </row>
    <row r="316" spans="1:29" ht="15.75" thickBot="1">
      <c r="A316" s="1" t="s">
        <v>728</v>
      </c>
    </row>
    <row r="317" spans="1:29" ht="15.75" customHeight="1" thickBot="1">
      <c r="A317" s="3204" t="s">
        <v>54</v>
      </c>
      <c r="B317" s="3206" t="s">
        <v>2</v>
      </c>
      <c r="C317" s="3261" t="s">
        <v>55</v>
      </c>
      <c r="D317" s="3262"/>
      <c r="E317" s="3263"/>
      <c r="F317" s="3261" t="s">
        <v>56</v>
      </c>
      <c r="G317" s="3262"/>
      <c r="H317" s="3262"/>
      <c r="I317" s="3262"/>
      <c r="J317" s="3262"/>
      <c r="K317" s="3262"/>
      <c r="L317" s="3262"/>
      <c r="M317" s="3262"/>
      <c r="N317" s="3262"/>
      <c r="O317" s="3262"/>
      <c r="P317" s="3262"/>
      <c r="Q317" s="3262"/>
      <c r="R317" s="3262"/>
      <c r="S317" s="3262"/>
      <c r="T317" s="3262"/>
      <c r="U317" s="3262"/>
      <c r="V317" s="3262"/>
      <c r="W317" s="3263"/>
      <c r="X317" s="3255" t="s">
        <v>57</v>
      </c>
      <c r="Y317" s="3261" t="s">
        <v>58</v>
      </c>
      <c r="Z317" s="3262"/>
      <c r="AA317" s="3263"/>
      <c r="AC317" s="3255" t="s">
        <v>80</v>
      </c>
    </row>
    <row r="318" spans="1:29">
      <c r="A318" s="3205"/>
      <c r="B318" s="3207"/>
      <c r="C318" s="3258">
        <v>2015</v>
      </c>
      <c r="D318" s="3264"/>
      <c r="E318" s="3245"/>
      <c r="F318" s="3258">
        <v>2020</v>
      </c>
      <c r="G318" s="3264"/>
      <c r="H318" s="3245"/>
      <c r="I318" s="3258">
        <v>2025</v>
      </c>
      <c r="J318" s="3264"/>
      <c r="K318" s="3245"/>
      <c r="L318" s="3258">
        <v>2030</v>
      </c>
      <c r="M318" s="3264"/>
      <c r="N318" s="3245"/>
      <c r="O318" s="3258">
        <v>2035</v>
      </c>
      <c r="P318" s="3264"/>
      <c r="Q318" s="3245"/>
      <c r="R318" s="3258">
        <v>2040</v>
      </c>
      <c r="S318" s="3264"/>
      <c r="T318" s="3245"/>
      <c r="U318" s="3258">
        <v>2045</v>
      </c>
      <c r="V318" s="3264"/>
      <c r="W318" s="3245"/>
      <c r="X318" s="3256"/>
      <c r="Y318" s="3258">
        <v>2045</v>
      </c>
      <c r="Z318" s="3264"/>
      <c r="AA318" s="3245"/>
      <c r="AC318" s="3256"/>
    </row>
    <row r="319" spans="1:29" ht="15.75" thickBot="1">
      <c r="A319" s="3485"/>
      <c r="B319" s="3208"/>
      <c r="C319" s="1130" t="s">
        <v>60</v>
      </c>
      <c r="D319" s="1128" t="s">
        <v>61</v>
      </c>
      <c r="E319" s="1681" t="s">
        <v>18</v>
      </c>
      <c r="F319" s="1127" t="s">
        <v>60</v>
      </c>
      <c r="G319" s="1131" t="s">
        <v>61</v>
      </c>
      <c r="H319" s="1680" t="s">
        <v>18</v>
      </c>
      <c r="I319" s="1130" t="s">
        <v>60</v>
      </c>
      <c r="J319" s="1128" t="s">
        <v>61</v>
      </c>
      <c r="K319" s="1681" t="s">
        <v>18</v>
      </c>
      <c r="L319" s="1127" t="s">
        <v>60</v>
      </c>
      <c r="M319" s="1131" t="s">
        <v>61</v>
      </c>
      <c r="N319" s="1680" t="s">
        <v>18</v>
      </c>
      <c r="O319" s="1130" t="s">
        <v>60</v>
      </c>
      <c r="P319" s="1128" t="s">
        <v>61</v>
      </c>
      <c r="Q319" s="1681" t="s">
        <v>18</v>
      </c>
      <c r="R319" s="1130" t="s">
        <v>60</v>
      </c>
      <c r="S319" s="1131" t="s">
        <v>61</v>
      </c>
      <c r="T319" s="1680" t="s">
        <v>18</v>
      </c>
      <c r="U319" s="1130" t="s">
        <v>60</v>
      </c>
      <c r="V319" s="1131" t="s">
        <v>61</v>
      </c>
      <c r="W319" s="1680" t="s">
        <v>18</v>
      </c>
      <c r="X319" s="3257"/>
      <c r="Y319" s="1817" t="s">
        <v>60</v>
      </c>
      <c r="Z319" s="1818" t="s">
        <v>61</v>
      </c>
      <c r="AA319" s="1135" t="s">
        <v>18</v>
      </c>
      <c r="AC319" s="3483"/>
    </row>
    <row r="320" spans="1:29">
      <c r="A320" s="993" t="s">
        <v>62</v>
      </c>
      <c r="B320" s="1492" t="s">
        <v>17</v>
      </c>
      <c r="C320" s="1497">
        <f>'Table 4'!J41</f>
        <v>1.1399999999999999</v>
      </c>
      <c r="D320" s="1507">
        <f>'Table 4'!K41</f>
        <v>0</v>
      </c>
      <c r="E320" s="1499">
        <f>'Table 4'!L41</f>
        <v>1.1399999999999999</v>
      </c>
      <c r="F320" s="1497">
        <f>'Table 4'!M41</f>
        <v>1.27</v>
      </c>
      <c r="G320" s="1507">
        <f>'Table 4'!N41</f>
        <v>0</v>
      </c>
      <c r="H320" s="1499">
        <f>'Table 4'!O41</f>
        <v>1.27</v>
      </c>
      <c r="I320" s="1497">
        <f>'Table 4'!Q41</f>
        <v>1.29</v>
      </c>
      <c r="J320" s="1507">
        <f>'Table 4'!R41</f>
        <v>0</v>
      </c>
      <c r="K320" s="1499">
        <f>'Table 4'!S41</f>
        <v>1.29</v>
      </c>
      <c r="L320" s="1497">
        <f>'Table 4'!U41</f>
        <v>1.31</v>
      </c>
      <c r="M320" s="1507">
        <f>'Table 4'!V41</f>
        <v>0</v>
      </c>
      <c r="N320" s="1499">
        <f>'Table 4'!W41</f>
        <v>1.31</v>
      </c>
      <c r="O320" s="1497">
        <f>'Table 4'!Y41</f>
        <v>1.31</v>
      </c>
      <c r="P320" s="1507">
        <f>'Table 4'!Z41</f>
        <v>0</v>
      </c>
      <c r="Q320" s="1499">
        <f>'Table 4'!AA41</f>
        <v>1.31</v>
      </c>
      <c r="R320" s="1497">
        <f>'Table 4'!AC41</f>
        <v>1.32</v>
      </c>
      <c r="S320" s="1507">
        <f>'Table 4'!AD41</f>
        <v>0</v>
      </c>
      <c r="T320" s="1499">
        <f>'Table 4'!AE41</f>
        <v>1.32</v>
      </c>
      <c r="U320" s="1497">
        <f>'Table 4'!AG41</f>
        <v>1.33</v>
      </c>
      <c r="V320" s="1507">
        <f>'Table 4'!AH41</f>
        <v>0</v>
      </c>
      <c r="W320" s="1499">
        <f>'Table 4'!AI41</f>
        <v>1.33</v>
      </c>
      <c r="X320" s="1813">
        <f>(W320-E320)/E320</f>
        <v>0.17</v>
      </c>
      <c r="Y320" s="1497">
        <f>'Table 4'!AL41</f>
        <v>1.41</v>
      </c>
      <c r="Z320" s="1507">
        <f>'Table 4'!AM41</f>
        <v>0</v>
      </c>
      <c r="AA320" s="1499">
        <f>'Table 4'!AN41</f>
        <v>1.41</v>
      </c>
      <c r="AC320" s="1653">
        <f>W320-E320</f>
        <v>0.19</v>
      </c>
    </row>
    <row r="321" spans="1:29" ht="26.25">
      <c r="A321" s="993" t="s">
        <v>63</v>
      </c>
      <c r="B321" s="1492" t="s">
        <v>17</v>
      </c>
      <c r="C321" s="1497">
        <f>'Table 6'!K42</f>
        <v>0.71</v>
      </c>
      <c r="D321" s="1507">
        <f>'Table 6'!L42</f>
        <v>0</v>
      </c>
      <c r="E321" s="1499">
        <f>'Table 6'!M42</f>
        <v>0.71</v>
      </c>
      <c r="F321" s="1497">
        <f>'Table 6'!N42</f>
        <v>0.7</v>
      </c>
      <c r="G321" s="1507">
        <f>'Table 6'!O42</f>
        <v>0</v>
      </c>
      <c r="H321" s="1499">
        <f>'Table 6'!P42</f>
        <v>0.7</v>
      </c>
      <c r="I321" s="1497">
        <f>'Table 6'!Q42</f>
        <v>0.71</v>
      </c>
      <c r="J321" s="1507">
        <f>'Table 6'!R42</f>
        <v>0</v>
      </c>
      <c r="K321" s="1499">
        <f>'Table 6'!S42</f>
        <v>0.71</v>
      </c>
      <c r="L321" s="1497">
        <f>'Table 6'!T42</f>
        <v>0.72</v>
      </c>
      <c r="M321" s="1507">
        <f>'Table 6'!U42</f>
        <v>0</v>
      </c>
      <c r="N321" s="1499">
        <f>'Table 6'!V42</f>
        <v>0.72</v>
      </c>
      <c r="O321" s="1497">
        <f>'Table 6'!W42</f>
        <v>0.72</v>
      </c>
      <c r="P321" s="1507">
        <f>'Table 6'!X42</f>
        <v>0</v>
      </c>
      <c r="Q321" s="1499">
        <f>'Table 6'!Y42</f>
        <v>0.72</v>
      </c>
      <c r="R321" s="1497">
        <f>'Table 6'!Z42</f>
        <v>0.73</v>
      </c>
      <c r="S321" s="1507">
        <f>'Table 6'!AA42</f>
        <v>0</v>
      </c>
      <c r="T321" s="1499">
        <f>'Table 6'!AB42</f>
        <v>0.73</v>
      </c>
      <c r="U321" s="1497">
        <f>'Table 6'!AC42</f>
        <v>0.73</v>
      </c>
      <c r="V321" s="1507">
        <f>'Table 6'!AD42</f>
        <v>0</v>
      </c>
      <c r="W321" s="1499">
        <f>'Table 6'!AE42</f>
        <v>0.73</v>
      </c>
      <c r="X321" s="1813">
        <f t="shared" ref="X321:X326" si="455">(W321-E321)/E321</f>
        <v>0.03</v>
      </c>
      <c r="Y321" s="1497">
        <f>'Table 6'!AG42</f>
        <v>0.77</v>
      </c>
      <c r="Z321" s="1507">
        <f>'Table 6'!AH42</f>
        <v>0</v>
      </c>
      <c r="AA321" s="1499">
        <f>'Table 6'!AI42</f>
        <v>0.77</v>
      </c>
      <c r="AC321" s="1653">
        <f t="shared" ref="AC321:AC326" si="456">W321-E321</f>
        <v>0.02</v>
      </c>
    </row>
    <row r="322" spans="1:29">
      <c r="A322" s="798" t="s">
        <v>64</v>
      </c>
      <c r="B322" s="1492" t="s">
        <v>17</v>
      </c>
      <c r="C322" s="1497">
        <f>'Table 7'!C44</f>
        <v>20.87</v>
      </c>
      <c r="D322" s="1507">
        <f>'Table 7'!D44</f>
        <v>0</v>
      </c>
      <c r="E322" s="1499">
        <f>'Table 7'!E44</f>
        <v>20.87</v>
      </c>
      <c r="F322" s="1497">
        <f>'Table 7'!F44</f>
        <v>21.5</v>
      </c>
      <c r="G322" s="1507">
        <f>'Table 7'!G44</f>
        <v>0</v>
      </c>
      <c r="H322" s="1499">
        <f>'Table 7'!H44</f>
        <v>21.5</v>
      </c>
      <c r="I322" s="1497">
        <f>'Table 7'!I44</f>
        <v>22.43</v>
      </c>
      <c r="J322" s="1507">
        <f>'Table 7'!J44</f>
        <v>0</v>
      </c>
      <c r="K322" s="1499">
        <f>'Table 7'!K44</f>
        <v>22.43</v>
      </c>
      <c r="L322" s="1497">
        <f>'Table 7'!L44</f>
        <v>23.2</v>
      </c>
      <c r="M322" s="1507">
        <f>'Table 7'!M44</f>
        <v>0</v>
      </c>
      <c r="N322" s="1499">
        <f>'Table 7'!N44</f>
        <v>23.2</v>
      </c>
      <c r="O322" s="1497">
        <f>'Table 7'!O44</f>
        <v>24.12</v>
      </c>
      <c r="P322" s="1507">
        <f>'Table 7'!P44</f>
        <v>0</v>
      </c>
      <c r="Q322" s="1499">
        <f>'Table 7'!Q44</f>
        <v>24.12</v>
      </c>
      <c r="R322" s="1497">
        <f>'Table 7'!R44</f>
        <v>25.06</v>
      </c>
      <c r="S322" s="1507">
        <f>'Table 7'!S44</f>
        <v>0</v>
      </c>
      <c r="T322" s="1499">
        <f>'Table 7'!T44</f>
        <v>25.06</v>
      </c>
      <c r="U322" s="1497">
        <f>'Table 7'!U44</f>
        <v>26.03</v>
      </c>
      <c r="V322" s="1507">
        <f>'Table 7'!V44</f>
        <v>0</v>
      </c>
      <c r="W322" s="1499">
        <f>'Table 7'!W44</f>
        <v>26.03</v>
      </c>
      <c r="X322" s="1813">
        <f t="shared" si="455"/>
        <v>0.25</v>
      </c>
      <c r="Y322" s="1497">
        <f>'Table 7'!AG44</f>
        <v>33.01</v>
      </c>
      <c r="Z322" s="1507">
        <f>'Table 7'!AH44</f>
        <v>0</v>
      </c>
      <c r="AA322" s="1499">
        <f>'Table 7'!AI44</f>
        <v>33.01</v>
      </c>
      <c r="AC322" s="1653">
        <f t="shared" si="456"/>
        <v>5.16</v>
      </c>
    </row>
    <row r="323" spans="1:29">
      <c r="A323" s="798" t="s">
        <v>65</v>
      </c>
      <c r="B323" s="1492" t="s">
        <v>17</v>
      </c>
      <c r="C323" s="1497">
        <f>'Table 8'!C43</f>
        <v>0.32</v>
      </c>
      <c r="D323" s="1507">
        <f>'Table 8'!D43</f>
        <v>0</v>
      </c>
      <c r="E323" s="1499">
        <f>'Table 8'!E43</f>
        <v>0.32</v>
      </c>
      <c r="F323" s="1497">
        <f>'Table 8'!F43</f>
        <v>0.32</v>
      </c>
      <c r="G323" s="1507">
        <f>'Table 8'!G43</f>
        <v>0</v>
      </c>
      <c r="H323" s="1499">
        <f>'Table 8'!H43</f>
        <v>0.32</v>
      </c>
      <c r="I323" s="1497">
        <f>'Table 8'!I43</f>
        <v>0.33</v>
      </c>
      <c r="J323" s="1507">
        <f>'Table 8'!J43</f>
        <v>0</v>
      </c>
      <c r="K323" s="1499">
        <f>'Table 8'!K43</f>
        <v>0.33</v>
      </c>
      <c r="L323" s="1497">
        <f>'Table 8'!L43</f>
        <v>0.33</v>
      </c>
      <c r="M323" s="1507">
        <f>'Table 8'!M43</f>
        <v>0</v>
      </c>
      <c r="N323" s="1499">
        <f>'Table 8'!N43</f>
        <v>0.33</v>
      </c>
      <c r="O323" s="1497">
        <f>'Table 8'!O43</f>
        <v>0.33</v>
      </c>
      <c r="P323" s="1507">
        <f>'Table 8'!P43</f>
        <v>0</v>
      </c>
      <c r="Q323" s="1499">
        <f>'Table 8'!Q43</f>
        <v>0.33</v>
      </c>
      <c r="R323" s="1497">
        <f>'Table 8'!R43</f>
        <v>0.33</v>
      </c>
      <c r="S323" s="1507">
        <f>'Table 8'!S43</f>
        <v>0</v>
      </c>
      <c r="T323" s="1499">
        <f>'Table 8'!T43</f>
        <v>0.33</v>
      </c>
      <c r="U323" s="1497">
        <f>'Table 8'!U43</f>
        <v>0.33</v>
      </c>
      <c r="V323" s="1507">
        <f>'Table 8'!V43</f>
        <v>0</v>
      </c>
      <c r="W323" s="1499">
        <f>'Table 8'!W43</f>
        <v>0.33</v>
      </c>
      <c r="X323" s="1813">
        <f t="shared" si="455"/>
        <v>0.03</v>
      </c>
      <c r="Y323" s="1497">
        <f>'Table 8'!Y43</f>
        <v>0.35</v>
      </c>
      <c r="Z323" s="1507">
        <f>'Table 8'!Z43</f>
        <v>0</v>
      </c>
      <c r="AA323" s="1499">
        <f>'Table 8'!AA43</f>
        <v>0.35</v>
      </c>
      <c r="AC323" s="1653">
        <f t="shared" si="456"/>
        <v>0.01</v>
      </c>
    </row>
    <row r="324" spans="1:29" ht="15" customHeight="1">
      <c r="A324" s="798" t="s">
        <v>66</v>
      </c>
      <c r="B324" s="1518" t="s">
        <v>17</v>
      </c>
      <c r="C324" s="1519">
        <f>'Table 9'!C43</f>
        <v>1</v>
      </c>
      <c r="D324" s="1520">
        <f>'Table 9'!D43</f>
        <v>0</v>
      </c>
      <c r="E324" s="1521">
        <f>'Table 9'!E43</f>
        <v>1</v>
      </c>
      <c r="F324" s="1519">
        <f>'Table 9'!F43</f>
        <v>1.01</v>
      </c>
      <c r="G324" s="1520">
        <f>'Table 9'!G43</f>
        <v>0</v>
      </c>
      <c r="H324" s="1521">
        <f>'Table 9'!H43</f>
        <v>1.01</v>
      </c>
      <c r="I324" s="1519">
        <f>'Table 9'!I43</f>
        <v>1.03</v>
      </c>
      <c r="J324" s="1520">
        <f>'Table 9'!J43</f>
        <v>0</v>
      </c>
      <c r="K324" s="1521">
        <f>'Table 9'!K43</f>
        <v>1.03</v>
      </c>
      <c r="L324" s="1519">
        <f>'Table 9'!L43</f>
        <v>1.04</v>
      </c>
      <c r="M324" s="1520">
        <f>'Table 9'!M43</f>
        <v>0</v>
      </c>
      <c r="N324" s="1521">
        <f>'Table 9'!N43</f>
        <v>1.04</v>
      </c>
      <c r="O324" s="1519">
        <f>'Table 9'!O43</f>
        <v>1.05</v>
      </c>
      <c r="P324" s="1520">
        <f>'Table 9'!P43</f>
        <v>0</v>
      </c>
      <c r="Q324" s="1521">
        <f>'Table 9'!Q43</f>
        <v>1.05</v>
      </c>
      <c r="R324" s="1519">
        <f>'Table 9'!R43</f>
        <v>1.06</v>
      </c>
      <c r="S324" s="1520">
        <f>'Table 9'!S43</f>
        <v>0</v>
      </c>
      <c r="T324" s="1521">
        <f>'Table 9'!T43</f>
        <v>1.06</v>
      </c>
      <c r="U324" s="1519">
        <f>'Table 9'!U43</f>
        <v>1.07</v>
      </c>
      <c r="V324" s="1520">
        <f>'Table 9'!V43</f>
        <v>0</v>
      </c>
      <c r="W324" s="1521">
        <f>'Table 9'!W43</f>
        <v>1.07</v>
      </c>
      <c r="X324" s="1814">
        <f t="shared" si="455"/>
        <v>7.0000000000000007E-2</v>
      </c>
      <c r="Y324" s="1519">
        <f>U324</f>
        <v>1.07</v>
      </c>
      <c r="Z324" s="1520">
        <f t="shared" ref="Z324:Z325" si="457">V324</f>
        <v>0</v>
      </c>
      <c r="AA324" s="1521">
        <f t="shared" ref="AA324:AA325" si="458">W324</f>
        <v>1.07</v>
      </c>
      <c r="AC324" s="841">
        <f t="shared" si="456"/>
        <v>7.0000000000000007E-2</v>
      </c>
    </row>
    <row r="325" spans="1:29" ht="15.75" thickBot="1">
      <c r="A325" s="175" t="s">
        <v>67</v>
      </c>
      <c r="B325" s="1489" t="s">
        <v>17</v>
      </c>
      <c r="C325" s="1522">
        <f>'Table 10'!C42</f>
        <v>0</v>
      </c>
      <c r="D325" s="1523">
        <f>'Table 10'!D42</f>
        <v>0</v>
      </c>
      <c r="E325" s="1524">
        <f>'Table 10'!E42</f>
        <v>0</v>
      </c>
      <c r="F325" s="1522">
        <f>'Table 10'!F42</f>
        <v>0</v>
      </c>
      <c r="G325" s="1523">
        <f>'Table 10'!G42</f>
        <v>0</v>
      </c>
      <c r="H325" s="1524">
        <f>'Table 10'!H42</f>
        <v>0</v>
      </c>
      <c r="I325" s="1522">
        <f>'Table 10'!I42</f>
        <v>0</v>
      </c>
      <c r="J325" s="1523">
        <f>'Table 10'!J42</f>
        <v>0</v>
      </c>
      <c r="K325" s="1524">
        <f>'Table 10'!K42</f>
        <v>0</v>
      </c>
      <c r="L325" s="1522">
        <f>'Table 10'!L42</f>
        <v>0</v>
      </c>
      <c r="M325" s="1523">
        <f>'Table 10'!M42</f>
        <v>0</v>
      </c>
      <c r="N325" s="1524">
        <f>'Table 10'!N42</f>
        <v>0</v>
      </c>
      <c r="O325" s="1522">
        <f>'Table 10'!O42</f>
        <v>0</v>
      </c>
      <c r="P325" s="1523">
        <f>'Table 10'!P42</f>
        <v>0</v>
      </c>
      <c r="Q325" s="1524">
        <f>'Table 10'!Q42</f>
        <v>0</v>
      </c>
      <c r="R325" s="1522">
        <f>'Table 10'!R42</f>
        <v>0</v>
      </c>
      <c r="S325" s="1523">
        <f>'Table 10'!S42</f>
        <v>0</v>
      </c>
      <c r="T325" s="1524">
        <f>'Table 10'!T42</f>
        <v>0</v>
      </c>
      <c r="U325" s="1522">
        <f>'Table 10'!U42</f>
        <v>0</v>
      </c>
      <c r="V325" s="1523">
        <f>'Table 10'!V42</f>
        <v>0</v>
      </c>
      <c r="W325" s="1524">
        <f>'Table 10'!W42</f>
        <v>0</v>
      </c>
      <c r="X325" s="1815" t="s">
        <v>16</v>
      </c>
      <c r="Y325" s="1522">
        <f>U325</f>
        <v>0</v>
      </c>
      <c r="Z325" s="1523">
        <f t="shared" si="457"/>
        <v>0</v>
      </c>
      <c r="AA325" s="1524">
        <f t="shared" si="458"/>
        <v>0</v>
      </c>
      <c r="AC325" s="1822">
        <f t="shared" si="456"/>
        <v>0</v>
      </c>
    </row>
    <row r="326" spans="1:29" ht="16.5" thickTop="1" thickBot="1">
      <c r="A326" s="3481" t="s">
        <v>729</v>
      </c>
      <c r="B326" s="3482"/>
      <c r="C326" s="1512">
        <f t="shared" ref="C326:W326" si="459">C320+C321+C322+C323+C324+C325</f>
        <v>24.04</v>
      </c>
      <c r="D326" s="1538">
        <f t="shared" si="459"/>
        <v>0</v>
      </c>
      <c r="E326" s="1513">
        <f t="shared" si="459"/>
        <v>24.04</v>
      </c>
      <c r="F326" s="1512">
        <f t="shared" si="459"/>
        <v>24.8</v>
      </c>
      <c r="G326" s="1538">
        <f t="shared" si="459"/>
        <v>0</v>
      </c>
      <c r="H326" s="1513">
        <f t="shared" si="459"/>
        <v>24.8</v>
      </c>
      <c r="I326" s="1512">
        <f t="shared" si="459"/>
        <v>25.79</v>
      </c>
      <c r="J326" s="1538">
        <f t="shared" si="459"/>
        <v>0</v>
      </c>
      <c r="K326" s="1513">
        <f t="shared" si="459"/>
        <v>25.79</v>
      </c>
      <c r="L326" s="1512">
        <f t="shared" si="459"/>
        <v>26.6</v>
      </c>
      <c r="M326" s="1538">
        <f t="shared" si="459"/>
        <v>0</v>
      </c>
      <c r="N326" s="1513">
        <f t="shared" si="459"/>
        <v>26.6</v>
      </c>
      <c r="O326" s="1512">
        <f t="shared" si="459"/>
        <v>27.53</v>
      </c>
      <c r="P326" s="1538">
        <f t="shared" si="459"/>
        <v>0</v>
      </c>
      <c r="Q326" s="1513">
        <f t="shared" si="459"/>
        <v>27.53</v>
      </c>
      <c r="R326" s="1512">
        <f t="shared" si="459"/>
        <v>28.5</v>
      </c>
      <c r="S326" s="1538">
        <f t="shared" si="459"/>
        <v>0</v>
      </c>
      <c r="T326" s="1513">
        <f t="shared" si="459"/>
        <v>28.5</v>
      </c>
      <c r="U326" s="1512">
        <f t="shared" si="459"/>
        <v>29.49</v>
      </c>
      <c r="V326" s="1538">
        <f t="shared" si="459"/>
        <v>0</v>
      </c>
      <c r="W326" s="1513">
        <f t="shared" si="459"/>
        <v>29.49</v>
      </c>
      <c r="X326" s="1517">
        <f t="shared" si="455"/>
        <v>0.23</v>
      </c>
      <c r="Y326" s="1512">
        <f>Y320+Y321+Y322+Y323+Y324+Y325</f>
        <v>36.61</v>
      </c>
      <c r="Z326" s="1538">
        <f>Z320+Z321+Z322+Z323+Z324+Z325</f>
        <v>0</v>
      </c>
      <c r="AA326" s="1513">
        <f>AA320+AA321+AA322+AA323+AA324+AA325</f>
        <v>36.61</v>
      </c>
      <c r="AC326" s="855">
        <f t="shared" si="456"/>
        <v>5.45</v>
      </c>
    </row>
    <row r="327" spans="1:29">
      <c r="A327" s="89" t="s">
        <v>35</v>
      </c>
    </row>
    <row r="328" spans="1:29">
      <c r="A328" s="1" t="s">
        <v>68</v>
      </c>
    </row>
    <row r="329" spans="1:29">
      <c r="A329" s="1" t="s">
        <v>69</v>
      </c>
    </row>
    <row r="331" spans="1:29" ht="15.75" thickBot="1">
      <c r="A331" s="1" t="s">
        <v>730</v>
      </c>
    </row>
    <row r="332" spans="1:29" ht="15.75" customHeight="1" thickBot="1">
      <c r="A332" s="3204" t="s">
        <v>54</v>
      </c>
      <c r="B332" s="3206" t="s">
        <v>2</v>
      </c>
      <c r="C332" s="3261" t="s">
        <v>55</v>
      </c>
      <c r="D332" s="3262"/>
      <c r="E332" s="3263"/>
      <c r="F332" s="3261" t="s">
        <v>56</v>
      </c>
      <c r="G332" s="3262"/>
      <c r="H332" s="3262"/>
      <c r="I332" s="3262"/>
      <c r="J332" s="3262"/>
      <c r="K332" s="3262"/>
      <c r="L332" s="3262"/>
      <c r="M332" s="3262"/>
      <c r="N332" s="3262"/>
      <c r="O332" s="3262"/>
      <c r="P332" s="3262"/>
      <c r="Q332" s="3262"/>
      <c r="R332" s="3262"/>
      <c r="S332" s="3262"/>
      <c r="T332" s="3262"/>
      <c r="U332" s="3262"/>
      <c r="V332" s="3262"/>
      <c r="W332" s="3263"/>
      <c r="X332" s="3255" t="s">
        <v>57</v>
      </c>
      <c r="Y332" s="3261" t="s">
        <v>58</v>
      </c>
      <c r="Z332" s="3262"/>
      <c r="AA332" s="3263"/>
      <c r="AC332" s="3255" t="s">
        <v>80</v>
      </c>
    </row>
    <row r="333" spans="1:29">
      <c r="A333" s="3205"/>
      <c r="B333" s="3207"/>
      <c r="C333" s="3258">
        <v>2015</v>
      </c>
      <c r="D333" s="3264"/>
      <c r="E333" s="3245"/>
      <c r="F333" s="3258">
        <v>2020</v>
      </c>
      <c r="G333" s="3264"/>
      <c r="H333" s="3245"/>
      <c r="I333" s="3258">
        <v>2025</v>
      </c>
      <c r="J333" s="3264"/>
      <c r="K333" s="3245"/>
      <c r="L333" s="3258">
        <v>2030</v>
      </c>
      <c r="M333" s="3264"/>
      <c r="N333" s="3245"/>
      <c r="O333" s="3258">
        <v>2035</v>
      </c>
      <c r="P333" s="3264"/>
      <c r="Q333" s="3245"/>
      <c r="R333" s="3258">
        <v>2040</v>
      </c>
      <c r="S333" s="3264"/>
      <c r="T333" s="3245"/>
      <c r="U333" s="3258">
        <v>2045</v>
      </c>
      <c r="V333" s="3264"/>
      <c r="W333" s="3245"/>
      <c r="X333" s="3256"/>
      <c r="Y333" s="3258">
        <v>2045</v>
      </c>
      <c r="Z333" s="3264"/>
      <c r="AA333" s="3245"/>
      <c r="AC333" s="3256"/>
    </row>
    <row r="334" spans="1:29" ht="15.75" thickBot="1">
      <c r="A334" s="3485"/>
      <c r="B334" s="3208"/>
      <c r="C334" s="1130" t="s">
        <v>60</v>
      </c>
      <c r="D334" s="1128" t="s">
        <v>61</v>
      </c>
      <c r="E334" s="1681" t="s">
        <v>18</v>
      </c>
      <c r="F334" s="1127" t="s">
        <v>60</v>
      </c>
      <c r="G334" s="1131" t="s">
        <v>61</v>
      </c>
      <c r="H334" s="1680" t="s">
        <v>18</v>
      </c>
      <c r="I334" s="1130" t="s">
        <v>60</v>
      </c>
      <c r="J334" s="1128" t="s">
        <v>61</v>
      </c>
      <c r="K334" s="1681" t="s">
        <v>18</v>
      </c>
      <c r="L334" s="1127" t="s">
        <v>60</v>
      </c>
      <c r="M334" s="1131" t="s">
        <v>61</v>
      </c>
      <c r="N334" s="1680" t="s">
        <v>18</v>
      </c>
      <c r="O334" s="1130" t="s">
        <v>60</v>
      </c>
      <c r="P334" s="1128" t="s">
        <v>61</v>
      </c>
      <c r="Q334" s="1681" t="s">
        <v>18</v>
      </c>
      <c r="R334" s="1130" t="s">
        <v>60</v>
      </c>
      <c r="S334" s="1131" t="s">
        <v>61</v>
      </c>
      <c r="T334" s="1680" t="s">
        <v>18</v>
      </c>
      <c r="U334" s="1130" t="s">
        <v>60</v>
      </c>
      <c r="V334" s="1131" t="s">
        <v>61</v>
      </c>
      <c r="W334" s="1680" t="s">
        <v>18</v>
      </c>
      <c r="X334" s="3257"/>
      <c r="Y334" s="1817" t="s">
        <v>60</v>
      </c>
      <c r="Z334" s="1818" t="s">
        <v>61</v>
      </c>
      <c r="AA334" s="1135" t="s">
        <v>18</v>
      </c>
      <c r="AC334" s="3483"/>
    </row>
    <row r="335" spans="1:29">
      <c r="A335" s="993" t="s">
        <v>62</v>
      </c>
      <c r="B335" s="1492" t="s">
        <v>17</v>
      </c>
      <c r="C335" s="1497">
        <f>'Table 4'!J42</f>
        <v>1.74</v>
      </c>
      <c r="D335" s="1507">
        <f>'Table 4'!K42</f>
        <v>0</v>
      </c>
      <c r="E335" s="1499">
        <f>'Table 4'!L42</f>
        <v>1.74</v>
      </c>
      <c r="F335" s="1497">
        <f>'Table 4'!M42</f>
        <v>1.87</v>
      </c>
      <c r="G335" s="1507">
        <f>'Table 4'!N42</f>
        <v>0</v>
      </c>
      <c r="H335" s="1499">
        <f>'Table 4'!O42</f>
        <v>1.87</v>
      </c>
      <c r="I335" s="1497">
        <f>'Table 4'!Q42</f>
        <v>1.93</v>
      </c>
      <c r="J335" s="1507">
        <f>'Table 4'!R42</f>
        <v>0</v>
      </c>
      <c r="K335" s="1499">
        <f>'Table 4'!S42</f>
        <v>1.93</v>
      </c>
      <c r="L335" s="1497">
        <f>'Table 4'!U42</f>
        <v>1.97</v>
      </c>
      <c r="M335" s="1507">
        <f>'Table 4'!V42</f>
        <v>0</v>
      </c>
      <c r="N335" s="1499">
        <f>'Table 4'!W42</f>
        <v>1.97</v>
      </c>
      <c r="O335" s="1497">
        <f>'Table 4'!Y42</f>
        <v>2</v>
      </c>
      <c r="P335" s="1507">
        <f>'Table 4'!Z42</f>
        <v>0</v>
      </c>
      <c r="Q335" s="1499">
        <f>'Table 4'!AA42</f>
        <v>2</v>
      </c>
      <c r="R335" s="1497">
        <f>'Table 4'!AC42</f>
        <v>2.0299999999999998</v>
      </c>
      <c r="S335" s="1507">
        <f>'Table 4'!AD42</f>
        <v>0</v>
      </c>
      <c r="T335" s="1499">
        <f>'Table 4'!AE42</f>
        <v>2.0299999999999998</v>
      </c>
      <c r="U335" s="1497">
        <f>'Table 4'!AG42</f>
        <v>2.06</v>
      </c>
      <c r="V335" s="1507">
        <f>'Table 4'!AH42</f>
        <v>0</v>
      </c>
      <c r="W335" s="1499">
        <f>'Table 4'!AI42</f>
        <v>2.06</v>
      </c>
      <c r="X335" s="1813">
        <f>(W335-E335)/E335</f>
        <v>0.18</v>
      </c>
      <c r="Y335" s="1497">
        <f>'Table 4'!AL42</f>
        <v>2.1800000000000002</v>
      </c>
      <c r="Z335" s="1507">
        <f>'Table 4'!AM42</f>
        <v>0</v>
      </c>
      <c r="AA335" s="1499">
        <f>'Table 4'!AN42</f>
        <v>2.1800000000000002</v>
      </c>
      <c r="AC335" s="1653">
        <f>W335-E335</f>
        <v>0.32</v>
      </c>
    </row>
    <row r="336" spans="1:29" ht="26.25">
      <c r="A336" s="993" t="s">
        <v>63</v>
      </c>
      <c r="B336" s="1492" t="s">
        <v>17</v>
      </c>
      <c r="C336" s="1497">
        <f>'Table 6'!K43</f>
        <v>0.59</v>
      </c>
      <c r="D336" s="1507">
        <f>'Table 6'!L43</f>
        <v>0</v>
      </c>
      <c r="E336" s="1499">
        <f>'Table 6'!M43</f>
        <v>0.59</v>
      </c>
      <c r="F336" s="1497">
        <f>'Table 6'!N43</f>
        <v>0.6</v>
      </c>
      <c r="G336" s="1507">
        <f>'Table 6'!O43</f>
        <v>0</v>
      </c>
      <c r="H336" s="1499">
        <f>'Table 6'!P43</f>
        <v>0.6</v>
      </c>
      <c r="I336" s="1497">
        <f>'Table 6'!Q43</f>
        <v>0.6</v>
      </c>
      <c r="J336" s="1507">
        <f>'Table 6'!R43</f>
        <v>0</v>
      </c>
      <c r="K336" s="1499">
        <f>'Table 6'!S43</f>
        <v>0.6</v>
      </c>
      <c r="L336" s="1497">
        <f>'Table 6'!T43</f>
        <v>0.59</v>
      </c>
      <c r="M336" s="1507">
        <f>'Table 6'!U43</f>
        <v>0</v>
      </c>
      <c r="N336" s="1499">
        <f>'Table 6'!V43</f>
        <v>0.59</v>
      </c>
      <c r="O336" s="1497">
        <f>'Table 6'!W43</f>
        <v>0.59</v>
      </c>
      <c r="P336" s="1507">
        <f>'Table 6'!X43</f>
        <v>0</v>
      </c>
      <c r="Q336" s="1499">
        <f>'Table 6'!Y43</f>
        <v>0.59</v>
      </c>
      <c r="R336" s="1497">
        <f>'Table 6'!Z43</f>
        <v>0.59</v>
      </c>
      <c r="S336" s="1507">
        <f>'Table 6'!AA43</f>
        <v>0</v>
      </c>
      <c r="T336" s="1499">
        <f>'Table 6'!AB43</f>
        <v>0.59</v>
      </c>
      <c r="U336" s="1497">
        <f>'Table 6'!AC43</f>
        <v>0.59</v>
      </c>
      <c r="V336" s="1507">
        <f>'Table 6'!AD43</f>
        <v>0</v>
      </c>
      <c r="W336" s="1499">
        <f>'Table 6'!AE43</f>
        <v>0.59</v>
      </c>
      <c r="X336" s="1813">
        <f t="shared" ref="X336:X341" si="460">(W336-E336)/E336</f>
        <v>0</v>
      </c>
      <c r="Y336" s="1497">
        <f>'Table 6'!AG43</f>
        <v>0.62</v>
      </c>
      <c r="Z336" s="1507">
        <f>'Table 6'!AH43</f>
        <v>0</v>
      </c>
      <c r="AA336" s="1499">
        <f>'Table 6'!AI43</f>
        <v>0.62</v>
      </c>
      <c r="AC336" s="1653">
        <f t="shared" ref="AC336:AC341" si="461">W336-E336</f>
        <v>0</v>
      </c>
    </row>
    <row r="337" spans="1:29">
      <c r="A337" s="798" t="s">
        <v>64</v>
      </c>
      <c r="B337" s="1492" t="s">
        <v>17</v>
      </c>
      <c r="C337" s="1497">
        <f>'Table 7'!C45</f>
        <v>0.46</v>
      </c>
      <c r="D337" s="1507">
        <f>'Table 7'!D45</f>
        <v>0</v>
      </c>
      <c r="E337" s="1499">
        <f>'Table 7'!E45</f>
        <v>0.46</v>
      </c>
      <c r="F337" s="1497">
        <f>'Table 7'!F45</f>
        <v>0.52</v>
      </c>
      <c r="G337" s="1507">
        <f>'Table 7'!G45</f>
        <v>0</v>
      </c>
      <c r="H337" s="1499">
        <f>'Table 7'!H45</f>
        <v>0.52</v>
      </c>
      <c r="I337" s="1497">
        <f>'Table 7'!I45</f>
        <v>0.51</v>
      </c>
      <c r="J337" s="1507">
        <f>'Table 7'!J45</f>
        <v>0</v>
      </c>
      <c r="K337" s="1499">
        <f>'Table 7'!K45</f>
        <v>0.51</v>
      </c>
      <c r="L337" s="1497">
        <f>'Table 7'!L45</f>
        <v>0.51</v>
      </c>
      <c r="M337" s="1507">
        <f>'Table 7'!M45</f>
        <v>0</v>
      </c>
      <c r="N337" s="1499">
        <f>'Table 7'!N45</f>
        <v>0.51</v>
      </c>
      <c r="O337" s="1497">
        <f>'Table 7'!O45</f>
        <v>0.5</v>
      </c>
      <c r="P337" s="1507">
        <f>'Table 7'!P45</f>
        <v>0</v>
      </c>
      <c r="Q337" s="1499">
        <f>'Table 7'!Q45</f>
        <v>0.5</v>
      </c>
      <c r="R337" s="1497">
        <f>'Table 7'!R45</f>
        <v>0.5</v>
      </c>
      <c r="S337" s="1507">
        <f>'Table 7'!S45</f>
        <v>0</v>
      </c>
      <c r="T337" s="1499">
        <f>'Table 7'!T45</f>
        <v>0.5</v>
      </c>
      <c r="U337" s="1497">
        <f>'Table 7'!U45</f>
        <v>0.49</v>
      </c>
      <c r="V337" s="1507">
        <f>'Table 7'!V45</f>
        <v>0</v>
      </c>
      <c r="W337" s="1499">
        <f>'Table 7'!W45</f>
        <v>0.49</v>
      </c>
      <c r="X337" s="1813">
        <f t="shared" si="460"/>
        <v>7.0000000000000007E-2</v>
      </c>
      <c r="Y337" s="1497">
        <f>'Table 7'!AG45</f>
        <v>0.64</v>
      </c>
      <c r="Z337" s="1507">
        <f>'Table 7'!AH45</f>
        <v>0</v>
      </c>
      <c r="AA337" s="1499">
        <f>'Table 7'!AI45</f>
        <v>0.64</v>
      </c>
      <c r="AC337" s="1653">
        <f t="shared" si="461"/>
        <v>0.03</v>
      </c>
    </row>
    <row r="338" spans="1:29">
      <c r="A338" s="798" t="s">
        <v>65</v>
      </c>
      <c r="B338" s="1492" t="s">
        <v>17</v>
      </c>
      <c r="C338" s="1497">
        <f>'Table 8'!C44</f>
        <v>0.35</v>
      </c>
      <c r="D338" s="1507">
        <f>'Table 8'!D44</f>
        <v>0</v>
      </c>
      <c r="E338" s="1499">
        <f>'Table 8'!E44</f>
        <v>0.35</v>
      </c>
      <c r="F338" s="1497">
        <f>'Table 8'!F44</f>
        <v>0.36</v>
      </c>
      <c r="G338" s="1507">
        <f>'Table 8'!G44</f>
        <v>0</v>
      </c>
      <c r="H338" s="1499">
        <f>'Table 8'!H44</f>
        <v>0.36</v>
      </c>
      <c r="I338" s="1497">
        <f>'Table 8'!I44</f>
        <v>0.37</v>
      </c>
      <c r="J338" s="1507">
        <f>'Table 8'!J44</f>
        <v>0</v>
      </c>
      <c r="K338" s="1499">
        <f>'Table 8'!K44</f>
        <v>0.37</v>
      </c>
      <c r="L338" s="1497">
        <f>'Table 8'!L44</f>
        <v>0.38</v>
      </c>
      <c r="M338" s="1507">
        <f>'Table 8'!M44</f>
        <v>0</v>
      </c>
      <c r="N338" s="1499">
        <f>'Table 8'!N44</f>
        <v>0.38</v>
      </c>
      <c r="O338" s="1497">
        <f>'Table 8'!O44</f>
        <v>0.39</v>
      </c>
      <c r="P338" s="1507">
        <f>'Table 8'!P44</f>
        <v>0</v>
      </c>
      <c r="Q338" s="1499">
        <f>'Table 8'!Q44</f>
        <v>0.39</v>
      </c>
      <c r="R338" s="1497">
        <f>'Table 8'!R44</f>
        <v>0.39</v>
      </c>
      <c r="S338" s="1507">
        <f>'Table 8'!S44</f>
        <v>0</v>
      </c>
      <c r="T338" s="1499">
        <f>'Table 8'!T44</f>
        <v>0.39</v>
      </c>
      <c r="U338" s="1497">
        <f>'Table 8'!U44</f>
        <v>0.4</v>
      </c>
      <c r="V338" s="1507">
        <f>'Table 8'!V44</f>
        <v>0</v>
      </c>
      <c r="W338" s="1499">
        <f>'Table 8'!W44</f>
        <v>0.4</v>
      </c>
      <c r="X338" s="1813">
        <f t="shared" si="460"/>
        <v>0.14000000000000001</v>
      </c>
      <c r="Y338" s="1497">
        <f>'Table 8'!Y44</f>
        <v>0.45</v>
      </c>
      <c r="Z338" s="1507">
        <f>'Table 8'!Z44</f>
        <v>0</v>
      </c>
      <c r="AA338" s="1499">
        <f>'Table 8'!AA44</f>
        <v>0.45</v>
      </c>
      <c r="AC338" s="1653">
        <f t="shared" si="461"/>
        <v>0.05</v>
      </c>
    </row>
    <row r="339" spans="1:29" ht="15" customHeight="1">
      <c r="A339" s="798" t="s">
        <v>66</v>
      </c>
      <c r="B339" s="1518" t="s">
        <v>17</v>
      </c>
      <c r="C339" s="1519">
        <f>'Table 9'!C44</f>
        <v>39.51</v>
      </c>
      <c r="D339" s="1520">
        <f>'Table 9'!D44</f>
        <v>0.17</v>
      </c>
      <c r="E339" s="1521">
        <f>'Table 9'!E44</f>
        <v>39.68</v>
      </c>
      <c r="F339" s="1519">
        <f>'Table 9'!F44</f>
        <v>39.53</v>
      </c>
      <c r="G339" s="1520">
        <f>'Table 9'!G44</f>
        <v>0.17</v>
      </c>
      <c r="H339" s="1521">
        <f>'Table 9'!H44</f>
        <v>39.700000000000003</v>
      </c>
      <c r="I339" s="1519">
        <f>'Table 9'!I44</f>
        <v>39.549999999999997</v>
      </c>
      <c r="J339" s="1520">
        <f>'Table 9'!J44</f>
        <v>0.17</v>
      </c>
      <c r="K339" s="1521">
        <f>'Table 9'!K44</f>
        <v>39.72</v>
      </c>
      <c r="L339" s="1519">
        <f>'Table 9'!L44</f>
        <v>39.56</v>
      </c>
      <c r="M339" s="1520">
        <f>'Table 9'!M44</f>
        <v>0.17</v>
      </c>
      <c r="N339" s="1521">
        <f>'Table 9'!N44</f>
        <v>39.729999999999997</v>
      </c>
      <c r="O339" s="1519">
        <f>'Table 9'!O44</f>
        <v>39.57</v>
      </c>
      <c r="P339" s="1520">
        <f>'Table 9'!P44</f>
        <v>0.17</v>
      </c>
      <c r="Q339" s="1521">
        <f>'Table 9'!Q44</f>
        <v>39.74</v>
      </c>
      <c r="R339" s="1519">
        <f>'Table 9'!R44</f>
        <v>39.58</v>
      </c>
      <c r="S339" s="1520">
        <f>'Table 9'!S44</f>
        <v>0.17</v>
      </c>
      <c r="T339" s="1521">
        <f>'Table 9'!T44</f>
        <v>39.75</v>
      </c>
      <c r="U339" s="1519">
        <f>'Table 9'!U44</f>
        <v>39.590000000000003</v>
      </c>
      <c r="V339" s="1520">
        <f>'Table 9'!V44</f>
        <v>0.17</v>
      </c>
      <c r="W339" s="1521">
        <f>'Table 9'!W44</f>
        <v>39.76</v>
      </c>
      <c r="X339" s="1814">
        <f t="shared" si="460"/>
        <v>0</v>
      </c>
      <c r="Y339" s="1519">
        <f>U339</f>
        <v>39.590000000000003</v>
      </c>
      <c r="Z339" s="1520">
        <f t="shared" ref="Z339:Z340" si="462">V339</f>
        <v>0.17</v>
      </c>
      <c r="AA339" s="1521">
        <f t="shared" ref="AA339:AA340" si="463">W339</f>
        <v>39.76</v>
      </c>
      <c r="AC339" s="841">
        <f t="shared" si="461"/>
        <v>0.08</v>
      </c>
    </row>
    <row r="340" spans="1:29" ht="15.75" thickBot="1">
      <c r="A340" s="175" t="s">
        <v>67</v>
      </c>
      <c r="B340" s="1489" t="s">
        <v>17</v>
      </c>
      <c r="C340" s="1522">
        <f>'Table 10'!C43</f>
        <v>0</v>
      </c>
      <c r="D340" s="1523">
        <f>'Table 10'!D43</f>
        <v>0</v>
      </c>
      <c r="E340" s="1524">
        <f>'Table 10'!E43</f>
        <v>0</v>
      </c>
      <c r="F340" s="1522">
        <f>'Table 10'!F43</f>
        <v>0</v>
      </c>
      <c r="G340" s="1523">
        <f>'Table 10'!G43</f>
        <v>0</v>
      </c>
      <c r="H340" s="1524">
        <f>'Table 10'!H43</f>
        <v>0</v>
      </c>
      <c r="I340" s="1522">
        <f>'Table 10'!I43</f>
        <v>0</v>
      </c>
      <c r="J340" s="1523">
        <f>'Table 10'!J43</f>
        <v>0</v>
      </c>
      <c r="K340" s="1524">
        <f>'Table 10'!K43</f>
        <v>0</v>
      </c>
      <c r="L340" s="1522">
        <f>'Table 10'!L43</f>
        <v>0</v>
      </c>
      <c r="M340" s="1523">
        <f>'Table 10'!M43</f>
        <v>0</v>
      </c>
      <c r="N340" s="1524">
        <f>'Table 10'!N43</f>
        <v>0</v>
      </c>
      <c r="O340" s="1522">
        <f>'Table 10'!O43</f>
        <v>0</v>
      </c>
      <c r="P340" s="1523">
        <f>'Table 10'!P43</f>
        <v>0</v>
      </c>
      <c r="Q340" s="1524">
        <f>'Table 10'!Q43</f>
        <v>0</v>
      </c>
      <c r="R340" s="1522">
        <f>'Table 10'!R43</f>
        <v>0</v>
      </c>
      <c r="S340" s="1523">
        <f>'Table 10'!S43</f>
        <v>0</v>
      </c>
      <c r="T340" s="1524">
        <f>'Table 10'!T43</f>
        <v>0</v>
      </c>
      <c r="U340" s="1522">
        <f>'Table 10'!U43</f>
        <v>0</v>
      </c>
      <c r="V340" s="1523">
        <f>'Table 10'!V43</f>
        <v>0</v>
      </c>
      <c r="W340" s="1524">
        <f>'Table 10'!W43</f>
        <v>0</v>
      </c>
      <c r="X340" s="1815" t="s">
        <v>16</v>
      </c>
      <c r="Y340" s="1522">
        <f>U340</f>
        <v>0</v>
      </c>
      <c r="Z340" s="1523">
        <f t="shared" si="462"/>
        <v>0</v>
      </c>
      <c r="AA340" s="1524">
        <f t="shared" si="463"/>
        <v>0</v>
      </c>
      <c r="AC340" s="1822">
        <f t="shared" si="461"/>
        <v>0</v>
      </c>
    </row>
    <row r="341" spans="1:29" ht="16.5" thickTop="1" thickBot="1">
      <c r="A341" s="3481" t="s">
        <v>731</v>
      </c>
      <c r="B341" s="3482"/>
      <c r="C341" s="1512">
        <f t="shared" ref="C341:W341" si="464">C335+C336+C337+C338+C339+C340</f>
        <v>42.65</v>
      </c>
      <c r="D341" s="1538">
        <f t="shared" si="464"/>
        <v>0.17</v>
      </c>
      <c r="E341" s="1513">
        <f t="shared" si="464"/>
        <v>42.82</v>
      </c>
      <c r="F341" s="1512">
        <f t="shared" si="464"/>
        <v>42.88</v>
      </c>
      <c r="G341" s="1538">
        <f t="shared" si="464"/>
        <v>0.17</v>
      </c>
      <c r="H341" s="1513">
        <f t="shared" si="464"/>
        <v>43.05</v>
      </c>
      <c r="I341" s="1512">
        <f t="shared" si="464"/>
        <v>42.96</v>
      </c>
      <c r="J341" s="1538">
        <f t="shared" si="464"/>
        <v>0.17</v>
      </c>
      <c r="K341" s="1513">
        <f t="shared" si="464"/>
        <v>43.13</v>
      </c>
      <c r="L341" s="1512">
        <f t="shared" si="464"/>
        <v>43.01</v>
      </c>
      <c r="M341" s="1538">
        <f t="shared" si="464"/>
        <v>0.17</v>
      </c>
      <c r="N341" s="1513">
        <f t="shared" si="464"/>
        <v>43.18</v>
      </c>
      <c r="O341" s="1512">
        <f t="shared" si="464"/>
        <v>43.05</v>
      </c>
      <c r="P341" s="1538">
        <f t="shared" si="464"/>
        <v>0.17</v>
      </c>
      <c r="Q341" s="1513">
        <f t="shared" si="464"/>
        <v>43.22</v>
      </c>
      <c r="R341" s="1512">
        <f t="shared" si="464"/>
        <v>43.09</v>
      </c>
      <c r="S341" s="1538">
        <f t="shared" si="464"/>
        <v>0.17</v>
      </c>
      <c r="T341" s="1513">
        <f t="shared" si="464"/>
        <v>43.26</v>
      </c>
      <c r="U341" s="1512">
        <f t="shared" si="464"/>
        <v>43.13</v>
      </c>
      <c r="V341" s="1538">
        <f t="shared" si="464"/>
        <v>0.17</v>
      </c>
      <c r="W341" s="1513">
        <f t="shared" si="464"/>
        <v>43.3</v>
      </c>
      <c r="X341" s="1517">
        <f t="shared" si="460"/>
        <v>0.01</v>
      </c>
      <c r="Y341" s="1512">
        <f>Y335+Y336+Y337+Y338+Y339+Y340</f>
        <v>43.48</v>
      </c>
      <c r="Z341" s="1538">
        <f>Z335+Z336+Z337+Z338+Z339+Z340</f>
        <v>0.17</v>
      </c>
      <c r="AA341" s="1513">
        <f>AA335+AA336+AA337+AA338+AA339+AA340</f>
        <v>43.65</v>
      </c>
      <c r="AC341" s="855">
        <f t="shared" si="461"/>
        <v>0.48</v>
      </c>
    </row>
    <row r="342" spans="1:29">
      <c r="A342" s="89" t="s">
        <v>35</v>
      </c>
    </row>
    <row r="343" spans="1:29">
      <c r="A343" s="1" t="s">
        <v>68</v>
      </c>
      <c r="S343" t="s">
        <v>36</v>
      </c>
    </row>
    <row r="344" spans="1:29">
      <c r="A344" s="1" t="s">
        <v>69</v>
      </c>
    </row>
  </sheetData>
  <mergeCells count="320">
    <mergeCell ref="U3:W3"/>
    <mergeCell ref="A25:B25"/>
    <mergeCell ref="F2:W2"/>
    <mergeCell ref="A31:A33"/>
    <mergeCell ref="B31:B33"/>
    <mergeCell ref="C31:E31"/>
    <mergeCell ref="F31:W31"/>
    <mergeCell ref="X2:X4"/>
    <mergeCell ref="Y2:AA2"/>
    <mergeCell ref="C3:E3"/>
    <mergeCell ref="F3:H3"/>
    <mergeCell ref="I3:K3"/>
    <mergeCell ref="L3:N3"/>
    <mergeCell ref="O3:Q3"/>
    <mergeCell ref="R3:T3"/>
    <mergeCell ref="Y3:AA3"/>
    <mergeCell ref="A2:A4"/>
    <mergeCell ref="B2:B4"/>
    <mergeCell ref="C2:E2"/>
    <mergeCell ref="A54:B54"/>
    <mergeCell ref="A60:A62"/>
    <mergeCell ref="B60:B62"/>
    <mergeCell ref="C60:E60"/>
    <mergeCell ref="F60:W60"/>
    <mergeCell ref="X60:X62"/>
    <mergeCell ref="X31:X33"/>
    <mergeCell ref="Y31:AA31"/>
    <mergeCell ref="C32:E32"/>
    <mergeCell ref="F32:H32"/>
    <mergeCell ref="I32:K32"/>
    <mergeCell ref="L32:N32"/>
    <mergeCell ref="O32:Q32"/>
    <mergeCell ref="R32:T32"/>
    <mergeCell ref="U32:W32"/>
    <mergeCell ref="Y32:AA32"/>
    <mergeCell ref="A83:B83"/>
    <mergeCell ref="A89:A91"/>
    <mergeCell ref="B89:B91"/>
    <mergeCell ref="C89:E89"/>
    <mergeCell ref="F89:W89"/>
    <mergeCell ref="X89:X91"/>
    <mergeCell ref="Y60:AA60"/>
    <mergeCell ref="C61:E61"/>
    <mergeCell ref="F61:H61"/>
    <mergeCell ref="I61:K61"/>
    <mergeCell ref="L61:N61"/>
    <mergeCell ref="O61:Q61"/>
    <mergeCell ref="R61:T61"/>
    <mergeCell ref="U61:W61"/>
    <mergeCell ref="Y61:AA61"/>
    <mergeCell ref="A105:A107"/>
    <mergeCell ref="B105:B107"/>
    <mergeCell ref="C105:E105"/>
    <mergeCell ref="F105:W105"/>
    <mergeCell ref="X105:X107"/>
    <mergeCell ref="Y89:AA89"/>
    <mergeCell ref="C90:E90"/>
    <mergeCell ref="F90:H90"/>
    <mergeCell ref="I90:K90"/>
    <mergeCell ref="L90:N90"/>
    <mergeCell ref="O90:Q90"/>
    <mergeCell ref="R90:T90"/>
    <mergeCell ref="U90:W90"/>
    <mergeCell ref="Y90:AA90"/>
    <mergeCell ref="Y105:AA105"/>
    <mergeCell ref="C106:E106"/>
    <mergeCell ref="F106:H106"/>
    <mergeCell ref="I106:K106"/>
    <mergeCell ref="L106:N106"/>
    <mergeCell ref="O106:Q106"/>
    <mergeCell ref="R106:T106"/>
    <mergeCell ref="U106:W106"/>
    <mergeCell ref="Y106:AA106"/>
    <mergeCell ref="A98:B98"/>
    <mergeCell ref="O121:Q121"/>
    <mergeCell ref="R121:T121"/>
    <mergeCell ref="U121:W121"/>
    <mergeCell ref="Y121:AA121"/>
    <mergeCell ref="A135:A137"/>
    <mergeCell ref="B135:B137"/>
    <mergeCell ref="C135:E135"/>
    <mergeCell ref="F135:W135"/>
    <mergeCell ref="X135:X137"/>
    <mergeCell ref="Y135:AA135"/>
    <mergeCell ref="A120:A122"/>
    <mergeCell ref="B120:B122"/>
    <mergeCell ref="C120:E120"/>
    <mergeCell ref="F120:W120"/>
    <mergeCell ref="X120:X122"/>
    <mergeCell ref="Y120:AA120"/>
    <mergeCell ref="C121:E121"/>
    <mergeCell ref="F121:H121"/>
    <mergeCell ref="I121:K121"/>
    <mergeCell ref="L121:N121"/>
    <mergeCell ref="I151:K151"/>
    <mergeCell ref="L151:N151"/>
    <mergeCell ref="O151:Q151"/>
    <mergeCell ref="R151:T151"/>
    <mergeCell ref="U151:W151"/>
    <mergeCell ref="Y151:AA151"/>
    <mergeCell ref="U136:W136"/>
    <mergeCell ref="Y136:AA136"/>
    <mergeCell ref="A150:A152"/>
    <mergeCell ref="B150:B152"/>
    <mergeCell ref="C150:E150"/>
    <mergeCell ref="F150:W150"/>
    <mergeCell ref="X150:X152"/>
    <mergeCell ref="Y150:AA150"/>
    <mergeCell ref="C151:E151"/>
    <mergeCell ref="F151:H151"/>
    <mergeCell ref="C136:E136"/>
    <mergeCell ref="F136:H136"/>
    <mergeCell ref="I136:K136"/>
    <mergeCell ref="L136:N136"/>
    <mergeCell ref="O136:Q136"/>
    <mergeCell ref="R136:T136"/>
    <mergeCell ref="O166:Q166"/>
    <mergeCell ref="R166:T166"/>
    <mergeCell ref="U166:W166"/>
    <mergeCell ref="Y166:AA166"/>
    <mergeCell ref="A180:A182"/>
    <mergeCell ref="B180:B182"/>
    <mergeCell ref="C180:E180"/>
    <mergeCell ref="F180:W180"/>
    <mergeCell ref="X180:X182"/>
    <mergeCell ref="Y180:AA180"/>
    <mergeCell ref="A165:A167"/>
    <mergeCell ref="B165:B167"/>
    <mergeCell ref="C165:E165"/>
    <mergeCell ref="F165:W165"/>
    <mergeCell ref="X165:X167"/>
    <mergeCell ref="Y165:AA165"/>
    <mergeCell ref="C166:E166"/>
    <mergeCell ref="F166:H166"/>
    <mergeCell ref="I166:K166"/>
    <mergeCell ref="L166:N166"/>
    <mergeCell ref="I197:K197"/>
    <mergeCell ref="L197:N197"/>
    <mergeCell ref="O197:Q197"/>
    <mergeCell ref="R197:T197"/>
    <mergeCell ref="U197:W197"/>
    <mergeCell ref="Y197:AA197"/>
    <mergeCell ref="U181:W181"/>
    <mergeCell ref="Y181:AA181"/>
    <mergeCell ref="A196:A198"/>
    <mergeCell ref="B196:B198"/>
    <mergeCell ref="C196:E196"/>
    <mergeCell ref="F196:W196"/>
    <mergeCell ref="X196:X198"/>
    <mergeCell ref="Y196:AA196"/>
    <mergeCell ref="C197:E197"/>
    <mergeCell ref="F197:H197"/>
    <mergeCell ref="C181:E181"/>
    <mergeCell ref="F181:H181"/>
    <mergeCell ref="I181:K181"/>
    <mergeCell ref="L181:N181"/>
    <mergeCell ref="O181:Q181"/>
    <mergeCell ref="R181:T181"/>
    <mergeCell ref="O212:Q212"/>
    <mergeCell ref="R212:T212"/>
    <mergeCell ref="U212:W212"/>
    <mergeCell ref="Y212:AA212"/>
    <mergeCell ref="A227:A229"/>
    <mergeCell ref="B227:B229"/>
    <mergeCell ref="C227:E227"/>
    <mergeCell ref="F227:W227"/>
    <mergeCell ref="X227:X229"/>
    <mergeCell ref="Y227:AA227"/>
    <mergeCell ref="A211:A213"/>
    <mergeCell ref="B211:B213"/>
    <mergeCell ref="C211:E211"/>
    <mergeCell ref="F211:W211"/>
    <mergeCell ref="X211:X213"/>
    <mergeCell ref="Y211:AA211"/>
    <mergeCell ref="C212:E212"/>
    <mergeCell ref="F212:H212"/>
    <mergeCell ref="I212:K212"/>
    <mergeCell ref="L212:N212"/>
    <mergeCell ref="I243:K243"/>
    <mergeCell ref="L243:N243"/>
    <mergeCell ref="O243:Q243"/>
    <mergeCell ref="R243:T243"/>
    <mergeCell ref="U243:W243"/>
    <mergeCell ref="Y243:AA243"/>
    <mergeCell ref="U228:W228"/>
    <mergeCell ref="Y228:AA228"/>
    <mergeCell ref="A242:A244"/>
    <mergeCell ref="B242:B244"/>
    <mergeCell ref="C242:E242"/>
    <mergeCell ref="F242:W242"/>
    <mergeCell ref="X242:X244"/>
    <mergeCell ref="Y242:AA242"/>
    <mergeCell ref="C243:E243"/>
    <mergeCell ref="F243:H243"/>
    <mergeCell ref="C228:E228"/>
    <mergeCell ref="F228:H228"/>
    <mergeCell ref="I228:K228"/>
    <mergeCell ref="L228:N228"/>
    <mergeCell ref="O228:Q228"/>
    <mergeCell ref="R228:T228"/>
    <mergeCell ref="O258:Q258"/>
    <mergeCell ref="R258:T258"/>
    <mergeCell ref="U258:W258"/>
    <mergeCell ref="Y258:AA258"/>
    <mergeCell ref="A272:A274"/>
    <mergeCell ref="B272:B274"/>
    <mergeCell ref="C272:E272"/>
    <mergeCell ref="F272:W272"/>
    <mergeCell ref="X272:X274"/>
    <mergeCell ref="Y272:AA272"/>
    <mergeCell ref="A257:A259"/>
    <mergeCell ref="B257:B259"/>
    <mergeCell ref="C257:E257"/>
    <mergeCell ref="F257:W257"/>
    <mergeCell ref="X257:X259"/>
    <mergeCell ref="Y257:AA257"/>
    <mergeCell ref="C258:E258"/>
    <mergeCell ref="F258:H258"/>
    <mergeCell ref="I258:K258"/>
    <mergeCell ref="L258:N258"/>
    <mergeCell ref="I288:K288"/>
    <mergeCell ref="L288:N288"/>
    <mergeCell ref="O288:Q288"/>
    <mergeCell ref="R288:T288"/>
    <mergeCell ref="U288:W288"/>
    <mergeCell ref="Y288:AA288"/>
    <mergeCell ref="U273:W273"/>
    <mergeCell ref="Y273:AA273"/>
    <mergeCell ref="A287:A289"/>
    <mergeCell ref="B287:B289"/>
    <mergeCell ref="C287:E287"/>
    <mergeCell ref="F287:W287"/>
    <mergeCell ref="X287:X289"/>
    <mergeCell ref="Y287:AA287"/>
    <mergeCell ref="C288:E288"/>
    <mergeCell ref="F288:H288"/>
    <mergeCell ref="C273:E273"/>
    <mergeCell ref="F273:H273"/>
    <mergeCell ref="I273:K273"/>
    <mergeCell ref="L273:N273"/>
    <mergeCell ref="O273:Q273"/>
    <mergeCell ref="R273:T273"/>
    <mergeCell ref="O303:Q303"/>
    <mergeCell ref="R303:T303"/>
    <mergeCell ref="U303:W303"/>
    <mergeCell ref="Y303:AA303"/>
    <mergeCell ref="A317:A319"/>
    <mergeCell ref="B317:B319"/>
    <mergeCell ref="C317:E317"/>
    <mergeCell ref="F317:W317"/>
    <mergeCell ref="X317:X319"/>
    <mergeCell ref="Y317:AA317"/>
    <mergeCell ref="A302:A304"/>
    <mergeCell ref="B302:B304"/>
    <mergeCell ref="C302:E302"/>
    <mergeCell ref="F302:W302"/>
    <mergeCell ref="X302:X304"/>
    <mergeCell ref="Y302:AA302"/>
    <mergeCell ref="C303:E303"/>
    <mergeCell ref="F303:H303"/>
    <mergeCell ref="I303:K303"/>
    <mergeCell ref="L303:N303"/>
    <mergeCell ref="I333:K333"/>
    <mergeCell ref="L333:N333"/>
    <mergeCell ref="O333:Q333"/>
    <mergeCell ref="R333:T333"/>
    <mergeCell ref="U333:W333"/>
    <mergeCell ref="Y333:AA333"/>
    <mergeCell ref="U318:W318"/>
    <mergeCell ref="Y318:AA318"/>
    <mergeCell ref="A332:A334"/>
    <mergeCell ref="B332:B334"/>
    <mergeCell ref="C332:E332"/>
    <mergeCell ref="F332:W332"/>
    <mergeCell ref="X332:X334"/>
    <mergeCell ref="Y332:AA332"/>
    <mergeCell ref="C333:E333"/>
    <mergeCell ref="F333:H333"/>
    <mergeCell ref="C318:E318"/>
    <mergeCell ref="F318:H318"/>
    <mergeCell ref="I318:K318"/>
    <mergeCell ref="L318:N318"/>
    <mergeCell ref="O318:Q318"/>
    <mergeCell ref="R318:T318"/>
    <mergeCell ref="AC2:AC4"/>
    <mergeCell ref="AC31:AC33"/>
    <mergeCell ref="AC60:AC62"/>
    <mergeCell ref="AC89:AC91"/>
    <mergeCell ref="AC105:AC107"/>
    <mergeCell ref="AC120:AC122"/>
    <mergeCell ref="AC135:AC137"/>
    <mergeCell ref="AC150:AC152"/>
    <mergeCell ref="AC165:AC167"/>
    <mergeCell ref="AC317:AC319"/>
    <mergeCell ref="AC332:AC334"/>
    <mergeCell ref="AC180:AC182"/>
    <mergeCell ref="AC196:AC198"/>
    <mergeCell ref="AC211:AC213"/>
    <mergeCell ref="AC227:AC229"/>
    <mergeCell ref="AC242:AC244"/>
    <mergeCell ref="AC257:AC259"/>
    <mergeCell ref="AC272:AC274"/>
    <mergeCell ref="AC287:AC289"/>
    <mergeCell ref="AC302:AC304"/>
    <mergeCell ref="A251:B251"/>
    <mergeCell ref="A266:B266"/>
    <mergeCell ref="A281:B281"/>
    <mergeCell ref="A296:B296"/>
    <mergeCell ref="A311:B311"/>
    <mergeCell ref="A326:B326"/>
    <mergeCell ref="A341:B341"/>
    <mergeCell ref="A114:B114"/>
    <mergeCell ref="A129:B129"/>
    <mergeCell ref="A144:B144"/>
    <mergeCell ref="A159:B159"/>
    <mergeCell ref="A174:B174"/>
    <mergeCell ref="A189:B189"/>
    <mergeCell ref="A205:B205"/>
    <mergeCell ref="A236:B236"/>
    <mergeCell ref="A220:B220"/>
  </mergeCells>
  <pageMargins left="0.7" right="0.7" top="0.75" bottom="0.75" header="0.3" footer="0.3"/>
  <pageSetup paperSize="3" scale="70" fitToHeight="0" orientation="landscape" r:id="rId1"/>
  <rowBreaks count="5" manualBreakCount="5">
    <brk id="57" max="16383" man="1"/>
    <brk id="117" max="16383" man="1"/>
    <brk id="177" max="16383" man="1"/>
    <brk id="239" max="16383" man="1"/>
    <brk id="2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6"/>
  <sheetViews>
    <sheetView workbookViewId="0">
      <pane xSplit="1" topLeftCell="B1" activePane="topRight" state="frozen"/>
      <selection pane="topRight" activeCell="X14" sqref="X14"/>
    </sheetView>
  </sheetViews>
  <sheetFormatPr defaultColWidth="9.140625" defaultRowHeight="12.75"/>
  <cols>
    <col min="1" max="1" width="13.5703125" style="2" customWidth="1"/>
    <col min="2" max="2" width="9.140625" style="2" customWidth="1"/>
    <col min="3" max="19" width="9.140625" style="2"/>
    <col min="20" max="23" width="9.140625" style="2" customWidth="1"/>
    <col min="24" max="24" width="10.5703125" style="2" customWidth="1"/>
    <col min="25" max="27" width="9.140625" style="2" customWidth="1"/>
    <col min="28" max="28" width="9.85546875" style="2" customWidth="1"/>
    <col min="29" max="29" width="10.5703125" style="2" hidden="1" customWidth="1"/>
    <col min="30" max="30" width="9.140625" style="2"/>
    <col min="31" max="32" width="10.5703125" style="2" customWidth="1"/>
    <col min="33" max="16384" width="9.140625" style="2"/>
  </cols>
  <sheetData>
    <row r="1" spans="1:29" ht="27.95" customHeight="1" thickBot="1">
      <c r="A1" s="3224" t="s">
        <v>72</v>
      </c>
      <c r="B1" s="3224"/>
      <c r="C1" s="3224"/>
      <c r="D1" s="3224"/>
      <c r="E1" s="3224"/>
      <c r="F1" s="3224"/>
      <c r="G1" s="3224"/>
      <c r="H1" s="3224"/>
      <c r="I1" s="3224"/>
      <c r="J1" s="3224"/>
      <c r="K1" s="3224"/>
      <c r="L1" s="3224"/>
      <c r="M1" s="3224"/>
      <c r="N1" s="3224"/>
      <c r="O1" s="3224"/>
      <c r="P1" s="3224"/>
      <c r="Q1" s="3224"/>
      <c r="R1" s="3224"/>
      <c r="S1" s="3224"/>
      <c r="T1" s="3224"/>
      <c r="U1" s="3224"/>
      <c r="V1" s="3224"/>
      <c r="W1" s="3224"/>
      <c r="X1" s="3224"/>
      <c r="Y1" s="3224"/>
      <c r="Z1" s="3224"/>
      <c r="AA1" s="3224"/>
    </row>
    <row r="2" spans="1:29" ht="15" customHeight="1" thickBot="1">
      <c r="A2" s="3206" t="s">
        <v>1</v>
      </c>
      <c r="B2" s="3233" t="s">
        <v>2</v>
      </c>
      <c r="C2" s="3221" t="s">
        <v>55</v>
      </c>
      <c r="D2" s="3222"/>
      <c r="E2" s="3223"/>
      <c r="F2" s="3221" t="s">
        <v>56</v>
      </c>
      <c r="G2" s="3222"/>
      <c r="H2" s="3222"/>
      <c r="I2" s="3222"/>
      <c r="J2" s="3222"/>
      <c r="K2" s="3222"/>
      <c r="L2" s="3222"/>
      <c r="M2" s="3222"/>
      <c r="N2" s="3222"/>
      <c r="O2" s="3222"/>
      <c r="P2" s="3222"/>
      <c r="Q2" s="3222"/>
      <c r="R2" s="3222"/>
      <c r="S2" s="3222"/>
      <c r="T2" s="3222"/>
      <c r="U2" s="3222"/>
      <c r="V2" s="3222"/>
      <c r="W2" s="3223"/>
      <c r="X2" s="3238" t="s">
        <v>57</v>
      </c>
      <c r="Y2" s="3221" t="s">
        <v>58</v>
      </c>
      <c r="Z2" s="3222"/>
      <c r="AA2" s="3223"/>
      <c r="AC2" s="3238" t="s">
        <v>59</v>
      </c>
    </row>
    <row r="3" spans="1:29" ht="15" customHeight="1">
      <c r="A3" s="3207"/>
      <c r="B3" s="3234"/>
      <c r="C3" s="3216">
        <v>2015</v>
      </c>
      <c r="D3" s="3217"/>
      <c r="E3" s="3218"/>
      <c r="F3" s="3217">
        <v>2020</v>
      </c>
      <c r="G3" s="3217"/>
      <c r="H3" s="3218"/>
      <c r="I3" s="3216">
        <v>2025</v>
      </c>
      <c r="J3" s="3217"/>
      <c r="K3" s="3218"/>
      <c r="L3" s="3216">
        <v>2030</v>
      </c>
      <c r="M3" s="3217"/>
      <c r="N3" s="3218"/>
      <c r="O3" s="3216">
        <v>2035</v>
      </c>
      <c r="P3" s="3217"/>
      <c r="Q3" s="3218"/>
      <c r="R3" s="3216">
        <v>2040</v>
      </c>
      <c r="S3" s="3217"/>
      <c r="T3" s="3218"/>
      <c r="U3" s="3216">
        <v>2045</v>
      </c>
      <c r="V3" s="3217"/>
      <c r="W3" s="3218"/>
      <c r="X3" s="3239"/>
      <c r="Y3" s="3216">
        <v>2045</v>
      </c>
      <c r="Z3" s="3217"/>
      <c r="AA3" s="3218"/>
      <c r="AC3" s="3239"/>
    </row>
    <row r="4" spans="1:29" ht="15.75" customHeight="1" thickBot="1">
      <c r="A4" s="3208"/>
      <c r="B4" s="3235"/>
      <c r="C4" s="1655" t="s">
        <v>60</v>
      </c>
      <c r="D4" s="1657" t="s">
        <v>61</v>
      </c>
      <c r="E4" s="1658" t="s">
        <v>18</v>
      </c>
      <c r="F4" s="1669" t="s">
        <v>60</v>
      </c>
      <c r="G4" s="1657" t="s">
        <v>61</v>
      </c>
      <c r="H4" s="1658" t="s">
        <v>18</v>
      </c>
      <c r="I4" s="1655" t="s">
        <v>60</v>
      </c>
      <c r="J4" s="1017" t="s">
        <v>61</v>
      </c>
      <c r="K4" s="1659" t="s">
        <v>18</v>
      </c>
      <c r="L4" s="1655" t="s">
        <v>60</v>
      </c>
      <c r="M4" s="1657" t="s">
        <v>61</v>
      </c>
      <c r="N4" s="1658" t="s">
        <v>18</v>
      </c>
      <c r="O4" s="1669" t="s">
        <v>60</v>
      </c>
      <c r="P4" s="1017" t="s">
        <v>61</v>
      </c>
      <c r="Q4" s="1656" t="s">
        <v>18</v>
      </c>
      <c r="R4" s="1655" t="s">
        <v>60</v>
      </c>
      <c r="S4" s="1657" t="s">
        <v>61</v>
      </c>
      <c r="T4" s="1658" t="s">
        <v>18</v>
      </c>
      <c r="U4" s="1655" t="s">
        <v>60</v>
      </c>
      <c r="V4" s="1657" t="s">
        <v>61</v>
      </c>
      <c r="W4" s="1658" t="s">
        <v>18</v>
      </c>
      <c r="X4" s="3240"/>
      <c r="Y4" s="1670" t="s">
        <v>60</v>
      </c>
      <c r="Z4" s="1671" t="s">
        <v>61</v>
      </c>
      <c r="AA4" s="1664" t="s">
        <v>18</v>
      </c>
      <c r="AC4" s="3240"/>
    </row>
    <row r="5" spans="1:29">
      <c r="A5" s="443" t="s">
        <v>14</v>
      </c>
      <c r="B5" s="121" t="s">
        <v>15</v>
      </c>
      <c r="C5" s="1300">
        <f>'Table 4'!J5+'Table 6'!K5+'Table 7'!C5+'Table 8'!C5+'Table 9'!C5+'Table 10'!C5</f>
        <v>25.79</v>
      </c>
      <c r="D5" s="112">
        <f>'Table 4'!K5+'Table 6'!L5+'Table 7'!D5+'Table 8'!D5+'Table 9'!D5+'Table 10'!D5</f>
        <v>0.08</v>
      </c>
      <c r="E5" s="1667">
        <f>'Table 4'!L5+'Table 6'!M5+'Table 7'!E5+'Table 8'!E5+'Table 9'!E5+'Table 10'!E5</f>
        <v>25.87</v>
      </c>
      <c r="F5" s="1300">
        <f>'Table 4'!M5+'Table 6'!N5+'Table 7'!F5+'Table 8'!F5+'Table 9'!F5+'Table 10'!F5</f>
        <v>26.7</v>
      </c>
      <c r="G5" s="112">
        <f>'Table 4'!N5+'Table 6'!O5+'Table 7'!G5+'Table 8'!G5+'Table 9'!G5+'Table 10'!G5</f>
        <v>0.08</v>
      </c>
      <c r="H5" s="1667">
        <f>'Table 4'!O5+'Table 6'!P5+'Table 7'!H5+'Table 8'!H5+'Table 9'!H5+'Table 10'!H5</f>
        <v>26.78</v>
      </c>
      <c r="I5" s="1300">
        <f>'Table 4'!Q5+'Table 6'!Q5+'Table 7'!I5+'Table 8'!I5+'Table 9'!I5+'Table 10'!I5</f>
        <v>27.28</v>
      </c>
      <c r="J5" s="112">
        <f>'Table 4'!R5+'Table 6'!R5+'Table 7'!J5+'Table 8'!J5+'Table 9'!J5+'Table 10'!J5</f>
        <v>0.08</v>
      </c>
      <c r="K5" s="1667">
        <f>'Table 4'!S5+'Table 6'!S5+'Table 7'!K5+'Table 8'!K5+'Table 9'!K5+'Table 10'!K5</f>
        <v>27.36</v>
      </c>
      <c r="L5" s="1300">
        <f>'Table 4'!U5+'Table 6'!T5+'Table 7'!L5+'Table 8'!L5+'Table 9'!L5+'Table 10'!L5</f>
        <v>27.71</v>
      </c>
      <c r="M5" s="112">
        <f>'Table 4'!V5+'Table 6'!U5+'Table 7'!M5+'Table 8'!M5+'Table 9'!M5+'Table 10'!M5</f>
        <v>0.08</v>
      </c>
      <c r="N5" s="1667">
        <f>'Table 4'!W5+'Table 6'!V5+'Table 7'!N5+'Table 8'!N5+'Table 9'!N5+'Table 10'!N5</f>
        <v>27.79</v>
      </c>
      <c r="O5" s="1300">
        <f>'Table 4'!Y5+'Table 6'!W5+'Table 7'!O5+'Table 8'!O5+'Table 9'!O5+'Table 10'!O5</f>
        <v>27.87</v>
      </c>
      <c r="P5" s="112">
        <f>'Table 4'!Z5+'Table 6'!X5+'Table 7'!P5+'Table 8'!P5+'Table 9'!P5+'Table 10'!P5</f>
        <v>0.08</v>
      </c>
      <c r="Q5" s="1667">
        <f>'Table 4'!AA5+'Table 6'!Y5+'Table 7'!Q5+'Table 8'!Q5+'Table 9'!Q5+'Table 10'!Q5</f>
        <v>27.95</v>
      </c>
      <c r="R5" s="1300">
        <f>'Table 4'!AC5+'Table 6'!Z5+'Table 7'!R5+'Table 8'!R5+'Table 9'!R5+'Table 10'!R5</f>
        <v>28.16</v>
      </c>
      <c r="S5" s="112">
        <f>'Table 4'!AD5+'Table 6'!AA5+'Table 7'!S5+'Table 8'!S5+'Table 9'!S5+'Table 10'!S5</f>
        <v>0.08</v>
      </c>
      <c r="T5" s="1668">
        <f>'Table 4'!AE5+'Table 6'!AB5+'Table 7'!T5+'Table 8'!T5+'Table 9'!T5+'Table 10'!T5</f>
        <v>28.24</v>
      </c>
      <c r="U5" s="1300">
        <f>'Table 4'!AG5+'Table 6'!AC5+'Table 7'!U5+'Table 8'!U5+'Table 9'!U5+'Table 10'!U5</f>
        <v>28.34</v>
      </c>
      <c r="V5" s="112">
        <f>'Table 4'!AH5+'Table 6'!AD5+'Table 7'!V5+'Table 8'!V5+'Table 9'!V5+'Table 10'!V5</f>
        <v>0.08</v>
      </c>
      <c r="W5" s="1668">
        <f>'Table 4'!AI5+'Table 6'!AE5+'Table 7'!W5+'Table 8'!W5+'Table 9'!W5+'Table 10'!W5</f>
        <v>28.42</v>
      </c>
      <c r="X5" s="1374">
        <f>(W5-E5)/E5</f>
        <v>0.1</v>
      </c>
      <c r="Y5" s="444">
        <f>'Table 4'!AL5+'Table 6'!AG5+'Table 7'!AG5+'Table 8'!Y5+'Table 9'!R5+'Table 10'!R5</f>
        <v>31.77</v>
      </c>
      <c r="Z5" s="585">
        <f>'Table 4'!AM5+'Table 6'!AH5+'Table 7'!AH5+'Table 8'!Z5+'Table 9'!S5+'Table 10'!S5</f>
        <v>0.14000000000000001</v>
      </c>
      <c r="AA5" s="450">
        <f>'Table 4'!AN5+'Table 6'!AI5+'Table 7'!AI5+'Table 8'!AA5+'Table 9'!T5+'Table 10'!T5</f>
        <v>31.91</v>
      </c>
      <c r="AC5" s="1632">
        <f>W5-E5</f>
        <v>2.5499999999999998</v>
      </c>
    </row>
    <row r="6" spans="1:29" ht="13.5" thickBot="1">
      <c r="A6" s="579" t="s">
        <v>14</v>
      </c>
      <c r="B6" s="1365" t="s">
        <v>17</v>
      </c>
      <c r="C6" s="1366">
        <f>'Table 4'!J6+'Table 6'!K6+'Table 7'!C6+'Table 8'!C6+'Table 9'!C6+'Table 10'!C6</f>
        <v>19.579999999999998</v>
      </c>
      <c r="D6" s="1213">
        <f>'Table 4'!K6+'Table 6'!L6+'Table 7'!D6+'Table 8'!D6+'Table 9'!D6+'Table 10'!D6</f>
        <v>0</v>
      </c>
      <c r="E6" s="1367">
        <f>'Table 4'!L6+'Table 6'!M6+'Table 7'!E6+'Table 8'!E6+'Table 9'!E6+'Table 10'!E6</f>
        <v>19.579999999999998</v>
      </c>
      <c r="F6" s="1366">
        <f>'Table 4'!M6+'Table 6'!N6+'Table 7'!F6+'Table 8'!F6+'Table 9'!F6+'Table 10'!F6</f>
        <v>19.45</v>
      </c>
      <c r="G6" s="1213">
        <f>'Table 4'!N6+'Table 6'!O6+'Table 7'!G6+'Table 8'!G6+'Table 9'!G6+'Table 10'!G6</f>
        <v>0</v>
      </c>
      <c r="H6" s="1367">
        <f>'Table 4'!O6+'Table 6'!P6+'Table 7'!H6+'Table 8'!H6+'Table 9'!H6+'Table 10'!H6</f>
        <v>19.45</v>
      </c>
      <c r="I6" s="1366">
        <f>'Table 4'!Q6+'Table 6'!Q6+'Table 7'!I6+'Table 8'!I6+'Table 9'!I6+'Table 10'!I6</f>
        <v>20.11</v>
      </c>
      <c r="J6" s="1213">
        <f>'Table 4'!R6+'Table 6'!R6+'Table 7'!J6+'Table 8'!J6+'Table 9'!J6+'Table 10'!J6</f>
        <v>0</v>
      </c>
      <c r="K6" s="1367">
        <f>'Table 4'!S6+'Table 6'!S6+'Table 7'!K6+'Table 8'!K6+'Table 9'!K6+'Table 10'!K6</f>
        <v>20.11</v>
      </c>
      <c r="L6" s="1366">
        <f>'Table 4'!U6+'Table 6'!T6+'Table 7'!L6+'Table 8'!L6+'Table 9'!L6+'Table 10'!L6</f>
        <v>20.8</v>
      </c>
      <c r="M6" s="1213">
        <f>'Table 4'!V6+'Table 6'!U6+'Table 7'!M6+'Table 8'!M6+'Table 9'!M6+'Table 10'!M6</f>
        <v>0</v>
      </c>
      <c r="N6" s="1367">
        <f>'Table 4'!W6+'Table 6'!V6+'Table 7'!N6+'Table 8'!N6+'Table 9'!N6+'Table 10'!N6</f>
        <v>20.8</v>
      </c>
      <c r="O6" s="1366">
        <f>'Table 4'!Y6+'Table 6'!W6+'Table 7'!O6+'Table 8'!O6+'Table 9'!O6+'Table 10'!O6</f>
        <v>21.88</v>
      </c>
      <c r="P6" s="1213">
        <f>'Table 4'!Z6+'Table 6'!X6+'Table 7'!P6+'Table 8'!P6+'Table 9'!P6+'Table 10'!P6</f>
        <v>0</v>
      </c>
      <c r="Q6" s="1367">
        <f>'Table 4'!AA6+'Table 6'!Y6+'Table 7'!Q6+'Table 8'!Q6+'Table 9'!Q6+'Table 10'!Q6</f>
        <v>21.88</v>
      </c>
      <c r="R6" s="1366">
        <f>'Table 4'!AC6+'Table 6'!Z6+'Table 7'!R6+'Table 8'!R6+'Table 9'!R6+'Table 10'!R6</f>
        <v>22.6</v>
      </c>
      <c r="S6" s="1213">
        <f>'Table 4'!AD6+'Table 6'!AA6+'Table 7'!S6+'Table 8'!S6+'Table 9'!S6+'Table 10'!S6</f>
        <v>0</v>
      </c>
      <c r="T6" s="1368">
        <f>'Table 4'!AE6+'Table 6'!AB6+'Table 7'!T6+'Table 8'!T6+'Table 9'!T6+'Table 10'!T6</f>
        <v>22.6</v>
      </c>
      <c r="U6" s="1366">
        <f>'Table 4'!AG6+'Table 6'!AC6+'Table 7'!U6+'Table 8'!U6+'Table 9'!U6+'Table 10'!U6</f>
        <v>23.29</v>
      </c>
      <c r="V6" s="1213">
        <f>'Table 4'!AH6+'Table 6'!AD6+'Table 7'!V6+'Table 8'!V6+'Table 9'!V6+'Table 10'!V6</f>
        <v>0</v>
      </c>
      <c r="W6" s="1368">
        <f>'Table 4'!AI6+'Table 6'!AE6+'Table 7'!W6+'Table 8'!W6+'Table 9'!W6+'Table 10'!W6</f>
        <v>23.29</v>
      </c>
      <c r="X6" s="1369">
        <f t="shared" ref="X6:X27" si="0">(W6-E6)/E6</f>
        <v>0.19</v>
      </c>
      <c r="Y6" s="556">
        <f>'Table 4'!AL6+'Table 6'!AG6+'Table 7'!AG6+'Table 8'!Y6+'Table 9'!R6+'Table 10'!R6</f>
        <v>27.1</v>
      </c>
      <c r="Z6" s="557">
        <f>'Table 4'!AM6+'Table 6'!AH6+'Table 7'!AH6+'Table 8'!Z6+'Table 9'!S6+'Table 10'!S6</f>
        <v>0</v>
      </c>
      <c r="AA6" s="558">
        <f>'Table 4'!AN6+'Table 6'!AI6+'Table 7'!AI6+'Table 8'!AA6+'Table 9'!T6+'Table 10'!T6</f>
        <v>27.1</v>
      </c>
      <c r="AC6" s="1595">
        <f t="shared" ref="AC6:AC27" si="1">W6-E6</f>
        <v>3.71</v>
      </c>
    </row>
    <row r="7" spans="1:29" s="67" customFormat="1" ht="14.25" thickTop="1" thickBot="1">
      <c r="A7" s="476" t="s">
        <v>14</v>
      </c>
      <c r="B7" s="1313" t="s">
        <v>18</v>
      </c>
      <c r="C7" s="1226">
        <f>C5+C6</f>
        <v>45.37</v>
      </c>
      <c r="D7" s="481">
        <f t="shared" ref="D7:T7" si="2">D5+D6</f>
        <v>0.08</v>
      </c>
      <c r="E7" s="447">
        <f t="shared" si="2"/>
        <v>45.45</v>
      </c>
      <c r="F7" s="1226">
        <f t="shared" si="2"/>
        <v>46.15</v>
      </c>
      <c r="G7" s="481">
        <f t="shared" si="2"/>
        <v>0.08</v>
      </c>
      <c r="H7" s="447">
        <f t="shared" si="2"/>
        <v>46.23</v>
      </c>
      <c r="I7" s="1226">
        <f t="shared" si="2"/>
        <v>47.39</v>
      </c>
      <c r="J7" s="481">
        <f t="shared" si="2"/>
        <v>0.08</v>
      </c>
      <c r="K7" s="447">
        <f t="shared" si="2"/>
        <v>47.47</v>
      </c>
      <c r="L7" s="1226">
        <f t="shared" si="2"/>
        <v>48.51</v>
      </c>
      <c r="M7" s="481">
        <f t="shared" si="2"/>
        <v>0.08</v>
      </c>
      <c r="N7" s="447">
        <f t="shared" si="2"/>
        <v>48.59</v>
      </c>
      <c r="O7" s="1226">
        <f t="shared" si="2"/>
        <v>49.75</v>
      </c>
      <c r="P7" s="481">
        <f t="shared" si="2"/>
        <v>0.08</v>
      </c>
      <c r="Q7" s="447">
        <f t="shared" si="2"/>
        <v>49.83</v>
      </c>
      <c r="R7" s="1226">
        <f t="shared" si="2"/>
        <v>50.76</v>
      </c>
      <c r="S7" s="481">
        <f t="shared" si="2"/>
        <v>0.08</v>
      </c>
      <c r="T7" s="477">
        <f t="shared" si="2"/>
        <v>50.84</v>
      </c>
      <c r="U7" s="1226">
        <f t="shared" ref="U7:W7" si="3">U5+U6</f>
        <v>51.63</v>
      </c>
      <c r="V7" s="481">
        <f t="shared" si="3"/>
        <v>0.08</v>
      </c>
      <c r="W7" s="477">
        <f t="shared" si="3"/>
        <v>51.71</v>
      </c>
      <c r="X7" s="1370">
        <f t="shared" si="0"/>
        <v>0.14000000000000001</v>
      </c>
      <c r="Y7" s="482">
        <f>Y5+Y6</f>
        <v>58.87</v>
      </c>
      <c r="Z7" s="554">
        <f>Z5+Z6</f>
        <v>0.14000000000000001</v>
      </c>
      <c r="AA7" s="486">
        <f>AA5+AA6</f>
        <v>59.01</v>
      </c>
      <c r="AC7" s="1596">
        <f t="shared" si="1"/>
        <v>6.26</v>
      </c>
    </row>
    <row r="8" spans="1:29">
      <c r="A8" s="475" t="s">
        <v>19</v>
      </c>
      <c r="B8" s="109" t="s">
        <v>15</v>
      </c>
      <c r="C8" s="1200">
        <f>'Table 4'!J8+'Table 6'!K8+'Table 7'!C8+'Table 8'!C8+'Table 9'!C8+'Table 10'!C8</f>
        <v>3.51</v>
      </c>
      <c r="D8" s="463">
        <f>'Table 4'!K8+'Table 6'!L8+'Table 7'!D8+'Table 8'!D8+'Table 9'!D8+'Table 10'!D8</f>
        <v>0.47</v>
      </c>
      <c r="E8" s="517">
        <f>'Table 4'!L8+'Table 6'!M8+'Table 7'!E8+'Table 8'!E8+'Table 9'!E8+'Table 10'!E8</f>
        <v>3.98</v>
      </c>
      <c r="F8" s="1200">
        <f>'Table 4'!M8+'Table 6'!N8+'Table 7'!F8+'Table 8'!F8+'Table 9'!F8+'Table 10'!F8</f>
        <v>3.81</v>
      </c>
      <c r="G8" s="463">
        <f>'Table 4'!N8+'Table 6'!O8+'Table 7'!G8+'Table 8'!G8+'Table 9'!G8+'Table 10'!G8</f>
        <v>0.43</v>
      </c>
      <c r="H8" s="517">
        <f>'Table 4'!O8+'Table 6'!P8+'Table 7'!H8+'Table 8'!H8+'Table 9'!H8+'Table 10'!H8</f>
        <v>4.24</v>
      </c>
      <c r="I8" s="1200">
        <f>'Table 4'!Q8+'Table 6'!Q8+'Table 7'!I8+'Table 8'!I8+'Table 9'!I8+'Table 10'!I8</f>
        <v>3.99</v>
      </c>
      <c r="J8" s="463">
        <f>'Table 4'!R8+'Table 6'!R8+'Table 7'!J8+'Table 8'!J8+'Table 9'!J8+'Table 10'!J8</f>
        <v>0.45</v>
      </c>
      <c r="K8" s="517">
        <f>'Table 4'!S8+'Table 6'!S8+'Table 7'!K8+'Table 8'!K8+'Table 9'!K8+'Table 10'!K8</f>
        <v>4.4400000000000004</v>
      </c>
      <c r="L8" s="1200">
        <f>'Table 4'!U8+'Table 6'!T8+'Table 7'!L8+'Table 8'!L8+'Table 9'!L8+'Table 10'!L8</f>
        <v>4.16</v>
      </c>
      <c r="M8" s="463">
        <f>'Table 4'!V8+'Table 6'!U8+'Table 7'!M8+'Table 8'!M8+'Table 9'!M8+'Table 10'!M8</f>
        <v>0.46</v>
      </c>
      <c r="N8" s="517">
        <f>'Table 4'!W8+'Table 6'!V8+'Table 7'!N8+'Table 8'!N8+'Table 9'!N8+'Table 10'!N8</f>
        <v>4.62</v>
      </c>
      <c r="O8" s="1200">
        <f>'Table 4'!Y8+'Table 6'!W8+'Table 7'!O8+'Table 8'!O8+'Table 9'!O8+'Table 10'!O8</f>
        <v>4.2699999999999996</v>
      </c>
      <c r="P8" s="463">
        <f>'Table 4'!Z8+'Table 6'!X8+'Table 7'!P8+'Table 8'!P8+'Table 9'!P8+'Table 10'!P8</f>
        <v>0.47</v>
      </c>
      <c r="Q8" s="517">
        <f>'Table 4'!AA8+'Table 6'!Y8+'Table 7'!Q8+'Table 8'!Q8+'Table 9'!Q8+'Table 10'!Q8</f>
        <v>4.74</v>
      </c>
      <c r="R8" s="1200">
        <f>'Table 4'!AC8+'Table 6'!Z8+'Table 7'!R8+'Table 8'!R8+'Table 9'!R8+'Table 10'!R8</f>
        <v>4.37</v>
      </c>
      <c r="S8" s="463">
        <f>'Table 4'!AD8+'Table 6'!AA8+'Table 7'!S8+'Table 8'!S8+'Table 9'!S8+'Table 10'!S8</f>
        <v>0.49</v>
      </c>
      <c r="T8" s="1371">
        <f>'Table 4'!AE8+'Table 6'!AB8+'Table 7'!T8+'Table 8'!T8+'Table 9'!T8+'Table 10'!T8</f>
        <v>4.8600000000000003</v>
      </c>
      <c r="U8" s="1200">
        <f>'Table 4'!AG8+'Table 6'!AC8+'Table 7'!U8+'Table 8'!U8+'Table 9'!U8+'Table 10'!U8</f>
        <v>4.47</v>
      </c>
      <c r="V8" s="463">
        <f>'Table 4'!AH8+'Table 6'!AD8+'Table 7'!V8+'Table 8'!V8+'Table 9'!V8+'Table 10'!V8</f>
        <v>0.49</v>
      </c>
      <c r="W8" s="1371">
        <f>'Table 4'!AI8+'Table 6'!AE8+'Table 7'!W8+'Table 8'!W8+'Table 9'!W8+'Table 10'!W8</f>
        <v>4.96</v>
      </c>
      <c r="X8" s="1372">
        <f t="shared" si="0"/>
        <v>0.25</v>
      </c>
      <c r="Y8" s="464">
        <f>'Table 4'!AL8+'Table 6'!AG8+'Table 7'!AG8+'Table 8'!Y8+'Table 9'!R8+'Table 10'!R8</f>
        <v>4.74</v>
      </c>
      <c r="Z8" s="559">
        <f>'Table 4'!AM8+'Table 6'!AH8+'Table 7'!AH8+'Table 8'!Z8+'Table 9'!S8+'Table 10'!S8</f>
        <v>0.52</v>
      </c>
      <c r="AA8" s="518">
        <f>'Table 4'!AN8+'Table 6'!AI8+'Table 7'!AI8+'Table 8'!AA8+'Table 9'!T8+'Table 10'!T8</f>
        <v>5.26</v>
      </c>
      <c r="AC8" s="1597">
        <f t="shared" si="1"/>
        <v>0.98</v>
      </c>
    </row>
    <row r="9" spans="1:29" ht="13.5" thickBot="1">
      <c r="A9" s="579" t="s">
        <v>19</v>
      </c>
      <c r="B9" s="1349" t="s">
        <v>17</v>
      </c>
      <c r="C9" s="1306">
        <f>'Table 4'!J9+'Table 6'!K9+'Table 7'!C9+'Table 8'!C9+'Table 9'!C9+'Table 10'!C9</f>
        <v>0.26</v>
      </c>
      <c r="D9" s="1057">
        <f>'Table 4'!K9+'Table 6'!L9+'Table 7'!D9+'Table 8'!D9+'Table 9'!D9+'Table 10'!D9</f>
        <v>0</v>
      </c>
      <c r="E9" s="1058">
        <f>'Table 4'!L9+'Table 6'!M9+'Table 7'!E9+'Table 8'!E9+'Table 9'!E9+'Table 10'!E9</f>
        <v>0.26</v>
      </c>
      <c r="F9" s="1306">
        <f>'Table 4'!M9+'Table 6'!N9+'Table 7'!F9+'Table 8'!F9+'Table 9'!F9+'Table 10'!F9</f>
        <v>0.28000000000000003</v>
      </c>
      <c r="G9" s="1057">
        <f>'Table 4'!N9+'Table 6'!O9+'Table 7'!G9+'Table 8'!G9+'Table 9'!G9+'Table 10'!G9</f>
        <v>0</v>
      </c>
      <c r="H9" s="1058">
        <f>'Table 4'!O9+'Table 6'!P9+'Table 7'!H9+'Table 8'!H9+'Table 9'!H9+'Table 10'!H9</f>
        <v>0.28000000000000003</v>
      </c>
      <c r="I9" s="1306">
        <f>'Table 4'!Q9+'Table 6'!Q9+'Table 7'!I9+'Table 8'!I9+'Table 9'!I9+'Table 10'!I9</f>
        <v>0.28999999999999998</v>
      </c>
      <c r="J9" s="1057">
        <f>'Table 4'!R9+'Table 6'!R9+'Table 7'!J9+'Table 8'!J9+'Table 9'!J9+'Table 10'!J9</f>
        <v>0</v>
      </c>
      <c r="K9" s="1058">
        <f>'Table 4'!S9+'Table 6'!S9+'Table 7'!K9+'Table 8'!K9+'Table 9'!K9+'Table 10'!K9</f>
        <v>0.28999999999999998</v>
      </c>
      <c r="L9" s="1306">
        <f>'Table 4'!U9+'Table 6'!T9+'Table 7'!L9+'Table 8'!L9+'Table 9'!L9+'Table 10'!L9</f>
        <v>0.3</v>
      </c>
      <c r="M9" s="1057">
        <f>'Table 4'!V9+'Table 6'!U9+'Table 7'!M9+'Table 8'!M9+'Table 9'!M9+'Table 10'!M9</f>
        <v>0</v>
      </c>
      <c r="N9" s="1058">
        <f>'Table 4'!W9+'Table 6'!V9+'Table 7'!N9+'Table 8'!N9+'Table 9'!N9+'Table 10'!N9</f>
        <v>0.3</v>
      </c>
      <c r="O9" s="1306">
        <f>'Table 4'!Y9+'Table 6'!W9+'Table 7'!O9+'Table 8'!O9+'Table 9'!O9+'Table 10'!O9</f>
        <v>0.31</v>
      </c>
      <c r="P9" s="1057">
        <f>'Table 4'!Z9+'Table 6'!X9+'Table 7'!P9+'Table 8'!P9+'Table 9'!P9+'Table 10'!P9</f>
        <v>0</v>
      </c>
      <c r="Q9" s="1058">
        <f>'Table 4'!AA9+'Table 6'!Y9+'Table 7'!Q9+'Table 8'!Q9+'Table 9'!Q9+'Table 10'!Q9</f>
        <v>0.31</v>
      </c>
      <c r="R9" s="1306">
        <f>'Table 4'!AC9+'Table 6'!Z9+'Table 7'!R9+'Table 8'!R9+'Table 9'!R9+'Table 10'!R9</f>
        <v>0.33</v>
      </c>
      <c r="S9" s="1057">
        <f>'Table 4'!AD9+'Table 6'!AA9+'Table 7'!S9+'Table 8'!S9+'Table 9'!S9+'Table 10'!S9</f>
        <v>0</v>
      </c>
      <c r="T9" s="1385">
        <f>'Table 4'!AE9+'Table 6'!AB9+'Table 7'!T9+'Table 8'!T9+'Table 9'!T9+'Table 10'!T9</f>
        <v>0.33</v>
      </c>
      <c r="U9" s="1306">
        <f>'Table 4'!AG9+'Table 6'!AC9+'Table 7'!U9+'Table 8'!U9+'Table 9'!U9+'Table 10'!U9</f>
        <v>0.34</v>
      </c>
      <c r="V9" s="1057">
        <f>'Table 4'!AH9+'Table 6'!AD9+'Table 7'!V9+'Table 8'!V9+'Table 9'!V9+'Table 10'!V9</f>
        <v>0</v>
      </c>
      <c r="W9" s="1385">
        <f>'Table 4'!AI9+'Table 6'!AE9+'Table 7'!W9+'Table 8'!W9+'Table 9'!W9+'Table 10'!W9</f>
        <v>0.34</v>
      </c>
      <c r="X9" s="1384">
        <f t="shared" si="0"/>
        <v>0.31</v>
      </c>
      <c r="Y9" s="467">
        <f>'Table 4'!AL9+'Table 6'!AG9+'Table 7'!AG9+'Table 8'!Y9+'Table 9'!R9+'Table 10'!R9</f>
        <v>0.33</v>
      </c>
      <c r="Z9" s="562">
        <f>'Table 4'!AM9+'Table 6'!AH9+'Table 7'!AH9+'Table 8'!Z9+'Table 9'!S9+'Table 10'!S9</f>
        <v>0</v>
      </c>
      <c r="AA9" s="943">
        <f>'Table 4'!AN9+'Table 6'!AI9+'Table 7'!AI9+'Table 8'!AA9+'Table 9'!T9+'Table 10'!T9</f>
        <v>0.33</v>
      </c>
      <c r="AC9" s="1741">
        <f t="shared" si="1"/>
        <v>0.08</v>
      </c>
    </row>
    <row r="10" spans="1:29" s="67" customFormat="1" ht="14.25" thickTop="1" thickBot="1">
      <c r="A10" s="279" t="s">
        <v>19</v>
      </c>
      <c r="B10" s="120" t="s">
        <v>18</v>
      </c>
      <c r="C10" s="1228">
        <f>SUM(C8:C9)</f>
        <v>3.77</v>
      </c>
      <c r="D10" s="128">
        <f t="shared" ref="D10:T10" si="4">SUM(D8:D9)</f>
        <v>0.47</v>
      </c>
      <c r="E10" s="469">
        <f t="shared" si="4"/>
        <v>4.24</v>
      </c>
      <c r="F10" s="1228">
        <f t="shared" si="4"/>
        <v>4.09</v>
      </c>
      <c r="G10" s="128">
        <f t="shared" si="4"/>
        <v>0.43</v>
      </c>
      <c r="H10" s="469">
        <f t="shared" si="4"/>
        <v>4.5199999999999996</v>
      </c>
      <c r="I10" s="1228">
        <f t="shared" si="4"/>
        <v>4.28</v>
      </c>
      <c r="J10" s="128">
        <f t="shared" si="4"/>
        <v>0.45</v>
      </c>
      <c r="K10" s="469">
        <f t="shared" si="4"/>
        <v>4.7300000000000004</v>
      </c>
      <c r="L10" s="1228">
        <f t="shared" si="4"/>
        <v>4.46</v>
      </c>
      <c r="M10" s="128">
        <f t="shared" si="4"/>
        <v>0.46</v>
      </c>
      <c r="N10" s="469">
        <f t="shared" si="4"/>
        <v>4.92</v>
      </c>
      <c r="O10" s="1228">
        <f t="shared" si="4"/>
        <v>4.58</v>
      </c>
      <c r="P10" s="128">
        <f t="shared" si="4"/>
        <v>0.47</v>
      </c>
      <c r="Q10" s="469">
        <f t="shared" si="4"/>
        <v>5.05</v>
      </c>
      <c r="R10" s="1228">
        <f t="shared" si="4"/>
        <v>4.7</v>
      </c>
      <c r="S10" s="128">
        <f t="shared" si="4"/>
        <v>0.49</v>
      </c>
      <c r="T10" s="119">
        <f t="shared" si="4"/>
        <v>5.19</v>
      </c>
      <c r="U10" s="1228">
        <f t="shared" ref="U10:W10" si="5">SUM(U8:U9)</f>
        <v>4.8099999999999996</v>
      </c>
      <c r="V10" s="128">
        <f t="shared" si="5"/>
        <v>0.49</v>
      </c>
      <c r="W10" s="119">
        <f t="shared" si="5"/>
        <v>5.3</v>
      </c>
      <c r="X10" s="1373">
        <f t="shared" si="0"/>
        <v>0.25</v>
      </c>
      <c r="Y10" s="470">
        <f>SUM(Y8:Y9)</f>
        <v>5.07</v>
      </c>
      <c r="Z10" s="555">
        <f>SUM(Z8:Z9)</f>
        <v>0.52</v>
      </c>
      <c r="AA10" s="474">
        <f>SUM(AA8:AA9)</f>
        <v>5.59</v>
      </c>
      <c r="AC10" s="1598">
        <f t="shared" si="1"/>
        <v>1.06</v>
      </c>
    </row>
    <row r="11" spans="1:29">
      <c r="A11" s="475" t="s">
        <v>20</v>
      </c>
      <c r="B11" s="109" t="s">
        <v>15</v>
      </c>
      <c r="C11" s="1200">
        <f>'Table 4'!J11+'Table 6'!K11+'Table 7'!C11+'Table 8'!C11+'Table 9'!C11+'Table 10'!C11</f>
        <v>0.32</v>
      </c>
      <c r="D11" s="463">
        <f>'Table 4'!K11+'Table 6'!L11+'Table 7'!D11+'Table 8'!D11+'Table 9'!D11+'Table 10'!D11</f>
        <v>0</v>
      </c>
      <c r="E11" s="517">
        <f>'Table 4'!L11+'Table 6'!M11+'Table 7'!E11+'Table 8'!E11+'Table 9'!E11+'Table 10'!E11</f>
        <v>0.32</v>
      </c>
      <c r="F11" s="1200">
        <f>'Table 4'!M11+'Table 6'!N11+'Table 7'!F11+'Table 8'!F11+'Table 9'!F11+'Table 10'!F11</f>
        <v>0.22</v>
      </c>
      <c r="G11" s="463">
        <f>'Table 4'!N11+'Table 6'!O11+'Table 7'!G11+'Table 8'!G11+'Table 9'!G11+'Table 10'!G11</f>
        <v>0</v>
      </c>
      <c r="H11" s="517">
        <f>'Table 4'!O11+'Table 6'!P11+'Table 7'!H11+'Table 8'!H11+'Table 9'!H11+'Table 10'!H11</f>
        <v>0.22</v>
      </c>
      <c r="I11" s="1200">
        <f>'Table 4'!Q11+'Table 6'!Q11+'Table 7'!I11+'Table 8'!I11+'Table 9'!I11+'Table 10'!I11</f>
        <v>0.26</v>
      </c>
      <c r="J11" s="463">
        <f>'Table 4'!R11+'Table 6'!R11+'Table 7'!J11+'Table 8'!J11+'Table 9'!J11+'Table 10'!J11</f>
        <v>0</v>
      </c>
      <c r="K11" s="517">
        <f>'Table 4'!S11+'Table 6'!S11+'Table 7'!K11+'Table 8'!K11+'Table 9'!K11+'Table 10'!K11</f>
        <v>0.26</v>
      </c>
      <c r="L11" s="1200">
        <f>'Table 4'!U11+'Table 6'!T11+'Table 7'!L11+'Table 8'!L11+'Table 9'!L11+'Table 10'!L11</f>
        <v>0.28000000000000003</v>
      </c>
      <c r="M11" s="463">
        <f>'Table 4'!V11+'Table 6'!U11+'Table 7'!M11+'Table 8'!M11+'Table 9'!M11+'Table 10'!M11</f>
        <v>0</v>
      </c>
      <c r="N11" s="517">
        <f>'Table 4'!W11+'Table 6'!V11+'Table 7'!N11+'Table 8'!N11+'Table 9'!N11+'Table 10'!N11</f>
        <v>0.28000000000000003</v>
      </c>
      <c r="O11" s="1200">
        <f>'Table 4'!Y11+'Table 6'!W11+'Table 7'!O11+'Table 8'!O11+'Table 9'!O11+'Table 10'!O11</f>
        <v>0.28000000000000003</v>
      </c>
      <c r="P11" s="463">
        <f>'Table 4'!Z11+'Table 6'!X11+'Table 7'!P11+'Table 8'!P11+'Table 9'!P11+'Table 10'!P11</f>
        <v>0</v>
      </c>
      <c r="Q11" s="517">
        <f>'Table 4'!AA11+'Table 6'!Y11+'Table 7'!Q11+'Table 8'!Q11+'Table 9'!Q11+'Table 10'!Q11</f>
        <v>0.28000000000000003</v>
      </c>
      <c r="R11" s="1200">
        <f>'Table 4'!AC11+'Table 6'!Z11+'Table 7'!R11+'Table 8'!R11+'Table 9'!R11+'Table 10'!R11</f>
        <v>0.28999999999999998</v>
      </c>
      <c r="S11" s="463">
        <f>'Table 4'!AD11+'Table 6'!AA11+'Table 7'!S11+'Table 8'!S11+'Table 9'!S11+'Table 10'!S11</f>
        <v>0</v>
      </c>
      <c r="T11" s="1371">
        <f>'Table 4'!AE11+'Table 6'!AB11+'Table 7'!T11+'Table 8'!T11+'Table 9'!T11+'Table 10'!T11</f>
        <v>0.28999999999999998</v>
      </c>
      <c r="U11" s="1200">
        <f>'Table 4'!AG11+'Table 6'!AC11+'Table 7'!U11+'Table 8'!U11+'Table 9'!U11+'Table 10'!U11</f>
        <v>0.31</v>
      </c>
      <c r="V11" s="463">
        <f>'Table 4'!AH11+'Table 6'!AD11+'Table 7'!V11+'Table 8'!V11+'Table 9'!V11+'Table 10'!V11</f>
        <v>0</v>
      </c>
      <c r="W11" s="1371">
        <f>'Table 4'!AI11+'Table 6'!AE11+'Table 7'!W11+'Table 8'!W11+'Table 9'!W11+'Table 10'!W11</f>
        <v>0.31</v>
      </c>
      <c r="X11" s="1372">
        <f t="shared" si="0"/>
        <v>-0.03</v>
      </c>
      <c r="Y11" s="464">
        <f>'Table 4'!AL11+'Table 6'!AG11+'Table 7'!AG11+'Table 8'!Y11+'Table 9'!R11+'Table 10'!R11</f>
        <v>0.33</v>
      </c>
      <c r="Z11" s="559">
        <f>'Table 4'!AM11+'Table 6'!AH11+'Table 7'!AH11+'Table 8'!Z11+'Table 9'!S11+'Table 10'!S11</f>
        <v>0</v>
      </c>
      <c r="AA11" s="518">
        <f>'Table 4'!AN11+'Table 6'!AI11+'Table 7'!AI11+'Table 8'!AA11+'Table 9'!T11+'Table 10'!T11</f>
        <v>0.33</v>
      </c>
      <c r="AC11" s="1597">
        <f t="shared" si="1"/>
        <v>-0.01</v>
      </c>
    </row>
    <row r="12" spans="1:29" ht="13.5" thickBot="1">
      <c r="A12" s="579" t="s">
        <v>20</v>
      </c>
      <c r="B12" s="1365" t="s">
        <v>17</v>
      </c>
      <c r="C12" s="1366">
        <f>'Table 4'!J12+'Table 6'!K12+'Table 7'!C12+'Table 8'!C12+'Table 9'!C12+'Table 10'!C12</f>
        <v>4.71</v>
      </c>
      <c r="D12" s="1213">
        <f>'Table 4'!K12+'Table 6'!L12+'Table 7'!D12+'Table 8'!D12+'Table 9'!D12+'Table 10'!D12</f>
        <v>0</v>
      </c>
      <c r="E12" s="1367">
        <f>'Table 4'!L12+'Table 6'!M12+'Table 7'!E12+'Table 8'!E12+'Table 9'!E12+'Table 10'!E12</f>
        <v>4.71</v>
      </c>
      <c r="F12" s="1366">
        <f>'Table 4'!M12+'Table 6'!N12+'Table 7'!F12+'Table 8'!F12+'Table 9'!F12+'Table 10'!F12</f>
        <v>4.8600000000000003</v>
      </c>
      <c r="G12" s="1213">
        <f>'Table 4'!N12+'Table 6'!O12+'Table 7'!G12+'Table 8'!G12+'Table 9'!G12+'Table 10'!G12</f>
        <v>0</v>
      </c>
      <c r="H12" s="1367">
        <f>'Table 4'!O12+'Table 6'!P12+'Table 7'!H12+'Table 8'!H12+'Table 9'!H12+'Table 10'!H12</f>
        <v>4.8600000000000003</v>
      </c>
      <c r="I12" s="1366">
        <f>'Table 4'!Q12+'Table 6'!Q12+'Table 7'!I12+'Table 8'!I12+'Table 9'!I12+'Table 10'!I12</f>
        <v>4.84</v>
      </c>
      <c r="J12" s="1213">
        <f>'Table 4'!R12+'Table 6'!R12+'Table 7'!J12+'Table 8'!J12+'Table 9'!J12+'Table 10'!J12</f>
        <v>0</v>
      </c>
      <c r="K12" s="1367">
        <f>'Table 4'!S12+'Table 6'!S12+'Table 7'!K12+'Table 8'!K12+'Table 9'!K12+'Table 10'!K12</f>
        <v>4.84</v>
      </c>
      <c r="L12" s="1366">
        <f>'Table 4'!U12+'Table 6'!T12+'Table 7'!L12+'Table 8'!L12+'Table 9'!L12+'Table 10'!L12</f>
        <v>4.84</v>
      </c>
      <c r="M12" s="1213">
        <f>'Table 4'!V12+'Table 6'!U12+'Table 7'!M12+'Table 8'!M12+'Table 9'!M12+'Table 10'!M12</f>
        <v>0</v>
      </c>
      <c r="N12" s="1367">
        <f>'Table 4'!W12+'Table 6'!V12+'Table 7'!N12+'Table 8'!N12+'Table 9'!N12+'Table 10'!N12</f>
        <v>4.84</v>
      </c>
      <c r="O12" s="1366">
        <f>'Table 4'!Y12+'Table 6'!W12+'Table 7'!O12+'Table 8'!O12+'Table 9'!O12+'Table 10'!O12</f>
        <v>4.87</v>
      </c>
      <c r="P12" s="1213">
        <f>'Table 4'!Z12+'Table 6'!X12+'Table 7'!P12+'Table 8'!P12+'Table 9'!P12+'Table 10'!P12</f>
        <v>0</v>
      </c>
      <c r="Q12" s="1367">
        <f>'Table 4'!AA12+'Table 6'!Y12+'Table 7'!Q12+'Table 8'!Q12+'Table 9'!Q12+'Table 10'!Q12</f>
        <v>4.87</v>
      </c>
      <c r="R12" s="1366">
        <f>'Table 4'!AC12+'Table 6'!Z12+'Table 7'!R12+'Table 8'!R12+'Table 9'!R12+'Table 10'!R12</f>
        <v>4.87</v>
      </c>
      <c r="S12" s="1213">
        <f>'Table 4'!AD12+'Table 6'!AA12+'Table 7'!S12+'Table 8'!S12+'Table 9'!S12+'Table 10'!S12</f>
        <v>0</v>
      </c>
      <c r="T12" s="1368">
        <f>'Table 4'!AE12+'Table 6'!AB12+'Table 7'!T12+'Table 8'!T12+'Table 9'!T12+'Table 10'!T12</f>
        <v>4.87</v>
      </c>
      <c r="U12" s="1366">
        <f>'Table 4'!AG12+'Table 6'!AC12+'Table 7'!U12+'Table 8'!U12+'Table 9'!U12+'Table 10'!U12</f>
        <v>4.8499999999999996</v>
      </c>
      <c r="V12" s="1213">
        <f>'Table 4'!AH12+'Table 6'!AD12+'Table 7'!V12+'Table 8'!V12+'Table 9'!V12+'Table 10'!V12</f>
        <v>0</v>
      </c>
      <c r="W12" s="1368">
        <f>'Table 4'!AI12+'Table 6'!AE12+'Table 7'!W12+'Table 8'!W12+'Table 9'!W12+'Table 10'!W12</f>
        <v>4.8499999999999996</v>
      </c>
      <c r="X12" s="1369">
        <f t="shared" si="0"/>
        <v>0.03</v>
      </c>
      <c r="Y12" s="556">
        <f>'Table 4'!AL12+'Table 6'!AG12+'Table 7'!AG12+'Table 8'!Y12+'Table 9'!R12+'Table 10'!R12</f>
        <v>5.48</v>
      </c>
      <c r="Z12" s="557">
        <f>'Table 4'!AM12+'Table 6'!AH12+'Table 7'!AH12+'Table 8'!Z12+'Table 9'!S12+'Table 10'!S12</f>
        <v>0</v>
      </c>
      <c r="AA12" s="558">
        <f>'Table 4'!AN12+'Table 6'!AI12+'Table 7'!AI12+'Table 8'!AA12+'Table 9'!T12+'Table 10'!T12</f>
        <v>5.48</v>
      </c>
      <c r="AC12" s="1595">
        <f t="shared" si="1"/>
        <v>0.14000000000000001</v>
      </c>
    </row>
    <row r="13" spans="1:29" s="67" customFormat="1" ht="14.25" thickTop="1" thickBot="1">
      <c r="A13" s="279" t="s">
        <v>20</v>
      </c>
      <c r="B13" s="120" t="s">
        <v>18</v>
      </c>
      <c r="C13" s="1228">
        <f>SUM(C11:C12)</f>
        <v>5.03</v>
      </c>
      <c r="D13" s="128">
        <f t="shared" ref="D13:T13" si="6">SUM(D11:D12)</f>
        <v>0</v>
      </c>
      <c r="E13" s="469">
        <f t="shared" si="6"/>
        <v>5.03</v>
      </c>
      <c r="F13" s="1228">
        <f t="shared" si="6"/>
        <v>5.08</v>
      </c>
      <c r="G13" s="128">
        <f t="shared" si="6"/>
        <v>0</v>
      </c>
      <c r="H13" s="469">
        <f t="shared" si="6"/>
        <v>5.08</v>
      </c>
      <c r="I13" s="1228">
        <f t="shared" si="6"/>
        <v>5.0999999999999996</v>
      </c>
      <c r="J13" s="128">
        <f t="shared" si="6"/>
        <v>0</v>
      </c>
      <c r="K13" s="469">
        <f t="shared" si="6"/>
        <v>5.0999999999999996</v>
      </c>
      <c r="L13" s="1228">
        <f t="shared" si="6"/>
        <v>5.12</v>
      </c>
      <c r="M13" s="128">
        <f t="shared" si="6"/>
        <v>0</v>
      </c>
      <c r="N13" s="469">
        <f t="shared" si="6"/>
        <v>5.12</v>
      </c>
      <c r="O13" s="1228">
        <f t="shared" si="6"/>
        <v>5.15</v>
      </c>
      <c r="P13" s="128">
        <f t="shared" si="6"/>
        <v>0</v>
      </c>
      <c r="Q13" s="469">
        <f t="shared" si="6"/>
        <v>5.15</v>
      </c>
      <c r="R13" s="1228">
        <f t="shared" si="6"/>
        <v>5.16</v>
      </c>
      <c r="S13" s="128">
        <f t="shared" si="6"/>
        <v>0</v>
      </c>
      <c r="T13" s="119">
        <f t="shared" si="6"/>
        <v>5.16</v>
      </c>
      <c r="U13" s="1228">
        <f t="shared" ref="U13:W13" si="7">SUM(U11:U12)</f>
        <v>5.16</v>
      </c>
      <c r="V13" s="128">
        <f t="shared" si="7"/>
        <v>0</v>
      </c>
      <c r="W13" s="119">
        <f t="shared" si="7"/>
        <v>5.16</v>
      </c>
      <c r="X13" s="1373">
        <f t="shared" si="0"/>
        <v>0.03</v>
      </c>
      <c r="Y13" s="470">
        <f>SUM(Y11:Y12)</f>
        <v>5.81</v>
      </c>
      <c r="Z13" s="555">
        <f>SUM(Z11:Z12)</f>
        <v>0</v>
      </c>
      <c r="AA13" s="474">
        <f>SUM(AA11:AA12)</f>
        <v>5.81</v>
      </c>
      <c r="AC13" s="1598">
        <f t="shared" si="1"/>
        <v>0.13</v>
      </c>
    </row>
    <row r="14" spans="1:29">
      <c r="A14" s="455" t="s">
        <v>21</v>
      </c>
      <c r="B14" s="1353" t="s">
        <v>15</v>
      </c>
      <c r="C14" s="1352">
        <f>'Table 4'!J14+'Table 6'!K14+'Table 7'!C14+'Table 8'!C14+'Table 9'!C14+'Table 10'!C14</f>
        <v>21.31</v>
      </c>
      <c r="D14" s="451">
        <f>'Table 4'!K14+'Table 6'!L14+'Table 7'!D14+'Table 8'!D14+'Table 9'!D14+'Table 10'!D14</f>
        <v>0.33</v>
      </c>
      <c r="E14" s="1078">
        <f>'Table 4'!L14+'Table 6'!M14+'Table 7'!E14+'Table 8'!E14+'Table 9'!E14+'Table 10'!E14</f>
        <v>21.64</v>
      </c>
      <c r="F14" s="1352">
        <f>'Table 4'!M14+'Table 6'!N14+'Table 7'!F14+'Table 8'!F14+'Table 9'!F14+'Table 10'!F14</f>
        <v>20.58</v>
      </c>
      <c r="G14" s="451">
        <f>'Table 4'!N14+'Table 6'!O14+'Table 7'!G14+'Table 8'!G14+'Table 9'!G14+'Table 10'!G14</f>
        <v>0.36</v>
      </c>
      <c r="H14" s="1078">
        <f>'Table 4'!O14+'Table 4'!P14+'Table 6'!P14+'Table 7'!H14+'Table 8'!H14+'Table 9'!H14+'Table 10'!H14</f>
        <v>22.23</v>
      </c>
      <c r="I14" s="1352">
        <f>'Table 4'!Q14+'Table 6'!Q14+'Table 7'!I14+'Table 8'!I14+'Table 9'!I14+'Table 10'!I14</f>
        <v>22.73</v>
      </c>
      <c r="J14" s="451">
        <f>'Table 4'!R14+'Table 6'!R14+'Table 7'!J14+'Table 8'!J14+'Table 9'!J14+'Table 10'!J14</f>
        <v>0.39</v>
      </c>
      <c r="K14" s="1078">
        <f>'Table 4'!S14+'Table 4'!T14+'Table 6'!S14+'Table 7'!K14+'Table 8'!K14+'Table 9'!K14+'Table 10'!K14</f>
        <v>24.41</v>
      </c>
      <c r="L14" s="1352">
        <f>'Table 4'!U14+'Table 6'!T14+'Table 7'!L14+'Table 8'!L14+'Table 9'!L14+'Table 10'!L14</f>
        <v>23.8</v>
      </c>
      <c r="M14" s="451">
        <f>'Table 4'!V14+'Table 6'!U14+'Table 7'!M14+'Table 8'!M14+'Table 9'!M14+'Table 10'!M14</f>
        <v>0.41</v>
      </c>
      <c r="N14" s="1078">
        <f>'Table 4'!W14+'Table 4'!X14+'Table 6'!V14+'Table 7'!N14+'Table 8'!N14+'Table 9'!N14+'Table 10'!N14</f>
        <v>25.5</v>
      </c>
      <c r="O14" s="1352">
        <f>'Table 4'!Y14+'Table 6'!W14+'Table 7'!O14+'Table 8'!O14+'Table 9'!O14+'Table 10'!O14</f>
        <v>25.23</v>
      </c>
      <c r="P14" s="451">
        <f>'Table 4'!Z14+'Table 6'!X14+'Table 7'!P14+'Table 8'!P14+'Table 9'!P14+'Table 10'!P14</f>
        <v>0.44</v>
      </c>
      <c r="Q14" s="1078">
        <f>'Table 4'!AA14+'Table 4'!AB14+'Table 6'!Y14+'Table 7'!Q14+'Table 8'!Q14+'Table 9'!Q14+'Table 10'!Q14</f>
        <v>26.96</v>
      </c>
      <c r="R14" s="1352">
        <f>'Table 4'!AC14+'Table 6'!Z14+'Table 7'!R14+'Table 8'!R14+'Table 9'!R14+'Table 10'!R14</f>
        <v>26.15</v>
      </c>
      <c r="S14" s="451">
        <f>'Table 4'!AD14+'Table 6'!AA14+'Table 7'!S14+'Table 8'!S14+'Table 9'!S14+'Table 10'!S14</f>
        <v>0.45</v>
      </c>
      <c r="T14" s="1847">
        <f>'Table 4'!AE14+'Table 4'!AF14+'Table 6'!AB14+'Table 7'!T14+'Table 8'!T14+'Table 9'!T14+'Table 10'!T14</f>
        <v>27.89</v>
      </c>
      <c r="U14" s="1352">
        <f>'Table 4'!AG14+'Table 6'!AC14+'Table 7'!U14+'Table 8'!U14+'Table 9'!U14+'Table 10'!U14</f>
        <v>27.06</v>
      </c>
      <c r="V14" s="451">
        <f>'Table 4'!AH14+'Table 6'!AD14+'Table 7'!V14+'Table 8'!V14+'Table 9'!V14+'Table 10'!V14</f>
        <v>0.47</v>
      </c>
      <c r="W14" s="1847">
        <f>'Table 4'!AI14+'Table 4'!AJ14+'Table 6'!AE14+'Table 7'!W14+'Table 8'!W14+'Table 9'!W14+'Table 10'!W14</f>
        <v>28.97</v>
      </c>
      <c r="X14" s="1374">
        <f t="shared" si="0"/>
        <v>0.34</v>
      </c>
      <c r="Y14" s="827">
        <f>'Table 4'!AL14+'Table 6'!AG14+'Table 7'!AG14+'Table 8'!Y14+'Table 9'!R14+'Table 10'!R14</f>
        <v>28.94</v>
      </c>
      <c r="Z14" s="560">
        <f>'Table 4'!AM14+'Table 6'!AH14+'Table 7'!AH14+'Table 8'!Z14+'Table 9'!S14+'Table 10'!S14</f>
        <v>0.62</v>
      </c>
      <c r="AA14" s="940">
        <f>'Table 4'!AN14+'Table 4'!AO14+'Table 6'!AI14+'Table 7'!AI14+'Table 8'!AA14+'Table 9'!T14+'Table 10'!T14</f>
        <v>31.09</v>
      </c>
      <c r="AC14" s="1599">
        <f t="shared" si="1"/>
        <v>7.33</v>
      </c>
    </row>
    <row r="15" spans="1:29">
      <c r="A15" s="455" t="s">
        <v>22</v>
      </c>
      <c r="B15" s="1353" t="s">
        <v>17</v>
      </c>
      <c r="C15" s="1352">
        <f>'Table 4'!J15+'Table 6'!K15+'Table 7'!C15+'Table 8'!C15+'Table 9'!C15+'Table 10'!C15</f>
        <v>11.77</v>
      </c>
      <c r="D15" s="451">
        <f>'Table 4'!K15+'Table 6'!L15+'Table 7'!D15+'Table 8'!D15+'Table 9'!D15+'Table 10'!D15</f>
        <v>0</v>
      </c>
      <c r="E15" s="1078">
        <f>'Table 4'!L15+'Table 6'!M15+'Table 7'!E15+'Table 8'!E15+'Table 9'!E15+'Table 10'!E15</f>
        <v>11.77</v>
      </c>
      <c r="F15" s="1352">
        <f>'Table 4'!M15+'Table 6'!N15+'Table 7'!F15+'Table 8'!F15+'Table 9'!F15+'Table 10'!F15</f>
        <v>11.72</v>
      </c>
      <c r="G15" s="451">
        <f>'Table 4'!N15+'Table 6'!O15+'Table 7'!G15+'Table 8'!G15+'Table 9'!G15+'Table 10'!G15</f>
        <v>0</v>
      </c>
      <c r="H15" s="1078">
        <f>'Table 4'!O15+'Table 6'!P15+'Table 7'!H15+'Table 8'!H15+'Table 9'!H15+'Table 10'!H15</f>
        <v>11.72</v>
      </c>
      <c r="I15" s="1352">
        <f>'Table 4'!Q15+'Table 6'!Q15+'Table 7'!I15+'Table 8'!I15+'Table 9'!I15+'Table 10'!I15</f>
        <v>13.14</v>
      </c>
      <c r="J15" s="451">
        <f>'Table 4'!R15+'Table 6'!R15+'Table 7'!J15+'Table 8'!J15+'Table 9'!J15+'Table 10'!J15</f>
        <v>0</v>
      </c>
      <c r="K15" s="1078">
        <f>'Table 4'!S15+'Table 6'!S15+'Table 7'!K15+'Table 8'!K15+'Table 9'!K15+'Table 10'!K15</f>
        <v>13.14</v>
      </c>
      <c r="L15" s="1352">
        <f>'Table 4'!U15+'Table 6'!T15+'Table 7'!L15+'Table 8'!L15+'Table 9'!L15+'Table 10'!L15</f>
        <v>14.34</v>
      </c>
      <c r="M15" s="451">
        <f>'Table 4'!V15+'Table 6'!U15+'Table 7'!M15+'Table 8'!M15+'Table 9'!M15+'Table 10'!M15</f>
        <v>0</v>
      </c>
      <c r="N15" s="1078">
        <f>'Table 4'!W15+'Table 6'!V15+'Table 7'!N15+'Table 8'!N15+'Table 9'!N15+'Table 10'!N15</f>
        <v>14.34</v>
      </c>
      <c r="O15" s="1352">
        <f>'Table 4'!Y15+'Table 6'!W15+'Table 7'!O15+'Table 8'!O15+'Table 9'!O15+'Table 10'!O15</f>
        <v>15.49</v>
      </c>
      <c r="P15" s="451">
        <f>'Table 4'!Z15+'Table 6'!X15+'Table 7'!P15+'Table 8'!P15+'Table 9'!P15+'Table 10'!P15</f>
        <v>0</v>
      </c>
      <c r="Q15" s="1078">
        <f>'Table 4'!AA15+'Table 6'!Y15+'Table 7'!Q15+'Table 8'!Q15+'Table 9'!Q15+'Table 10'!Q15</f>
        <v>15.49</v>
      </c>
      <c r="R15" s="1352">
        <f>'Table 4'!AC15+'Table 6'!Z15+'Table 7'!R15+'Table 8'!R15+'Table 9'!R15+'Table 10'!R15</f>
        <v>16.84</v>
      </c>
      <c r="S15" s="451">
        <f>'Table 4'!AD15+'Table 6'!AA15+'Table 7'!S15+'Table 8'!S15+'Table 9'!S15+'Table 10'!S15</f>
        <v>0</v>
      </c>
      <c r="T15" s="1847">
        <f>'Table 4'!AE15+'Table 6'!AB15+'Table 7'!T15+'Table 8'!T15+'Table 9'!T15+'Table 10'!T15</f>
        <v>16.84</v>
      </c>
      <c r="U15" s="1352">
        <f>'Table 4'!AG15+'Table 6'!AC15+'Table 7'!U15+'Table 8'!U15+'Table 9'!U15+'Table 10'!U15</f>
        <v>18.190000000000001</v>
      </c>
      <c r="V15" s="451">
        <f>'Table 4'!AH15+'Table 6'!AD15+'Table 7'!V15+'Table 8'!V15+'Table 9'!V15+'Table 10'!V15</f>
        <v>0</v>
      </c>
      <c r="W15" s="1847">
        <f>'Table 4'!AI15+'Table 6'!AE15+'Table 7'!W15+'Table 8'!W15+'Table 9'!W15+'Table 10'!W15</f>
        <v>18.190000000000001</v>
      </c>
      <c r="X15" s="1374">
        <f t="shared" si="0"/>
        <v>0.55000000000000004</v>
      </c>
      <c r="Y15" s="827">
        <f>'Table 4'!AL15+'Table 6'!AG15+'Table 7'!AG15+'Table 8'!Y15+'Table 9'!R15+'Table 10'!R15</f>
        <v>21.17</v>
      </c>
      <c r="Z15" s="560">
        <f>'Table 4'!AM15+'Table 6'!AH15+'Table 7'!AH15+'Table 8'!Z15+'Table 9'!S15+'Table 10'!S15</f>
        <v>0</v>
      </c>
      <c r="AA15" s="940">
        <f>'Table 4'!AN15+'Table 6'!AI15+'Table 7'!AI15+'Table 8'!AA15+'Table 9'!T15+'Table 10'!T15</f>
        <v>21.17</v>
      </c>
      <c r="AC15" s="1599">
        <f t="shared" si="1"/>
        <v>6.42</v>
      </c>
    </row>
    <row r="16" spans="1:29">
      <c r="A16" s="455" t="s">
        <v>23</v>
      </c>
      <c r="B16" s="1353" t="s">
        <v>15</v>
      </c>
      <c r="C16" s="1352">
        <f>'Table 4'!J16+'Table 6'!K16+'Table 7'!C16+'Table 8'!C16+'Table 9'!C16+'Table 10'!C16</f>
        <v>141.52000000000001</v>
      </c>
      <c r="D16" s="451">
        <f>'Table 4'!K16+'Table 6'!L16+'Table 7'!D16+'Table 8'!D16+'Table 9'!D16+'Table 10'!D16</f>
        <v>17.82</v>
      </c>
      <c r="E16" s="1078">
        <f>'Table 4'!L16+'Table 6'!M16+'Table 7'!E16+'Table 8'!E16+'Table 9'!E16+'Table 10'!E16</f>
        <v>159.34</v>
      </c>
      <c r="F16" s="1352">
        <f>'Table 4'!M16+'Table 6'!N16+'Table 7'!F16+'Table 8'!F16+'Table 9'!F16+'Table 10'!F16</f>
        <v>155.08000000000001</v>
      </c>
      <c r="G16" s="451">
        <f>'Table 4'!N16+'Table 6'!O16+'Table 7'!G16+'Table 8'!G16+'Table 9'!G16+'Table 10'!G16</f>
        <v>18.829999999999998</v>
      </c>
      <c r="H16" s="1078">
        <f>'Table 4'!O16+'Table 6'!P16+'Table 7'!H16+'Table 8'!H16+'Table 9'!H16+'Table 10'!H16</f>
        <v>173.91</v>
      </c>
      <c r="I16" s="1352">
        <f>'Table 4'!Q16+'Table 6'!Q16+'Table 7'!I16+'Table 8'!I16+'Table 9'!I16+'Table 10'!I16</f>
        <v>165.55</v>
      </c>
      <c r="J16" s="451">
        <f>'Table 4'!R16+'Table 6'!R16+'Table 7'!J16+'Table 8'!J16+'Table 9'!J16+'Table 10'!J16</f>
        <v>19.47</v>
      </c>
      <c r="K16" s="1078">
        <f>'Table 4'!S16+'Table 6'!S16+'Table 7'!K16+'Table 8'!K16+'Table 9'!K16+'Table 10'!K16</f>
        <v>185.02</v>
      </c>
      <c r="L16" s="1352">
        <f>'Table 4'!U16+'Table 6'!T16+'Table 7'!L16+'Table 8'!L16+'Table 9'!L16+'Table 10'!L16</f>
        <v>173.75</v>
      </c>
      <c r="M16" s="451">
        <f>'Table 4'!V16+'Table 6'!U16+'Table 7'!M16+'Table 8'!M16+'Table 9'!M16+'Table 10'!M16</f>
        <v>20.239999999999998</v>
      </c>
      <c r="N16" s="1078">
        <f>'Table 4'!W16+'Table 6'!V16+'Table 7'!N16+'Table 8'!N16+'Table 9'!N16+'Table 10'!N16</f>
        <v>193.99</v>
      </c>
      <c r="O16" s="1352">
        <f>'Table 4'!Y16+'Table 6'!W16+'Table 7'!O16+'Table 8'!O16+'Table 9'!O16+'Table 10'!O16</f>
        <v>181.13</v>
      </c>
      <c r="P16" s="451">
        <f>'Table 4'!Z16+'Table 6'!X16+'Table 7'!P16+'Table 8'!P16+'Table 9'!P16+'Table 10'!P16</f>
        <v>21.5</v>
      </c>
      <c r="Q16" s="1078">
        <f>'Table 4'!AA16+'Table 6'!Y16+'Table 7'!Q16+'Table 8'!Q16+'Table 9'!Q16+'Table 10'!Q16</f>
        <v>202.63</v>
      </c>
      <c r="R16" s="1352">
        <f>'Table 4'!AC16+'Table 6'!Z16+'Table 7'!R16+'Table 8'!R16+'Table 9'!R16+'Table 10'!R16</f>
        <v>187.17</v>
      </c>
      <c r="S16" s="451">
        <f>'Table 4'!AD16+'Table 6'!AA16+'Table 7'!S16+'Table 8'!S16+'Table 9'!S16+'Table 10'!S16</f>
        <v>22.8</v>
      </c>
      <c r="T16" s="1847">
        <f>'Table 4'!AE16+'Table 6'!AB16+'Table 7'!T16+'Table 8'!T16+'Table 9'!T16+'Table 10'!T16</f>
        <v>209.97</v>
      </c>
      <c r="U16" s="1352">
        <f>'Table 4'!AG16+'Table 6'!AC16+'Table 7'!U16+'Table 8'!U16+'Table 9'!U16+'Table 10'!U16</f>
        <v>192.53</v>
      </c>
      <c r="V16" s="451">
        <f>'Table 4'!AH16+'Table 6'!AD16+'Table 7'!V16+'Table 8'!V16+'Table 9'!V16+'Table 10'!V16</f>
        <v>24.14</v>
      </c>
      <c r="W16" s="1847">
        <f>'Table 4'!AI16+'Table 6'!AE16+'Table 7'!W16+'Table 8'!W16+'Table 9'!W16+'Table 10'!W16</f>
        <v>216.67</v>
      </c>
      <c r="X16" s="1374">
        <f t="shared" si="0"/>
        <v>0.36</v>
      </c>
      <c r="Y16" s="827">
        <f>'Table 4'!AL16+'Table 6'!AG16+'Table 7'!AG16+'Table 8'!Y16+'Table 9'!R16+'Table 10'!R16</f>
        <v>202.35</v>
      </c>
      <c r="Z16" s="560">
        <f>'Table 4'!AM16+'Table 6'!AH16+'Table 7'!AH16+'Table 8'!Z16+'Table 9'!S16+'Table 10'!S16</f>
        <v>24.78</v>
      </c>
      <c r="AA16" s="940">
        <f>'Table 4'!AN16+'Table 6'!AI16+'Table 7'!AI16+'Table 8'!AA16+'Table 9'!T16+'Table 10'!T16</f>
        <v>227.13</v>
      </c>
      <c r="AC16" s="1599">
        <f t="shared" si="1"/>
        <v>57.33</v>
      </c>
    </row>
    <row r="17" spans="1:29">
      <c r="A17" s="455" t="s">
        <v>24</v>
      </c>
      <c r="B17" s="1353" t="s">
        <v>15</v>
      </c>
      <c r="C17" s="1352">
        <f>'Table 4'!J17+'Table 6'!K17+'Table 7'!C17+'Table 8'!C17+'Table 9'!C17+'Table 10'!C17</f>
        <v>16.43</v>
      </c>
      <c r="D17" s="451">
        <f>'Table 4'!K17+'Table 6'!L17+'Table 7'!D17+'Table 8'!D17+'Table 9'!D17+'Table 10'!D17</f>
        <v>1.89</v>
      </c>
      <c r="E17" s="1078">
        <f>'Table 4'!L17+'Table 6'!M17+'Table 7'!E17+'Table 8'!E17+'Table 9'!E17+'Table 10'!E17</f>
        <v>18.32</v>
      </c>
      <c r="F17" s="1352">
        <f>'Table 4'!M17+'Table 6'!N17+'Table 7'!F17+'Table 8'!F17+'Table 9'!F17+'Table 10'!F17</f>
        <v>21.87</v>
      </c>
      <c r="G17" s="451">
        <f>'Table 4'!N17+'Table 6'!O17+'Table 7'!G17+'Table 8'!G17+'Table 9'!G17+'Table 10'!G17</f>
        <v>2.29</v>
      </c>
      <c r="H17" s="1078">
        <f>'Table 4'!O17+'Table 6'!P17+'Table 7'!H17+'Table 8'!H17+'Table 9'!H17+'Table 10'!H17</f>
        <v>24.16</v>
      </c>
      <c r="I17" s="1352">
        <f>'Table 4'!Q17+'Table 6'!Q17+'Table 7'!I17+'Table 8'!I17+'Table 9'!I17+'Table 10'!I17</f>
        <v>23.01</v>
      </c>
      <c r="J17" s="451">
        <f>'Table 4'!R17+'Table 6'!R17+'Table 7'!J17+'Table 8'!J17+'Table 9'!J17+'Table 10'!J17</f>
        <v>2.4500000000000002</v>
      </c>
      <c r="K17" s="1078">
        <f>'Table 4'!S17+'Table 6'!S17+'Table 7'!K17+'Table 8'!K17+'Table 9'!K17+'Table 10'!K17</f>
        <v>25.46</v>
      </c>
      <c r="L17" s="1352">
        <f>'Table 4'!U17+'Table 6'!T17+'Table 7'!L17+'Table 8'!L17+'Table 9'!L17+'Table 10'!L17</f>
        <v>24.01</v>
      </c>
      <c r="M17" s="451">
        <f>'Table 4'!V17+'Table 6'!U17+'Table 7'!M17+'Table 8'!M17+'Table 9'!M17+'Table 10'!M17</f>
        <v>2.59</v>
      </c>
      <c r="N17" s="1078">
        <f>'Table 4'!W17+'Table 6'!V17+'Table 7'!N17+'Table 8'!N17+'Table 9'!N17+'Table 10'!N17</f>
        <v>26.6</v>
      </c>
      <c r="O17" s="1352">
        <f>'Table 4'!Y17+'Table 6'!W17+'Table 7'!O17+'Table 8'!O17+'Table 9'!O17+'Table 10'!O17</f>
        <v>24.85</v>
      </c>
      <c r="P17" s="451">
        <f>'Table 4'!Z17+'Table 6'!X17+'Table 7'!P17+'Table 8'!P17+'Table 9'!P17+'Table 10'!P17</f>
        <v>2.71</v>
      </c>
      <c r="Q17" s="1078">
        <f>'Table 4'!AA17+'Table 6'!Y17+'Table 7'!Q17+'Table 8'!Q17+'Table 9'!Q17+'Table 10'!Q17</f>
        <v>27.56</v>
      </c>
      <c r="R17" s="1352">
        <f>'Table 4'!AC17+'Table 6'!Z17+'Table 7'!R17+'Table 8'!R17+'Table 9'!R17+'Table 10'!R17</f>
        <v>25.3</v>
      </c>
      <c r="S17" s="451">
        <f>'Table 4'!AD17+'Table 6'!AA17+'Table 7'!S17+'Table 8'!S17+'Table 9'!S17+'Table 10'!S17</f>
        <v>2.77</v>
      </c>
      <c r="T17" s="1847">
        <f>'Table 4'!AE17+'Table 6'!AB17+'Table 7'!T17+'Table 8'!T17+'Table 9'!T17+'Table 10'!T17</f>
        <v>28.07</v>
      </c>
      <c r="U17" s="1352">
        <f>'Table 4'!AG17+'Table 6'!AC17+'Table 7'!U17+'Table 8'!U17+'Table 9'!U17+'Table 10'!U17</f>
        <v>25.8</v>
      </c>
      <c r="V17" s="451">
        <f>'Table 4'!AH17+'Table 6'!AD17+'Table 7'!V17+'Table 8'!V17+'Table 9'!V17+'Table 10'!V17</f>
        <v>2.82</v>
      </c>
      <c r="W17" s="1847">
        <f>'Table 4'!AI17+'Table 6'!AE17+'Table 7'!W17+'Table 8'!W17+'Table 9'!W17+'Table 10'!W17</f>
        <v>28.62</v>
      </c>
      <c r="X17" s="1374">
        <f t="shared" si="0"/>
        <v>0.56000000000000005</v>
      </c>
      <c r="Y17" s="827">
        <f>'Table 4'!AL17+'Table 6'!AG17+'Table 7'!AG17+'Table 8'!Y17+'Table 9'!R17+'Table 10'!R17</f>
        <v>30.88</v>
      </c>
      <c r="Z17" s="560">
        <f>'Table 4'!AM17+'Table 6'!AH17+'Table 7'!AH17+'Table 8'!Z17+'Table 9'!S17+'Table 10'!S17</f>
        <v>3.43</v>
      </c>
      <c r="AA17" s="940">
        <f>'Table 4'!AN17+'Table 6'!AI17+'Table 7'!AI17+'Table 8'!AA17+'Table 9'!T17+'Table 10'!T17</f>
        <v>34.31</v>
      </c>
      <c r="AC17" s="1599">
        <f t="shared" si="1"/>
        <v>10.3</v>
      </c>
    </row>
    <row r="18" spans="1:29">
      <c r="A18" s="455" t="s">
        <v>25</v>
      </c>
      <c r="B18" s="1848" t="s">
        <v>17</v>
      </c>
      <c r="C18" s="1352">
        <f>'Table 4'!J18+'Table 6'!K18+'Table 7'!C18+'Table 8'!C18+'Table 9'!C18+'Table 10'!C18</f>
        <v>20.74</v>
      </c>
      <c r="D18" s="451">
        <f>'Table 4'!K18+'Table 6'!L18+'Table 7'!D18+'Table 8'!D18+'Table 9'!D18+'Table 10'!D18</f>
        <v>0</v>
      </c>
      <c r="E18" s="1078">
        <f>'Table 4'!L18+'Table 6'!M18+'Table 7'!E18+'Table 8'!E18+'Table 9'!E18+'Table 10'!E18</f>
        <v>20.74</v>
      </c>
      <c r="F18" s="1352">
        <f>'Table 4'!M18+'Table 6'!N18+'Table 7'!F18+'Table 8'!F18+'Table 9'!F18+'Table 10'!F18</f>
        <v>20.67</v>
      </c>
      <c r="G18" s="451">
        <f>'Table 4'!N18+'Table 6'!O18+'Table 7'!G18+'Table 8'!G18+'Table 9'!G18+'Table 10'!G18</f>
        <v>0</v>
      </c>
      <c r="H18" s="1078">
        <f>'Table 4'!O18+'Table 6'!P18+'Table 7'!H18+'Table 8'!H18+'Table 9'!H18+'Table 10'!H18</f>
        <v>20.84</v>
      </c>
      <c r="I18" s="1352">
        <f>'Table 4'!Q18+'Table 6'!Q18+'Table 7'!I18+'Table 8'!I18+'Table 9'!I18+'Table 10'!I18</f>
        <v>21.59</v>
      </c>
      <c r="J18" s="451">
        <f>'Table 4'!R18+'Table 6'!R18+'Table 7'!J18+'Table 8'!J18+'Table 9'!J18+'Table 10'!J18</f>
        <v>0</v>
      </c>
      <c r="K18" s="1078">
        <f>'Table 4'!S18+'Table 6'!S18+'Table 7'!K18+'Table 8'!K18+'Table 9'!K18+'Table 10'!K18</f>
        <v>21.59</v>
      </c>
      <c r="L18" s="1352">
        <f>'Table 4'!U18+'Table 6'!T18+'Table 7'!L18+'Table 8'!L18+'Table 9'!L18+'Table 10'!L18</f>
        <v>22.33</v>
      </c>
      <c r="M18" s="451">
        <f>'Table 4'!V18+'Table 6'!U18+'Table 7'!M18+'Table 8'!M18+'Table 9'!M18+'Table 10'!M18</f>
        <v>0</v>
      </c>
      <c r="N18" s="1078">
        <f>'Table 4'!W18+'Table 6'!V18+'Table 7'!N18+'Table 8'!N18+'Table 9'!N18+'Table 10'!N18</f>
        <v>22.33</v>
      </c>
      <c r="O18" s="1352">
        <f>'Table 4'!Y18+'Table 6'!W18+'Table 7'!O18+'Table 8'!O18+'Table 9'!O18+'Table 10'!O18</f>
        <v>23.17</v>
      </c>
      <c r="P18" s="451">
        <f>'Table 4'!Z18+'Table 6'!X18+'Table 7'!P18+'Table 8'!P18+'Table 9'!P18+'Table 10'!P18</f>
        <v>0</v>
      </c>
      <c r="Q18" s="1078">
        <f>'Table 4'!AA18+'Table 6'!Y18+'Table 7'!Q18+'Table 8'!Q18+'Table 9'!Q18+'Table 10'!Q18</f>
        <v>23.17</v>
      </c>
      <c r="R18" s="1352">
        <f>'Table 4'!AC18+'Table 6'!Z18+'Table 7'!R18+'Table 8'!R18+'Table 9'!R18+'Table 10'!R18</f>
        <v>23.95</v>
      </c>
      <c r="S18" s="451">
        <f>'Table 4'!AD18+'Table 6'!AA18+'Table 7'!S18+'Table 8'!S18+'Table 9'!S18+'Table 10'!S18</f>
        <v>0</v>
      </c>
      <c r="T18" s="1847">
        <f>'Table 4'!AE18+'Table 6'!AB18+'Table 7'!T18+'Table 8'!T18+'Table 9'!T18+'Table 10'!T18</f>
        <v>23.95</v>
      </c>
      <c r="U18" s="1352">
        <f>'Table 4'!AG18+'Table 6'!AC18+'Table 7'!U18+'Table 8'!U18+'Table 9'!U18+'Table 10'!U18</f>
        <v>24.79</v>
      </c>
      <c r="V18" s="451">
        <f>'Table 4'!AH18+'Table 6'!AD18+'Table 7'!V18+'Table 8'!V18+'Table 9'!V18+'Table 10'!V18</f>
        <v>0</v>
      </c>
      <c r="W18" s="1847">
        <f>'Table 4'!AI18+'Table 6'!AE18+'Table 7'!W18+'Table 8'!W18+'Table 9'!W18+'Table 10'!W18</f>
        <v>24.79</v>
      </c>
      <c r="X18" s="1374">
        <f t="shared" si="0"/>
        <v>0.2</v>
      </c>
      <c r="Y18" s="827">
        <f>'Table 4'!AL18+'Table 6'!AG18+'Table 7'!AG18+'Table 8'!Y18+'Table 9'!R18+'Table 10'!R18</f>
        <v>30.63</v>
      </c>
      <c r="Z18" s="560">
        <f>'Table 4'!AM18+'Table 6'!AH18+'Table 7'!AH18+'Table 8'!Z18+'Table 9'!S18+'Table 10'!S18</f>
        <v>0</v>
      </c>
      <c r="AA18" s="940">
        <f>'Table 4'!AN18+'Table 6'!AI18+'Table 7'!AI18+'Table 8'!AA18+'Table 9'!T18+'Table 10'!T18</f>
        <v>30.63</v>
      </c>
      <c r="AC18" s="1599">
        <f t="shared" si="1"/>
        <v>4.05</v>
      </c>
    </row>
    <row r="19" spans="1:29">
      <c r="A19" s="455" t="s">
        <v>26</v>
      </c>
      <c r="B19" s="1848" t="s">
        <v>17</v>
      </c>
      <c r="C19" s="1352">
        <f>'Table 4'!J19+'Table 6'!K19+'Table 7'!C19+'Table 8'!C19+'Table 9'!C19+'Table 10'!C19</f>
        <v>40.56</v>
      </c>
      <c r="D19" s="451">
        <f>'Table 4'!K19+'Table 6'!L19+'Table 7'!D19+'Table 8'!D19+'Table 9'!D19+'Table 10'!D19</f>
        <v>17.190000000000001</v>
      </c>
      <c r="E19" s="1078">
        <f>'Table 4'!L19+'Table 6'!M19+'Table 7'!E19+'Table 8'!E19+'Table 9'!E19+'Table 10'!E19</f>
        <v>57.75</v>
      </c>
      <c r="F19" s="1352">
        <f>'Table 4'!M19+'Table 6'!N19+'Table 7'!F19+'Table 8'!F19+'Table 9'!F19+'Table 10'!F19</f>
        <v>38.409999999999997</v>
      </c>
      <c r="G19" s="451">
        <f>'Table 4'!N19+'Table 6'!O19+'Table 7'!G19+'Table 8'!G19+'Table 9'!G19+'Table 10'!G19</f>
        <v>17.190000000000001</v>
      </c>
      <c r="H19" s="1078">
        <f>'Table 4'!O19+'Table 6'!P19+'Table 7'!H19+'Table 8'!H19+'Table 9'!H19+'Table 10'!H19</f>
        <v>55.7</v>
      </c>
      <c r="I19" s="1352">
        <f>'Table 4'!Q19+'Table 6'!Q19+'Table 7'!I19+'Table 8'!I19+'Table 9'!I19+'Table 10'!I19</f>
        <v>39.26</v>
      </c>
      <c r="J19" s="451">
        <f>'Table 4'!R19+'Table 6'!R19+'Table 7'!J19+'Table 8'!J19+'Table 9'!J19+'Table 10'!J19</f>
        <v>17.190000000000001</v>
      </c>
      <c r="K19" s="1078">
        <f>'Table 4'!S19+'Table 6'!S19+'Table 7'!K19+'Table 8'!K19+'Table 9'!K19+'Table 10'!K19</f>
        <v>56.45</v>
      </c>
      <c r="L19" s="1352">
        <f>'Table 4'!U19+'Table 6'!T19+'Table 7'!L19+'Table 8'!L19+'Table 9'!L19+'Table 10'!L19</f>
        <v>39.93</v>
      </c>
      <c r="M19" s="451">
        <f>'Table 4'!V19+'Table 6'!U19+'Table 7'!M19+'Table 8'!M19+'Table 9'!M19+'Table 10'!M19</f>
        <v>17.190000000000001</v>
      </c>
      <c r="N19" s="1078">
        <f>'Table 4'!W19+'Table 6'!V19+'Table 7'!N19+'Table 8'!N19+'Table 9'!N19+'Table 10'!N19</f>
        <v>57.12</v>
      </c>
      <c r="O19" s="1352">
        <f>'Table 4'!Y19+'Table 6'!W19+'Table 7'!O19+'Table 8'!O19+'Table 9'!O19+'Table 10'!O19</f>
        <v>40.67</v>
      </c>
      <c r="P19" s="451">
        <f>'Table 4'!Z19+'Table 6'!X19+'Table 7'!P19+'Table 8'!P19+'Table 9'!P19+'Table 10'!P19</f>
        <v>17.190000000000001</v>
      </c>
      <c r="Q19" s="1078">
        <f>'Table 4'!AA19+'Table 6'!Y19+'Table 7'!Q19+'Table 8'!Q19+'Table 9'!Q19+'Table 10'!Q19</f>
        <v>57.86</v>
      </c>
      <c r="R19" s="1352">
        <f>'Table 4'!AC19+'Table 6'!Z19+'Table 7'!R19+'Table 8'!R19+'Table 9'!R19+'Table 10'!R19</f>
        <v>41.43</v>
      </c>
      <c r="S19" s="451">
        <f>'Table 4'!AD19+'Table 6'!AA19+'Table 7'!S19+'Table 8'!S19+'Table 9'!S19+'Table 10'!S19</f>
        <v>17.190000000000001</v>
      </c>
      <c r="T19" s="1847">
        <f>'Table 4'!AE19+'Table 6'!AB19+'Table 7'!T19+'Table 8'!T19+'Table 9'!T19+'Table 10'!T19</f>
        <v>58.62</v>
      </c>
      <c r="U19" s="1352">
        <f>'Table 4'!AG19+'Table 6'!AC19+'Table 7'!U19+'Table 8'!U19+'Table 9'!U19+'Table 10'!U19</f>
        <v>42.13</v>
      </c>
      <c r="V19" s="451">
        <f>'Table 4'!AH19+'Table 6'!AD19+'Table 7'!V19+'Table 8'!V19+'Table 9'!V19+'Table 10'!V19</f>
        <v>17.190000000000001</v>
      </c>
      <c r="W19" s="1847">
        <f>'Table 4'!AI19+'Table 6'!AE19+'Table 7'!W19+'Table 8'!W19+'Table 9'!W19+'Table 10'!W19</f>
        <v>59.32</v>
      </c>
      <c r="X19" s="1374">
        <f t="shared" si="0"/>
        <v>0.03</v>
      </c>
      <c r="Y19" s="827">
        <f>'Table 4'!AL19+'Table 6'!AG19+'Table 7'!AG19+'Table 8'!Y19+'Table 9'!R19+'Table 10'!R19</f>
        <v>47.19</v>
      </c>
      <c r="Z19" s="560">
        <f>'Table 4'!AM19+'Table 6'!AH19+'Table 7'!AH19+'Table 8'!Z19+'Table 9'!S19+'Table 10'!S19</f>
        <v>17.190000000000001</v>
      </c>
      <c r="AA19" s="940">
        <f>'Table 4'!AN19+'Table 6'!AI19+'Table 7'!AI19+'Table 8'!AA19+'Table 9'!T19+'Table 10'!T19</f>
        <v>64.38</v>
      </c>
      <c r="AC19" s="1599">
        <f t="shared" si="1"/>
        <v>1.57</v>
      </c>
    </row>
    <row r="20" spans="1:29">
      <c r="A20" s="455" t="s">
        <v>27</v>
      </c>
      <c r="B20" s="1353" t="s">
        <v>15</v>
      </c>
      <c r="C20" s="1352">
        <f>'Table 4'!J20+'Table 6'!K20+'Table 7'!C20+'Table 8'!C20+'Table 9'!C20+'Table 10'!C20</f>
        <v>45.38</v>
      </c>
      <c r="D20" s="451">
        <f>'Table 4'!K20+'Table 6'!L20+'Table 7'!D20+'Table 8'!D20+'Table 9'!D20+'Table 10'!D20</f>
        <v>1.69</v>
      </c>
      <c r="E20" s="1078">
        <f>'Table 4'!L20+'Table 6'!M20+'Table 7'!E20+'Table 8'!E20+'Table 9'!E20+'Table 10'!E20</f>
        <v>47.07</v>
      </c>
      <c r="F20" s="1352">
        <f>'Table 4'!M20+'Table 6'!N20+'Table 7'!F20+'Table 8'!F20+'Table 9'!F20+'Table 10'!F20</f>
        <v>44.55</v>
      </c>
      <c r="G20" s="451">
        <f>'Table 4'!N20+'Table 6'!O20+'Table 7'!G20+'Table 8'!G20+'Table 9'!G20+'Table 10'!G20</f>
        <v>1.85</v>
      </c>
      <c r="H20" s="1078">
        <f>'Table 4'!O20+'Table 4'!P20+'Table 6'!P20+'Table 7'!H20+'Table 8'!H20+'Table 9'!H20+'Table 10'!H20</f>
        <v>46.4</v>
      </c>
      <c r="I20" s="1352">
        <f>'Table 4'!Q20+'Table 6'!Q20+'Table 7'!I20+'Table 8'!I20+'Table 9'!I20+'Table 10'!I20</f>
        <v>45.56</v>
      </c>
      <c r="J20" s="451">
        <f>'Table 4'!R20+'Table 6'!R20+'Table 7'!J20+'Table 8'!J20+'Table 9'!J20+'Table 10'!J20</f>
        <v>2.04</v>
      </c>
      <c r="K20" s="1078">
        <f>'Table 4'!S20+'Table 4'!T20+'Table 6'!S20+'Table 7'!K20+'Table 8'!K20+'Table 9'!K20+'Table 10'!K20</f>
        <v>47.6</v>
      </c>
      <c r="L20" s="1352">
        <f>'Table 4'!U20+'Table 6'!T20+'Table 7'!L20+'Table 8'!L20+'Table 9'!L20+'Table 10'!L20</f>
        <v>46.25</v>
      </c>
      <c r="M20" s="451">
        <f>'Table 4'!V20+'Table 6'!U20+'Table 7'!M20+'Table 8'!M20+'Table 9'!M20+'Table 10'!M20</f>
        <v>2.19</v>
      </c>
      <c r="N20" s="1078">
        <f>'Table 4'!W20+'Table 4'!X20+'Table 6'!V20+'Table 7'!N20+'Table 8'!N20+'Table 9'!N20+'Table 10'!N20</f>
        <v>48.44</v>
      </c>
      <c r="O20" s="1352">
        <f>'Table 4'!Y20+'Table 6'!W20+'Table 7'!O20+'Table 8'!O20+'Table 9'!O20+'Table 10'!O20</f>
        <v>46.76</v>
      </c>
      <c r="P20" s="451">
        <f>'Table 4'!Z20+'Table 6'!X20+'Table 7'!P20+'Table 8'!P20+'Table 9'!P20+'Table 10'!P20</f>
        <v>2.31</v>
      </c>
      <c r="Q20" s="1078">
        <f>'Table 4'!AA20+'Table 4'!AB20+'Table 6'!Y20+'Table 7'!Q20+'Table 8'!Q20+'Table 9'!Q20+'Table 10'!Q20</f>
        <v>49.2</v>
      </c>
      <c r="R20" s="1352">
        <f>'Table 4'!AC20+'Table 6'!Z20+'Table 7'!R20+'Table 8'!R20+'Table 9'!R20+'Table 10'!R20</f>
        <v>46.98</v>
      </c>
      <c r="S20" s="451">
        <f>'Table 4'!AD20+'Table 6'!AA20+'Table 7'!S20+'Table 8'!S20+'Table 9'!S20+'Table 10'!S20</f>
        <v>2.42</v>
      </c>
      <c r="T20" s="1847">
        <f>'Table 4'!AE20+'Table 4'!AF20+'Table 6'!AB20+'Table 7'!T20+'Table 8'!T20+'Table 9'!T20+'Table 10'!T20</f>
        <v>49.81</v>
      </c>
      <c r="U20" s="1352">
        <f>'Table 4'!AG20+'Table 6'!AC20+'Table 7'!U20+'Table 8'!U20+'Table 9'!U20+'Table 10'!U20</f>
        <v>47.36</v>
      </c>
      <c r="V20" s="451">
        <f>'Table 4'!AH20+'Table 6'!AD20+'Table 7'!V20+'Table 8'!V20+'Table 9'!V20+'Table 10'!V20</f>
        <v>2.5099999999999998</v>
      </c>
      <c r="W20" s="1847">
        <f>'Table 4'!AI20+'Table 4'!AJ20+'Table 6'!AE20+'Table 7'!W20+'Table 8'!W20+'Table 9'!W20+'Table 10'!W20</f>
        <v>50.55</v>
      </c>
      <c r="X20" s="1375">
        <f t="shared" si="0"/>
        <v>7.0000000000000007E-2</v>
      </c>
      <c r="Y20" s="827">
        <f>'Table 4'!AL20+'Table 6'!AG20+'Table 7'!AG20+'Table 8'!Y20+'Table 9'!R20+'Table 10'!R20</f>
        <v>48.23</v>
      </c>
      <c r="Z20" s="560">
        <f>'Table 4'!AM20+'Table 6'!AH20+'Table 7'!AH20+'Table 8'!Z20+'Table 9'!S20+'Table 10'!S20</f>
        <v>3.05</v>
      </c>
      <c r="AA20" s="940">
        <f>'Table 4'!AN20+'Table 4'!AO20+'Table 6'!AI20+'Table 7'!AI20+'Table 8'!AA20+'Table 9'!T20+'Table 10'!T20</f>
        <v>52.23</v>
      </c>
      <c r="AC20" s="1599">
        <f t="shared" si="1"/>
        <v>3.48</v>
      </c>
    </row>
    <row r="21" spans="1:29">
      <c r="A21" s="455" t="s">
        <v>28</v>
      </c>
      <c r="B21" s="1353" t="s">
        <v>15</v>
      </c>
      <c r="C21" s="1352">
        <f>'Table 4'!J21+'Table 6'!K21+'Table 7'!C21+'Table 8'!C21+'Table 9'!C21+'Table 10'!C21</f>
        <v>24.74</v>
      </c>
      <c r="D21" s="451">
        <f>'Table 4'!K21+'Table 6'!L21+'Table 7'!D21+'Table 8'!D21+'Table 9'!D21+'Table 10'!D21</f>
        <v>24.9</v>
      </c>
      <c r="E21" s="1078">
        <f>'Table 4'!L21+'Table 6'!M21+'Table 7'!E21+'Table 8'!E21+'Table 9'!E21+'Table 10'!E21</f>
        <v>49.64</v>
      </c>
      <c r="F21" s="1352">
        <f>'Table 4'!M21+'Table 6'!N21+'Table 7'!F21+'Table 8'!F21+'Table 9'!F21+'Table 10'!F21</f>
        <v>26.63</v>
      </c>
      <c r="G21" s="451">
        <f>'Table 4'!N21+'Table 6'!O21+'Table 7'!G21+'Table 8'!G21+'Table 9'!G21+'Table 10'!G21</f>
        <v>24.97</v>
      </c>
      <c r="H21" s="1078">
        <f>'Table 4'!O21+'Table 6'!P21+'Table 7'!H21+'Table 8'!H21+'Table 9'!H21+'Table 10'!H21</f>
        <v>51.6</v>
      </c>
      <c r="I21" s="1352">
        <f>'Table 4'!Q21+'Table 6'!Q21+'Table 7'!I21+'Table 8'!I21+'Table 9'!I21+'Table 10'!I21</f>
        <v>27.67</v>
      </c>
      <c r="J21" s="451">
        <f>'Table 4'!R21+'Table 6'!R21+'Table 7'!J21+'Table 8'!J21+'Table 9'!J21+'Table 10'!J21</f>
        <v>25.02</v>
      </c>
      <c r="K21" s="1078">
        <f>'Table 4'!S21+'Table 6'!S21+'Table 7'!K21+'Table 8'!K21+'Table 9'!K21+'Table 10'!K21</f>
        <v>52.69</v>
      </c>
      <c r="L21" s="1352">
        <f>'Table 4'!U21+'Table 6'!T21+'Table 7'!L21+'Table 8'!L21+'Table 9'!L21+'Table 10'!L21</f>
        <v>28.6</v>
      </c>
      <c r="M21" s="451">
        <f>'Table 4'!V21+'Table 6'!U21+'Table 7'!M21+'Table 8'!M21+'Table 9'!M21+'Table 10'!M21</f>
        <v>25.05</v>
      </c>
      <c r="N21" s="1078">
        <f>'Table 4'!W21+'Table 6'!V21+'Table 7'!N21+'Table 8'!N21+'Table 9'!N21+'Table 10'!N21</f>
        <v>53.65</v>
      </c>
      <c r="O21" s="1352">
        <f>'Table 4'!Y21+'Table 6'!W21+'Table 7'!O21+'Table 8'!O21+'Table 9'!O21+'Table 10'!O21</f>
        <v>29.45</v>
      </c>
      <c r="P21" s="451">
        <f>'Table 4'!Z21+'Table 6'!X21+'Table 7'!P21+'Table 8'!P21+'Table 9'!P21+'Table 10'!P21</f>
        <v>25.08</v>
      </c>
      <c r="Q21" s="1078">
        <f>'Table 4'!AA21+'Table 6'!Y21+'Table 7'!Q21+'Table 8'!Q21+'Table 9'!Q21+'Table 10'!Q21</f>
        <v>54.53</v>
      </c>
      <c r="R21" s="1352">
        <f>'Table 4'!AC21+'Table 6'!Z21+'Table 7'!R21+'Table 8'!R21+'Table 9'!R21+'Table 10'!R21</f>
        <v>30.4</v>
      </c>
      <c r="S21" s="451">
        <f>'Table 4'!AD21+'Table 6'!AA21+'Table 7'!S21+'Table 8'!S21+'Table 9'!S21+'Table 10'!S21</f>
        <v>25.11</v>
      </c>
      <c r="T21" s="1847">
        <f>'Table 4'!AE21+'Table 6'!AB21+'Table 7'!T21+'Table 8'!T21+'Table 9'!T21+'Table 10'!T21</f>
        <v>55.51</v>
      </c>
      <c r="U21" s="1352">
        <f>'Table 4'!AG21+'Table 6'!AC21+'Table 7'!U21+'Table 8'!U21+'Table 9'!U21+'Table 10'!U21</f>
        <v>31.34</v>
      </c>
      <c r="V21" s="451">
        <f>'Table 4'!AH21+'Table 6'!AD21+'Table 7'!V21+'Table 8'!V21+'Table 9'!V21+'Table 10'!V21</f>
        <v>25.15</v>
      </c>
      <c r="W21" s="1847">
        <f>'Table 4'!AI21+'Table 6'!AE21+'Table 7'!W21+'Table 8'!W21+'Table 9'!W21+'Table 10'!W21</f>
        <v>56.49</v>
      </c>
      <c r="X21" s="1375">
        <f t="shared" si="0"/>
        <v>0.14000000000000001</v>
      </c>
      <c r="Y21" s="827">
        <f>'Table 4'!AL21+'Table 6'!AG21+'Table 7'!AG21+'Table 8'!Y21+'Table 9'!R21+'Table 10'!R21</f>
        <v>39.43</v>
      </c>
      <c r="Z21" s="560">
        <f>'Table 4'!AM21+'Table 6'!AH21+'Table 7'!AH21+'Table 8'!Z21+'Table 9'!S21+'Table 10'!S21</f>
        <v>25.65</v>
      </c>
      <c r="AA21" s="940">
        <f>'Table 4'!AN21+'Table 6'!AI21+'Table 7'!AI21+'Table 8'!AA21+'Table 9'!T21+'Table 10'!T21</f>
        <v>65.08</v>
      </c>
      <c r="AC21" s="1599">
        <f t="shared" si="1"/>
        <v>6.85</v>
      </c>
    </row>
    <row r="22" spans="1:29">
      <c r="A22" s="455" t="s">
        <v>29</v>
      </c>
      <c r="B22" s="1353" t="s">
        <v>15</v>
      </c>
      <c r="C22" s="1352">
        <f>'Table 4'!J22+'Table 6'!K22+'Table 7'!C22+'Table 8'!C22+'Table 9'!C22+'Table 10'!C22</f>
        <v>41.25</v>
      </c>
      <c r="D22" s="451">
        <f>'Table 4'!K22+'Table 6'!L22+'Table 7'!D22+'Table 8'!D22+'Table 9'!D22+'Table 10'!D22</f>
        <v>4.3899999999999997</v>
      </c>
      <c r="E22" s="1078">
        <f>'Table 4'!L22+'Table 6'!M22+'Table 7'!E22+'Table 8'!E22+'Table 9'!E22+'Table 10'!E22</f>
        <v>45.64</v>
      </c>
      <c r="F22" s="1352">
        <f>'Table 4'!M22+'Table 6'!N22+'Table 7'!F22+'Table 8'!F22+'Table 9'!F22+'Table 10'!F22</f>
        <v>60.18</v>
      </c>
      <c r="G22" s="451">
        <f>'Table 4'!N22+'Table 6'!O22+'Table 7'!G22+'Table 8'!G22+'Table 9'!G22+'Table 10'!G22</f>
        <v>5.16</v>
      </c>
      <c r="H22" s="1078">
        <f>'Table 4'!O22+'Table 4'!P22+'Table 6'!P22+'Table 7'!H22+'Table 8'!H22+'Table 9'!H22+'Table 10'!H22</f>
        <v>67.55</v>
      </c>
      <c r="I22" s="1352">
        <f>'Table 4'!Q22+'Table 6'!Q22+'Table 7'!I22+'Table 8'!I22+'Table 9'!I22+'Table 10'!I22</f>
        <v>64.69</v>
      </c>
      <c r="J22" s="451">
        <f>'Table 4'!R22+'Table 6'!R22+'Table 7'!J22+'Table 8'!J22+'Table 9'!J22+'Table 10'!J22</f>
        <v>6.08</v>
      </c>
      <c r="K22" s="1078">
        <f>'Table 4'!S22+'Table 4'!T22+'Table 6'!S22+'Table 7'!K22+'Table 8'!K22+'Table 9'!K22+'Table 10'!K22</f>
        <v>74.61</v>
      </c>
      <c r="L22" s="1352">
        <f>'Table 4'!U22+'Table 6'!T22+'Table 7'!L22+'Table 8'!L22+'Table 9'!L22+'Table 10'!L22</f>
        <v>65.319999999999993</v>
      </c>
      <c r="M22" s="451">
        <f>'Table 4'!V22+'Table 6'!U22+'Table 7'!M22+'Table 8'!M22+'Table 9'!M22+'Table 10'!M22</f>
        <v>6.87</v>
      </c>
      <c r="N22" s="1078">
        <f>'Table 4'!W22+'Table 4'!X22+'Table 6'!V22+'Table 7'!N22+'Table 8'!N22+'Table 9'!N22+'Table 10'!N22</f>
        <v>80.59</v>
      </c>
      <c r="O22" s="1352">
        <f>'Table 4'!Y22+'Table 6'!W22+'Table 7'!O22+'Table 8'!O22+'Table 9'!O22+'Table 10'!O22</f>
        <v>65.790000000000006</v>
      </c>
      <c r="P22" s="451">
        <f>'Table 4'!Z22+'Table 6'!X22+'Table 7'!P22+'Table 8'!P22+'Table 9'!P22+'Table 10'!P22</f>
        <v>7.5</v>
      </c>
      <c r="Q22" s="1078">
        <f>'Table 4'!AA22+'Table 4'!AB22+'Table 6'!Y22+'Table 7'!Q22+'Table 8'!Q22+'Table 9'!Q22+'Table 10'!Q22</f>
        <v>85.43</v>
      </c>
      <c r="R22" s="1352">
        <f>'Table 4'!AC22+'Table 6'!Z22+'Table 7'!R22+'Table 8'!R22+'Table 9'!R22+'Table 10'!R22</f>
        <v>66.209999999999994</v>
      </c>
      <c r="S22" s="451">
        <f>'Table 4'!AD22+'Table 6'!AA22+'Table 7'!S22+'Table 8'!S22+'Table 9'!S22+'Table 10'!S22</f>
        <v>8.08</v>
      </c>
      <c r="T22" s="1847">
        <f>'Table 4'!AE22+'Table 4'!AF22+'Table 6'!AB22+'Table 7'!T22+'Table 8'!T22+'Table 9'!T22+'Table 10'!T22</f>
        <v>89.57</v>
      </c>
      <c r="U22" s="1352">
        <f>'Table 4'!AG22+'Table 6'!AC22+'Table 7'!U22+'Table 8'!U22+'Table 9'!U22+'Table 10'!U22</f>
        <v>66.78</v>
      </c>
      <c r="V22" s="451">
        <f>'Table 4'!AH22+'Table 6'!AD22+'Table 7'!V22+'Table 8'!V22+'Table 9'!V22+'Table 10'!V22</f>
        <v>8.64</v>
      </c>
      <c r="W22" s="1847">
        <f>'Table 4'!AI22+'Table 4'!AJ22+'Table 6'!AE22+'Table 7'!W22+'Table 8'!W22+'Table 9'!W22+'Table 10'!W22</f>
        <v>93.37</v>
      </c>
      <c r="X22" s="1375">
        <f t="shared" si="0"/>
        <v>1.05</v>
      </c>
      <c r="Y22" s="827">
        <f>'Table 4'!AL22+'Table 6'!AG22+'Table 7'!AG22+'Table 8'!Y22+'Table 9'!R22+'Table 10'!R22</f>
        <v>78.94</v>
      </c>
      <c r="Z22" s="560">
        <f>'Table 4'!AM22+'Table 6'!AH22+'Table 7'!AH22+'Table 8'!Z22+'Table 9'!S22+'Table 10'!S22</f>
        <v>10.27</v>
      </c>
      <c r="AA22" s="940">
        <f>'Table 4'!AN22+'Table 4'!AO22+'Table 6'!AI22+'Table 7'!AI22+'Table 8'!AA22+'Table 9'!T22+'Table 10'!T22</f>
        <v>109.54</v>
      </c>
      <c r="AC22" s="1599">
        <f t="shared" si="1"/>
        <v>47.73</v>
      </c>
    </row>
    <row r="23" spans="1:29">
      <c r="A23" s="456" t="s">
        <v>30</v>
      </c>
      <c r="B23" s="1353" t="s">
        <v>17</v>
      </c>
      <c r="C23" s="1352">
        <f>'Table 4'!J23+'Table 6'!K23+'Table 7'!C23+'Table 8'!C23+'Table 9'!C23+'Table 10'!C23</f>
        <v>41.68</v>
      </c>
      <c r="D23" s="451">
        <f>'Table 4'!K23+'Table 6'!L23+'Table 7'!D23+'Table 8'!D23+'Table 9'!D23+'Table 10'!D23</f>
        <v>0.06</v>
      </c>
      <c r="E23" s="1078">
        <f>'Table 4'!L23+'Table 6'!M23+'Table 7'!E23+'Table 8'!E23+'Table 9'!E23+'Table 10'!E23</f>
        <v>41.74</v>
      </c>
      <c r="F23" s="1352">
        <f>'Table 4'!M23+'Table 6'!N23+'Table 7'!F23+'Table 8'!F23+'Table 9'!F23+'Table 10'!F23</f>
        <v>44.62</v>
      </c>
      <c r="G23" s="451">
        <f>'Table 4'!N23+'Table 6'!O23+'Table 7'!G23+'Table 8'!G23+'Table 9'!G23+'Table 10'!G23</f>
        <v>0.05</v>
      </c>
      <c r="H23" s="1078">
        <f>'Table 4'!O23+'Table 6'!P23+'Table 7'!H23+'Table 8'!H23+'Table 9'!H23+'Table 10'!H23</f>
        <v>44.67</v>
      </c>
      <c r="I23" s="1352">
        <f>'Table 4'!Q23+'Table 6'!Q23+'Table 7'!I23+'Table 8'!I23+'Table 9'!I23+'Table 10'!I23</f>
        <v>47.19</v>
      </c>
      <c r="J23" s="451">
        <f>'Table 4'!R23+'Table 6'!R23+'Table 7'!J23+'Table 8'!J23+'Table 9'!J23+'Table 10'!J23</f>
        <v>0.05</v>
      </c>
      <c r="K23" s="1078">
        <f>'Table 4'!S23+'Table 6'!S23+'Table 7'!K23+'Table 8'!K23+'Table 9'!K23+'Table 10'!K23</f>
        <v>47.24</v>
      </c>
      <c r="L23" s="1352">
        <f>'Table 4'!U23+'Table 6'!T23+'Table 7'!L23+'Table 8'!L23+'Table 9'!L23+'Table 10'!L23</f>
        <v>49.14</v>
      </c>
      <c r="M23" s="451">
        <f>'Table 4'!V23+'Table 6'!U23+'Table 7'!M23+'Table 8'!M23+'Table 9'!M23+'Table 10'!M23</f>
        <v>0.05</v>
      </c>
      <c r="N23" s="1078">
        <f>'Table 4'!W23+'Table 6'!V23+'Table 7'!N23+'Table 8'!N23+'Table 9'!N23+'Table 10'!N23</f>
        <v>49.19</v>
      </c>
      <c r="O23" s="1352">
        <f>'Table 4'!Y23+'Table 6'!W23+'Table 7'!O23+'Table 8'!O23+'Table 9'!O23+'Table 10'!O23</f>
        <v>51.3</v>
      </c>
      <c r="P23" s="451">
        <f>'Table 4'!Z23+'Table 6'!X23+'Table 7'!P23+'Table 8'!P23+'Table 9'!P23+'Table 10'!P23</f>
        <v>0.05</v>
      </c>
      <c r="Q23" s="1078">
        <f>'Table 4'!AA23+'Table 6'!Y23+'Table 7'!Q23+'Table 8'!Q23+'Table 9'!Q23+'Table 10'!Q23</f>
        <v>51.35</v>
      </c>
      <c r="R23" s="1352">
        <f>'Table 4'!AC23+'Table 6'!Z23+'Table 7'!R23+'Table 8'!R23+'Table 9'!R23+'Table 10'!R23</f>
        <v>53.36</v>
      </c>
      <c r="S23" s="451">
        <f>'Table 4'!AD23+'Table 6'!AA23+'Table 7'!S23+'Table 8'!S23+'Table 9'!S23+'Table 10'!S23</f>
        <v>0.05</v>
      </c>
      <c r="T23" s="1847">
        <f>'Table 4'!AE23+'Table 6'!AB23+'Table 7'!T23+'Table 8'!T23+'Table 9'!T23+'Table 10'!T23</f>
        <v>53.41</v>
      </c>
      <c r="U23" s="1352">
        <f>'Table 4'!AG23+'Table 6'!AC23+'Table 7'!U23+'Table 8'!U23+'Table 9'!U23+'Table 10'!U23</f>
        <v>55.51</v>
      </c>
      <c r="V23" s="451">
        <f>'Table 4'!AH23+'Table 6'!AD23+'Table 7'!V23+'Table 8'!V23+'Table 9'!V23+'Table 10'!V23</f>
        <v>0.05</v>
      </c>
      <c r="W23" s="1847">
        <f>'Table 4'!AI23+'Table 6'!AE23+'Table 7'!W23+'Table 8'!W23+'Table 9'!W23+'Table 10'!W23</f>
        <v>55.56</v>
      </c>
      <c r="X23" s="1375">
        <f t="shared" si="0"/>
        <v>0.33</v>
      </c>
      <c r="Y23" s="827">
        <f>'Table 4'!AL23+'Table 6'!AG23+'Table 7'!AG23+'Table 8'!Y23+'Table 9'!R23+'Table 10'!R23</f>
        <v>68.33</v>
      </c>
      <c r="Z23" s="560">
        <f>'Table 4'!AM23+'Table 6'!AH23+'Table 7'!AH23+'Table 8'!Z23+'Table 9'!S23+'Table 10'!S23</f>
        <v>0.05</v>
      </c>
      <c r="AA23" s="940">
        <f>'Table 4'!AN23+'Table 6'!AI23+'Table 7'!AI23+'Table 8'!AA23+'Table 9'!T23+'Table 10'!T23</f>
        <v>68.38</v>
      </c>
      <c r="AB23" s="2" t="s">
        <v>36</v>
      </c>
      <c r="AC23" s="1599">
        <f t="shared" si="1"/>
        <v>13.82</v>
      </c>
    </row>
    <row r="24" spans="1:29" ht="13.5" thickBot="1">
      <c r="A24" s="579" t="s">
        <v>31</v>
      </c>
      <c r="B24" s="1349" t="s">
        <v>17</v>
      </c>
      <c r="C24" s="1306">
        <f>'Table 4'!J24+'Table 6'!K24+'Table 7'!C24+'Table 8'!C24+'Table 9'!C24+'Table 10'!C24</f>
        <v>2.76</v>
      </c>
      <c r="D24" s="1057">
        <f>'Table 4'!K24+'Table 6'!L24+'Table 7'!D24+'Table 8'!D24+'Table 9'!D24+'Table 10'!D24</f>
        <v>0</v>
      </c>
      <c r="E24" s="1058">
        <f>'Table 4'!L24+'Table 6'!M24+'Table 7'!E24+'Table 8'!E24+'Table 9'!E24+'Table 10'!E24</f>
        <v>2.76</v>
      </c>
      <c r="F24" s="1306">
        <f>'Table 4'!M24+'Table 6'!N24+'Table 7'!F24+'Table 8'!F24+'Table 9'!F24+'Table 10'!F24</f>
        <v>2.71</v>
      </c>
      <c r="G24" s="1057">
        <f>'Table 4'!N24+'Table 6'!O24+'Table 7'!G24+'Table 8'!G24+'Table 9'!G24+'Table 10'!G24</f>
        <v>0</v>
      </c>
      <c r="H24" s="1058">
        <f>'Table 4'!O24+'Table 6'!P24+'Table 7'!H24+'Table 8'!H24+'Table 9'!H24+'Table 10'!H24</f>
        <v>2.81</v>
      </c>
      <c r="I24" s="1306">
        <f>'Table 4'!Q24+'Table 6'!Q24+'Table 7'!I24+'Table 8'!I24+'Table 9'!I24+'Table 10'!I24</f>
        <v>3.02</v>
      </c>
      <c r="J24" s="1057">
        <f>'Table 4'!R24+'Table 6'!R24+'Table 7'!J24+'Table 8'!J24+'Table 9'!J24+'Table 10'!J24</f>
        <v>0</v>
      </c>
      <c r="K24" s="1058">
        <f>'Table 4'!S24+'Table 6'!S24+'Table 7'!K24+'Table 8'!K24+'Table 9'!K24+'Table 10'!K24</f>
        <v>3.02</v>
      </c>
      <c r="L24" s="1306">
        <f>'Table 4'!U24+'Table 6'!T24+'Table 7'!L24+'Table 8'!L24+'Table 9'!L24+'Table 10'!L24</f>
        <v>3.17</v>
      </c>
      <c r="M24" s="1057">
        <f>'Table 4'!V24+'Table 6'!U24+'Table 7'!M24+'Table 8'!M24+'Table 9'!M24+'Table 10'!M24</f>
        <v>0</v>
      </c>
      <c r="N24" s="1058">
        <f>'Table 4'!W24+'Table 6'!V24+'Table 7'!N24+'Table 8'!N24+'Table 9'!N24+'Table 10'!N24</f>
        <v>3.17</v>
      </c>
      <c r="O24" s="1306">
        <f>'Table 4'!Y24+'Table 6'!W24+'Table 7'!O24+'Table 8'!O24+'Table 9'!O24+'Table 10'!O24</f>
        <v>3.28</v>
      </c>
      <c r="P24" s="1057">
        <f>'Table 4'!Z24+'Table 6'!X24+'Table 7'!P24+'Table 8'!P24+'Table 9'!P24+'Table 10'!P24</f>
        <v>0</v>
      </c>
      <c r="Q24" s="1058">
        <f>'Table 4'!AA24+'Table 6'!Y24+'Table 7'!Q24+'Table 8'!Q24+'Table 9'!Q24+'Table 10'!Q24</f>
        <v>3.28</v>
      </c>
      <c r="R24" s="1306">
        <f>'Table 4'!AC24+'Table 6'!Z24+'Table 7'!R24+'Table 8'!R24+'Table 9'!R24+'Table 10'!R24</f>
        <v>3.45</v>
      </c>
      <c r="S24" s="1057">
        <f>'Table 4'!AD24+'Table 6'!AA24+'Table 7'!S24+'Table 8'!S24+'Table 9'!S24+'Table 10'!S24</f>
        <v>0</v>
      </c>
      <c r="T24" s="1385">
        <f>'Table 4'!AE24+'Table 6'!AB24+'Table 7'!T24+'Table 8'!T24+'Table 9'!T24+'Table 10'!T24</f>
        <v>3.45</v>
      </c>
      <c r="U24" s="1306">
        <f>'Table 4'!AG24+'Table 6'!AC24+'Table 7'!U24+'Table 8'!U24+'Table 9'!U24+'Table 10'!U24</f>
        <v>3.57</v>
      </c>
      <c r="V24" s="1057">
        <f>'Table 4'!AH24+'Table 6'!AD24+'Table 7'!V24+'Table 8'!V24+'Table 9'!V24+'Table 10'!V24</f>
        <v>0</v>
      </c>
      <c r="W24" s="1385">
        <f>'Table 4'!AI24+'Table 6'!AE24+'Table 7'!W24+'Table 8'!W24+'Table 9'!W24+'Table 10'!W24</f>
        <v>3.57</v>
      </c>
      <c r="X24" s="1384">
        <f t="shared" si="0"/>
        <v>0.28999999999999998</v>
      </c>
      <c r="Y24" s="467">
        <f>'Table 4'!AL24+'Table 6'!AG24+'Table 7'!AG24+'Table 8'!Y24+'Table 9'!R24+'Table 10'!R24</f>
        <v>4.29</v>
      </c>
      <c r="Z24" s="562">
        <f>'Table 4'!AM24+'Table 6'!AH24+'Table 7'!AH24+'Table 8'!Z24+'Table 9'!S24+'Table 10'!S24</f>
        <v>0</v>
      </c>
      <c r="AA24" s="943">
        <f>'Table 4'!AN24+'Table 6'!AI24+'Table 7'!AI24+'Table 8'!AA24+'Table 9'!T24+'Table 10'!T24</f>
        <v>4.29</v>
      </c>
      <c r="AC24" s="1741">
        <f t="shared" si="1"/>
        <v>0.81</v>
      </c>
    </row>
    <row r="25" spans="1:29" ht="14.25" thickTop="1" thickBot="1">
      <c r="A25" s="3231" t="s">
        <v>32</v>
      </c>
      <c r="B25" s="3232"/>
      <c r="C25" s="1226">
        <f>C5+C8+C11+C14+C16+C17+C20+C21+C22</f>
        <v>320.25</v>
      </c>
      <c r="D25" s="481">
        <f t="shared" ref="D25:W25" si="8">D5+D8+D11+D14+D16+D17+D20+D21+D22</f>
        <v>51.57</v>
      </c>
      <c r="E25" s="447">
        <f t="shared" si="8"/>
        <v>371.82</v>
      </c>
      <c r="F25" s="1226">
        <f t="shared" si="8"/>
        <v>359.62</v>
      </c>
      <c r="G25" s="481">
        <f t="shared" si="8"/>
        <v>53.97</v>
      </c>
      <c r="H25" s="447">
        <f t="shared" si="8"/>
        <v>417.09</v>
      </c>
      <c r="I25" s="1226">
        <f t="shared" si="8"/>
        <v>380.74</v>
      </c>
      <c r="J25" s="481">
        <f t="shared" si="8"/>
        <v>55.98</v>
      </c>
      <c r="K25" s="447">
        <f t="shared" si="8"/>
        <v>441.85</v>
      </c>
      <c r="L25" s="1226">
        <f t="shared" si="8"/>
        <v>393.88</v>
      </c>
      <c r="M25" s="481">
        <f t="shared" si="8"/>
        <v>57.89</v>
      </c>
      <c r="N25" s="447">
        <f t="shared" si="8"/>
        <v>461.46</v>
      </c>
      <c r="O25" s="1226">
        <f t="shared" si="8"/>
        <v>405.63</v>
      </c>
      <c r="P25" s="481">
        <f t="shared" si="8"/>
        <v>60.09</v>
      </c>
      <c r="Q25" s="447">
        <f t="shared" si="8"/>
        <v>479.28</v>
      </c>
      <c r="R25" s="1226">
        <f t="shared" si="8"/>
        <v>415.03</v>
      </c>
      <c r="S25" s="481">
        <f t="shared" si="8"/>
        <v>62.2</v>
      </c>
      <c r="T25" s="477">
        <f t="shared" si="8"/>
        <v>494.21</v>
      </c>
      <c r="U25" s="1226">
        <f t="shared" si="8"/>
        <v>423.99</v>
      </c>
      <c r="V25" s="481">
        <f t="shared" si="8"/>
        <v>64.3</v>
      </c>
      <c r="W25" s="477">
        <f t="shared" si="8"/>
        <v>508.36</v>
      </c>
      <c r="X25" s="1376">
        <f t="shared" si="0"/>
        <v>0.37</v>
      </c>
      <c r="Y25" s="482">
        <f t="shared" ref="Y25:AA25" si="9">Y5+Y8+Y11+Y14+Y16+Y17+Y20+Y21+Y22</f>
        <v>465.61</v>
      </c>
      <c r="Z25" s="554">
        <f t="shared" si="9"/>
        <v>68.459999999999994</v>
      </c>
      <c r="AA25" s="486">
        <f t="shared" si="9"/>
        <v>556.88</v>
      </c>
      <c r="AC25" s="1596">
        <f t="shared" si="1"/>
        <v>136.54</v>
      </c>
    </row>
    <row r="26" spans="1:29" ht="13.5" thickBot="1">
      <c r="A26" s="3229" t="s">
        <v>33</v>
      </c>
      <c r="B26" s="3230"/>
      <c r="C26" s="1341">
        <f>C6+C9+C12+C15+C18+C19+C23+C24</f>
        <v>142.06</v>
      </c>
      <c r="D26" s="492">
        <f t="shared" ref="D26:W26" si="10">D6+D9+D12+D15+D18+D19+D23+D24</f>
        <v>17.25</v>
      </c>
      <c r="E26" s="524">
        <f t="shared" si="10"/>
        <v>159.31</v>
      </c>
      <c r="F26" s="1341">
        <f t="shared" si="10"/>
        <v>142.72</v>
      </c>
      <c r="G26" s="492">
        <f t="shared" si="10"/>
        <v>17.239999999999998</v>
      </c>
      <c r="H26" s="524">
        <f t="shared" si="10"/>
        <v>160.33000000000001</v>
      </c>
      <c r="I26" s="1341">
        <f t="shared" si="10"/>
        <v>149.44</v>
      </c>
      <c r="J26" s="492">
        <f t="shared" si="10"/>
        <v>17.239999999999998</v>
      </c>
      <c r="K26" s="524">
        <f t="shared" si="10"/>
        <v>166.68</v>
      </c>
      <c r="L26" s="1341">
        <f t="shared" si="10"/>
        <v>154.85</v>
      </c>
      <c r="M26" s="492">
        <f t="shared" si="10"/>
        <v>17.239999999999998</v>
      </c>
      <c r="N26" s="524">
        <f t="shared" si="10"/>
        <v>172.09</v>
      </c>
      <c r="O26" s="1341">
        <f t="shared" si="10"/>
        <v>160.97</v>
      </c>
      <c r="P26" s="492">
        <f t="shared" si="10"/>
        <v>17.239999999999998</v>
      </c>
      <c r="Q26" s="524">
        <f t="shared" si="10"/>
        <v>178.21</v>
      </c>
      <c r="R26" s="1341">
        <f t="shared" si="10"/>
        <v>166.83</v>
      </c>
      <c r="S26" s="492">
        <f t="shared" si="10"/>
        <v>17.239999999999998</v>
      </c>
      <c r="T26" s="488">
        <f t="shared" si="10"/>
        <v>184.07</v>
      </c>
      <c r="U26" s="1341">
        <f t="shared" si="10"/>
        <v>172.67</v>
      </c>
      <c r="V26" s="492">
        <f t="shared" si="10"/>
        <v>17.239999999999998</v>
      </c>
      <c r="W26" s="488">
        <f t="shared" si="10"/>
        <v>189.91</v>
      </c>
      <c r="X26" s="1377">
        <f t="shared" si="0"/>
        <v>0.19</v>
      </c>
      <c r="Y26" s="493">
        <f t="shared" ref="Y26:AA26" si="11">Y6+Y9+Y12+Y15+Y18+Y19+Y23+Y24</f>
        <v>204.52</v>
      </c>
      <c r="Z26" s="561">
        <f t="shared" si="11"/>
        <v>17.239999999999998</v>
      </c>
      <c r="AA26" s="497">
        <f t="shared" si="11"/>
        <v>221.76</v>
      </c>
      <c r="AC26" s="1600">
        <f t="shared" si="1"/>
        <v>30.6</v>
      </c>
    </row>
    <row r="27" spans="1:29" s="67" customFormat="1" ht="13.5" thickBot="1">
      <c r="A27" s="3202" t="s">
        <v>34</v>
      </c>
      <c r="B27" s="3203"/>
      <c r="C27" s="1378">
        <f>C25+C26</f>
        <v>462.31</v>
      </c>
      <c r="D27" s="1379">
        <f t="shared" ref="D27:W27" si="12">D25+D26</f>
        <v>68.819999999999993</v>
      </c>
      <c r="E27" s="1380">
        <f t="shared" si="12"/>
        <v>531.13</v>
      </c>
      <c r="F27" s="1378">
        <f t="shared" si="12"/>
        <v>502.34</v>
      </c>
      <c r="G27" s="1379">
        <f t="shared" si="12"/>
        <v>71.209999999999994</v>
      </c>
      <c r="H27" s="1380">
        <f t="shared" si="12"/>
        <v>577.41999999999996</v>
      </c>
      <c r="I27" s="1378">
        <f t="shared" si="12"/>
        <v>530.17999999999995</v>
      </c>
      <c r="J27" s="1379">
        <f t="shared" si="12"/>
        <v>73.22</v>
      </c>
      <c r="K27" s="1380">
        <f t="shared" si="12"/>
        <v>608.53</v>
      </c>
      <c r="L27" s="1378">
        <f t="shared" si="12"/>
        <v>548.73</v>
      </c>
      <c r="M27" s="1379">
        <f t="shared" si="12"/>
        <v>75.13</v>
      </c>
      <c r="N27" s="1380">
        <f t="shared" si="12"/>
        <v>633.54999999999995</v>
      </c>
      <c r="O27" s="1378">
        <f t="shared" si="12"/>
        <v>566.6</v>
      </c>
      <c r="P27" s="1379">
        <f t="shared" si="12"/>
        <v>77.33</v>
      </c>
      <c r="Q27" s="1380">
        <f t="shared" si="12"/>
        <v>657.49</v>
      </c>
      <c r="R27" s="1378">
        <f t="shared" si="12"/>
        <v>581.86</v>
      </c>
      <c r="S27" s="1379">
        <f t="shared" si="12"/>
        <v>79.44</v>
      </c>
      <c r="T27" s="1381">
        <f t="shared" si="12"/>
        <v>678.28</v>
      </c>
      <c r="U27" s="1378">
        <f t="shared" si="12"/>
        <v>596.66</v>
      </c>
      <c r="V27" s="1379">
        <f t="shared" si="12"/>
        <v>81.540000000000006</v>
      </c>
      <c r="W27" s="1381">
        <f t="shared" si="12"/>
        <v>698.27</v>
      </c>
      <c r="X27" s="1382">
        <f t="shared" si="0"/>
        <v>0.31</v>
      </c>
      <c r="Y27" s="1378">
        <f t="shared" ref="Y27" si="13">Y25+Y26</f>
        <v>670.13</v>
      </c>
      <c r="Z27" s="1379">
        <f t="shared" ref="Z27" si="14">Z25+Z26</f>
        <v>85.7</v>
      </c>
      <c r="AA27" s="1380">
        <f t="shared" ref="AA27" si="15">AA25+AA26</f>
        <v>778.64</v>
      </c>
      <c r="AC27" s="1601">
        <f t="shared" si="1"/>
        <v>167.14</v>
      </c>
    </row>
    <row r="28" spans="1:29">
      <c r="A28" s="54" t="s">
        <v>35</v>
      </c>
      <c r="C28" s="1205"/>
      <c r="D28" s="1205"/>
      <c r="E28" s="1205"/>
      <c r="F28" s="1205"/>
      <c r="G28" s="1205"/>
      <c r="H28" s="1205"/>
      <c r="I28" s="1205"/>
      <c r="J28" s="1205"/>
      <c r="K28" s="1205"/>
      <c r="L28" s="1205"/>
      <c r="M28" s="1205"/>
      <c r="N28" s="1205"/>
      <c r="O28" s="1205"/>
    </row>
    <row r="29" spans="1:29">
      <c r="A29" s="2" t="s">
        <v>68</v>
      </c>
      <c r="C29" s="1205"/>
      <c r="D29" s="1205"/>
      <c r="E29" s="1205"/>
      <c r="F29" s="1205"/>
      <c r="G29" s="1205"/>
      <c r="H29" s="1205"/>
      <c r="I29" s="1205"/>
      <c r="J29" s="1205"/>
      <c r="K29" s="1205"/>
      <c r="L29" s="1205"/>
      <c r="M29" s="1205"/>
      <c r="N29" s="1205"/>
    </row>
    <row r="30" spans="1:29">
      <c r="A30" s="2" t="s">
        <v>69</v>
      </c>
      <c r="G30" s="2" t="s">
        <v>36</v>
      </c>
    </row>
    <row r="31" spans="1:29">
      <c r="A31" s="1" t="s">
        <v>73</v>
      </c>
    </row>
    <row r="33" spans="1:29" ht="13.5" thickBot="1">
      <c r="A33" s="3224" t="s">
        <v>74</v>
      </c>
      <c r="B33" s="3224"/>
      <c r="C33" s="3224"/>
      <c r="D33" s="3224"/>
      <c r="E33" s="3224"/>
      <c r="F33" s="3224"/>
      <c r="G33" s="3224"/>
      <c r="H33" s="3224"/>
      <c r="I33" s="3224"/>
      <c r="J33" s="3224"/>
      <c r="K33" s="3224"/>
      <c r="L33" s="3224"/>
      <c r="M33" s="3224"/>
      <c r="N33" s="3224"/>
      <c r="O33" s="3224"/>
      <c r="P33" s="3224"/>
      <c r="Q33" s="3224"/>
      <c r="R33" s="3224"/>
      <c r="S33" s="3224"/>
      <c r="T33" s="3224"/>
      <c r="U33" s="3224"/>
      <c r="V33" s="3224"/>
      <c r="W33" s="3224"/>
      <c r="X33" s="3224"/>
      <c r="Y33" s="3224"/>
      <c r="Z33" s="3224"/>
      <c r="AA33" s="3224"/>
    </row>
    <row r="34" spans="1:29" ht="13.5" thickBot="1">
      <c r="A34" s="3206" t="s">
        <v>1</v>
      </c>
      <c r="B34" s="3233" t="s">
        <v>2</v>
      </c>
      <c r="C34" s="3221" t="s">
        <v>55</v>
      </c>
      <c r="D34" s="3222"/>
      <c r="E34" s="3223"/>
      <c r="F34" s="3221" t="s">
        <v>56</v>
      </c>
      <c r="G34" s="3222"/>
      <c r="H34" s="3222"/>
      <c r="I34" s="3222"/>
      <c r="J34" s="3222"/>
      <c r="K34" s="3222"/>
      <c r="L34" s="3222"/>
      <c r="M34" s="3222"/>
      <c r="N34" s="3222"/>
      <c r="O34" s="3222"/>
      <c r="P34" s="3222"/>
      <c r="Q34" s="3222"/>
      <c r="R34" s="3222"/>
      <c r="S34" s="3222"/>
      <c r="T34" s="3222"/>
      <c r="U34" s="3222"/>
      <c r="V34" s="3222"/>
      <c r="W34" s="3223"/>
      <c r="X34" s="3238" t="s">
        <v>57</v>
      </c>
      <c r="Y34" s="3221" t="s">
        <v>58</v>
      </c>
      <c r="Z34" s="3222"/>
      <c r="AA34" s="3223"/>
      <c r="AC34" s="3238" t="s">
        <v>59</v>
      </c>
    </row>
    <row r="35" spans="1:29">
      <c r="A35" s="3207"/>
      <c r="B35" s="3234"/>
      <c r="C35" s="3216">
        <v>2015</v>
      </c>
      <c r="D35" s="3217"/>
      <c r="E35" s="3218"/>
      <c r="F35" s="3216">
        <v>2020</v>
      </c>
      <c r="G35" s="3217"/>
      <c r="H35" s="3218"/>
      <c r="I35" s="3216">
        <v>2025</v>
      </c>
      <c r="J35" s="3217"/>
      <c r="K35" s="3218"/>
      <c r="L35" s="3216">
        <v>2030</v>
      </c>
      <c r="M35" s="3217"/>
      <c r="N35" s="3218"/>
      <c r="O35" s="3216">
        <v>2035</v>
      </c>
      <c r="P35" s="3217"/>
      <c r="Q35" s="3218"/>
      <c r="R35" s="3216">
        <v>2040</v>
      </c>
      <c r="S35" s="3217"/>
      <c r="T35" s="3218"/>
      <c r="U35" s="3216">
        <v>2045</v>
      </c>
      <c r="V35" s="3217"/>
      <c r="W35" s="3218"/>
      <c r="X35" s="3239"/>
      <c r="Y35" s="3216">
        <v>2045</v>
      </c>
      <c r="Z35" s="3217"/>
      <c r="AA35" s="3218"/>
      <c r="AC35" s="3239"/>
    </row>
    <row r="36" spans="1:29" ht="15.75" customHeight="1" thickBot="1">
      <c r="A36" s="3208"/>
      <c r="B36" s="3235"/>
      <c r="C36" s="1655" t="s">
        <v>60</v>
      </c>
      <c r="D36" s="1657" t="s">
        <v>61</v>
      </c>
      <c r="E36" s="1658" t="s">
        <v>18</v>
      </c>
      <c r="F36" s="1669" t="s">
        <v>60</v>
      </c>
      <c r="G36" s="1657" t="s">
        <v>61</v>
      </c>
      <c r="H36" s="1658" t="s">
        <v>18</v>
      </c>
      <c r="I36" s="1655" t="s">
        <v>60</v>
      </c>
      <c r="J36" s="1017" t="s">
        <v>61</v>
      </c>
      <c r="K36" s="1659" t="s">
        <v>18</v>
      </c>
      <c r="L36" s="1655" t="s">
        <v>60</v>
      </c>
      <c r="M36" s="1657" t="s">
        <v>61</v>
      </c>
      <c r="N36" s="1658" t="s">
        <v>18</v>
      </c>
      <c r="O36" s="1669" t="s">
        <v>60</v>
      </c>
      <c r="P36" s="1017" t="s">
        <v>61</v>
      </c>
      <c r="Q36" s="1656" t="s">
        <v>18</v>
      </c>
      <c r="R36" s="1655" t="s">
        <v>60</v>
      </c>
      <c r="S36" s="1657" t="s">
        <v>61</v>
      </c>
      <c r="T36" s="1658" t="s">
        <v>18</v>
      </c>
      <c r="U36" s="1655" t="s">
        <v>60</v>
      </c>
      <c r="V36" s="1657" t="s">
        <v>61</v>
      </c>
      <c r="W36" s="1658" t="s">
        <v>18</v>
      </c>
      <c r="X36" s="3240"/>
      <c r="Y36" s="1670" t="s">
        <v>60</v>
      </c>
      <c r="Z36" s="1671" t="s">
        <v>61</v>
      </c>
      <c r="AA36" s="1664" t="s">
        <v>18</v>
      </c>
      <c r="AC36" s="3240"/>
    </row>
    <row r="37" spans="1:29">
      <c r="A37" s="443" t="s">
        <v>46</v>
      </c>
      <c r="B37" s="121" t="s">
        <v>17</v>
      </c>
      <c r="C37" s="1300">
        <f>'Table 4'!J37+'Table 6'!K38+'Table 7'!C40+'Table 8'!C39+'Table 9'!C39+'Table 10'!C38</f>
        <v>8.99</v>
      </c>
      <c r="D37" s="112">
        <f>'Table 4'!K37+'Table 6'!L38+'Table 7'!D40+'Table 8'!D39+'Table 9'!D39+'Table 10'!D38</f>
        <v>0</v>
      </c>
      <c r="E37" s="1667">
        <f>'Table 4'!L37+'Table 6'!M38+'Table 7'!E40+'Table 8'!E39+'Table 9'!E39+'Table 10'!E38</f>
        <v>8.99</v>
      </c>
      <c r="F37" s="1300">
        <f>'Table 4'!M37+'Table 6'!N38+'Table 7'!F40+'Table 8'!F39+'Table 9'!F39+'Table 10'!F38</f>
        <v>7.74</v>
      </c>
      <c r="G37" s="112">
        <f>'Table 4'!N37+'Table 6'!O38+'Table 7'!G40+'Table 8'!G39+'Table 9'!G39+'Table 10'!G38</f>
        <v>0</v>
      </c>
      <c r="H37" s="1667">
        <f>'Table 4'!O37+'Table 6'!P38+'Table 7'!H40+'Table 8'!H39+'Table 9'!H39+'Table 10'!H38</f>
        <v>7.86</v>
      </c>
      <c r="I37" s="1300">
        <f>'Table 4'!Q37+'Table 6'!Q38+'Table 7'!I40+'Table 8'!I39+'Table 9'!I39+'Table 10'!I38</f>
        <v>8.35</v>
      </c>
      <c r="J37" s="112">
        <f>'Table 4'!R37+'Table 6'!R38+'Table 7'!J40+'Table 8'!J39+'Table 9'!J39+'Table 10'!J38</f>
        <v>0</v>
      </c>
      <c r="K37" s="1667">
        <f>'Table 4'!S37+'Table 6'!S38+'Table 7'!K40+'Table 8'!K39+'Table 9'!K39+'Table 10'!K38</f>
        <v>8.35</v>
      </c>
      <c r="L37" s="1300">
        <f>'Table 4'!U37+'Table 6'!T38+'Table 7'!L40+'Table 8'!L39+'Table 9'!L39+'Table 10'!L38</f>
        <v>8.83</v>
      </c>
      <c r="M37" s="112">
        <f>'Table 4'!V37+'Table 6'!U38+'Table 7'!M40+'Table 8'!M39+'Table 9'!M39+'Table 10'!M38</f>
        <v>0</v>
      </c>
      <c r="N37" s="1667">
        <f>'Table 4'!W37+'Table 6'!V38+'Table 7'!N40+'Table 8'!N39+'Table 9'!N39+'Table 10'!N38</f>
        <v>8.83</v>
      </c>
      <c r="O37" s="1300">
        <f>'Table 4'!Y37+'Table 6'!W38+'Table 7'!O40+'Table 8'!O39+'Table 9'!O39+'Table 10'!O38</f>
        <v>9.24</v>
      </c>
      <c r="P37" s="112">
        <f>'Table 4'!Z37+'Table 6'!X38+'Table 7'!P40+'Table 8'!P39+'Table 9'!P39+'Table 10'!P38</f>
        <v>0</v>
      </c>
      <c r="Q37" s="1667">
        <f>'Table 4'!AA37+'Table 6'!Y38+'Table 7'!Q40+'Table 8'!Q39+'Table 9'!Q39+'Table 10'!Q38</f>
        <v>9.24</v>
      </c>
      <c r="R37" s="1300">
        <f>'Table 4'!AC37+'Table 6'!Z38+'Table 7'!R40+'Table 8'!R39+'Table 9'!R39+'Table 10'!R38</f>
        <v>9.74</v>
      </c>
      <c r="S37" s="112">
        <f>'Table 4'!AD37+'Table 6'!AA38+'Table 7'!S40+'Table 8'!S39+'Table 9'!S39+'Table 10'!S38</f>
        <v>0</v>
      </c>
      <c r="T37" s="1667">
        <f>'Table 4'!AE37+'Table 6'!AB38+'Table 7'!T40+'Table 8'!T39+'Table 9'!T39+'Table 10'!T38</f>
        <v>9.74</v>
      </c>
      <c r="U37" s="1300">
        <f>'Table 4'!AG37+'Table 6'!AC38+'Table 7'!U40+'Table 8'!U39+'Table 9'!U39+'Table 10'!U38</f>
        <v>10.11</v>
      </c>
      <c r="V37" s="112">
        <f>'Table 4'!AH37+'Table 6'!AD38+'Table 7'!V40+'Table 8'!V39+'Table 9'!V39+'Table 10'!V38</f>
        <v>0</v>
      </c>
      <c r="W37" s="1667">
        <f>'Table 4'!AI37+'Table 6'!AE38+'Table 7'!W40+'Table 8'!W39+'Table 9'!W39+'Table 10'!W38</f>
        <v>10.11</v>
      </c>
      <c r="X37" s="1374">
        <f t="shared" ref="X37:X43" si="16">(W37-E37)/E37</f>
        <v>0.12</v>
      </c>
      <c r="Y37" s="444">
        <f>'Table 4'!AL37+'Table 6'!AG38+'Table 7'!AG40+'Table 8'!Y39+'Table 9'!R39+'Table 10'!R38</f>
        <v>12.47</v>
      </c>
      <c r="Z37" s="585">
        <f>'Table 4'!AM37+'Table 6'!AH38+'Table 7'!AH40+'Table 8'!Z39+'Table 9'!S39+'Table 10'!S38</f>
        <v>0</v>
      </c>
      <c r="AA37" s="450">
        <f>'Table 4'!AN37+'Table 6'!AI38+'Table 7'!AI40+'Table 8'!AA39+'Table 9'!T39+'Table 10'!T38</f>
        <v>12.42</v>
      </c>
      <c r="AC37" s="1632">
        <f>W37-E37</f>
        <v>1.1200000000000001</v>
      </c>
    </row>
    <row r="38" spans="1:29">
      <c r="A38" s="443" t="s">
        <v>47</v>
      </c>
      <c r="B38" s="1352" t="s">
        <v>17</v>
      </c>
      <c r="C38" s="1352">
        <f>'Table 4'!J38+'Table 6'!K39+'Table 7'!C41+'Table 8'!C40+'Table 9'!C40+'Table 10'!C39</f>
        <v>3.77</v>
      </c>
      <c r="D38" s="451">
        <f>'Table 4'!K38+'Table 6'!L39+'Table 7'!D41+'Table 8'!D40+'Table 9'!D40+'Table 10'!D39</f>
        <v>0.02</v>
      </c>
      <c r="E38" s="1078">
        <f>'Table 4'!L38+'Table 6'!M39+'Table 7'!E41+'Table 8'!E40+'Table 9'!E40+'Table 10'!E39</f>
        <v>3.79</v>
      </c>
      <c r="F38" s="1352">
        <f>'Table 4'!M38+'Table 6'!N39+'Table 7'!F41+'Table 8'!F40+'Table 9'!F40+'Table 10'!F39</f>
        <v>3.22</v>
      </c>
      <c r="G38" s="451">
        <f>'Table 4'!N38+'Table 6'!O39+'Table 7'!G41+'Table 8'!G40+'Table 9'!G40+'Table 10'!G39</f>
        <v>0.02</v>
      </c>
      <c r="H38" s="1078">
        <f>'Table 4'!O38+'Table 6'!P39+'Table 7'!H41+'Table 8'!H40+'Table 9'!H40+'Table 10'!H39</f>
        <v>3.24</v>
      </c>
      <c r="I38" s="1352">
        <f>'Table 4'!Q38+'Table 6'!Q39+'Table 7'!I41+'Table 8'!I40+'Table 9'!I40+'Table 10'!I39</f>
        <v>3.23</v>
      </c>
      <c r="J38" s="451">
        <f>'Table 4'!R38+'Table 6'!R39+'Table 7'!J41+'Table 8'!J40+'Table 9'!J40+'Table 10'!J39</f>
        <v>0.02</v>
      </c>
      <c r="K38" s="1078">
        <f>'Table 4'!S38+'Table 6'!S39+'Table 7'!K41+'Table 8'!K40+'Table 9'!K40+'Table 10'!K39</f>
        <v>3.25</v>
      </c>
      <c r="L38" s="1352">
        <f>'Table 4'!U38+'Table 6'!T39+'Table 7'!L41+'Table 8'!L40+'Table 9'!L40+'Table 10'!L39</f>
        <v>3.25</v>
      </c>
      <c r="M38" s="451">
        <f>'Table 4'!V38+'Table 6'!U39+'Table 7'!M41+'Table 8'!M40+'Table 9'!M40+'Table 10'!M39</f>
        <v>0.02</v>
      </c>
      <c r="N38" s="1078">
        <f>'Table 4'!W38+'Table 6'!V39+'Table 7'!N41+'Table 8'!N40+'Table 9'!N40+'Table 10'!N39</f>
        <v>3.27</v>
      </c>
      <c r="O38" s="1352">
        <f>'Table 4'!Y38+'Table 6'!W39+'Table 7'!O41+'Table 8'!O40+'Table 9'!O40+'Table 10'!O39</f>
        <v>3.28</v>
      </c>
      <c r="P38" s="451">
        <f>'Table 4'!Z38+'Table 6'!X39+'Table 7'!P41+'Table 8'!P40+'Table 9'!P40+'Table 10'!P39</f>
        <v>0.02</v>
      </c>
      <c r="Q38" s="1078">
        <f>'Table 4'!AA38+'Table 6'!Y39+'Table 7'!Q41+'Table 8'!Q40+'Table 9'!Q40+'Table 10'!Q39</f>
        <v>3.3</v>
      </c>
      <c r="R38" s="1352">
        <f>'Table 4'!AC38+'Table 6'!Z39+'Table 7'!R41+'Table 8'!R40+'Table 9'!R40+'Table 10'!R39</f>
        <v>3.29</v>
      </c>
      <c r="S38" s="451">
        <f>'Table 4'!AD38+'Table 6'!AA39+'Table 7'!S41+'Table 8'!S40+'Table 9'!S40+'Table 10'!S39</f>
        <v>0.02</v>
      </c>
      <c r="T38" s="1078">
        <f>'Table 4'!AE38+'Table 6'!AB39+'Table 7'!T41+'Table 8'!T40+'Table 9'!T40+'Table 10'!T39</f>
        <v>3.31</v>
      </c>
      <c r="U38" s="1352">
        <f>'Table 4'!AG38+'Table 6'!AC39+'Table 7'!U41+'Table 8'!U40+'Table 9'!U40+'Table 10'!U39</f>
        <v>3.32</v>
      </c>
      <c r="V38" s="451">
        <f>'Table 4'!AH38+'Table 6'!AD39+'Table 7'!V41+'Table 8'!V40+'Table 9'!V40+'Table 10'!V39</f>
        <v>0.02</v>
      </c>
      <c r="W38" s="1078">
        <f>'Table 4'!AI38+'Table 6'!AE39+'Table 7'!W41+'Table 8'!W40+'Table 9'!W40+'Table 10'!W39</f>
        <v>3.34</v>
      </c>
      <c r="X38" s="1375">
        <f t="shared" si="16"/>
        <v>-0.12</v>
      </c>
      <c r="Y38" s="827">
        <f>'Table 4'!AL38+'Table 6'!AG39+'Table 7'!AG41+'Table 8'!Y40+'Table 9'!R40+'Table 10'!R39</f>
        <v>4</v>
      </c>
      <c r="Z38" s="560">
        <f>'Table 4'!AM38+'Table 6'!AH39+'Table 7'!AH41+'Table 8'!Z40+'Table 9'!S40+'Table 10'!S39</f>
        <v>0.02</v>
      </c>
      <c r="AA38" s="940">
        <f>'Table 4'!AN38+'Table 6'!AI39+'Table 7'!AI41+'Table 8'!AA40+'Table 9'!T40+'Table 10'!T39</f>
        <v>4.0199999999999996</v>
      </c>
      <c r="AC38" s="1599">
        <f t="shared" ref="AC38:AC43" si="17">W38-E38</f>
        <v>-0.45</v>
      </c>
    </row>
    <row r="39" spans="1:29">
      <c r="A39" s="455" t="s">
        <v>48</v>
      </c>
      <c r="B39" s="1353" t="s">
        <v>17</v>
      </c>
      <c r="C39" s="1352">
        <f>'Table 4'!J39+'Table 6'!K40+'Table 7'!C42+'Table 8'!C41+'Table 9'!C41+'Table 10'!C40</f>
        <v>12.86</v>
      </c>
      <c r="D39" s="451">
        <f>'Table 4'!K39+'Table 6'!L40+'Table 7'!D42+'Table 8'!D41+'Table 9'!D41+'Table 10'!D40</f>
        <v>0</v>
      </c>
      <c r="E39" s="1078">
        <f>'Table 4'!L39+'Table 6'!M40+'Table 7'!E42+'Table 8'!E41+'Table 9'!E41+'Table 10'!E40</f>
        <v>12.86</v>
      </c>
      <c r="F39" s="1352">
        <f>'Table 4'!M39+'Table 6'!N40+'Table 7'!F42+'Table 8'!F41+'Table 9'!F41+'Table 10'!F40</f>
        <v>12.51</v>
      </c>
      <c r="G39" s="451">
        <f>'Table 4'!N39+'Table 6'!O40+'Table 7'!G42+'Table 8'!G41+'Table 9'!G41+'Table 10'!G40</f>
        <v>0</v>
      </c>
      <c r="H39" s="1078">
        <f>'Table 4'!O39+'Table 6'!P40+'Table 7'!H42+'Table 8'!H41+'Table 9'!H41+'Table 10'!H40</f>
        <v>12.57</v>
      </c>
      <c r="I39" s="1352">
        <f>'Table 4'!Q39+'Table 6'!Q40+'Table 7'!I42+'Table 8'!I41+'Table 9'!I41+'Table 10'!I40</f>
        <v>13.66</v>
      </c>
      <c r="J39" s="451">
        <f>'Table 4'!R39+'Table 6'!R40+'Table 7'!J42+'Table 8'!J41+'Table 9'!J41+'Table 10'!J40</f>
        <v>0</v>
      </c>
      <c r="K39" s="1078">
        <f>'Table 4'!S39+'Table 6'!S40+'Table 7'!K42+'Table 8'!K41+'Table 9'!K41+'Table 10'!K40</f>
        <v>13.66</v>
      </c>
      <c r="L39" s="1352">
        <f>'Table 4'!U39+'Table 6'!T40+'Table 7'!L42+'Table 8'!L41+'Table 9'!L41+'Table 10'!L40</f>
        <v>14.63</v>
      </c>
      <c r="M39" s="451">
        <f>'Table 4'!V39+'Table 6'!U40+'Table 7'!M42+'Table 8'!M41+'Table 9'!M41+'Table 10'!M40</f>
        <v>0</v>
      </c>
      <c r="N39" s="1078">
        <f>'Table 4'!W39+'Table 6'!V40+'Table 7'!N42+'Table 8'!N41+'Table 9'!N41+'Table 10'!N40</f>
        <v>14.63</v>
      </c>
      <c r="O39" s="1352">
        <f>'Table 4'!Y39+'Table 6'!W40+'Table 7'!O42+'Table 8'!O41+'Table 9'!O41+'Table 10'!O40</f>
        <v>15.58</v>
      </c>
      <c r="P39" s="451">
        <f>'Table 4'!Z39+'Table 6'!X40+'Table 7'!P42+'Table 8'!P41+'Table 9'!P41+'Table 10'!P40</f>
        <v>0</v>
      </c>
      <c r="Q39" s="1078">
        <f>'Table 4'!AA39+'Table 6'!Y40+'Table 7'!Q42+'Table 8'!Q41+'Table 9'!Q41+'Table 10'!Q40</f>
        <v>15.58</v>
      </c>
      <c r="R39" s="1352">
        <f>'Table 4'!AC39+'Table 6'!Z40+'Table 7'!R42+'Table 8'!R41+'Table 9'!R41+'Table 10'!R40</f>
        <v>16.64</v>
      </c>
      <c r="S39" s="451">
        <f>'Table 4'!AD39+'Table 6'!AA40+'Table 7'!S42+'Table 8'!S41+'Table 9'!S41+'Table 10'!S40</f>
        <v>0</v>
      </c>
      <c r="T39" s="1078">
        <f>'Table 4'!AE39+'Table 6'!AB40+'Table 7'!T42+'Table 8'!T41+'Table 9'!T41+'Table 10'!T40</f>
        <v>16.64</v>
      </c>
      <c r="U39" s="1352">
        <f>'Table 4'!AG39+'Table 6'!AC40+'Table 7'!U42+'Table 8'!U41+'Table 9'!U41+'Table 10'!U40</f>
        <v>17.600000000000001</v>
      </c>
      <c r="V39" s="451">
        <f>'Table 4'!AH39+'Table 6'!AD40+'Table 7'!V42+'Table 8'!V41+'Table 9'!V41+'Table 10'!V40</f>
        <v>0</v>
      </c>
      <c r="W39" s="1078">
        <f>'Table 4'!AI39+'Table 6'!AE40+'Table 7'!W42+'Table 8'!W41+'Table 9'!W41+'Table 10'!W40</f>
        <v>17.600000000000001</v>
      </c>
      <c r="X39" s="1375">
        <f t="shared" si="16"/>
        <v>0.37</v>
      </c>
      <c r="Y39" s="827">
        <f>'Table 4'!AL39+'Table 6'!AG40+'Table 7'!AG42+'Table 8'!Y41+'Table 9'!R41+'Table 10'!R40</f>
        <v>21.91</v>
      </c>
      <c r="Z39" s="560">
        <f>'Table 4'!AM39+'Table 6'!AH40+'Table 7'!AH42+'Table 8'!Z41+'Table 9'!S41+'Table 10'!S40</f>
        <v>0</v>
      </c>
      <c r="AA39" s="940">
        <f>'Table 4'!AN39+'Table 6'!AI40+'Table 7'!AI42+'Table 8'!AA41+'Table 9'!T41+'Table 10'!T40</f>
        <v>21.91</v>
      </c>
      <c r="AC39" s="1599">
        <f t="shared" si="17"/>
        <v>4.74</v>
      </c>
    </row>
    <row r="40" spans="1:29">
      <c r="A40" s="458" t="s">
        <v>49</v>
      </c>
      <c r="B40" s="1362" t="s">
        <v>17</v>
      </c>
      <c r="C40" s="1358">
        <f>'Table 4'!J40+'Table 6'!K41+'Table 7'!C43+'Table 8'!C42+'Table 9'!C42+'Table 10'!C41</f>
        <v>16.77</v>
      </c>
      <c r="D40" s="1383">
        <f>'Table 4'!K40+'Table 6'!L41+'Table 7'!D43+'Table 8'!D42+'Table 9'!D42+'Table 10'!D41</f>
        <v>0</v>
      </c>
      <c r="E40" s="447">
        <f>'Table 4'!L40+'Table 6'!M41+'Table 7'!E43+'Table 8'!E42+'Table 9'!E42+'Table 10'!E41</f>
        <v>16.77</v>
      </c>
      <c r="F40" s="1358">
        <f>'Table 4'!M40+'Table 6'!N41+'Table 7'!F43+'Table 8'!F42+'Table 9'!F42+'Table 10'!F41</f>
        <v>16.14</v>
      </c>
      <c r="G40" s="1383">
        <f>'Table 4'!N40+'Table 6'!O41+'Table 7'!G43+'Table 8'!G42+'Table 9'!G42+'Table 10'!G41</f>
        <v>0</v>
      </c>
      <c r="H40" s="447">
        <f>'Table 4'!O40+'Table 6'!P41+'Table 7'!H43+'Table 8'!H42+'Table 9'!H42+'Table 10'!H41</f>
        <v>16.14</v>
      </c>
      <c r="I40" s="1358">
        <f>'Table 4'!Q40+'Table 6'!Q41+'Table 7'!I43+'Table 8'!I42+'Table 9'!I42+'Table 10'!I41</f>
        <v>17.66</v>
      </c>
      <c r="J40" s="1383">
        <f>'Table 4'!R40+'Table 6'!R41+'Table 7'!J43+'Table 8'!J42+'Table 9'!J42+'Table 10'!J41</f>
        <v>0</v>
      </c>
      <c r="K40" s="447">
        <f>'Table 4'!S40+'Table 6'!S41+'Table 7'!K43+'Table 8'!K42+'Table 9'!K42+'Table 10'!K41</f>
        <v>17.66</v>
      </c>
      <c r="L40" s="1358">
        <f>'Table 4'!U40+'Table 6'!T41+'Table 7'!L43+'Table 8'!L42+'Table 9'!L42+'Table 10'!L41</f>
        <v>19.079999999999998</v>
      </c>
      <c r="M40" s="1383">
        <f>'Table 4'!V40+'Table 6'!U41+'Table 7'!M43+'Table 8'!M42+'Table 9'!M42+'Table 10'!M41</f>
        <v>0</v>
      </c>
      <c r="N40" s="447">
        <f>'Table 4'!W40+'Table 6'!V41+'Table 7'!N43+'Table 8'!N42+'Table 9'!N42+'Table 10'!N41</f>
        <v>19.079999999999998</v>
      </c>
      <c r="O40" s="1358">
        <f>'Table 4'!Y40+'Table 6'!W41+'Table 7'!O43+'Table 8'!O42+'Table 9'!O42+'Table 10'!O41</f>
        <v>20.32</v>
      </c>
      <c r="P40" s="1383">
        <f>'Table 4'!Z40+'Table 6'!X41+'Table 7'!P43+'Table 8'!P42+'Table 9'!P42+'Table 10'!P41</f>
        <v>0</v>
      </c>
      <c r="Q40" s="447">
        <f>'Table 4'!AA40+'Table 6'!Y41+'Table 7'!Q43+'Table 8'!Q42+'Table 9'!Q42+'Table 10'!Q41</f>
        <v>20.32</v>
      </c>
      <c r="R40" s="1358">
        <f>'Table 4'!AC40+'Table 6'!Z41+'Table 7'!R43+'Table 8'!R42+'Table 9'!R42+'Table 10'!R41</f>
        <v>21.75</v>
      </c>
      <c r="S40" s="1383">
        <f>'Table 4'!AD40+'Table 6'!AA41+'Table 7'!S43+'Table 8'!S42+'Table 9'!S42+'Table 10'!S41</f>
        <v>0</v>
      </c>
      <c r="T40" s="447">
        <f>'Table 4'!AE40+'Table 6'!AB41+'Table 7'!T43+'Table 8'!T42+'Table 9'!T42+'Table 10'!T41</f>
        <v>21.75</v>
      </c>
      <c r="U40" s="1358">
        <f>'Table 4'!AG40+'Table 6'!AC41+'Table 7'!U43+'Table 8'!U42+'Table 9'!U42+'Table 10'!U41</f>
        <v>22.98</v>
      </c>
      <c r="V40" s="1383">
        <f>'Table 4'!AH40+'Table 6'!AD41+'Table 7'!V43+'Table 8'!V42+'Table 9'!V42+'Table 10'!V41</f>
        <v>0</v>
      </c>
      <c r="W40" s="447">
        <f>'Table 4'!AI40+'Table 6'!AE41+'Table 7'!W43+'Table 8'!W42+'Table 9'!W42+'Table 10'!W41</f>
        <v>22.98</v>
      </c>
      <c r="X40" s="1370">
        <f t="shared" si="16"/>
        <v>0.37</v>
      </c>
      <c r="Y40" s="459">
        <f>'Table 4'!AL40+'Table 6'!AG41+'Table 7'!AG43+'Table 8'!Y42+'Table 9'!R42+'Table 10'!R41</f>
        <v>28.68</v>
      </c>
      <c r="Z40" s="590">
        <f>'Table 4'!AM40+'Table 6'!AH41+'Table 7'!AH43+'Table 8'!Z42+'Table 9'!S42+'Table 10'!S41</f>
        <v>0</v>
      </c>
      <c r="AA40" s="486">
        <f>'Table 4'!AN40+'Table 6'!AI41+'Table 7'!AI43+'Table 8'!AA42+'Table 9'!T42+'Table 10'!T41</f>
        <v>28.68</v>
      </c>
      <c r="AC40" s="1602">
        <f t="shared" si="17"/>
        <v>6.21</v>
      </c>
    </row>
    <row r="41" spans="1:29">
      <c r="A41" s="455" t="s">
        <v>50</v>
      </c>
      <c r="B41" s="1353" t="s">
        <v>17</v>
      </c>
      <c r="C41" s="1352">
        <f>'Table 4'!J41+'Table 6'!K42+'Table 7'!C44+'Table 8'!C43+'Table 9'!C43+'Table 10'!C42</f>
        <v>24.04</v>
      </c>
      <c r="D41" s="451">
        <f>'Table 4'!K41+'Table 6'!L42+'Table 7'!D44+'Table 8'!D43+'Table 9'!D43+'Table 10'!D42</f>
        <v>0</v>
      </c>
      <c r="E41" s="1078">
        <f>'Table 4'!L41+'Table 6'!M42+'Table 7'!E44+'Table 8'!E43+'Table 9'!E43+'Table 10'!E42</f>
        <v>24.04</v>
      </c>
      <c r="F41" s="1352">
        <f>'Table 4'!M41+'Table 6'!N42+'Table 7'!F44+'Table 8'!F43+'Table 9'!F43+'Table 10'!F42</f>
        <v>24.8</v>
      </c>
      <c r="G41" s="451">
        <f>'Table 4'!N41+'Table 6'!O42+'Table 7'!G44+'Table 8'!G43+'Table 9'!G43+'Table 10'!G42</f>
        <v>0</v>
      </c>
      <c r="H41" s="1078">
        <f>'Table 4'!O41+'Table 6'!P42+'Table 7'!H44+'Table 8'!H43+'Table 9'!H43+'Table 10'!H42</f>
        <v>24.8</v>
      </c>
      <c r="I41" s="1352">
        <f>'Table 4'!Q41+'Table 6'!Q42+'Table 7'!I44+'Table 8'!I43+'Table 9'!I43+'Table 10'!I42</f>
        <v>25.79</v>
      </c>
      <c r="J41" s="451">
        <f>'Table 4'!R41+'Table 6'!R42+'Table 7'!J44+'Table 8'!J43+'Table 9'!J43+'Table 10'!J42</f>
        <v>0</v>
      </c>
      <c r="K41" s="1078">
        <f>'Table 4'!S41+'Table 6'!S42+'Table 7'!K44+'Table 8'!K43+'Table 9'!K43+'Table 10'!K42</f>
        <v>25.79</v>
      </c>
      <c r="L41" s="1352">
        <f>'Table 4'!U41+'Table 6'!T42+'Table 7'!L44+'Table 8'!L43+'Table 9'!L43+'Table 10'!L42</f>
        <v>26.6</v>
      </c>
      <c r="M41" s="451">
        <f>'Table 4'!V41+'Table 6'!U42+'Table 7'!M44+'Table 8'!M43+'Table 9'!M43+'Table 10'!M42</f>
        <v>0</v>
      </c>
      <c r="N41" s="1078">
        <f>'Table 4'!W41+'Table 6'!V42+'Table 7'!N44+'Table 8'!N43+'Table 9'!N43+'Table 10'!N42</f>
        <v>26.6</v>
      </c>
      <c r="O41" s="1352">
        <f>'Table 4'!Y41+'Table 6'!W42+'Table 7'!O44+'Table 8'!O43+'Table 9'!O43+'Table 10'!O42</f>
        <v>27.53</v>
      </c>
      <c r="P41" s="451">
        <f>'Table 4'!Z41+'Table 6'!X42+'Table 7'!P44+'Table 8'!P43+'Table 9'!P43+'Table 10'!P42</f>
        <v>0</v>
      </c>
      <c r="Q41" s="1078">
        <f>'Table 4'!AA41+'Table 6'!Y42+'Table 7'!Q44+'Table 8'!Q43+'Table 9'!Q43+'Table 10'!Q42</f>
        <v>27.53</v>
      </c>
      <c r="R41" s="1352">
        <f>'Table 4'!AC41+'Table 6'!Z42+'Table 7'!R44+'Table 8'!R43+'Table 9'!R43+'Table 10'!R42</f>
        <v>28.5</v>
      </c>
      <c r="S41" s="451">
        <f>'Table 4'!AD41+'Table 6'!AA42+'Table 7'!S44+'Table 8'!S43+'Table 9'!S43+'Table 10'!S42</f>
        <v>0</v>
      </c>
      <c r="T41" s="1078">
        <f>'Table 4'!AE41+'Table 6'!AB42+'Table 7'!T44+'Table 8'!T43+'Table 9'!T43+'Table 10'!T42</f>
        <v>28.5</v>
      </c>
      <c r="U41" s="1352">
        <f>'Table 4'!AG41+'Table 6'!AC42+'Table 7'!U44+'Table 8'!U43+'Table 9'!U43+'Table 10'!U42</f>
        <v>29.49</v>
      </c>
      <c r="V41" s="451">
        <f>'Table 4'!AH41+'Table 6'!AD42+'Table 7'!V44+'Table 8'!V43+'Table 9'!V43+'Table 10'!V42</f>
        <v>0</v>
      </c>
      <c r="W41" s="1078">
        <f>'Table 4'!AI41+'Table 6'!AE42+'Table 7'!W44+'Table 8'!W43+'Table 9'!W43+'Table 10'!W42</f>
        <v>29.49</v>
      </c>
      <c r="X41" s="1375">
        <f t="shared" si="16"/>
        <v>0.23</v>
      </c>
      <c r="Y41" s="827">
        <f>'Table 4'!AL41+'Table 6'!AG42+'Table 7'!AG44+'Table 8'!Y43+'Table 9'!R43+'Table 10'!R42</f>
        <v>36.6</v>
      </c>
      <c r="Z41" s="560">
        <f>'Table 4'!AM41+'Table 6'!AH42+'Table 7'!AH44+'Table 8'!Z43+'Table 9'!S43+'Table 10'!S42</f>
        <v>0</v>
      </c>
      <c r="AA41" s="940">
        <f>'Table 4'!AN41+'Table 6'!AI42+'Table 7'!AI44+'Table 8'!AA43+'Table 9'!T43+'Table 10'!T42</f>
        <v>36.6</v>
      </c>
      <c r="AC41" s="1599">
        <f t="shared" si="17"/>
        <v>5.45</v>
      </c>
    </row>
    <row r="42" spans="1:29" ht="13.5" thickBot="1">
      <c r="A42" s="579" t="s">
        <v>51</v>
      </c>
      <c r="B42" s="1349" t="s">
        <v>17</v>
      </c>
      <c r="C42" s="1306">
        <f>'Table 4'!J42+'Table 6'!K43+'Table 7'!C45+'Table 8'!C44+'Table 9'!C44+'Table 10'!C43</f>
        <v>42.65</v>
      </c>
      <c r="D42" s="1057">
        <f>'Table 4'!K42+'Table 6'!L43+'Table 7'!D45+'Table 8'!D44+'Table 9'!D44+'Table 10'!D43</f>
        <v>0.17</v>
      </c>
      <c r="E42" s="1058">
        <f>'Table 4'!L42+'Table 6'!M43+'Table 7'!E45+'Table 8'!E44+'Table 9'!E44+'Table 10'!E43</f>
        <v>42.82</v>
      </c>
      <c r="F42" s="1306">
        <f>'Table 4'!M42+'Table 6'!N43+'Table 7'!F45+'Table 8'!F44+'Table 9'!F44+'Table 10'!F43</f>
        <v>42.88</v>
      </c>
      <c r="G42" s="1057">
        <f>'Table 4'!N42+'Table 6'!O43+'Table 7'!G45+'Table 8'!G44+'Table 9'!G44+'Table 10'!G43</f>
        <v>0.17</v>
      </c>
      <c r="H42" s="1058">
        <f>'Table 4'!O42+'Table 6'!P43+'Table 7'!H45+'Table 8'!H44+'Table 9'!H44+'Table 10'!H43</f>
        <v>43.05</v>
      </c>
      <c r="I42" s="1306">
        <f>'Table 4'!Q42+'Table 6'!Q43+'Table 7'!I45+'Table 8'!I44+'Table 9'!I44+'Table 10'!I43</f>
        <v>42.96</v>
      </c>
      <c r="J42" s="1057">
        <f>'Table 4'!R42+'Table 6'!R43+'Table 7'!J45+'Table 8'!J44+'Table 9'!J44+'Table 10'!J43</f>
        <v>0.17</v>
      </c>
      <c r="K42" s="1058">
        <f>'Table 4'!S42+'Table 6'!S43+'Table 7'!K45+'Table 8'!K44+'Table 9'!K44+'Table 10'!K43</f>
        <v>43.13</v>
      </c>
      <c r="L42" s="1306">
        <f>'Table 4'!U42+'Table 6'!T43+'Table 7'!L45+'Table 8'!L44+'Table 9'!L44+'Table 10'!L43</f>
        <v>43.01</v>
      </c>
      <c r="M42" s="1057">
        <f>'Table 4'!V42+'Table 6'!U43+'Table 7'!M45+'Table 8'!M44+'Table 9'!M44+'Table 10'!M43</f>
        <v>0.17</v>
      </c>
      <c r="N42" s="1058">
        <f>'Table 4'!W42+'Table 6'!V43+'Table 7'!N45+'Table 8'!N44+'Table 9'!N44+'Table 10'!N43</f>
        <v>43.18</v>
      </c>
      <c r="O42" s="1306">
        <f>'Table 4'!Y42+'Table 6'!W43+'Table 7'!O45+'Table 8'!O44+'Table 9'!O44+'Table 10'!O43</f>
        <v>43.05</v>
      </c>
      <c r="P42" s="1057">
        <f>'Table 4'!Z42+'Table 6'!X43+'Table 7'!P45+'Table 8'!P44+'Table 9'!P44+'Table 10'!P43</f>
        <v>0.17</v>
      </c>
      <c r="Q42" s="1058">
        <f>'Table 4'!AA42+'Table 6'!Y43+'Table 7'!Q45+'Table 8'!Q44+'Table 9'!Q44+'Table 10'!Q43</f>
        <v>43.22</v>
      </c>
      <c r="R42" s="1306">
        <f>'Table 4'!AC42+'Table 6'!Z43+'Table 7'!R45+'Table 8'!R44+'Table 9'!R44+'Table 10'!R43</f>
        <v>43.09</v>
      </c>
      <c r="S42" s="1057">
        <f>'Table 4'!AD42+'Table 6'!AA43+'Table 7'!S45+'Table 8'!S44+'Table 9'!S44+'Table 10'!S43</f>
        <v>0.17</v>
      </c>
      <c r="T42" s="1058">
        <f>'Table 4'!AE42+'Table 6'!AB43+'Table 7'!T45+'Table 8'!T44+'Table 9'!T44+'Table 10'!T43</f>
        <v>43.26</v>
      </c>
      <c r="U42" s="1306">
        <f>'Table 4'!AG42+'Table 6'!AC43+'Table 7'!U45+'Table 8'!U44+'Table 9'!U44+'Table 10'!U43</f>
        <v>43.13</v>
      </c>
      <c r="V42" s="1057">
        <f>'Table 4'!AH42+'Table 6'!AD43+'Table 7'!V45+'Table 8'!V44+'Table 9'!V44+'Table 10'!V43</f>
        <v>0.17</v>
      </c>
      <c r="W42" s="1058">
        <f>'Table 4'!AI42+'Table 6'!AE43+'Table 7'!W45+'Table 8'!W44+'Table 9'!W44+'Table 10'!W43</f>
        <v>43.3</v>
      </c>
      <c r="X42" s="1384">
        <f t="shared" si="16"/>
        <v>0.01</v>
      </c>
      <c r="Y42" s="467">
        <f>'Table 4'!AL42+'Table 6'!AG43+'Table 7'!AG45+'Table 8'!Y44+'Table 9'!R44+'Table 10'!R43</f>
        <v>43.47</v>
      </c>
      <c r="Z42" s="562">
        <f>'Table 4'!AM42+'Table 6'!AH43+'Table 7'!AH45+'Table 8'!Z44+'Table 9'!S44+'Table 10'!S43</f>
        <v>0.17</v>
      </c>
      <c r="AA42" s="943">
        <f>'Table 4'!AN42+'Table 6'!AI43+'Table 7'!AI45+'Table 8'!AA44+'Table 9'!T44+'Table 10'!T43</f>
        <v>43.64</v>
      </c>
      <c r="AC42" s="1741">
        <f t="shared" si="17"/>
        <v>0.48</v>
      </c>
    </row>
    <row r="43" spans="1:29" s="67" customFormat="1" ht="27" customHeight="1" thickTop="1" thickBot="1">
      <c r="A43" s="3236" t="s">
        <v>52</v>
      </c>
      <c r="B43" s="3237"/>
      <c r="C43" s="1228">
        <f>SUM(C37:C42)</f>
        <v>109.08</v>
      </c>
      <c r="D43" s="128">
        <f t="shared" ref="D43:W43" si="18">SUM(D37:D42)</f>
        <v>0.19</v>
      </c>
      <c r="E43" s="469">
        <f t="shared" si="18"/>
        <v>109.27</v>
      </c>
      <c r="F43" s="1228">
        <f t="shared" si="18"/>
        <v>107.29</v>
      </c>
      <c r="G43" s="128">
        <f t="shared" si="18"/>
        <v>0.19</v>
      </c>
      <c r="H43" s="469">
        <f t="shared" si="18"/>
        <v>107.66</v>
      </c>
      <c r="I43" s="1228">
        <f t="shared" si="18"/>
        <v>111.65</v>
      </c>
      <c r="J43" s="128">
        <f t="shared" si="18"/>
        <v>0.19</v>
      </c>
      <c r="K43" s="469">
        <f t="shared" si="18"/>
        <v>111.84</v>
      </c>
      <c r="L43" s="1228">
        <f t="shared" si="18"/>
        <v>115.4</v>
      </c>
      <c r="M43" s="128">
        <f t="shared" si="18"/>
        <v>0.19</v>
      </c>
      <c r="N43" s="469">
        <f t="shared" si="18"/>
        <v>115.59</v>
      </c>
      <c r="O43" s="1228">
        <f t="shared" si="18"/>
        <v>119</v>
      </c>
      <c r="P43" s="128">
        <f t="shared" si="18"/>
        <v>0.19</v>
      </c>
      <c r="Q43" s="469">
        <f t="shared" si="18"/>
        <v>119.19</v>
      </c>
      <c r="R43" s="1228">
        <f t="shared" si="18"/>
        <v>123.01</v>
      </c>
      <c r="S43" s="128">
        <f t="shared" si="18"/>
        <v>0.19</v>
      </c>
      <c r="T43" s="469">
        <f t="shared" si="18"/>
        <v>123.2</v>
      </c>
      <c r="U43" s="1228">
        <f t="shared" si="18"/>
        <v>126.63</v>
      </c>
      <c r="V43" s="128">
        <f t="shared" si="18"/>
        <v>0.19</v>
      </c>
      <c r="W43" s="469">
        <f t="shared" si="18"/>
        <v>126.82</v>
      </c>
      <c r="X43" s="1382">
        <f t="shared" si="16"/>
        <v>0.16</v>
      </c>
      <c r="Y43" s="470">
        <f t="shared" ref="Y43" si="19">SUM(Y37:Y42)</f>
        <v>147.13</v>
      </c>
      <c r="Z43" s="555">
        <f t="shared" ref="Z43" si="20">SUM(Z37:Z42)</f>
        <v>0.19</v>
      </c>
      <c r="AA43" s="474">
        <f t="shared" ref="AA43" si="21">SUM(AA37:AA42)</f>
        <v>147.27000000000001</v>
      </c>
      <c r="AC43" s="1598">
        <f t="shared" si="17"/>
        <v>17.55</v>
      </c>
    </row>
    <row r="44" spans="1:29">
      <c r="A44" s="54" t="s">
        <v>35</v>
      </c>
    </row>
    <row r="45" spans="1:29">
      <c r="A45" s="2" t="s">
        <v>68</v>
      </c>
      <c r="T45" s="2" t="s">
        <v>36</v>
      </c>
    </row>
    <row r="46" spans="1:29">
      <c r="A46" s="2" t="s">
        <v>69</v>
      </c>
    </row>
  </sheetData>
  <mergeCells count="36">
    <mergeCell ref="AC2:AC4"/>
    <mergeCell ref="AC34:AC36"/>
    <mergeCell ref="R35:T35"/>
    <mergeCell ref="U35:W35"/>
    <mergeCell ref="O3:Q3"/>
    <mergeCell ref="R3:T3"/>
    <mergeCell ref="Y2:AA2"/>
    <mergeCell ref="Y3:AA3"/>
    <mergeCell ref="X2:X4"/>
    <mergeCell ref="A43:B43"/>
    <mergeCell ref="A27:B27"/>
    <mergeCell ref="A1:AA1"/>
    <mergeCell ref="A33:AA33"/>
    <mergeCell ref="A34:A36"/>
    <mergeCell ref="B34:B36"/>
    <mergeCell ref="C34:E34"/>
    <mergeCell ref="F34:W34"/>
    <mergeCell ref="X34:X36"/>
    <mergeCell ref="Y34:AA34"/>
    <mergeCell ref="C35:E35"/>
    <mergeCell ref="F35:H35"/>
    <mergeCell ref="I35:K35"/>
    <mergeCell ref="L35:N35"/>
    <mergeCell ref="O35:Q35"/>
    <mergeCell ref="Y35:AA35"/>
    <mergeCell ref="A25:B25"/>
    <mergeCell ref="U3:W3"/>
    <mergeCell ref="F2:W2"/>
    <mergeCell ref="A26:B26"/>
    <mergeCell ref="A2:A4"/>
    <mergeCell ref="B2:B4"/>
    <mergeCell ref="C2:E2"/>
    <mergeCell ref="C3:E3"/>
    <mergeCell ref="F3:H3"/>
    <mergeCell ref="I3:K3"/>
    <mergeCell ref="L3:N3"/>
  </mergeCells>
  <pageMargins left="0.7" right="0.7" top="0.75" bottom="0.75" header="0.3" footer="0.3"/>
  <pageSetup paperSize="3"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48"/>
  <sheetViews>
    <sheetView workbookViewId="0">
      <pane xSplit="1" topLeftCell="B1" activePane="topRight" state="frozen"/>
      <selection pane="topRight" activeCell="Q22" sqref="Q22"/>
    </sheetView>
  </sheetViews>
  <sheetFormatPr defaultColWidth="9.140625" defaultRowHeight="12.75"/>
  <cols>
    <col min="1" max="1" width="15.140625" style="1" customWidth="1"/>
    <col min="2" max="2" width="10.5703125" style="1" customWidth="1"/>
    <col min="3" max="3" width="11" style="1" customWidth="1"/>
    <col min="4" max="9" width="10.42578125" style="1" customWidth="1"/>
    <col min="10" max="22" width="9.140625" style="1"/>
    <col min="23" max="25" width="9.140625" style="1" customWidth="1"/>
    <col min="26" max="30" width="9.140625" style="1"/>
    <col min="31" max="36" width="9.140625" style="1" customWidth="1"/>
    <col min="37" max="37" width="10.7109375" style="1" customWidth="1"/>
    <col min="38" max="42" width="9.140625" style="1" customWidth="1"/>
    <col min="43" max="43" width="11.28515625" style="1" hidden="1" customWidth="1"/>
    <col min="44" max="44" width="15.85546875" style="1" hidden="1" customWidth="1"/>
    <col min="45" max="45" width="10.7109375" style="1" hidden="1" customWidth="1"/>
    <col min="46" max="16384" width="9.140625" style="1"/>
  </cols>
  <sheetData>
    <row r="1" spans="1:45" ht="13.5" thickBot="1">
      <c r="A1" s="297" t="s">
        <v>75</v>
      </c>
      <c r="B1" s="2"/>
      <c r="C1" s="2"/>
      <c r="D1" s="2"/>
      <c r="E1" s="2"/>
      <c r="F1" s="2"/>
      <c r="G1" s="2"/>
      <c r="H1" s="2"/>
      <c r="I1" s="2"/>
      <c r="J1" s="2"/>
      <c r="K1" s="2"/>
      <c r="L1" s="2"/>
      <c r="M1" s="2"/>
      <c r="N1" s="2"/>
      <c r="O1" s="2"/>
      <c r="P1" s="2"/>
      <c r="Q1" s="2"/>
      <c r="R1" s="2"/>
      <c r="S1" s="2"/>
      <c r="T1" s="2"/>
      <c r="U1" s="2"/>
      <c r="V1" s="2"/>
      <c r="W1" s="256"/>
      <c r="X1" s="256"/>
      <c r="Y1" s="256"/>
      <c r="Z1" s="256"/>
      <c r="AA1" s="256"/>
      <c r="AB1" s="256"/>
      <c r="AC1" s="256"/>
      <c r="AD1" s="256"/>
    </row>
    <row r="2" spans="1:45" ht="15.75" customHeight="1" thickBot="1">
      <c r="A2" s="3204" t="s">
        <v>1</v>
      </c>
      <c r="B2" s="3206" t="s">
        <v>2</v>
      </c>
      <c r="C2" s="3251" t="s">
        <v>76</v>
      </c>
      <c r="D2" s="3241" t="s">
        <v>77</v>
      </c>
      <c r="E2" s="3242"/>
      <c r="F2" s="3242"/>
      <c r="G2" s="3242"/>
      <c r="H2" s="3242"/>
      <c r="I2" s="3225"/>
      <c r="J2" s="3222" t="s">
        <v>55</v>
      </c>
      <c r="K2" s="3222"/>
      <c r="L2" s="3223"/>
      <c r="M2" s="3221" t="s">
        <v>56</v>
      </c>
      <c r="N2" s="3222"/>
      <c r="O2" s="3222"/>
      <c r="P2" s="3222"/>
      <c r="Q2" s="3222"/>
      <c r="R2" s="3222"/>
      <c r="S2" s="3222"/>
      <c r="T2" s="3222"/>
      <c r="U2" s="3222"/>
      <c r="V2" s="3222"/>
      <c r="W2" s="3222"/>
      <c r="X2" s="3222"/>
      <c r="Y2" s="3222"/>
      <c r="Z2" s="3222"/>
      <c r="AA2" s="3222"/>
      <c r="AB2" s="3222"/>
      <c r="AC2" s="3222"/>
      <c r="AD2" s="3222"/>
      <c r="AE2" s="3222"/>
      <c r="AF2" s="3222"/>
      <c r="AG2" s="3222"/>
      <c r="AH2" s="3222"/>
      <c r="AI2" s="3222"/>
      <c r="AJ2" s="3223"/>
      <c r="AK2" s="3245" t="s">
        <v>57</v>
      </c>
      <c r="AL2" s="3261" t="s">
        <v>58</v>
      </c>
      <c r="AM2" s="3262"/>
      <c r="AN2" s="3262"/>
      <c r="AO2" s="3263"/>
      <c r="AQ2" s="3258" t="s">
        <v>78</v>
      </c>
      <c r="AR2" s="3255" t="s">
        <v>79</v>
      </c>
      <c r="AS2" s="3245" t="s">
        <v>80</v>
      </c>
    </row>
    <row r="3" spans="1:45" ht="15" customHeight="1" thickBot="1">
      <c r="A3" s="3205"/>
      <c r="B3" s="3207"/>
      <c r="C3" s="3252"/>
      <c r="D3" s="3243"/>
      <c r="E3" s="3244"/>
      <c r="F3" s="3244"/>
      <c r="G3" s="3244"/>
      <c r="H3" s="3244"/>
      <c r="I3" s="3227"/>
      <c r="J3" s="3219">
        <v>2015</v>
      </c>
      <c r="K3" s="3213"/>
      <c r="L3" s="3215"/>
      <c r="M3" s="3248">
        <v>2020</v>
      </c>
      <c r="N3" s="3249"/>
      <c r="O3" s="3249"/>
      <c r="P3" s="3250"/>
      <c r="Q3" s="3249">
        <v>2025</v>
      </c>
      <c r="R3" s="3249"/>
      <c r="S3" s="3249"/>
      <c r="T3" s="3250"/>
      <c r="U3" s="3248">
        <v>2030</v>
      </c>
      <c r="V3" s="3249"/>
      <c r="W3" s="3249"/>
      <c r="X3" s="3250"/>
      <c r="Y3" s="3249">
        <v>2035</v>
      </c>
      <c r="Z3" s="3249"/>
      <c r="AA3" s="3249"/>
      <c r="AB3" s="3250"/>
      <c r="AC3" s="3248">
        <v>2040</v>
      </c>
      <c r="AD3" s="3249"/>
      <c r="AE3" s="3249"/>
      <c r="AF3" s="3250"/>
      <c r="AG3" s="3248">
        <v>2045</v>
      </c>
      <c r="AH3" s="3249"/>
      <c r="AI3" s="3249"/>
      <c r="AJ3" s="3250"/>
      <c r="AK3" s="3246"/>
      <c r="AL3" s="3258">
        <v>2045</v>
      </c>
      <c r="AM3" s="3264"/>
      <c r="AN3" s="3264"/>
      <c r="AO3" s="3245"/>
      <c r="AQ3" s="3259"/>
      <c r="AR3" s="3256"/>
      <c r="AS3" s="3246"/>
    </row>
    <row r="4" spans="1:45" ht="15.75" customHeight="1" thickBot="1">
      <c r="A4" s="3485"/>
      <c r="B4" s="3208"/>
      <c r="C4" s="3023">
        <v>2015</v>
      </c>
      <c r="D4" s="1676">
        <v>2020</v>
      </c>
      <c r="E4" s="1677">
        <v>2025</v>
      </c>
      <c r="F4" s="1677">
        <v>2030</v>
      </c>
      <c r="G4" s="1677">
        <v>2035</v>
      </c>
      <c r="H4" s="1678">
        <v>2040</v>
      </c>
      <c r="I4" s="3019">
        <v>2045</v>
      </c>
      <c r="J4" s="1669" t="s">
        <v>60</v>
      </c>
      <c r="K4" s="1017" t="s">
        <v>61</v>
      </c>
      <c r="L4" s="1659" t="s">
        <v>18</v>
      </c>
      <c r="M4" s="1655" t="s">
        <v>60</v>
      </c>
      <c r="N4" s="1657" t="s">
        <v>61</v>
      </c>
      <c r="O4" s="3131" t="s">
        <v>18</v>
      </c>
      <c r="P4" s="1658" t="s">
        <v>81</v>
      </c>
      <c r="Q4" s="1669" t="s">
        <v>60</v>
      </c>
      <c r="R4" s="1017" t="s">
        <v>61</v>
      </c>
      <c r="S4" s="1656" t="s">
        <v>18</v>
      </c>
      <c r="T4" s="3133" t="s">
        <v>81</v>
      </c>
      <c r="U4" s="1655" t="s">
        <v>60</v>
      </c>
      <c r="V4" s="1657" t="s">
        <v>61</v>
      </c>
      <c r="W4" s="3131" t="s">
        <v>18</v>
      </c>
      <c r="X4" s="1658" t="s">
        <v>81</v>
      </c>
      <c r="Y4" s="1669" t="s">
        <v>60</v>
      </c>
      <c r="Z4" s="1017" t="s">
        <v>61</v>
      </c>
      <c r="AA4" s="3131" t="s">
        <v>18</v>
      </c>
      <c r="AB4" s="1661" t="s">
        <v>81</v>
      </c>
      <c r="AC4" s="1655" t="s">
        <v>60</v>
      </c>
      <c r="AD4" s="1657" t="s">
        <v>61</v>
      </c>
      <c r="AE4" s="3131" t="s">
        <v>18</v>
      </c>
      <c r="AF4" s="1661" t="s">
        <v>81</v>
      </c>
      <c r="AG4" s="1655" t="s">
        <v>60</v>
      </c>
      <c r="AH4" s="1657" t="s">
        <v>61</v>
      </c>
      <c r="AI4" s="3131" t="s">
        <v>18</v>
      </c>
      <c r="AJ4" s="3133" t="s">
        <v>81</v>
      </c>
      <c r="AK4" s="3247"/>
      <c r="AL4" s="1133" t="s">
        <v>60</v>
      </c>
      <c r="AM4" s="1134" t="s">
        <v>61</v>
      </c>
      <c r="AN4" s="3147" t="s">
        <v>18</v>
      </c>
      <c r="AO4" s="1658" t="s">
        <v>81</v>
      </c>
      <c r="AQ4" s="3260"/>
      <c r="AR4" s="3257"/>
      <c r="AS4" s="3247"/>
    </row>
    <row r="5" spans="1:45">
      <c r="A5" s="443" t="s">
        <v>14</v>
      </c>
      <c r="B5" s="1672" t="s">
        <v>15</v>
      </c>
      <c r="C5" s="737">
        <f>'Table 5'!D10</f>
        <v>187980</v>
      </c>
      <c r="D5" s="328">
        <f>'Table 5'!E10</f>
        <v>194225</v>
      </c>
      <c r="E5" s="307">
        <f>'Table 5'!F10</f>
        <v>198455</v>
      </c>
      <c r="F5" s="307">
        <f>'Table 5'!G10</f>
        <v>200386</v>
      </c>
      <c r="G5" s="307">
        <f>'Table 5'!H10</f>
        <v>200475</v>
      </c>
      <c r="H5" s="307">
        <f>'Table 5'!I10</f>
        <v>201157</v>
      </c>
      <c r="I5" s="1059">
        <f>'Table 5'!J10</f>
        <v>201310</v>
      </c>
      <c r="J5" s="1205">
        <f>'Table 5'!M10</f>
        <v>21.14</v>
      </c>
      <c r="K5" s="1673">
        <f>'Table 5'!N10</f>
        <v>0</v>
      </c>
      <c r="L5" s="526">
        <f>'Table 5'!O10</f>
        <v>21.14</v>
      </c>
      <c r="M5" s="1674">
        <f>'Table 5'!P10</f>
        <v>22.05</v>
      </c>
      <c r="N5" s="1383">
        <f>'Table 5'!Q10</f>
        <v>0</v>
      </c>
      <c r="O5" s="1679">
        <f>'Table 5'!R10</f>
        <v>22.05</v>
      </c>
      <c r="P5" s="447">
        <f>'Table 5'!S10</f>
        <v>0</v>
      </c>
      <c r="Q5" s="1205">
        <f>'Table 5'!T10</f>
        <v>22.53</v>
      </c>
      <c r="R5" s="1673">
        <f>'Table 5'!U10</f>
        <v>0</v>
      </c>
      <c r="S5" s="479">
        <f>'Table 5'!V10</f>
        <v>22.53</v>
      </c>
      <c r="T5" s="477">
        <f>'Table 5'!W10</f>
        <v>0</v>
      </c>
      <c r="U5" s="1674">
        <f>'Table 5'!X10</f>
        <v>22.73</v>
      </c>
      <c r="V5" s="1383">
        <f>'Table 5'!Y10</f>
        <v>0</v>
      </c>
      <c r="W5" s="479">
        <f>'Table 5'!Z10</f>
        <v>22.73</v>
      </c>
      <c r="X5" s="477">
        <f>'Table 5'!AA10</f>
        <v>0</v>
      </c>
      <c r="Y5" s="444">
        <f>'Table 5'!AB10</f>
        <v>22.74</v>
      </c>
      <c r="Z5" s="445">
        <f>'Table 5'!AC10</f>
        <v>0</v>
      </c>
      <c r="AA5" s="3136">
        <f>'Table 5'!AD10</f>
        <v>22.74</v>
      </c>
      <c r="AB5" s="642">
        <f>'Table 5'!AE10</f>
        <v>0</v>
      </c>
      <c r="AC5" s="444">
        <f>'Table 5'!AF10</f>
        <v>22.81</v>
      </c>
      <c r="AD5" s="446">
        <f>'Table 5'!AG10</f>
        <v>0</v>
      </c>
      <c r="AE5" s="3136">
        <f>'Table 5'!AH10</f>
        <v>22.81</v>
      </c>
      <c r="AF5" s="3164">
        <f>'Table 5'!AI10</f>
        <v>0</v>
      </c>
      <c r="AG5" s="674">
        <f>'Table 5'!AJ10</f>
        <v>22.83</v>
      </c>
      <c r="AH5" s="585">
        <f>'Table 5'!AK10</f>
        <v>0</v>
      </c>
      <c r="AI5" s="3136">
        <f>'Table 5'!AL10</f>
        <v>22.83</v>
      </c>
      <c r="AJ5" s="450">
        <f>'Table 5'!AM10</f>
        <v>0</v>
      </c>
      <c r="AK5" s="361">
        <f>(AI5-L5)/L5</f>
        <v>0.08</v>
      </c>
      <c r="AL5" s="73">
        <f>'Table 5'!AP10</f>
        <v>24.2</v>
      </c>
      <c r="AM5" s="90">
        <f>'Table 5'!AQ10</f>
        <v>0</v>
      </c>
      <c r="AN5" s="3148">
        <f>'Table 5'!AR10</f>
        <v>24.2</v>
      </c>
      <c r="AO5" s="3156">
        <f>'Table 5'!AS10</f>
        <v>0</v>
      </c>
      <c r="AQ5" s="737">
        <f>I5-C5</f>
        <v>13330</v>
      </c>
      <c r="AR5" s="239">
        <f>AQ5/C5</f>
        <v>7.0000000000000007E-2</v>
      </c>
      <c r="AS5" s="1065">
        <f>AI5-L5</f>
        <v>1.69</v>
      </c>
    </row>
    <row r="6" spans="1:45" ht="13.5" thickBot="1">
      <c r="A6" s="579" t="s">
        <v>14</v>
      </c>
      <c r="B6" s="1079" t="s">
        <v>17</v>
      </c>
      <c r="C6" s="1849">
        <f>'Table 5'!D16</f>
        <v>21820</v>
      </c>
      <c r="D6" s="95">
        <f>'Table 5'!E16</f>
        <v>23504</v>
      </c>
      <c r="E6" s="742">
        <f>'Table 5'!F16</f>
        <v>23749</v>
      </c>
      <c r="F6" s="742">
        <f>'Table 5'!G16</f>
        <v>25325</v>
      </c>
      <c r="G6" s="742">
        <f>'Table 5'!H16</f>
        <v>26758</v>
      </c>
      <c r="H6" s="742">
        <f>'Table 5'!I16</f>
        <v>27250</v>
      </c>
      <c r="I6" s="1060">
        <f>'Table 5'!J16</f>
        <v>27562</v>
      </c>
      <c r="J6" s="1056">
        <f>'Table 5'!M16</f>
        <v>2.35</v>
      </c>
      <c r="K6" s="528">
        <f>'Table 5'!N16</f>
        <v>0</v>
      </c>
      <c r="L6" s="529">
        <f>'Table 5'!O16</f>
        <v>2.35</v>
      </c>
      <c r="M6" s="124">
        <f>'Table 5'!P16</f>
        <v>2.54</v>
      </c>
      <c r="N6" s="1057">
        <f>'Table 5'!Q16</f>
        <v>0</v>
      </c>
      <c r="O6" s="516">
        <f>'Table 5'!R16</f>
        <v>2.54</v>
      </c>
      <c r="P6" s="1058">
        <f>'Table 5'!S16</f>
        <v>0</v>
      </c>
      <c r="Q6" s="1056">
        <f>'Table 5'!T16</f>
        <v>2.56</v>
      </c>
      <c r="R6" s="528">
        <f>'Table 5'!U16</f>
        <v>0</v>
      </c>
      <c r="S6" s="530">
        <f>'Table 5'!V16</f>
        <v>2.56</v>
      </c>
      <c r="T6" s="3134">
        <f>'Table 5'!W16</f>
        <v>0</v>
      </c>
      <c r="U6" s="124">
        <f>'Table 5'!X16</f>
        <v>2.71</v>
      </c>
      <c r="V6" s="1057">
        <f>'Table 5'!Y16</f>
        <v>0</v>
      </c>
      <c r="W6" s="516">
        <f>'Table 5'!Z16</f>
        <v>2.71</v>
      </c>
      <c r="X6" s="1385">
        <f>'Table 5'!AA16</f>
        <v>0</v>
      </c>
      <c r="Y6" s="467">
        <f>'Table 5'!AB16</f>
        <v>2.89</v>
      </c>
      <c r="Z6" s="531">
        <f>'Table 5'!AC16</f>
        <v>0</v>
      </c>
      <c r="AA6" s="3137">
        <f>'Table 5'!AD16</f>
        <v>2.89</v>
      </c>
      <c r="AB6" s="3129">
        <f>'Table 5'!AE16</f>
        <v>0</v>
      </c>
      <c r="AC6" s="467">
        <f>'Table 5'!AF16</f>
        <v>2.95</v>
      </c>
      <c r="AD6" s="532">
        <f>'Table 5'!AG16</f>
        <v>0</v>
      </c>
      <c r="AE6" s="3137">
        <f>'Table 5'!AH16</f>
        <v>2.95</v>
      </c>
      <c r="AF6" s="3165">
        <f>'Table 5'!AI16</f>
        <v>0</v>
      </c>
      <c r="AG6" s="1603">
        <f>'Table 5'!AJ16</f>
        <v>2.98</v>
      </c>
      <c r="AH6" s="562">
        <f>'Table 5'!AK16</f>
        <v>0</v>
      </c>
      <c r="AI6" s="3137">
        <f>'Table 5'!AL16</f>
        <v>2.98</v>
      </c>
      <c r="AJ6" s="943">
        <f>'Table 5'!AM16</f>
        <v>0</v>
      </c>
      <c r="AK6" s="745">
        <f t="shared" ref="AK6:AK27" si="0">(AI6-L6)/L6</f>
        <v>0.27</v>
      </c>
      <c r="AL6" s="1021">
        <f>'Table 5'!AP16</f>
        <v>3.17</v>
      </c>
      <c r="AM6" s="1022">
        <f>'Table 5'!AQ16</f>
        <v>0</v>
      </c>
      <c r="AN6" s="3149">
        <f>'Table 5'!AR16</f>
        <v>3.17</v>
      </c>
      <c r="AO6" s="3157">
        <f>'Table 5'!AS16</f>
        <v>0</v>
      </c>
      <c r="AQ6" s="1849">
        <f t="shared" ref="AQ6:AQ27" si="1">I6-C6</f>
        <v>5742</v>
      </c>
      <c r="AR6" s="234">
        <f t="shared" ref="AR6:AR27" si="2">AQ6/C6</f>
        <v>0.26</v>
      </c>
      <c r="AS6" s="1066">
        <f t="shared" ref="AS6:AS27" si="3">AI6-L6</f>
        <v>0.63</v>
      </c>
    </row>
    <row r="7" spans="1:45" ht="14.25" thickTop="1" thickBot="1">
      <c r="A7" s="476" t="s">
        <v>14</v>
      </c>
      <c r="B7" s="3020" t="s">
        <v>18</v>
      </c>
      <c r="C7" s="738">
        <f t="shared" ref="C7" si="4">C5+C6</f>
        <v>209800</v>
      </c>
      <c r="D7" s="743">
        <f t="shared" ref="D7:I7" si="5">D5+D6</f>
        <v>217729</v>
      </c>
      <c r="E7" s="64">
        <f t="shared" si="5"/>
        <v>222204</v>
      </c>
      <c r="F7" s="64">
        <f t="shared" si="5"/>
        <v>225711</v>
      </c>
      <c r="G7" s="64">
        <f t="shared" si="5"/>
        <v>227233</v>
      </c>
      <c r="H7" s="64">
        <f t="shared" si="5"/>
        <v>228407</v>
      </c>
      <c r="I7" s="1061">
        <f t="shared" si="5"/>
        <v>228872</v>
      </c>
      <c r="J7" s="477">
        <f>SUM(J5:J6)</f>
        <v>23.49</v>
      </c>
      <c r="K7" s="478">
        <f t="shared" ref="K7:AL7" si="6">SUM(K5:K6)</f>
        <v>0</v>
      </c>
      <c r="L7" s="526">
        <f t="shared" si="6"/>
        <v>23.49</v>
      </c>
      <c r="M7" s="480">
        <f t="shared" si="6"/>
        <v>24.59</v>
      </c>
      <c r="N7" s="481">
        <f t="shared" si="6"/>
        <v>0</v>
      </c>
      <c r="O7" s="479">
        <f t="shared" si="6"/>
        <v>24.59</v>
      </c>
      <c r="P7" s="447">
        <f t="shared" ref="P7" si="7">SUM(P5:P6)</f>
        <v>0</v>
      </c>
      <c r="Q7" s="477">
        <f t="shared" si="6"/>
        <v>25.09</v>
      </c>
      <c r="R7" s="478">
        <f t="shared" si="6"/>
        <v>0</v>
      </c>
      <c r="S7" s="3135">
        <f t="shared" si="6"/>
        <v>25.09</v>
      </c>
      <c r="T7" s="477">
        <f t="shared" ref="T7" si="8">SUM(T5:T6)</f>
        <v>0</v>
      </c>
      <c r="U7" s="480">
        <f t="shared" si="6"/>
        <v>25.44</v>
      </c>
      <c r="V7" s="481">
        <f t="shared" si="6"/>
        <v>0</v>
      </c>
      <c r="W7" s="479">
        <f t="shared" si="6"/>
        <v>25.44</v>
      </c>
      <c r="X7" s="477">
        <f t="shared" ref="X7" si="9">SUM(X5:X6)</f>
        <v>0</v>
      </c>
      <c r="Y7" s="482">
        <f t="shared" si="6"/>
        <v>25.63</v>
      </c>
      <c r="Z7" s="483">
        <f t="shared" si="6"/>
        <v>0</v>
      </c>
      <c r="AA7" s="3138">
        <f t="shared" si="6"/>
        <v>25.63</v>
      </c>
      <c r="AB7" s="639">
        <f t="shared" ref="AB7" si="10">SUM(AB5:AB6)</f>
        <v>0</v>
      </c>
      <c r="AC7" s="482">
        <f t="shared" si="6"/>
        <v>25.76</v>
      </c>
      <c r="AD7" s="485">
        <f t="shared" si="6"/>
        <v>0</v>
      </c>
      <c r="AE7" s="3138">
        <f t="shared" si="6"/>
        <v>25.76</v>
      </c>
      <c r="AF7" s="3166">
        <f t="shared" ref="AF7" si="11">SUM(AF5:AF6)</f>
        <v>0</v>
      </c>
      <c r="AG7" s="656">
        <f t="shared" si="6"/>
        <v>25.81</v>
      </c>
      <c r="AH7" s="590">
        <f t="shared" si="6"/>
        <v>0</v>
      </c>
      <c r="AI7" s="3138">
        <f t="shared" si="6"/>
        <v>25.81</v>
      </c>
      <c r="AJ7" s="486">
        <f t="shared" ref="AJ7" si="12">SUM(AJ5:AJ6)</f>
        <v>0</v>
      </c>
      <c r="AK7" s="487">
        <f t="shared" si="0"/>
        <v>0.1</v>
      </c>
      <c r="AL7" s="60">
        <f t="shared" si="6"/>
        <v>27.37</v>
      </c>
      <c r="AM7" s="106">
        <f t="shared" ref="AM7" si="13">SUM(AM5:AM6)</f>
        <v>0</v>
      </c>
      <c r="AN7" s="3150">
        <f t="shared" ref="AN7" si="14">SUM(AN5:AN6)</f>
        <v>27.37</v>
      </c>
      <c r="AO7" s="3175">
        <f t="shared" ref="AO7" si="15">SUM(AO5:AO6)</f>
        <v>0</v>
      </c>
      <c r="AQ7" s="738">
        <f t="shared" si="1"/>
        <v>19072</v>
      </c>
      <c r="AR7" s="302">
        <f t="shared" si="2"/>
        <v>0.09</v>
      </c>
      <c r="AS7" s="1067">
        <f t="shared" si="3"/>
        <v>2.3199999999999998</v>
      </c>
    </row>
    <row r="8" spans="1:45">
      <c r="A8" s="475" t="s">
        <v>19</v>
      </c>
      <c r="B8" s="509" t="s">
        <v>15</v>
      </c>
      <c r="C8" s="351">
        <f>'Table 5'!D19</f>
        <v>6865</v>
      </c>
      <c r="D8" s="91">
        <f>'Table 5'!E19</f>
        <v>7045</v>
      </c>
      <c r="E8" s="92">
        <f>'Table 5'!F19</f>
        <v>7309</v>
      </c>
      <c r="F8" s="92">
        <f>'Table 5'!G19</f>
        <v>7833</v>
      </c>
      <c r="G8" s="92">
        <f>'Table 5'!H19</f>
        <v>7998</v>
      </c>
      <c r="H8" s="92">
        <f>'Table 5'!I19</f>
        <v>8030</v>
      </c>
      <c r="I8" s="1014">
        <f>'Table 5'!J19</f>
        <v>8030</v>
      </c>
      <c r="J8" s="122">
        <f>'Table 5'!M19</f>
        <v>0.92</v>
      </c>
      <c r="K8" s="462">
        <f>'Table 5'!N19</f>
        <v>0</v>
      </c>
      <c r="L8" s="513">
        <f>'Table 5'!O19</f>
        <v>0.92</v>
      </c>
      <c r="M8" s="99">
        <f>'Table 5'!P19</f>
        <v>0.95</v>
      </c>
      <c r="N8" s="463">
        <f>'Table 5'!Q19</f>
        <v>0</v>
      </c>
      <c r="O8" s="3132">
        <f>'Table 5'!R19</f>
        <v>0.95</v>
      </c>
      <c r="P8" s="517">
        <f>'Table 5'!S19</f>
        <v>0</v>
      </c>
      <c r="Q8" s="122">
        <f>'Table 5'!T19</f>
        <v>0.99</v>
      </c>
      <c r="R8" s="462">
        <f>'Table 5'!U19</f>
        <v>0</v>
      </c>
      <c r="S8" s="3132">
        <f>'Table 5'!V19</f>
        <v>0.99</v>
      </c>
      <c r="T8" s="1371">
        <f>'Table 5'!W19</f>
        <v>0</v>
      </c>
      <c r="U8" s="99">
        <f>'Table 5'!X19</f>
        <v>1.06</v>
      </c>
      <c r="V8" s="463">
        <f>'Table 5'!Y19</f>
        <v>0</v>
      </c>
      <c r="W8" s="3132">
        <f>'Table 5'!Z19</f>
        <v>1.06</v>
      </c>
      <c r="X8" s="1371">
        <f>'Table 5'!AA19</f>
        <v>0</v>
      </c>
      <c r="Y8" s="464">
        <f>'Table 5'!AB19</f>
        <v>1.08</v>
      </c>
      <c r="Z8" s="465">
        <f>'Table 5'!AC19</f>
        <v>0</v>
      </c>
      <c r="AA8" s="3139">
        <f>'Table 5'!AD19</f>
        <v>1.08</v>
      </c>
      <c r="AB8" s="3130">
        <f>'Table 5'!AE19</f>
        <v>0</v>
      </c>
      <c r="AC8" s="464">
        <f>'Table 5'!AF19</f>
        <v>1.0900000000000001</v>
      </c>
      <c r="AD8" s="466">
        <f>'Table 5'!AG19</f>
        <v>0</v>
      </c>
      <c r="AE8" s="3139">
        <f>'Table 5'!AH19</f>
        <v>1.0900000000000001</v>
      </c>
      <c r="AF8" s="3164">
        <f>'Table 5'!AI19</f>
        <v>0</v>
      </c>
      <c r="AG8" s="677">
        <f>'Table 5'!AJ19</f>
        <v>1.0900000000000001</v>
      </c>
      <c r="AH8" s="559">
        <f>'Table 5'!AK19</f>
        <v>0</v>
      </c>
      <c r="AI8" s="3139">
        <f>'Table 5'!AL19</f>
        <v>1.0900000000000001</v>
      </c>
      <c r="AJ8" s="518">
        <f>'Table 5'!AM19</f>
        <v>0</v>
      </c>
      <c r="AK8" s="362">
        <f t="shared" si="0"/>
        <v>0.18</v>
      </c>
      <c r="AL8" s="102">
        <f>'Table 5'!AP19</f>
        <v>1.1499999999999999</v>
      </c>
      <c r="AM8" s="117">
        <f>'Table 5'!AQ19</f>
        <v>0</v>
      </c>
      <c r="AN8" s="3151">
        <f>'Table 5'!AR19</f>
        <v>1.1499999999999999</v>
      </c>
      <c r="AO8" s="3163">
        <f>'Table 5'!AS19</f>
        <v>0</v>
      </c>
      <c r="AQ8" s="351">
        <f t="shared" si="1"/>
        <v>1165</v>
      </c>
      <c r="AR8" s="238">
        <f t="shared" si="2"/>
        <v>0.17</v>
      </c>
      <c r="AS8" s="1068">
        <f t="shared" si="3"/>
        <v>0.17</v>
      </c>
    </row>
    <row r="9" spans="1:45" ht="13.5" thickBot="1">
      <c r="A9" s="579" t="s">
        <v>19</v>
      </c>
      <c r="B9" s="1850" t="s">
        <v>17</v>
      </c>
      <c r="C9" s="1851">
        <v>0</v>
      </c>
      <c r="D9" s="95">
        <v>0</v>
      </c>
      <c r="E9" s="742">
        <v>0</v>
      </c>
      <c r="F9" s="742">
        <v>0</v>
      </c>
      <c r="G9" s="742">
        <v>0</v>
      </c>
      <c r="H9" s="742">
        <v>0</v>
      </c>
      <c r="I9" s="1060">
        <v>0</v>
      </c>
      <c r="J9" s="1056">
        <v>0</v>
      </c>
      <c r="K9" s="528">
        <v>0</v>
      </c>
      <c r="L9" s="529">
        <v>0</v>
      </c>
      <c r="M9" s="124">
        <v>0</v>
      </c>
      <c r="N9" s="1057">
        <v>0</v>
      </c>
      <c r="O9" s="516">
        <v>0</v>
      </c>
      <c r="P9" s="1058">
        <v>0</v>
      </c>
      <c r="Q9" s="1056">
        <v>0</v>
      </c>
      <c r="R9" s="528">
        <v>0</v>
      </c>
      <c r="S9" s="516">
        <v>0</v>
      </c>
      <c r="T9" s="1385">
        <v>0</v>
      </c>
      <c r="U9" s="124">
        <v>0</v>
      </c>
      <c r="V9" s="1057">
        <v>0</v>
      </c>
      <c r="W9" s="516">
        <v>0</v>
      </c>
      <c r="X9" s="1385">
        <v>0</v>
      </c>
      <c r="Y9" s="467">
        <v>0</v>
      </c>
      <c r="Z9" s="531">
        <v>0</v>
      </c>
      <c r="AA9" s="3137">
        <v>0</v>
      </c>
      <c r="AB9" s="3129">
        <v>0</v>
      </c>
      <c r="AC9" s="467">
        <v>0</v>
      </c>
      <c r="AD9" s="532">
        <v>0</v>
      </c>
      <c r="AE9" s="3137">
        <v>0</v>
      </c>
      <c r="AF9" s="3165">
        <v>0</v>
      </c>
      <c r="AG9" s="1603">
        <v>0</v>
      </c>
      <c r="AH9" s="562">
        <v>0</v>
      </c>
      <c r="AI9" s="3137">
        <v>0</v>
      </c>
      <c r="AJ9" s="943">
        <v>0</v>
      </c>
      <c r="AK9" s="745" t="s">
        <v>16</v>
      </c>
      <c r="AL9" s="1021">
        <v>0</v>
      </c>
      <c r="AM9" s="1022">
        <v>0</v>
      </c>
      <c r="AN9" s="3149">
        <v>0</v>
      </c>
      <c r="AO9" s="3157">
        <v>0</v>
      </c>
      <c r="AQ9" s="1849">
        <f t="shared" si="1"/>
        <v>0</v>
      </c>
      <c r="AR9" s="234" t="s">
        <v>16</v>
      </c>
      <c r="AS9" s="1066">
        <f t="shared" si="3"/>
        <v>0</v>
      </c>
    </row>
    <row r="10" spans="1:45" ht="14.25" thickTop="1" thickBot="1">
      <c r="A10" s="279" t="s">
        <v>19</v>
      </c>
      <c r="B10" s="3018" t="s">
        <v>18</v>
      </c>
      <c r="C10" s="739">
        <f t="shared" ref="C10" si="16">C8+C9</f>
        <v>6865</v>
      </c>
      <c r="D10" s="283">
        <f t="shared" ref="D10:I10" si="17">D8+D9</f>
        <v>7045</v>
      </c>
      <c r="E10" s="274">
        <f t="shared" si="17"/>
        <v>7309</v>
      </c>
      <c r="F10" s="274">
        <f t="shared" si="17"/>
        <v>7833</v>
      </c>
      <c r="G10" s="274">
        <f t="shared" si="17"/>
        <v>7998</v>
      </c>
      <c r="H10" s="274">
        <f t="shared" si="17"/>
        <v>8030</v>
      </c>
      <c r="I10" s="1062">
        <f t="shared" si="17"/>
        <v>8030</v>
      </c>
      <c r="J10" s="119">
        <f>SUM(J8:J9)</f>
        <v>0.92</v>
      </c>
      <c r="K10" s="107">
        <f t="shared" ref="K10:AL10" si="18">SUM(K8:K9)</f>
        <v>0</v>
      </c>
      <c r="L10" s="533">
        <f t="shared" si="18"/>
        <v>0.92</v>
      </c>
      <c r="M10" s="98">
        <f t="shared" si="18"/>
        <v>0.95</v>
      </c>
      <c r="N10" s="128">
        <f t="shared" si="18"/>
        <v>0</v>
      </c>
      <c r="O10" s="468">
        <f t="shared" si="18"/>
        <v>0.95</v>
      </c>
      <c r="P10" s="469">
        <f t="shared" ref="P10" si="19">SUM(P8:P9)</f>
        <v>0</v>
      </c>
      <c r="Q10" s="119">
        <f t="shared" si="18"/>
        <v>0.99</v>
      </c>
      <c r="R10" s="107">
        <f t="shared" si="18"/>
        <v>0</v>
      </c>
      <c r="S10" s="468">
        <f t="shared" si="18"/>
        <v>0.99</v>
      </c>
      <c r="T10" s="119">
        <f t="shared" ref="T10" si="20">SUM(T8:T9)</f>
        <v>0</v>
      </c>
      <c r="U10" s="98">
        <f t="shared" si="18"/>
        <v>1.06</v>
      </c>
      <c r="V10" s="128">
        <f t="shared" si="18"/>
        <v>0</v>
      </c>
      <c r="W10" s="468">
        <f t="shared" si="18"/>
        <v>1.06</v>
      </c>
      <c r="X10" s="119">
        <f t="shared" ref="X10" si="21">SUM(X8:X9)</f>
        <v>0</v>
      </c>
      <c r="Y10" s="470">
        <f t="shared" si="18"/>
        <v>1.08</v>
      </c>
      <c r="Z10" s="471">
        <f t="shared" si="18"/>
        <v>0</v>
      </c>
      <c r="AA10" s="3140">
        <f t="shared" si="18"/>
        <v>1.08</v>
      </c>
      <c r="AB10" s="679">
        <f t="shared" ref="AB10" si="22">SUM(AB8:AB9)</f>
        <v>0</v>
      </c>
      <c r="AC10" s="470">
        <f t="shared" si="18"/>
        <v>1.0900000000000001</v>
      </c>
      <c r="AD10" s="473">
        <f t="shared" si="18"/>
        <v>0</v>
      </c>
      <c r="AE10" s="3140">
        <f t="shared" si="18"/>
        <v>1.0900000000000001</v>
      </c>
      <c r="AF10" s="3167">
        <f t="shared" ref="AF10" si="23">SUM(AF8:AF9)</f>
        <v>0</v>
      </c>
      <c r="AG10" s="1604">
        <f t="shared" si="18"/>
        <v>1.0900000000000001</v>
      </c>
      <c r="AH10" s="1608">
        <f t="shared" si="18"/>
        <v>0</v>
      </c>
      <c r="AI10" s="3140">
        <f t="shared" si="18"/>
        <v>1.0900000000000001</v>
      </c>
      <c r="AJ10" s="474">
        <f t="shared" ref="AJ10" si="24">SUM(AJ8:AJ9)</f>
        <v>0</v>
      </c>
      <c r="AK10" s="363">
        <f t="shared" si="0"/>
        <v>0.18</v>
      </c>
      <c r="AL10" s="100">
        <f t="shared" si="18"/>
        <v>1.1499999999999999</v>
      </c>
      <c r="AM10" s="108">
        <f t="shared" ref="AM10" si="25">SUM(AM8:AM9)</f>
        <v>0</v>
      </c>
      <c r="AN10" s="3152">
        <f t="shared" ref="AN10" si="26">SUM(AN8:AN9)</f>
        <v>1.1499999999999999</v>
      </c>
      <c r="AO10" s="3175">
        <f t="shared" ref="AO10" si="27">SUM(AO8:AO9)</f>
        <v>0</v>
      </c>
      <c r="AQ10" s="739">
        <f t="shared" si="1"/>
        <v>1165</v>
      </c>
      <c r="AR10" s="252">
        <f t="shared" si="2"/>
        <v>0.17</v>
      </c>
      <c r="AS10" s="1069">
        <f t="shared" si="3"/>
        <v>0.17</v>
      </c>
    </row>
    <row r="11" spans="1:45">
      <c r="A11" s="475" t="s">
        <v>20</v>
      </c>
      <c r="B11" s="509" t="s">
        <v>15</v>
      </c>
      <c r="C11" s="351">
        <f>'Table 5'!D21</f>
        <v>115</v>
      </c>
      <c r="D11" s="91">
        <f>'Table 5'!E21</f>
        <v>122</v>
      </c>
      <c r="E11" s="92">
        <f>'Table 5'!F21</f>
        <v>145</v>
      </c>
      <c r="F11" s="92">
        <f>'Table 5'!G21</f>
        <v>155</v>
      </c>
      <c r="G11" s="92">
        <f>'Table 5'!H21</f>
        <v>155</v>
      </c>
      <c r="H11" s="92">
        <f>'Table 5'!I21</f>
        <v>155</v>
      </c>
      <c r="I11" s="1014">
        <f>'Table 5'!J21</f>
        <v>155</v>
      </c>
      <c r="J11" s="122">
        <f>'Table 5'!M21</f>
        <v>0.04</v>
      </c>
      <c r="K11" s="462">
        <f>'Table 5'!N21</f>
        <v>0</v>
      </c>
      <c r="L11" s="513">
        <f>'Table 5'!O21</f>
        <v>0.04</v>
      </c>
      <c r="M11" s="99">
        <f>'Table 5'!P21</f>
        <v>0.01</v>
      </c>
      <c r="N11" s="463">
        <f>'Table 5'!Q21</f>
        <v>0</v>
      </c>
      <c r="O11" s="3132">
        <f>'Table 5'!R21</f>
        <v>0.01</v>
      </c>
      <c r="P11" s="517">
        <f>'Table 5'!S21</f>
        <v>0</v>
      </c>
      <c r="Q11" s="122">
        <f>'Table 5'!T21</f>
        <v>0.01</v>
      </c>
      <c r="R11" s="462">
        <f>'Table 5'!U21</f>
        <v>0</v>
      </c>
      <c r="S11" s="3132">
        <f>'Table 5'!V21</f>
        <v>0.01</v>
      </c>
      <c r="T11" s="1371">
        <f>'Table 5'!W21</f>
        <v>0</v>
      </c>
      <c r="U11" s="99">
        <f>'Table 5'!X21</f>
        <v>0.01</v>
      </c>
      <c r="V11" s="463">
        <f>'Table 5'!Y21</f>
        <v>0</v>
      </c>
      <c r="W11" s="3132">
        <f>'Table 5'!Z21</f>
        <v>0.01</v>
      </c>
      <c r="X11" s="1371">
        <f>'Table 5'!AA21</f>
        <v>0</v>
      </c>
      <c r="Y11" s="510">
        <f>'Table 5'!AB21</f>
        <v>0.01</v>
      </c>
      <c r="Z11" s="511">
        <f>'Table 5'!AC21</f>
        <v>0</v>
      </c>
      <c r="AA11" s="3141">
        <f>'Table 5'!AD21</f>
        <v>0.01</v>
      </c>
      <c r="AB11" s="676">
        <f>'Table 5'!AE21</f>
        <v>0</v>
      </c>
      <c r="AC11" s="510">
        <f>'Table 5'!AF21</f>
        <v>0.01</v>
      </c>
      <c r="AD11" s="512">
        <f>'Table 5'!AG21</f>
        <v>0</v>
      </c>
      <c r="AE11" s="3141">
        <f>'Table 5'!AH21</f>
        <v>0.01</v>
      </c>
      <c r="AF11" s="3168">
        <f>'Table 5'!AI21</f>
        <v>0</v>
      </c>
      <c r="AG11" s="1201">
        <f>'Table 5'!AJ21</f>
        <v>0.01</v>
      </c>
      <c r="AH11" s="626">
        <f>'Table 5'!AK21</f>
        <v>0</v>
      </c>
      <c r="AI11" s="3141">
        <f>'Table 5'!AL21</f>
        <v>0.01</v>
      </c>
      <c r="AJ11" s="519">
        <f>'Table 5'!AM21</f>
        <v>0</v>
      </c>
      <c r="AK11" s="362">
        <f t="shared" si="0"/>
        <v>-0.75</v>
      </c>
      <c r="AL11" s="102">
        <f>'Table 5'!AP21</f>
        <v>0.01</v>
      </c>
      <c r="AM11" s="117">
        <f>'Table 5'!AQ21</f>
        <v>0</v>
      </c>
      <c r="AN11" s="3151">
        <f>'Table 5'!AR21</f>
        <v>0.01</v>
      </c>
      <c r="AO11" s="3163">
        <f>'Table 5'!AS21</f>
        <v>0</v>
      </c>
      <c r="AQ11" s="351">
        <f t="shared" si="1"/>
        <v>40</v>
      </c>
      <c r="AR11" s="238">
        <f t="shared" si="2"/>
        <v>0.35</v>
      </c>
      <c r="AS11" s="1070">
        <f t="shared" si="3"/>
        <v>-0.03</v>
      </c>
    </row>
    <row r="12" spans="1:45" ht="13.5" thickBot="1">
      <c r="A12" s="579" t="s">
        <v>20</v>
      </c>
      <c r="B12" s="540" t="s">
        <v>17</v>
      </c>
      <c r="C12" s="740">
        <f>'Table 5'!D24</f>
        <v>7462</v>
      </c>
      <c r="D12" s="329">
        <f>'Table 5'!E24</f>
        <v>8843</v>
      </c>
      <c r="E12" s="330">
        <f>'Table 5'!F24</f>
        <v>9029</v>
      </c>
      <c r="F12" s="330">
        <f>'Table 5'!G24</f>
        <v>9181</v>
      </c>
      <c r="G12" s="330">
        <f>'Table 5'!H24</f>
        <v>9301</v>
      </c>
      <c r="H12" s="330">
        <f>'Table 5'!I24</f>
        <v>9398</v>
      </c>
      <c r="I12" s="1015">
        <f>'Table 5'!J24</f>
        <v>9542</v>
      </c>
      <c r="J12" s="1056">
        <f>'Table 5'!M24</f>
        <v>0.94</v>
      </c>
      <c r="K12" s="528">
        <f>'Table 5'!N24</f>
        <v>0</v>
      </c>
      <c r="L12" s="529">
        <f>'Table 5'!O24</f>
        <v>0.94</v>
      </c>
      <c r="M12" s="124">
        <f>'Table 5'!P24</f>
        <v>1.04</v>
      </c>
      <c r="N12" s="1057">
        <f>'Table 5'!Q24</f>
        <v>0</v>
      </c>
      <c r="O12" s="516">
        <f>'Table 5'!R24</f>
        <v>1.04</v>
      </c>
      <c r="P12" s="1058">
        <f>'Table 5'!S24</f>
        <v>0</v>
      </c>
      <c r="Q12" s="1056">
        <f>'Table 5'!T24</f>
        <v>1.05</v>
      </c>
      <c r="R12" s="528">
        <f>'Table 5'!U24</f>
        <v>0</v>
      </c>
      <c r="S12" s="516">
        <f>'Table 5'!V24</f>
        <v>1.05</v>
      </c>
      <c r="T12" s="1385">
        <f>'Table 5'!W24</f>
        <v>0</v>
      </c>
      <c r="U12" s="124">
        <f>'Table 5'!X24</f>
        <v>1.07</v>
      </c>
      <c r="V12" s="1057">
        <f>'Table 5'!Y24</f>
        <v>0</v>
      </c>
      <c r="W12" s="516">
        <f>'Table 5'!Z24</f>
        <v>1.07</v>
      </c>
      <c r="X12" s="1385">
        <f>'Table 5'!AA24</f>
        <v>0</v>
      </c>
      <c r="Y12" s="41">
        <f>'Table 5'!AB24</f>
        <v>1.08</v>
      </c>
      <c r="Z12" s="541">
        <f>'Table 5'!AC24</f>
        <v>0</v>
      </c>
      <c r="AA12" s="3142">
        <f>'Table 5'!AD24</f>
        <v>1.08</v>
      </c>
      <c r="AB12" s="1254">
        <f>'Table 5'!AE24</f>
        <v>0</v>
      </c>
      <c r="AC12" s="41">
        <f>'Table 5'!AF24</f>
        <v>1.0900000000000001</v>
      </c>
      <c r="AD12" s="543">
        <f>'Table 5'!AG24</f>
        <v>0</v>
      </c>
      <c r="AE12" s="3142">
        <f>'Table 5'!AH24</f>
        <v>1.0900000000000001</v>
      </c>
      <c r="AF12" s="3169">
        <f>'Table 5'!AI24</f>
        <v>0</v>
      </c>
      <c r="AG12" s="1605">
        <f>'Table 5'!AJ24</f>
        <v>1.1100000000000001</v>
      </c>
      <c r="AH12" s="613">
        <f>'Table 5'!AK24</f>
        <v>0</v>
      </c>
      <c r="AI12" s="3146">
        <f>'Table 5'!AL24</f>
        <v>1.1100000000000001</v>
      </c>
      <c r="AJ12" s="614">
        <f>'Table 5'!AM24</f>
        <v>0</v>
      </c>
      <c r="AK12" s="544">
        <f t="shared" si="0"/>
        <v>0.18</v>
      </c>
      <c r="AL12" s="1021">
        <f>'Table 5'!AP24</f>
        <v>1.17</v>
      </c>
      <c r="AM12" s="1022">
        <f>'Table 5'!AQ24</f>
        <v>0</v>
      </c>
      <c r="AN12" s="3149">
        <f>'Table 5'!AR24</f>
        <v>1.17</v>
      </c>
      <c r="AO12" s="3176">
        <f>'Table 5'!AS24</f>
        <v>0</v>
      </c>
      <c r="AQ12" s="740">
        <f t="shared" si="1"/>
        <v>2080</v>
      </c>
      <c r="AR12" s="1003">
        <f t="shared" si="2"/>
        <v>0.28000000000000003</v>
      </c>
      <c r="AS12" s="1071">
        <f t="shared" si="3"/>
        <v>0.17</v>
      </c>
    </row>
    <row r="13" spans="1:45" ht="14.25" thickTop="1" thickBot="1">
      <c r="A13" s="279" t="s">
        <v>20</v>
      </c>
      <c r="B13" s="3018" t="s">
        <v>18</v>
      </c>
      <c r="C13" s="739">
        <f t="shared" ref="C13:J13" si="28">SUM(C11:C12)</f>
        <v>7577</v>
      </c>
      <c r="D13" s="283">
        <f t="shared" ref="D13:I13" si="29">SUM(D11:D12)</f>
        <v>8965</v>
      </c>
      <c r="E13" s="274">
        <f t="shared" si="29"/>
        <v>9174</v>
      </c>
      <c r="F13" s="274">
        <f t="shared" si="29"/>
        <v>9336</v>
      </c>
      <c r="G13" s="274">
        <f t="shared" si="29"/>
        <v>9456</v>
      </c>
      <c r="H13" s="274">
        <f t="shared" si="29"/>
        <v>9553</v>
      </c>
      <c r="I13" s="1062">
        <f t="shared" si="29"/>
        <v>9697</v>
      </c>
      <c r="J13" s="119">
        <f t="shared" si="28"/>
        <v>0.98</v>
      </c>
      <c r="K13" s="107">
        <f t="shared" ref="K13:AI13" si="30">SUM(K11:K12)</f>
        <v>0</v>
      </c>
      <c r="L13" s="533">
        <f t="shared" si="30"/>
        <v>0.98</v>
      </c>
      <c r="M13" s="98">
        <f t="shared" si="30"/>
        <v>1.05</v>
      </c>
      <c r="N13" s="128">
        <f t="shared" si="30"/>
        <v>0</v>
      </c>
      <c r="O13" s="468">
        <f t="shared" si="30"/>
        <v>1.05</v>
      </c>
      <c r="P13" s="469">
        <f t="shared" ref="P13" si="31">SUM(P11:P12)</f>
        <v>0</v>
      </c>
      <c r="Q13" s="119">
        <f t="shared" si="30"/>
        <v>1.06</v>
      </c>
      <c r="R13" s="107">
        <f t="shared" si="30"/>
        <v>0</v>
      </c>
      <c r="S13" s="468">
        <f t="shared" si="30"/>
        <v>1.06</v>
      </c>
      <c r="T13" s="119">
        <f t="shared" ref="T13" si="32">SUM(T11:T12)</f>
        <v>0</v>
      </c>
      <c r="U13" s="98">
        <f t="shared" si="30"/>
        <v>1.08</v>
      </c>
      <c r="V13" s="128">
        <f t="shared" si="30"/>
        <v>0</v>
      </c>
      <c r="W13" s="468">
        <f t="shared" si="30"/>
        <v>1.08</v>
      </c>
      <c r="X13" s="119">
        <f t="shared" ref="X13" si="33">SUM(X11:X12)</f>
        <v>0</v>
      </c>
      <c r="Y13" s="535">
        <f t="shared" si="30"/>
        <v>1.0900000000000001</v>
      </c>
      <c r="Z13" s="536">
        <f t="shared" si="30"/>
        <v>0</v>
      </c>
      <c r="AA13" s="667">
        <f t="shared" si="30"/>
        <v>1.0900000000000001</v>
      </c>
      <c r="AB13" s="646">
        <f t="shared" ref="AB13" si="34">SUM(AB11:AB12)</f>
        <v>0</v>
      </c>
      <c r="AC13" s="535">
        <f t="shared" si="30"/>
        <v>1.1000000000000001</v>
      </c>
      <c r="AD13" s="538">
        <f t="shared" si="30"/>
        <v>0</v>
      </c>
      <c r="AE13" s="667">
        <f t="shared" si="30"/>
        <v>1.1000000000000001</v>
      </c>
      <c r="AF13" s="3170">
        <f t="shared" ref="AF13" si="35">SUM(AF11:AF12)</f>
        <v>0</v>
      </c>
      <c r="AG13" s="1606">
        <f t="shared" si="30"/>
        <v>1.1200000000000001</v>
      </c>
      <c r="AH13" s="1609">
        <f t="shared" si="30"/>
        <v>0</v>
      </c>
      <c r="AI13" s="667">
        <f t="shared" si="30"/>
        <v>1.1200000000000001</v>
      </c>
      <c r="AJ13" s="539">
        <f t="shared" ref="AJ13" si="36">SUM(AJ11:AJ12)</f>
        <v>0</v>
      </c>
      <c r="AK13" s="363">
        <f t="shared" si="0"/>
        <v>0.14000000000000001</v>
      </c>
      <c r="AL13" s="100">
        <f t="shared" ref="AL13:AN13" si="37">SUM(AL11:AL12)</f>
        <v>1.18</v>
      </c>
      <c r="AM13" s="108">
        <f t="shared" si="37"/>
        <v>0</v>
      </c>
      <c r="AN13" s="3152">
        <f t="shared" si="37"/>
        <v>1.18</v>
      </c>
      <c r="AO13" s="3161">
        <f t="shared" ref="AO13" si="38">SUM(AO11:AO12)</f>
        <v>0</v>
      </c>
      <c r="AQ13" s="739">
        <f t="shared" si="1"/>
        <v>2120</v>
      </c>
      <c r="AR13" s="252">
        <f t="shared" si="2"/>
        <v>0.28000000000000003</v>
      </c>
      <c r="AS13" s="1072">
        <f t="shared" si="3"/>
        <v>0.14000000000000001</v>
      </c>
    </row>
    <row r="14" spans="1:45">
      <c r="A14" s="455" t="s">
        <v>21</v>
      </c>
      <c r="B14" s="1075" t="s">
        <v>15</v>
      </c>
      <c r="C14" s="1076">
        <f>'Table 5'!D30</f>
        <v>137842</v>
      </c>
      <c r="D14" s="1063">
        <f>'Table 5'!E30</f>
        <v>147628</v>
      </c>
      <c r="E14" s="1038">
        <f>'Table 5'!F30</f>
        <v>158325</v>
      </c>
      <c r="F14" s="1038">
        <f>'Table 5'!G30</f>
        <v>161667</v>
      </c>
      <c r="G14" s="1038">
        <f>'Table 5'!H30</f>
        <v>173617</v>
      </c>
      <c r="H14" s="1038">
        <f>'Table 5'!I30</f>
        <v>180477</v>
      </c>
      <c r="I14" s="1013">
        <f>'Table 5'!J30</f>
        <v>188935</v>
      </c>
      <c r="J14" s="1054">
        <f>'Table 5'!M30</f>
        <v>12.89</v>
      </c>
      <c r="K14" s="1077">
        <f>'Table 5'!N30</f>
        <v>0</v>
      </c>
      <c r="L14" s="453">
        <f>'Table 5'!O30</f>
        <v>12.89</v>
      </c>
      <c r="M14" s="1001">
        <f>'Table 5'!P30</f>
        <v>13.7</v>
      </c>
      <c r="N14" s="451">
        <f>'Table 5'!Q30</f>
        <v>0</v>
      </c>
      <c r="O14" s="515">
        <f>'Table 5'!R30</f>
        <v>13.7</v>
      </c>
      <c r="P14" s="1078">
        <f>'Table 5'!S30</f>
        <v>1.29</v>
      </c>
      <c r="Q14" s="1054">
        <f>'Table 5'!T30</f>
        <v>15.29</v>
      </c>
      <c r="R14" s="1077">
        <f>'Table 5'!U30</f>
        <v>0</v>
      </c>
      <c r="S14" s="515">
        <f>'Table 5'!V30</f>
        <v>15.29</v>
      </c>
      <c r="T14" s="1847">
        <f>'Table 5'!W30</f>
        <v>1.29</v>
      </c>
      <c r="U14" s="1001">
        <f>'Table 5'!X30</f>
        <v>15.63</v>
      </c>
      <c r="V14" s="451">
        <f>'Table 5'!Y30</f>
        <v>0</v>
      </c>
      <c r="W14" s="515">
        <f>'Table 5'!Z30</f>
        <v>15.63</v>
      </c>
      <c r="X14" s="1847">
        <f>'Table 5'!AA30</f>
        <v>1.29</v>
      </c>
      <c r="Y14" s="827">
        <f>'Table 5'!AB30</f>
        <v>16.77</v>
      </c>
      <c r="Z14" s="916">
        <f>'Table 5'!AC30</f>
        <v>0</v>
      </c>
      <c r="AA14" s="3143">
        <f>'Table 5'!AD30</f>
        <v>16.77</v>
      </c>
      <c r="AB14" s="910">
        <f>'Table 5'!AE30</f>
        <v>1.29</v>
      </c>
      <c r="AC14" s="827">
        <f>'Table 5'!AF30</f>
        <v>17.440000000000001</v>
      </c>
      <c r="AD14" s="452">
        <f>'Table 5'!AG30</f>
        <v>0</v>
      </c>
      <c r="AE14" s="3143">
        <f>'Table 5'!AH30</f>
        <v>17.440000000000001</v>
      </c>
      <c r="AF14" s="3171">
        <f>'Table 5'!AI30</f>
        <v>1.29</v>
      </c>
      <c r="AG14" s="674">
        <f>'Table 5'!AJ30</f>
        <v>18.16</v>
      </c>
      <c r="AH14" s="585">
        <f>'Table 5'!AK30</f>
        <v>0</v>
      </c>
      <c r="AI14" s="3136">
        <f>'Table 5'!AL30</f>
        <v>18.16</v>
      </c>
      <c r="AJ14" s="450">
        <f>'Table 5'!AM30</f>
        <v>1.44</v>
      </c>
      <c r="AK14" s="361">
        <f>(SUM(AI14:AJ14)-L14)/L14</f>
        <v>0.52</v>
      </c>
      <c r="AL14" s="1000">
        <f>'Table 5'!AP30</f>
        <v>19.25</v>
      </c>
      <c r="AM14" s="299">
        <f>'Table 5'!AQ30</f>
        <v>0</v>
      </c>
      <c r="AN14" s="3153">
        <f>'Table 5'!AR30</f>
        <v>19.25</v>
      </c>
      <c r="AO14" s="3159">
        <f>'Table 5'!AS30</f>
        <v>1.53</v>
      </c>
      <c r="AQ14" s="1076">
        <f t="shared" si="1"/>
        <v>51093</v>
      </c>
      <c r="AR14" s="239">
        <f t="shared" si="2"/>
        <v>0.37</v>
      </c>
      <c r="AS14" s="1065">
        <f t="shared" si="3"/>
        <v>5.27</v>
      </c>
    </row>
    <row r="15" spans="1:45">
      <c r="A15" s="455" t="s">
        <v>22</v>
      </c>
      <c r="B15" s="508" t="s">
        <v>17</v>
      </c>
      <c r="C15" s="1076">
        <f>'Table 5'!D33</f>
        <v>18767</v>
      </c>
      <c r="D15" s="1063">
        <f>'Table 5'!E33</f>
        <v>19425</v>
      </c>
      <c r="E15" s="1038">
        <f>'Table 5'!F33</f>
        <v>19986</v>
      </c>
      <c r="F15" s="1038">
        <f>'Table 5'!G33</f>
        <v>20551</v>
      </c>
      <c r="G15" s="1038">
        <f>'Table 5'!H33</f>
        <v>21134</v>
      </c>
      <c r="H15" s="1038">
        <f>'Table 5'!I33</f>
        <v>21730</v>
      </c>
      <c r="I15" s="1013">
        <f>'Table 5'!J33</f>
        <v>22346</v>
      </c>
      <c r="J15" s="1054">
        <f>'Table 5'!M33</f>
        <v>3.32</v>
      </c>
      <c r="K15" s="1077">
        <f>'Table 5'!N33</f>
        <v>0</v>
      </c>
      <c r="L15" s="453">
        <f>'Table 5'!O33</f>
        <v>3.32</v>
      </c>
      <c r="M15" s="1001">
        <f>'Table 5'!P33</f>
        <v>3.47</v>
      </c>
      <c r="N15" s="451">
        <f>'Table 5'!Q33</f>
        <v>0</v>
      </c>
      <c r="O15" s="515">
        <f>'Table 5'!R33</f>
        <v>3.47</v>
      </c>
      <c r="P15" s="1078">
        <f>'Table 5'!S33</f>
        <v>0</v>
      </c>
      <c r="Q15" s="1054">
        <f>'Table 5'!T33</f>
        <v>3.58</v>
      </c>
      <c r="R15" s="1077">
        <f>'Table 5'!U33</f>
        <v>0</v>
      </c>
      <c r="S15" s="515">
        <f>'Table 5'!V33</f>
        <v>3.58</v>
      </c>
      <c r="T15" s="1847">
        <f>'Table 5'!W33</f>
        <v>0</v>
      </c>
      <c r="U15" s="1001">
        <f>'Table 5'!X33</f>
        <v>3.68</v>
      </c>
      <c r="V15" s="451">
        <f>'Table 5'!Y33</f>
        <v>0</v>
      </c>
      <c r="W15" s="515">
        <f>'Table 5'!Z33</f>
        <v>3.68</v>
      </c>
      <c r="X15" s="1847">
        <f>'Table 5'!AA33</f>
        <v>0</v>
      </c>
      <c r="Y15" s="827">
        <f>'Table 5'!AB33</f>
        <v>3.78</v>
      </c>
      <c r="Z15" s="916">
        <f>'Table 5'!AC33</f>
        <v>0</v>
      </c>
      <c r="AA15" s="3143">
        <f>'Table 5'!AD33</f>
        <v>3.78</v>
      </c>
      <c r="AB15" s="910">
        <f>'Table 5'!AE33</f>
        <v>0</v>
      </c>
      <c r="AC15" s="827">
        <f>'Table 5'!AF33</f>
        <v>3.89</v>
      </c>
      <c r="AD15" s="452">
        <f>'Table 5'!AG33</f>
        <v>0</v>
      </c>
      <c r="AE15" s="3143">
        <f>'Table 5'!AH33</f>
        <v>3.89</v>
      </c>
      <c r="AF15" s="3171">
        <f>'Table 5'!AI33</f>
        <v>0</v>
      </c>
      <c r="AG15" s="674">
        <f>'Table 5'!AJ33</f>
        <v>4</v>
      </c>
      <c r="AH15" s="585">
        <f>'Table 5'!AK33</f>
        <v>0</v>
      </c>
      <c r="AI15" s="3136">
        <f>'Table 5'!AL33</f>
        <v>4</v>
      </c>
      <c r="AJ15" s="450">
        <f>'Table 5'!AM33</f>
        <v>0</v>
      </c>
      <c r="AK15" s="361">
        <f t="shared" si="0"/>
        <v>0.2</v>
      </c>
      <c r="AL15" s="1000">
        <f>'Table 5'!AP33</f>
        <v>4.24</v>
      </c>
      <c r="AM15" s="299">
        <f>'Table 5'!AQ33</f>
        <v>0</v>
      </c>
      <c r="AN15" s="3153">
        <f>'Table 5'!AR33</f>
        <v>4.24</v>
      </c>
      <c r="AO15" s="3158">
        <f>'Table 5'!AS33</f>
        <v>0</v>
      </c>
      <c r="AQ15" s="1076">
        <f t="shared" si="1"/>
        <v>3579</v>
      </c>
      <c r="AR15" s="239">
        <f t="shared" si="2"/>
        <v>0.19</v>
      </c>
      <c r="AS15" s="1065">
        <f t="shared" si="3"/>
        <v>0.68</v>
      </c>
    </row>
    <row r="16" spans="1:45">
      <c r="A16" s="455" t="s">
        <v>23</v>
      </c>
      <c r="B16" s="1075" t="s">
        <v>15</v>
      </c>
      <c r="C16" s="1076">
        <f>'Table 5'!D42</f>
        <v>693374</v>
      </c>
      <c r="D16" s="1063">
        <f>'Table 5'!E42</f>
        <v>740217</v>
      </c>
      <c r="E16" s="1038">
        <f>'Table 5'!F42</f>
        <v>789686</v>
      </c>
      <c r="F16" s="1038">
        <f>'Table 5'!G42</f>
        <v>828005</v>
      </c>
      <c r="G16" s="1038">
        <f>'Table 5'!H42</f>
        <v>861521</v>
      </c>
      <c r="H16" s="1038">
        <f>'Table 5'!I42</f>
        <v>888845</v>
      </c>
      <c r="I16" s="1013">
        <f>'Table 5'!J42</f>
        <v>912276</v>
      </c>
      <c r="J16" s="1054">
        <f>'Table 5'!M42</f>
        <v>106.52</v>
      </c>
      <c r="K16" s="1077">
        <f>'Table 5'!N42</f>
        <v>0</v>
      </c>
      <c r="L16" s="453">
        <f>'Table 5'!O42</f>
        <v>106.52</v>
      </c>
      <c r="M16" s="1001">
        <f>'Table 5'!P42</f>
        <v>110.97</v>
      </c>
      <c r="N16" s="451">
        <f>'Table 5'!Q42</f>
        <v>0</v>
      </c>
      <c r="O16" s="515">
        <f>'Table 5'!R42</f>
        <v>110.97</v>
      </c>
      <c r="P16" s="1078">
        <f>'Table 5'!S42</f>
        <v>0</v>
      </c>
      <c r="Q16" s="1054">
        <f>'Table 5'!T42</f>
        <v>118.59</v>
      </c>
      <c r="R16" s="1077">
        <f>'Table 5'!U42</f>
        <v>0</v>
      </c>
      <c r="S16" s="515">
        <f>'Table 5'!V42</f>
        <v>118.59</v>
      </c>
      <c r="T16" s="1847">
        <f>'Table 5'!W42</f>
        <v>0</v>
      </c>
      <c r="U16" s="1001">
        <f>'Table 5'!X42</f>
        <v>124.49</v>
      </c>
      <c r="V16" s="451">
        <f>'Table 5'!Y42</f>
        <v>0</v>
      </c>
      <c r="W16" s="515">
        <f>'Table 5'!Z42</f>
        <v>124.49</v>
      </c>
      <c r="X16" s="1847">
        <f>'Table 5'!AA42</f>
        <v>0</v>
      </c>
      <c r="Y16" s="827">
        <f>'Table 5'!AB42</f>
        <v>129.65</v>
      </c>
      <c r="Z16" s="916">
        <f>'Table 5'!AC42</f>
        <v>0</v>
      </c>
      <c r="AA16" s="3143">
        <f>'Table 5'!AD42</f>
        <v>129.65</v>
      </c>
      <c r="AB16" s="910">
        <f>'Table 5'!AE42</f>
        <v>0</v>
      </c>
      <c r="AC16" s="827">
        <f>'Table 5'!AF42</f>
        <v>133.77000000000001</v>
      </c>
      <c r="AD16" s="452">
        <f>'Table 5'!AG42</f>
        <v>0</v>
      </c>
      <c r="AE16" s="3143">
        <f>'Table 5'!AH42</f>
        <v>133.77000000000001</v>
      </c>
      <c r="AF16" s="3171">
        <f>'Table 5'!AI42</f>
        <v>0</v>
      </c>
      <c r="AG16" s="674">
        <f>'Table 5'!AJ42</f>
        <v>137.38</v>
      </c>
      <c r="AH16" s="585">
        <f>'Table 5'!AK42</f>
        <v>0</v>
      </c>
      <c r="AI16" s="3136">
        <f>'Table 5'!AL42</f>
        <v>137.38</v>
      </c>
      <c r="AJ16" s="450">
        <f>'Table 5'!AM42</f>
        <v>0</v>
      </c>
      <c r="AK16" s="361">
        <f t="shared" si="0"/>
        <v>0.28999999999999998</v>
      </c>
      <c r="AL16" s="1000">
        <f>'Table 5'!AP42</f>
        <v>145.62</v>
      </c>
      <c r="AM16" s="299">
        <f>'Table 5'!AQ42</f>
        <v>0</v>
      </c>
      <c r="AN16" s="3153">
        <f>'Table 5'!AR42</f>
        <v>145.62</v>
      </c>
      <c r="AO16" s="3160">
        <f>'Table 5'!AS42</f>
        <v>0</v>
      </c>
      <c r="AQ16" s="1076">
        <f t="shared" si="1"/>
        <v>218902</v>
      </c>
      <c r="AR16" s="239">
        <f t="shared" si="2"/>
        <v>0.32</v>
      </c>
      <c r="AS16" s="1065">
        <f t="shared" si="3"/>
        <v>30.86</v>
      </c>
    </row>
    <row r="17" spans="1:47">
      <c r="A17" s="455" t="s">
        <v>24</v>
      </c>
      <c r="B17" s="1075" t="s">
        <v>15</v>
      </c>
      <c r="C17" s="1076">
        <f>'Table 5'!D51</f>
        <v>94805</v>
      </c>
      <c r="D17" s="1063">
        <f>'Table 5'!E51</f>
        <v>107845</v>
      </c>
      <c r="E17" s="1038">
        <f>'Table 5'!F51</f>
        <v>120892</v>
      </c>
      <c r="F17" s="1038">
        <f>'Table 5'!G51</f>
        <v>130769</v>
      </c>
      <c r="G17" s="1038">
        <f>'Table 5'!H51</f>
        <v>139582</v>
      </c>
      <c r="H17" s="1038">
        <f>'Table 5'!I51</f>
        <v>145212</v>
      </c>
      <c r="I17" s="1013">
        <f>'Table 5'!J51</f>
        <v>149355</v>
      </c>
      <c r="J17" s="1054">
        <f>'Table 5'!M51</f>
        <v>8.98</v>
      </c>
      <c r="K17" s="1077">
        <f>'Table 5'!N51</f>
        <v>7.0000000000000007E-2</v>
      </c>
      <c r="L17" s="453">
        <f>'Table 5'!O51</f>
        <v>9.0500000000000007</v>
      </c>
      <c r="M17" s="1001">
        <f>'Table 5'!P51</f>
        <v>10.26</v>
      </c>
      <c r="N17" s="451">
        <f>'Table 5'!Q51</f>
        <v>0.03</v>
      </c>
      <c r="O17" s="515">
        <f>'Table 5'!R51</f>
        <v>10.29</v>
      </c>
      <c r="P17" s="1078">
        <f>'Table 5'!S51</f>
        <v>0</v>
      </c>
      <c r="Q17" s="1054">
        <f>'Table 5'!T51</f>
        <v>11.42</v>
      </c>
      <c r="R17" s="1077">
        <f>'Table 5'!U51</f>
        <v>0.03</v>
      </c>
      <c r="S17" s="515">
        <f>'Table 5'!V51</f>
        <v>11.45</v>
      </c>
      <c r="T17" s="1847">
        <f>'Table 5'!W51</f>
        <v>0</v>
      </c>
      <c r="U17" s="1001">
        <f>'Table 5'!X51</f>
        <v>12.42</v>
      </c>
      <c r="V17" s="451">
        <f>'Table 5'!Y51</f>
        <v>0.03</v>
      </c>
      <c r="W17" s="515">
        <f>'Table 5'!Z51</f>
        <v>12.45</v>
      </c>
      <c r="X17" s="1847">
        <f>'Table 5'!AA51</f>
        <v>0</v>
      </c>
      <c r="Y17" s="827">
        <f>'Table 5'!AB51</f>
        <v>13.23</v>
      </c>
      <c r="Z17" s="916">
        <f>'Table 5'!AC51</f>
        <v>0.03</v>
      </c>
      <c r="AA17" s="3143">
        <f>'Table 5'!AD51</f>
        <v>13.26</v>
      </c>
      <c r="AB17" s="910">
        <f>'Table 5'!AE51</f>
        <v>0</v>
      </c>
      <c r="AC17" s="827">
        <f>'Table 5'!AF51</f>
        <v>13.76</v>
      </c>
      <c r="AD17" s="452">
        <f>'Table 5'!AG51</f>
        <v>0.03</v>
      </c>
      <c r="AE17" s="3143">
        <f>'Table 5'!AH51</f>
        <v>13.79</v>
      </c>
      <c r="AF17" s="3171">
        <f>'Table 5'!AI51</f>
        <v>0</v>
      </c>
      <c r="AG17" s="674">
        <f>'Table 5'!AJ51</f>
        <v>14.3</v>
      </c>
      <c r="AH17" s="585">
        <f>'Table 5'!AK51</f>
        <v>0.03</v>
      </c>
      <c r="AI17" s="3136">
        <f>'Table 5'!AL51</f>
        <v>14.33</v>
      </c>
      <c r="AJ17" s="450">
        <f>'Table 5'!AM51</f>
        <v>0</v>
      </c>
      <c r="AK17" s="361">
        <f t="shared" si="0"/>
        <v>0.57999999999999996</v>
      </c>
      <c r="AL17" s="1000">
        <f>'Table 5'!AP51</f>
        <v>15.15</v>
      </c>
      <c r="AM17" s="299">
        <f>'Table 5'!AQ51</f>
        <v>0.03</v>
      </c>
      <c r="AN17" s="3153">
        <f>'Table 5'!AR51</f>
        <v>15.18</v>
      </c>
      <c r="AO17" s="3158">
        <f>'Table 5'!AS51</f>
        <v>0</v>
      </c>
      <c r="AQ17" s="1076">
        <f t="shared" si="1"/>
        <v>54550</v>
      </c>
      <c r="AR17" s="239">
        <f t="shared" si="2"/>
        <v>0.57999999999999996</v>
      </c>
      <c r="AS17" s="1065">
        <f t="shared" si="3"/>
        <v>5.28</v>
      </c>
    </row>
    <row r="18" spans="1:47">
      <c r="A18" s="456" t="s">
        <v>25</v>
      </c>
      <c r="B18" s="508" t="s">
        <v>17</v>
      </c>
      <c r="C18" s="1076">
        <f>'Table 5'!D54</f>
        <v>2125</v>
      </c>
      <c r="D18" s="1063">
        <f>'Table 5'!E54</f>
        <v>2220</v>
      </c>
      <c r="E18" s="1038">
        <f>'Table 5'!F54</f>
        <v>2486</v>
      </c>
      <c r="F18" s="1038">
        <f>'Table 5'!G54</f>
        <v>2710</v>
      </c>
      <c r="G18" s="1038">
        <f>'Table 5'!H54</f>
        <v>2863</v>
      </c>
      <c r="H18" s="1038">
        <f>'Table 5'!I54</f>
        <v>2880</v>
      </c>
      <c r="I18" s="1013">
        <f>'Table 5'!J54</f>
        <v>2880</v>
      </c>
      <c r="J18" s="1054">
        <f>'Table 5'!M54</f>
        <v>0.22</v>
      </c>
      <c r="K18" s="1852">
        <f>'Table 5'!N54</f>
        <v>0</v>
      </c>
      <c r="L18" s="448">
        <f>'Table 5'!O54</f>
        <v>0.22</v>
      </c>
      <c r="M18" s="457">
        <f>'Table 5'!P54</f>
        <v>0.22</v>
      </c>
      <c r="N18" s="1853">
        <f>'Table 5'!Q54</f>
        <v>0</v>
      </c>
      <c r="O18" s="514">
        <f>'Table 5'!R54</f>
        <v>0.22</v>
      </c>
      <c r="P18" s="1854">
        <f>'Table 5'!S54</f>
        <v>0</v>
      </c>
      <c r="Q18" s="1855">
        <f>'Table 5'!T54</f>
        <v>0.25</v>
      </c>
      <c r="R18" s="1852">
        <f>'Table 5'!U54</f>
        <v>0</v>
      </c>
      <c r="S18" s="514">
        <f>'Table 5'!V54</f>
        <v>0.25</v>
      </c>
      <c r="T18" s="3128">
        <f>'Table 5'!W54</f>
        <v>0</v>
      </c>
      <c r="U18" s="457">
        <f>'Table 5'!X54</f>
        <v>0.27</v>
      </c>
      <c r="V18" s="1853">
        <f>'Table 5'!Y54</f>
        <v>0</v>
      </c>
      <c r="W18" s="514">
        <f>'Table 5'!Z54</f>
        <v>0.27</v>
      </c>
      <c r="X18" s="3128">
        <f>'Table 5'!AA54</f>
        <v>0</v>
      </c>
      <c r="Y18" s="1050">
        <f>'Table 5'!AB54</f>
        <v>0.28000000000000003</v>
      </c>
      <c r="Z18" s="1055">
        <f>'Table 5'!AC54</f>
        <v>0</v>
      </c>
      <c r="AA18" s="3144">
        <f>'Table 5'!AD54</f>
        <v>0.28000000000000003</v>
      </c>
      <c r="AB18" s="1896">
        <f>'Table 5'!AE54</f>
        <v>0</v>
      </c>
      <c r="AC18" s="1050">
        <f>'Table 5'!AF54</f>
        <v>0.28000000000000003</v>
      </c>
      <c r="AD18" s="1051">
        <f>'Table 5'!AG54</f>
        <v>0</v>
      </c>
      <c r="AE18" s="3144">
        <f>'Table 5'!AH54</f>
        <v>0.28000000000000003</v>
      </c>
      <c r="AF18" s="1896">
        <f>'Table 5'!AI54</f>
        <v>0</v>
      </c>
      <c r="AG18" s="1243">
        <f>'Table 5'!AJ54</f>
        <v>0.28000000000000003</v>
      </c>
      <c r="AH18" s="560">
        <f>'Table 5'!AK54</f>
        <v>0</v>
      </c>
      <c r="AI18" s="3143">
        <f>'Table 5'!AL54</f>
        <v>0.28000000000000003</v>
      </c>
      <c r="AJ18" s="450">
        <f>'Table 5'!AM54</f>
        <v>0</v>
      </c>
      <c r="AK18" s="361">
        <f t="shared" si="0"/>
        <v>0.27</v>
      </c>
      <c r="AL18" s="1000">
        <f>'Table 5'!AP54</f>
        <v>0.3</v>
      </c>
      <c r="AM18" s="1857">
        <f>'Table 5'!AQ54</f>
        <v>0</v>
      </c>
      <c r="AN18" s="3154">
        <f>'Table 5'!AR54</f>
        <v>0.3</v>
      </c>
      <c r="AO18" s="3157">
        <f>'Table 5'!AS54</f>
        <v>0</v>
      </c>
      <c r="AQ18" s="1076">
        <f t="shared" si="1"/>
        <v>755</v>
      </c>
      <c r="AR18" s="239">
        <f t="shared" si="2"/>
        <v>0.36</v>
      </c>
      <c r="AS18" s="1599">
        <f t="shared" si="3"/>
        <v>0.06</v>
      </c>
    </row>
    <row r="19" spans="1:47">
      <c r="A19" s="456" t="s">
        <v>26</v>
      </c>
      <c r="B19" s="506" t="s">
        <v>17</v>
      </c>
      <c r="C19" s="737">
        <f>'Table 5'!D59</f>
        <v>5076</v>
      </c>
      <c r="D19" s="328">
        <f>'Table 5'!E59</f>
        <v>5212</v>
      </c>
      <c r="E19" s="307">
        <f>'Table 5'!F59</f>
        <v>5255</v>
      </c>
      <c r="F19" s="307">
        <f>'Table 5'!G59</f>
        <v>5278</v>
      </c>
      <c r="G19" s="307">
        <f>'Table 5'!H59</f>
        <v>5278</v>
      </c>
      <c r="H19" s="307">
        <f>'Table 5'!I59</f>
        <v>5278</v>
      </c>
      <c r="I19" s="1059">
        <f>'Table 5'!J59</f>
        <v>5312</v>
      </c>
      <c r="J19" s="1054">
        <f>'Table 5'!M59</f>
        <v>0.91</v>
      </c>
      <c r="K19" s="1852">
        <f>'Table 5'!N59</f>
        <v>0</v>
      </c>
      <c r="L19" s="448">
        <f>'Table 5'!O59</f>
        <v>0.91</v>
      </c>
      <c r="M19" s="457">
        <f>'Table 5'!P59</f>
        <v>1.03</v>
      </c>
      <c r="N19" s="1853">
        <f>'Table 5'!Q59</f>
        <v>0</v>
      </c>
      <c r="O19" s="514">
        <f>'Table 5'!R59</f>
        <v>1.03</v>
      </c>
      <c r="P19" s="1854">
        <f>'Table 5'!S59</f>
        <v>0</v>
      </c>
      <c r="Q19" s="1855">
        <f>'Table 5'!T59</f>
        <v>1.03</v>
      </c>
      <c r="R19" s="1852">
        <f>'Table 5'!U59</f>
        <v>0</v>
      </c>
      <c r="S19" s="514">
        <f>'Table 5'!V59</f>
        <v>1.03</v>
      </c>
      <c r="T19" s="3128">
        <f>'Table 5'!W59</f>
        <v>0</v>
      </c>
      <c r="U19" s="457">
        <f>'Table 5'!X59</f>
        <v>1.03</v>
      </c>
      <c r="V19" s="1853">
        <f>'Table 5'!Y59</f>
        <v>0</v>
      </c>
      <c r="W19" s="514">
        <f>'Table 5'!Z59</f>
        <v>1.03</v>
      </c>
      <c r="X19" s="3128">
        <f>'Table 5'!AA59</f>
        <v>0</v>
      </c>
      <c r="Y19" s="1050">
        <f>'Table 5'!AB59</f>
        <v>1.03</v>
      </c>
      <c r="Z19" s="1055">
        <f>'Table 5'!AC59</f>
        <v>0</v>
      </c>
      <c r="AA19" s="3144">
        <f>'Table 5'!AD59</f>
        <v>1.03</v>
      </c>
      <c r="AB19" s="1896">
        <f>'Table 5'!AE59</f>
        <v>0</v>
      </c>
      <c r="AC19" s="1050">
        <f>'Table 5'!AF59</f>
        <v>1.03</v>
      </c>
      <c r="AD19" s="1051">
        <f>'Table 5'!AG59</f>
        <v>0</v>
      </c>
      <c r="AE19" s="3144">
        <f>'Table 5'!AH59</f>
        <v>1.03</v>
      </c>
      <c r="AF19" s="3172">
        <f>'Table 5'!AI59</f>
        <v>0</v>
      </c>
      <c r="AG19" s="656">
        <f>'Table 5'!AJ59</f>
        <v>1.03</v>
      </c>
      <c r="AH19" s="590">
        <f>'Table 5'!AK59</f>
        <v>0</v>
      </c>
      <c r="AI19" s="3138">
        <f>'Table 5'!AL59</f>
        <v>1.03</v>
      </c>
      <c r="AJ19" s="486">
        <f>'Table 5'!AM59</f>
        <v>0</v>
      </c>
      <c r="AK19" s="361">
        <f t="shared" si="0"/>
        <v>0.13</v>
      </c>
      <c r="AL19" s="1000">
        <f>'Table 5'!AP59</f>
        <v>1.0900000000000001</v>
      </c>
      <c r="AM19" s="1857">
        <f>'Table 5'!AQ59</f>
        <v>0</v>
      </c>
      <c r="AN19" s="3154">
        <f>'Table 5'!AR59</f>
        <v>1.0900000000000001</v>
      </c>
      <c r="AO19" s="3157">
        <f>'Table 5'!AS59</f>
        <v>0</v>
      </c>
      <c r="AQ19" s="737">
        <f t="shared" si="1"/>
        <v>236</v>
      </c>
      <c r="AR19" s="239">
        <f t="shared" si="2"/>
        <v>0.05</v>
      </c>
      <c r="AS19" s="1067">
        <f t="shared" si="3"/>
        <v>0.12</v>
      </c>
    </row>
    <row r="20" spans="1:47">
      <c r="A20" s="455" t="s">
        <v>27</v>
      </c>
      <c r="B20" s="1075" t="s">
        <v>15</v>
      </c>
      <c r="C20" s="1076">
        <f>'Table 5'!D65</f>
        <v>69384</v>
      </c>
      <c r="D20" s="1063">
        <f>'Table 5'!E65</f>
        <v>76436</v>
      </c>
      <c r="E20" s="1038">
        <f>'Table 5'!F65</f>
        <v>83818</v>
      </c>
      <c r="F20" s="1038">
        <f>'Table 5'!G65</f>
        <v>90085</v>
      </c>
      <c r="G20" s="1038">
        <f>'Table 5'!H65</f>
        <v>95197</v>
      </c>
      <c r="H20" s="1038">
        <f>'Table 5'!I65</f>
        <v>99492</v>
      </c>
      <c r="I20" s="1013">
        <f>'Table 5'!J65</f>
        <v>103316</v>
      </c>
      <c r="J20" s="1054">
        <f>'Table 5'!M65</f>
        <v>6.92</v>
      </c>
      <c r="K20" s="1077">
        <f>'Table 5'!N65</f>
        <v>0</v>
      </c>
      <c r="L20" s="515">
        <f>'Table 5'!O65</f>
        <v>6.92</v>
      </c>
      <c r="M20" s="1001">
        <f>'Table 5'!P65</f>
        <v>8.07</v>
      </c>
      <c r="N20" s="451">
        <f>'Table 5'!Q65</f>
        <v>0</v>
      </c>
      <c r="O20" s="515">
        <f>'Table 5'!R65</f>
        <v>8.07</v>
      </c>
      <c r="P20" s="1078">
        <f>'Table 5'!S65</f>
        <v>0</v>
      </c>
      <c r="Q20" s="1054">
        <f>'Table 5'!T65</f>
        <v>8.69</v>
      </c>
      <c r="R20" s="1077">
        <f>'Table 5'!U65</f>
        <v>0</v>
      </c>
      <c r="S20" s="515">
        <f>'Table 5'!V65</f>
        <v>8.69</v>
      </c>
      <c r="T20" s="1847">
        <f>'Table 5'!W65</f>
        <v>0</v>
      </c>
      <c r="U20" s="1001">
        <f>'Table 5'!X65</f>
        <v>9.15</v>
      </c>
      <c r="V20" s="451">
        <f>'Table 5'!Y65</f>
        <v>0</v>
      </c>
      <c r="W20" s="515">
        <f>'Table 5'!Z65</f>
        <v>9.15</v>
      </c>
      <c r="X20" s="1847">
        <f>'Table 5'!AA65</f>
        <v>0</v>
      </c>
      <c r="Y20" s="827">
        <f>'Table 5'!AB65</f>
        <v>9.3800000000000008</v>
      </c>
      <c r="Z20" s="916">
        <f>'Table 5'!AC65</f>
        <v>0</v>
      </c>
      <c r="AA20" s="3143">
        <f>'Table 5'!AD65</f>
        <v>9.3800000000000008</v>
      </c>
      <c r="AB20" s="910">
        <f>'Table 5'!AE65</f>
        <v>0.13</v>
      </c>
      <c r="AC20" s="827">
        <f>'Table 5'!AF65</f>
        <v>9.4</v>
      </c>
      <c r="AD20" s="452">
        <f>'Table 5'!AG65</f>
        <v>0</v>
      </c>
      <c r="AE20" s="3143">
        <f>'Table 5'!AH65</f>
        <v>9.4</v>
      </c>
      <c r="AF20" s="3172">
        <f>'Table 5'!AI65</f>
        <v>0.41</v>
      </c>
      <c r="AG20" s="1591">
        <f>'Table 5'!AJ65</f>
        <v>9.4</v>
      </c>
      <c r="AH20" s="560">
        <f>'Table 5'!AK65</f>
        <v>0</v>
      </c>
      <c r="AI20" s="3143">
        <f>'Table 5'!AL65</f>
        <v>9.4</v>
      </c>
      <c r="AJ20" s="940">
        <f>'Table 5'!AM65</f>
        <v>0.68</v>
      </c>
      <c r="AK20" s="989">
        <f>(SUM(AI20:AJ20)-L20)/L20</f>
        <v>0.46</v>
      </c>
      <c r="AL20" s="1000">
        <f>'Table 5'!AP65</f>
        <v>9.74</v>
      </c>
      <c r="AM20" s="299">
        <f>'Table 5'!AQ65</f>
        <v>0</v>
      </c>
      <c r="AN20" s="3153">
        <f>'Table 5'!AR65</f>
        <v>9.74</v>
      </c>
      <c r="AO20" s="3157">
        <f>'Table 5'!AS65</f>
        <v>0.95</v>
      </c>
      <c r="AQ20" s="1076">
        <f t="shared" si="1"/>
        <v>33932</v>
      </c>
      <c r="AR20" s="301">
        <f t="shared" si="2"/>
        <v>0.49</v>
      </c>
      <c r="AS20" s="1073">
        <f t="shared" si="3"/>
        <v>2.48</v>
      </c>
    </row>
    <row r="21" spans="1:47">
      <c r="A21" s="455" t="s">
        <v>28</v>
      </c>
      <c r="B21" s="1075" t="s">
        <v>15</v>
      </c>
      <c r="C21" s="1076">
        <f>'Table 5'!D73</f>
        <v>20386</v>
      </c>
      <c r="D21" s="1063">
        <f>'Table 5'!E73</f>
        <v>20946</v>
      </c>
      <c r="E21" s="1038">
        <f>'Table 5'!F73</f>
        <v>21213</v>
      </c>
      <c r="F21" s="1038">
        <f>'Table 5'!G73</f>
        <v>21294</v>
      </c>
      <c r="G21" s="1038">
        <f>'Table 5'!H73</f>
        <v>21462</v>
      </c>
      <c r="H21" s="1038">
        <f>'Table 5'!I73</f>
        <v>21616</v>
      </c>
      <c r="I21" s="1013">
        <f>'Table 5'!J73</f>
        <v>21793</v>
      </c>
      <c r="J21" s="1054">
        <f>'Table 5'!M73</f>
        <v>2.1800000000000002</v>
      </c>
      <c r="K21" s="1077">
        <f>'Table 5'!N73</f>
        <v>0</v>
      </c>
      <c r="L21" s="515">
        <f>'Table 5'!O73</f>
        <v>2.1800000000000002</v>
      </c>
      <c r="M21" s="1001">
        <f>'Table 5'!P73</f>
        <v>2.1</v>
      </c>
      <c r="N21" s="451">
        <f>'Table 5'!Q73</f>
        <v>0</v>
      </c>
      <c r="O21" s="515">
        <f>'Table 5'!R73</f>
        <v>2.1</v>
      </c>
      <c r="P21" s="1078">
        <f>'Table 5'!S73</f>
        <v>0</v>
      </c>
      <c r="Q21" s="1054">
        <f>'Table 5'!T73</f>
        <v>2.11</v>
      </c>
      <c r="R21" s="1077">
        <f>'Table 5'!U73</f>
        <v>0</v>
      </c>
      <c r="S21" s="515">
        <f>'Table 5'!V73</f>
        <v>2.11</v>
      </c>
      <c r="T21" s="1847">
        <f>'Table 5'!W73</f>
        <v>0</v>
      </c>
      <c r="U21" s="1001">
        <f>'Table 5'!X73</f>
        <v>2.12</v>
      </c>
      <c r="V21" s="451">
        <f>'Table 5'!Y73</f>
        <v>0</v>
      </c>
      <c r="W21" s="515">
        <f>'Table 5'!Z73</f>
        <v>2.12</v>
      </c>
      <c r="X21" s="1847">
        <f>'Table 5'!AA73</f>
        <v>0</v>
      </c>
      <c r="Y21" s="827">
        <f>'Table 5'!AB73</f>
        <v>2.13</v>
      </c>
      <c r="Z21" s="916">
        <f>'Table 5'!AC73</f>
        <v>0</v>
      </c>
      <c r="AA21" s="3143">
        <f>'Table 5'!AD73</f>
        <v>2.13</v>
      </c>
      <c r="AB21" s="910">
        <f>'Table 5'!AE73</f>
        <v>0</v>
      </c>
      <c r="AC21" s="827">
        <f>'Table 5'!AF73</f>
        <v>2.14</v>
      </c>
      <c r="AD21" s="452">
        <f>'Table 5'!AG73</f>
        <v>0</v>
      </c>
      <c r="AE21" s="3143">
        <f>'Table 5'!AH73</f>
        <v>2.14</v>
      </c>
      <c r="AF21" s="3172">
        <f>'Table 5'!AI73</f>
        <v>0</v>
      </c>
      <c r="AG21" s="1591">
        <f>'Table 5'!AJ73</f>
        <v>2.15</v>
      </c>
      <c r="AH21" s="560">
        <f>'Table 5'!AK73</f>
        <v>0</v>
      </c>
      <c r="AI21" s="3143">
        <f>'Table 5'!AL73</f>
        <v>2.15</v>
      </c>
      <c r="AJ21" s="940">
        <f>'Table 5'!AM73</f>
        <v>0</v>
      </c>
      <c r="AK21" s="989">
        <f t="shared" si="0"/>
        <v>-0.01</v>
      </c>
      <c r="AL21" s="1000">
        <f>'Table 5'!AP73</f>
        <v>2.2799999999999998</v>
      </c>
      <c r="AM21" s="299">
        <f>'Table 5'!AQ73</f>
        <v>0</v>
      </c>
      <c r="AN21" s="3153">
        <f>'Table 5'!AR73</f>
        <v>2.2799999999999998</v>
      </c>
      <c r="AO21" s="3157">
        <f>'Table 5'!AS73</f>
        <v>0</v>
      </c>
      <c r="AQ21" s="1076">
        <f t="shared" si="1"/>
        <v>1407</v>
      </c>
      <c r="AR21" s="301">
        <f t="shared" si="2"/>
        <v>7.0000000000000007E-2</v>
      </c>
      <c r="AS21" s="1073">
        <f t="shared" si="3"/>
        <v>-0.03</v>
      </c>
    </row>
    <row r="22" spans="1:47">
      <c r="A22" s="455" t="s">
        <v>29</v>
      </c>
      <c r="B22" s="1075" t="s">
        <v>15</v>
      </c>
      <c r="C22" s="1076">
        <f>'Table 5'!D81</f>
        <v>173216</v>
      </c>
      <c r="D22" s="1063">
        <f>'Table 5'!E81</f>
        <v>201587</v>
      </c>
      <c r="E22" s="1038">
        <f>'Table 5'!F81</f>
        <v>237813</v>
      </c>
      <c r="F22" s="1038">
        <f>'Table 5'!G81</f>
        <v>266965</v>
      </c>
      <c r="G22" s="1038">
        <f>'Table 5'!H81</f>
        <v>290751</v>
      </c>
      <c r="H22" s="1038">
        <f>'Table 5'!I81</f>
        <v>311582</v>
      </c>
      <c r="I22" s="1013">
        <f>'Table 5'!J81</f>
        <v>331245</v>
      </c>
      <c r="J22" s="1054">
        <f>'Table 5'!M81</f>
        <v>19.21</v>
      </c>
      <c r="K22" s="1077">
        <f>'Table 5'!N81</f>
        <v>0</v>
      </c>
      <c r="L22" s="515">
        <f>'Table 5'!O81</f>
        <v>19.21</v>
      </c>
      <c r="M22" s="1001">
        <f>'Table 5'!P81</f>
        <v>28.56</v>
      </c>
      <c r="N22" s="451">
        <f>'Table 5'!Q81</f>
        <v>0</v>
      </c>
      <c r="O22" s="515">
        <f>'Table 5'!R81</f>
        <v>28.56</v>
      </c>
      <c r="P22" s="1078">
        <f>'Table 5'!S81</f>
        <v>2.21</v>
      </c>
      <c r="Q22" s="1054">
        <f>'Table 5'!T81</f>
        <v>32.479999999999997</v>
      </c>
      <c r="R22" s="1077">
        <f>'Table 5'!U81</f>
        <v>0</v>
      </c>
      <c r="S22" s="515">
        <f>'Table 5'!V81</f>
        <v>32.479999999999997</v>
      </c>
      <c r="T22" s="1847">
        <f>'Table 5'!W81</f>
        <v>3.84</v>
      </c>
      <c r="U22" s="1001">
        <f>'Table 5'!X81</f>
        <v>32.590000000000003</v>
      </c>
      <c r="V22" s="451">
        <f>'Table 5'!Y81</f>
        <v>0</v>
      </c>
      <c r="W22" s="515">
        <f>'Table 5'!Z81</f>
        <v>32.590000000000003</v>
      </c>
      <c r="X22" s="1847">
        <f>'Table 5'!AA81</f>
        <v>8.4</v>
      </c>
      <c r="Y22" s="827">
        <f>'Table 5'!AB81</f>
        <v>32.65</v>
      </c>
      <c r="Z22" s="916">
        <f>'Table 5'!AC81</f>
        <v>0</v>
      </c>
      <c r="AA22" s="3143">
        <f>'Table 5'!AD81</f>
        <v>32.65</v>
      </c>
      <c r="AB22" s="910">
        <f>'Table 5'!AE81</f>
        <v>12.14</v>
      </c>
      <c r="AC22" s="827">
        <f>'Table 5'!AF81</f>
        <v>32.76</v>
      </c>
      <c r="AD22" s="452">
        <f>'Table 5'!AG81</f>
        <v>0</v>
      </c>
      <c r="AE22" s="3143">
        <f>'Table 5'!AH81</f>
        <v>32.76</v>
      </c>
      <c r="AF22" s="3172">
        <f>'Table 5'!AI81</f>
        <v>15.28</v>
      </c>
      <c r="AG22" s="1591">
        <f>'Table 5'!AJ81</f>
        <v>33.07</v>
      </c>
      <c r="AH22" s="560">
        <f>'Table 5'!AK81</f>
        <v>0</v>
      </c>
      <c r="AI22" s="3143">
        <f>'Table 5'!AL81</f>
        <v>33.07</v>
      </c>
      <c r="AJ22" s="940">
        <f>'Table 5'!AM81</f>
        <v>17.95</v>
      </c>
      <c r="AK22" s="989">
        <f>(SUM(AI22:AJ22)-L22)/L22</f>
        <v>1.66</v>
      </c>
      <c r="AL22" s="1000">
        <f>'Table 5'!AP81</f>
        <v>33.75</v>
      </c>
      <c r="AM22" s="299">
        <f>'Table 5'!AQ81</f>
        <v>0</v>
      </c>
      <c r="AN22" s="3153">
        <f>'Table 5'!AR81</f>
        <v>33.75</v>
      </c>
      <c r="AO22" s="3157">
        <f>'Table 5'!AS81</f>
        <v>20.329999999999998</v>
      </c>
      <c r="AQ22" s="1076">
        <f t="shared" si="1"/>
        <v>158029</v>
      </c>
      <c r="AR22" s="301">
        <f t="shared" si="2"/>
        <v>0.91</v>
      </c>
      <c r="AS22" s="1073">
        <f t="shared" si="3"/>
        <v>13.86</v>
      </c>
    </row>
    <row r="23" spans="1:47">
      <c r="A23" s="456" t="s">
        <v>30</v>
      </c>
      <c r="B23" s="506" t="s">
        <v>17</v>
      </c>
      <c r="C23" s="737">
        <f>'Table 5'!D86</f>
        <v>7491</v>
      </c>
      <c r="D23" s="328">
        <f>'Table 5'!E86</f>
        <v>8125</v>
      </c>
      <c r="E23" s="307">
        <f>'Table 5'!F86</f>
        <v>8961</v>
      </c>
      <c r="F23" s="307">
        <f>'Table 5'!G86</f>
        <v>9527</v>
      </c>
      <c r="G23" s="307">
        <f>'Table 5'!H86</f>
        <v>10012</v>
      </c>
      <c r="H23" s="307">
        <f>'Table 5'!I86</f>
        <v>10265</v>
      </c>
      <c r="I23" s="1059">
        <f>'Table 5'!J86</f>
        <v>10438</v>
      </c>
      <c r="J23" s="1855">
        <f>'Table 5'!M86</f>
        <v>1.32</v>
      </c>
      <c r="K23" s="1852">
        <f>'Table 5'!N86</f>
        <v>0</v>
      </c>
      <c r="L23" s="514">
        <f>'Table 5'!O86</f>
        <v>1.32</v>
      </c>
      <c r="M23" s="457">
        <f>'Table 5'!P86</f>
        <v>1.45</v>
      </c>
      <c r="N23" s="1853">
        <f>'Table 5'!Q86</f>
        <v>0</v>
      </c>
      <c r="O23" s="514">
        <f>'Table 5'!R86</f>
        <v>1.45</v>
      </c>
      <c r="P23" s="1854">
        <f>'Table 5'!S86</f>
        <v>0</v>
      </c>
      <c r="Q23" s="1855">
        <f>'Table 5'!T86</f>
        <v>1.61</v>
      </c>
      <c r="R23" s="1852">
        <f>'Table 5'!U86</f>
        <v>0</v>
      </c>
      <c r="S23" s="514">
        <f>'Table 5'!V86</f>
        <v>1.61</v>
      </c>
      <c r="T23" s="3128">
        <f>'Table 5'!W86</f>
        <v>0</v>
      </c>
      <c r="U23" s="457">
        <f>'Table 5'!X86</f>
        <v>1.73</v>
      </c>
      <c r="V23" s="1853">
        <f>'Table 5'!Y86</f>
        <v>0</v>
      </c>
      <c r="W23" s="514">
        <f>'Table 5'!Z86</f>
        <v>1.73</v>
      </c>
      <c r="X23" s="3128">
        <f>'Table 5'!AA86</f>
        <v>0</v>
      </c>
      <c r="Y23" s="1050">
        <f>'Table 5'!AB86</f>
        <v>1.79</v>
      </c>
      <c r="Z23" s="1055">
        <f>'Table 5'!AC86</f>
        <v>0</v>
      </c>
      <c r="AA23" s="3144">
        <f>'Table 5'!AD86</f>
        <v>1.79</v>
      </c>
      <c r="AB23" s="1896">
        <f>'Table 5'!AE86</f>
        <v>0</v>
      </c>
      <c r="AC23" s="1050">
        <f>'Table 5'!AF86</f>
        <v>1.84</v>
      </c>
      <c r="AD23" s="1051">
        <f>'Table 5'!AG86</f>
        <v>0</v>
      </c>
      <c r="AE23" s="3144">
        <f>'Table 5'!AH86</f>
        <v>1.84</v>
      </c>
      <c r="AF23" s="3173">
        <f>'Table 5'!AI86</f>
        <v>0</v>
      </c>
      <c r="AG23" s="1607">
        <f>'Table 5'!AJ86</f>
        <v>1.87</v>
      </c>
      <c r="AH23" s="1594">
        <f>'Table 5'!AK86</f>
        <v>0</v>
      </c>
      <c r="AI23" s="3144">
        <f>'Table 5'!AL86</f>
        <v>1.87</v>
      </c>
      <c r="AJ23" s="1856">
        <f>'Table 5'!AM86</f>
        <v>0</v>
      </c>
      <c r="AK23" s="1052">
        <f t="shared" si="0"/>
        <v>0.42</v>
      </c>
      <c r="AL23" s="1053">
        <f>'Table 5'!AP86</f>
        <v>1.98</v>
      </c>
      <c r="AM23" s="1857">
        <f>'Table 5'!AQ86</f>
        <v>0</v>
      </c>
      <c r="AN23" s="3154">
        <f>'Table 5'!AR86</f>
        <v>1.98</v>
      </c>
      <c r="AO23" s="3160">
        <f>'Table 5'!AS86</f>
        <v>0</v>
      </c>
      <c r="AQ23" s="737">
        <f t="shared" si="1"/>
        <v>2947</v>
      </c>
      <c r="AR23" s="999">
        <f t="shared" si="2"/>
        <v>0.39</v>
      </c>
      <c r="AS23" s="1858">
        <f t="shared" si="3"/>
        <v>0.55000000000000004</v>
      </c>
    </row>
    <row r="24" spans="1:47" ht="13.5" thickBot="1">
      <c r="A24" s="579" t="s">
        <v>31</v>
      </c>
      <c r="B24" s="1850" t="s">
        <v>17</v>
      </c>
      <c r="C24" s="1849">
        <f>'Table 5'!D88</f>
        <v>1742</v>
      </c>
      <c r="D24" s="95">
        <f>'Table 5'!E88</f>
        <v>1850</v>
      </c>
      <c r="E24" s="742">
        <f>'Table 5'!F88</f>
        <v>1885</v>
      </c>
      <c r="F24" s="742">
        <f>'Table 5'!G88</f>
        <v>1885</v>
      </c>
      <c r="G24" s="742">
        <f>'Table 5'!H88</f>
        <v>1905</v>
      </c>
      <c r="H24" s="742">
        <f>'Table 5'!I88</f>
        <v>1905</v>
      </c>
      <c r="I24" s="1060">
        <f>'Table 5'!J88</f>
        <v>1905</v>
      </c>
      <c r="J24" s="1056">
        <f>'Table 5'!M88</f>
        <v>0.26</v>
      </c>
      <c r="K24" s="528">
        <f>'Table 5'!N88</f>
        <v>0</v>
      </c>
      <c r="L24" s="516">
        <f>'Table 5'!O88</f>
        <v>0.26</v>
      </c>
      <c r="M24" s="124">
        <f>'Table 5'!P88</f>
        <v>0.24</v>
      </c>
      <c r="N24" s="1057">
        <f>'Table 5'!Q88</f>
        <v>0</v>
      </c>
      <c r="O24" s="516">
        <f>'Table 5'!R88</f>
        <v>0.24</v>
      </c>
      <c r="P24" s="1058">
        <f>'Table 5'!S88</f>
        <v>0</v>
      </c>
      <c r="Q24" s="1056">
        <f>'Table 5'!T88</f>
        <v>0.24</v>
      </c>
      <c r="R24" s="528">
        <f>'Table 5'!U88</f>
        <v>0</v>
      </c>
      <c r="S24" s="516">
        <f>'Table 5'!V88</f>
        <v>0.24</v>
      </c>
      <c r="T24" s="1385">
        <f>'Table 5'!W88</f>
        <v>0</v>
      </c>
      <c r="U24" s="124">
        <f>'Table 5'!X88</f>
        <v>0.24</v>
      </c>
      <c r="V24" s="1057">
        <f>'Table 5'!Y88</f>
        <v>0</v>
      </c>
      <c r="W24" s="516">
        <f>'Table 5'!Z88</f>
        <v>0.24</v>
      </c>
      <c r="X24" s="1385">
        <f>'Table 5'!AA88</f>
        <v>0</v>
      </c>
      <c r="Y24" s="467">
        <f>'Table 5'!AB88</f>
        <v>0.25</v>
      </c>
      <c r="Z24" s="531">
        <f>'Table 5'!AC88</f>
        <v>0</v>
      </c>
      <c r="AA24" s="3137">
        <f>'Table 5'!AD88</f>
        <v>0.25</v>
      </c>
      <c r="AB24" s="3129">
        <f>'Table 5'!AE88</f>
        <v>0</v>
      </c>
      <c r="AC24" s="467">
        <f>'Table 5'!AF88</f>
        <v>0.25</v>
      </c>
      <c r="AD24" s="532">
        <f>'Table 5'!AG88</f>
        <v>0</v>
      </c>
      <c r="AE24" s="3137">
        <f>'Table 5'!AH88</f>
        <v>0.25</v>
      </c>
      <c r="AF24" s="3165">
        <f>'Table 5'!AI88</f>
        <v>0</v>
      </c>
      <c r="AG24" s="1603">
        <f>'Table 5'!AJ88</f>
        <v>0.25</v>
      </c>
      <c r="AH24" s="562">
        <f>'Table 5'!AK88</f>
        <v>0</v>
      </c>
      <c r="AI24" s="3137">
        <f>'Table 5'!AL88</f>
        <v>0.25</v>
      </c>
      <c r="AJ24" s="943">
        <f>'Table 5'!AM88</f>
        <v>0</v>
      </c>
      <c r="AK24" s="745">
        <f t="shared" si="0"/>
        <v>-0.04</v>
      </c>
      <c r="AL24" s="1021">
        <f>'Table 5'!AP88</f>
        <v>0.27</v>
      </c>
      <c r="AM24" s="1022">
        <f>'Table 5'!AQ88</f>
        <v>0</v>
      </c>
      <c r="AN24" s="3149">
        <f>'Table 5'!AR88</f>
        <v>0.27</v>
      </c>
      <c r="AO24" s="3158">
        <f>'Table 5'!AS88</f>
        <v>0</v>
      </c>
      <c r="AQ24" s="1849">
        <f t="shared" si="1"/>
        <v>163</v>
      </c>
      <c r="AR24" s="234">
        <f t="shared" si="2"/>
        <v>0.09</v>
      </c>
      <c r="AS24" s="1066">
        <f t="shared" si="3"/>
        <v>-0.01</v>
      </c>
    </row>
    <row r="25" spans="1:47" ht="14.25" thickTop="1" thickBot="1">
      <c r="A25" s="3231" t="s">
        <v>32</v>
      </c>
      <c r="B25" s="3232"/>
      <c r="C25" s="115">
        <f>C5+C8+C11+C14+C16+C17+C20+C21+C22</f>
        <v>1383967</v>
      </c>
      <c r="D25" s="743">
        <f t="shared" ref="D25:I25" si="39">D5+D8+D11+D14+D16+D17+D20+D21+D22</f>
        <v>1496051</v>
      </c>
      <c r="E25" s="64">
        <f t="shared" si="39"/>
        <v>1617656</v>
      </c>
      <c r="F25" s="64">
        <f t="shared" si="39"/>
        <v>1707159</v>
      </c>
      <c r="G25" s="64">
        <f t="shared" si="39"/>
        <v>1790758</v>
      </c>
      <c r="H25" s="64">
        <f t="shared" si="39"/>
        <v>1856566</v>
      </c>
      <c r="I25" s="1061">
        <f t="shared" si="39"/>
        <v>1916415</v>
      </c>
      <c r="J25" s="477">
        <f t="shared" ref="J25:AI25" si="40">J5+J8+J11+J14+J16+J17+J20+J21+J22</f>
        <v>178.8</v>
      </c>
      <c r="K25" s="478">
        <f t="shared" si="40"/>
        <v>7.0000000000000007E-2</v>
      </c>
      <c r="L25" s="479">
        <f t="shared" si="40"/>
        <v>178.87</v>
      </c>
      <c r="M25" s="480">
        <f t="shared" si="40"/>
        <v>196.67</v>
      </c>
      <c r="N25" s="481">
        <f t="shared" si="40"/>
        <v>0.03</v>
      </c>
      <c r="O25" s="479">
        <f t="shared" si="40"/>
        <v>196.7</v>
      </c>
      <c r="P25" s="447">
        <f t="shared" ref="P25" si="41">P5+P8+P11+P14+P16+P17+P20+P21+P22</f>
        <v>3.5</v>
      </c>
      <c r="Q25" s="477">
        <f t="shared" si="40"/>
        <v>212.11</v>
      </c>
      <c r="R25" s="478">
        <f t="shared" si="40"/>
        <v>0.03</v>
      </c>
      <c r="S25" s="479">
        <f t="shared" si="40"/>
        <v>212.14</v>
      </c>
      <c r="T25" s="477">
        <f t="shared" ref="T25" si="42">T5+T8+T11+T14+T16+T17+T20+T21+T22</f>
        <v>5.13</v>
      </c>
      <c r="U25" s="480">
        <f t="shared" si="40"/>
        <v>220.2</v>
      </c>
      <c r="V25" s="481">
        <f t="shared" si="40"/>
        <v>0.03</v>
      </c>
      <c r="W25" s="479">
        <f t="shared" si="40"/>
        <v>220.23</v>
      </c>
      <c r="X25" s="477">
        <f t="shared" ref="X25" si="43">X5+X8+X11+X14+X16+X17+X20+X21+X22</f>
        <v>9.69</v>
      </c>
      <c r="Y25" s="482">
        <f t="shared" si="40"/>
        <v>227.64</v>
      </c>
      <c r="Z25" s="483">
        <f t="shared" si="40"/>
        <v>0.03</v>
      </c>
      <c r="AA25" s="3138">
        <f t="shared" si="40"/>
        <v>227.67</v>
      </c>
      <c r="AB25" s="639">
        <f t="shared" ref="AB25" si="44">AB5+AB8+AB11+AB14+AB16+AB17+AB20+AB21+AB22</f>
        <v>13.56</v>
      </c>
      <c r="AC25" s="482">
        <f t="shared" si="40"/>
        <v>233.18</v>
      </c>
      <c r="AD25" s="485">
        <f t="shared" si="40"/>
        <v>0.03</v>
      </c>
      <c r="AE25" s="3138">
        <f t="shared" si="40"/>
        <v>233.21</v>
      </c>
      <c r="AF25" s="3166">
        <f t="shared" ref="AF25" si="45">AF5+AF8+AF11+AF14+AF16+AF17+AF20+AF21+AF22</f>
        <v>16.98</v>
      </c>
      <c r="AG25" s="639">
        <f t="shared" si="40"/>
        <v>238.39</v>
      </c>
      <c r="AH25" s="554">
        <f t="shared" si="40"/>
        <v>0.03</v>
      </c>
      <c r="AI25" s="3138">
        <f t="shared" si="40"/>
        <v>238.42</v>
      </c>
      <c r="AJ25" s="486">
        <f t="shared" ref="AJ25" si="46">AJ5+AJ8+AJ11+AJ14+AJ16+AJ17+AJ20+AJ21+AJ22</f>
        <v>20.07</v>
      </c>
      <c r="AK25" s="487">
        <f t="shared" si="0"/>
        <v>0.33</v>
      </c>
      <c r="AL25" s="60">
        <f t="shared" ref="AL25:AN25" si="47">AL5+AL8+AL11+AL14+AL16+AL17+AL20+AL21+AL22</f>
        <v>251.15</v>
      </c>
      <c r="AM25" s="106">
        <f t="shared" si="47"/>
        <v>0.03</v>
      </c>
      <c r="AN25" s="3150">
        <f t="shared" si="47"/>
        <v>251.18</v>
      </c>
      <c r="AO25" s="3175">
        <f t="shared" ref="AO25" si="48">AO5+AO8+AO11+AO14+AO16+AO17+AO20+AO21+AO22</f>
        <v>22.81</v>
      </c>
      <c r="AQ25" s="738">
        <f t="shared" si="1"/>
        <v>532448</v>
      </c>
      <c r="AR25" s="302">
        <f t="shared" si="2"/>
        <v>0.38</v>
      </c>
      <c r="AS25" s="486">
        <f t="shared" si="3"/>
        <v>59.55</v>
      </c>
    </row>
    <row r="26" spans="1:47" ht="13.5" thickBot="1">
      <c r="A26" s="3229" t="s">
        <v>33</v>
      </c>
      <c r="B26" s="3230"/>
      <c r="C26" s="736">
        <f>C6+C9+C12+C15+C18+C19+C23+C24</f>
        <v>64483</v>
      </c>
      <c r="D26" s="66">
        <f t="shared" ref="D26:I26" si="49">D6+D9+D12+D15+D18+D19+D23+D24</f>
        <v>69179</v>
      </c>
      <c r="E26" s="65">
        <f t="shared" si="49"/>
        <v>71351</v>
      </c>
      <c r="F26" s="65">
        <f t="shared" si="49"/>
        <v>74457</v>
      </c>
      <c r="G26" s="65">
        <f t="shared" si="49"/>
        <v>77251</v>
      </c>
      <c r="H26" s="65">
        <f t="shared" si="49"/>
        <v>78706</v>
      </c>
      <c r="I26" s="308">
        <f t="shared" si="49"/>
        <v>79985</v>
      </c>
      <c r="J26" s="488">
        <f t="shared" ref="J26:AI26" si="50">J6+J9+J12+J15+J18+J19+J23+J24</f>
        <v>9.32</v>
      </c>
      <c r="K26" s="489">
        <f t="shared" si="50"/>
        <v>0</v>
      </c>
      <c r="L26" s="490">
        <f t="shared" si="50"/>
        <v>9.32</v>
      </c>
      <c r="M26" s="491">
        <f t="shared" si="50"/>
        <v>9.99</v>
      </c>
      <c r="N26" s="492">
        <f t="shared" si="50"/>
        <v>0</v>
      </c>
      <c r="O26" s="490">
        <f t="shared" si="50"/>
        <v>9.99</v>
      </c>
      <c r="P26" s="524">
        <f t="shared" ref="P26" si="51">P6+P9+P12+P15+P18+P19+P23+P24</f>
        <v>0</v>
      </c>
      <c r="Q26" s="488">
        <f t="shared" si="50"/>
        <v>10.32</v>
      </c>
      <c r="R26" s="489">
        <f t="shared" si="50"/>
        <v>0</v>
      </c>
      <c r="S26" s="490">
        <f t="shared" si="50"/>
        <v>10.32</v>
      </c>
      <c r="T26" s="488">
        <f t="shared" ref="T26" si="52">T6+T9+T12+T15+T18+T19+T23+T24</f>
        <v>0</v>
      </c>
      <c r="U26" s="491">
        <f t="shared" si="50"/>
        <v>10.73</v>
      </c>
      <c r="V26" s="492">
        <f t="shared" si="50"/>
        <v>0</v>
      </c>
      <c r="W26" s="490">
        <f t="shared" si="50"/>
        <v>10.73</v>
      </c>
      <c r="X26" s="488">
        <f t="shared" ref="X26" si="53">X6+X9+X12+X15+X18+X19+X23+X24</f>
        <v>0</v>
      </c>
      <c r="Y26" s="493">
        <f t="shared" si="50"/>
        <v>11.1</v>
      </c>
      <c r="Z26" s="494">
        <f t="shared" si="50"/>
        <v>0</v>
      </c>
      <c r="AA26" s="3145">
        <f t="shared" si="50"/>
        <v>11.1</v>
      </c>
      <c r="AB26" s="651">
        <f t="shared" ref="AB26" si="54">AB6+AB9+AB12+AB15+AB18+AB19+AB23+AB24</f>
        <v>0</v>
      </c>
      <c r="AC26" s="493">
        <f t="shared" si="50"/>
        <v>11.33</v>
      </c>
      <c r="AD26" s="496">
        <f t="shared" si="50"/>
        <v>0</v>
      </c>
      <c r="AE26" s="3145">
        <f t="shared" si="50"/>
        <v>11.33</v>
      </c>
      <c r="AF26" s="3174">
        <f t="shared" ref="AF26" si="55">AF6+AF9+AF12+AF15+AF18+AF19+AF23+AF24</f>
        <v>0</v>
      </c>
      <c r="AG26" s="651">
        <f t="shared" si="50"/>
        <v>11.52</v>
      </c>
      <c r="AH26" s="561">
        <f t="shared" si="50"/>
        <v>0</v>
      </c>
      <c r="AI26" s="3145">
        <f t="shared" si="50"/>
        <v>11.52</v>
      </c>
      <c r="AJ26" s="497">
        <f t="shared" ref="AJ26" si="56">AJ6+AJ9+AJ12+AJ15+AJ18+AJ19+AJ23+AJ24</f>
        <v>0</v>
      </c>
      <c r="AK26" s="498">
        <f t="shared" si="0"/>
        <v>0.24</v>
      </c>
      <c r="AL26" s="499">
        <f t="shared" ref="AL26:AN26" si="57">AL6+AL9+AL12+AL15+AL18+AL19+AL23+AL24</f>
        <v>12.22</v>
      </c>
      <c r="AM26" s="187">
        <f t="shared" si="57"/>
        <v>0</v>
      </c>
      <c r="AN26" s="3155">
        <f t="shared" si="57"/>
        <v>12.22</v>
      </c>
      <c r="AO26" s="3158">
        <f t="shared" ref="AO26" si="58">AO6+AO9+AO12+AO15+AO18+AO19+AO23+AO24</f>
        <v>0</v>
      </c>
      <c r="AQ26" s="1610">
        <f t="shared" si="1"/>
        <v>15502</v>
      </c>
      <c r="AR26" s="1611">
        <f t="shared" si="2"/>
        <v>0.24</v>
      </c>
      <c r="AS26" s="497">
        <f t="shared" si="3"/>
        <v>2.2000000000000002</v>
      </c>
    </row>
    <row r="27" spans="1:47" s="22" customFormat="1" ht="13.5" thickBot="1">
      <c r="A27" s="3229" t="s">
        <v>34</v>
      </c>
      <c r="B27" s="3230"/>
      <c r="C27" s="736">
        <f t="shared" ref="C27" si="59">C25+C26</f>
        <v>1448450</v>
      </c>
      <c r="D27" s="66">
        <f t="shared" ref="D27:I27" si="60">D25+D26</f>
        <v>1565230</v>
      </c>
      <c r="E27" s="65">
        <f t="shared" si="60"/>
        <v>1689007</v>
      </c>
      <c r="F27" s="65">
        <f t="shared" si="60"/>
        <v>1781616</v>
      </c>
      <c r="G27" s="65">
        <f t="shared" si="60"/>
        <v>1868009</v>
      </c>
      <c r="H27" s="65">
        <f t="shared" si="60"/>
        <v>1935272</v>
      </c>
      <c r="I27" s="308">
        <f t="shared" si="60"/>
        <v>1996400</v>
      </c>
      <c r="J27" s="500">
        <f t="shared" ref="J27:AI27" si="61">J25+J26</f>
        <v>188.12</v>
      </c>
      <c r="K27" s="501">
        <f t="shared" si="61"/>
        <v>7.0000000000000007E-2</v>
      </c>
      <c r="L27" s="502">
        <f t="shared" si="61"/>
        <v>188.19</v>
      </c>
      <c r="M27" s="503">
        <f t="shared" si="61"/>
        <v>206.66</v>
      </c>
      <c r="N27" s="504">
        <f t="shared" si="61"/>
        <v>0.03</v>
      </c>
      <c r="O27" s="502">
        <f t="shared" si="61"/>
        <v>206.69</v>
      </c>
      <c r="P27" s="525">
        <f t="shared" ref="P27" si="62">P25+P26</f>
        <v>3.5</v>
      </c>
      <c r="Q27" s="500">
        <f t="shared" si="61"/>
        <v>222.43</v>
      </c>
      <c r="R27" s="501">
        <f t="shared" si="61"/>
        <v>0.03</v>
      </c>
      <c r="S27" s="502">
        <f t="shared" si="61"/>
        <v>222.46</v>
      </c>
      <c r="T27" s="500">
        <f t="shared" ref="T27" si="63">T25+T26</f>
        <v>5.13</v>
      </c>
      <c r="U27" s="503">
        <f t="shared" si="61"/>
        <v>230.93</v>
      </c>
      <c r="V27" s="504">
        <f t="shared" si="61"/>
        <v>0.03</v>
      </c>
      <c r="W27" s="502">
        <f t="shared" si="61"/>
        <v>230.96</v>
      </c>
      <c r="X27" s="505">
        <f t="shared" ref="X27" si="64">X25+X26</f>
        <v>9.69</v>
      </c>
      <c r="Y27" s="493">
        <f t="shared" si="61"/>
        <v>238.74</v>
      </c>
      <c r="Z27" s="494">
        <f t="shared" si="61"/>
        <v>0.03</v>
      </c>
      <c r="AA27" s="3145">
        <f t="shared" si="61"/>
        <v>238.77</v>
      </c>
      <c r="AB27" s="651">
        <f t="shared" ref="AB27" si="65">AB25+AB26</f>
        <v>13.56</v>
      </c>
      <c r="AC27" s="493">
        <f t="shared" si="61"/>
        <v>244.51</v>
      </c>
      <c r="AD27" s="496">
        <f t="shared" si="61"/>
        <v>0.03</v>
      </c>
      <c r="AE27" s="3145">
        <f t="shared" si="61"/>
        <v>244.54</v>
      </c>
      <c r="AF27" s="3174">
        <f t="shared" ref="AF27" si="66">AF25+AF26</f>
        <v>16.98</v>
      </c>
      <c r="AG27" s="651">
        <f t="shared" si="61"/>
        <v>249.91</v>
      </c>
      <c r="AH27" s="561">
        <f t="shared" si="61"/>
        <v>0.03</v>
      </c>
      <c r="AI27" s="3145">
        <f t="shared" si="61"/>
        <v>249.94</v>
      </c>
      <c r="AJ27" s="497">
        <f t="shared" ref="AJ27" si="67">AJ25+AJ26</f>
        <v>20.07</v>
      </c>
      <c r="AK27" s="498">
        <f t="shared" si="0"/>
        <v>0.33</v>
      </c>
      <c r="AL27" s="499">
        <f t="shared" ref="AL27:AN27" si="68">AL25+AL26</f>
        <v>263.37</v>
      </c>
      <c r="AM27" s="187">
        <f t="shared" si="68"/>
        <v>0.03</v>
      </c>
      <c r="AN27" s="3155">
        <f t="shared" si="68"/>
        <v>263.39999999999998</v>
      </c>
      <c r="AO27" s="3162">
        <f t="shared" ref="AO27" si="69">AO25+AO26</f>
        <v>22.81</v>
      </c>
      <c r="AQ27" s="1610">
        <f t="shared" si="1"/>
        <v>547950</v>
      </c>
      <c r="AR27" s="1611">
        <f t="shared" si="2"/>
        <v>0.38</v>
      </c>
      <c r="AS27" s="497">
        <f t="shared" si="3"/>
        <v>61.75</v>
      </c>
    </row>
    <row r="28" spans="1:47">
      <c r="A28" s="89" t="s">
        <v>35</v>
      </c>
      <c r="B28" s="54"/>
      <c r="C28" s="54"/>
      <c r="AO28" s="2933"/>
    </row>
    <row r="29" spans="1:47">
      <c r="A29" s="1" t="s">
        <v>68</v>
      </c>
      <c r="B29" s="54"/>
      <c r="C29" s="54"/>
      <c r="O29" s="1" t="s">
        <v>36</v>
      </c>
    </row>
    <row r="30" spans="1:47">
      <c r="A30" s="1" t="s">
        <v>69</v>
      </c>
      <c r="B30" s="54"/>
      <c r="C30" s="54"/>
    </row>
    <row r="31" spans="1:47">
      <c r="A31" s="1" t="s">
        <v>82</v>
      </c>
    </row>
    <row r="32" spans="1:47">
      <c r="AU32" s="1" t="s">
        <v>36</v>
      </c>
    </row>
    <row r="33" spans="1:47" ht="13.5" thickBot="1">
      <c r="A33" s="297" t="s">
        <v>83</v>
      </c>
      <c r="B33" s="2"/>
      <c r="C33" s="2"/>
      <c r="D33" s="2"/>
      <c r="E33" s="2"/>
      <c r="F33" s="2"/>
      <c r="G33" s="2"/>
      <c r="H33" s="2"/>
      <c r="I33" s="2"/>
      <c r="J33" s="2"/>
      <c r="K33" s="2"/>
      <c r="L33" s="2"/>
      <c r="M33" s="2"/>
      <c r="N33" s="2"/>
      <c r="O33" s="2"/>
      <c r="P33" s="2"/>
      <c r="Q33" s="2"/>
      <c r="R33" s="2"/>
      <c r="S33" s="2"/>
      <c r="T33" s="2"/>
      <c r="U33" s="2"/>
      <c r="V33" s="2"/>
      <c r="W33" s="256"/>
      <c r="X33" s="256"/>
      <c r="Y33" s="256"/>
      <c r="Z33" s="256"/>
      <c r="AA33" s="256"/>
      <c r="AB33" s="256"/>
      <c r="AC33" s="256"/>
      <c r="AD33" s="256"/>
    </row>
    <row r="34" spans="1:47" ht="13.5" customHeight="1" thickBot="1">
      <c r="A34" s="3204" t="s">
        <v>1</v>
      </c>
      <c r="B34" s="3206" t="s">
        <v>2</v>
      </c>
      <c r="C34" s="3251" t="s">
        <v>76</v>
      </c>
      <c r="D34" s="3241" t="s">
        <v>77</v>
      </c>
      <c r="E34" s="3242"/>
      <c r="F34" s="3242"/>
      <c r="G34" s="3242"/>
      <c r="H34" s="3242"/>
      <c r="I34" s="3225"/>
      <c r="J34" s="3221" t="s">
        <v>55</v>
      </c>
      <c r="K34" s="3222"/>
      <c r="L34" s="3223"/>
      <c r="M34" s="3268" t="s">
        <v>56</v>
      </c>
      <c r="N34" s="3269"/>
      <c r="O34" s="3269"/>
      <c r="P34" s="3269"/>
      <c r="Q34" s="3269"/>
      <c r="R34" s="3269"/>
      <c r="S34" s="3269"/>
      <c r="T34" s="3269"/>
      <c r="U34" s="3269"/>
      <c r="V34" s="3269"/>
      <c r="W34" s="3269"/>
      <c r="X34" s="3269"/>
      <c r="Y34" s="3269"/>
      <c r="Z34" s="3269"/>
      <c r="AA34" s="3269"/>
      <c r="AB34" s="3269"/>
      <c r="AC34" s="3269"/>
      <c r="AD34" s="3269"/>
      <c r="AE34" s="3269"/>
      <c r="AF34" s="3269"/>
      <c r="AG34" s="3269"/>
      <c r="AH34" s="3269"/>
      <c r="AI34" s="3269"/>
      <c r="AJ34" s="3270"/>
      <c r="AK34" s="3255" t="s">
        <v>57</v>
      </c>
      <c r="AL34" s="3265" t="s">
        <v>58</v>
      </c>
      <c r="AM34" s="3266"/>
      <c r="AN34" s="3266"/>
      <c r="AO34" s="3267"/>
      <c r="AQ34" s="3258" t="s">
        <v>78</v>
      </c>
      <c r="AR34" s="3255" t="s">
        <v>79</v>
      </c>
      <c r="AS34" s="3245" t="s">
        <v>80</v>
      </c>
      <c r="AU34" s="1" t="s">
        <v>36</v>
      </c>
    </row>
    <row r="35" spans="1:47" ht="15.75" customHeight="1" thickBot="1">
      <c r="A35" s="3205"/>
      <c r="B35" s="3207"/>
      <c r="C35" s="3252"/>
      <c r="D35" s="3243"/>
      <c r="E35" s="3244"/>
      <c r="F35" s="3244"/>
      <c r="G35" s="3244"/>
      <c r="H35" s="3244"/>
      <c r="I35" s="3227"/>
      <c r="J35" s="3212">
        <v>2015</v>
      </c>
      <c r="K35" s="3213"/>
      <c r="L35" s="3215"/>
      <c r="M35" s="3216">
        <v>2020</v>
      </c>
      <c r="N35" s="3217"/>
      <c r="O35" s="3217"/>
      <c r="P35" s="3218"/>
      <c r="Q35" s="3217">
        <v>2025</v>
      </c>
      <c r="R35" s="3217"/>
      <c r="S35" s="3217"/>
      <c r="T35" s="3218"/>
      <c r="U35" s="3216">
        <v>2030</v>
      </c>
      <c r="V35" s="3217"/>
      <c r="W35" s="3217"/>
      <c r="X35" s="3218"/>
      <c r="Y35" s="3217">
        <v>2035</v>
      </c>
      <c r="Z35" s="3217"/>
      <c r="AA35" s="3217"/>
      <c r="AB35" s="3218"/>
      <c r="AC35" s="3216">
        <v>2040</v>
      </c>
      <c r="AD35" s="3217"/>
      <c r="AE35" s="3217"/>
      <c r="AF35" s="3218"/>
      <c r="AG35" s="3216">
        <v>2045</v>
      </c>
      <c r="AH35" s="3217"/>
      <c r="AI35" s="3217"/>
      <c r="AJ35" s="3218"/>
      <c r="AK35" s="3256"/>
      <c r="AL35" s="3258">
        <v>2045</v>
      </c>
      <c r="AM35" s="3264"/>
      <c r="AN35" s="3264"/>
      <c r="AO35" s="3245"/>
      <c r="AQ35" s="3259"/>
      <c r="AR35" s="3256"/>
      <c r="AS35" s="3246"/>
    </row>
    <row r="36" spans="1:47" ht="13.5" thickBot="1">
      <c r="A36" s="3485"/>
      <c r="B36" s="3208"/>
      <c r="C36" s="3023">
        <v>2015</v>
      </c>
      <c r="D36" s="1676">
        <v>2020</v>
      </c>
      <c r="E36" s="1677">
        <v>2025</v>
      </c>
      <c r="F36" s="1677">
        <v>2030</v>
      </c>
      <c r="G36" s="1677">
        <v>2035</v>
      </c>
      <c r="H36" s="1678">
        <v>2040</v>
      </c>
      <c r="I36" s="3019">
        <v>2045</v>
      </c>
      <c r="J36" s="1655" t="s">
        <v>60</v>
      </c>
      <c r="K36" s="1017" t="s">
        <v>61</v>
      </c>
      <c r="L36" s="1659" t="s">
        <v>18</v>
      </c>
      <c r="M36" s="1655" t="s">
        <v>60</v>
      </c>
      <c r="N36" s="1657" t="s">
        <v>61</v>
      </c>
      <c r="O36" s="3131" t="s">
        <v>18</v>
      </c>
      <c r="P36" s="1658" t="s">
        <v>81</v>
      </c>
      <c r="Q36" s="1669" t="s">
        <v>60</v>
      </c>
      <c r="R36" s="1017" t="s">
        <v>61</v>
      </c>
      <c r="S36" s="3131" t="s">
        <v>18</v>
      </c>
      <c r="T36" s="1661" t="s">
        <v>81</v>
      </c>
      <c r="U36" s="1655" t="s">
        <v>60</v>
      </c>
      <c r="V36" s="1657" t="s">
        <v>61</v>
      </c>
      <c r="W36" s="3131" t="s">
        <v>18</v>
      </c>
      <c r="X36" s="1658" t="s">
        <v>81</v>
      </c>
      <c r="Y36" s="1669" t="s">
        <v>60</v>
      </c>
      <c r="Z36" s="1017" t="s">
        <v>61</v>
      </c>
      <c r="AA36" s="3131" t="s">
        <v>18</v>
      </c>
      <c r="AB36" s="1661" t="s">
        <v>81</v>
      </c>
      <c r="AC36" s="1655" t="s">
        <v>60</v>
      </c>
      <c r="AD36" s="1657" t="s">
        <v>61</v>
      </c>
      <c r="AE36" s="3131" t="s">
        <v>18</v>
      </c>
      <c r="AF36" s="1661" t="s">
        <v>81</v>
      </c>
      <c r="AG36" s="1655" t="s">
        <v>60</v>
      </c>
      <c r="AH36" s="1657" t="s">
        <v>61</v>
      </c>
      <c r="AI36" s="3131" t="s">
        <v>18</v>
      </c>
      <c r="AJ36" s="1661" t="s">
        <v>81</v>
      </c>
      <c r="AK36" s="3257"/>
      <c r="AL36" s="1133" t="s">
        <v>60</v>
      </c>
      <c r="AM36" s="1134" t="s">
        <v>61</v>
      </c>
      <c r="AN36" s="3147" t="s">
        <v>18</v>
      </c>
      <c r="AO36" s="1658" t="s">
        <v>81</v>
      </c>
      <c r="AQ36" s="3260"/>
      <c r="AR36" s="3257"/>
      <c r="AS36" s="3247"/>
    </row>
    <row r="37" spans="1:47">
      <c r="A37" s="443" t="s">
        <v>46</v>
      </c>
      <c r="B37" s="506" t="s">
        <v>17</v>
      </c>
      <c r="C37" s="737">
        <f>'Table 5'!D111</f>
        <v>2491</v>
      </c>
      <c r="D37" s="328">
        <f>'Table 5'!E111</f>
        <v>2952</v>
      </c>
      <c r="E37" s="307">
        <f>'Table 5'!F111</f>
        <v>3077</v>
      </c>
      <c r="F37" s="307">
        <f>'Table 5'!G111</f>
        <v>3141</v>
      </c>
      <c r="G37" s="307">
        <f>'Table 5'!H111</f>
        <v>3161</v>
      </c>
      <c r="H37" s="307">
        <f>'Table 5'!I111</f>
        <v>3161</v>
      </c>
      <c r="I37" s="1059">
        <f>'Table 5'!J111</f>
        <v>3161</v>
      </c>
      <c r="J37" s="110">
        <f>'Table 5'!M111</f>
        <v>0.65</v>
      </c>
      <c r="K37" s="118">
        <f>'Table 5'!N111</f>
        <v>0</v>
      </c>
      <c r="L37" s="1675">
        <f>'Table 5'!O111</f>
        <v>0.65</v>
      </c>
      <c r="M37" s="110">
        <f>'Table 5'!P111</f>
        <v>0.8</v>
      </c>
      <c r="N37" s="112">
        <f>'Table 5'!Q111</f>
        <v>0</v>
      </c>
      <c r="O37" s="1679">
        <f>'Table 5'!R111</f>
        <v>0.8</v>
      </c>
      <c r="P37" s="1667">
        <f>'Table 5'!S111</f>
        <v>0</v>
      </c>
      <c r="Q37" s="114">
        <f>'Table 5'!T111</f>
        <v>0.84</v>
      </c>
      <c r="R37" s="118">
        <f>'Table 5'!U111</f>
        <v>0</v>
      </c>
      <c r="S37" s="1679">
        <f>'Table 5'!V111</f>
        <v>0.84</v>
      </c>
      <c r="T37" s="1668">
        <f>'Table 5'!W111</f>
        <v>0</v>
      </c>
      <c r="U37" s="110">
        <f>'Table 5'!X111</f>
        <v>0.87</v>
      </c>
      <c r="V37" s="112">
        <f>'Table 5'!Y111</f>
        <v>0</v>
      </c>
      <c r="W37" s="1679">
        <f>'Table 5'!Z111</f>
        <v>0.87</v>
      </c>
      <c r="X37" s="1668">
        <f>'Table 5'!AA111</f>
        <v>0</v>
      </c>
      <c r="Y37" s="444">
        <f>'Table 5'!AB111</f>
        <v>0.87</v>
      </c>
      <c r="Z37" s="445">
        <f>'Table 5'!AC111</f>
        <v>0</v>
      </c>
      <c r="AA37" s="3136">
        <f>'Table 5'!AD111</f>
        <v>0.87</v>
      </c>
      <c r="AB37" s="642">
        <f>'Table 5'!AE111</f>
        <v>0</v>
      </c>
      <c r="AC37" s="444">
        <f>'Table 5'!AF111</f>
        <v>0.87</v>
      </c>
      <c r="AD37" s="446">
        <f>'Table 5'!AG111</f>
        <v>0</v>
      </c>
      <c r="AE37" s="3136">
        <f>'Table 5'!AH111</f>
        <v>0.87</v>
      </c>
      <c r="AF37" s="3164">
        <f>'Table 5'!AI111</f>
        <v>0</v>
      </c>
      <c r="AG37" s="674">
        <f>'Table 5'!AJ111</f>
        <v>0.87</v>
      </c>
      <c r="AH37" s="585">
        <f>'Table 5'!AK111</f>
        <v>0</v>
      </c>
      <c r="AI37" s="3136">
        <f>'Table 5'!AL111</f>
        <v>0.87</v>
      </c>
      <c r="AJ37" s="450">
        <f>'Table 5'!AM111</f>
        <v>0</v>
      </c>
      <c r="AK37" s="239">
        <f t="shared" ref="AK37:AK43" si="70">(AI37-L37)/L37</f>
        <v>0.34</v>
      </c>
      <c r="AL37" s="1074">
        <f>'Table 5'!AP111</f>
        <v>0.92</v>
      </c>
      <c r="AM37" s="90">
        <f>'Table 5'!AQ111</f>
        <v>0</v>
      </c>
      <c r="AN37" s="3148">
        <f>'Table 5'!AR111</f>
        <v>0.87</v>
      </c>
      <c r="AO37" s="3163">
        <f>'Table 5'!AS111</f>
        <v>0</v>
      </c>
      <c r="AQ37" s="737">
        <f>I37-C37</f>
        <v>670</v>
      </c>
      <c r="AR37" s="239">
        <f>AQ37/C37</f>
        <v>0.27</v>
      </c>
      <c r="AS37" s="1065">
        <f>AI37-L37</f>
        <v>0.22</v>
      </c>
    </row>
    <row r="38" spans="1:47">
      <c r="A38" s="455" t="s">
        <v>47</v>
      </c>
      <c r="B38" s="1075" t="s">
        <v>17</v>
      </c>
      <c r="C38" s="1076">
        <f>'Table 5'!D113</f>
        <v>553</v>
      </c>
      <c r="D38" s="1063">
        <f>'Table 5'!E113</f>
        <v>606</v>
      </c>
      <c r="E38" s="1038">
        <f>'Table 5'!F113</f>
        <v>618</v>
      </c>
      <c r="F38" s="1038">
        <f>'Table 5'!G113</f>
        <v>626</v>
      </c>
      <c r="G38" s="1038">
        <f>'Table 5'!H113</f>
        <v>629</v>
      </c>
      <c r="H38" s="1038">
        <f>'Table 5'!I113</f>
        <v>639</v>
      </c>
      <c r="I38" s="1013">
        <f>'Table 5'!J113</f>
        <v>644</v>
      </c>
      <c r="J38" s="1001">
        <f>'Table 5'!M113</f>
        <v>0</v>
      </c>
      <c r="K38" s="1077">
        <f>'Table 5'!N113</f>
        <v>0</v>
      </c>
      <c r="L38" s="515">
        <f>'Table 5'!O113</f>
        <v>0</v>
      </c>
      <c r="M38" s="1001">
        <f>'Table 5'!P113</f>
        <v>0</v>
      </c>
      <c r="N38" s="451">
        <f>'Table 5'!Q113</f>
        <v>0</v>
      </c>
      <c r="O38" s="515">
        <f>'Table 5'!R113</f>
        <v>0</v>
      </c>
      <c r="P38" s="1078">
        <f>'Table 5'!S113</f>
        <v>0</v>
      </c>
      <c r="Q38" s="1054">
        <f>'Table 5'!T113</f>
        <v>0</v>
      </c>
      <c r="R38" s="1077">
        <f>'Table 5'!U113</f>
        <v>0</v>
      </c>
      <c r="S38" s="515">
        <f>'Table 5'!V113</f>
        <v>0</v>
      </c>
      <c r="T38" s="1847">
        <f>'Table 5'!W113</f>
        <v>0</v>
      </c>
      <c r="U38" s="1001">
        <f>'Table 5'!X113</f>
        <v>0</v>
      </c>
      <c r="V38" s="451">
        <f>'Table 5'!Y113</f>
        <v>0</v>
      </c>
      <c r="W38" s="515">
        <f>'Table 5'!Z113</f>
        <v>0</v>
      </c>
      <c r="X38" s="1847">
        <f>'Table 5'!AA113</f>
        <v>0</v>
      </c>
      <c r="Y38" s="827">
        <f>'Table 5'!AB113</f>
        <v>0</v>
      </c>
      <c r="Z38" s="916">
        <f>'Table 5'!AC113</f>
        <v>0</v>
      </c>
      <c r="AA38" s="3143">
        <f>'Table 5'!AD113</f>
        <v>0</v>
      </c>
      <c r="AB38" s="910">
        <f>'Table 5'!AE113</f>
        <v>0</v>
      </c>
      <c r="AC38" s="827">
        <f>'Table 5'!AF113</f>
        <v>0</v>
      </c>
      <c r="AD38" s="452">
        <f>'Table 5'!AG113</f>
        <v>0</v>
      </c>
      <c r="AE38" s="3143">
        <f>'Table 5'!AH113</f>
        <v>0</v>
      </c>
      <c r="AF38" s="3172">
        <f>'Table 5'!AI113</f>
        <v>0</v>
      </c>
      <c r="AG38" s="1591">
        <f>'Table 5'!AJ113</f>
        <v>0</v>
      </c>
      <c r="AH38" s="560">
        <f>'Table 5'!AK113</f>
        <v>0</v>
      </c>
      <c r="AI38" s="3143">
        <f>'Table 5'!AL113</f>
        <v>0</v>
      </c>
      <c r="AJ38" s="940">
        <f>'Table 5'!AM113</f>
        <v>0</v>
      </c>
      <c r="AK38" s="300" t="s">
        <v>16</v>
      </c>
      <c r="AL38" s="1081">
        <f>'Table 5'!AP113</f>
        <v>0</v>
      </c>
      <c r="AM38" s="299">
        <f>'Table 5'!AQ113</f>
        <v>0</v>
      </c>
      <c r="AN38" s="3153">
        <f>'Table 5'!AR113</f>
        <v>0</v>
      </c>
      <c r="AO38" s="3160">
        <f>'Table 5'!AS113</f>
        <v>0</v>
      </c>
      <c r="AQ38" s="1076">
        <f t="shared" ref="AQ38:AQ43" si="71">I38-C38</f>
        <v>91</v>
      </c>
      <c r="AR38" s="239">
        <f t="shared" ref="AR38:AR43" si="72">AQ38/C38</f>
        <v>0.16</v>
      </c>
      <c r="AS38" s="1065">
        <f t="shared" ref="AS38:AS43" si="73">AI38-L38</f>
        <v>0</v>
      </c>
    </row>
    <row r="39" spans="1:47">
      <c r="A39" s="455" t="s">
        <v>48</v>
      </c>
      <c r="B39" s="1075" t="s">
        <v>17</v>
      </c>
      <c r="C39" s="1076">
        <f>'Table 5'!D115</f>
        <v>1188</v>
      </c>
      <c r="D39" s="1063">
        <f>'Table 5'!E115</f>
        <v>1208</v>
      </c>
      <c r="E39" s="1038">
        <f>'Table 5'!F115</f>
        <v>1208</v>
      </c>
      <c r="F39" s="1038">
        <f>'Table 5'!G115</f>
        <v>1208</v>
      </c>
      <c r="G39" s="1038">
        <f>'Table 5'!H115</f>
        <v>1208</v>
      </c>
      <c r="H39" s="1038">
        <f>'Table 5'!I115</f>
        <v>1208</v>
      </c>
      <c r="I39" s="1013">
        <f>'Table 5'!J115</f>
        <v>1214</v>
      </c>
      <c r="J39" s="1001">
        <f>'Table 5'!M115</f>
        <v>0.15</v>
      </c>
      <c r="K39" s="1077">
        <f>'Table 5'!N115</f>
        <v>0</v>
      </c>
      <c r="L39" s="515">
        <f>'Table 5'!O115</f>
        <v>0.15</v>
      </c>
      <c r="M39" s="1001">
        <f>'Table 5'!P115</f>
        <v>0.16</v>
      </c>
      <c r="N39" s="451">
        <f>'Table 5'!Q115</f>
        <v>0</v>
      </c>
      <c r="O39" s="515">
        <f>'Table 5'!R115</f>
        <v>0.16</v>
      </c>
      <c r="P39" s="1078">
        <f>'Table 5'!S115</f>
        <v>0</v>
      </c>
      <c r="Q39" s="1054">
        <f>'Table 5'!T115</f>
        <v>0.16</v>
      </c>
      <c r="R39" s="1077">
        <f>'Table 5'!U115</f>
        <v>0</v>
      </c>
      <c r="S39" s="515">
        <f>'Table 5'!V115</f>
        <v>0.16</v>
      </c>
      <c r="T39" s="1847">
        <f>'Table 5'!W115</f>
        <v>0</v>
      </c>
      <c r="U39" s="1001">
        <f>'Table 5'!X115</f>
        <v>0.16</v>
      </c>
      <c r="V39" s="451">
        <f>'Table 5'!Y115</f>
        <v>0</v>
      </c>
      <c r="W39" s="515">
        <f>'Table 5'!Z115</f>
        <v>0.16</v>
      </c>
      <c r="X39" s="1847">
        <f>'Table 5'!AA115</f>
        <v>0</v>
      </c>
      <c r="Y39" s="827">
        <f>'Table 5'!AB115</f>
        <v>0.16</v>
      </c>
      <c r="Z39" s="916">
        <f>'Table 5'!AC115</f>
        <v>0</v>
      </c>
      <c r="AA39" s="3143">
        <f>'Table 5'!AD115</f>
        <v>0.16</v>
      </c>
      <c r="AB39" s="910">
        <f>'Table 5'!AE115</f>
        <v>0</v>
      </c>
      <c r="AC39" s="827">
        <f>'Table 5'!AF115</f>
        <v>0.16</v>
      </c>
      <c r="AD39" s="452">
        <f>'Table 5'!AG115</f>
        <v>0</v>
      </c>
      <c r="AE39" s="3143">
        <f>'Table 5'!AH115</f>
        <v>0.16</v>
      </c>
      <c r="AF39" s="3172">
        <f>'Table 5'!AI115</f>
        <v>0</v>
      </c>
      <c r="AG39" s="1591">
        <f>'Table 5'!AJ115</f>
        <v>0.16</v>
      </c>
      <c r="AH39" s="560">
        <f>'Table 5'!AK115</f>
        <v>0</v>
      </c>
      <c r="AI39" s="3143">
        <f>'Table 5'!AL115</f>
        <v>0.16</v>
      </c>
      <c r="AJ39" s="940">
        <f>'Table 5'!AM115</f>
        <v>0</v>
      </c>
      <c r="AK39" s="301">
        <f t="shared" si="70"/>
        <v>7.0000000000000007E-2</v>
      </c>
      <c r="AL39" s="1081">
        <f>'Table 5'!AP115</f>
        <v>0.17</v>
      </c>
      <c r="AM39" s="299">
        <f>'Table 5'!AQ115</f>
        <v>0</v>
      </c>
      <c r="AN39" s="3153">
        <f>'Table 5'!AR115</f>
        <v>0.17</v>
      </c>
      <c r="AO39" s="3160">
        <f>'Table 5'!AS115</f>
        <v>0</v>
      </c>
      <c r="AQ39" s="1076">
        <f t="shared" si="71"/>
        <v>26</v>
      </c>
      <c r="AR39" s="239">
        <f t="shared" si="72"/>
        <v>0.02</v>
      </c>
      <c r="AS39" s="1065">
        <f t="shared" si="73"/>
        <v>0.01</v>
      </c>
    </row>
    <row r="40" spans="1:47" s="22" customFormat="1">
      <c r="A40" s="443" t="s">
        <v>49</v>
      </c>
      <c r="B40" s="507" t="s">
        <v>17</v>
      </c>
      <c r="C40" s="741">
        <f>'Table 5'!D120</f>
        <v>5674</v>
      </c>
      <c r="D40" s="93">
        <f>'Table 5'!E120</f>
        <v>5931</v>
      </c>
      <c r="E40" s="94">
        <f>'Table 5'!F120</f>
        <v>6016</v>
      </c>
      <c r="F40" s="94">
        <f>'Table 5'!G120</f>
        <v>6103</v>
      </c>
      <c r="G40" s="94">
        <f>'Table 5'!H120</f>
        <v>6146</v>
      </c>
      <c r="H40" s="94">
        <f>'Table 5'!I120</f>
        <v>6200</v>
      </c>
      <c r="I40" s="1012">
        <f>'Table 5'!J120</f>
        <v>6265</v>
      </c>
      <c r="J40" s="1001">
        <f>'Table 5'!M120</f>
        <v>0.68</v>
      </c>
      <c r="K40" s="1077">
        <f>'Table 5'!N120</f>
        <v>0</v>
      </c>
      <c r="L40" s="515">
        <f>'Table 5'!O120</f>
        <v>0.68</v>
      </c>
      <c r="M40" s="1001">
        <f>'Table 5'!P120</f>
        <v>0.61</v>
      </c>
      <c r="N40" s="451">
        <f>'Table 5'!Q120</f>
        <v>0</v>
      </c>
      <c r="O40" s="515">
        <f>'Table 5'!R120</f>
        <v>0.61</v>
      </c>
      <c r="P40" s="1078">
        <f>'Table 5'!S120</f>
        <v>0</v>
      </c>
      <c r="Q40" s="1054">
        <f>'Table 5'!T120</f>
        <v>0.62</v>
      </c>
      <c r="R40" s="1077">
        <f>'Table 5'!U120</f>
        <v>0</v>
      </c>
      <c r="S40" s="515">
        <f>'Table 5'!V120</f>
        <v>0.62</v>
      </c>
      <c r="T40" s="1847">
        <f>'Table 5'!W120</f>
        <v>0</v>
      </c>
      <c r="U40" s="1001">
        <f>'Table 5'!X120</f>
        <v>0.64</v>
      </c>
      <c r="V40" s="451">
        <f>'Table 5'!Y120</f>
        <v>0</v>
      </c>
      <c r="W40" s="515">
        <f>'Table 5'!Z120</f>
        <v>0.64</v>
      </c>
      <c r="X40" s="1847">
        <f>'Table 5'!AA120</f>
        <v>0</v>
      </c>
      <c r="Y40" s="827">
        <f>'Table 5'!AB120</f>
        <v>0.64</v>
      </c>
      <c r="Z40" s="916">
        <f>'Table 5'!AC120</f>
        <v>0</v>
      </c>
      <c r="AA40" s="3143">
        <f>'Table 5'!AD120</f>
        <v>0.64</v>
      </c>
      <c r="AB40" s="910">
        <f>'Table 5'!AE120</f>
        <v>0</v>
      </c>
      <c r="AC40" s="827">
        <f>'Table 5'!AF120</f>
        <v>0.65</v>
      </c>
      <c r="AD40" s="452">
        <f>'Table 5'!AG120</f>
        <v>0</v>
      </c>
      <c r="AE40" s="3143">
        <f>'Table 5'!AH120</f>
        <v>0.65</v>
      </c>
      <c r="AF40" s="3172">
        <f>'Table 5'!AI120</f>
        <v>0</v>
      </c>
      <c r="AG40" s="1591">
        <f>'Table 5'!AJ120</f>
        <v>0.66</v>
      </c>
      <c r="AH40" s="560">
        <f>'Table 5'!AK120</f>
        <v>0</v>
      </c>
      <c r="AI40" s="3143">
        <f>'Table 5'!AL120</f>
        <v>0.66</v>
      </c>
      <c r="AJ40" s="450">
        <f>'Table 5'!AM120</f>
        <v>0</v>
      </c>
      <c r="AK40" s="239">
        <f t="shared" si="70"/>
        <v>-0.03</v>
      </c>
      <c r="AL40" s="1074">
        <f>'Table 5'!AP120</f>
        <v>0.7</v>
      </c>
      <c r="AM40" s="90">
        <f>'Table 5'!AQ120</f>
        <v>0</v>
      </c>
      <c r="AN40" s="3148">
        <f>'Table 5'!AR120</f>
        <v>0.7</v>
      </c>
      <c r="AO40" s="59">
        <f>'Table 5'!AS120</f>
        <v>0</v>
      </c>
      <c r="AQ40" s="1076">
        <f t="shared" si="71"/>
        <v>591</v>
      </c>
      <c r="AR40" s="239">
        <f t="shared" si="72"/>
        <v>0.1</v>
      </c>
      <c r="AS40" s="1065">
        <f t="shared" si="73"/>
        <v>-0.02</v>
      </c>
    </row>
    <row r="41" spans="1:47" s="22" customFormat="1">
      <c r="A41" s="455" t="s">
        <v>50</v>
      </c>
      <c r="B41" s="508" t="s">
        <v>17</v>
      </c>
      <c r="C41" s="741">
        <f>'Table 5'!D125</f>
        <v>5504</v>
      </c>
      <c r="D41" s="93">
        <f>'Table 5'!E125</f>
        <v>5763</v>
      </c>
      <c r="E41" s="94">
        <f>'Table 5'!F125</f>
        <v>5832</v>
      </c>
      <c r="F41" s="94">
        <f>'Table 5'!G125</f>
        <v>5886</v>
      </c>
      <c r="G41" s="94">
        <f>'Table 5'!H125</f>
        <v>5907</v>
      </c>
      <c r="H41" s="94">
        <f>'Table 5'!I125</f>
        <v>5958</v>
      </c>
      <c r="I41" s="1012">
        <f>'Table 5'!J125</f>
        <v>6006</v>
      </c>
      <c r="J41" s="110">
        <f>'Table 5'!M125</f>
        <v>1.1399999999999999</v>
      </c>
      <c r="K41" s="1077">
        <f>'Table 5'!N125</f>
        <v>0</v>
      </c>
      <c r="L41" s="515">
        <f>'Table 5'!O125</f>
        <v>1.1399999999999999</v>
      </c>
      <c r="M41" s="1001">
        <f>'Table 5'!P125</f>
        <v>1.27</v>
      </c>
      <c r="N41" s="451">
        <f>'Table 5'!Q125</f>
        <v>0</v>
      </c>
      <c r="O41" s="515">
        <f>'Table 5'!R125</f>
        <v>1.27</v>
      </c>
      <c r="P41" s="1078">
        <f>'Table 5'!S125</f>
        <v>0</v>
      </c>
      <c r="Q41" s="1054">
        <f>'Table 5'!T125</f>
        <v>1.29</v>
      </c>
      <c r="R41" s="1077">
        <f>'Table 5'!U125</f>
        <v>0</v>
      </c>
      <c r="S41" s="515">
        <f>'Table 5'!V125</f>
        <v>1.29</v>
      </c>
      <c r="T41" s="1847">
        <f>'Table 5'!W125</f>
        <v>0</v>
      </c>
      <c r="U41" s="1001">
        <f>'Table 5'!X125</f>
        <v>1.31</v>
      </c>
      <c r="V41" s="451">
        <f>'Table 5'!Y125</f>
        <v>0</v>
      </c>
      <c r="W41" s="515">
        <f>'Table 5'!Z125</f>
        <v>1.31</v>
      </c>
      <c r="X41" s="1847">
        <f>'Table 5'!AA125</f>
        <v>0</v>
      </c>
      <c r="Y41" s="827">
        <f>'Table 5'!AB125</f>
        <v>1.31</v>
      </c>
      <c r="Z41" s="916">
        <f>'Table 5'!AC125</f>
        <v>0</v>
      </c>
      <c r="AA41" s="3143">
        <f>'Table 5'!AD125</f>
        <v>1.31</v>
      </c>
      <c r="AB41" s="910">
        <f>'Table 5'!AE125</f>
        <v>0</v>
      </c>
      <c r="AC41" s="827">
        <f>'Table 5'!AF125</f>
        <v>1.32</v>
      </c>
      <c r="AD41" s="452">
        <f>'Table 5'!AG125</f>
        <v>0</v>
      </c>
      <c r="AE41" s="3143">
        <f>'Table 5'!AH125</f>
        <v>1.32</v>
      </c>
      <c r="AF41" s="3172">
        <f>'Table 5'!AI125</f>
        <v>0</v>
      </c>
      <c r="AG41" s="1591">
        <f>'Table 5'!AJ125</f>
        <v>1.33</v>
      </c>
      <c r="AH41" s="560">
        <f>'Table 5'!AK125</f>
        <v>0</v>
      </c>
      <c r="AI41" s="3143">
        <f>'Table 5'!AL125</f>
        <v>1.33</v>
      </c>
      <c r="AJ41" s="940">
        <f>'Table 5'!AM125</f>
        <v>0</v>
      </c>
      <c r="AK41" s="301">
        <f t="shared" si="70"/>
        <v>0.17</v>
      </c>
      <c r="AL41" s="1081">
        <f>'Table 5'!AP125</f>
        <v>1.41</v>
      </c>
      <c r="AM41" s="299">
        <f>'Table 5'!AQ125</f>
        <v>0</v>
      </c>
      <c r="AN41" s="3153">
        <f>'Table 5'!AR125</f>
        <v>1.41</v>
      </c>
      <c r="AO41" s="3157">
        <f>'Table 5'!AS125</f>
        <v>0</v>
      </c>
      <c r="AQ41" s="1076">
        <f t="shared" si="71"/>
        <v>502</v>
      </c>
      <c r="AR41" s="239">
        <f t="shared" si="72"/>
        <v>0.09</v>
      </c>
      <c r="AS41" s="1065">
        <f t="shared" si="73"/>
        <v>0.19</v>
      </c>
    </row>
    <row r="42" spans="1:47" ht="13.5" thickBot="1">
      <c r="A42" s="579" t="s">
        <v>51</v>
      </c>
      <c r="B42" s="1079" t="s">
        <v>17</v>
      </c>
      <c r="C42" s="1849">
        <f>'Table 5'!D129</f>
        <v>11191</v>
      </c>
      <c r="D42" s="95">
        <f>'Table 5'!E129</f>
        <v>11661</v>
      </c>
      <c r="E42" s="742">
        <f>'Table 5'!F129</f>
        <v>12269</v>
      </c>
      <c r="F42" s="742">
        <f>'Table 5'!G129</f>
        <v>12696</v>
      </c>
      <c r="G42" s="742">
        <f>'Table 5'!H129</f>
        <v>13126</v>
      </c>
      <c r="H42" s="742">
        <f>'Table 5'!I129</f>
        <v>13465</v>
      </c>
      <c r="I42" s="1060">
        <f>'Table 5'!J129</f>
        <v>13831</v>
      </c>
      <c r="J42" s="124">
        <f>'Table 5'!M129</f>
        <v>1.74</v>
      </c>
      <c r="K42" s="528">
        <f>'Table 5'!N129</f>
        <v>0</v>
      </c>
      <c r="L42" s="516">
        <f>'Table 5'!O129</f>
        <v>1.74</v>
      </c>
      <c r="M42" s="124">
        <f>'Table 5'!P129</f>
        <v>1.87</v>
      </c>
      <c r="N42" s="1057">
        <f>'Table 5'!Q129</f>
        <v>0</v>
      </c>
      <c r="O42" s="516">
        <f>'Table 5'!R129</f>
        <v>1.87</v>
      </c>
      <c r="P42" s="1058">
        <f>'Table 5'!S129</f>
        <v>0</v>
      </c>
      <c r="Q42" s="1056">
        <f>'Table 5'!T129</f>
        <v>1.93</v>
      </c>
      <c r="R42" s="528">
        <f>'Table 5'!U129</f>
        <v>0</v>
      </c>
      <c r="S42" s="516">
        <f>'Table 5'!V129</f>
        <v>1.93</v>
      </c>
      <c r="T42" s="1385">
        <f>'Table 5'!W129</f>
        <v>0</v>
      </c>
      <c r="U42" s="124">
        <f>'Table 5'!X129</f>
        <v>1.97</v>
      </c>
      <c r="V42" s="1057">
        <f>'Table 5'!Y129</f>
        <v>0</v>
      </c>
      <c r="W42" s="516">
        <f>'Table 5'!Z129</f>
        <v>1.97</v>
      </c>
      <c r="X42" s="1385">
        <f>'Table 5'!AA129</f>
        <v>0</v>
      </c>
      <c r="Y42" s="467">
        <f>'Table 5'!AB129</f>
        <v>2</v>
      </c>
      <c r="Z42" s="531">
        <f>'Table 5'!AC129</f>
        <v>0</v>
      </c>
      <c r="AA42" s="3137">
        <f>'Table 5'!AD129</f>
        <v>2</v>
      </c>
      <c r="AB42" s="3129">
        <f>'Table 5'!AE129</f>
        <v>0</v>
      </c>
      <c r="AC42" s="467">
        <f>'Table 5'!AF129</f>
        <v>2.0299999999999998</v>
      </c>
      <c r="AD42" s="532">
        <f>'Table 5'!AG129</f>
        <v>0</v>
      </c>
      <c r="AE42" s="3137">
        <f>'Table 5'!AH129</f>
        <v>2.0299999999999998</v>
      </c>
      <c r="AF42" s="3165">
        <f>'Table 5'!AI129</f>
        <v>0</v>
      </c>
      <c r="AG42" s="1603">
        <f>'Table 5'!AJ129</f>
        <v>2.06</v>
      </c>
      <c r="AH42" s="562">
        <f>'Table 5'!AK129</f>
        <v>0</v>
      </c>
      <c r="AI42" s="3137">
        <f>'Table 5'!AL129</f>
        <v>2.06</v>
      </c>
      <c r="AJ42" s="943">
        <f>'Table 5'!AM129</f>
        <v>0</v>
      </c>
      <c r="AK42" s="234">
        <f t="shared" si="70"/>
        <v>0.18</v>
      </c>
      <c r="AL42" s="1080">
        <f>'Table 5'!AP129</f>
        <v>2.1800000000000002</v>
      </c>
      <c r="AM42" s="1022">
        <f>'Table 5'!AQ129</f>
        <v>0</v>
      </c>
      <c r="AN42" s="3149">
        <f>'Table 5'!AR129</f>
        <v>2.1800000000000002</v>
      </c>
      <c r="AO42" s="3157">
        <f>'Table 5'!AS129</f>
        <v>0</v>
      </c>
      <c r="AQ42" s="1849">
        <f t="shared" si="71"/>
        <v>2640</v>
      </c>
      <c r="AR42" s="234">
        <f t="shared" si="72"/>
        <v>0.24</v>
      </c>
      <c r="AS42" s="1066">
        <f t="shared" si="73"/>
        <v>0.32</v>
      </c>
    </row>
    <row r="43" spans="1:47" ht="27.75" customHeight="1" thickTop="1" thickBot="1">
      <c r="A43" s="3253" t="s">
        <v>52</v>
      </c>
      <c r="B43" s="3254"/>
      <c r="C43" s="739">
        <f>SUM(C37:C42)</f>
        <v>26601</v>
      </c>
      <c r="D43" s="283">
        <f t="shared" ref="D43:J43" si="74">SUM(D37:D42)</f>
        <v>28121</v>
      </c>
      <c r="E43" s="274">
        <f t="shared" si="74"/>
        <v>29020</v>
      </c>
      <c r="F43" s="274">
        <f t="shared" si="74"/>
        <v>29660</v>
      </c>
      <c r="G43" s="274">
        <f t="shared" si="74"/>
        <v>30177</v>
      </c>
      <c r="H43" s="274">
        <f t="shared" si="74"/>
        <v>30631</v>
      </c>
      <c r="I43" s="1062">
        <f t="shared" si="74"/>
        <v>31121</v>
      </c>
      <c r="J43" s="98">
        <f t="shared" si="74"/>
        <v>4.3600000000000003</v>
      </c>
      <c r="K43" s="107">
        <f t="shared" ref="K43" si="75">SUM(K37:K42)</f>
        <v>0</v>
      </c>
      <c r="L43" s="468">
        <f t="shared" ref="L43" si="76">SUM(L37:L42)</f>
        <v>4.3600000000000003</v>
      </c>
      <c r="M43" s="98">
        <f t="shared" ref="M43" si="77">SUM(M37:M42)</f>
        <v>4.71</v>
      </c>
      <c r="N43" s="128">
        <f t="shared" ref="N43" si="78">SUM(N37:N42)</f>
        <v>0</v>
      </c>
      <c r="O43" s="468">
        <f t="shared" ref="O43:P43" si="79">SUM(O37:O42)</f>
        <v>4.71</v>
      </c>
      <c r="P43" s="469">
        <f t="shared" si="79"/>
        <v>0</v>
      </c>
      <c r="Q43" s="119">
        <f t="shared" ref="Q43" si="80">SUM(Q37:Q42)</f>
        <v>4.84</v>
      </c>
      <c r="R43" s="107">
        <f t="shared" ref="R43" si="81">SUM(R37:R42)</f>
        <v>0</v>
      </c>
      <c r="S43" s="468">
        <f t="shared" ref="S43:T43" si="82">SUM(S37:S42)</f>
        <v>4.84</v>
      </c>
      <c r="T43" s="119">
        <f t="shared" si="82"/>
        <v>0</v>
      </c>
      <c r="U43" s="98">
        <f t="shared" ref="U43" si="83">SUM(U37:U42)</f>
        <v>4.95</v>
      </c>
      <c r="V43" s="128">
        <f t="shared" ref="V43" si="84">SUM(V37:V42)</f>
        <v>0</v>
      </c>
      <c r="W43" s="468">
        <f t="shared" ref="W43:X43" si="85">SUM(W37:W42)</f>
        <v>4.95</v>
      </c>
      <c r="X43" s="119">
        <f t="shared" si="85"/>
        <v>0</v>
      </c>
      <c r="Y43" s="470">
        <f t="shared" ref="Y43" si="86">SUM(Y37:Y42)</f>
        <v>4.9800000000000004</v>
      </c>
      <c r="Z43" s="471">
        <f t="shared" ref="Z43" si="87">SUM(Z37:Z42)</f>
        <v>0</v>
      </c>
      <c r="AA43" s="3140">
        <f t="shared" ref="AA43:AB43" si="88">SUM(AA37:AA42)</f>
        <v>4.9800000000000004</v>
      </c>
      <c r="AB43" s="679">
        <f t="shared" si="88"/>
        <v>0</v>
      </c>
      <c r="AC43" s="470">
        <f t="shared" ref="AC43" si="89">SUM(AC37:AC42)</f>
        <v>5.03</v>
      </c>
      <c r="AD43" s="473">
        <f t="shared" ref="AD43" si="90">SUM(AD37:AD42)</f>
        <v>0</v>
      </c>
      <c r="AE43" s="3140">
        <f t="shared" ref="AE43:AF43" si="91">SUM(AE37:AE42)</f>
        <v>5.03</v>
      </c>
      <c r="AF43" s="3167">
        <f t="shared" si="91"/>
        <v>0</v>
      </c>
      <c r="AG43" s="679">
        <f t="shared" ref="AG43" si="92">SUM(AG37:AG42)</f>
        <v>5.08</v>
      </c>
      <c r="AH43" s="555">
        <f t="shared" ref="AH43" si="93">SUM(AH37:AH42)</f>
        <v>0</v>
      </c>
      <c r="AI43" s="3140">
        <f t="shared" ref="AI43:AJ43" si="94">SUM(AI37:AI42)</f>
        <v>5.08</v>
      </c>
      <c r="AJ43" s="474">
        <f t="shared" si="94"/>
        <v>0</v>
      </c>
      <c r="AK43" s="252">
        <f t="shared" si="70"/>
        <v>0.17</v>
      </c>
      <c r="AL43" s="1082">
        <f t="shared" ref="AL43" si="95">SUM(AL37:AL42)</f>
        <v>5.38</v>
      </c>
      <c r="AM43" s="108">
        <f t="shared" ref="AM43" si="96">SUM(AM37:AM42)</f>
        <v>0</v>
      </c>
      <c r="AN43" s="3152">
        <f t="shared" ref="AN43" si="97">SUM(AN37:AN42)</f>
        <v>5.33</v>
      </c>
      <c r="AO43" s="3175">
        <f t="shared" ref="AO43" si="98">SUM(AO37:AO42)</f>
        <v>0</v>
      </c>
      <c r="AQ43" s="739">
        <f t="shared" si="71"/>
        <v>4520</v>
      </c>
      <c r="AR43" s="252">
        <f t="shared" si="72"/>
        <v>0.17</v>
      </c>
      <c r="AS43" s="474">
        <f t="shared" si="73"/>
        <v>0.72</v>
      </c>
    </row>
    <row r="44" spans="1:47">
      <c r="A44" s="89" t="s">
        <v>35</v>
      </c>
    </row>
    <row r="45" spans="1:47">
      <c r="A45" s="1" t="s">
        <v>68</v>
      </c>
    </row>
    <row r="46" spans="1:47">
      <c r="A46" s="1" t="s">
        <v>69</v>
      </c>
    </row>
    <row r="47" spans="1:47">
      <c r="A47" s="1" t="s">
        <v>82</v>
      </c>
    </row>
    <row r="48" spans="1:47">
      <c r="H48" s="1" t="s">
        <v>36</v>
      </c>
    </row>
  </sheetData>
  <mergeCells count="42">
    <mergeCell ref="AL34:AO34"/>
    <mergeCell ref="AL35:AO35"/>
    <mergeCell ref="M34:AJ34"/>
    <mergeCell ref="M35:P35"/>
    <mergeCell ref="Q35:T35"/>
    <mergeCell ref="U35:X35"/>
    <mergeCell ref="Y35:AB35"/>
    <mergeCell ref="AC35:AF35"/>
    <mergeCell ref="AG35:AJ35"/>
    <mergeCell ref="AL2:AO2"/>
    <mergeCell ref="AL3:AO3"/>
    <mergeCell ref="AG3:AJ3"/>
    <mergeCell ref="AC3:AF3"/>
    <mergeCell ref="Y3:AB3"/>
    <mergeCell ref="AQ2:AQ4"/>
    <mergeCell ref="AR2:AR4"/>
    <mergeCell ref="AS2:AS4"/>
    <mergeCell ref="AQ34:AQ36"/>
    <mergeCell ref="AR34:AR36"/>
    <mergeCell ref="AS34:AS36"/>
    <mergeCell ref="A43:B43"/>
    <mergeCell ref="AK34:AK36"/>
    <mergeCell ref="J35:L35"/>
    <mergeCell ref="A34:A36"/>
    <mergeCell ref="B34:B36"/>
    <mergeCell ref="C34:C35"/>
    <mergeCell ref="D34:I35"/>
    <mergeCell ref="J34:L34"/>
    <mergeCell ref="C2:C3"/>
    <mergeCell ref="A25:B25"/>
    <mergeCell ref="A26:B26"/>
    <mergeCell ref="A27:B27"/>
    <mergeCell ref="B2:B4"/>
    <mergeCell ref="A2:A4"/>
    <mergeCell ref="D2:I3"/>
    <mergeCell ref="AK2:AK4"/>
    <mergeCell ref="J2:L2"/>
    <mergeCell ref="J3:L3"/>
    <mergeCell ref="M2:AJ2"/>
    <mergeCell ref="U3:X3"/>
    <mergeCell ref="Q3:T3"/>
    <mergeCell ref="M3:P3"/>
  </mergeCells>
  <pageMargins left="0.7" right="0.7" top="0.75" bottom="0.75" header="0.3" footer="0.3"/>
  <pageSetup paperSize="3"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39"/>
  <sheetViews>
    <sheetView workbookViewId="0">
      <pane xSplit="2" ySplit="4" topLeftCell="C5" activePane="bottomRight" state="frozen"/>
      <selection pane="bottomRight" activeCell="T81" sqref="T81"/>
      <selection pane="bottomLeft" activeCell="A5" sqref="A5"/>
      <selection pane="topRight" activeCell="C1" sqref="C1"/>
    </sheetView>
  </sheetViews>
  <sheetFormatPr defaultColWidth="9.140625" defaultRowHeight="12.75"/>
  <cols>
    <col min="1" max="1" width="13.28515625" style="2" customWidth="1"/>
    <col min="2" max="2" width="47.28515625" style="2" customWidth="1"/>
    <col min="3" max="3" width="26" style="2" customWidth="1"/>
    <col min="4" max="4" width="10.5703125" style="256" customWidth="1"/>
    <col min="5" max="10" width="10.42578125" style="2" customWidth="1"/>
    <col min="11" max="11" width="10.42578125" style="1" customWidth="1"/>
    <col min="12" max="12" width="10.5703125" style="1" customWidth="1"/>
    <col min="13" max="14" width="9.140625" style="1"/>
    <col min="15" max="15" width="9.140625" style="1" customWidth="1"/>
    <col min="16" max="39" width="9.140625" style="1"/>
    <col min="40" max="40" width="10.85546875" style="1" customWidth="1"/>
    <col min="41" max="41" width="10.140625" style="1" customWidth="1"/>
    <col min="42" max="45" width="9.140625" style="1" customWidth="1"/>
    <col min="46" max="46" width="11.85546875" style="1" hidden="1" customWidth="1"/>
    <col min="47" max="47" width="11.140625" style="1" hidden="1" customWidth="1"/>
    <col min="48" max="48" width="15.28515625" style="1" hidden="1" customWidth="1"/>
    <col min="49" max="16384" width="9.140625" style="1"/>
  </cols>
  <sheetData>
    <row r="1" spans="1:48" ht="13.5" thickBot="1">
      <c r="A1" s="297" t="s">
        <v>84</v>
      </c>
      <c r="B1" s="2049"/>
      <c r="C1" s="2049"/>
      <c r="D1" s="2050"/>
      <c r="E1" s="67"/>
      <c r="F1" s="67"/>
      <c r="G1" s="67"/>
      <c r="H1" s="67"/>
      <c r="I1" s="67"/>
      <c r="J1" s="67"/>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row>
    <row r="2" spans="1:48" ht="15.75" customHeight="1" thickBot="1">
      <c r="A2" s="3233" t="s">
        <v>85</v>
      </c>
      <c r="B2" s="3294" t="s">
        <v>86</v>
      </c>
      <c r="C2" s="3290" t="s">
        <v>87</v>
      </c>
      <c r="D2" s="3268" t="s">
        <v>76</v>
      </c>
      <c r="E2" s="3312" t="s">
        <v>88</v>
      </c>
      <c r="F2" s="3313"/>
      <c r="G2" s="3313"/>
      <c r="H2" s="3313"/>
      <c r="I2" s="3313"/>
      <c r="J2" s="3314"/>
      <c r="K2" s="3318" t="s">
        <v>89</v>
      </c>
      <c r="L2" s="3300" t="s">
        <v>57</v>
      </c>
      <c r="M2" s="3286" t="s">
        <v>55</v>
      </c>
      <c r="N2" s="3287"/>
      <c r="O2" s="3288"/>
      <c r="P2" s="3286" t="s">
        <v>56</v>
      </c>
      <c r="Q2" s="3287"/>
      <c r="R2" s="3287"/>
      <c r="S2" s="3287"/>
      <c r="T2" s="3287"/>
      <c r="U2" s="3287"/>
      <c r="V2" s="3287"/>
      <c r="W2" s="3287"/>
      <c r="X2" s="3287"/>
      <c r="Y2" s="3287"/>
      <c r="Z2" s="3287"/>
      <c r="AA2" s="3287"/>
      <c r="AB2" s="3287"/>
      <c r="AC2" s="3287"/>
      <c r="AD2" s="3287"/>
      <c r="AE2" s="3287"/>
      <c r="AF2" s="3287"/>
      <c r="AG2" s="3287"/>
      <c r="AH2" s="3287"/>
      <c r="AI2" s="3287"/>
      <c r="AJ2" s="3287"/>
      <c r="AK2" s="3287"/>
      <c r="AL2" s="3287"/>
      <c r="AM2" s="3288"/>
      <c r="AN2" s="3300" t="s">
        <v>57</v>
      </c>
      <c r="AO2" s="3266" t="s">
        <v>90</v>
      </c>
      <c r="AP2" s="3261" t="s">
        <v>58</v>
      </c>
      <c r="AQ2" s="3262"/>
      <c r="AR2" s="3262"/>
      <c r="AS2" s="3263"/>
      <c r="AT2" s="3119"/>
      <c r="AU2" s="3300" t="s">
        <v>78</v>
      </c>
      <c r="AV2" s="3300" t="s">
        <v>91</v>
      </c>
    </row>
    <row r="3" spans="1:48" ht="15.75" customHeight="1" thickBot="1">
      <c r="A3" s="3234"/>
      <c r="B3" s="3306"/>
      <c r="C3" s="3291"/>
      <c r="D3" s="3320"/>
      <c r="E3" s="3315"/>
      <c r="F3" s="3316"/>
      <c r="G3" s="3316"/>
      <c r="H3" s="3316"/>
      <c r="I3" s="3316"/>
      <c r="J3" s="3317"/>
      <c r="K3" s="3319"/>
      <c r="L3" s="3301"/>
      <c r="M3" s="3281">
        <v>2015</v>
      </c>
      <c r="N3" s="3281"/>
      <c r="O3" s="3282"/>
      <c r="P3" s="3305">
        <v>2020</v>
      </c>
      <c r="Q3" s="3281"/>
      <c r="R3" s="3281"/>
      <c r="S3" s="3282"/>
      <c r="T3" s="3305">
        <v>2025</v>
      </c>
      <c r="U3" s="3281"/>
      <c r="V3" s="3281"/>
      <c r="W3" s="3282"/>
      <c r="X3" s="3305">
        <v>2030</v>
      </c>
      <c r="Y3" s="3281"/>
      <c r="Z3" s="3281"/>
      <c r="AA3" s="3282"/>
      <c r="AB3" s="3305">
        <v>2035</v>
      </c>
      <c r="AC3" s="3281"/>
      <c r="AD3" s="3281"/>
      <c r="AE3" s="3282"/>
      <c r="AF3" s="3305">
        <v>2040</v>
      </c>
      <c r="AG3" s="3281"/>
      <c r="AH3" s="3281"/>
      <c r="AI3" s="3282"/>
      <c r="AJ3" s="3305">
        <v>2045</v>
      </c>
      <c r="AK3" s="3281"/>
      <c r="AL3" s="3281"/>
      <c r="AM3" s="3282"/>
      <c r="AN3" s="3301"/>
      <c r="AO3" s="3279"/>
      <c r="AP3" s="3305">
        <v>2045</v>
      </c>
      <c r="AQ3" s="3281"/>
      <c r="AR3" s="3281"/>
      <c r="AS3" s="3282"/>
      <c r="AT3" s="3119"/>
      <c r="AU3" s="3301"/>
      <c r="AV3" s="3301"/>
    </row>
    <row r="4" spans="1:48" ht="15.75" customHeight="1" thickBot="1">
      <c r="A4" s="3235"/>
      <c r="B4" s="3296"/>
      <c r="C4" s="3292"/>
      <c r="D4" s="1023">
        <v>2015</v>
      </c>
      <c r="E4" s="3030">
        <v>2020</v>
      </c>
      <c r="F4" s="3031">
        <v>2025</v>
      </c>
      <c r="G4" s="3031">
        <v>2030</v>
      </c>
      <c r="H4" s="3031">
        <v>2035</v>
      </c>
      <c r="I4" s="3045">
        <v>2040</v>
      </c>
      <c r="J4" s="3032">
        <v>2045</v>
      </c>
      <c r="K4" s="3299"/>
      <c r="L4" s="3302"/>
      <c r="M4" s="1680" t="s">
        <v>92</v>
      </c>
      <c r="N4" s="1128" t="s">
        <v>93</v>
      </c>
      <c r="O4" s="1681" t="s">
        <v>18</v>
      </c>
      <c r="P4" s="1127" t="s">
        <v>92</v>
      </c>
      <c r="Q4" s="1131" t="s">
        <v>93</v>
      </c>
      <c r="R4" s="3070" t="s">
        <v>18</v>
      </c>
      <c r="S4" s="1680" t="s">
        <v>81</v>
      </c>
      <c r="T4" s="1130" t="s">
        <v>92</v>
      </c>
      <c r="U4" s="1128" t="s">
        <v>93</v>
      </c>
      <c r="V4" s="3070" t="s">
        <v>18</v>
      </c>
      <c r="W4" s="3088" t="s">
        <v>81</v>
      </c>
      <c r="X4" s="1127" t="s">
        <v>92</v>
      </c>
      <c r="Y4" s="1128" t="s">
        <v>93</v>
      </c>
      <c r="Z4" s="3070" t="s">
        <v>18</v>
      </c>
      <c r="AA4" s="1680" t="s">
        <v>81</v>
      </c>
      <c r="AB4" s="1130" t="s">
        <v>92</v>
      </c>
      <c r="AC4" s="1128" t="s">
        <v>93</v>
      </c>
      <c r="AD4" s="3070" t="s">
        <v>18</v>
      </c>
      <c r="AE4" s="1680" t="s">
        <v>81</v>
      </c>
      <c r="AF4" s="1130" t="s">
        <v>92</v>
      </c>
      <c r="AG4" s="1131" t="s">
        <v>93</v>
      </c>
      <c r="AH4" s="3070" t="s">
        <v>18</v>
      </c>
      <c r="AI4" s="1680" t="s">
        <v>81</v>
      </c>
      <c r="AJ4" s="1130" t="s">
        <v>92</v>
      </c>
      <c r="AK4" s="1131" t="s">
        <v>93</v>
      </c>
      <c r="AL4" s="3070" t="s">
        <v>18</v>
      </c>
      <c r="AM4" s="3043" t="s">
        <v>81</v>
      </c>
      <c r="AN4" s="3302"/>
      <c r="AO4" s="3280"/>
      <c r="AP4" s="1130" t="s">
        <v>92</v>
      </c>
      <c r="AQ4" s="1131" t="s">
        <v>93</v>
      </c>
      <c r="AR4" s="3070" t="s">
        <v>18</v>
      </c>
      <c r="AS4" s="3120" t="s">
        <v>81</v>
      </c>
      <c r="AU4" s="3302"/>
      <c r="AV4" s="3302"/>
    </row>
    <row r="5" spans="1:48">
      <c r="A5" s="3275" t="s">
        <v>94</v>
      </c>
      <c r="B5" s="2052" t="s">
        <v>95</v>
      </c>
      <c r="C5" s="2053">
        <v>1674</v>
      </c>
      <c r="D5" s="2054">
        <f>'Table 5a'!L4</f>
        <v>1508</v>
      </c>
      <c r="E5" s="2055">
        <v>1530</v>
      </c>
      <c r="F5" s="2055">
        <v>1530</v>
      </c>
      <c r="G5" s="2055">
        <v>2136</v>
      </c>
      <c r="H5" s="2055">
        <v>2136</v>
      </c>
      <c r="I5" s="2056">
        <v>2409</v>
      </c>
      <c r="J5" s="2057">
        <v>2426</v>
      </c>
      <c r="K5" s="2058">
        <v>5653</v>
      </c>
      <c r="L5" s="215">
        <f>(J5-D5)/D5</f>
        <v>0.61</v>
      </c>
      <c r="M5" s="2059">
        <f>O5-N5</f>
        <v>0.14000000000000001</v>
      </c>
      <c r="N5" s="2060">
        <v>0</v>
      </c>
      <c r="O5" s="638">
        <f>'Table 5a'!G4</f>
        <v>0.14000000000000001</v>
      </c>
      <c r="P5" s="2061">
        <f>R5-Q5</f>
        <v>0.13</v>
      </c>
      <c r="Q5" s="2062">
        <v>0</v>
      </c>
      <c r="R5" s="3108">
        <f>E5*$AO5/1000000</f>
        <v>0.13</v>
      </c>
      <c r="S5" s="2063">
        <v>0</v>
      </c>
      <c r="T5" s="2064">
        <f>V5-U5</f>
        <v>0.13</v>
      </c>
      <c r="U5" s="2060">
        <v>0</v>
      </c>
      <c r="V5" s="3079">
        <f>F5*$AO5/1000000</f>
        <v>0.13</v>
      </c>
      <c r="W5" s="3089">
        <v>0</v>
      </c>
      <c r="X5" s="2059">
        <f>Z5-Y5</f>
        <v>0.19</v>
      </c>
      <c r="Y5" s="2060">
        <v>0</v>
      </c>
      <c r="Z5" s="3108">
        <f>G5*$AO5/1000000</f>
        <v>0.19</v>
      </c>
      <c r="AA5" s="2063">
        <v>0</v>
      </c>
      <c r="AB5" s="2064">
        <f>AD5-AC5</f>
        <v>0.19</v>
      </c>
      <c r="AC5" s="2060">
        <v>0</v>
      </c>
      <c r="AD5" s="3108">
        <f>H5*$AO5/1000000</f>
        <v>0.19</v>
      </c>
      <c r="AE5" s="2063">
        <v>0</v>
      </c>
      <c r="AF5" s="2064">
        <f>AH5-AG5</f>
        <v>0.21</v>
      </c>
      <c r="AG5" s="2062">
        <v>0</v>
      </c>
      <c r="AH5" s="3108">
        <f>I5*$AO5/1000000</f>
        <v>0.21</v>
      </c>
      <c r="AI5" s="2063">
        <v>0</v>
      </c>
      <c r="AJ5" s="2064">
        <f t="shared" ref="AJ5:AJ9" si="0">AL5-AK5</f>
        <v>0.21</v>
      </c>
      <c r="AK5" s="2062">
        <v>0</v>
      </c>
      <c r="AL5" s="3108">
        <f>J5*AO5/1000000</f>
        <v>0.21</v>
      </c>
      <c r="AM5" s="2067">
        <v>0</v>
      </c>
      <c r="AN5" s="229">
        <f t="shared" ref="AN5:AN28" si="1">(AL5-O5)/O5</f>
        <v>0.5</v>
      </c>
      <c r="AO5" s="2068">
        <f>'Table 5a'!P4</f>
        <v>88</v>
      </c>
      <c r="AP5" s="2064">
        <f>AR5-AQ5</f>
        <v>0.22</v>
      </c>
      <c r="AQ5" s="2062">
        <f>AG5</f>
        <v>0</v>
      </c>
      <c r="AR5" s="3108">
        <f>AL5*1.06</f>
        <v>0.22</v>
      </c>
      <c r="AS5" s="3094">
        <v>0</v>
      </c>
      <c r="AU5" s="741">
        <f>J5-D5</f>
        <v>918</v>
      </c>
      <c r="AV5" s="2069">
        <f>AL5-O5</f>
        <v>7.0000000000000007E-2</v>
      </c>
    </row>
    <row r="6" spans="1:48">
      <c r="A6" s="3275"/>
      <c r="B6" s="1859" t="s">
        <v>96</v>
      </c>
      <c r="C6" s="1952">
        <v>11339</v>
      </c>
      <c r="D6" s="391">
        <f>'Table 5a'!L5</f>
        <v>183762</v>
      </c>
      <c r="E6" s="2055">
        <v>190046</v>
      </c>
      <c r="F6" s="2055">
        <v>194220</v>
      </c>
      <c r="G6" s="2055">
        <v>195296</v>
      </c>
      <c r="H6" s="2055">
        <v>195385</v>
      </c>
      <c r="I6" s="2056">
        <v>195794</v>
      </c>
      <c r="J6" s="2057">
        <v>195930</v>
      </c>
      <c r="K6" s="2070">
        <v>244351</v>
      </c>
      <c r="L6" s="300">
        <f t="shared" ref="L6:L70" si="2">(J6-D6)/D6</f>
        <v>7.0000000000000007E-2</v>
      </c>
      <c r="M6" s="2071">
        <f t="shared" ref="M6:M59" si="3">O6-N6</f>
        <v>20.76</v>
      </c>
      <c r="N6" s="2072">
        <v>0</v>
      </c>
      <c r="O6" s="633">
        <f>'Table 5a'!G5</f>
        <v>20.76</v>
      </c>
      <c r="P6" s="2073">
        <f t="shared" ref="P6:P59" si="4">R6-Q6</f>
        <v>21.67</v>
      </c>
      <c r="Q6" s="2074">
        <v>0</v>
      </c>
      <c r="R6" s="3080">
        <f>E6*$AO6/1000000</f>
        <v>21.67</v>
      </c>
      <c r="S6" s="2010">
        <v>0</v>
      </c>
      <c r="T6" s="2075">
        <f t="shared" ref="T6:T59" si="5">V6-U6</f>
        <v>22.14</v>
      </c>
      <c r="U6" s="2072">
        <v>0</v>
      </c>
      <c r="V6" s="3080">
        <f>F6*$AO6/1000000</f>
        <v>22.14</v>
      </c>
      <c r="W6" s="3090">
        <v>0</v>
      </c>
      <c r="X6" s="2071">
        <f t="shared" ref="X6:X59" si="6">Z6-Y6</f>
        <v>22.26</v>
      </c>
      <c r="Y6" s="2072">
        <v>0</v>
      </c>
      <c r="Z6" s="3080">
        <f>G6*$AO6/1000000</f>
        <v>22.26</v>
      </c>
      <c r="AA6" s="2010">
        <v>0</v>
      </c>
      <c r="AB6" s="2075">
        <f t="shared" ref="AB6:AB59" si="7">AD6-AC6</f>
        <v>22.27</v>
      </c>
      <c r="AC6" s="2072">
        <v>0</v>
      </c>
      <c r="AD6" s="3080">
        <f>H6*$AO6/1000000</f>
        <v>22.27</v>
      </c>
      <c r="AE6" s="2010">
        <v>0</v>
      </c>
      <c r="AF6" s="2075">
        <f t="shared" ref="AF6:AF59" si="8">AH6-AG6</f>
        <v>22.32</v>
      </c>
      <c r="AG6" s="2074">
        <v>0</v>
      </c>
      <c r="AH6" s="3080">
        <f>I6*$AO6/1000000</f>
        <v>22.32</v>
      </c>
      <c r="AI6" s="2010">
        <v>0</v>
      </c>
      <c r="AJ6" s="2075">
        <f t="shared" si="0"/>
        <v>22.34</v>
      </c>
      <c r="AK6" s="2074">
        <v>0</v>
      </c>
      <c r="AL6" s="3080">
        <f>J6*AO6/1000000</f>
        <v>22.34</v>
      </c>
      <c r="AM6" s="3090">
        <v>0</v>
      </c>
      <c r="AN6" s="229">
        <f t="shared" si="1"/>
        <v>0.08</v>
      </c>
      <c r="AO6" s="2076">
        <f>'Table 5a'!P5</f>
        <v>114</v>
      </c>
      <c r="AP6" s="2075">
        <f t="shared" ref="AP6:AP59" si="9">AR6-AQ6</f>
        <v>23.68</v>
      </c>
      <c r="AQ6" s="2074">
        <f>AG6</f>
        <v>0</v>
      </c>
      <c r="AR6" s="3080">
        <f t="shared" ref="AR6:AR9" si="10">AL6*1.06</f>
        <v>23.68</v>
      </c>
      <c r="AS6" s="3090">
        <v>0</v>
      </c>
      <c r="AU6" s="741">
        <f t="shared" ref="AU6:AU71" si="11">J6-D6</f>
        <v>12168</v>
      </c>
      <c r="AV6" s="2077">
        <f t="shared" ref="AV6:AV71" si="12">AL6-O6</f>
        <v>1.58</v>
      </c>
    </row>
    <row r="7" spans="1:48">
      <c r="A7" s="3275"/>
      <c r="B7" s="1859" t="s">
        <v>97</v>
      </c>
      <c r="C7" s="1952">
        <v>11343</v>
      </c>
      <c r="D7" s="391">
        <f>'Table 5a'!L6</f>
        <v>620</v>
      </c>
      <c r="E7" s="2078">
        <v>620</v>
      </c>
      <c r="F7" s="1038">
        <v>654</v>
      </c>
      <c r="G7" s="1038">
        <v>654</v>
      </c>
      <c r="H7" s="1038">
        <v>654</v>
      </c>
      <c r="I7" s="2079">
        <v>654</v>
      </c>
      <c r="J7" s="2079">
        <v>654</v>
      </c>
      <c r="K7" s="2070">
        <v>665</v>
      </c>
      <c r="L7" s="300">
        <f t="shared" si="2"/>
        <v>0.05</v>
      </c>
      <c r="M7" s="2071">
        <f t="shared" si="3"/>
        <v>0.09</v>
      </c>
      <c r="N7" s="2072">
        <v>0</v>
      </c>
      <c r="O7" s="633">
        <f>'Table 5a'!G6</f>
        <v>0.09</v>
      </c>
      <c r="P7" s="2073">
        <f t="shared" si="4"/>
        <v>0.1</v>
      </c>
      <c r="Q7" s="2074">
        <v>0</v>
      </c>
      <c r="R7" s="3080">
        <f>E7*$AO7/1000000</f>
        <v>0.1</v>
      </c>
      <c r="S7" s="2010">
        <v>0</v>
      </c>
      <c r="T7" s="2075">
        <f t="shared" si="5"/>
        <v>0.11</v>
      </c>
      <c r="U7" s="2072">
        <v>0</v>
      </c>
      <c r="V7" s="3080">
        <f>F7*$AO7/1000000</f>
        <v>0.11</v>
      </c>
      <c r="W7" s="3090">
        <v>0</v>
      </c>
      <c r="X7" s="2071">
        <f t="shared" si="6"/>
        <v>0.11</v>
      </c>
      <c r="Y7" s="2072">
        <v>0</v>
      </c>
      <c r="Z7" s="3080">
        <f>G7*$AO7/1000000</f>
        <v>0.11</v>
      </c>
      <c r="AA7" s="2010">
        <v>0</v>
      </c>
      <c r="AB7" s="2075">
        <f t="shared" si="7"/>
        <v>0.11</v>
      </c>
      <c r="AC7" s="2072">
        <v>0</v>
      </c>
      <c r="AD7" s="3080">
        <f>H7*$AO7/1000000</f>
        <v>0.11</v>
      </c>
      <c r="AE7" s="2010">
        <v>0</v>
      </c>
      <c r="AF7" s="2075">
        <f t="shared" si="8"/>
        <v>0.11</v>
      </c>
      <c r="AG7" s="2074">
        <v>0</v>
      </c>
      <c r="AH7" s="3080">
        <f>I7*$AO7/1000000</f>
        <v>0.11</v>
      </c>
      <c r="AI7" s="2010">
        <v>0</v>
      </c>
      <c r="AJ7" s="2075">
        <f t="shared" si="0"/>
        <v>0.11</v>
      </c>
      <c r="AK7" s="2074">
        <v>0</v>
      </c>
      <c r="AL7" s="3080">
        <f>J7*AO7/1000000</f>
        <v>0.11</v>
      </c>
      <c r="AM7" s="2259">
        <v>0</v>
      </c>
      <c r="AN7" s="229">
        <f t="shared" si="1"/>
        <v>0.22</v>
      </c>
      <c r="AO7" s="2076">
        <f>'Table 5a'!P6</f>
        <v>161</v>
      </c>
      <c r="AP7" s="2075">
        <f t="shared" si="9"/>
        <v>0.12</v>
      </c>
      <c r="AQ7" s="2074">
        <f>AG7</f>
        <v>0</v>
      </c>
      <c r="AR7" s="3080">
        <f t="shared" si="10"/>
        <v>0.12</v>
      </c>
      <c r="AS7" s="3090">
        <v>0</v>
      </c>
      <c r="AU7" s="1076">
        <f t="shared" si="11"/>
        <v>34</v>
      </c>
      <c r="AV7" s="2077">
        <f t="shared" si="12"/>
        <v>0.02</v>
      </c>
    </row>
    <row r="8" spans="1:48">
      <c r="A8" s="3275"/>
      <c r="B8" s="1859" t="s">
        <v>98</v>
      </c>
      <c r="C8" s="1952">
        <v>11356</v>
      </c>
      <c r="D8" s="391">
        <f>'Table 5a'!L7</f>
        <v>824</v>
      </c>
      <c r="E8" s="2055">
        <v>824</v>
      </c>
      <c r="F8" s="1038">
        <v>824</v>
      </c>
      <c r="G8" s="1038">
        <v>1073</v>
      </c>
      <c r="H8" s="1038">
        <v>1073</v>
      </c>
      <c r="I8" s="2079">
        <v>1073</v>
      </c>
      <c r="J8" s="2079">
        <v>1073</v>
      </c>
      <c r="K8" s="2070">
        <v>1330</v>
      </c>
      <c r="L8" s="300">
        <f t="shared" si="2"/>
        <v>0.3</v>
      </c>
      <c r="M8" s="2071">
        <f t="shared" si="3"/>
        <v>0.06</v>
      </c>
      <c r="N8" s="2072">
        <v>0</v>
      </c>
      <c r="O8" s="633">
        <f>'Table 5a'!G7</f>
        <v>0.06</v>
      </c>
      <c r="P8" s="2073">
        <f t="shared" si="4"/>
        <v>0.06</v>
      </c>
      <c r="Q8" s="2074">
        <v>0</v>
      </c>
      <c r="R8" s="3080">
        <f>E8*$AO8/1000000</f>
        <v>0.06</v>
      </c>
      <c r="S8" s="2010">
        <v>0</v>
      </c>
      <c r="T8" s="2075">
        <f t="shared" si="5"/>
        <v>0.06</v>
      </c>
      <c r="U8" s="2072">
        <v>0</v>
      </c>
      <c r="V8" s="3080">
        <f>F8*$AO8/1000000</f>
        <v>0.06</v>
      </c>
      <c r="W8" s="3090">
        <v>0</v>
      </c>
      <c r="X8" s="2071">
        <f t="shared" si="6"/>
        <v>0.08</v>
      </c>
      <c r="Y8" s="2072">
        <v>0</v>
      </c>
      <c r="Z8" s="3080">
        <f>G8*$AO8/1000000</f>
        <v>0.08</v>
      </c>
      <c r="AA8" s="2010">
        <v>0</v>
      </c>
      <c r="AB8" s="2075">
        <f t="shared" si="7"/>
        <v>0.08</v>
      </c>
      <c r="AC8" s="2072">
        <v>0</v>
      </c>
      <c r="AD8" s="3080">
        <f>H8*$AO8/1000000</f>
        <v>0.08</v>
      </c>
      <c r="AE8" s="2010">
        <v>0</v>
      </c>
      <c r="AF8" s="2075">
        <f t="shared" si="8"/>
        <v>0.08</v>
      </c>
      <c r="AG8" s="2074">
        <v>0</v>
      </c>
      <c r="AH8" s="3080">
        <f>I8*$AO8/1000000</f>
        <v>0.08</v>
      </c>
      <c r="AI8" s="2010">
        <v>0</v>
      </c>
      <c r="AJ8" s="2075">
        <f t="shared" si="0"/>
        <v>0.08</v>
      </c>
      <c r="AK8" s="2074">
        <v>0</v>
      </c>
      <c r="AL8" s="3080">
        <f>J8*AO8/1000000</f>
        <v>0.08</v>
      </c>
      <c r="AM8" s="2259">
        <v>0</v>
      </c>
      <c r="AN8" s="229">
        <f t="shared" si="1"/>
        <v>0.33</v>
      </c>
      <c r="AO8" s="2076">
        <f>'Table 5a'!P7</f>
        <v>71</v>
      </c>
      <c r="AP8" s="2075">
        <f t="shared" si="9"/>
        <v>0.08</v>
      </c>
      <c r="AQ8" s="2074">
        <f>AG8</f>
        <v>0</v>
      </c>
      <c r="AR8" s="3080">
        <f t="shared" si="10"/>
        <v>0.08</v>
      </c>
      <c r="AS8" s="2067">
        <v>0</v>
      </c>
      <c r="AU8" s="1076">
        <f t="shared" si="11"/>
        <v>249</v>
      </c>
      <c r="AV8" s="2077">
        <f t="shared" si="12"/>
        <v>0.02</v>
      </c>
    </row>
    <row r="9" spans="1:48" ht="13.5" thickBot="1">
      <c r="A9" s="3275"/>
      <c r="B9" s="1860" t="s">
        <v>99</v>
      </c>
      <c r="C9" s="2080" t="s">
        <v>100</v>
      </c>
      <c r="D9" s="1010">
        <f>'Table 5a'!L8</f>
        <v>1266</v>
      </c>
      <c r="E9" s="95">
        <v>1205</v>
      </c>
      <c r="F9" s="742">
        <v>1227</v>
      </c>
      <c r="G9" s="742">
        <v>1227</v>
      </c>
      <c r="H9" s="742">
        <v>1227</v>
      </c>
      <c r="I9" s="2081">
        <v>1227</v>
      </c>
      <c r="J9" s="2081">
        <v>1227</v>
      </c>
      <c r="K9" s="2082">
        <v>2037</v>
      </c>
      <c r="L9" s="216">
        <f t="shared" si="2"/>
        <v>-0.03</v>
      </c>
      <c r="M9" s="2083">
        <f t="shared" si="3"/>
        <v>0.09</v>
      </c>
      <c r="N9" s="2084">
        <v>0</v>
      </c>
      <c r="O9" s="51">
        <f>'Table 5a'!G8</f>
        <v>0.09</v>
      </c>
      <c r="P9" s="2085">
        <f t="shared" si="4"/>
        <v>0.09</v>
      </c>
      <c r="Q9" s="2086">
        <v>0</v>
      </c>
      <c r="R9" s="3078">
        <f>E9*$AO9/1000000</f>
        <v>0.09</v>
      </c>
      <c r="S9" s="2042">
        <v>0</v>
      </c>
      <c r="T9" s="2087">
        <f t="shared" si="5"/>
        <v>0.09</v>
      </c>
      <c r="U9" s="2084">
        <v>0</v>
      </c>
      <c r="V9" s="3078">
        <f>F9*$AO9/1000000</f>
        <v>0.09</v>
      </c>
      <c r="W9" s="3091">
        <v>0</v>
      </c>
      <c r="X9" s="2083">
        <f t="shared" si="6"/>
        <v>0.09</v>
      </c>
      <c r="Y9" s="2084">
        <v>0</v>
      </c>
      <c r="Z9" s="3078">
        <f>G9*$AO9/1000000</f>
        <v>0.09</v>
      </c>
      <c r="AA9" s="2042">
        <v>0</v>
      </c>
      <c r="AB9" s="2087">
        <f t="shared" si="7"/>
        <v>0.09</v>
      </c>
      <c r="AC9" s="2084">
        <v>0</v>
      </c>
      <c r="AD9" s="3078">
        <f>H9*$AO9/1000000</f>
        <v>0.09</v>
      </c>
      <c r="AE9" s="2042">
        <v>0</v>
      </c>
      <c r="AF9" s="2087">
        <f t="shared" si="8"/>
        <v>0.09</v>
      </c>
      <c r="AG9" s="2086">
        <v>0</v>
      </c>
      <c r="AH9" s="3078">
        <f>I9*$AO9/1000000</f>
        <v>0.09</v>
      </c>
      <c r="AI9" s="2042">
        <v>0</v>
      </c>
      <c r="AJ9" s="2087">
        <f t="shared" si="0"/>
        <v>0.09</v>
      </c>
      <c r="AK9" s="2086">
        <v>0</v>
      </c>
      <c r="AL9" s="3078">
        <f>J9*AO9/1000000</f>
        <v>0.09</v>
      </c>
      <c r="AM9" s="2043">
        <v>0</v>
      </c>
      <c r="AN9" s="216">
        <f t="shared" si="1"/>
        <v>0</v>
      </c>
      <c r="AO9" s="2088">
        <f>'Table 5a'!P8</f>
        <v>74</v>
      </c>
      <c r="AP9" s="2087">
        <f t="shared" si="9"/>
        <v>0.1</v>
      </c>
      <c r="AQ9" s="2086">
        <f>AG9</f>
        <v>0</v>
      </c>
      <c r="AR9" s="3078">
        <f t="shared" si="10"/>
        <v>0.1</v>
      </c>
      <c r="AS9" s="3093">
        <v>0</v>
      </c>
      <c r="AU9" s="1849">
        <f t="shared" si="11"/>
        <v>-39</v>
      </c>
      <c r="AV9" s="2089">
        <f t="shared" si="12"/>
        <v>0</v>
      </c>
    </row>
    <row r="10" spans="1:48" ht="14.25" thickTop="1" thickBot="1">
      <c r="A10" s="3276"/>
      <c r="B10" s="3277" t="s">
        <v>101</v>
      </c>
      <c r="C10" s="3278"/>
      <c r="D10" s="304">
        <f t="shared" ref="D10:J10" si="13">SUM(D5:D9)</f>
        <v>187980</v>
      </c>
      <c r="E10" s="2090">
        <f t="shared" si="13"/>
        <v>194225</v>
      </c>
      <c r="F10" s="274">
        <f t="shared" si="13"/>
        <v>198455</v>
      </c>
      <c r="G10" s="274">
        <f t="shared" si="13"/>
        <v>200386</v>
      </c>
      <c r="H10" s="274">
        <f t="shared" si="13"/>
        <v>200475</v>
      </c>
      <c r="I10" s="2091">
        <f t="shared" si="13"/>
        <v>201157</v>
      </c>
      <c r="J10" s="2091">
        <f t="shared" si="13"/>
        <v>201310</v>
      </c>
      <c r="K10" s="2092">
        <f>SUM(K5:K9)</f>
        <v>254036</v>
      </c>
      <c r="L10" s="217">
        <f t="shared" si="2"/>
        <v>7.0000000000000007E-2</v>
      </c>
      <c r="M10" s="2093">
        <f t="shared" si="3"/>
        <v>21.14</v>
      </c>
      <c r="N10" s="2094">
        <f>SUM(N5:N9)</f>
        <v>0</v>
      </c>
      <c r="O10" s="647">
        <f t="shared" ref="O10" si="14">SUM(O5:O9)</f>
        <v>21.14</v>
      </c>
      <c r="P10" s="2095">
        <f t="shared" si="4"/>
        <v>22.05</v>
      </c>
      <c r="Q10" s="2096">
        <f t="shared" ref="Q10:AL10" si="15">SUM(Q5:Q9)</f>
        <v>0</v>
      </c>
      <c r="R10" s="3109">
        <f t="shared" si="15"/>
        <v>22.05</v>
      </c>
      <c r="S10" s="2097">
        <f>SUM(S5:S9)</f>
        <v>0</v>
      </c>
      <c r="T10" s="2098">
        <f t="shared" si="5"/>
        <v>22.53</v>
      </c>
      <c r="U10" s="2094">
        <f t="shared" ref="U10" si="16">SUM(U5:U9)</f>
        <v>0</v>
      </c>
      <c r="V10" s="3083">
        <f t="shared" si="15"/>
        <v>22.53</v>
      </c>
      <c r="W10" s="3092">
        <f>SUM(W5:W9)</f>
        <v>0</v>
      </c>
      <c r="X10" s="2093">
        <f t="shared" si="6"/>
        <v>22.73</v>
      </c>
      <c r="Y10" s="2094">
        <f t="shared" ref="Y10" si="17">SUM(Y5:Y9)</f>
        <v>0</v>
      </c>
      <c r="Z10" s="2100">
        <f t="shared" si="15"/>
        <v>22.73</v>
      </c>
      <c r="AA10" s="3092">
        <f>SUM(AA5:AA9)</f>
        <v>0</v>
      </c>
      <c r="AB10" s="2098">
        <f t="shared" si="7"/>
        <v>22.74</v>
      </c>
      <c r="AC10" s="2094">
        <f t="shared" ref="AC10" si="18">SUM(AC5:AC9)</f>
        <v>0</v>
      </c>
      <c r="AD10" s="3109">
        <f t="shared" si="15"/>
        <v>22.74</v>
      </c>
      <c r="AE10" s="2097">
        <f>SUM(AE5:AE9)</f>
        <v>0</v>
      </c>
      <c r="AF10" s="2098">
        <f t="shared" si="8"/>
        <v>22.81</v>
      </c>
      <c r="AG10" s="2096">
        <f t="shared" ref="AG10" si="19">SUM(AG5:AG9)</f>
        <v>0</v>
      </c>
      <c r="AH10" s="3109">
        <f t="shared" si="15"/>
        <v>22.81</v>
      </c>
      <c r="AI10" s="2097">
        <f>SUM(AI5:AI9)</f>
        <v>0</v>
      </c>
      <c r="AJ10" s="2098">
        <f t="shared" ref="AJ10:AJ15" si="20">AL10-AK10</f>
        <v>22.83</v>
      </c>
      <c r="AK10" s="2096">
        <f t="shared" ref="AK10" si="21">SUM(AK5:AK9)</f>
        <v>0</v>
      </c>
      <c r="AL10" s="3109">
        <f t="shared" si="15"/>
        <v>22.83</v>
      </c>
      <c r="AM10" s="2101">
        <f>SUM(AM5:AM9)</f>
        <v>0</v>
      </c>
      <c r="AN10" s="298">
        <f t="shared" si="1"/>
        <v>0.08</v>
      </c>
      <c r="AO10" s="3027" t="s">
        <v>16</v>
      </c>
      <c r="AP10" s="2098">
        <f t="shared" si="9"/>
        <v>24.2</v>
      </c>
      <c r="AQ10" s="2096">
        <f>SUM(AQ5:AQ9)</f>
        <v>0</v>
      </c>
      <c r="AR10" s="3109">
        <f t="shared" ref="AR10" si="22">SUM(AR5:AR9)</f>
        <v>24.2</v>
      </c>
      <c r="AS10" s="3092">
        <f>SUM(AS5:AS9)</f>
        <v>0</v>
      </c>
      <c r="AU10" s="739">
        <f t="shared" si="11"/>
        <v>13330</v>
      </c>
      <c r="AV10" s="2102">
        <f t="shared" si="12"/>
        <v>1.69</v>
      </c>
    </row>
    <row r="11" spans="1:48">
      <c r="A11" s="3275" t="s">
        <v>102</v>
      </c>
      <c r="B11" s="1859" t="s">
        <v>103</v>
      </c>
      <c r="C11" s="1952">
        <v>216450</v>
      </c>
      <c r="D11" s="391">
        <f>'Table 5a'!L10</f>
        <v>4251</v>
      </c>
      <c r="E11" s="2078">
        <v>4757</v>
      </c>
      <c r="F11" s="1038">
        <v>4915</v>
      </c>
      <c r="G11" s="1038">
        <v>5078</v>
      </c>
      <c r="H11" s="1038">
        <v>5247</v>
      </c>
      <c r="I11" s="2079">
        <v>5421</v>
      </c>
      <c r="J11" s="2079">
        <v>5601</v>
      </c>
      <c r="K11" s="2070">
        <v>15186</v>
      </c>
      <c r="L11" s="300">
        <f t="shared" si="2"/>
        <v>0.32</v>
      </c>
      <c r="M11" s="2071">
        <f t="shared" si="3"/>
        <v>0.52</v>
      </c>
      <c r="N11" s="2072">
        <v>0</v>
      </c>
      <c r="O11" s="633">
        <f>'Table 5a'!G10</f>
        <v>0.52</v>
      </c>
      <c r="P11" s="2073">
        <f t="shared" si="4"/>
        <v>0.59</v>
      </c>
      <c r="Q11" s="2074">
        <v>0</v>
      </c>
      <c r="R11" s="3079">
        <f>E11*$AO11/1000000</f>
        <v>0.59</v>
      </c>
      <c r="S11" s="2010">
        <v>0</v>
      </c>
      <c r="T11" s="2075">
        <f t="shared" si="5"/>
        <v>0.6</v>
      </c>
      <c r="U11" s="2072">
        <v>0</v>
      </c>
      <c r="V11" s="3079">
        <f>F11*$AO11/1000000</f>
        <v>0.6</v>
      </c>
      <c r="W11" s="3090">
        <v>0</v>
      </c>
      <c r="X11" s="2071">
        <f t="shared" si="6"/>
        <v>0.62</v>
      </c>
      <c r="Y11" s="2072">
        <v>0</v>
      </c>
      <c r="Z11" s="3079">
        <f>G11*$AO11/1000000</f>
        <v>0.62</v>
      </c>
      <c r="AA11" s="2010">
        <v>0</v>
      </c>
      <c r="AB11" s="2075">
        <f t="shared" si="7"/>
        <v>0.65</v>
      </c>
      <c r="AC11" s="2072">
        <v>0</v>
      </c>
      <c r="AD11" s="3080">
        <f>H11*$AO11/1000000</f>
        <v>0.65</v>
      </c>
      <c r="AE11" s="2010">
        <v>0</v>
      </c>
      <c r="AF11" s="2075">
        <f t="shared" si="8"/>
        <v>0.67</v>
      </c>
      <c r="AG11" s="2074">
        <v>0</v>
      </c>
      <c r="AH11" s="3080">
        <f>I11*$AO11/1000000</f>
        <v>0.67</v>
      </c>
      <c r="AI11" s="2010">
        <v>0</v>
      </c>
      <c r="AJ11" s="2075">
        <f t="shared" si="20"/>
        <v>0.69</v>
      </c>
      <c r="AK11" s="2074">
        <v>0</v>
      </c>
      <c r="AL11" s="3079">
        <f>J11*AO11/1000000</f>
        <v>0.69</v>
      </c>
      <c r="AM11" s="2259">
        <v>0</v>
      </c>
      <c r="AN11" s="229">
        <f t="shared" si="1"/>
        <v>0.33</v>
      </c>
      <c r="AO11" s="2076">
        <f>'Table 5a'!P10</f>
        <v>123</v>
      </c>
      <c r="AP11" s="2075">
        <f>AR11-AQ11</f>
        <v>0.73</v>
      </c>
      <c r="AQ11" s="2074">
        <f>AG11</f>
        <v>0</v>
      </c>
      <c r="AR11" s="3080">
        <f t="shared" ref="AR11:AR15" si="23">AL11*1.06</f>
        <v>0.73</v>
      </c>
      <c r="AS11" s="3094">
        <v>0</v>
      </c>
      <c r="AU11" s="1076">
        <f t="shared" si="11"/>
        <v>1350</v>
      </c>
      <c r="AV11" s="2077">
        <f t="shared" si="12"/>
        <v>0.17</v>
      </c>
    </row>
    <row r="12" spans="1:48">
      <c r="A12" s="3275"/>
      <c r="B12" s="1859" t="s">
        <v>104</v>
      </c>
      <c r="C12" s="1952">
        <v>216647</v>
      </c>
      <c r="D12" s="391">
        <f>'Table 5a'!L11</f>
        <v>1273</v>
      </c>
      <c r="E12" s="2078">
        <v>1304</v>
      </c>
      <c r="F12" s="1038">
        <v>1304</v>
      </c>
      <c r="G12" s="1038">
        <v>1304</v>
      </c>
      <c r="H12" s="1038">
        <v>1304</v>
      </c>
      <c r="I12" s="2079">
        <v>1576</v>
      </c>
      <c r="J12" s="2079">
        <v>1576</v>
      </c>
      <c r="K12" s="2070">
        <v>6303</v>
      </c>
      <c r="L12" s="300">
        <f t="shared" si="2"/>
        <v>0.24</v>
      </c>
      <c r="M12" s="2071">
        <f t="shared" si="3"/>
        <v>0.14000000000000001</v>
      </c>
      <c r="N12" s="2072">
        <v>0</v>
      </c>
      <c r="O12" s="633">
        <f>'Table 5a'!G11</f>
        <v>0.14000000000000001</v>
      </c>
      <c r="P12" s="2073">
        <f t="shared" si="4"/>
        <v>0.12</v>
      </c>
      <c r="Q12" s="2074">
        <v>0</v>
      </c>
      <c r="R12" s="3080">
        <f>E12*$AO12/1000000</f>
        <v>0.12</v>
      </c>
      <c r="S12" s="2010">
        <v>0</v>
      </c>
      <c r="T12" s="2075">
        <f t="shared" si="5"/>
        <v>0.12</v>
      </c>
      <c r="U12" s="2072">
        <v>0</v>
      </c>
      <c r="V12" s="3080">
        <f>F12*$AO12/1000000</f>
        <v>0.12</v>
      </c>
      <c r="W12" s="3090">
        <v>0</v>
      </c>
      <c r="X12" s="2071">
        <f t="shared" si="6"/>
        <v>0.12</v>
      </c>
      <c r="Y12" s="2072">
        <v>0</v>
      </c>
      <c r="Z12" s="3080">
        <f>G12*$AO12/1000000</f>
        <v>0.12</v>
      </c>
      <c r="AA12" s="2010">
        <v>0</v>
      </c>
      <c r="AB12" s="2075">
        <f t="shared" si="7"/>
        <v>0.12</v>
      </c>
      <c r="AC12" s="2072">
        <v>0</v>
      </c>
      <c r="AD12" s="3080">
        <f>H12*$AO12/1000000</f>
        <v>0.12</v>
      </c>
      <c r="AE12" s="2010">
        <v>0</v>
      </c>
      <c r="AF12" s="2075">
        <f t="shared" si="8"/>
        <v>0.15</v>
      </c>
      <c r="AG12" s="2074">
        <v>0</v>
      </c>
      <c r="AH12" s="3080">
        <f>I12*$AO12/1000000</f>
        <v>0.15</v>
      </c>
      <c r="AI12" s="2010">
        <v>0</v>
      </c>
      <c r="AJ12" s="2075">
        <f t="shared" si="20"/>
        <v>0.15</v>
      </c>
      <c r="AK12" s="2074">
        <v>0</v>
      </c>
      <c r="AL12" s="3080">
        <f>J12*AO12/1000000</f>
        <v>0.15</v>
      </c>
      <c r="AM12" s="2259">
        <v>0</v>
      </c>
      <c r="AN12" s="229">
        <f t="shared" si="1"/>
        <v>7.0000000000000007E-2</v>
      </c>
      <c r="AO12" s="2076">
        <f>'Table 5a'!P11</f>
        <v>95</v>
      </c>
      <c r="AP12" s="2075">
        <f>AR12-AQ12</f>
        <v>0.16</v>
      </c>
      <c r="AQ12" s="2074">
        <f>AG12</f>
        <v>0</v>
      </c>
      <c r="AR12" s="3080">
        <f t="shared" si="23"/>
        <v>0.16</v>
      </c>
      <c r="AS12" s="3093">
        <v>0</v>
      </c>
      <c r="AU12" s="1076">
        <f t="shared" si="11"/>
        <v>303</v>
      </c>
      <c r="AV12" s="2077">
        <f t="shared" si="12"/>
        <v>0.01</v>
      </c>
    </row>
    <row r="13" spans="1:48">
      <c r="A13" s="3275"/>
      <c r="B13" s="1859" t="s">
        <v>105</v>
      </c>
      <c r="C13" s="1952">
        <v>216833</v>
      </c>
      <c r="D13" s="391">
        <f>'Table 5a'!L12</f>
        <v>5684</v>
      </c>
      <c r="E13" s="2078">
        <v>6221</v>
      </c>
      <c r="F13" s="1038">
        <v>6221</v>
      </c>
      <c r="G13" s="1038">
        <v>7213</v>
      </c>
      <c r="H13" s="1038">
        <v>7230</v>
      </c>
      <c r="I13" s="2079">
        <v>7230</v>
      </c>
      <c r="J13" s="2079">
        <v>7230</v>
      </c>
      <c r="K13" s="2070">
        <v>14137</v>
      </c>
      <c r="L13" s="300">
        <f t="shared" si="2"/>
        <v>0.27</v>
      </c>
      <c r="M13" s="2071">
        <f t="shared" si="3"/>
        <v>0.46</v>
      </c>
      <c r="N13" s="2072">
        <v>0</v>
      </c>
      <c r="O13" s="633">
        <f>'Table 5a'!G12</f>
        <v>0.46</v>
      </c>
      <c r="P13" s="2073">
        <f t="shared" si="4"/>
        <v>0.52</v>
      </c>
      <c r="Q13" s="2074">
        <v>0</v>
      </c>
      <c r="R13" s="3080">
        <f>E13*$AO13/1000000</f>
        <v>0.52</v>
      </c>
      <c r="S13" s="2010">
        <v>0</v>
      </c>
      <c r="T13" s="2075">
        <f t="shared" si="5"/>
        <v>0.52</v>
      </c>
      <c r="U13" s="2072">
        <v>0</v>
      </c>
      <c r="V13" s="3080">
        <f>F13*$AO13/1000000</f>
        <v>0.52</v>
      </c>
      <c r="W13" s="3090">
        <v>0</v>
      </c>
      <c r="X13" s="2071">
        <f t="shared" si="6"/>
        <v>0.61</v>
      </c>
      <c r="Y13" s="2072">
        <v>0</v>
      </c>
      <c r="Z13" s="3080">
        <f>G13*$AO13/1000000</f>
        <v>0.61</v>
      </c>
      <c r="AA13" s="2010">
        <v>0</v>
      </c>
      <c r="AB13" s="2075">
        <f t="shared" si="7"/>
        <v>0.61</v>
      </c>
      <c r="AC13" s="2072">
        <v>0</v>
      </c>
      <c r="AD13" s="3080">
        <f>H13*$AO13/1000000</f>
        <v>0.61</v>
      </c>
      <c r="AE13" s="2010">
        <v>0</v>
      </c>
      <c r="AF13" s="2075">
        <f t="shared" si="8"/>
        <v>0.61</v>
      </c>
      <c r="AG13" s="2074">
        <v>0</v>
      </c>
      <c r="AH13" s="3080">
        <f>I13*$AO13/1000000</f>
        <v>0.61</v>
      </c>
      <c r="AI13" s="2010">
        <v>0</v>
      </c>
      <c r="AJ13" s="2075">
        <f t="shared" si="20"/>
        <v>0.61</v>
      </c>
      <c r="AK13" s="2074">
        <v>0</v>
      </c>
      <c r="AL13" s="3080">
        <f>J13*AO13/1000000</f>
        <v>0.61</v>
      </c>
      <c r="AM13" s="2259">
        <v>0</v>
      </c>
      <c r="AN13" s="229">
        <f t="shared" si="1"/>
        <v>0.33</v>
      </c>
      <c r="AO13" s="2076">
        <f>'Table 5a'!P12</f>
        <v>84</v>
      </c>
      <c r="AP13" s="2075">
        <f>AR13-AQ13</f>
        <v>0.65</v>
      </c>
      <c r="AQ13" s="2074">
        <f>AG13</f>
        <v>0</v>
      </c>
      <c r="AR13" s="3080">
        <f t="shared" si="23"/>
        <v>0.65</v>
      </c>
      <c r="AS13" s="3093">
        <v>0</v>
      </c>
      <c r="AU13" s="1076">
        <f t="shared" si="11"/>
        <v>1546</v>
      </c>
      <c r="AV13" s="2077">
        <f t="shared" si="12"/>
        <v>0.15</v>
      </c>
    </row>
    <row r="14" spans="1:48">
      <c r="A14" s="3275"/>
      <c r="B14" s="2103" t="s">
        <v>106</v>
      </c>
      <c r="C14" s="2104">
        <v>217300</v>
      </c>
      <c r="D14" s="2105">
        <f>'Table 5a'!L13</f>
        <v>947</v>
      </c>
      <c r="E14" s="2106">
        <v>960</v>
      </c>
      <c r="F14" s="2107">
        <v>960</v>
      </c>
      <c r="G14" s="2107">
        <v>1230</v>
      </c>
      <c r="H14" s="2107">
        <v>1230</v>
      </c>
      <c r="I14" s="2108">
        <v>1230</v>
      </c>
      <c r="J14" s="2108">
        <v>1230</v>
      </c>
      <c r="K14" s="2109">
        <v>3654</v>
      </c>
      <c r="L14" s="996">
        <f t="shared" si="2"/>
        <v>0.3</v>
      </c>
      <c r="M14" s="2110">
        <f t="shared" si="3"/>
        <v>0.06</v>
      </c>
      <c r="N14" s="2111">
        <v>0</v>
      </c>
      <c r="O14" s="632">
        <f>'Table 5a'!G13</f>
        <v>0.06</v>
      </c>
      <c r="P14" s="2112">
        <f t="shared" si="4"/>
        <v>7.0000000000000007E-2</v>
      </c>
      <c r="Q14" s="2113">
        <v>0</v>
      </c>
      <c r="R14" s="3084">
        <f>E14*$AO14/1000000</f>
        <v>7.0000000000000007E-2</v>
      </c>
      <c r="S14" s="2024">
        <v>0</v>
      </c>
      <c r="T14" s="2114">
        <f t="shared" si="5"/>
        <v>7.0000000000000007E-2</v>
      </c>
      <c r="U14" s="2111">
        <v>0</v>
      </c>
      <c r="V14" s="3084">
        <f>F14*$AO14/1000000</f>
        <v>7.0000000000000007E-2</v>
      </c>
      <c r="W14" s="3093">
        <v>0</v>
      </c>
      <c r="X14" s="2110">
        <f t="shared" si="6"/>
        <v>0.09</v>
      </c>
      <c r="Y14" s="2111">
        <v>0</v>
      </c>
      <c r="Z14" s="3084">
        <f>G14*$AO14/1000000</f>
        <v>0.09</v>
      </c>
      <c r="AA14" s="2024">
        <v>0</v>
      </c>
      <c r="AB14" s="2114">
        <f t="shared" si="7"/>
        <v>0.09</v>
      </c>
      <c r="AC14" s="2111">
        <v>0</v>
      </c>
      <c r="AD14" s="3084">
        <f>H14*$AO14/1000000</f>
        <v>0.09</v>
      </c>
      <c r="AE14" s="2024">
        <v>0</v>
      </c>
      <c r="AF14" s="2114">
        <f t="shared" si="8"/>
        <v>0.09</v>
      </c>
      <c r="AG14" s="2113">
        <v>0</v>
      </c>
      <c r="AH14" s="3084">
        <f>I14*$AO14/1000000</f>
        <v>0.09</v>
      </c>
      <c r="AI14" s="2024">
        <v>0</v>
      </c>
      <c r="AJ14" s="2114">
        <f t="shared" si="20"/>
        <v>0.09</v>
      </c>
      <c r="AK14" s="2113">
        <v>0</v>
      </c>
      <c r="AL14" s="3084">
        <f>J14*AO14/1000000</f>
        <v>0.09</v>
      </c>
      <c r="AM14" s="2025">
        <v>0</v>
      </c>
      <c r="AN14" s="996">
        <f t="shared" si="1"/>
        <v>0.5</v>
      </c>
      <c r="AO14" s="2115">
        <f>'Table 5a'!P13</f>
        <v>71</v>
      </c>
      <c r="AP14" s="2114">
        <f>AR14-AQ14</f>
        <v>0.1</v>
      </c>
      <c r="AQ14" s="2113">
        <f>AG14</f>
        <v>0</v>
      </c>
      <c r="AR14" s="3084">
        <f t="shared" si="23"/>
        <v>0.1</v>
      </c>
      <c r="AS14" s="3093">
        <v>0</v>
      </c>
      <c r="AU14" s="2116">
        <f t="shared" si="11"/>
        <v>283</v>
      </c>
      <c r="AV14" s="2117">
        <f t="shared" si="12"/>
        <v>0.03</v>
      </c>
    </row>
    <row r="15" spans="1:48" ht="13.5" thickBot="1">
      <c r="A15" s="3275"/>
      <c r="B15" s="2118" t="s">
        <v>107</v>
      </c>
      <c r="C15" s="2080">
        <v>220667</v>
      </c>
      <c r="D15" s="1010">
        <f>'Table 5a'!L14</f>
        <v>9665</v>
      </c>
      <c r="E15" s="2119">
        <v>10262</v>
      </c>
      <c r="F15" s="742">
        <v>10349</v>
      </c>
      <c r="G15" s="742">
        <v>10500</v>
      </c>
      <c r="H15" s="742">
        <v>11747</v>
      </c>
      <c r="I15" s="2081">
        <v>11793</v>
      </c>
      <c r="J15" s="2081">
        <v>11925</v>
      </c>
      <c r="K15" s="2082">
        <v>49112</v>
      </c>
      <c r="L15" s="216">
        <f t="shared" si="2"/>
        <v>0.23</v>
      </c>
      <c r="M15" s="2083">
        <f t="shared" ref="M15" si="24">O15-N15</f>
        <v>1.17</v>
      </c>
      <c r="N15" s="2084">
        <v>0</v>
      </c>
      <c r="O15" s="51">
        <f>'Table 5a'!G14</f>
        <v>1.17</v>
      </c>
      <c r="P15" s="2085">
        <f t="shared" ref="P15" si="25">R15-Q15</f>
        <v>1.24</v>
      </c>
      <c r="Q15" s="2086">
        <v>0</v>
      </c>
      <c r="R15" s="3078">
        <f>E15*$AO15/1000000</f>
        <v>1.24</v>
      </c>
      <c r="S15" s="2042">
        <v>0</v>
      </c>
      <c r="T15" s="2087">
        <f t="shared" ref="T15" si="26">V15-U15</f>
        <v>1.25</v>
      </c>
      <c r="U15" s="2084">
        <v>0</v>
      </c>
      <c r="V15" s="3078">
        <f>F15*$AO15/1000000</f>
        <v>1.25</v>
      </c>
      <c r="W15" s="3091">
        <v>0</v>
      </c>
      <c r="X15" s="2083">
        <f t="shared" ref="X15" si="27">Z15-Y15</f>
        <v>1.27</v>
      </c>
      <c r="Y15" s="2084">
        <v>0</v>
      </c>
      <c r="Z15" s="3078">
        <f>G15*$AO15/1000000</f>
        <v>1.27</v>
      </c>
      <c r="AA15" s="2042">
        <v>0</v>
      </c>
      <c r="AB15" s="2087">
        <f t="shared" ref="AB15" si="28">AD15-AC15</f>
        <v>1.42</v>
      </c>
      <c r="AC15" s="2084">
        <v>0</v>
      </c>
      <c r="AD15" s="3078">
        <f>H15*$AO15/1000000</f>
        <v>1.42</v>
      </c>
      <c r="AE15" s="2042">
        <v>0</v>
      </c>
      <c r="AF15" s="2087">
        <f t="shared" ref="AF15" si="29">AH15-AG15</f>
        <v>1.43</v>
      </c>
      <c r="AG15" s="2086">
        <v>0</v>
      </c>
      <c r="AH15" s="3078">
        <f>I15*$AO15/1000000</f>
        <v>1.43</v>
      </c>
      <c r="AI15" s="2042">
        <v>0</v>
      </c>
      <c r="AJ15" s="2087">
        <f t="shared" si="20"/>
        <v>1.44</v>
      </c>
      <c r="AK15" s="2086">
        <v>0</v>
      </c>
      <c r="AL15" s="3078">
        <f>J15*AO15/1000000</f>
        <v>1.44</v>
      </c>
      <c r="AM15" s="2043">
        <v>0</v>
      </c>
      <c r="AN15" s="216">
        <f t="shared" si="1"/>
        <v>0.23</v>
      </c>
      <c r="AO15" s="2088">
        <f>'Table 5a'!P14</f>
        <v>121</v>
      </c>
      <c r="AP15" s="2087">
        <f>AR15-AQ15</f>
        <v>1.53</v>
      </c>
      <c r="AQ15" s="2086">
        <f>AG15</f>
        <v>0</v>
      </c>
      <c r="AR15" s="3078">
        <f t="shared" si="23"/>
        <v>1.53</v>
      </c>
      <c r="AS15" s="3093">
        <v>0</v>
      </c>
      <c r="AU15" s="1849">
        <f t="shared" si="11"/>
        <v>2260</v>
      </c>
      <c r="AV15" s="2089">
        <f t="shared" si="12"/>
        <v>0.27</v>
      </c>
    </row>
    <row r="16" spans="1:48" ht="14.25" thickTop="1" thickBot="1">
      <c r="A16" s="3276"/>
      <c r="B16" s="3277" t="s">
        <v>108</v>
      </c>
      <c r="C16" s="3278"/>
      <c r="D16" s="304">
        <f>SUM(D11:D15)</f>
        <v>21820</v>
      </c>
      <c r="E16" s="2120">
        <f t="shared" ref="E16:K16" si="30">SUM(E11:E15)</f>
        <v>23504</v>
      </c>
      <c r="F16" s="64">
        <f t="shared" si="30"/>
        <v>23749</v>
      </c>
      <c r="G16" s="64">
        <f t="shared" si="30"/>
        <v>25325</v>
      </c>
      <c r="H16" s="64">
        <f t="shared" si="30"/>
        <v>26758</v>
      </c>
      <c r="I16" s="2121">
        <f t="shared" si="30"/>
        <v>27250</v>
      </c>
      <c r="J16" s="2121">
        <f t="shared" si="30"/>
        <v>27562</v>
      </c>
      <c r="K16" s="2092">
        <f t="shared" si="30"/>
        <v>88392</v>
      </c>
      <c r="L16" s="217">
        <f t="shared" si="2"/>
        <v>0.26</v>
      </c>
      <c r="M16" s="2093">
        <f t="shared" si="3"/>
        <v>2.35</v>
      </c>
      <c r="N16" s="2094">
        <f>SUM(N11:N15)</f>
        <v>0</v>
      </c>
      <c r="O16" s="647">
        <f>SUM(O11:O15)</f>
        <v>2.35</v>
      </c>
      <c r="P16" s="2095">
        <f t="shared" ref="P16" si="31">R16-Q16</f>
        <v>2.54</v>
      </c>
      <c r="Q16" s="2096">
        <f t="shared" ref="Q16:R16" si="32">SUM(Q11:Q15)</f>
        <v>0</v>
      </c>
      <c r="R16" s="3109">
        <f t="shared" si="32"/>
        <v>2.54</v>
      </c>
      <c r="S16" s="2097">
        <f>SUM(S11:S15)</f>
        <v>0</v>
      </c>
      <c r="T16" s="2098">
        <f t="shared" ref="T16" si="33">V16-U16</f>
        <v>2.56</v>
      </c>
      <c r="U16" s="2094">
        <f t="shared" ref="U16:V16" si="34">SUM(U11:U15)</f>
        <v>0</v>
      </c>
      <c r="V16" s="2100">
        <f t="shared" si="34"/>
        <v>2.56</v>
      </c>
      <c r="W16" s="3092">
        <f>SUM(W11:W15)</f>
        <v>0</v>
      </c>
      <c r="X16" s="2093">
        <f t="shared" ref="X16" si="35">Z16-Y16</f>
        <v>2.71</v>
      </c>
      <c r="Y16" s="2094">
        <f t="shared" ref="Y16:Z16" si="36">SUM(Y11:Y15)</f>
        <v>0</v>
      </c>
      <c r="Z16" s="3083">
        <f t="shared" si="36"/>
        <v>2.71</v>
      </c>
      <c r="AA16" s="2097">
        <f>SUM(AA11:AA15)</f>
        <v>0</v>
      </c>
      <c r="AB16" s="2098">
        <f t="shared" ref="AB16" si="37">AD16-AC16</f>
        <v>2.89</v>
      </c>
      <c r="AC16" s="2094">
        <f t="shared" ref="AC16:AD16" si="38">SUM(AC11:AC15)</f>
        <v>0</v>
      </c>
      <c r="AD16" s="3083">
        <f t="shared" si="38"/>
        <v>2.89</v>
      </c>
      <c r="AE16" s="2097">
        <f>SUM(AE11:AE15)</f>
        <v>0</v>
      </c>
      <c r="AF16" s="2098">
        <f t="shared" ref="AF16" si="39">AH16-AG16</f>
        <v>2.95</v>
      </c>
      <c r="AG16" s="2096">
        <f t="shared" ref="AG16:AH16" si="40">SUM(AG11:AG15)</f>
        <v>0</v>
      </c>
      <c r="AH16" s="3083">
        <f t="shared" si="40"/>
        <v>2.95</v>
      </c>
      <c r="AI16" s="2097">
        <f>SUM(AI11:AI15)</f>
        <v>0</v>
      </c>
      <c r="AJ16" s="2098">
        <f t="shared" ref="AJ16:AJ18" si="41">AL16-AK16</f>
        <v>2.98</v>
      </c>
      <c r="AK16" s="2096">
        <f t="shared" ref="AK16:AL16" si="42">SUM(AK11:AK15)</f>
        <v>0</v>
      </c>
      <c r="AL16" s="3109">
        <f t="shared" si="42"/>
        <v>2.98</v>
      </c>
      <c r="AM16" s="2101">
        <f>SUM(AM11:AM15)</f>
        <v>0</v>
      </c>
      <c r="AN16" s="217">
        <f t="shared" si="1"/>
        <v>0.27</v>
      </c>
      <c r="AO16" s="3027" t="s">
        <v>16</v>
      </c>
      <c r="AP16" s="2098">
        <f t="shared" ref="AP16" si="43">AR16-AQ16</f>
        <v>3.17</v>
      </c>
      <c r="AQ16" s="2096">
        <f>SUM(AQ11:AQ15)</f>
        <v>0</v>
      </c>
      <c r="AR16" s="3109">
        <f>SUM(AR11:AR15)</f>
        <v>3.17</v>
      </c>
      <c r="AS16" s="3092">
        <f>SUM(AS11:AS15)</f>
        <v>0</v>
      </c>
      <c r="AU16" s="738">
        <f t="shared" si="11"/>
        <v>5742</v>
      </c>
      <c r="AV16" s="2102">
        <f t="shared" si="12"/>
        <v>0.63</v>
      </c>
    </row>
    <row r="17" spans="1:48">
      <c r="A17" s="3289" t="s">
        <v>109</v>
      </c>
      <c r="B17" s="63" t="s">
        <v>110</v>
      </c>
      <c r="C17" s="2122">
        <v>15</v>
      </c>
      <c r="D17" s="351">
        <f>'Table 5a'!L16</f>
        <v>6430</v>
      </c>
      <c r="E17" s="91">
        <v>6591</v>
      </c>
      <c r="F17" s="92">
        <v>6807</v>
      </c>
      <c r="G17" s="92">
        <v>7331</v>
      </c>
      <c r="H17" s="92">
        <v>7496</v>
      </c>
      <c r="I17" s="2123">
        <v>7528</v>
      </c>
      <c r="J17" s="2123">
        <v>7528</v>
      </c>
      <c r="K17" s="2124">
        <v>30803</v>
      </c>
      <c r="L17" s="218">
        <f t="shared" si="2"/>
        <v>0.17</v>
      </c>
      <c r="M17" s="2125">
        <f t="shared" si="3"/>
        <v>0.89</v>
      </c>
      <c r="N17" s="2126">
        <v>0</v>
      </c>
      <c r="O17" s="675">
        <f>'Table 5a'!G16</f>
        <v>0.89</v>
      </c>
      <c r="P17" s="2127">
        <f t="shared" si="4"/>
        <v>0.92</v>
      </c>
      <c r="Q17" s="2128">
        <v>0</v>
      </c>
      <c r="R17" s="3079">
        <f>E17*$AO17/1000000</f>
        <v>0.92</v>
      </c>
      <c r="S17" s="2129">
        <v>0</v>
      </c>
      <c r="T17" s="2130">
        <f t="shared" si="5"/>
        <v>0.95</v>
      </c>
      <c r="U17" s="2126">
        <v>0</v>
      </c>
      <c r="V17" s="3079">
        <f>F17*$AO17/1000000</f>
        <v>0.95</v>
      </c>
      <c r="W17" s="3094">
        <v>0</v>
      </c>
      <c r="X17" s="2125">
        <f t="shared" si="6"/>
        <v>1.02</v>
      </c>
      <c r="Y17" s="2126">
        <v>0</v>
      </c>
      <c r="Z17" s="3079">
        <f>G17*$AO17/1000000</f>
        <v>1.02</v>
      </c>
      <c r="AA17" s="2129">
        <v>0</v>
      </c>
      <c r="AB17" s="2130">
        <f t="shared" si="7"/>
        <v>1.04</v>
      </c>
      <c r="AC17" s="2126">
        <v>0</v>
      </c>
      <c r="AD17" s="3079">
        <f>H17*$AO17/1000000</f>
        <v>1.04</v>
      </c>
      <c r="AE17" s="2129">
        <v>0</v>
      </c>
      <c r="AF17" s="2130">
        <f t="shared" si="8"/>
        <v>1.05</v>
      </c>
      <c r="AG17" s="2128">
        <v>0</v>
      </c>
      <c r="AH17" s="3079">
        <f>I17*$AO17/1000000</f>
        <v>1.05</v>
      </c>
      <c r="AI17" s="2129">
        <v>0</v>
      </c>
      <c r="AJ17" s="2130">
        <f t="shared" si="41"/>
        <v>1.05</v>
      </c>
      <c r="AK17" s="2128">
        <v>0</v>
      </c>
      <c r="AL17" s="3079">
        <f>J17*AO17/1000000</f>
        <v>1.05</v>
      </c>
      <c r="AM17" s="2132">
        <v>0</v>
      </c>
      <c r="AN17" s="218">
        <f t="shared" si="1"/>
        <v>0.18</v>
      </c>
      <c r="AO17" s="2133">
        <f>'Table 5a'!P16</f>
        <v>139</v>
      </c>
      <c r="AP17" s="2130">
        <f t="shared" si="9"/>
        <v>1.1100000000000001</v>
      </c>
      <c r="AQ17" s="2128">
        <f>AG17</f>
        <v>0</v>
      </c>
      <c r="AR17" s="3079">
        <f t="shared" ref="AR17:AR18" si="44">AL17*1.06</f>
        <v>1.1100000000000001</v>
      </c>
      <c r="AS17" s="3094">
        <v>0</v>
      </c>
      <c r="AU17" s="351">
        <f t="shared" si="11"/>
        <v>1098</v>
      </c>
      <c r="AV17" s="2134">
        <f t="shared" si="12"/>
        <v>0.16</v>
      </c>
    </row>
    <row r="18" spans="1:48" ht="13.5" thickBot="1">
      <c r="A18" s="3283"/>
      <c r="B18" s="1860" t="s">
        <v>111</v>
      </c>
      <c r="C18" s="2080">
        <v>24</v>
      </c>
      <c r="D18" s="1849">
        <f>'Table 5a'!L17</f>
        <v>435</v>
      </c>
      <c r="E18" s="95">
        <v>454</v>
      </c>
      <c r="F18" s="742">
        <v>502</v>
      </c>
      <c r="G18" s="742">
        <v>502</v>
      </c>
      <c r="H18" s="742">
        <v>502</v>
      </c>
      <c r="I18" s="2081">
        <v>502</v>
      </c>
      <c r="J18" s="2081">
        <v>502</v>
      </c>
      <c r="K18" s="2082">
        <v>589</v>
      </c>
      <c r="L18" s="216">
        <f t="shared" si="2"/>
        <v>0.15</v>
      </c>
      <c r="M18" s="2083">
        <f t="shared" si="3"/>
        <v>0.03</v>
      </c>
      <c r="N18" s="2084">
        <v>0</v>
      </c>
      <c r="O18" s="51">
        <f>'Table 5a'!G17</f>
        <v>0.03</v>
      </c>
      <c r="P18" s="2085">
        <f t="shared" si="4"/>
        <v>0.03</v>
      </c>
      <c r="Q18" s="2086">
        <v>0</v>
      </c>
      <c r="R18" s="3078">
        <f>E18*$AO18/1000000</f>
        <v>0.03</v>
      </c>
      <c r="S18" s="2042">
        <v>0</v>
      </c>
      <c r="T18" s="2087">
        <f t="shared" si="5"/>
        <v>0.04</v>
      </c>
      <c r="U18" s="2084">
        <v>0</v>
      </c>
      <c r="V18" s="3078">
        <f>F18*$AO18/1000000</f>
        <v>0.04</v>
      </c>
      <c r="W18" s="3091">
        <v>0</v>
      </c>
      <c r="X18" s="2083">
        <f t="shared" si="6"/>
        <v>0.04</v>
      </c>
      <c r="Y18" s="2084">
        <v>0</v>
      </c>
      <c r="Z18" s="3078">
        <f>G18*$AO18/1000000</f>
        <v>0.04</v>
      </c>
      <c r="AA18" s="2042">
        <v>0</v>
      </c>
      <c r="AB18" s="2087">
        <f t="shared" si="7"/>
        <v>0.04</v>
      </c>
      <c r="AC18" s="2084">
        <v>0</v>
      </c>
      <c r="AD18" s="3078">
        <f>H18*$AO18/1000000</f>
        <v>0.04</v>
      </c>
      <c r="AE18" s="2042">
        <v>0</v>
      </c>
      <c r="AF18" s="2087">
        <f t="shared" si="8"/>
        <v>0.04</v>
      </c>
      <c r="AG18" s="2086">
        <v>0</v>
      </c>
      <c r="AH18" s="3078">
        <f>I18*$AO18/1000000</f>
        <v>0.04</v>
      </c>
      <c r="AI18" s="2042">
        <v>0</v>
      </c>
      <c r="AJ18" s="2087">
        <f t="shared" si="41"/>
        <v>0.04</v>
      </c>
      <c r="AK18" s="2086">
        <v>0</v>
      </c>
      <c r="AL18" s="3078">
        <f>J18*AO18/1000000</f>
        <v>0.04</v>
      </c>
      <c r="AM18" s="2043">
        <v>0</v>
      </c>
      <c r="AN18" s="216">
        <f t="shared" si="1"/>
        <v>0.33</v>
      </c>
      <c r="AO18" s="2044">
        <f>'Table 5a'!P17</f>
        <v>74</v>
      </c>
      <c r="AP18" s="2087">
        <f t="shared" si="9"/>
        <v>0.04</v>
      </c>
      <c r="AQ18" s="2086">
        <f>AG18</f>
        <v>0</v>
      </c>
      <c r="AR18" s="3078">
        <f t="shared" si="44"/>
        <v>0.04</v>
      </c>
      <c r="AS18" s="3093">
        <v>0</v>
      </c>
      <c r="AU18" s="1849">
        <f t="shared" si="11"/>
        <v>67</v>
      </c>
      <c r="AV18" s="2089">
        <f t="shared" si="12"/>
        <v>0.01</v>
      </c>
    </row>
    <row r="19" spans="1:48" ht="14.25" thickTop="1" thickBot="1">
      <c r="A19" s="3285"/>
      <c r="B19" s="3277" t="s">
        <v>112</v>
      </c>
      <c r="C19" s="3278"/>
      <c r="D19" s="304">
        <f t="shared" ref="D19:J19" si="45">SUM(D17:D18)</f>
        <v>6865</v>
      </c>
      <c r="E19" s="2090">
        <f t="shared" si="45"/>
        <v>7045</v>
      </c>
      <c r="F19" s="274">
        <f t="shared" si="45"/>
        <v>7309</v>
      </c>
      <c r="G19" s="274">
        <f t="shared" si="45"/>
        <v>7833</v>
      </c>
      <c r="H19" s="274">
        <f t="shared" si="45"/>
        <v>7998</v>
      </c>
      <c r="I19" s="2091">
        <f t="shared" si="45"/>
        <v>8030</v>
      </c>
      <c r="J19" s="2091">
        <f t="shared" si="45"/>
        <v>8030</v>
      </c>
      <c r="K19" s="2092">
        <f>SUM(K17:K18)</f>
        <v>31392</v>
      </c>
      <c r="L19" s="217">
        <f t="shared" si="2"/>
        <v>0.17</v>
      </c>
      <c r="M19" s="2093">
        <f t="shared" si="3"/>
        <v>0.92</v>
      </c>
      <c r="N19" s="2094">
        <f>SUM(N17:N18)</f>
        <v>0</v>
      </c>
      <c r="O19" s="647">
        <f t="shared" ref="O19" si="46">SUM(O17:O18)</f>
        <v>0.92</v>
      </c>
      <c r="P19" s="2095">
        <f t="shared" si="4"/>
        <v>0.95</v>
      </c>
      <c r="Q19" s="2096">
        <f t="shared" ref="Q19:AL19" si="47">SUM(Q17:Q18)</f>
        <v>0</v>
      </c>
      <c r="R19" s="3109">
        <f t="shared" si="47"/>
        <v>0.95</v>
      </c>
      <c r="S19" s="2097">
        <f>SUM(S17:S18)</f>
        <v>0</v>
      </c>
      <c r="T19" s="2098">
        <f t="shared" si="5"/>
        <v>0.99</v>
      </c>
      <c r="U19" s="2094">
        <f t="shared" ref="U19" si="48">SUM(U17:U18)</f>
        <v>0</v>
      </c>
      <c r="V19" s="2100">
        <f t="shared" si="47"/>
        <v>0.99</v>
      </c>
      <c r="W19" s="3092">
        <f>SUM(W17:W18)</f>
        <v>0</v>
      </c>
      <c r="X19" s="2093">
        <f t="shared" si="6"/>
        <v>1.06</v>
      </c>
      <c r="Y19" s="2094">
        <f t="shared" ref="Y19" si="49">SUM(Y17:Y18)</f>
        <v>0</v>
      </c>
      <c r="Z19" s="3109">
        <f t="shared" si="47"/>
        <v>1.06</v>
      </c>
      <c r="AA19" s="2097">
        <f>SUM(AA17:AA18)</f>
        <v>0</v>
      </c>
      <c r="AB19" s="2098">
        <f t="shared" si="7"/>
        <v>1.08</v>
      </c>
      <c r="AC19" s="2094">
        <f t="shared" ref="AC19" si="50">SUM(AC17:AC18)</f>
        <v>0</v>
      </c>
      <c r="AD19" s="3109">
        <f t="shared" si="47"/>
        <v>1.08</v>
      </c>
      <c r="AE19" s="2097">
        <f>SUM(AE17:AE18)</f>
        <v>0</v>
      </c>
      <c r="AF19" s="2098">
        <f t="shared" si="8"/>
        <v>1.0900000000000001</v>
      </c>
      <c r="AG19" s="2096">
        <f t="shared" ref="AG19" si="51">SUM(AG17:AG18)</f>
        <v>0</v>
      </c>
      <c r="AH19" s="3109">
        <f t="shared" si="47"/>
        <v>1.0900000000000001</v>
      </c>
      <c r="AI19" s="2097">
        <f>SUM(AI17:AI18)</f>
        <v>0</v>
      </c>
      <c r="AJ19" s="2098">
        <f t="shared" ref="AJ19:AJ20" si="52">AL19-AK19</f>
        <v>1.0900000000000001</v>
      </c>
      <c r="AK19" s="2096">
        <f t="shared" ref="AK19" si="53">SUM(AK17:AK18)</f>
        <v>0</v>
      </c>
      <c r="AL19" s="3109">
        <f t="shared" si="47"/>
        <v>1.0900000000000001</v>
      </c>
      <c r="AM19" s="2101">
        <f>SUM(AM17:AM18)</f>
        <v>0</v>
      </c>
      <c r="AN19" s="217">
        <f t="shared" si="1"/>
        <v>0.18</v>
      </c>
      <c r="AO19" s="3027">
        <f t="shared" ref="AO19" si="54">SUM(AO17:AO18)</f>
        <v>213</v>
      </c>
      <c r="AP19" s="2098">
        <f t="shared" si="9"/>
        <v>1.1499999999999999</v>
      </c>
      <c r="AQ19" s="2096">
        <f>SUM(AQ17:AQ18)</f>
        <v>0</v>
      </c>
      <c r="AR19" s="3109">
        <f t="shared" ref="AR19" si="55">SUM(AR17:AR18)</f>
        <v>1.1499999999999999</v>
      </c>
      <c r="AS19" s="3092">
        <f>SUM(AS17:AS18)</f>
        <v>0</v>
      </c>
      <c r="AU19" s="739">
        <f t="shared" si="11"/>
        <v>1165</v>
      </c>
      <c r="AV19" s="2102">
        <f t="shared" si="12"/>
        <v>0.17</v>
      </c>
    </row>
    <row r="20" spans="1:48" ht="13.5" thickBot="1">
      <c r="A20" s="3289" t="s">
        <v>113</v>
      </c>
      <c r="B20" s="2135" t="s">
        <v>114</v>
      </c>
      <c r="C20" s="1993">
        <v>431</v>
      </c>
      <c r="D20" s="2136">
        <v>115</v>
      </c>
      <c r="E20" s="2137">
        <v>122</v>
      </c>
      <c r="F20" s="2138">
        <v>145</v>
      </c>
      <c r="G20" s="2138">
        <v>155</v>
      </c>
      <c r="H20" s="2138">
        <v>155</v>
      </c>
      <c r="I20" s="2139">
        <v>155</v>
      </c>
      <c r="J20" s="2139">
        <v>155</v>
      </c>
      <c r="K20" s="2140">
        <v>181</v>
      </c>
      <c r="L20" s="219">
        <f t="shared" si="2"/>
        <v>0.35</v>
      </c>
      <c r="M20" s="2141">
        <v>0.04</v>
      </c>
      <c r="N20" s="2142">
        <v>0</v>
      </c>
      <c r="O20" s="2143">
        <v>0.04</v>
      </c>
      <c r="P20" s="2144">
        <f t="shared" si="4"/>
        <v>0.01</v>
      </c>
      <c r="Q20" s="2145">
        <v>0</v>
      </c>
      <c r="R20" s="3085">
        <f>E20*$AO20/1000000</f>
        <v>0.01</v>
      </c>
      <c r="S20" s="2146">
        <v>0</v>
      </c>
      <c r="T20" s="2147">
        <f t="shared" si="5"/>
        <v>0.01</v>
      </c>
      <c r="U20" s="2142">
        <v>0</v>
      </c>
      <c r="V20" s="2148">
        <f>F20*$AO20/1000000</f>
        <v>0.01</v>
      </c>
      <c r="W20" s="3095">
        <v>0</v>
      </c>
      <c r="X20" s="2141">
        <f t="shared" si="6"/>
        <v>0.01</v>
      </c>
      <c r="Y20" s="2142">
        <v>0</v>
      </c>
      <c r="Z20" s="3085">
        <f>G20*$AO20/1000000</f>
        <v>0.01</v>
      </c>
      <c r="AA20" s="2146">
        <v>0</v>
      </c>
      <c r="AB20" s="2147">
        <f t="shared" si="7"/>
        <v>0.01</v>
      </c>
      <c r="AC20" s="2142">
        <v>0</v>
      </c>
      <c r="AD20" s="3085">
        <f>H20*$AO20/1000000</f>
        <v>0.01</v>
      </c>
      <c r="AE20" s="2146">
        <v>0</v>
      </c>
      <c r="AF20" s="2147">
        <f t="shared" si="8"/>
        <v>0.01</v>
      </c>
      <c r="AG20" s="2145">
        <v>0</v>
      </c>
      <c r="AH20" s="3085">
        <f>I20*$AO20/1000000</f>
        <v>0.01</v>
      </c>
      <c r="AI20" s="2146">
        <v>0</v>
      </c>
      <c r="AJ20" s="2147">
        <f t="shared" si="52"/>
        <v>0.01</v>
      </c>
      <c r="AK20" s="2145">
        <v>0</v>
      </c>
      <c r="AL20" s="3085">
        <f>J20*AO20/1000000</f>
        <v>0.01</v>
      </c>
      <c r="AM20" s="3114">
        <v>0</v>
      </c>
      <c r="AN20" s="230">
        <f t="shared" si="1"/>
        <v>-0.75</v>
      </c>
      <c r="AO20" s="2149">
        <f>'Table 5a'!P22</f>
        <v>95</v>
      </c>
      <c r="AP20" s="2147">
        <f t="shared" si="9"/>
        <v>0.01</v>
      </c>
      <c r="AQ20" s="2145">
        <f>AG20</f>
        <v>0</v>
      </c>
      <c r="AR20" s="3085">
        <f>AL20*1.06</f>
        <v>0.01</v>
      </c>
      <c r="AS20" s="3089">
        <v>0</v>
      </c>
      <c r="AU20" s="2150">
        <f t="shared" si="11"/>
        <v>40</v>
      </c>
      <c r="AV20" s="2151">
        <f t="shared" si="12"/>
        <v>-0.03</v>
      </c>
    </row>
    <row r="21" spans="1:48" ht="14.25" thickTop="1" thickBot="1">
      <c r="A21" s="3285"/>
      <c r="B21" s="3277" t="s">
        <v>115</v>
      </c>
      <c r="C21" s="3278"/>
      <c r="D21" s="304">
        <f t="shared" ref="D21:J21" si="56">D20</f>
        <v>115</v>
      </c>
      <c r="E21" s="2090">
        <f t="shared" si="56"/>
        <v>122</v>
      </c>
      <c r="F21" s="274">
        <f t="shared" si="56"/>
        <v>145</v>
      </c>
      <c r="G21" s="274">
        <f t="shared" si="56"/>
        <v>155</v>
      </c>
      <c r="H21" s="274">
        <f t="shared" si="56"/>
        <v>155</v>
      </c>
      <c r="I21" s="2091">
        <f t="shared" si="56"/>
        <v>155</v>
      </c>
      <c r="J21" s="2091">
        <f t="shared" si="56"/>
        <v>155</v>
      </c>
      <c r="K21" s="2092">
        <f>SUM(K20)</f>
        <v>181</v>
      </c>
      <c r="L21" s="217">
        <f t="shared" si="2"/>
        <v>0.35</v>
      </c>
      <c r="M21" s="2093">
        <f>M20</f>
        <v>0.04</v>
      </c>
      <c r="N21" s="2094">
        <f>SUM(N20)</f>
        <v>0</v>
      </c>
      <c r="O21" s="647">
        <f t="shared" ref="O21" si="57">O20</f>
        <v>0.04</v>
      </c>
      <c r="P21" s="2095">
        <f t="shared" si="4"/>
        <v>0.01</v>
      </c>
      <c r="Q21" s="2096">
        <f t="shared" ref="Q21" si="58">SUM(Q20)</f>
        <v>0</v>
      </c>
      <c r="R21" s="3109">
        <f t="shared" ref="R21:AL21" si="59">R20</f>
        <v>0.01</v>
      </c>
      <c r="S21" s="2097">
        <f>SUM(S20)</f>
        <v>0</v>
      </c>
      <c r="T21" s="2098">
        <f t="shared" si="5"/>
        <v>0.01</v>
      </c>
      <c r="U21" s="2094">
        <f t="shared" ref="U21" si="60">SUM(U20)</f>
        <v>0</v>
      </c>
      <c r="V21" s="2100">
        <f t="shared" si="59"/>
        <v>0.01</v>
      </c>
      <c r="W21" s="3092">
        <f>SUM(W20)</f>
        <v>0</v>
      </c>
      <c r="X21" s="2093">
        <f t="shared" si="6"/>
        <v>0.01</v>
      </c>
      <c r="Y21" s="2094">
        <f t="shared" ref="Y21" si="61">SUM(Y20)</f>
        <v>0</v>
      </c>
      <c r="Z21" s="3109">
        <f t="shared" si="59"/>
        <v>0.01</v>
      </c>
      <c r="AA21" s="2097">
        <f>SUM(AA20)</f>
        <v>0</v>
      </c>
      <c r="AB21" s="2098">
        <f t="shared" si="7"/>
        <v>0.01</v>
      </c>
      <c r="AC21" s="2094">
        <f t="shared" ref="AC21" si="62">SUM(AC20)</f>
        <v>0</v>
      </c>
      <c r="AD21" s="3109">
        <f t="shared" si="59"/>
        <v>0.01</v>
      </c>
      <c r="AE21" s="2097">
        <f>SUM(AE20)</f>
        <v>0</v>
      </c>
      <c r="AF21" s="2098">
        <f t="shared" si="8"/>
        <v>0.01</v>
      </c>
      <c r="AG21" s="2096">
        <f t="shared" ref="AG21" si="63">SUM(AG20)</f>
        <v>0</v>
      </c>
      <c r="AH21" s="3109">
        <f t="shared" si="59"/>
        <v>0.01</v>
      </c>
      <c r="AI21" s="2097">
        <f>SUM(AI20)</f>
        <v>0</v>
      </c>
      <c r="AJ21" s="2098">
        <f t="shared" ref="AJ21:AJ23" si="64">AL21-AK21</f>
        <v>0.01</v>
      </c>
      <c r="AK21" s="2096">
        <f t="shared" ref="AK21" si="65">SUM(AK20)</f>
        <v>0</v>
      </c>
      <c r="AL21" s="3109">
        <f t="shared" si="59"/>
        <v>0.01</v>
      </c>
      <c r="AM21" s="2101">
        <f>SUM(AM20)</f>
        <v>0</v>
      </c>
      <c r="AN21" s="298">
        <f t="shared" si="1"/>
        <v>-0.75</v>
      </c>
      <c r="AO21" s="3027" t="s">
        <v>16</v>
      </c>
      <c r="AP21" s="2098">
        <f t="shared" si="9"/>
        <v>0.01</v>
      </c>
      <c r="AQ21" s="2096">
        <f>SUM(AQ20)</f>
        <v>0</v>
      </c>
      <c r="AR21" s="3109">
        <f t="shared" ref="AR21" si="66">AR20</f>
        <v>0.01</v>
      </c>
      <c r="AS21" s="3092">
        <f>SUM(AS20)</f>
        <v>0</v>
      </c>
      <c r="AU21" s="739">
        <f t="shared" si="11"/>
        <v>40</v>
      </c>
      <c r="AV21" s="2102">
        <f t="shared" si="12"/>
        <v>-0.03</v>
      </c>
    </row>
    <row r="22" spans="1:48">
      <c r="A22" s="3275" t="s">
        <v>116</v>
      </c>
      <c r="B22" s="2152" t="s">
        <v>117</v>
      </c>
      <c r="C22" s="2104">
        <v>216650</v>
      </c>
      <c r="D22" s="2105">
        <f>'Table 5a'!L19</f>
        <v>6585</v>
      </c>
      <c r="E22" s="2106">
        <v>7954</v>
      </c>
      <c r="F22" s="2107">
        <v>8140</v>
      </c>
      <c r="G22" s="2107">
        <v>8292</v>
      </c>
      <c r="H22" s="2107">
        <v>8412</v>
      </c>
      <c r="I22" s="2108">
        <v>8509</v>
      </c>
      <c r="J22" s="2108">
        <v>8653</v>
      </c>
      <c r="K22" s="2109">
        <v>14573</v>
      </c>
      <c r="L22" s="215">
        <f t="shared" si="2"/>
        <v>0.31</v>
      </c>
      <c r="M22" s="2059">
        <f t="shared" ref="M22" si="67">O22-N22</f>
        <v>0.75</v>
      </c>
      <c r="N22" s="2060">
        <v>0</v>
      </c>
      <c r="O22" s="638">
        <f>'Table 5a'!G19</f>
        <v>0.75</v>
      </c>
      <c r="P22" s="2061">
        <f t="shared" ref="P22" si="68">R22-Q22</f>
        <v>0.84</v>
      </c>
      <c r="Q22" s="2062">
        <v>0</v>
      </c>
      <c r="R22" s="3108">
        <f>E22*$AO22/1000000</f>
        <v>0.84</v>
      </c>
      <c r="S22" s="2063">
        <v>0</v>
      </c>
      <c r="T22" s="2064">
        <f t="shared" ref="T22" si="69">V22-U22</f>
        <v>0.85</v>
      </c>
      <c r="U22" s="2060">
        <v>0</v>
      </c>
      <c r="V22" s="3087">
        <f>F22*$AO22/1000000</f>
        <v>0.85</v>
      </c>
      <c r="W22" s="3096">
        <v>0</v>
      </c>
      <c r="X22" s="2059">
        <f t="shared" ref="X22" si="70">Z22-Y22</f>
        <v>0.87</v>
      </c>
      <c r="Y22" s="2060">
        <v>0</v>
      </c>
      <c r="Z22" s="3108">
        <f>G22*$AO22/1000000</f>
        <v>0.87</v>
      </c>
      <c r="AA22" s="2063">
        <v>0</v>
      </c>
      <c r="AB22" s="2064">
        <f t="shared" ref="AB22" si="71">AD22-AC22</f>
        <v>0.88</v>
      </c>
      <c r="AC22" s="2060">
        <v>0</v>
      </c>
      <c r="AD22" s="3108">
        <f>H22*$AO22/1000000</f>
        <v>0.88</v>
      </c>
      <c r="AE22" s="2063">
        <v>0</v>
      </c>
      <c r="AF22" s="2064">
        <f t="shared" ref="AF22" si="72">AH22-AG22</f>
        <v>0.89</v>
      </c>
      <c r="AG22" s="2062">
        <v>0</v>
      </c>
      <c r="AH22" s="3108">
        <f>I22*$AO22/1000000</f>
        <v>0.89</v>
      </c>
      <c r="AI22" s="2063">
        <v>0</v>
      </c>
      <c r="AJ22" s="2153">
        <f t="shared" si="64"/>
        <v>0.91</v>
      </c>
      <c r="AK22" s="2154">
        <v>0</v>
      </c>
      <c r="AL22" s="3108">
        <f>J22*AO22/1000000</f>
        <v>0.91</v>
      </c>
      <c r="AM22" s="2067">
        <v>0</v>
      </c>
      <c r="AN22" s="231">
        <f t="shared" si="1"/>
        <v>0.21</v>
      </c>
      <c r="AO22" s="2155">
        <f>'Table 5a'!P19</f>
        <v>105</v>
      </c>
      <c r="AP22" s="2064">
        <f>AR22-AQ22</f>
        <v>0.96</v>
      </c>
      <c r="AQ22" s="2062">
        <f>AG22</f>
        <v>0</v>
      </c>
      <c r="AR22" s="3108">
        <f t="shared" ref="AR22:AR23" si="73">AL22*1.06</f>
        <v>0.96</v>
      </c>
      <c r="AS22" s="3094">
        <v>0</v>
      </c>
      <c r="AU22" s="2116">
        <f t="shared" si="11"/>
        <v>2068</v>
      </c>
      <c r="AV22" s="2069">
        <f t="shared" si="12"/>
        <v>0.16</v>
      </c>
    </row>
    <row r="23" spans="1:48" ht="13.5" thickBot="1">
      <c r="A23" s="3275"/>
      <c r="B23" s="2156" t="s">
        <v>118</v>
      </c>
      <c r="C23" s="2080">
        <v>218998</v>
      </c>
      <c r="D23" s="1010">
        <f>'Table 5a'!L20</f>
        <v>877</v>
      </c>
      <c r="E23" s="2119">
        <v>889</v>
      </c>
      <c r="F23" s="742">
        <v>889</v>
      </c>
      <c r="G23" s="742">
        <v>889</v>
      </c>
      <c r="H23" s="742">
        <v>889</v>
      </c>
      <c r="I23" s="2081">
        <v>889</v>
      </c>
      <c r="J23" s="2081">
        <v>889</v>
      </c>
      <c r="K23" s="2082">
        <v>1866</v>
      </c>
      <c r="L23" s="216">
        <f t="shared" si="2"/>
        <v>0.01</v>
      </c>
      <c r="M23" s="2083">
        <f t="shared" si="3"/>
        <v>0.19</v>
      </c>
      <c r="N23" s="2084">
        <v>0</v>
      </c>
      <c r="O23" s="51">
        <f>'Table 5a'!G20</f>
        <v>0.19</v>
      </c>
      <c r="P23" s="2085">
        <f t="shared" si="4"/>
        <v>0.2</v>
      </c>
      <c r="Q23" s="2086">
        <v>0</v>
      </c>
      <c r="R23" s="3078">
        <f>E23*$AO23/1000000</f>
        <v>0.2</v>
      </c>
      <c r="S23" s="2042">
        <v>0</v>
      </c>
      <c r="T23" s="2087">
        <f t="shared" si="5"/>
        <v>0.2</v>
      </c>
      <c r="U23" s="2084">
        <v>0</v>
      </c>
      <c r="V23" s="3078">
        <f>F23*$AO23/1000000</f>
        <v>0.2</v>
      </c>
      <c r="W23" s="3091">
        <v>0</v>
      </c>
      <c r="X23" s="2083">
        <f t="shared" si="6"/>
        <v>0.2</v>
      </c>
      <c r="Y23" s="2084">
        <v>0</v>
      </c>
      <c r="Z23" s="3078">
        <f>G23*$AO23/1000000</f>
        <v>0.2</v>
      </c>
      <c r="AA23" s="2042">
        <v>0</v>
      </c>
      <c r="AB23" s="2087">
        <f t="shared" si="7"/>
        <v>0.2</v>
      </c>
      <c r="AC23" s="2084">
        <v>0</v>
      </c>
      <c r="AD23" s="3078">
        <f>H23*$AO23/1000000</f>
        <v>0.2</v>
      </c>
      <c r="AE23" s="2042">
        <v>0</v>
      </c>
      <c r="AF23" s="2087">
        <f t="shared" si="8"/>
        <v>0.2</v>
      </c>
      <c r="AG23" s="2086">
        <v>0</v>
      </c>
      <c r="AH23" s="3078">
        <f>I23*$AO23/1000000</f>
        <v>0.2</v>
      </c>
      <c r="AI23" s="2042">
        <v>0</v>
      </c>
      <c r="AJ23" s="2087">
        <f t="shared" si="64"/>
        <v>0.2</v>
      </c>
      <c r="AK23" s="2086">
        <v>0</v>
      </c>
      <c r="AL23" s="3078">
        <f>J23*AO23/1000000</f>
        <v>0.2</v>
      </c>
      <c r="AM23" s="2043">
        <v>0</v>
      </c>
      <c r="AN23" s="216">
        <f t="shared" si="1"/>
        <v>0.05</v>
      </c>
      <c r="AO23" s="2157">
        <f>'Table 5a'!P20</f>
        <v>221</v>
      </c>
      <c r="AP23" s="2087">
        <f>AR23-AQ23</f>
        <v>0.21</v>
      </c>
      <c r="AQ23" s="2086">
        <f>AG23</f>
        <v>0</v>
      </c>
      <c r="AR23" s="3078">
        <f t="shared" si="73"/>
        <v>0.21</v>
      </c>
      <c r="AS23" s="3093">
        <v>0</v>
      </c>
      <c r="AU23" s="1849">
        <f t="shared" si="11"/>
        <v>12</v>
      </c>
      <c r="AV23" s="2089">
        <f t="shared" si="12"/>
        <v>0.01</v>
      </c>
    </row>
    <row r="24" spans="1:48" ht="14.25" thickTop="1" thickBot="1">
      <c r="A24" s="3275"/>
      <c r="B24" s="3310" t="s">
        <v>119</v>
      </c>
      <c r="C24" s="3311"/>
      <c r="D24" s="383">
        <f>SUM(D22:D23)</f>
        <v>7462</v>
      </c>
      <c r="E24" s="2120">
        <f>SUM(E22:E23)</f>
        <v>8843</v>
      </c>
      <c r="F24" s="64">
        <f t="shared" ref="F24:K24" si="74">SUM(F22:F23)</f>
        <v>9029</v>
      </c>
      <c r="G24" s="64">
        <f t="shared" si="74"/>
        <v>9181</v>
      </c>
      <c r="H24" s="64">
        <f t="shared" si="74"/>
        <v>9301</v>
      </c>
      <c r="I24" s="2121">
        <f t="shared" si="74"/>
        <v>9398</v>
      </c>
      <c r="J24" s="2121">
        <f t="shared" si="74"/>
        <v>9542</v>
      </c>
      <c r="K24" s="2158">
        <f t="shared" si="74"/>
        <v>16439</v>
      </c>
      <c r="L24" s="231">
        <f t="shared" si="2"/>
        <v>0.28000000000000003</v>
      </c>
      <c r="M24" s="2159">
        <f t="shared" si="3"/>
        <v>0.94</v>
      </c>
      <c r="N24" s="2160">
        <f>SUM(N22:N23)</f>
        <v>0</v>
      </c>
      <c r="O24" s="638">
        <f>SUM(O22:O23)</f>
        <v>0.94</v>
      </c>
      <c r="P24" s="2161">
        <f t="shared" si="4"/>
        <v>1.04</v>
      </c>
      <c r="Q24" s="2154">
        <f t="shared" ref="Q24:R24" si="75">SUM(Q22:Q23)</f>
        <v>0</v>
      </c>
      <c r="R24" s="3108">
        <f t="shared" si="75"/>
        <v>1.04</v>
      </c>
      <c r="S24" s="2063">
        <f>SUM(S22:S23)</f>
        <v>0</v>
      </c>
      <c r="T24" s="2153">
        <f t="shared" si="5"/>
        <v>1.05</v>
      </c>
      <c r="U24" s="2160">
        <f t="shared" ref="U24:V24" si="76">SUM(U22:U23)</f>
        <v>0</v>
      </c>
      <c r="V24" s="2066">
        <f t="shared" si="76"/>
        <v>1.05</v>
      </c>
      <c r="W24" s="3092">
        <f>SUM(W22:W23)</f>
        <v>0</v>
      </c>
      <c r="X24" s="2159">
        <f t="shared" si="6"/>
        <v>1.07</v>
      </c>
      <c r="Y24" s="2160">
        <f t="shared" ref="Y24:Z24" si="77">SUM(Y22:Y23)</f>
        <v>0</v>
      </c>
      <c r="Z24" s="3108">
        <f t="shared" si="77"/>
        <v>1.07</v>
      </c>
      <c r="AA24" s="2063">
        <f>SUM(AA22:AA23)</f>
        <v>0</v>
      </c>
      <c r="AB24" s="2153">
        <f t="shared" si="7"/>
        <v>1.08</v>
      </c>
      <c r="AC24" s="2160">
        <f t="shared" ref="AC24:AD24" si="78">SUM(AC22:AC23)</f>
        <v>0</v>
      </c>
      <c r="AD24" s="3108">
        <f t="shared" si="78"/>
        <v>1.08</v>
      </c>
      <c r="AE24" s="2063">
        <f>SUM(AE22:AE23)</f>
        <v>0</v>
      </c>
      <c r="AF24" s="2153">
        <f t="shared" si="8"/>
        <v>1.0900000000000001</v>
      </c>
      <c r="AG24" s="2154">
        <f t="shared" ref="AG24:AH24" si="79">SUM(AG22:AG23)</f>
        <v>0</v>
      </c>
      <c r="AH24" s="3113">
        <f t="shared" si="79"/>
        <v>1.0900000000000001</v>
      </c>
      <c r="AI24" s="2063">
        <f>SUM(AI22:AI23)</f>
        <v>0</v>
      </c>
      <c r="AJ24" s="2153">
        <f t="shared" ref="AJ24:AJ29" si="80">AL24-AK24</f>
        <v>1.1100000000000001</v>
      </c>
      <c r="AK24" s="2154">
        <f t="shared" ref="AK24:AL24" si="81">SUM(AK22:AK23)</f>
        <v>0</v>
      </c>
      <c r="AL24" s="3113">
        <f t="shared" si="81"/>
        <v>1.1100000000000001</v>
      </c>
      <c r="AM24" s="2067">
        <f>SUM(AM22:AM23)</f>
        <v>0</v>
      </c>
      <c r="AN24" s="231">
        <f t="shared" si="1"/>
        <v>0.18</v>
      </c>
      <c r="AO24" s="2162" t="s">
        <v>16</v>
      </c>
      <c r="AP24" s="2153">
        <f t="shared" ref="AP24" si="82">AR24-AQ24</f>
        <v>1.17</v>
      </c>
      <c r="AQ24" s="2154">
        <f>SUM(AQ22:AQ23)</f>
        <v>0</v>
      </c>
      <c r="AR24" s="3108">
        <f>SUM(AR22:AR23)</f>
        <v>1.17</v>
      </c>
      <c r="AS24" s="3092">
        <f>SUM(AS22:AS23)</f>
        <v>0</v>
      </c>
      <c r="AU24" s="738">
        <f t="shared" si="11"/>
        <v>2080</v>
      </c>
      <c r="AV24" s="2163">
        <f t="shared" si="12"/>
        <v>0.17</v>
      </c>
    </row>
    <row r="25" spans="1:48" ht="12.75" customHeight="1">
      <c r="A25" s="3274" t="s">
        <v>120</v>
      </c>
      <c r="B25" s="2164" t="s">
        <v>114</v>
      </c>
      <c r="C25" s="2165" t="s">
        <v>121</v>
      </c>
      <c r="D25" s="2820">
        <v>115456</v>
      </c>
      <c r="E25" s="2167">
        <v>122404</v>
      </c>
      <c r="F25" s="2168">
        <v>131926</v>
      </c>
      <c r="G25" s="2168">
        <v>134850</v>
      </c>
      <c r="H25" s="2168">
        <v>146664</v>
      </c>
      <c r="I25" s="2169">
        <v>153296</v>
      </c>
      <c r="J25" s="2169">
        <v>160792</v>
      </c>
      <c r="K25" s="2170">
        <v>410001</v>
      </c>
      <c r="L25" s="196">
        <f t="shared" si="2"/>
        <v>0.39</v>
      </c>
      <c r="M25" s="2984">
        <f t="shared" si="3"/>
        <v>11</v>
      </c>
      <c r="N25" s="2172">
        <v>0</v>
      </c>
      <c r="O25" s="675">
        <v>11</v>
      </c>
      <c r="P25" s="102">
        <f t="shared" si="4"/>
        <v>11.63</v>
      </c>
      <c r="Q25" s="2172">
        <v>0</v>
      </c>
      <c r="R25" s="3079">
        <f>E25*$AO25/1000000</f>
        <v>11.63</v>
      </c>
      <c r="S25" s="2129">
        <v>0</v>
      </c>
      <c r="T25" s="2173">
        <f t="shared" si="5"/>
        <v>12.53</v>
      </c>
      <c r="U25" s="2172">
        <v>0</v>
      </c>
      <c r="V25" s="3079">
        <f>F25*$AO25/1000000</f>
        <v>12.53</v>
      </c>
      <c r="W25" s="3094">
        <v>0</v>
      </c>
      <c r="X25" s="2171">
        <f t="shared" si="6"/>
        <v>12.81</v>
      </c>
      <c r="Y25" s="117">
        <v>0</v>
      </c>
      <c r="Z25" s="3079">
        <f>G25*$AO25/1000000</f>
        <v>12.81</v>
      </c>
      <c r="AA25" s="2129">
        <v>0</v>
      </c>
      <c r="AB25" s="2173">
        <f t="shared" si="7"/>
        <v>13.93</v>
      </c>
      <c r="AC25" s="2172">
        <v>0</v>
      </c>
      <c r="AD25" s="3079">
        <f>H25*$AO25/1000000</f>
        <v>13.93</v>
      </c>
      <c r="AE25" s="2129">
        <v>0</v>
      </c>
      <c r="AF25" s="2173">
        <f t="shared" si="8"/>
        <v>14.56</v>
      </c>
      <c r="AG25" s="117">
        <v>0</v>
      </c>
      <c r="AH25" s="3079">
        <f>I25*$AO25/1000000</f>
        <v>14.56</v>
      </c>
      <c r="AI25" s="2129">
        <v>0</v>
      </c>
      <c r="AJ25" s="2173">
        <f t="shared" si="80"/>
        <v>15.28</v>
      </c>
      <c r="AK25" s="117">
        <v>0</v>
      </c>
      <c r="AL25" s="3079">
        <f>J25*AO25/1000000</f>
        <v>15.28</v>
      </c>
      <c r="AM25" s="2132">
        <v>0</v>
      </c>
      <c r="AN25" s="218">
        <f t="shared" si="1"/>
        <v>0.39</v>
      </c>
      <c r="AO25" s="2174">
        <f>'Table 5a'!P22</f>
        <v>95</v>
      </c>
      <c r="AP25" s="2173">
        <f t="shared" si="9"/>
        <v>16.2</v>
      </c>
      <c r="AQ25" s="117">
        <f>AG25</f>
        <v>0</v>
      </c>
      <c r="AR25" s="3079">
        <f t="shared" ref="AR25:AR28" si="83">AL25*1.06</f>
        <v>16.2</v>
      </c>
      <c r="AS25" s="3096">
        <v>0</v>
      </c>
      <c r="AU25" s="2175">
        <f t="shared" si="11"/>
        <v>45336</v>
      </c>
      <c r="AV25" s="2176">
        <f t="shared" si="12"/>
        <v>4.28</v>
      </c>
    </row>
    <row r="26" spans="1:48" ht="12.75" customHeight="1">
      <c r="A26" s="3275"/>
      <c r="B26" s="2306" t="s">
        <v>122</v>
      </c>
      <c r="C26" s="2985">
        <v>137335</v>
      </c>
      <c r="D26" s="2843">
        <v>0</v>
      </c>
      <c r="E26" s="2255">
        <v>0</v>
      </c>
      <c r="F26" s="76">
        <v>0</v>
      </c>
      <c r="G26" s="76">
        <v>0</v>
      </c>
      <c r="H26" s="76">
        <v>0</v>
      </c>
      <c r="I26" s="2256">
        <v>0</v>
      </c>
      <c r="J26" s="2256">
        <v>0</v>
      </c>
      <c r="K26" s="2257">
        <v>0</v>
      </c>
      <c r="L26" s="1861" t="s">
        <v>16</v>
      </c>
      <c r="M26" s="2299">
        <f t="shared" si="3"/>
        <v>0</v>
      </c>
      <c r="N26" s="2300">
        <v>0</v>
      </c>
      <c r="O26" s="1024">
        <v>0</v>
      </c>
      <c r="P26" s="1000">
        <f t="shared" si="4"/>
        <v>0</v>
      </c>
      <c r="Q26" s="2300">
        <v>0</v>
      </c>
      <c r="R26" s="3082">
        <v>0</v>
      </c>
      <c r="S26" s="2258">
        <v>0</v>
      </c>
      <c r="T26" s="1957">
        <f t="shared" si="5"/>
        <v>0.5</v>
      </c>
      <c r="U26" s="2300">
        <v>0</v>
      </c>
      <c r="V26" s="3082">
        <v>0.5</v>
      </c>
      <c r="W26" s="3097">
        <v>0</v>
      </c>
      <c r="X26" s="1955">
        <f t="shared" si="6"/>
        <v>0.5</v>
      </c>
      <c r="Y26" s="90">
        <v>0</v>
      </c>
      <c r="Z26" s="3082">
        <v>0.5</v>
      </c>
      <c r="AA26" s="2258">
        <v>0</v>
      </c>
      <c r="AB26" s="1957">
        <f t="shared" si="7"/>
        <v>0.5</v>
      </c>
      <c r="AC26" s="2300">
        <v>0</v>
      </c>
      <c r="AD26" s="3082">
        <v>0.5</v>
      </c>
      <c r="AE26" s="2258">
        <v>0</v>
      </c>
      <c r="AF26" s="1957">
        <f t="shared" si="8"/>
        <v>0.5</v>
      </c>
      <c r="AG26" s="90">
        <v>0</v>
      </c>
      <c r="AH26" s="3082">
        <v>0.5</v>
      </c>
      <c r="AI26" s="2258">
        <v>0</v>
      </c>
      <c r="AJ26" s="1957">
        <f t="shared" si="80"/>
        <v>0.5</v>
      </c>
      <c r="AK26" s="90">
        <v>0</v>
      </c>
      <c r="AL26" s="3082">
        <v>0.5</v>
      </c>
      <c r="AM26" s="2259">
        <v>0</v>
      </c>
      <c r="AN26" s="300" t="e">
        <f t="shared" si="1"/>
        <v>#DIV/0!</v>
      </c>
      <c r="AO26" s="2012" t="str">
        <f>'Table 5a'!P23</f>
        <v>N/A</v>
      </c>
      <c r="AP26" s="1957">
        <f t="shared" ref="AP26" si="84">AR26-AQ26</f>
        <v>0.53</v>
      </c>
      <c r="AQ26" s="299">
        <f>AG26</f>
        <v>0</v>
      </c>
      <c r="AR26" s="3080">
        <f t="shared" ref="AR26" si="85">AL26*1.06</f>
        <v>0.53</v>
      </c>
      <c r="AS26" s="3093">
        <v>0</v>
      </c>
      <c r="AU26" s="2261"/>
      <c r="AV26" s="2303"/>
    </row>
    <row r="27" spans="1:48" ht="15" customHeight="1">
      <c r="A27" s="3275"/>
      <c r="B27" s="2007" t="s">
        <v>123</v>
      </c>
      <c r="C27" s="2008" t="s">
        <v>124</v>
      </c>
      <c r="D27" s="391">
        <f>'Table 5a'!L24</f>
        <v>9042</v>
      </c>
      <c r="E27" s="1954">
        <v>10076</v>
      </c>
      <c r="F27" s="814">
        <v>10076</v>
      </c>
      <c r="G27" s="814">
        <v>10076</v>
      </c>
      <c r="H27" s="814">
        <v>10076</v>
      </c>
      <c r="I27" s="807">
        <v>10076</v>
      </c>
      <c r="J27" s="807">
        <v>10076</v>
      </c>
      <c r="K27" s="305">
        <v>10076</v>
      </c>
      <c r="L27" s="1861">
        <f t="shared" si="2"/>
        <v>0.11</v>
      </c>
      <c r="M27" s="1955">
        <f t="shared" si="3"/>
        <v>0.89</v>
      </c>
      <c r="N27" s="1956">
        <v>0</v>
      </c>
      <c r="O27" s="633">
        <f>'Table 5a'!G24</f>
        <v>0.89</v>
      </c>
      <c r="P27" s="1000">
        <f t="shared" si="4"/>
        <v>0.98</v>
      </c>
      <c r="Q27" s="1956">
        <v>0</v>
      </c>
      <c r="R27" s="3080">
        <f>E27*$AO27/1000000</f>
        <v>0.98</v>
      </c>
      <c r="S27" s="2010">
        <v>0</v>
      </c>
      <c r="T27" s="1957">
        <f t="shared" si="5"/>
        <v>0.98</v>
      </c>
      <c r="U27" s="1956">
        <v>0</v>
      </c>
      <c r="V27" s="3080">
        <f>F27*$AO27/1000000</f>
        <v>0.98</v>
      </c>
      <c r="W27" s="3090">
        <v>0</v>
      </c>
      <c r="X27" s="1955">
        <f t="shared" si="6"/>
        <v>0.98</v>
      </c>
      <c r="Y27" s="299">
        <v>0</v>
      </c>
      <c r="Z27" s="3080">
        <f>G27*$AO27/1000000</f>
        <v>0.98</v>
      </c>
      <c r="AA27" s="2010">
        <v>0</v>
      </c>
      <c r="AB27" s="1957">
        <f t="shared" si="7"/>
        <v>0.98</v>
      </c>
      <c r="AC27" s="1956">
        <v>0</v>
      </c>
      <c r="AD27" s="3080">
        <f>H27*$AO27/1000000</f>
        <v>0.98</v>
      </c>
      <c r="AE27" s="2010">
        <v>0</v>
      </c>
      <c r="AF27" s="1957">
        <f t="shared" si="8"/>
        <v>0.98</v>
      </c>
      <c r="AG27" s="299">
        <v>0</v>
      </c>
      <c r="AH27" s="3080">
        <f>I27*$AO27/1000000</f>
        <v>0.98</v>
      </c>
      <c r="AI27" s="2010">
        <v>0</v>
      </c>
      <c r="AJ27" s="1957">
        <f t="shared" si="80"/>
        <v>0.98</v>
      </c>
      <c r="AK27" s="299">
        <v>0</v>
      </c>
      <c r="AL27" s="3080">
        <f>J27*AO27/1000000</f>
        <v>0.98</v>
      </c>
      <c r="AM27" s="2011">
        <v>0</v>
      </c>
      <c r="AN27" s="300">
        <f t="shared" si="1"/>
        <v>0.1</v>
      </c>
      <c r="AO27" s="2012">
        <f>'Table 5a'!P24</f>
        <v>97</v>
      </c>
      <c r="AP27" s="1957">
        <f t="shared" si="9"/>
        <v>1.04</v>
      </c>
      <c r="AQ27" s="299">
        <f>AG27</f>
        <v>0</v>
      </c>
      <c r="AR27" s="3080">
        <f t="shared" si="83"/>
        <v>1.04</v>
      </c>
      <c r="AS27" s="3093">
        <v>0</v>
      </c>
      <c r="AU27" s="1959">
        <f t="shared" si="11"/>
        <v>1034</v>
      </c>
      <c r="AV27" s="1960">
        <f t="shared" si="12"/>
        <v>0.09</v>
      </c>
    </row>
    <row r="28" spans="1:48" ht="15" customHeight="1">
      <c r="A28" s="3275"/>
      <c r="B28" s="2007" t="s">
        <v>125</v>
      </c>
      <c r="C28" s="2008" t="s">
        <v>126</v>
      </c>
      <c r="D28" s="391">
        <f>'Table 5a'!L25</f>
        <v>6500</v>
      </c>
      <c r="E28" s="1954">
        <v>6763</v>
      </c>
      <c r="F28" s="814">
        <v>7920</v>
      </c>
      <c r="G28" s="814">
        <v>8338</v>
      </c>
      <c r="H28" s="814">
        <v>8474</v>
      </c>
      <c r="I28" s="807">
        <v>8702</v>
      </c>
      <c r="J28" s="807">
        <v>8702</v>
      </c>
      <c r="K28" s="305">
        <v>10348</v>
      </c>
      <c r="L28" s="1861">
        <f t="shared" si="2"/>
        <v>0.34</v>
      </c>
      <c r="M28" s="1955">
        <f t="shared" si="3"/>
        <v>1</v>
      </c>
      <c r="N28" s="1956">
        <v>0</v>
      </c>
      <c r="O28" s="1024">
        <f>'Table 5a'!G25</f>
        <v>1</v>
      </c>
      <c r="P28" s="1000">
        <f t="shared" si="4"/>
        <v>1.0900000000000001</v>
      </c>
      <c r="Q28" s="1956">
        <v>0</v>
      </c>
      <c r="R28" s="3080">
        <f>E28*$AO28/1000000</f>
        <v>1.0900000000000001</v>
      </c>
      <c r="S28" s="2010">
        <v>0</v>
      </c>
      <c r="T28" s="1957">
        <f t="shared" si="5"/>
        <v>1.28</v>
      </c>
      <c r="U28" s="1956">
        <v>0</v>
      </c>
      <c r="V28" s="3080">
        <f>F28*$AO28/1000000</f>
        <v>1.28</v>
      </c>
      <c r="W28" s="3090">
        <v>0</v>
      </c>
      <c r="X28" s="1955">
        <f t="shared" si="6"/>
        <v>1.34</v>
      </c>
      <c r="Y28" s="299">
        <v>0</v>
      </c>
      <c r="Z28" s="3080">
        <f>G28*$AO28/1000000</f>
        <v>1.34</v>
      </c>
      <c r="AA28" s="2010">
        <v>0</v>
      </c>
      <c r="AB28" s="1957">
        <f t="shared" si="7"/>
        <v>1.36</v>
      </c>
      <c r="AC28" s="1956">
        <v>0</v>
      </c>
      <c r="AD28" s="3080">
        <f>H28*$AO28/1000000</f>
        <v>1.36</v>
      </c>
      <c r="AE28" s="2010">
        <v>0</v>
      </c>
      <c r="AF28" s="1957">
        <f t="shared" si="8"/>
        <v>1.4</v>
      </c>
      <c r="AG28" s="299">
        <v>0</v>
      </c>
      <c r="AH28" s="3080">
        <f>I28*$AO28/1000000</f>
        <v>1.4</v>
      </c>
      <c r="AI28" s="2010">
        <v>0</v>
      </c>
      <c r="AJ28" s="1957">
        <f t="shared" si="80"/>
        <v>1.4</v>
      </c>
      <c r="AK28" s="299">
        <v>0</v>
      </c>
      <c r="AL28" s="3080">
        <f>J28*AO28/1000000</f>
        <v>1.4</v>
      </c>
      <c r="AM28" s="2011">
        <v>0</v>
      </c>
      <c r="AN28" s="300">
        <f t="shared" si="1"/>
        <v>0.4</v>
      </c>
      <c r="AO28" s="2012">
        <f>'Table 5a'!P25</f>
        <v>161</v>
      </c>
      <c r="AP28" s="1957">
        <f t="shared" si="9"/>
        <v>1.48</v>
      </c>
      <c r="AQ28" s="299">
        <f>AG28</f>
        <v>0</v>
      </c>
      <c r="AR28" s="3080">
        <f t="shared" si="83"/>
        <v>1.48</v>
      </c>
      <c r="AS28" s="3090">
        <v>0</v>
      </c>
      <c r="AU28" s="1959">
        <f t="shared" si="11"/>
        <v>2202</v>
      </c>
      <c r="AV28" s="1960">
        <f t="shared" si="12"/>
        <v>0.4</v>
      </c>
    </row>
    <row r="29" spans="1:48" ht="15.75" customHeight="1" thickBot="1">
      <c r="A29" s="3275"/>
      <c r="B29" s="2177" t="s">
        <v>127</v>
      </c>
      <c r="C29" s="2030" t="s">
        <v>128</v>
      </c>
      <c r="D29" s="1963">
        <v>6844</v>
      </c>
      <c r="E29" s="2032">
        <v>8385</v>
      </c>
      <c r="F29" s="2033">
        <v>8403</v>
      </c>
      <c r="G29" s="2033">
        <v>8403</v>
      </c>
      <c r="H29" s="2033">
        <v>8403</v>
      </c>
      <c r="I29" s="2034">
        <v>8403</v>
      </c>
      <c r="J29" s="2034">
        <v>9365</v>
      </c>
      <c r="K29" s="2036">
        <v>10851</v>
      </c>
      <c r="L29" s="197">
        <f t="shared" si="2"/>
        <v>0.37</v>
      </c>
      <c r="M29" s="2037">
        <f t="shared" si="3"/>
        <v>0</v>
      </c>
      <c r="N29" s="2038">
        <v>0</v>
      </c>
      <c r="O29" s="51">
        <v>0</v>
      </c>
      <c r="P29" s="1021">
        <f t="shared" si="4"/>
        <v>0</v>
      </c>
      <c r="Q29" s="2038">
        <v>0</v>
      </c>
      <c r="R29" s="3078">
        <f>(E29*$AO29/1000000)-S29</f>
        <v>0</v>
      </c>
      <c r="S29" s="2042">
        <v>1.29</v>
      </c>
      <c r="T29" s="2040">
        <f t="shared" si="5"/>
        <v>0</v>
      </c>
      <c r="U29" s="2038">
        <v>0</v>
      </c>
      <c r="V29" s="3078">
        <f>(F29*$AO29/1000000)-W29</f>
        <v>0</v>
      </c>
      <c r="W29" s="3091">
        <v>1.29</v>
      </c>
      <c r="X29" s="2037">
        <f t="shared" si="6"/>
        <v>0</v>
      </c>
      <c r="Y29" s="1022">
        <v>0</v>
      </c>
      <c r="Z29" s="3078">
        <f>(G29*$AO29/1000000)-AA29</f>
        <v>0</v>
      </c>
      <c r="AA29" s="2042">
        <v>1.29</v>
      </c>
      <c r="AB29" s="2040">
        <f t="shared" si="7"/>
        <v>0</v>
      </c>
      <c r="AC29" s="2038">
        <v>0</v>
      </c>
      <c r="AD29" s="3078">
        <f>(H29*$AO29/1000000)-AE29</f>
        <v>0</v>
      </c>
      <c r="AE29" s="2042">
        <v>1.29</v>
      </c>
      <c r="AF29" s="2040">
        <f t="shared" si="8"/>
        <v>0</v>
      </c>
      <c r="AG29" s="1022">
        <v>0</v>
      </c>
      <c r="AH29" s="3078">
        <f>(I29*$AO29/1000000)-AI29</f>
        <v>0</v>
      </c>
      <c r="AI29" s="2042">
        <v>1.29</v>
      </c>
      <c r="AJ29" s="2040">
        <f t="shared" si="80"/>
        <v>0</v>
      </c>
      <c r="AK29" s="1022">
        <v>0</v>
      </c>
      <c r="AL29" s="3078">
        <f>(J29*AO29/1000000)-AM29</f>
        <v>0</v>
      </c>
      <c r="AM29" s="2043">
        <v>1.44</v>
      </c>
      <c r="AN29" s="216" t="s">
        <v>16</v>
      </c>
      <c r="AO29" s="2044">
        <f>'Table 5a'!P36</f>
        <v>154</v>
      </c>
      <c r="AP29" s="2040">
        <f t="shared" si="9"/>
        <v>0</v>
      </c>
      <c r="AQ29" s="1022">
        <f>AG29</f>
        <v>0</v>
      </c>
      <c r="AR29" s="3078">
        <f>(SUM(AL29:AM29)*1.06)-AS29</f>
        <v>0</v>
      </c>
      <c r="AS29" s="3096">
        <v>1.53</v>
      </c>
      <c r="AU29" s="2045">
        <f t="shared" si="11"/>
        <v>2521</v>
      </c>
      <c r="AV29" s="2046">
        <f t="shared" si="12"/>
        <v>0</v>
      </c>
    </row>
    <row r="30" spans="1:48" ht="16.5" customHeight="1" thickTop="1" thickBot="1">
      <c r="A30" s="3276"/>
      <c r="B30" s="3277" t="s">
        <v>129</v>
      </c>
      <c r="C30" s="3278"/>
      <c r="D30" s="1978">
        <f>SUM(D25:D29)</f>
        <v>137842</v>
      </c>
      <c r="E30" s="2178">
        <f t="shared" ref="E30:I30" si="86">SUM(E25:E29)</f>
        <v>147628</v>
      </c>
      <c r="F30" s="2179">
        <f t="shared" si="86"/>
        <v>158325</v>
      </c>
      <c r="G30" s="2179">
        <f t="shared" si="86"/>
        <v>161667</v>
      </c>
      <c r="H30" s="2179">
        <f t="shared" si="86"/>
        <v>173617</v>
      </c>
      <c r="I30" s="2180">
        <f t="shared" si="86"/>
        <v>180477</v>
      </c>
      <c r="J30" s="2180">
        <f>SUM(J25:J29)</f>
        <v>188935</v>
      </c>
      <c r="K30" s="2181">
        <f>SUM(K25:K29)</f>
        <v>441276</v>
      </c>
      <c r="L30" s="241">
        <f t="shared" si="2"/>
        <v>0.37</v>
      </c>
      <c r="M30" s="2182">
        <f t="shared" si="3"/>
        <v>12.89</v>
      </c>
      <c r="N30" s="2183">
        <f>SUM(N25:N29)</f>
        <v>0</v>
      </c>
      <c r="O30" s="315">
        <f t="shared" ref="O30" si="87">SUM(O25:O29)</f>
        <v>12.89</v>
      </c>
      <c r="P30" s="60">
        <f t="shared" si="4"/>
        <v>13.7</v>
      </c>
      <c r="Q30" s="2183">
        <f t="shared" ref="Q30:AL30" si="88">SUM(Q25:Q29)</f>
        <v>0</v>
      </c>
      <c r="R30" s="3071">
        <f t="shared" si="88"/>
        <v>13.7</v>
      </c>
      <c r="S30" s="103">
        <f>SUM(S25:S29)</f>
        <v>1.29</v>
      </c>
      <c r="T30" s="2184">
        <f t="shared" si="5"/>
        <v>15.29</v>
      </c>
      <c r="U30" s="2183">
        <f t="shared" ref="U30" si="89">SUM(U25:U29)</f>
        <v>0</v>
      </c>
      <c r="V30" s="111">
        <f t="shared" si="88"/>
        <v>15.29</v>
      </c>
      <c r="W30" s="3098">
        <f>SUM(W25:W29)</f>
        <v>1.29</v>
      </c>
      <c r="X30" s="2182">
        <f t="shared" si="6"/>
        <v>15.63</v>
      </c>
      <c r="Y30" s="106">
        <f t="shared" ref="Y30" si="90">SUM(Y25:Y29)</f>
        <v>0</v>
      </c>
      <c r="Z30" s="3071">
        <f t="shared" si="88"/>
        <v>15.63</v>
      </c>
      <c r="AA30" s="103">
        <f>SUM(AA25:AA29)</f>
        <v>1.29</v>
      </c>
      <c r="AB30" s="2184">
        <f t="shared" si="7"/>
        <v>16.77</v>
      </c>
      <c r="AC30" s="2183">
        <f t="shared" ref="AC30" si="91">SUM(AC25:AC29)</f>
        <v>0</v>
      </c>
      <c r="AD30" s="3071">
        <f t="shared" si="88"/>
        <v>16.77</v>
      </c>
      <c r="AE30" s="103">
        <f>SUM(AE25:AE29)</f>
        <v>1.29</v>
      </c>
      <c r="AF30" s="2184">
        <f t="shared" si="8"/>
        <v>17.440000000000001</v>
      </c>
      <c r="AG30" s="106">
        <f t="shared" ref="AG30" si="92">SUM(AG25:AG29)</f>
        <v>0</v>
      </c>
      <c r="AH30" s="3071">
        <f t="shared" si="88"/>
        <v>17.440000000000001</v>
      </c>
      <c r="AI30" s="103">
        <f>SUM(AI25:AI29)</f>
        <v>1.29</v>
      </c>
      <c r="AJ30" s="2184">
        <f t="shared" ref="AJ30:AJ32" si="93">AL30-AK30</f>
        <v>18.16</v>
      </c>
      <c r="AK30" s="106">
        <f t="shared" ref="AK30" si="94">SUM(AK25:AK29)</f>
        <v>0</v>
      </c>
      <c r="AL30" s="3075">
        <f t="shared" si="88"/>
        <v>18.16</v>
      </c>
      <c r="AM30" s="61">
        <f>SUM(AM25:AM29)</f>
        <v>1.44</v>
      </c>
      <c r="AN30" s="202">
        <f t="shared" ref="AN30:AN38" si="95">(AL30-O30)/O30</f>
        <v>0.41</v>
      </c>
      <c r="AO30" s="3026" t="s">
        <v>16</v>
      </c>
      <c r="AP30" s="2184">
        <f t="shared" si="9"/>
        <v>19.25</v>
      </c>
      <c r="AQ30" s="106">
        <f>SUM(AQ25:AQ29)</f>
        <v>0</v>
      </c>
      <c r="AR30" s="3075">
        <f t="shared" ref="AR30" si="96">SUM(AR25:AR29)</f>
        <v>19.25</v>
      </c>
      <c r="AS30" s="3098">
        <f>SUM(AS25:AS29)</f>
        <v>1.53</v>
      </c>
      <c r="AU30" s="2185">
        <f t="shared" si="11"/>
        <v>51093</v>
      </c>
      <c r="AV30" s="2186">
        <f t="shared" si="12"/>
        <v>5.27</v>
      </c>
    </row>
    <row r="31" spans="1:48" ht="12.75" customHeight="1">
      <c r="A31" s="3274" t="s">
        <v>130</v>
      </c>
      <c r="B31" s="2164" t="s">
        <v>131</v>
      </c>
      <c r="C31" s="2165" t="s">
        <v>132</v>
      </c>
      <c r="D31" s="2211">
        <f>'Table 5a'!L27</f>
        <v>18697</v>
      </c>
      <c r="E31" s="2167">
        <v>19350</v>
      </c>
      <c r="F31" s="2168">
        <v>19898</v>
      </c>
      <c r="G31" s="2168">
        <v>20461</v>
      </c>
      <c r="H31" s="2168">
        <v>21040</v>
      </c>
      <c r="I31" s="2169">
        <v>21636</v>
      </c>
      <c r="J31" s="2169">
        <v>22252</v>
      </c>
      <c r="K31" s="2170">
        <v>59148</v>
      </c>
      <c r="L31" s="218">
        <f t="shared" si="2"/>
        <v>0.19</v>
      </c>
      <c r="M31" s="2984">
        <f t="shared" si="3"/>
        <v>3.28</v>
      </c>
      <c r="N31" s="117">
        <v>0</v>
      </c>
      <c r="O31" s="2994">
        <f>'Table 5a'!G27</f>
        <v>3.28</v>
      </c>
      <c r="P31" s="2984">
        <f t="shared" si="4"/>
        <v>3.42</v>
      </c>
      <c r="Q31" s="2172">
        <v>0</v>
      </c>
      <c r="R31" s="3079">
        <f>E31*$AO31/1000000</f>
        <v>3.42</v>
      </c>
      <c r="S31" s="2129">
        <v>0</v>
      </c>
      <c r="T31" s="2984">
        <f t="shared" si="5"/>
        <v>3.52</v>
      </c>
      <c r="U31" s="2172">
        <v>0</v>
      </c>
      <c r="V31" s="3079">
        <f>F31*$AO31/1000000</f>
        <v>3.52</v>
      </c>
      <c r="W31" s="3094">
        <v>0</v>
      </c>
      <c r="X31" s="2171">
        <f t="shared" si="6"/>
        <v>3.62</v>
      </c>
      <c r="Y31" s="117">
        <v>0</v>
      </c>
      <c r="Z31" s="3079">
        <f>G31*$AO31/1000000</f>
        <v>3.62</v>
      </c>
      <c r="AA31" s="2129">
        <v>0</v>
      </c>
      <c r="AB31" s="2173">
        <f t="shared" si="7"/>
        <v>3.72</v>
      </c>
      <c r="AC31" s="2172">
        <v>0</v>
      </c>
      <c r="AD31" s="3079">
        <f>H31*$AO31/1000000</f>
        <v>3.72</v>
      </c>
      <c r="AE31" s="2129">
        <v>0</v>
      </c>
      <c r="AF31" s="2173">
        <f t="shared" si="8"/>
        <v>3.83</v>
      </c>
      <c r="AG31" s="117">
        <v>0</v>
      </c>
      <c r="AH31" s="3079">
        <f>I31*$AO31/1000000</f>
        <v>3.83</v>
      </c>
      <c r="AI31" s="2129">
        <v>0</v>
      </c>
      <c r="AJ31" s="2173">
        <f t="shared" si="93"/>
        <v>3.94</v>
      </c>
      <c r="AK31" s="117">
        <v>0</v>
      </c>
      <c r="AL31" s="3079">
        <f>J31*AO31/1000000</f>
        <v>3.94</v>
      </c>
      <c r="AM31" s="2132">
        <v>0</v>
      </c>
      <c r="AN31" s="218">
        <f t="shared" si="95"/>
        <v>0.2</v>
      </c>
      <c r="AO31" s="2133">
        <f>'Table 5a'!P27</f>
        <v>177</v>
      </c>
      <c r="AP31" s="2173">
        <f t="shared" si="9"/>
        <v>4.18</v>
      </c>
      <c r="AQ31" s="117">
        <v>0</v>
      </c>
      <c r="AR31" s="3079">
        <f t="shared" ref="AR31:AR32" si="97">AL31*1.06</f>
        <v>4.18</v>
      </c>
      <c r="AS31" s="3094">
        <v>0</v>
      </c>
      <c r="AU31" s="2175">
        <f t="shared" si="11"/>
        <v>3555</v>
      </c>
      <c r="AV31" s="2176">
        <f t="shared" si="12"/>
        <v>0.66</v>
      </c>
    </row>
    <row r="32" spans="1:48" ht="15.75" customHeight="1" thickBot="1">
      <c r="A32" s="3275"/>
      <c r="B32" s="2029" t="s">
        <v>133</v>
      </c>
      <c r="C32" s="2030" t="s">
        <v>134</v>
      </c>
      <c r="D32" s="2031">
        <f>'Table 5a'!L28</f>
        <v>70</v>
      </c>
      <c r="E32" s="2119">
        <v>75</v>
      </c>
      <c r="F32" s="742">
        <v>88</v>
      </c>
      <c r="G32" s="742">
        <v>90</v>
      </c>
      <c r="H32" s="742">
        <v>94</v>
      </c>
      <c r="I32" s="2081">
        <v>94</v>
      </c>
      <c r="J32" s="2081">
        <v>94</v>
      </c>
      <c r="K32" s="2082">
        <v>465</v>
      </c>
      <c r="L32" s="216">
        <f t="shared" si="2"/>
        <v>0.34</v>
      </c>
      <c r="M32" s="2037">
        <f t="shared" si="3"/>
        <v>0.04</v>
      </c>
      <c r="N32" s="2038">
        <v>0</v>
      </c>
      <c r="O32" s="51">
        <f>'Table 5a'!G28</f>
        <v>0.04</v>
      </c>
      <c r="P32" s="1021">
        <f t="shared" si="4"/>
        <v>0.05</v>
      </c>
      <c r="Q32" s="2038">
        <v>0</v>
      </c>
      <c r="R32" s="3078">
        <f>E32*$AO32/1000000</f>
        <v>0.05</v>
      </c>
      <c r="S32" s="2042">
        <v>0</v>
      </c>
      <c r="T32" s="2040">
        <f t="shared" si="5"/>
        <v>0.06</v>
      </c>
      <c r="U32" s="2038">
        <v>0</v>
      </c>
      <c r="V32" s="3078">
        <f>F32*$AO32/1000000</f>
        <v>0.06</v>
      </c>
      <c r="W32" s="3091">
        <v>0</v>
      </c>
      <c r="X32" s="2037">
        <f t="shared" si="6"/>
        <v>0.06</v>
      </c>
      <c r="Y32" s="1022">
        <v>0</v>
      </c>
      <c r="Z32" s="3078">
        <f>G32*$AO32/1000000</f>
        <v>0.06</v>
      </c>
      <c r="AA32" s="2042">
        <v>0</v>
      </c>
      <c r="AB32" s="2040">
        <f t="shared" si="7"/>
        <v>0.06</v>
      </c>
      <c r="AC32" s="2038">
        <v>0</v>
      </c>
      <c r="AD32" s="3078">
        <f>H32*$AO32/1000000</f>
        <v>0.06</v>
      </c>
      <c r="AE32" s="2042">
        <v>0</v>
      </c>
      <c r="AF32" s="2040">
        <f t="shared" si="8"/>
        <v>0.06</v>
      </c>
      <c r="AG32" s="1022">
        <v>0</v>
      </c>
      <c r="AH32" s="3078">
        <f>I32*$AO32/1000000</f>
        <v>0.06</v>
      </c>
      <c r="AI32" s="2042">
        <v>0</v>
      </c>
      <c r="AJ32" s="2040">
        <f t="shared" si="93"/>
        <v>0.06</v>
      </c>
      <c r="AK32" s="1022">
        <v>0</v>
      </c>
      <c r="AL32" s="3078">
        <f>J32*AO32/1000000</f>
        <v>0.06</v>
      </c>
      <c r="AM32" s="2043">
        <v>0</v>
      </c>
      <c r="AN32" s="216">
        <f t="shared" si="95"/>
        <v>0.5</v>
      </c>
      <c r="AO32" s="2044">
        <f>'Table 5a'!P28</f>
        <v>635</v>
      </c>
      <c r="AP32" s="2040">
        <f t="shared" si="9"/>
        <v>0.06</v>
      </c>
      <c r="AQ32" s="1022">
        <v>0</v>
      </c>
      <c r="AR32" s="3078">
        <f t="shared" si="97"/>
        <v>0.06</v>
      </c>
      <c r="AS32" s="3093">
        <v>0</v>
      </c>
      <c r="AU32" s="1849">
        <f t="shared" si="11"/>
        <v>24</v>
      </c>
      <c r="AV32" s="2046">
        <f t="shared" si="12"/>
        <v>0.02</v>
      </c>
    </row>
    <row r="33" spans="1:48" ht="16.5" customHeight="1" thickTop="1" thickBot="1">
      <c r="A33" s="3276"/>
      <c r="B33" s="3277" t="s">
        <v>135</v>
      </c>
      <c r="C33" s="3278"/>
      <c r="D33" s="1978">
        <f t="shared" ref="D33:K33" si="98">SUM(D31:D32)</f>
        <v>18767</v>
      </c>
      <c r="E33" s="1979">
        <f t="shared" si="98"/>
        <v>19425</v>
      </c>
      <c r="F33" s="1980">
        <f t="shared" si="98"/>
        <v>19986</v>
      </c>
      <c r="G33" s="1980">
        <f t="shared" si="98"/>
        <v>20551</v>
      </c>
      <c r="H33" s="1980">
        <f t="shared" si="98"/>
        <v>21134</v>
      </c>
      <c r="I33" s="1981">
        <f t="shared" si="98"/>
        <v>21730</v>
      </c>
      <c r="J33" s="1981">
        <f t="shared" si="98"/>
        <v>22346</v>
      </c>
      <c r="K33" s="1983">
        <f t="shared" si="98"/>
        <v>59613</v>
      </c>
      <c r="L33" s="217">
        <f t="shared" si="2"/>
        <v>0.19</v>
      </c>
      <c r="M33" s="101">
        <f t="shared" si="3"/>
        <v>3.32</v>
      </c>
      <c r="N33" s="1984">
        <f>SUM(N31:N32)</f>
        <v>0</v>
      </c>
      <c r="O33" s="154">
        <f>SUM(O31:O32)</f>
        <v>3.32</v>
      </c>
      <c r="P33" s="100">
        <f t="shared" si="4"/>
        <v>3.47</v>
      </c>
      <c r="Q33" s="1984">
        <f>SUM(Q31:Q32)</f>
        <v>0</v>
      </c>
      <c r="R33" s="3074">
        <f>SUM(R31:R32)</f>
        <v>3.47</v>
      </c>
      <c r="S33" s="303">
        <f>SUM(S31:S32)</f>
        <v>0</v>
      </c>
      <c r="T33" s="1985">
        <f t="shared" si="5"/>
        <v>3.58</v>
      </c>
      <c r="U33" s="1984">
        <f>SUM(U31:U32)</f>
        <v>0</v>
      </c>
      <c r="V33" s="2546">
        <f>SUM(V31:V32)</f>
        <v>3.58</v>
      </c>
      <c r="W33" s="3099">
        <f>SUM(W31:W32)</f>
        <v>0</v>
      </c>
      <c r="X33" s="101">
        <f t="shared" si="6"/>
        <v>3.68</v>
      </c>
      <c r="Y33" s="108">
        <f>SUM(Y31:Y32)</f>
        <v>0</v>
      </c>
      <c r="Z33" s="303">
        <f>SUM(Z31:Z32)</f>
        <v>3.68</v>
      </c>
      <c r="AA33" s="3098">
        <f>SUM(AA31:AA32)</f>
        <v>0</v>
      </c>
      <c r="AB33" s="1985">
        <f t="shared" si="7"/>
        <v>3.78</v>
      </c>
      <c r="AC33" s="1984">
        <f>SUM(AC31:AC32)</f>
        <v>0</v>
      </c>
      <c r="AD33" s="3074">
        <f>SUM(AD31:AD32)</f>
        <v>3.78</v>
      </c>
      <c r="AE33" s="303">
        <f>SUM(AE31:AE32)</f>
        <v>0</v>
      </c>
      <c r="AF33" s="1985">
        <f t="shared" si="8"/>
        <v>3.89</v>
      </c>
      <c r="AG33" s="108">
        <f>SUM(AG31:AG32)</f>
        <v>0</v>
      </c>
      <c r="AH33" s="3074">
        <f>SUM(AH31:AH32)</f>
        <v>3.89</v>
      </c>
      <c r="AI33" s="303">
        <f>SUM(AI31:AI32)</f>
        <v>0</v>
      </c>
      <c r="AJ33" s="1985">
        <f t="shared" ref="AJ33:AJ41" si="99">AL33-AK33</f>
        <v>4</v>
      </c>
      <c r="AK33" s="108">
        <f>SUM(AK31:AK32)</f>
        <v>0</v>
      </c>
      <c r="AL33" s="3074">
        <f>SUM(AL31:AL32)</f>
        <v>4</v>
      </c>
      <c r="AM33" s="21">
        <f>SUM(AM31:AM32)</f>
        <v>0</v>
      </c>
      <c r="AN33" s="202">
        <f t="shared" si="95"/>
        <v>0.2</v>
      </c>
      <c r="AO33" s="3027" t="s">
        <v>16</v>
      </c>
      <c r="AP33" s="1985">
        <f t="shared" si="9"/>
        <v>4.24</v>
      </c>
      <c r="AQ33" s="108">
        <f>SUM(AQ31:AQ32)</f>
        <v>0</v>
      </c>
      <c r="AR33" s="3074">
        <f>SUM(AR31:AR32)</f>
        <v>4.24</v>
      </c>
      <c r="AS33" s="3098">
        <f>SUM(AS31:AS32)</f>
        <v>0</v>
      </c>
      <c r="AU33" s="1986">
        <f t="shared" si="11"/>
        <v>3579</v>
      </c>
      <c r="AV33" s="1987">
        <f t="shared" si="12"/>
        <v>0.68</v>
      </c>
    </row>
    <row r="34" spans="1:48">
      <c r="A34" s="3274" t="s">
        <v>136</v>
      </c>
      <c r="B34" s="63" t="s">
        <v>137</v>
      </c>
      <c r="C34" s="2187" t="s">
        <v>138</v>
      </c>
      <c r="D34" s="2047">
        <f>'Table 5a'!L30</f>
        <v>1015</v>
      </c>
      <c r="E34" s="2167">
        <v>1015</v>
      </c>
      <c r="F34" s="2168">
        <v>1015</v>
      </c>
      <c r="G34" s="2168">
        <v>1015</v>
      </c>
      <c r="H34" s="2168">
        <v>1015</v>
      </c>
      <c r="I34" s="2169">
        <v>1015</v>
      </c>
      <c r="J34" s="2169">
        <v>1015</v>
      </c>
      <c r="K34" s="2170">
        <v>1015</v>
      </c>
      <c r="L34" s="208">
        <f t="shared" si="2"/>
        <v>0</v>
      </c>
      <c r="M34" s="2171">
        <f t="shared" si="3"/>
        <v>0.08</v>
      </c>
      <c r="N34" s="2172">
        <v>0</v>
      </c>
      <c r="O34" s="675">
        <f>'Table 5a'!G30</f>
        <v>0.08</v>
      </c>
      <c r="P34" s="102">
        <f t="shared" si="4"/>
        <v>0.08</v>
      </c>
      <c r="Q34" s="2172">
        <v>0</v>
      </c>
      <c r="R34" s="3079">
        <f>E34*$AO34/1000000</f>
        <v>0.08</v>
      </c>
      <c r="S34" s="2129">
        <v>0</v>
      </c>
      <c r="T34" s="2173">
        <f t="shared" si="5"/>
        <v>0.08</v>
      </c>
      <c r="U34" s="2172">
        <v>0</v>
      </c>
      <c r="V34" s="3079">
        <f>F34*$AO34/1000000</f>
        <v>0.08</v>
      </c>
      <c r="W34" s="3094">
        <v>0</v>
      </c>
      <c r="X34" s="2171">
        <f t="shared" si="6"/>
        <v>0.08</v>
      </c>
      <c r="Y34" s="117">
        <v>0</v>
      </c>
      <c r="Z34" s="3079">
        <f>G34*$AO34/1000000</f>
        <v>0.08</v>
      </c>
      <c r="AA34" s="2129">
        <v>0</v>
      </c>
      <c r="AB34" s="2173">
        <f t="shared" si="7"/>
        <v>0.08</v>
      </c>
      <c r="AC34" s="2172">
        <v>0</v>
      </c>
      <c r="AD34" s="3079">
        <f>H34*$AO34/1000000</f>
        <v>0.08</v>
      </c>
      <c r="AE34" s="2129">
        <v>0</v>
      </c>
      <c r="AF34" s="2173">
        <f t="shared" si="8"/>
        <v>0.08</v>
      </c>
      <c r="AG34" s="117">
        <v>0</v>
      </c>
      <c r="AH34" s="3079">
        <f>I34*$AO34/1000000</f>
        <v>0.08</v>
      </c>
      <c r="AI34" s="2129">
        <v>0</v>
      </c>
      <c r="AJ34" s="2173">
        <f t="shared" si="99"/>
        <v>0.08</v>
      </c>
      <c r="AK34" s="117">
        <v>0</v>
      </c>
      <c r="AL34" s="3079">
        <f>J34*AO34/1000000</f>
        <v>0.08</v>
      </c>
      <c r="AM34" s="3115">
        <v>0</v>
      </c>
      <c r="AN34" s="232">
        <f t="shared" si="95"/>
        <v>0</v>
      </c>
      <c r="AO34" s="2188">
        <f>'Table 5a'!P30</f>
        <v>77</v>
      </c>
      <c r="AP34" s="2173">
        <f t="shared" si="9"/>
        <v>0.08</v>
      </c>
      <c r="AQ34" s="117">
        <f t="shared" ref="AQ34:AQ41" si="100">AG34</f>
        <v>0</v>
      </c>
      <c r="AR34" s="3079">
        <f t="shared" ref="AR34:AR41" si="101">AL34*1.06</f>
        <v>0.08</v>
      </c>
      <c r="AS34" s="3097">
        <v>0</v>
      </c>
      <c r="AU34" s="2175">
        <f t="shared" si="11"/>
        <v>0</v>
      </c>
      <c r="AV34" s="2176">
        <f t="shared" si="12"/>
        <v>0</v>
      </c>
    </row>
    <row r="35" spans="1:48">
      <c r="A35" s="3275"/>
      <c r="B35" s="1859" t="s">
        <v>139</v>
      </c>
      <c r="C35" s="2189" t="s">
        <v>140</v>
      </c>
      <c r="D35" s="1953">
        <f>'Table 5a'!L31</f>
        <v>1385</v>
      </c>
      <c r="E35" s="1954">
        <v>1419</v>
      </c>
      <c r="F35" s="814">
        <v>1462</v>
      </c>
      <c r="G35" s="814">
        <v>2085</v>
      </c>
      <c r="H35" s="814">
        <v>2085</v>
      </c>
      <c r="I35" s="807">
        <v>2260</v>
      </c>
      <c r="J35" s="807">
        <v>2260</v>
      </c>
      <c r="K35" s="305">
        <v>5578</v>
      </c>
      <c r="L35" s="1862">
        <f t="shared" si="2"/>
        <v>0.63</v>
      </c>
      <c r="M35" s="1955">
        <f t="shared" si="3"/>
        <v>0.22</v>
      </c>
      <c r="N35" s="1956">
        <v>0</v>
      </c>
      <c r="O35" s="633">
        <f>'Table 5a'!G31</f>
        <v>0.22</v>
      </c>
      <c r="P35" s="1000">
        <f t="shared" si="4"/>
        <v>0.23</v>
      </c>
      <c r="Q35" s="1956">
        <v>0</v>
      </c>
      <c r="R35" s="3080">
        <f>E35*$AO35/1000000</f>
        <v>0.23</v>
      </c>
      <c r="S35" s="2010">
        <v>0</v>
      </c>
      <c r="T35" s="1957">
        <f t="shared" si="5"/>
        <v>0.24</v>
      </c>
      <c r="U35" s="1956">
        <v>0</v>
      </c>
      <c r="V35" s="3080">
        <f>F35*$AO35/1000000</f>
        <v>0.24</v>
      </c>
      <c r="W35" s="3090">
        <v>0</v>
      </c>
      <c r="X35" s="1955">
        <f t="shared" si="6"/>
        <v>0.34</v>
      </c>
      <c r="Y35" s="299">
        <v>0</v>
      </c>
      <c r="Z35" s="3080">
        <f>G35*$AO35/1000000</f>
        <v>0.34</v>
      </c>
      <c r="AA35" s="2010">
        <v>0</v>
      </c>
      <c r="AB35" s="1957">
        <f t="shared" si="7"/>
        <v>0.34</v>
      </c>
      <c r="AC35" s="1956">
        <v>0</v>
      </c>
      <c r="AD35" s="3080">
        <f>H35*$AO35/1000000</f>
        <v>0.34</v>
      </c>
      <c r="AE35" s="2010">
        <v>0</v>
      </c>
      <c r="AF35" s="1957">
        <f t="shared" si="8"/>
        <v>0.36</v>
      </c>
      <c r="AG35" s="299">
        <v>0</v>
      </c>
      <c r="AH35" s="3080">
        <f>I35*$AO35/1000000</f>
        <v>0.36</v>
      </c>
      <c r="AI35" s="2010">
        <v>0</v>
      </c>
      <c r="AJ35" s="1957">
        <f t="shared" si="99"/>
        <v>0.36</v>
      </c>
      <c r="AK35" s="299">
        <v>0</v>
      </c>
      <c r="AL35" s="3080">
        <f>J35*AO35/1000000</f>
        <v>0.36</v>
      </c>
      <c r="AM35" s="2011">
        <v>0</v>
      </c>
      <c r="AN35" s="300">
        <f t="shared" si="95"/>
        <v>0.64</v>
      </c>
      <c r="AO35" s="2190">
        <f>'Table 5a'!P31</f>
        <v>161</v>
      </c>
      <c r="AP35" s="1957">
        <f t="shared" si="9"/>
        <v>0.38</v>
      </c>
      <c r="AQ35" s="299">
        <f t="shared" si="100"/>
        <v>0</v>
      </c>
      <c r="AR35" s="3080">
        <f t="shared" si="101"/>
        <v>0.38</v>
      </c>
      <c r="AS35" s="3090">
        <v>0</v>
      </c>
      <c r="AU35" s="1959">
        <f t="shared" si="11"/>
        <v>875</v>
      </c>
      <c r="AV35" s="1960">
        <f t="shared" si="12"/>
        <v>0.14000000000000001</v>
      </c>
    </row>
    <row r="36" spans="1:48">
      <c r="A36" s="3275"/>
      <c r="B36" s="1859" t="s">
        <v>141</v>
      </c>
      <c r="C36" s="2189" t="s">
        <v>142</v>
      </c>
      <c r="D36" s="1953">
        <f>'Table 5a'!L32</f>
        <v>23279</v>
      </c>
      <c r="E36" s="1954">
        <v>24555</v>
      </c>
      <c r="F36" s="814">
        <v>24555</v>
      </c>
      <c r="G36" s="814">
        <v>24555</v>
      </c>
      <c r="H36" s="814">
        <v>24555</v>
      </c>
      <c r="I36" s="807">
        <v>26195</v>
      </c>
      <c r="J36" s="807">
        <v>26195</v>
      </c>
      <c r="K36" s="305">
        <v>26195</v>
      </c>
      <c r="L36" s="1862">
        <f t="shared" si="2"/>
        <v>0.13</v>
      </c>
      <c r="M36" s="1955">
        <f t="shared" si="3"/>
        <v>2.4900000000000002</v>
      </c>
      <c r="N36" s="1956">
        <v>0</v>
      </c>
      <c r="O36" s="633">
        <f>'Table 5a'!G32</f>
        <v>2.4900000000000002</v>
      </c>
      <c r="P36" s="1000">
        <f t="shared" si="4"/>
        <v>2.63</v>
      </c>
      <c r="Q36" s="1956">
        <v>0</v>
      </c>
      <c r="R36" s="3080">
        <f>E36*$AO36/1000000</f>
        <v>2.63</v>
      </c>
      <c r="S36" s="2010">
        <v>0</v>
      </c>
      <c r="T36" s="1957">
        <f t="shared" si="5"/>
        <v>2.63</v>
      </c>
      <c r="U36" s="1956">
        <v>0</v>
      </c>
      <c r="V36" s="3080">
        <f>F36*$AO36/1000000</f>
        <v>2.63</v>
      </c>
      <c r="W36" s="3090">
        <v>0</v>
      </c>
      <c r="X36" s="1955">
        <f t="shared" si="6"/>
        <v>2.63</v>
      </c>
      <c r="Y36" s="299">
        <v>0</v>
      </c>
      <c r="Z36" s="3080">
        <f>G36*$AO36/1000000</f>
        <v>2.63</v>
      </c>
      <c r="AA36" s="2010">
        <v>0</v>
      </c>
      <c r="AB36" s="1957">
        <f t="shared" si="7"/>
        <v>2.63</v>
      </c>
      <c r="AC36" s="1956">
        <v>0</v>
      </c>
      <c r="AD36" s="3080">
        <f>H36*$AO36/1000000</f>
        <v>2.63</v>
      </c>
      <c r="AE36" s="2010">
        <v>0</v>
      </c>
      <c r="AF36" s="1957">
        <f t="shared" si="8"/>
        <v>2.8</v>
      </c>
      <c r="AG36" s="299">
        <v>0</v>
      </c>
      <c r="AH36" s="3080">
        <f>I36*$AO36/1000000</f>
        <v>2.8</v>
      </c>
      <c r="AI36" s="2010">
        <v>0</v>
      </c>
      <c r="AJ36" s="1957">
        <f t="shared" si="99"/>
        <v>2.8</v>
      </c>
      <c r="AK36" s="299">
        <v>0</v>
      </c>
      <c r="AL36" s="3080">
        <f>J36*AO36/1000000</f>
        <v>2.8</v>
      </c>
      <c r="AM36" s="2011">
        <v>0</v>
      </c>
      <c r="AN36" s="300">
        <f t="shared" si="95"/>
        <v>0.12</v>
      </c>
      <c r="AO36" s="2190">
        <f>'Table 5a'!P32</f>
        <v>107</v>
      </c>
      <c r="AP36" s="1957">
        <f t="shared" si="9"/>
        <v>2.97</v>
      </c>
      <c r="AQ36" s="299">
        <f t="shared" si="100"/>
        <v>0</v>
      </c>
      <c r="AR36" s="3080">
        <f t="shared" si="101"/>
        <v>2.97</v>
      </c>
      <c r="AS36" s="3096">
        <v>0</v>
      </c>
      <c r="AU36" s="1959">
        <f t="shared" si="11"/>
        <v>2916</v>
      </c>
      <c r="AV36" s="1960">
        <f t="shared" si="12"/>
        <v>0.31</v>
      </c>
    </row>
    <row r="37" spans="1:48">
      <c r="A37" s="3275"/>
      <c r="B37" s="1859" t="s">
        <v>143</v>
      </c>
      <c r="C37" s="2189" t="s">
        <v>144</v>
      </c>
      <c r="D37" s="1953">
        <f>'Table 5a'!L33</f>
        <v>22674</v>
      </c>
      <c r="E37" s="1954">
        <v>26370</v>
      </c>
      <c r="F37" s="814">
        <v>26370</v>
      </c>
      <c r="G37" s="814">
        <v>26370</v>
      </c>
      <c r="H37" s="814">
        <v>26370</v>
      </c>
      <c r="I37" s="807">
        <v>26370</v>
      </c>
      <c r="J37" s="807">
        <v>26370</v>
      </c>
      <c r="K37" s="305">
        <v>26370</v>
      </c>
      <c r="L37" s="1862">
        <f t="shared" si="2"/>
        <v>0.16</v>
      </c>
      <c r="M37" s="1955">
        <f t="shared" si="3"/>
        <v>2.36</v>
      </c>
      <c r="N37" s="1956">
        <v>0</v>
      </c>
      <c r="O37" s="633">
        <f>'Table 5a'!G33</f>
        <v>2.36</v>
      </c>
      <c r="P37" s="1000">
        <f t="shared" si="4"/>
        <v>2.69</v>
      </c>
      <c r="Q37" s="1956">
        <v>0</v>
      </c>
      <c r="R37" s="3080">
        <f>E37*$AO37/1000000</f>
        <v>2.69</v>
      </c>
      <c r="S37" s="2010">
        <v>0</v>
      </c>
      <c r="T37" s="1957">
        <f t="shared" si="5"/>
        <v>2.69</v>
      </c>
      <c r="U37" s="1956">
        <v>0</v>
      </c>
      <c r="V37" s="3080">
        <f>F37*$AO37/1000000</f>
        <v>2.69</v>
      </c>
      <c r="W37" s="3090">
        <v>0</v>
      </c>
      <c r="X37" s="1955">
        <f t="shared" si="6"/>
        <v>2.69</v>
      </c>
      <c r="Y37" s="299">
        <v>0</v>
      </c>
      <c r="Z37" s="3080">
        <f>G37*$AO37/1000000</f>
        <v>2.69</v>
      </c>
      <c r="AA37" s="2010">
        <v>0</v>
      </c>
      <c r="AB37" s="1957">
        <f t="shared" si="7"/>
        <v>2.69</v>
      </c>
      <c r="AC37" s="1956">
        <v>0</v>
      </c>
      <c r="AD37" s="3080">
        <f>H37*$AO37/1000000</f>
        <v>2.69</v>
      </c>
      <c r="AE37" s="2010">
        <v>0</v>
      </c>
      <c r="AF37" s="1957">
        <f t="shared" si="8"/>
        <v>2.69</v>
      </c>
      <c r="AG37" s="299">
        <v>0</v>
      </c>
      <c r="AH37" s="3080">
        <f>I37*$AO37/1000000</f>
        <v>2.69</v>
      </c>
      <c r="AI37" s="2010">
        <v>0</v>
      </c>
      <c r="AJ37" s="1957">
        <f t="shared" si="99"/>
        <v>2.69</v>
      </c>
      <c r="AK37" s="299">
        <v>0</v>
      </c>
      <c r="AL37" s="3080">
        <f>J37*AO37/1000000</f>
        <v>2.69</v>
      </c>
      <c r="AM37" s="2011">
        <v>0</v>
      </c>
      <c r="AN37" s="300">
        <f t="shared" si="95"/>
        <v>0.14000000000000001</v>
      </c>
      <c r="AO37" s="2190">
        <f>'Table 5a'!P33</f>
        <v>102</v>
      </c>
      <c r="AP37" s="1957">
        <f t="shared" si="9"/>
        <v>2.85</v>
      </c>
      <c r="AQ37" s="299">
        <f t="shared" si="100"/>
        <v>0</v>
      </c>
      <c r="AR37" s="3080">
        <f t="shared" si="101"/>
        <v>2.85</v>
      </c>
      <c r="AS37" s="3090">
        <v>0</v>
      </c>
      <c r="AU37" s="1959">
        <f t="shared" si="11"/>
        <v>3696</v>
      </c>
      <c r="AV37" s="1960">
        <f t="shared" si="12"/>
        <v>0.33</v>
      </c>
    </row>
    <row r="38" spans="1:48">
      <c r="A38" s="3275"/>
      <c r="B38" s="2191" t="s">
        <v>145</v>
      </c>
      <c r="C38" s="2189" t="s">
        <v>146</v>
      </c>
      <c r="D38" s="1953">
        <f>'Table 5a'!L34</f>
        <v>7270</v>
      </c>
      <c r="E38" s="1954">
        <v>7723</v>
      </c>
      <c r="F38" s="814">
        <v>7723</v>
      </c>
      <c r="G38" s="814">
        <v>7723</v>
      </c>
      <c r="H38" s="814">
        <v>7723</v>
      </c>
      <c r="I38" s="807">
        <v>7723</v>
      </c>
      <c r="J38" s="807">
        <v>7723</v>
      </c>
      <c r="K38" s="305">
        <v>7723</v>
      </c>
      <c r="L38" s="1862">
        <f t="shared" si="2"/>
        <v>0.06</v>
      </c>
      <c r="M38" s="1955">
        <f t="shared" si="3"/>
        <v>0.94</v>
      </c>
      <c r="N38" s="1956">
        <v>0</v>
      </c>
      <c r="O38" s="633">
        <f>'Table 5a'!G34</f>
        <v>0.94</v>
      </c>
      <c r="P38" s="1000">
        <f t="shared" si="4"/>
        <v>0.97</v>
      </c>
      <c r="Q38" s="1956">
        <v>0</v>
      </c>
      <c r="R38" s="3080">
        <f>E38*$AO38/1000000</f>
        <v>0.97</v>
      </c>
      <c r="S38" s="2010">
        <v>0</v>
      </c>
      <c r="T38" s="1957">
        <f t="shared" si="5"/>
        <v>0.97</v>
      </c>
      <c r="U38" s="1956">
        <v>0</v>
      </c>
      <c r="V38" s="3080">
        <f>F38*$AO38/1000000</f>
        <v>0.97</v>
      </c>
      <c r="W38" s="3090">
        <v>0</v>
      </c>
      <c r="X38" s="1955">
        <f t="shared" si="6"/>
        <v>0.97</v>
      </c>
      <c r="Y38" s="299">
        <v>0</v>
      </c>
      <c r="Z38" s="3080">
        <f>G38*$AO38/1000000</f>
        <v>0.97</v>
      </c>
      <c r="AA38" s="2010">
        <v>0</v>
      </c>
      <c r="AB38" s="1957">
        <f t="shared" si="7"/>
        <v>0.97</v>
      </c>
      <c r="AC38" s="1956">
        <v>0</v>
      </c>
      <c r="AD38" s="3080">
        <f>H38*$AO38/1000000</f>
        <v>0.97</v>
      </c>
      <c r="AE38" s="2010">
        <v>0</v>
      </c>
      <c r="AF38" s="1957">
        <f t="shared" si="8"/>
        <v>0.97</v>
      </c>
      <c r="AG38" s="299">
        <v>0</v>
      </c>
      <c r="AH38" s="3080">
        <f>I38*$AO38/1000000</f>
        <v>0.97</v>
      </c>
      <c r="AI38" s="2010">
        <v>0</v>
      </c>
      <c r="AJ38" s="1957">
        <f t="shared" si="99"/>
        <v>0.97</v>
      </c>
      <c r="AK38" s="299">
        <v>0</v>
      </c>
      <c r="AL38" s="3080">
        <f>J38*AO38/1000000</f>
        <v>0.97</v>
      </c>
      <c r="AM38" s="2011">
        <v>0</v>
      </c>
      <c r="AN38" s="300">
        <f t="shared" si="95"/>
        <v>0.03</v>
      </c>
      <c r="AO38" s="2190">
        <f>'Table 5a'!P34</f>
        <v>126</v>
      </c>
      <c r="AP38" s="1957">
        <f t="shared" si="9"/>
        <v>1.03</v>
      </c>
      <c r="AQ38" s="299">
        <f t="shared" si="100"/>
        <v>0</v>
      </c>
      <c r="AR38" s="3080">
        <f t="shared" si="101"/>
        <v>1.03</v>
      </c>
      <c r="AS38" s="3090">
        <v>0</v>
      </c>
      <c r="AU38" s="1959">
        <f t="shared" si="11"/>
        <v>453</v>
      </c>
      <c r="AV38" s="1960">
        <f t="shared" si="12"/>
        <v>0.03</v>
      </c>
    </row>
    <row r="39" spans="1:48" ht="25.5">
      <c r="A39" s="3275"/>
      <c r="B39" s="2192" t="s">
        <v>147</v>
      </c>
      <c r="C39" s="2189" t="s">
        <v>148</v>
      </c>
      <c r="D39" s="1953">
        <v>36</v>
      </c>
      <c r="E39" s="1954">
        <v>83</v>
      </c>
      <c r="F39" s="814">
        <v>83</v>
      </c>
      <c r="G39" s="814">
        <v>83</v>
      </c>
      <c r="H39" s="814">
        <v>83</v>
      </c>
      <c r="I39" s="807">
        <v>85</v>
      </c>
      <c r="J39" s="807">
        <v>85</v>
      </c>
      <c r="K39" s="305">
        <v>85</v>
      </c>
      <c r="L39" s="1862">
        <f t="shared" si="2"/>
        <v>1.36</v>
      </c>
      <c r="M39" s="1955">
        <f t="shared" si="3"/>
        <v>0</v>
      </c>
      <c r="N39" s="1956">
        <v>0</v>
      </c>
      <c r="O39" s="633">
        <v>0</v>
      </c>
      <c r="P39" s="1000">
        <f t="shared" si="4"/>
        <v>0</v>
      </c>
      <c r="Q39" s="1956">
        <v>0</v>
      </c>
      <c r="R39" s="3080">
        <v>0</v>
      </c>
      <c r="S39" s="2010">
        <v>0</v>
      </c>
      <c r="T39" s="1957">
        <f t="shared" si="5"/>
        <v>0</v>
      </c>
      <c r="U39" s="1956">
        <v>0</v>
      </c>
      <c r="V39" s="3080">
        <v>0</v>
      </c>
      <c r="W39" s="3090">
        <v>0</v>
      </c>
      <c r="X39" s="1955">
        <f t="shared" si="6"/>
        <v>0</v>
      </c>
      <c r="Y39" s="299">
        <v>0</v>
      </c>
      <c r="Z39" s="3080">
        <v>0</v>
      </c>
      <c r="AA39" s="2010">
        <v>0</v>
      </c>
      <c r="AB39" s="1957">
        <f t="shared" si="7"/>
        <v>0</v>
      </c>
      <c r="AC39" s="1956">
        <v>0</v>
      </c>
      <c r="AD39" s="3080">
        <v>0</v>
      </c>
      <c r="AE39" s="2010">
        <v>0</v>
      </c>
      <c r="AF39" s="1957">
        <f t="shared" si="8"/>
        <v>0</v>
      </c>
      <c r="AG39" s="299">
        <v>0</v>
      </c>
      <c r="AH39" s="3080">
        <v>0</v>
      </c>
      <c r="AI39" s="2010">
        <v>0</v>
      </c>
      <c r="AJ39" s="1957">
        <f t="shared" si="99"/>
        <v>0</v>
      </c>
      <c r="AK39" s="299">
        <v>0</v>
      </c>
      <c r="AL39" s="3080">
        <v>0</v>
      </c>
      <c r="AM39" s="2011">
        <v>0</v>
      </c>
      <c r="AN39" s="300" t="s">
        <v>16</v>
      </c>
      <c r="AO39" s="2193" t="s">
        <v>16</v>
      </c>
      <c r="AP39" s="1957">
        <f t="shared" si="9"/>
        <v>0</v>
      </c>
      <c r="AQ39" s="299">
        <f t="shared" si="100"/>
        <v>0</v>
      </c>
      <c r="AR39" s="3080">
        <f t="shared" si="101"/>
        <v>0</v>
      </c>
      <c r="AS39" s="3096">
        <v>0</v>
      </c>
      <c r="AU39" s="1959">
        <f t="shared" si="11"/>
        <v>49</v>
      </c>
      <c r="AV39" s="1960">
        <f t="shared" si="12"/>
        <v>0</v>
      </c>
    </row>
    <row r="40" spans="1:48">
      <c r="A40" s="3275"/>
      <c r="B40" s="2191" t="s">
        <v>149</v>
      </c>
      <c r="C40" s="2189" t="s">
        <v>150</v>
      </c>
      <c r="D40" s="1953">
        <f>'Table 5a'!L35</f>
        <v>3200</v>
      </c>
      <c r="E40" s="1954">
        <v>3235</v>
      </c>
      <c r="F40" s="814">
        <v>3313</v>
      </c>
      <c r="G40" s="814">
        <v>3313</v>
      </c>
      <c r="H40" s="814">
        <v>3313</v>
      </c>
      <c r="I40" s="807">
        <v>3313</v>
      </c>
      <c r="J40" s="807">
        <v>3313</v>
      </c>
      <c r="K40" s="305">
        <v>3313</v>
      </c>
      <c r="L40" s="1862">
        <f t="shared" si="2"/>
        <v>0.04</v>
      </c>
      <c r="M40" s="1955">
        <f t="shared" si="3"/>
        <v>0.28000000000000003</v>
      </c>
      <c r="N40" s="1956">
        <v>0</v>
      </c>
      <c r="O40" s="633">
        <f>'Table 5a'!G35</f>
        <v>0.28000000000000003</v>
      </c>
      <c r="P40" s="1000">
        <f t="shared" si="4"/>
        <v>0.28999999999999998</v>
      </c>
      <c r="Q40" s="1956">
        <v>0</v>
      </c>
      <c r="R40" s="3080">
        <f>E40*$AO40/1000000</f>
        <v>0.28999999999999998</v>
      </c>
      <c r="S40" s="2010">
        <v>0</v>
      </c>
      <c r="T40" s="1957">
        <f t="shared" si="5"/>
        <v>0.3</v>
      </c>
      <c r="U40" s="1956">
        <v>0</v>
      </c>
      <c r="V40" s="3080">
        <f>F40*$AO40/1000000</f>
        <v>0.3</v>
      </c>
      <c r="W40" s="3090">
        <v>0</v>
      </c>
      <c r="X40" s="1955">
        <f t="shared" si="6"/>
        <v>0.3</v>
      </c>
      <c r="Y40" s="299">
        <v>0</v>
      </c>
      <c r="Z40" s="3080">
        <f>G40*$AO40/1000000</f>
        <v>0.3</v>
      </c>
      <c r="AA40" s="2010">
        <v>0</v>
      </c>
      <c r="AB40" s="1957">
        <f t="shared" si="7"/>
        <v>0.3</v>
      </c>
      <c r="AC40" s="1956">
        <v>0</v>
      </c>
      <c r="AD40" s="3080">
        <f>H40*$AO40/1000000</f>
        <v>0.3</v>
      </c>
      <c r="AE40" s="2010">
        <v>0</v>
      </c>
      <c r="AF40" s="1957">
        <f t="shared" si="8"/>
        <v>0.3</v>
      </c>
      <c r="AG40" s="299">
        <v>0</v>
      </c>
      <c r="AH40" s="3080">
        <f>I40*$AO40/1000000</f>
        <v>0.3</v>
      </c>
      <c r="AI40" s="2010">
        <v>0</v>
      </c>
      <c r="AJ40" s="1957">
        <f t="shared" si="99"/>
        <v>0.3</v>
      </c>
      <c r="AK40" s="299">
        <v>0</v>
      </c>
      <c r="AL40" s="3080">
        <f>J40*AO40/1000000</f>
        <v>0.3</v>
      </c>
      <c r="AM40" s="2259">
        <v>0</v>
      </c>
      <c r="AN40" s="229">
        <f t="shared" ref="AN40:AN47" si="102">(AL40-O40)/O40</f>
        <v>7.0000000000000007E-2</v>
      </c>
      <c r="AO40" s="2194">
        <f>'Table 5a'!P35</f>
        <v>90</v>
      </c>
      <c r="AP40" s="1957">
        <f t="shared" si="9"/>
        <v>0.32</v>
      </c>
      <c r="AQ40" s="299">
        <f t="shared" si="100"/>
        <v>0</v>
      </c>
      <c r="AR40" s="3080">
        <f t="shared" si="101"/>
        <v>0.32</v>
      </c>
      <c r="AS40" s="3090">
        <v>0</v>
      </c>
      <c r="AU40" s="1959">
        <f t="shared" si="11"/>
        <v>113</v>
      </c>
      <c r="AV40" s="1960">
        <f t="shared" si="12"/>
        <v>0.02</v>
      </c>
    </row>
    <row r="41" spans="1:48" ht="13.5" thickBot="1">
      <c r="A41" s="3275"/>
      <c r="B41" s="2177" t="s">
        <v>151</v>
      </c>
      <c r="C41" s="2195" t="s">
        <v>128</v>
      </c>
      <c r="D41" s="2031">
        <v>634515</v>
      </c>
      <c r="E41" s="2032">
        <v>675817</v>
      </c>
      <c r="F41" s="2033">
        <v>725165</v>
      </c>
      <c r="G41" s="2033">
        <v>762861</v>
      </c>
      <c r="H41" s="2033">
        <v>796377</v>
      </c>
      <c r="I41" s="2034">
        <v>821884</v>
      </c>
      <c r="J41" s="2034">
        <v>845315</v>
      </c>
      <c r="K41" s="2036">
        <v>1295621</v>
      </c>
      <c r="L41" s="209">
        <f t="shared" si="2"/>
        <v>0.33</v>
      </c>
      <c r="M41" s="2037">
        <f t="shared" si="3"/>
        <v>100.15</v>
      </c>
      <c r="N41" s="2038">
        <v>0</v>
      </c>
      <c r="O41" s="51">
        <v>100.15</v>
      </c>
      <c r="P41" s="1021">
        <f t="shared" si="4"/>
        <v>104.08</v>
      </c>
      <c r="Q41" s="2038">
        <v>0</v>
      </c>
      <c r="R41" s="3078">
        <f>E41*$AO41/1000000</f>
        <v>104.08</v>
      </c>
      <c r="S41" s="2042">
        <v>0</v>
      </c>
      <c r="T41" s="2040">
        <f t="shared" si="5"/>
        <v>111.68</v>
      </c>
      <c r="U41" s="2038">
        <v>0</v>
      </c>
      <c r="V41" s="3078">
        <f>F41*$AO41/1000000</f>
        <v>111.68</v>
      </c>
      <c r="W41" s="3091">
        <v>0</v>
      </c>
      <c r="X41" s="2037">
        <f t="shared" si="6"/>
        <v>117.48</v>
      </c>
      <c r="Y41" s="1022">
        <v>0</v>
      </c>
      <c r="Z41" s="3078">
        <f>G41*$AO41/1000000</f>
        <v>117.48</v>
      </c>
      <c r="AA41" s="2042">
        <v>0</v>
      </c>
      <c r="AB41" s="2040">
        <f t="shared" si="7"/>
        <v>122.64</v>
      </c>
      <c r="AC41" s="2038">
        <v>0</v>
      </c>
      <c r="AD41" s="3078">
        <f>H41*$AO41/1000000</f>
        <v>122.64</v>
      </c>
      <c r="AE41" s="2042">
        <v>0</v>
      </c>
      <c r="AF41" s="2040">
        <f t="shared" si="8"/>
        <v>126.57</v>
      </c>
      <c r="AG41" s="1022">
        <v>0</v>
      </c>
      <c r="AH41" s="3078">
        <f>I41*$AO41/1000000</f>
        <v>126.57</v>
      </c>
      <c r="AI41" s="2042">
        <v>0</v>
      </c>
      <c r="AJ41" s="2040">
        <f t="shared" si="99"/>
        <v>130.18</v>
      </c>
      <c r="AK41" s="1022">
        <v>0</v>
      </c>
      <c r="AL41" s="3078">
        <f>J41*AO41/1000000</f>
        <v>130.18</v>
      </c>
      <c r="AM41" s="2043">
        <v>0</v>
      </c>
      <c r="AN41" s="216">
        <f t="shared" si="102"/>
        <v>0.3</v>
      </c>
      <c r="AO41" s="2044">
        <f>'Table 5a'!P36</f>
        <v>154</v>
      </c>
      <c r="AP41" s="2040">
        <f t="shared" si="9"/>
        <v>137.99</v>
      </c>
      <c r="AQ41" s="1022">
        <f t="shared" si="100"/>
        <v>0</v>
      </c>
      <c r="AR41" s="3078">
        <f t="shared" si="101"/>
        <v>137.99</v>
      </c>
      <c r="AS41" s="3091">
        <v>0</v>
      </c>
      <c r="AU41" s="2045">
        <f t="shared" si="11"/>
        <v>210800</v>
      </c>
      <c r="AV41" s="2046">
        <f t="shared" si="12"/>
        <v>30.03</v>
      </c>
    </row>
    <row r="42" spans="1:48" ht="14.25" thickTop="1" thickBot="1">
      <c r="A42" s="3275"/>
      <c r="B42" s="3277" t="s">
        <v>152</v>
      </c>
      <c r="C42" s="3278"/>
      <c r="D42" s="2196">
        <f t="shared" ref="D42:J42" si="103">SUM(D34:D41)</f>
        <v>693374</v>
      </c>
      <c r="E42" s="2178">
        <f t="shared" si="103"/>
        <v>740217</v>
      </c>
      <c r="F42" s="2179">
        <f t="shared" si="103"/>
        <v>789686</v>
      </c>
      <c r="G42" s="2179">
        <f t="shared" si="103"/>
        <v>828005</v>
      </c>
      <c r="H42" s="2179">
        <f t="shared" si="103"/>
        <v>861521</v>
      </c>
      <c r="I42" s="2180">
        <f t="shared" si="103"/>
        <v>888845</v>
      </c>
      <c r="J42" s="2180">
        <f t="shared" si="103"/>
        <v>912276</v>
      </c>
      <c r="K42" s="2181">
        <f>SUM(K34:K41)</f>
        <v>1365900</v>
      </c>
      <c r="L42" s="210">
        <f t="shared" si="2"/>
        <v>0.32</v>
      </c>
      <c r="M42" s="2182">
        <f t="shared" si="3"/>
        <v>106.52</v>
      </c>
      <c r="N42" s="2183">
        <f>SUM(N34:N41)</f>
        <v>0</v>
      </c>
      <c r="O42" s="315">
        <f t="shared" ref="O42" si="104">SUM(O34:O41)</f>
        <v>106.52</v>
      </c>
      <c r="P42" s="60">
        <f t="shared" si="4"/>
        <v>110.97</v>
      </c>
      <c r="Q42" s="2183">
        <f t="shared" ref="Q42:AL42" si="105">SUM(Q34:Q41)</f>
        <v>0</v>
      </c>
      <c r="R42" s="3075">
        <f t="shared" si="105"/>
        <v>110.97</v>
      </c>
      <c r="S42" s="103">
        <f>SUM(S34:S41)</f>
        <v>0</v>
      </c>
      <c r="T42" s="2184">
        <f t="shared" si="5"/>
        <v>118.59</v>
      </c>
      <c r="U42" s="2183">
        <f t="shared" ref="U42" si="106">SUM(U34:U41)</f>
        <v>0</v>
      </c>
      <c r="V42" s="2546">
        <f t="shared" si="105"/>
        <v>118.59</v>
      </c>
      <c r="W42" s="3100">
        <f>SUM(W34:W41)</f>
        <v>0</v>
      </c>
      <c r="X42" s="2182">
        <f t="shared" si="6"/>
        <v>124.49</v>
      </c>
      <c r="Y42" s="106">
        <f t="shared" ref="Y42" si="107">SUM(Y34:Y41)</f>
        <v>0</v>
      </c>
      <c r="Z42" s="3074">
        <f t="shared" si="105"/>
        <v>124.49</v>
      </c>
      <c r="AA42" s="103">
        <f>SUM(AA34:AA41)</f>
        <v>0</v>
      </c>
      <c r="AB42" s="2184">
        <f t="shared" si="7"/>
        <v>129.65</v>
      </c>
      <c r="AC42" s="2183">
        <f t="shared" ref="AC42" si="108">SUM(AC34:AC41)</f>
        <v>0</v>
      </c>
      <c r="AD42" s="3071">
        <f t="shared" si="105"/>
        <v>129.65</v>
      </c>
      <c r="AE42" s="103">
        <f>SUM(AE34:AE41)</f>
        <v>0</v>
      </c>
      <c r="AF42" s="2184">
        <f t="shared" si="8"/>
        <v>133.77000000000001</v>
      </c>
      <c r="AG42" s="106">
        <f t="shared" ref="AG42" si="109">SUM(AG34:AG41)</f>
        <v>0</v>
      </c>
      <c r="AH42" s="3075">
        <f t="shared" si="105"/>
        <v>133.77000000000001</v>
      </c>
      <c r="AI42" s="103">
        <f>SUM(AI34:AI41)</f>
        <v>0</v>
      </c>
      <c r="AJ42" s="2184">
        <f t="shared" ref="AJ42:AJ50" si="110">AL42-AK42</f>
        <v>137.38</v>
      </c>
      <c r="AK42" s="106">
        <f t="shared" ref="AK42" si="111">SUM(AK34:AK41)</f>
        <v>0</v>
      </c>
      <c r="AL42" s="2546">
        <f t="shared" si="105"/>
        <v>137.38</v>
      </c>
      <c r="AM42" s="61">
        <f>SUM(AM34:AM41)</f>
        <v>0</v>
      </c>
      <c r="AN42" s="2197">
        <f t="shared" si="102"/>
        <v>0.28999999999999998</v>
      </c>
      <c r="AO42" s="2198" t="s">
        <v>16</v>
      </c>
      <c r="AP42" s="2184">
        <f t="shared" si="9"/>
        <v>145.62</v>
      </c>
      <c r="AQ42" s="106">
        <f>SUM(AQ34:AQ41)</f>
        <v>0</v>
      </c>
      <c r="AR42" s="3075">
        <f t="shared" ref="AR42" si="112">SUM(AR34:AR41)</f>
        <v>145.62</v>
      </c>
      <c r="AS42" s="3099">
        <f>SUM(AS34:AS41)</f>
        <v>0</v>
      </c>
      <c r="AU42" s="2185">
        <f t="shared" si="11"/>
        <v>218902</v>
      </c>
      <c r="AV42" s="2186">
        <f t="shared" si="12"/>
        <v>30.86</v>
      </c>
    </row>
    <row r="43" spans="1:48">
      <c r="A43" s="3289" t="s">
        <v>153</v>
      </c>
      <c r="B43" s="2199" t="s">
        <v>154</v>
      </c>
      <c r="C43" s="2187" t="s">
        <v>155</v>
      </c>
      <c r="D43" s="2047">
        <f>'Table 5a'!L38</f>
        <v>4621</v>
      </c>
      <c r="E43" s="2167">
        <v>4677</v>
      </c>
      <c r="F43" s="2168">
        <v>4677</v>
      </c>
      <c r="G43" s="2168">
        <v>7044</v>
      </c>
      <c r="H43" s="2168">
        <v>7044</v>
      </c>
      <c r="I43" s="2169">
        <v>7044</v>
      </c>
      <c r="J43" s="2169">
        <v>7044</v>
      </c>
      <c r="K43" s="2170">
        <v>8327</v>
      </c>
      <c r="L43" s="208">
        <f t="shared" si="2"/>
        <v>0.52</v>
      </c>
      <c r="M43" s="2171">
        <f t="shared" si="3"/>
        <v>0.65</v>
      </c>
      <c r="N43" s="2172">
        <v>0</v>
      </c>
      <c r="O43" s="675">
        <f>'Table 5a'!G38</f>
        <v>0.65</v>
      </c>
      <c r="P43" s="102">
        <f t="shared" si="4"/>
        <v>0.67</v>
      </c>
      <c r="Q43" s="2172">
        <v>0</v>
      </c>
      <c r="R43" s="3079">
        <f>E43*$AO43/1000000</f>
        <v>0.67</v>
      </c>
      <c r="S43" s="2129">
        <v>0</v>
      </c>
      <c r="T43" s="2173">
        <f t="shared" si="5"/>
        <v>0.67</v>
      </c>
      <c r="U43" s="2172">
        <v>0</v>
      </c>
      <c r="V43" s="3079">
        <f>F43*$AO43/1000000</f>
        <v>0.67</v>
      </c>
      <c r="W43" s="3094">
        <v>0</v>
      </c>
      <c r="X43" s="2171">
        <f t="shared" si="6"/>
        <v>1.01</v>
      </c>
      <c r="Y43" s="117">
        <v>0</v>
      </c>
      <c r="Z43" s="3079">
        <f>G43*$AO43/1000000</f>
        <v>1.01</v>
      </c>
      <c r="AA43" s="2129">
        <v>0</v>
      </c>
      <c r="AB43" s="2173">
        <f t="shared" si="7"/>
        <v>1.01</v>
      </c>
      <c r="AC43" s="2172">
        <v>0</v>
      </c>
      <c r="AD43" s="3079">
        <f>H43*$AO43/1000000</f>
        <v>1.01</v>
      </c>
      <c r="AE43" s="2129">
        <v>0</v>
      </c>
      <c r="AF43" s="2173">
        <f t="shared" si="8"/>
        <v>1.01</v>
      </c>
      <c r="AG43" s="117">
        <v>0</v>
      </c>
      <c r="AH43" s="3079">
        <f>I43*$AO43/1000000</f>
        <v>1.01</v>
      </c>
      <c r="AI43" s="2129">
        <v>0</v>
      </c>
      <c r="AJ43" s="2173">
        <f t="shared" si="110"/>
        <v>1.01</v>
      </c>
      <c r="AK43" s="117">
        <v>0</v>
      </c>
      <c r="AL43" s="3079">
        <f>J43*AO43/1000000</f>
        <v>1.01</v>
      </c>
      <c r="AM43" s="3094">
        <v>0</v>
      </c>
      <c r="AN43" s="229">
        <f t="shared" si="102"/>
        <v>0.55000000000000004</v>
      </c>
      <c r="AO43" s="2194">
        <f>'Table 5a'!P38</f>
        <v>144</v>
      </c>
      <c r="AP43" s="2173">
        <f t="shared" si="9"/>
        <v>1.07</v>
      </c>
      <c r="AQ43" s="117">
        <f t="shared" ref="AQ43:AQ50" si="113">AG43</f>
        <v>0</v>
      </c>
      <c r="AR43" s="3079">
        <f t="shared" ref="AR43:AR50" si="114">AL43*1.06</f>
        <v>1.07</v>
      </c>
      <c r="AS43" s="3096">
        <v>0</v>
      </c>
      <c r="AU43" s="2175">
        <f t="shared" si="11"/>
        <v>2423</v>
      </c>
      <c r="AV43" s="2176">
        <f t="shared" si="12"/>
        <v>0.36</v>
      </c>
    </row>
    <row r="44" spans="1:48">
      <c r="A44" s="3283"/>
      <c r="B44" s="1859" t="s">
        <v>156</v>
      </c>
      <c r="C44" s="2189" t="s">
        <v>157</v>
      </c>
      <c r="D44" s="1953">
        <f>'Table 5a'!L39</f>
        <v>79819</v>
      </c>
      <c r="E44" s="1954">
        <v>92294</v>
      </c>
      <c r="F44" s="814">
        <v>105320</v>
      </c>
      <c r="G44" s="814">
        <v>112734</v>
      </c>
      <c r="H44" s="814">
        <v>121325</v>
      </c>
      <c r="I44" s="807">
        <v>125272</v>
      </c>
      <c r="J44" s="807">
        <v>125437</v>
      </c>
      <c r="K44" s="305">
        <v>365388</v>
      </c>
      <c r="L44" s="1862">
        <f t="shared" si="2"/>
        <v>0.56999999999999995</v>
      </c>
      <c r="M44" s="1955">
        <f t="shared" si="3"/>
        <v>7.07</v>
      </c>
      <c r="N44" s="1956">
        <v>0</v>
      </c>
      <c r="O44" s="633">
        <f>'Table 5a'!G39</f>
        <v>7.07</v>
      </c>
      <c r="P44" s="1000">
        <f t="shared" si="4"/>
        <v>8.1199999999999992</v>
      </c>
      <c r="Q44" s="1956">
        <v>0</v>
      </c>
      <c r="R44" s="3080">
        <f>E44*$AO44/1000000</f>
        <v>8.1199999999999992</v>
      </c>
      <c r="S44" s="2010">
        <v>0</v>
      </c>
      <c r="T44" s="1957">
        <f t="shared" si="5"/>
        <v>9.27</v>
      </c>
      <c r="U44" s="1956">
        <v>0</v>
      </c>
      <c r="V44" s="3080">
        <f>F44*$AO44/1000000</f>
        <v>9.27</v>
      </c>
      <c r="W44" s="3090">
        <v>0</v>
      </c>
      <c r="X44" s="1955">
        <f t="shared" si="6"/>
        <v>9.92</v>
      </c>
      <c r="Y44" s="299">
        <v>0</v>
      </c>
      <c r="Z44" s="3080">
        <f>G44*$AO44/1000000</f>
        <v>9.92</v>
      </c>
      <c r="AA44" s="2010">
        <v>0</v>
      </c>
      <c r="AB44" s="1957">
        <f t="shared" si="7"/>
        <v>10.68</v>
      </c>
      <c r="AC44" s="1956">
        <v>0</v>
      </c>
      <c r="AD44" s="3080">
        <f>H44*$AO44/1000000</f>
        <v>10.68</v>
      </c>
      <c r="AE44" s="2010">
        <v>0</v>
      </c>
      <c r="AF44" s="1957">
        <f t="shared" si="8"/>
        <v>11.02</v>
      </c>
      <c r="AG44" s="299">
        <v>0</v>
      </c>
      <c r="AH44" s="3080">
        <f>I44*$AO44/1000000</f>
        <v>11.02</v>
      </c>
      <c r="AI44" s="2010">
        <v>0</v>
      </c>
      <c r="AJ44" s="1957">
        <f t="shared" si="110"/>
        <v>11.04</v>
      </c>
      <c r="AK44" s="299">
        <v>0</v>
      </c>
      <c r="AL44" s="3080">
        <f>J44*AO44/1000000</f>
        <v>11.04</v>
      </c>
      <c r="AM44" s="2011">
        <v>0</v>
      </c>
      <c r="AN44" s="300">
        <f t="shared" si="102"/>
        <v>0.56000000000000005</v>
      </c>
      <c r="AO44" s="2190">
        <f>'Table 5a'!P39</f>
        <v>88</v>
      </c>
      <c r="AP44" s="1957">
        <f t="shared" si="9"/>
        <v>11.7</v>
      </c>
      <c r="AQ44" s="299">
        <f t="shared" si="113"/>
        <v>0</v>
      </c>
      <c r="AR44" s="3080">
        <f t="shared" si="114"/>
        <v>11.7</v>
      </c>
      <c r="AS44" s="3093">
        <v>0</v>
      </c>
      <c r="AU44" s="1959">
        <f t="shared" si="11"/>
        <v>45618</v>
      </c>
      <c r="AV44" s="1960">
        <f t="shared" si="12"/>
        <v>3.97</v>
      </c>
    </row>
    <row r="45" spans="1:48">
      <c r="A45" s="3283"/>
      <c r="B45" s="1859" t="s">
        <v>158</v>
      </c>
      <c r="C45" s="2189" t="s">
        <v>159</v>
      </c>
      <c r="D45" s="1953">
        <v>1532</v>
      </c>
      <c r="E45" s="1954">
        <v>1617</v>
      </c>
      <c r="F45" s="814">
        <v>1617</v>
      </c>
      <c r="G45" s="814">
        <v>1617</v>
      </c>
      <c r="H45" s="814">
        <v>1617</v>
      </c>
      <c r="I45" s="807">
        <v>1773</v>
      </c>
      <c r="J45" s="807">
        <v>1784</v>
      </c>
      <c r="K45" s="305">
        <v>4076</v>
      </c>
      <c r="L45" s="1862">
        <f t="shared" si="2"/>
        <v>0.16</v>
      </c>
      <c r="M45" s="1955">
        <f t="shared" si="3"/>
        <v>0.17</v>
      </c>
      <c r="N45" s="1956">
        <v>0</v>
      </c>
      <c r="O45" s="633">
        <f>'Table 5a'!G40</f>
        <v>0.17</v>
      </c>
      <c r="P45" s="1000">
        <f t="shared" si="4"/>
        <v>0.22</v>
      </c>
      <c r="Q45" s="1956">
        <v>0</v>
      </c>
      <c r="R45" s="3080">
        <f>3174*$AO45/1000000</f>
        <v>0.22</v>
      </c>
      <c r="S45" s="2010">
        <v>0</v>
      </c>
      <c r="T45" s="1957">
        <f t="shared" si="5"/>
        <v>0.22</v>
      </c>
      <c r="U45" s="1956">
        <v>0</v>
      </c>
      <c r="V45" s="3080">
        <f>3174*$AO45/1000000</f>
        <v>0.22</v>
      </c>
      <c r="W45" s="3090">
        <v>0</v>
      </c>
      <c r="X45" s="1955">
        <f t="shared" si="6"/>
        <v>0.22</v>
      </c>
      <c r="Y45" s="299">
        <v>0</v>
      </c>
      <c r="Z45" s="3080">
        <f>3233*$AO45/1000000</f>
        <v>0.22</v>
      </c>
      <c r="AA45" s="2010">
        <v>0</v>
      </c>
      <c r="AB45" s="1957">
        <f t="shared" si="7"/>
        <v>0.23</v>
      </c>
      <c r="AC45" s="1956">
        <v>0</v>
      </c>
      <c r="AD45" s="3080">
        <f>3329*$AO45/1000000</f>
        <v>0.23</v>
      </c>
      <c r="AE45" s="2010">
        <v>0</v>
      </c>
      <c r="AF45" s="1957">
        <f t="shared" si="8"/>
        <v>0.24</v>
      </c>
      <c r="AG45" s="299">
        <v>0</v>
      </c>
      <c r="AH45" s="3080">
        <f>3488*$AO45/1000000</f>
        <v>0.24</v>
      </c>
      <c r="AI45" s="2010">
        <v>0</v>
      </c>
      <c r="AJ45" s="1957">
        <f t="shared" si="110"/>
        <v>0.24</v>
      </c>
      <c r="AK45" s="299">
        <v>0</v>
      </c>
      <c r="AL45" s="3080">
        <f>3499*AO45/1000000</f>
        <v>0.24</v>
      </c>
      <c r="AM45" s="2011">
        <v>0</v>
      </c>
      <c r="AN45" s="300">
        <f t="shared" si="102"/>
        <v>0.41</v>
      </c>
      <c r="AO45" s="2190">
        <f>'Table 5a'!P40</f>
        <v>69</v>
      </c>
      <c r="AP45" s="1957">
        <f t="shared" si="9"/>
        <v>0.25</v>
      </c>
      <c r="AQ45" s="299">
        <f t="shared" si="113"/>
        <v>0</v>
      </c>
      <c r="AR45" s="3080">
        <f t="shared" si="114"/>
        <v>0.25</v>
      </c>
      <c r="AS45" s="3090">
        <v>0</v>
      </c>
      <c r="AU45" s="1959">
        <f t="shared" si="11"/>
        <v>252</v>
      </c>
      <c r="AV45" s="1960">
        <f t="shared" si="12"/>
        <v>7.0000000000000007E-2</v>
      </c>
    </row>
    <row r="46" spans="1:48">
      <c r="A46" s="3283"/>
      <c r="B46" s="1859" t="s">
        <v>160</v>
      </c>
      <c r="C46" s="2189" t="s">
        <v>161</v>
      </c>
      <c r="D46" s="1953">
        <f>'Table 5a'!L41</f>
        <v>2875</v>
      </c>
      <c r="E46" s="1954">
        <v>3004</v>
      </c>
      <c r="F46" s="814">
        <v>3025</v>
      </c>
      <c r="G46" s="814">
        <v>3025</v>
      </c>
      <c r="H46" s="814">
        <v>3025</v>
      </c>
      <c r="I46" s="807">
        <v>4207</v>
      </c>
      <c r="J46" s="807">
        <v>8174</v>
      </c>
      <c r="K46" s="305">
        <v>136594</v>
      </c>
      <c r="L46" s="1862">
        <f t="shared" si="2"/>
        <v>1.84</v>
      </c>
      <c r="M46" s="1955">
        <f t="shared" si="3"/>
        <v>0.33</v>
      </c>
      <c r="N46" s="1956">
        <v>0</v>
      </c>
      <c r="O46" s="633">
        <f>'Table 5a'!G41</f>
        <v>0.33</v>
      </c>
      <c r="P46" s="1000">
        <f t="shared" si="4"/>
        <v>0.39</v>
      </c>
      <c r="Q46" s="1956">
        <v>0</v>
      </c>
      <c r="R46" s="3080">
        <f>E46*$AO46/1000000</f>
        <v>0.39</v>
      </c>
      <c r="S46" s="2010">
        <v>0</v>
      </c>
      <c r="T46" s="1957">
        <f t="shared" si="5"/>
        <v>0.4</v>
      </c>
      <c r="U46" s="1956">
        <v>0</v>
      </c>
      <c r="V46" s="3080">
        <f>F46*$AO46/1000000</f>
        <v>0.4</v>
      </c>
      <c r="W46" s="3090">
        <v>0</v>
      </c>
      <c r="X46" s="1955">
        <f t="shared" si="6"/>
        <v>0.4</v>
      </c>
      <c r="Y46" s="299">
        <v>0</v>
      </c>
      <c r="Z46" s="3080">
        <f>G46*$AO46/1000000</f>
        <v>0.4</v>
      </c>
      <c r="AA46" s="2010">
        <v>0</v>
      </c>
      <c r="AB46" s="1957">
        <f t="shared" si="7"/>
        <v>0.4</v>
      </c>
      <c r="AC46" s="1956">
        <v>0</v>
      </c>
      <c r="AD46" s="3080">
        <f>H46*$AO46/1000000</f>
        <v>0.4</v>
      </c>
      <c r="AE46" s="2010">
        <v>0</v>
      </c>
      <c r="AF46" s="1957">
        <f t="shared" si="8"/>
        <v>0.55000000000000004</v>
      </c>
      <c r="AG46" s="299">
        <v>0</v>
      </c>
      <c r="AH46" s="3080">
        <f>I46*$AO46/1000000</f>
        <v>0.55000000000000004</v>
      </c>
      <c r="AI46" s="2010">
        <v>0</v>
      </c>
      <c r="AJ46" s="1957">
        <f t="shared" si="110"/>
        <v>1.07</v>
      </c>
      <c r="AK46" s="299">
        <v>0</v>
      </c>
      <c r="AL46" s="3080">
        <f>J46*AO46/1000000</f>
        <v>1.07</v>
      </c>
      <c r="AM46" s="2011">
        <v>0</v>
      </c>
      <c r="AN46" s="300">
        <f t="shared" si="102"/>
        <v>2.2400000000000002</v>
      </c>
      <c r="AO46" s="2190">
        <f>'Table 5a'!P41</f>
        <v>131</v>
      </c>
      <c r="AP46" s="1957">
        <f t="shared" si="9"/>
        <v>1.1299999999999999</v>
      </c>
      <c r="AQ46" s="299">
        <f t="shared" si="113"/>
        <v>0</v>
      </c>
      <c r="AR46" s="3080">
        <f t="shared" si="114"/>
        <v>1.1299999999999999</v>
      </c>
      <c r="AS46" s="3096">
        <v>0</v>
      </c>
      <c r="AU46" s="1959">
        <f t="shared" si="11"/>
        <v>5299</v>
      </c>
      <c r="AV46" s="1960">
        <f t="shared" si="12"/>
        <v>0.74</v>
      </c>
    </row>
    <row r="47" spans="1:48">
      <c r="A47" s="3283"/>
      <c r="B47" s="1859" t="s">
        <v>162</v>
      </c>
      <c r="C47" s="2189" t="s">
        <v>163</v>
      </c>
      <c r="D47" s="1953">
        <f>'Table 5a'!L42</f>
        <v>1284</v>
      </c>
      <c r="E47" s="1954">
        <v>1284</v>
      </c>
      <c r="F47" s="814">
        <v>1284</v>
      </c>
      <c r="G47" s="814">
        <v>1284</v>
      </c>
      <c r="H47" s="814">
        <v>1284</v>
      </c>
      <c r="I47" s="807">
        <v>1284</v>
      </c>
      <c r="J47" s="807">
        <v>1284</v>
      </c>
      <c r="K47" s="305">
        <v>1284</v>
      </c>
      <c r="L47" s="1862">
        <f t="shared" si="2"/>
        <v>0</v>
      </c>
      <c r="M47" s="1955">
        <f t="shared" si="3"/>
        <v>7.0000000000000007E-2</v>
      </c>
      <c r="N47" s="1956">
        <v>7.0000000000000007E-2</v>
      </c>
      <c r="O47" s="633">
        <f>'Table 5a'!G42</f>
        <v>0.14000000000000001</v>
      </c>
      <c r="P47" s="1000">
        <f t="shared" si="4"/>
        <v>0.08</v>
      </c>
      <c r="Q47" s="2200">
        <v>0.03</v>
      </c>
      <c r="R47" s="3080">
        <f>E47*$AO47/1000000</f>
        <v>0.11</v>
      </c>
      <c r="S47" s="2010">
        <v>0</v>
      </c>
      <c r="T47" s="1957">
        <f t="shared" si="5"/>
        <v>0.08</v>
      </c>
      <c r="U47" s="2201">
        <v>0.03</v>
      </c>
      <c r="V47" s="3080">
        <f>F47*$AO47/1000000</f>
        <v>0.11</v>
      </c>
      <c r="W47" s="3090">
        <v>0</v>
      </c>
      <c r="X47" s="1955">
        <f t="shared" si="6"/>
        <v>0.08</v>
      </c>
      <c r="Y47" s="2202">
        <v>0.03</v>
      </c>
      <c r="Z47" s="3080">
        <f>G47*$AO47/1000000</f>
        <v>0.11</v>
      </c>
      <c r="AA47" s="2010">
        <v>0</v>
      </c>
      <c r="AB47" s="1957">
        <f t="shared" si="7"/>
        <v>0.08</v>
      </c>
      <c r="AC47" s="2201">
        <v>0.03</v>
      </c>
      <c r="AD47" s="3080">
        <f>H47*$AO47/1000000</f>
        <v>0.11</v>
      </c>
      <c r="AE47" s="2010">
        <v>0</v>
      </c>
      <c r="AF47" s="1957">
        <f t="shared" si="8"/>
        <v>0.08</v>
      </c>
      <c r="AG47" s="2202">
        <v>0.03</v>
      </c>
      <c r="AH47" s="3080">
        <f>I47*$AO47/1000000</f>
        <v>0.11</v>
      </c>
      <c r="AI47" s="2010">
        <v>0</v>
      </c>
      <c r="AJ47" s="1957">
        <f t="shared" si="110"/>
        <v>0.08</v>
      </c>
      <c r="AK47" s="2202">
        <v>0.03</v>
      </c>
      <c r="AL47" s="3080">
        <f>J47*AO47/1000000</f>
        <v>0.11</v>
      </c>
      <c r="AM47" s="2011">
        <v>0</v>
      </c>
      <c r="AN47" s="300">
        <f t="shared" si="102"/>
        <v>-0.21</v>
      </c>
      <c r="AO47" s="2190">
        <f>'Table 5a'!P42</f>
        <v>85</v>
      </c>
      <c r="AP47" s="1957">
        <f t="shared" si="9"/>
        <v>0.09</v>
      </c>
      <c r="AQ47" s="2202">
        <f t="shared" si="113"/>
        <v>0.03</v>
      </c>
      <c r="AR47" s="3080">
        <f t="shared" si="114"/>
        <v>0.12</v>
      </c>
      <c r="AS47" s="3090">
        <v>0</v>
      </c>
      <c r="AU47" s="1959">
        <f t="shared" si="11"/>
        <v>0</v>
      </c>
      <c r="AV47" s="1960">
        <f t="shared" si="12"/>
        <v>-0.03</v>
      </c>
    </row>
    <row r="48" spans="1:48">
      <c r="A48" s="3283"/>
      <c r="B48" s="2203" t="s">
        <v>164</v>
      </c>
      <c r="C48" s="2204" t="s">
        <v>165</v>
      </c>
      <c r="D48" s="2015">
        <v>239</v>
      </c>
      <c r="E48" s="2016">
        <v>398</v>
      </c>
      <c r="F48" s="2017">
        <v>398</v>
      </c>
      <c r="G48" s="2017">
        <v>398</v>
      </c>
      <c r="H48" s="2017">
        <v>398</v>
      </c>
      <c r="I48" s="2018">
        <v>622</v>
      </c>
      <c r="J48" s="2018">
        <v>622</v>
      </c>
      <c r="K48" s="2020">
        <v>3518</v>
      </c>
      <c r="L48" s="1020">
        <f t="shared" si="2"/>
        <v>1.6</v>
      </c>
      <c r="M48" s="2021">
        <f t="shared" si="3"/>
        <v>0</v>
      </c>
      <c r="N48" s="2022">
        <v>0</v>
      </c>
      <c r="O48" s="633">
        <v>0</v>
      </c>
      <c r="P48" s="1053">
        <f t="shared" si="4"/>
        <v>0</v>
      </c>
      <c r="Q48" s="2022">
        <v>0</v>
      </c>
      <c r="R48" s="3080">
        <v>0</v>
      </c>
      <c r="S48" s="2024">
        <v>0</v>
      </c>
      <c r="T48" s="2023">
        <f t="shared" si="5"/>
        <v>0</v>
      </c>
      <c r="U48" s="2022">
        <v>0</v>
      </c>
      <c r="V48" s="3080">
        <v>0</v>
      </c>
      <c r="W48" s="3093">
        <v>0</v>
      </c>
      <c r="X48" s="2021">
        <f t="shared" si="6"/>
        <v>0</v>
      </c>
      <c r="Y48" s="1857">
        <v>0</v>
      </c>
      <c r="Z48" s="3080">
        <v>0</v>
      </c>
      <c r="AA48" s="2024">
        <v>0</v>
      </c>
      <c r="AB48" s="2023">
        <f t="shared" si="7"/>
        <v>0</v>
      </c>
      <c r="AC48" s="2022">
        <v>0</v>
      </c>
      <c r="AD48" s="3080">
        <v>0</v>
      </c>
      <c r="AE48" s="2024">
        <v>0</v>
      </c>
      <c r="AF48" s="2023">
        <f t="shared" si="8"/>
        <v>0</v>
      </c>
      <c r="AG48" s="1857">
        <v>0</v>
      </c>
      <c r="AH48" s="3080">
        <v>0</v>
      </c>
      <c r="AI48" s="2024">
        <v>0</v>
      </c>
      <c r="AJ48" s="2023">
        <f t="shared" si="110"/>
        <v>0</v>
      </c>
      <c r="AK48" s="1857">
        <v>0</v>
      </c>
      <c r="AL48" s="3080">
        <v>0</v>
      </c>
      <c r="AM48" s="2011">
        <v>0</v>
      </c>
      <c r="AN48" s="300" t="s">
        <v>16</v>
      </c>
      <c r="AO48" s="2205" t="s">
        <v>16</v>
      </c>
      <c r="AP48" s="2023">
        <f t="shared" si="9"/>
        <v>0</v>
      </c>
      <c r="AQ48" s="1857">
        <f t="shared" si="113"/>
        <v>0</v>
      </c>
      <c r="AR48" s="3080">
        <f t="shared" si="114"/>
        <v>0</v>
      </c>
      <c r="AS48" s="3096">
        <v>0</v>
      </c>
      <c r="AU48" s="2027">
        <f t="shared" si="11"/>
        <v>383</v>
      </c>
      <c r="AV48" s="2028">
        <f t="shared" si="12"/>
        <v>0</v>
      </c>
    </row>
    <row r="49" spans="1:48">
      <c r="A49" s="3283"/>
      <c r="B49" s="1951" t="s">
        <v>166</v>
      </c>
      <c r="C49" s="2206" t="s">
        <v>167</v>
      </c>
      <c r="D49" s="2015">
        <v>418</v>
      </c>
      <c r="E49" s="2016">
        <v>418</v>
      </c>
      <c r="F49" s="2017">
        <v>418</v>
      </c>
      <c r="G49" s="2017">
        <v>459</v>
      </c>
      <c r="H49" s="2017">
        <v>459</v>
      </c>
      <c r="I49" s="2018">
        <v>459</v>
      </c>
      <c r="J49" s="2018">
        <v>459</v>
      </c>
      <c r="K49" s="2020">
        <v>495</v>
      </c>
      <c r="L49" s="1020">
        <f t="shared" si="2"/>
        <v>0.1</v>
      </c>
      <c r="M49" s="2021">
        <f t="shared" si="3"/>
        <v>0</v>
      </c>
      <c r="N49" s="2022">
        <v>0</v>
      </c>
      <c r="O49" s="633">
        <v>0</v>
      </c>
      <c r="P49" s="1053">
        <f t="shared" si="4"/>
        <v>0</v>
      </c>
      <c r="Q49" s="2022">
        <v>0</v>
      </c>
      <c r="R49" s="3080">
        <v>0</v>
      </c>
      <c r="S49" s="2024">
        <v>0</v>
      </c>
      <c r="T49" s="2023">
        <f t="shared" si="5"/>
        <v>0</v>
      </c>
      <c r="U49" s="2022">
        <v>0</v>
      </c>
      <c r="V49" s="3080">
        <v>0</v>
      </c>
      <c r="W49" s="3093">
        <v>0</v>
      </c>
      <c r="X49" s="2021">
        <f t="shared" si="6"/>
        <v>0</v>
      </c>
      <c r="Y49" s="1857">
        <v>0</v>
      </c>
      <c r="Z49" s="3080">
        <v>0</v>
      </c>
      <c r="AA49" s="2024">
        <v>0</v>
      </c>
      <c r="AB49" s="2023">
        <f t="shared" si="7"/>
        <v>0</v>
      </c>
      <c r="AC49" s="2022">
        <v>0</v>
      </c>
      <c r="AD49" s="3080">
        <v>0</v>
      </c>
      <c r="AE49" s="2024">
        <v>0</v>
      </c>
      <c r="AF49" s="2023">
        <f t="shared" si="8"/>
        <v>0</v>
      </c>
      <c r="AG49" s="1857">
        <v>0</v>
      </c>
      <c r="AH49" s="3080">
        <v>0</v>
      </c>
      <c r="AI49" s="2024">
        <v>0</v>
      </c>
      <c r="AJ49" s="2023">
        <f t="shared" si="110"/>
        <v>0</v>
      </c>
      <c r="AK49" s="1857">
        <v>0</v>
      </c>
      <c r="AL49" s="3080">
        <v>0</v>
      </c>
      <c r="AM49" s="2011">
        <v>0</v>
      </c>
      <c r="AN49" s="300" t="s">
        <v>16</v>
      </c>
      <c r="AO49" s="2205" t="s">
        <v>16</v>
      </c>
      <c r="AP49" s="2023">
        <f t="shared" si="9"/>
        <v>0</v>
      </c>
      <c r="AQ49" s="1857">
        <f t="shared" si="113"/>
        <v>0</v>
      </c>
      <c r="AR49" s="3080">
        <f t="shared" si="114"/>
        <v>0</v>
      </c>
      <c r="AS49" s="3090">
        <v>0</v>
      </c>
      <c r="AU49" s="2027">
        <f t="shared" si="11"/>
        <v>41</v>
      </c>
      <c r="AV49" s="2028">
        <f t="shared" si="12"/>
        <v>0</v>
      </c>
    </row>
    <row r="50" spans="1:48" ht="13.5" thickBot="1">
      <c r="A50" s="3283"/>
      <c r="B50" s="2156" t="s">
        <v>168</v>
      </c>
      <c r="C50" s="2207">
        <v>51136</v>
      </c>
      <c r="D50" s="2031">
        <f>'Table 5a'!L43</f>
        <v>4017</v>
      </c>
      <c r="E50" s="2032">
        <v>4153</v>
      </c>
      <c r="F50" s="2033">
        <v>4153</v>
      </c>
      <c r="G50" s="2033">
        <v>4208</v>
      </c>
      <c r="H50" s="2033">
        <v>4430</v>
      </c>
      <c r="I50" s="2034">
        <v>4551</v>
      </c>
      <c r="J50" s="2034">
        <v>4551</v>
      </c>
      <c r="K50" s="2036">
        <v>4588</v>
      </c>
      <c r="L50" s="209">
        <f t="shared" si="2"/>
        <v>0.13</v>
      </c>
      <c r="M50" s="2037">
        <f t="shared" si="3"/>
        <v>0.69</v>
      </c>
      <c r="N50" s="2038">
        <v>0</v>
      </c>
      <c r="O50" s="51">
        <f>'Table 5a'!G43</f>
        <v>0.69</v>
      </c>
      <c r="P50" s="1021">
        <f t="shared" si="4"/>
        <v>0.78</v>
      </c>
      <c r="Q50" s="2038">
        <v>0</v>
      </c>
      <c r="R50" s="3078">
        <f>E50*$AO50/1000000</f>
        <v>0.78</v>
      </c>
      <c r="S50" s="3091">
        <v>0</v>
      </c>
      <c r="T50" s="2040">
        <f t="shared" si="5"/>
        <v>0.78</v>
      </c>
      <c r="U50" s="2038">
        <v>0</v>
      </c>
      <c r="V50" s="2039">
        <f>F50*$AO50/1000000</f>
        <v>0.78</v>
      </c>
      <c r="W50" s="3091">
        <v>0</v>
      </c>
      <c r="X50" s="2037">
        <f t="shared" si="6"/>
        <v>0.79</v>
      </c>
      <c r="Y50" s="1022">
        <v>0</v>
      </c>
      <c r="Z50" s="3078">
        <f>G50*$AO50/1000000</f>
        <v>0.79</v>
      </c>
      <c r="AA50" s="2042">
        <v>0</v>
      </c>
      <c r="AB50" s="2040">
        <f t="shared" si="7"/>
        <v>0.83</v>
      </c>
      <c r="AC50" s="2038">
        <v>0</v>
      </c>
      <c r="AD50" s="3078">
        <f>H50*$AO50/1000000</f>
        <v>0.83</v>
      </c>
      <c r="AE50" s="2042">
        <v>0</v>
      </c>
      <c r="AF50" s="2040">
        <f t="shared" si="8"/>
        <v>0.86</v>
      </c>
      <c r="AG50" s="1022">
        <v>0</v>
      </c>
      <c r="AH50" s="3078">
        <f>I50*$AO50/1000000</f>
        <v>0.86</v>
      </c>
      <c r="AI50" s="2042">
        <v>0</v>
      </c>
      <c r="AJ50" s="2040">
        <f t="shared" si="110"/>
        <v>0.86</v>
      </c>
      <c r="AK50" s="1022">
        <v>0</v>
      </c>
      <c r="AL50" s="3078">
        <f>J50*AO50/1000000</f>
        <v>0.86</v>
      </c>
      <c r="AM50" s="2043">
        <v>0</v>
      </c>
      <c r="AN50" s="216">
        <f t="shared" ref="AN50:AN91" si="115">(AL50-O50)/O50</f>
        <v>0.25</v>
      </c>
      <c r="AO50" s="2208">
        <v>188</v>
      </c>
      <c r="AP50" s="2040">
        <f t="shared" si="9"/>
        <v>0.91</v>
      </c>
      <c r="AQ50" s="1022">
        <f t="shared" si="113"/>
        <v>0</v>
      </c>
      <c r="AR50" s="3078">
        <f t="shared" si="114"/>
        <v>0.91</v>
      </c>
      <c r="AS50" s="3091">
        <v>0</v>
      </c>
      <c r="AU50" s="2045">
        <f t="shared" si="11"/>
        <v>534</v>
      </c>
      <c r="AV50" s="2046">
        <f t="shared" si="12"/>
        <v>0.17</v>
      </c>
    </row>
    <row r="51" spans="1:48" ht="14.25" thickTop="1" thickBot="1">
      <c r="A51" s="3284"/>
      <c r="B51" s="3277" t="s">
        <v>169</v>
      </c>
      <c r="C51" s="3278"/>
      <c r="D51" s="2196">
        <f t="shared" ref="D51:K51" si="116">SUM(D43:D50)</f>
        <v>94805</v>
      </c>
      <c r="E51" s="2178">
        <f t="shared" si="116"/>
        <v>107845</v>
      </c>
      <c r="F51" s="2179">
        <f t="shared" si="116"/>
        <v>120892</v>
      </c>
      <c r="G51" s="2179">
        <f t="shared" si="116"/>
        <v>130769</v>
      </c>
      <c r="H51" s="2179">
        <f t="shared" si="116"/>
        <v>139582</v>
      </c>
      <c r="I51" s="2180">
        <f t="shared" si="116"/>
        <v>145212</v>
      </c>
      <c r="J51" s="2180">
        <f t="shared" si="116"/>
        <v>149355</v>
      </c>
      <c r="K51" s="2181">
        <f t="shared" si="116"/>
        <v>524270</v>
      </c>
      <c r="L51" s="210">
        <f t="shared" si="2"/>
        <v>0.57999999999999996</v>
      </c>
      <c r="M51" s="2182">
        <f t="shared" si="3"/>
        <v>8.98</v>
      </c>
      <c r="N51" s="2183">
        <f>SUM(N43:N50)</f>
        <v>7.0000000000000007E-2</v>
      </c>
      <c r="O51" s="315">
        <f>SUM(O43:O50)</f>
        <v>9.0500000000000007</v>
      </c>
      <c r="P51" s="60">
        <f t="shared" si="4"/>
        <v>10.26</v>
      </c>
      <c r="Q51" s="2183">
        <f>SUM(Q43:Q50)</f>
        <v>0.03</v>
      </c>
      <c r="R51" s="3071">
        <f>SUM(R43:R50)</f>
        <v>10.29</v>
      </c>
      <c r="S51" s="103">
        <f>SUM(S43:S50)</f>
        <v>0</v>
      </c>
      <c r="T51" s="2184">
        <f t="shared" si="5"/>
        <v>11.42</v>
      </c>
      <c r="U51" s="2183">
        <f>SUM(U43:U50)</f>
        <v>0.03</v>
      </c>
      <c r="V51" s="3071">
        <f>SUM(V43:V50)</f>
        <v>11.45</v>
      </c>
      <c r="W51" s="3100">
        <f>SUM(W43:W50)</f>
        <v>0</v>
      </c>
      <c r="X51" s="2182">
        <f t="shared" si="6"/>
        <v>12.42</v>
      </c>
      <c r="Y51" s="106">
        <f>SUM(Y43:Y50)</f>
        <v>0.03</v>
      </c>
      <c r="Z51" s="103">
        <f>SUM(Z43:Z50)</f>
        <v>12.45</v>
      </c>
      <c r="AA51" s="3098">
        <f>SUM(AA43:AA50)</f>
        <v>0</v>
      </c>
      <c r="AB51" s="2184">
        <f t="shared" si="7"/>
        <v>13.23</v>
      </c>
      <c r="AC51" s="2183">
        <f>SUM(AC43:AC50)</f>
        <v>0.03</v>
      </c>
      <c r="AD51" s="3071">
        <f>SUM(AD43:AD50)</f>
        <v>13.26</v>
      </c>
      <c r="AE51" s="103">
        <f>SUM(AE43:AE50)</f>
        <v>0</v>
      </c>
      <c r="AF51" s="2184">
        <f t="shared" si="8"/>
        <v>13.76</v>
      </c>
      <c r="AG51" s="106">
        <f>SUM(AG43:AG50)</f>
        <v>0.03</v>
      </c>
      <c r="AH51" s="3075">
        <f>SUM(AH43:AH50)</f>
        <v>13.79</v>
      </c>
      <c r="AI51" s="103">
        <f>SUM(AI43:AI50)</f>
        <v>0</v>
      </c>
      <c r="AJ51" s="2184">
        <f t="shared" ref="AJ51:AJ53" si="117">AL51-AK51</f>
        <v>14.3</v>
      </c>
      <c r="AK51" s="106">
        <f>SUM(AK43:AK50)</f>
        <v>0.03</v>
      </c>
      <c r="AL51" s="3071">
        <f>SUM(AL43:AL50)</f>
        <v>14.33</v>
      </c>
      <c r="AM51" s="61">
        <f>SUM(AM43:AM50)</f>
        <v>0</v>
      </c>
      <c r="AN51" s="210">
        <f t="shared" si="115"/>
        <v>0.57999999999999996</v>
      </c>
      <c r="AO51" s="3037" t="s">
        <v>16</v>
      </c>
      <c r="AP51" s="2184">
        <f t="shared" si="9"/>
        <v>15.15</v>
      </c>
      <c r="AQ51" s="106">
        <f>SUM(AQ43:AQ50)</f>
        <v>0.03</v>
      </c>
      <c r="AR51" s="3075">
        <f>SUM(AR43:AR50)</f>
        <v>15.18</v>
      </c>
      <c r="AS51" s="3099">
        <f>SUM(AS43:AS50)</f>
        <v>0</v>
      </c>
      <c r="AU51" s="2185">
        <f t="shared" si="11"/>
        <v>54550</v>
      </c>
      <c r="AV51" s="2186">
        <f t="shared" si="12"/>
        <v>5.28</v>
      </c>
    </row>
    <row r="52" spans="1:48">
      <c r="A52" s="3289" t="s">
        <v>170</v>
      </c>
      <c r="B52" s="2209" t="s">
        <v>171</v>
      </c>
      <c r="C52" s="2210">
        <v>216453</v>
      </c>
      <c r="D52" s="2211">
        <f>'Table 5a'!L45</f>
        <v>2040</v>
      </c>
      <c r="E52" s="2212">
        <v>2117</v>
      </c>
      <c r="F52" s="2213">
        <v>2363</v>
      </c>
      <c r="G52" s="2213">
        <v>2559</v>
      </c>
      <c r="H52" s="2213">
        <v>2695</v>
      </c>
      <c r="I52" s="2214">
        <v>2710</v>
      </c>
      <c r="J52" s="2214">
        <v>2710</v>
      </c>
      <c r="K52" s="2215">
        <v>15316</v>
      </c>
      <c r="L52" s="232">
        <f t="shared" si="2"/>
        <v>0.33</v>
      </c>
      <c r="M52" s="2216">
        <f t="shared" si="3"/>
        <v>0.22</v>
      </c>
      <c r="N52" s="2217">
        <v>0</v>
      </c>
      <c r="O52" s="2218">
        <f>'Table 5a'!G45</f>
        <v>0.22</v>
      </c>
      <c r="P52" s="2219">
        <f t="shared" si="4"/>
        <v>0.22</v>
      </c>
      <c r="Q52" s="2217">
        <v>0</v>
      </c>
      <c r="R52" s="3072">
        <f>E52*$AO52/1000000</f>
        <v>0.22</v>
      </c>
      <c r="S52" s="2223">
        <v>0</v>
      </c>
      <c r="T52" s="2220">
        <f t="shared" si="5"/>
        <v>0.25</v>
      </c>
      <c r="U52" s="2217">
        <v>0</v>
      </c>
      <c r="V52" s="3072">
        <f>F52*$AO52/1000000</f>
        <v>0.25</v>
      </c>
      <c r="W52" s="3101">
        <v>0</v>
      </c>
      <c r="X52" s="2216">
        <f t="shared" si="6"/>
        <v>0.27</v>
      </c>
      <c r="Y52" s="2222">
        <v>0</v>
      </c>
      <c r="Z52" s="3072">
        <f>G52*$AO52/1000000</f>
        <v>0.27</v>
      </c>
      <c r="AA52" s="2223">
        <v>0</v>
      </c>
      <c r="AB52" s="2220">
        <f t="shared" si="7"/>
        <v>0.28000000000000003</v>
      </c>
      <c r="AC52" s="2217">
        <v>0</v>
      </c>
      <c r="AD52" s="3072">
        <f>H52*$AO52/1000000</f>
        <v>0.28000000000000003</v>
      </c>
      <c r="AE52" s="2223">
        <v>0</v>
      </c>
      <c r="AF52" s="2220">
        <f t="shared" si="8"/>
        <v>0.28000000000000003</v>
      </c>
      <c r="AG52" s="2222">
        <v>0</v>
      </c>
      <c r="AH52" s="3072">
        <f>I52*$AO52/1000000</f>
        <v>0.28000000000000003</v>
      </c>
      <c r="AI52" s="2223">
        <v>0</v>
      </c>
      <c r="AJ52" s="2220">
        <f t="shared" si="117"/>
        <v>0.28000000000000003</v>
      </c>
      <c r="AK52" s="2222">
        <v>0</v>
      </c>
      <c r="AL52" s="3072">
        <f>J52*AO52/1000000</f>
        <v>0.28000000000000003</v>
      </c>
      <c r="AM52" s="2224">
        <v>0</v>
      </c>
      <c r="AN52" s="232">
        <f t="shared" si="115"/>
        <v>0.27</v>
      </c>
      <c r="AO52" s="2225">
        <f>'Table 5a'!P45</f>
        <v>104</v>
      </c>
      <c r="AP52" s="2220">
        <f t="shared" si="9"/>
        <v>0.3</v>
      </c>
      <c r="AQ52" s="2222">
        <v>0</v>
      </c>
      <c r="AR52" s="3072">
        <f t="shared" ref="AR52:AR53" si="118">AL52*1.06</f>
        <v>0.3</v>
      </c>
      <c r="AS52" s="3121">
        <v>0</v>
      </c>
      <c r="AU52" s="2226">
        <f t="shared" si="11"/>
        <v>670</v>
      </c>
      <c r="AV52" s="2227">
        <f t="shared" si="12"/>
        <v>0.06</v>
      </c>
    </row>
    <row r="53" spans="1:48" ht="13.5" thickBot="1">
      <c r="A53" s="3275"/>
      <c r="B53" s="2118" t="s">
        <v>172</v>
      </c>
      <c r="C53" s="2080">
        <v>220310</v>
      </c>
      <c r="D53" s="2031">
        <f>'Table 5a'!L46</f>
        <v>85</v>
      </c>
      <c r="E53" s="2032">
        <v>103</v>
      </c>
      <c r="F53" s="2033">
        <v>123</v>
      </c>
      <c r="G53" s="2033">
        <v>151</v>
      </c>
      <c r="H53" s="2033">
        <v>168</v>
      </c>
      <c r="I53" s="2034">
        <v>170</v>
      </c>
      <c r="J53" s="2034">
        <v>170</v>
      </c>
      <c r="K53" s="2036">
        <v>1110</v>
      </c>
      <c r="L53" s="216">
        <f t="shared" si="2"/>
        <v>1</v>
      </c>
      <c r="M53" s="2037">
        <f t="shared" si="3"/>
        <v>0</v>
      </c>
      <c r="N53" s="2038">
        <v>0</v>
      </c>
      <c r="O53" s="50">
        <f>'Table 5a'!G46</f>
        <v>0</v>
      </c>
      <c r="P53" s="1021">
        <f t="shared" ref="P53" si="119">R53-Q53</f>
        <v>0</v>
      </c>
      <c r="Q53" s="2038">
        <v>0</v>
      </c>
      <c r="R53" s="3073">
        <f>E53*$AO53/1000000</f>
        <v>0</v>
      </c>
      <c r="S53" s="1734">
        <v>0</v>
      </c>
      <c r="T53" s="2040">
        <f t="shared" ref="T53" si="120">V53-U53</f>
        <v>0</v>
      </c>
      <c r="U53" s="2038">
        <v>0</v>
      </c>
      <c r="V53" s="3073">
        <f>F53*$AO53/1000000</f>
        <v>0</v>
      </c>
      <c r="W53" s="3102">
        <v>0</v>
      </c>
      <c r="X53" s="2037">
        <f t="shared" ref="X53" si="121">Z53-Y53</f>
        <v>0</v>
      </c>
      <c r="Y53" s="1022">
        <v>0</v>
      </c>
      <c r="Z53" s="3073">
        <f>G53*$AO53/1000000</f>
        <v>0</v>
      </c>
      <c r="AA53" s="1734">
        <v>0</v>
      </c>
      <c r="AB53" s="2040">
        <f t="shared" ref="AB53" si="122">AD53-AC53</f>
        <v>0</v>
      </c>
      <c r="AC53" s="2038">
        <v>0</v>
      </c>
      <c r="AD53" s="3073">
        <f>H53*$AO53/1000000</f>
        <v>0</v>
      </c>
      <c r="AE53" s="1734">
        <v>0</v>
      </c>
      <c r="AF53" s="2040">
        <f t="shared" ref="AF53" si="123">AH53-AG53</f>
        <v>0</v>
      </c>
      <c r="AG53" s="1022">
        <v>0</v>
      </c>
      <c r="AH53" s="3073">
        <f>I53*$AO53/1000000</f>
        <v>0</v>
      </c>
      <c r="AI53" s="1734">
        <v>0</v>
      </c>
      <c r="AJ53" s="2040">
        <f t="shared" si="117"/>
        <v>0</v>
      </c>
      <c r="AK53" s="1022">
        <v>0</v>
      </c>
      <c r="AL53" s="3073">
        <f>J53*AO53/1000000</f>
        <v>0</v>
      </c>
      <c r="AM53" s="874">
        <v>0</v>
      </c>
      <c r="AN53" s="216" t="s">
        <v>16</v>
      </c>
      <c r="AO53" s="2088">
        <f>'Table 5a'!P46</f>
        <v>0</v>
      </c>
      <c r="AP53" s="2040">
        <f t="shared" ref="AP53" si="124">AR53-AQ53</f>
        <v>0</v>
      </c>
      <c r="AQ53" s="1022">
        <v>0</v>
      </c>
      <c r="AR53" s="3073">
        <f t="shared" si="118"/>
        <v>0</v>
      </c>
      <c r="AS53" s="3102">
        <v>0</v>
      </c>
      <c r="AU53" s="2045">
        <f t="shared" si="11"/>
        <v>85</v>
      </c>
      <c r="AV53" s="2046">
        <f t="shared" si="12"/>
        <v>0</v>
      </c>
    </row>
    <row r="54" spans="1:48" ht="14.25" thickTop="1" thickBot="1">
      <c r="A54" s="3285"/>
      <c r="B54" s="3277" t="s">
        <v>173</v>
      </c>
      <c r="C54" s="3278"/>
      <c r="D54" s="1978">
        <f>SUM(D52:D53)</f>
        <v>2125</v>
      </c>
      <c r="E54" s="1979">
        <f t="shared" ref="E54:K54" si="125">SUM(E52:E53)</f>
        <v>2220</v>
      </c>
      <c r="F54" s="1980">
        <f t="shared" si="125"/>
        <v>2486</v>
      </c>
      <c r="G54" s="1980">
        <f t="shared" si="125"/>
        <v>2710</v>
      </c>
      <c r="H54" s="1980">
        <f t="shared" si="125"/>
        <v>2863</v>
      </c>
      <c r="I54" s="1981">
        <f t="shared" si="125"/>
        <v>2880</v>
      </c>
      <c r="J54" s="1981">
        <f t="shared" si="125"/>
        <v>2880</v>
      </c>
      <c r="K54" s="1983">
        <f t="shared" si="125"/>
        <v>16426</v>
      </c>
      <c r="L54" s="217">
        <f t="shared" si="2"/>
        <v>0.36</v>
      </c>
      <c r="M54" s="101">
        <f t="shared" si="3"/>
        <v>0.22</v>
      </c>
      <c r="N54" s="1984">
        <f>SUM(N52:N53)</f>
        <v>0</v>
      </c>
      <c r="O54" s="154">
        <f>SUM(O52:O53)</f>
        <v>0.22</v>
      </c>
      <c r="P54" s="100">
        <f t="shared" ref="P54:P57" si="126">R54-Q54</f>
        <v>0.22</v>
      </c>
      <c r="Q54" s="1984">
        <f t="shared" ref="Q54:R54" si="127">SUM(Q52:Q53)</f>
        <v>0</v>
      </c>
      <c r="R54" s="3074">
        <f t="shared" si="127"/>
        <v>0.22</v>
      </c>
      <c r="S54" s="303">
        <f>SUM(S52:S53)</f>
        <v>0</v>
      </c>
      <c r="T54" s="1985">
        <f t="shared" ref="T54:T57" si="128">V54-U54</f>
        <v>0.25</v>
      </c>
      <c r="U54" s="1984">
        <f t="shared" ref="U54:V54" si="129">SUM(U52:U53)</f>
        <v>0</v>
      </c>
      <c r="V54" s="3074">
        <f t="shared" si="129"/>
        <v>0.25</v>
      </c>
      <c r="W54" s="3099">
        <f>SUM(W52:W53)</f>
        <v>0</v>
      </c>
      <c r="X54" s="101">
        <f t="shared" ref="X54:X57" si="130">Z54-Y54</f>
        <v>0.27</v>
      </c>
      <c r="Y54" s="108">
        <f t="shared" ref="Y54:Z54" si="131">SUM(Y52:Y53)</f>
        <v>0</v>
      </c>
      <c r="Z54" s="3074">
        <f t="shared" si="131"/>
        <v>0.27</v>
      </c>
      <c r="AA54" s="303">
        <f>SUM(AA52:AA53)</f>
        <v>0</v>
      </c>
      <c r="AB54" s="1985">
        <f t="shared" ref="AB54:AB57" si="132">AD54-AC54</f>
        <v>0.28000000000000003</v>
      </c>
      <c r="AC54" s="1984">
        <f t="shared" ref="AC54:AD54" si="133">SUM(AC52:AC53)</f>
        <v>0</v>
      </c>
      <c r="AD54" s="3074">
        <f t="shared" si="133"/>
        <v>0.28000000000000003</v>
      </c>
      <c r="AE54" s="303">
        <f>SUM(AE52:AE53)</f>
        <v>0</v>
      </c>
      <c r="AF54" s="1985">
        <f t="shared" ref="AF54:AF57" si="134">AH54-AG54</f>
        <v>0.28000000000000003</v>
      </c>
      <c r="AG54" s="108">
        <f t="shared" ref="AG54:AH54" si="135">SUM(AG52:AG53)</f>
        <v>0</v>
      </c>
      <c r="AH54" s="3074">
        <f t="shared" si="135"/>
        <v>0.28000000000000003</v>
      </c>
      <c r="AI54" s="303">
        <f>SUM(AI52:AI53)</f>
        <v>0</v>
      </c>
      <c r="AJ54" s="1985">
        <f t="shared" ref="AJ54:AJ58" si="136">AL54-AK54</f>
        <v>0.28000000000000003</v>
      </c>
      <c r="AK54" s="108">
        <f t="shared" ref="AK54:AL54" si="137">SUM(AK52:AK53)</f>
        <v>0</v>
      </c>
      <c r="AL54" s="3074">
        <f t="shared" si="137"/>
        <v>0.28000000000000003</v>
      </c>
      <c r="AM54" s="21">
        <f>SUM(AM52:AM53)</f>
        <v>0</v>
      </c>
      <c r="AN54" s="217">
        <f t="shared" si="115"/>
        <v>0.27</v>
      </c>
      <c r="AO54" s="3035" t="s">
        <v>16</v>
      </c>
      <c r="AP54" s="1985">
        <f t="shared" ref="AP54:AP56" si="138">AR54-AQ54</f>
        <v>0.3</v>
      </c>
      <c r="AQ54" s="108">
        <f>SUM(AQ52:AQ53)</f>
        <v>0</v>
      </c>
      <c r="AR54" s="3074">
        <f>SUM(AR52:AR53)</f>
        <v>0.3</v>
      </c>
      <c r="AS54" s="3099">
        <f>SUM(AS52:AS53)</f>
        <v>0</v>
      </c>
      <c r="AU54" s="1986">
        <f t="shared" si="11"/>
        <v>755</v>
      </c>
      <c r="AV54" s="1987">
        <f t="shared" si="12"/>
        <v>0.06</v>
      </c>
    </row>
    <row r="55" spans="1:48" ht="12.75" customHeight="1">
      <c r="A55" s="3274" t="s">
        <v>174</v>
      </c>
      <c r="B55" s="2013" t="s">
        <v>175</v>
      </c>
      <c r="C55" s="2014" t="s">
        <v>176</v>
      </c>
      <c r="D55" s="2015">
        <f>'Table 5a'!L48</f>
        <v>699</v>
      </c>
      <c r="E55" s="2016">
        <v>699</v>
      </c>
      <c r="F55" s="2017">
        <v>699</v>
      </c>
      <c r="G55" s="2017">
        <v>699</v>
      </c>
      <c r="H55" s="2017">
        <v>699</v>
      </c>
      <c r="I55" s="2018">
        <v>699</v>
      </c>
      <c r="J55" s="2018">
        <v>699</v>
      </c>
      <c r="K55" s="2020">
        <v>1222</v>
      </c>
      <c r="L55" s="215">
        <f t="shared" si="2"/>
        <v>0</v>
      </c>
      <c r="M55" s="2228">
        <f t="shared" si="3"/>
        <v>0.14000000000000001</v>
      </c>
      <c r="N55" s="2229">
        <v>0</v>
      </c>
      <c r="O55" s="315">
        <f>'Table 5a'!G48</f>
        <v>0.14000000000000001</v>
      </c>
      <c r="P55" s="2230">
        <f t="shared" si="126"/>
        <v>0.15</v>
      </c>
      <c r="Q55" s="2229">
        <v>0</v>
      </c>
      <c r="R55" s="3075">
        <f>E55*$AO55/1000000</f>
        <v>0.15</v>
      </c>
      <c r="S55" s="103">
        <v>0</v>
      </c>
      <c r="T55" s="2231">
        <f t="shared" si="128"/>
        <v>0.15</v>
      </c>
      <c r="U55" s="2229">
        <v>0</v>
      </c>
      <c r="V55" s="3075">
        <f>F55*$AO55/1000000</f>
        <v>0.15</v>
      </c>
      <c r="W55" s="3103">
        <v>0</v>
      </c>
      <c r="X55" s="2228">
        <f t="shared" si="130"/>
        <v>0.15</v>
      </c>
      <c r="Y55" s="2232">
        <v>0</v>
      </c>
      <c r="Z55" s="3075">
        <f>G55*$AO55/1000000</f>
        <v>0.15</v>
      </c>
      <c r="AA55" s="103">
        <v>0</v>
      </c>
      <c r="AB55" s="2231">
        <f t="shared" si="132"/>
        <v>0.15</v>
      </c>
      <c r="AC55" s="2229">
        <v>0</v>
      </c>
      <c r="AD55" s="3075">
        <f>H55*$AO55/1000000</f>
        <v>0.15</v>
      </c>
      <c r="AE55" s="103">
        <v>0</v>
      </c>
      <c r="AF55" s="2231">
        <f t="shared" si="134"/>
        <v>0.15</v>
      </c>
      <c r="AG55" s="2232">
        <v>0</v>
      </c>
      <c r="AH55" s="3075">
        <f>I55*$AO55/1000000</f>
        <v>0.15</v>
      </c>
      <c r="AI55" s="103">
        <v>0</v>
      </c>
      <c r="AJ55" s="2231">
        <f t="shared" si="136"/>
        <v>0.15</v>
      </c>
      <c r="AK55" s="2232">
        <v>0</v>
      </c>
      <c r="AL55" s="3075">
        <f>J55*AO55/1000000</f>
        <v>0.15</v>
      </c>
      <c r="AM55" s="61">
        <v>0</v>
      </c>
      <c r="AN55" s="215">
        <f t="shared" si="115"/>
        <v>7.0000000000000007E-2</v>
      </c>
      <c r="AO55" s="2233">
        <f>'Table 5a'!P48</f>
        <v>208</v>
      </c>
      <c r="AP55" s="2231">
        <f t="shared" si="138"/>
        <v>0.16</v>
      </c>
      <c r="AQ55" s="2232">
        <v>0</v>
      </c>
      <c r="AR55" s="3075">
        <f t="shared" ref="AR55:AR58" si="139">AL55*1.06</f>
        <v>0.16</v>
      </c>
      <c r="AS55" s="3121">
        <v>0</v>
      </c>
      <c r="AU55" s="2027">
        <f t="shared" si="11"/>
        <v>0</v>
      </c>
      <c r="AV55" s="2234">
        <f t="shared" si="12"/>
        <v>0.01</v>
      </c>
    </row>
    <row r="56" spans="1:48" ht="15" customHeight="1">
      <c r="A56" s="3275"/>
      <c r="B56" s="2048" t="s">
        <v>177</v>
      </c>
      <c r="C56" s="2008" t="s">
        <v>178</v>
      </c>
      <c r="D56" s="1953">
        <f>'Table 5a'!L49</f>
        <v>754</v>
      </c>
      <c r="E56" s="1954">
        <v>777</v>
      </c>
      <c r="F56" s="814">
        <v>820</v>
      </c>
      <c r="G56" s="814">
        <v>843</v>
      </c>
      <c r="H56" s="814">
        <v>843</v>
      </c>
      <c r="I56" s="807">
        <v>843</v>
      </c>
      <c r="J56" s="807">
        <v>877</v>
      </c>
      <c r="K56" s="305">
        <v>1347</v>
      </c>
      <c r="L56" s="300">
        <f t="shared" si="2"/>
        <v>0.16</v>
      </c>
      <c r="M56" s="1955">
        <f t="shared" si="3"/>
        <v>0.04</v>
      </c>
      <c r="N56" s="1956">
        <v>0</v>
      </c>
      <c r="O56" s="392">
        <f>'Table 5a'!G49</f>
        <v>0.04</v>
      </c>
      <c r="P56" s="1000">
        <f t="shared" si="126"/>
        <v>0.05</v>
      </c>
      <c r="Q56" s="1956">
        <v>0</v>
      </c>
      <c r="R56" s="3076">
        <f>E56*$AO56/1000000</f>
        <v>0.05</v>
      </c>
      <c r="S56" s="998">
        <v>0</v>
      </c>
      <c r="T56" s="1957">
        <f t="shared" si="128"/>
        <v>0.05</v>
      </c>
      <c r="U56" s="1956">
        <v>0</v>
      </c>
      <c r="V56" s="3076">
        <f>F56*$AO56/1000000</f>
        <v>0.05</v>
      </c>
      <c r="W56" s="3104">
        <v>0</v>
      </c>
      <c r="X56" s="1955">
        <f t="shared" si="130"/>
        <v>0.05</v>
      </c>
      <c r="Y56" s="299">
        <v>0</v>
      </c>
      <c r="Z56" s="3076">
        <f>G56*$AO56/1000000</f>
        <v>0.05</v>
      </c>
      <c r="AA56" s="998">
        <v>0</v>
      </c>
      <c r="AB56" s="1957">
        <f t="shared" si="132"/>
        <v>0.05</v>
      </c>
      <c r="AC56" s="1956">
        <v>0</v>
      </c>
      <c r="AD56" s="3076">
        <f>H56*$AO56/1000000</f>
        <v>0.05</v>
      </c>
      <c r="AE56" s="998">
        <v>0</v>
      </c>
      <c r="AF56" s="1957">
        <f t="shared" si="134"/>
        <v>0.05</v>
      </c>
      <c r="AG56" s="299">
        <v>0</v>
      </c>
      <c r="AH56" s="3076">
        <f>I56*$AO56/1000000</f>
        <v>0.05</v>
      </c>
      <c r="AI56" s="998">
        <v>0</v>
      </c>
      <c r="AJ56" s="1957">
        <f t="shared" si="136"/>
        <v>0.05</v>
      </c>
      <c r="AK56" s="299">
        <v>0</v>
      </c>
      <c r="AL56" s="3076">
        <f>J56*AO56/1000000</f>
        <v>0.05</v>
      </c>
      <c r="AM56" s="830">
        <v>0</v>
      </c>
      <c r="AN56" s="300">
        <f t="shared" si="115"/>
        <v>0.25</v>
      </c>
      <c r="AO56" s="2235">
        <f>'Table 5a'!P49</f>
        <v>58</v>
      </c>
      <c r="AP56" s="1957">
        <f t="shared" si="138"/>
        <v>0.05</v>
      </c>
      <c r="AQ56" s="299">
        <v>0</v>
      </c>
      <c r="AR56" s="3076">
        <f t="shared" si="139"/>
        <v>0.05</v>
      </c>
      <c r="AS56" s="3103">
        <v>0</v>
      </c>
      <c r="AU56" s="1959">
        <f t="shared" si="11"/>
        <v>123</v>
      </c>
      <c r="AV56" s="1960">
        <f t="shared" si="12"/>
        <v>0.01</v>
      </c>
    </row>
    <row r="57" spans="1:48" ht="15" customHeight="1">
      <c r="A57" s="3275"/>
      <c r="B57" s="3003" t="s">
        <v>179</v>
      </c>
      <c r="C57" s="2014" t="s">
        <v>180</v>
      </c>
      <c r="D57" s="2015">
        <v>0</v>
      </c>
      <c r="E57" s="2016">
        <v>0</v>
      </c>
      <c r="F57" s="2017">
        <v>0</v>
      </c>
      <c r="G57" s="2017">
        <v>0</v>
      </c>
      <c r="H57" s="2017">
        <v>0</v>
      </c>
      <c r="I57" s="2018">
        <v>0</v>
      </c>
      <c r="J57" s="2018">
        <v>0</v>
      </c>
      <c r="K57" s="2020">
        <v>0</v>
      </c>
      <c r="L57" s="300" t="s">
        <v>16</v>
      </c>
      <c r="M57" s="1955">
        <f t="shared" si="3"/>
        <v>7.0000000000000007E-2</v>
      </c>
      <c r="N57" s="2022">
        <v>0</v>
      </c>
      <c r="O57" s="358">
        <f>'Table 5a'!G50</f>
        <v>7.0000000000000007E-2</v>
      </c>
      <c r="P57" s="1955">
        <f t="shared" si="126"/>
        <v>0.13</v>
      </c>
      <c r="Q57" s="2022">
        <v>0</v>
      </c>
      <c r="R57" s="3077">
        <v>0.13</v>
      </c>
      <c r="S57" s="2304">
        <v>0</v>
      </c>
      <c r="T57" s="1081">
        <f t="shared" si="128"/>
        <v>0.13</v>
      </c>
      <c r="U57" s="2022">
        <v>0</v>
      </c>
      <c r="V57" s="3077">
        <v>0.13</v>
      </c>
      <c r="W57" s="2304">
        <v>0</v>
      </c>
      <c r="X57" s="1081">
        <f t="shared" si="130"/>
        <v>0.13</v>
      </c>
      <c r="Y57" s="299">
        <v>0</v>
      </c>
      <c r="Z57" s="3077">
        <v>0.13</v>
      </c>
      <c r="AA57" s="2304">
        <v>0</v>
      </c>
      <c r="AB57" s="1081">
        <f t="shared" si="132"/>
        <v>0.13</v>
      </c>
      <c r="AC57" s="2022">
        <v>0</v>
      </c>
      <c r="AD57" s="3077">
        <v>0.13</v>
      </c>
      <c r="AE57" s="2304">
        <v>0</v>
      </c>
      <c r="AF57" s="1081">
        <f t="shared" si="134"/>
        <v>0.13</v>
      </c>
      <c r="AG57" s="2022">
        <v>0</v>
      </c>
      <c r="AH57" s="3076">
        <v>0.13</v>
      </c>
      <c r="AI57" s="998">
        <v>0</v>
      </c>
      <c r="AJ57" s="1081">
        <f t="shared" si="136"/>
        <v>0.13</v>
      </c>
      <c r="AK57" s="2022">
        <v>0</v>
      </c>
      <c r="AL57" s="3076">
        <v>0.13</v>
      </c>
      <c r="AM57" s="830">
        <v>0</v>
      </c>
      <c r="AN57" s="300">
        <f t="shared" si="115"/>
        <v>0.86</v>
      </c>
      <c r="AO57" s="2235" t="str">
        <f>'Table 5a'!P50</f>
        <v>N/A</v>
      </c>
      <c r="AP57" s="1957">
        <f t="shared" ref="AP57" si="140">AR57-AQ57</f>
        <v>0.14000000000000001</v>
      </c>
      <c r="AQ57" s="299">
        <v>0</v>
      </c>
      <c r="AR57" s="3076">
        <f t="shared" si="139"/>
        <v>0.14000000000000001</v>
      </c>
      <c r="AS57" s="3122">
        <v>0</v>
      </c>
      <c r="AU57" s="2027"/>
      <c r="AV57" s="2028"/>
    </row>
    <row r="58" spans="1:48" ht="15.75" customHeight="1" thickBot="1">
      <c r="A58" s="3275"/>
      <c r="B58" s="2029" t="s">
        <v>181</v>
      </c>
      <c r="C58" s="2030" t="s">
        <v>182</v>
      </c>
      <c r="D58" s="2031">
        <f>'Table 5a'!L51</f>
        <v>3623</v>
      </c>
      <c r="E58" s="2032">
        <v>3736</v>
      </c>
      <c r="F58" s="2033">
        <v>3736</v>
      </c>
      <c r="G58" s="2033">
        <v>3736</v>
      </c>
      <c r="H58" s="2033">
        <v>3736</v>
      </c>
      <c r="I58" s="2034">
        <v>3736</v>
      </c>
      <c r="J58" s="2034">
        <v>3736</v>
      </c>
      <c r="K58" s="2036">
        <v>8392</v>
      </c>
      <c r="L58" s="216">
        <f t="shared" si="2"/>
        <v>0.03</v>
      </c>
      <c r="M58" s="2037">
        <f t="shared" si="3"/>
        <v>0.66</v>
      </c>
      <c r="N58" s="2038">
        <v>0</v>
      </c>
      <c r="O58" s="51">
        <f>'Table 5a'!G51</f>
        <v>0.66</v>
      </c>
      <c r="P58" s="1021">
        <f t="shared" si="4"/>
        <v>0.7</v>
      </c>
      <c r="Q58" s="2038">
        <v>0</v>
      </c>
      <c r="R58" s="3078">
        <f>E58*$AO58/1000000</f>
        <v>0.7</v>
      </c>
      <c r="S58" s="2042">
        <v>0</v>
      </c>
      <c r="T58" s="2040">
        <f t="shared" si="5"/>
        <v>0.7</v>
      </c>
      <c r="U58" s="2038">
        <v>0</v>
      </c>
      <c r="V58" s="3078">
        <f>F58*$AO58/1000000</f>
        <v>0.7</v>
      </c>
      <c r="W58" s="3091">
        <v>0</v>
      </c>
      <c r="X58" s="2037">
        <f t="shared" si="6"/>
        <v>0.7</v>
      </c>
      <c r="Y58" s="1022">
        <v>0</v>
      </c>
      <c r="Z58" s="3078">
        <f>G58*$AO58/1000000</f>
        <v>0.7</v>
      </c>
      <c r="AA58" s="2042">
        <v>0</v>
      </c>
      <c r="AB58" s="2040">
        <f t="shared" si="7"/>
        <v>0.7</v>
      </c>
      <c r="AC58" s="2038">
        <v>0</v>
      </c>
      <c r="AD58" s="3078">
        <f>H58*$AO58/1000000</f>
        <v>0.7</v>
      </c>
      <c r="AE58" s="2042">
        <v>0</v>
      </c>
      <c r="AF58" s="2040">
        <f t="shared" si="8"/>
        <v>0.7</v>
      </c>
      <c r="AG58" s="1022">
        <v>0</v>
      </c>
      <c r="AH58" s="3078">
        <f>I58*$AO58/1000000</f>
        <v>0.7</v>
      </c>
      <c r="AI58" s="2042">
        <v>0</v>
      </c>
      <c r="AJ58" s="2040">
        <f t="shared" si="136"/>
        <v>0.7</v>
      </c>
      <c r="AK58" s="1022">
        <v>0</v>
      </c>
      <c r="AL58" s="3078">
        <f>J58*AO58/1000000</f>
        <v>0.7</v>
      </c>
      <c r="AM58" s="2043">
        <v>0</v>
      </c>
      <c r="AN58" s="216">
        <f t="shared" si="115"/>
        <v>0.06</v>
      </c>
      <c r="AO58" s="2044">
        <f>'Table 5a'!P51</f>
        <v>188</v>
      </c>
      <c r="AP58" s="2040">
        <f t="shared" si="9"/>
        <v>0.74</v>
      </c>
      <c r="AQ58" s="1022">
        <v>0</v>
      </c>
      <c r="AR58" s="3078">
        <f t="shared" si="139"/>
        <v>0.74</v>
      </c>
      <c r="AS58" s="3091">
        <v>0</v>
      </c>
      <c r="AU58" s="2045">
        <f t="shared" si="11"/>
        <v>113</v>
      </c>
      <c r="AV58" s="2046">
        <f t="shared" si="12"/>
        <v>0.04</v>
      </c>
    </row>
    <row r="59" spans="1:48" ht="16.5" customHeight="1" thickTop="1" thickBot="1">
      <c r="A59" s="3276"/>
      <c r="B59" s="3277" t="s">
        <v>183</v>
      </c>
      <c r="C59" s="3278"/>
      <c r="D59" s="1978">
        <f>SUM(D55:D58)</f>
        <v>5076</v>
      </c>
      <c r="E59" s="1979">
        <f t="shared" ref="E59:K59" si="141">SUM(E55:E58)</f>
        <v>5212</v>
      </c>
      <c r="F59" s="1980">
        <f t="shared" si="141"/>
        <v>5255</v>
      </c>
      <c r="G59" s="1980">
        <f t="shared" si="141"/>
        <v>5278</v>
      </c>
      <c r="H59" s="1980">
        <f t="shared" si="141"/>
        <v>5278</v>
      </c>
      <c r="I59" s="1981">
        <f t="shared" si="141"/>
        <v>5278</v>
      </c>
      <c r="J59" s="1981">
        <f t="shared" si="141"/>
        <v>5312</v>
      </c>
      <c r="K59" s="1983">
        <f t="shared" si="141"/>
        <v>10961</v>
      </c>
      <c r="L59" s="217">
        <f t="shared" si="2"/>
        <v>0.05</v>
      </c>
      <c r="M59" s="101">
        <f t="shared" si="3"/>
        <v>0.91</v>
      </c>
      <c r="N59" s="1984">
        <f>SUM(N55:N58)</f>
        <v>0</v>
      </c>
      <c r="O59" s="154">
        <f>SUM(O55:O58)</f>
        <v>0.91</v>
      </c>
      <c r="P59" s="100">
        <f t="shared" si="4"/>
        <v>1.03</v>
      </c>
      <c r="Q59" s="1984">
        <f t="shared" ref="Q59:R59" si="142">SUM(Q55:Q58)</f>
        <v>0</v>
      </c>
      <c r="R59" s="3074">
        <f t="shared" si="142"/>
        <v>1.03</v>
      </c>
      <c r="S59" s="303">
        <f>SUM(S55:S58)</f>
        <v>0</v>
      </c>
      <c r="T59" s="1985">
        <f t="shared" si="5"/>
        <v>1.03</v>
      </c>
      <c r="U59" s="1984">
        <f t="shared" ref="U59:V59" si="143">SUM(U55:U58)</f>
        <v>0</v>
      </c>
      <c r="V59" s="3074">
        <f t="shared" si="143"/>
        <v>1.03</v>
      </c>
      <c r="W59" s="3099">
        <f>SUM(W55:W58)</f>
        <v>0</v>
      </c>
      <c r="X59" s="101">
        <f t="shared" si="6"/>
        <v>1.03</v>
      </c>
      <c r="Y59" s="108">
        <f t="shared" ref="Y59:Z59" si="144">SUM(Y55:Y58)</f>
        <v>0</v>
      </c>
      <c r="Z59" s="2546">
        <f t="shared" si="144"/>
        <v>1.03</v>
      </c>
      <c r="AA59" s="303">
        <f>SUM(AA55:AA58)</f>
        <v>0</v>
      </c>
      <c r="AB59" s="1985">
        <f t="shared" si="7"/>
        <v>1.03</v>
      </c>
      <c r="AC59" s="1984">
        <f t="shared" ref="AC59:AD59" si="145">SUM(AC55:AC58)</f>
        <v>0</v>
      </c>
      <c r="AD59" s="2546">
        <f t="shared" si="145"/>
        <v>1.03</v>
      </c>
      <c r="AE59" s="303">
        <f>SUM(AE55:AE58)</f>
        <v>0</v>
      </c>
      <c r="AF59" s="1985">
        <f t="shared" si="8"/>
        <v>1.03</v>
      </c>
      <c r="AG59" s="108">
        <f t="shared" ref="AG59:AH59" si="146">SUM(AG55:AG58)</f>
        <v>0</v>
      </c>
      <c r="AH59" s="3074">
        <f t="shared" si="146"/>
        <v>1.03</v>
      </c>
      <c r="AI59" s="303">
        <f>SUM(AI55:AI58)</f>
        <v>0</v>
      </c>
      <c r="AJ59" s="1985">
        <f t="shared" ref="AJ59:AJ64" si="147">AL59-AK59</f>
        <v>1.03</v>
      </c>
      <c r="AK59" s="108">
        <f t="shared" ref="AK59:AL59" si="148">SUM(AK55:AK58)</f>
        <v>0</v>
      </c>
      <c r="AL59" s="2546">
        <f t="shared" si="148"/>
        <v>1.03</v>
      </c>
      <c r="AM59" s="21">
        <f>SUM(AM55:AM58)</f>
        <v>0</v>
      </c>
      <c r="AN59" s="217">
        <f t="shared" si="115"/>
        <v>0.13</v>
      </c>
      <c r="AO59" s="3037" t="s">
        <v>16</v>
      </c>
      <c r="AP59" s="1985">
        <f t="shared" si="9"/>
        <v>1.0900000000000001</v>
      </c>
      <c r="AQ59" s="108">
        <f>SUM(AQ55:AQ58)</f>
        <v>0</v>
      </c>
      <c r="AR59" s="3074">
        <f>SUM(AR55:AR58)</f>
        <v>1.0900000000000001</v>
      </c>
      <c r="AS59" s="3103">
        <f>SUM(AS55:AS58)</f>
        <v>0</v>
      </c>
      <c r="AU59" s="1986">
        <f t="shared" si="11"/>
        <v>236</v>
      </c>
      <c r="AV59" s="1987">
        <f t="shared" si="12"/>
        <v>0.12</v>
      </c>
    </row>
    <row r="60" spans="1:48">
      <c r="A60" s="3289" t="s">
        <v>184</v>
      </c>
      <c r="B60" s="63" t="s">
        <v>185</v>
      </c>
      <c r="C60" s="2187" t="s">
        <v>186</v>
      </c>
      <c r="D60" s="2211">
        <f>'Table 5a'!L56</f>
        <v>18661</v>
      </c>
      <c r="E60" s="2167">
        <v>19705</v>
      </c>
      <c r="F60" s="2168">
        <v>20476</v>
      </c>
      <c r="G60" s="2168">
        <v>20476</v>
      </c>
      <c r="H60" s="2168">
        <v>20476</v>
      </c>
      <c r="I60" s="2169">
        <v>20476</v>
      </c>
      <c r="J60" s="2169">
        <v>20476</v>
      </c>
      <c r="K60" s="2170">
        <v>20540</v>
      </c>
      <c r="L60" s="196">
        <f t="shared" si="2"/>
        <v>0.1</v>
      </c>
      <c r="M60" s="2171">
        <f t="shared" ref="M60:M65" si="149">O60-N60</f>
        <v>2.96</v>
      </c>
      <c r="N60" s="2172">
        <v>0</v>
      </c>
      <c r="O60" s="675">
        <f>'Table 5a'!G56</f>
        <v>2.96</v>
      </c>
      <c r="P60" s="102">
        <f t="shared" ref="P60:P65" si="150">R60-Q60</f>
        <v>3.33</v>
      </c>
      <c r="Q60" s="2172">
        <v>0</v>
      </c>
      <c r="R60" s="3079">
        <f>E60*$AO60/1000000</f>
        <v>3.33</v>
      </c>
      <c r="S60" s="2129">
        <v>0</v>
      </c>
      <c r="T60" s="2173">
        <f t="shared" ref="T60:T65" si="151">V60-U60</f>
        <v>3.46</v>
      </c>
      <c r="U60" s="2172">
        <v>0</v>
      </c>
      <c r="V60" s="3079">
        <f>F60*$AO60/1000000</f>
        <v>3.46</v>
      </c>
      <c r="W60" s="3094">
        <v>0</v>
      </c>
      <c r="X60" s="2171">
        <f t="shared" ref="X60:X65" si="152">Z60-Y60</f>
        <v>3.46</v>
      </c>
      <c r="Y60" s="117">
        <v>0</v>
      </c>
      <c r="Z60" s="3079">
        <f>G60*$AO60/1000000</f>
        <v>3.46</v>
      </c>
      <c r="AA60" s="2129">
        <v>0</v>
      </c>
      <c r="AB60" s="2173">
        <f t="shared" ref="AB60:AB65" si="153">AD60-AC60</f>
        <v>3.46</v>
      </c>
      <c r="AC60" s="2172">
        <v>0</v>
      </c>
      <c r="AD60" s="3079">
        <f>H60*$AO60/1000000</f>
        <v>3.46</v>
      </c>
      <c r="AE60" s="2129">
        <v>0</v>
      </c>
      <c r="AF60" s="2173">
        <f t="shared" ref="AF60:AF65" si="154">AH60-AG60</f>
        <v>3.46</v>
      </c>
      <c r="AG60" s="117">
        <v>0</v>
      </c>
      <c r="AH60" s="3079">
        <f>I60*$AO60/1000000</f>
        <v>3.46</v>
      </c>
      <c r="AI60" s="2129">
        <v>0</v>
      </c>
      <c r="AJ60" s="2173">
        <f t="shared" si="147"/>
        <v>3.46</v>
      </c>
      <c r="AK60" s="117">
        <v>0</v>
      </c>
      <c r="AL60" s="3079">
        <f>J60*AO60/1000000</f>
        <v>3.46</v>
      </c>
      <c r="AM60" s="2132">
        <v>0</v>
      </c>
      <c r="AN60" s="218">
        <f t="shared" si="115"/>
        <v>0.17</v>
      </c>
      <c r="AO60" s="2236">
        <f>'Table 5a'!P56</f>
        <v>169</v>
      </c>
      <c r="AP60" s="2173">
        <f t="shared" ref="AP60:AP65" si="155">AR60-AQ60</f>
        <v>3.67</v>
      </c>
      <c r="AQ60" s="117">
        <f>AG60</f>
        <v>0</v>
      </c>
      <c r="AR60" s="3079">
        <f t="shared" ref="AR60:AR63" si="156">AL60*1.06</f>
        <v>3.67</v>
      </c>
      <c r="AS60" s="3094">
        <v>0</v>
      </c>
      <c r="AU60" s="2175">
        <f t="shared" si="11"/>
        <v>1815</v>
      </c>
      <c r="AV60" s="2176">
        <f t="shared" si="12"/>
        <v>0.5</v>
      </c>
    </row>
    <row r="61" spans="1:48">
      <c r="A61" s="3283"/>
      <c r="B61" s="1859" t="s">
        <v>187</v>
      </c>
      <c r="C61" s="2189" t="s">
        <v>188</v>
      </c>
      <c r="D61" s="1953">
        <f>'Table 5a'!L57</f>
        <v>1609</v>
      </c>
      <c r="E61" s="1954">
        <v>1719</v>
      </c>
      <c r="F61" s="814">
        <v>2097</v>
      </c>
      <c r="G61" s="814">
        <v>2861</v>
      </c>
      <c r="H61" s="814">
        <v>2861</v>
      </c>
      <c r="I61" s="807">
        <v>2861</v>
      </c>
      <c r="J61" s="807">
        <v>2861</v>
      </c>
      <c r="K61" s="305">
        <v>4247</v>
      </c>
      <c r="L61" s="1861">
        <f t="shared" si="2"/>
        <v>0.78</v>
      </c>
      <c r="M61" s="1955">
        <f t="shared" si="149"/>
        <v>0.16</v>
      </c>
      <c r="N61" s="1956">
        <v>0</v>
      </c>
      <c r="O61" s="633">
        <f>'Table 5a'!G57</f>
        <v>0.16</v>
      </c>
      <c r="P61" s="1000">
        <f t="shared" si="150"/>
        <v>0.18</v>
      </c>
      <c r="Q61" s="1956">
        <v>0</v>
      </c>
      <c r="R61" s="3080">
        <f>E61*$AO61/1000000</f>
        <v>0.18</v>
      </c>
      <c r="S61" s="2010">
        <v>0</v>
      </c>
      <c r="T61" s="1957">
        <f t="shared" si="151"/>
        <v>0.22</v>
      </c>
      <c r="U61" s="1956">
        <v>0</v>
      </c>
      <c r="V61" s="3080">
        <f>F61*$AO61/1000000</f>
        <v>0.22</v>
      </c>
      <c r="W61" s="3090">
        <v>0</v>
      </c>
      <c r="X61" s="1955">
        <f t="shared" si="152"/>
        <v>0.3</v>
      </c>
      <c r="Y61" s="299">
        <v>0</v>
      </c>
      <c r="Z61" s="3080">
        <f>G61*$AO61/1000000</f>
        <v>0.3</v>
      </c>
      <c r="AA61" s="2010">
        <v>0</v>
      </c>
      <c r="AB61" s="1957">
        <f t="shared" si="153"/>
        <v>0.3</v>
      </c>
      <c r="AC61" s="1956">
        <v>0</v>
      </c>
      <c r="AD61" s="3080">
        <f>H61*$AO61/1000000</f>
        <v>0.3</v>
      </c>
      <c r="AE61" s="2010">
        <v>0</v>
      </c>
      <c r="AF61" s="1957">
        <f t="shared" si="154"/>
        <v>0.3</v>
      </c>
      <c r="AG61" s="299">
        <v>0</v>
      </c>
      <c r="AH61" s="3080">
        <f>I61*$AO61/1000000</f>
        <v>0.3</v>
      </c>
      <c r="AI61" s="2010">
        <v>0</v>
      </c>
      <c r="AJ61" s="1957">
        <f t="shared" si="147"/>
        <v>0.3</v>
      </c>
      <c r="AK61" s="299">
        <v>0</v>
      </c>
      <c r="AL61" s="3080">
        <f>J61*AO61/1000000</f>
        <v>0.3</v>
      </c>
      <c r="AM61" s="2011">
        <v>0</v>
      </c>
      <c r="AN61" s="300">
        <f t="shared" si="115"/>
        <v>0.88</v>
      </c>
      <c r="AO61" s="2237">
        <f>'Table 5a'!P57</f>
        <v>104</v>
      </c>
      <c r="AP61" s="1957">
        <f t="shared" si="155"/>
        <v>0.32</v>
      </c>
      <c r="AQ61" s="299">
        <f>AG61</f>
        <v>0</v>
      </c>
      <c r="AR61" s="3080">
        <f t="shared" si="156"/>
        <v>0.32</v>
      </c>
      <c r="AS61" s="3096">
        <v>0</v>
      </c>
      <c r="AU61" s="1959">
        <f t="shared" si="11"/>
        <v>1252</v>
      </c>
      <c r="AV61" s="1960">
        <f t="shared" si="12"/>
        <v>0.14000000000000001</v>
      </c>
    </row>
    <row r="62" spans="1:48">
      <c r="A62" s="3283"/>
      <c r="B62" s="1859" t="s">
        <v>189</v>
      </c>
      <c r="C62" s="2189" t="s">
        <v>190</v>
      </c>
      <c r="D62" s="1953">
        <f>'Table 5a'!L58</f>
        <v>3000</v>
      </c>
      <c r="E62" s="1954">
        <v>3189</v>
      </c>
      <c r="F62" s="814">
        <v>3189</v>
      </c>
      <c r="G62" s="814">
        <v>4727</v>
      </c>
      <c r="H62" s="814">
        <v>4727</v>
      </c>
      <c r="I62" s="807">
        <v>4889</v>
      </c>
      <c r="J62" s="807">
        <v>4889</v>
      </c>
      <c r="K62" s="305">
        <v>9716</v>
      </c>
      <c r="L62" s="1861">
        <f t="shared" si="2"/>
        <v>0.63</v>
      </c>
      <c r="M62" s="1955">
        <f t="shared" si="149"/>
        <v>0.23</v>
      </c>
      <c r="N62" s="1956">
        <v>0</v>
      </c>
      <c r="O62" s="633">
        <f>'Table 5a'!G58</f>
        <v>0.23</v>
      </c>
      <c r="P62" s="1000">
        <f t="shared" si="150"/>
        <v>0.24</v>
      </c>
      <c r="Q62" s="1956">
        <v>0</v>
      </c>
      <c r="R62" s="3080">
        <f>E62*$AO62/1000000</f>
        <v>0.24</v>
      </c>
      <c r="S62" s="2010">
        <v>0</v>
      </c>
      <c r="T62" s="1957">
        <f t="shared" si="151"/>
        <v>0.24</v>
      </c>
      <c r="U62" s="1956">
        <v>0</v>
      </c>
      <c r="V62" s="3080">
        <f>F62*$AO62/1000000</f>
        <v>0.24</v>
      </c>
      <c r="W62" s="3090">
        <v>0</v>
      </c>
      <c r="X62" s="1955">
        <f t="shared" si="152"/>
        <v>0.35</v>
      </c>
      <c r="Y62" s="299">
        <v>0</v>
      </c>
      <c r="Z62" s="3080">
        <f>G62*$AO62/1000000</f>
        <v>0.35</v>
      </c>
      <c r="AA62" s="2010">
        <v>0</v>
      </c>
      <c r="AB62" s="1957">
        <f t="shared" si="153"/>
        <v>0.35</v>
      </c>
      <c r="AC62" s="1956">
        <v>0</v>
      </c>
      <c r="AD62" s="3080">
        <f>H62*$AO62/1000000</f>
        <v>0.35</v>
      </c>
      <c r="AE62" s="2010">
        <v>0</v>
      </c>
      <c r="AF62" s="1957">
        <f t="shared" si="154"/>
        <v>0.37</v>
      </c>
      <c r="AG62" s="299">
        <v>0</v>
      </c>
      <c r="AH62" s="3080">
        <f>I62*$AO62/1000000</f>
        <v>0.37</v>
      </c>
      <c r="AI62" s="2010">
        <v>0</v>
      </c>
      <c r="AJ62" s="1957">
        <f t="shared" si="147"/>
        <v>0.37</v>
      </c>
      <c r="AK62" s="299">
        <v>0</v>
      </c>
      <c r="AL62" s="3080">
        <f>J62*AO62/1000000</f>
        <v>0.37</v>
      </c>
      <c r="AM62" s="2011">
        <v>0</v>
      </c>
      <c r="AN62" s="300">
        <f t="shared" si="115"/>
        <v>0.61</v>
      </c>
      <c r="AO62" s="2237">
        <f>'Table 5a'!P58</f>
        <v>75</v>
      </c>
      <c r="AP62" s="1957">
        <f t="shared" si="155"/>
        <v>0.39</v>
      </c>
      <c r="AQ62" s="299">
        <f>AG62</f>
        <v>0</v>
      </c>
      <c r="AR62" s="3080">
        <f t="shared" si="156"/>
        <v>0.39</v>
      </c>
      <c r="AS62" s="3093">
        <v>0</v>
      </c>
      <c r="AU62" s="1959">
        <f t="shared" si="11"/>
        <v>1889</v>
      </c>
      <c r="AV62" s="1960">
        <f t="shared" si="12"/>
        <v>0.14000000000000001</v>
      </c>
    </row>
    <row r="63" spans="1:48">
      <c r="A63" s="3283"/>
      <c r="B63" s="1859" t="s">
        <v>191</v>
      </c>
      <c r="C63" s="2189" t="s">
        <v>192</v>
      </c>
      <c r="D63" s="1953">
        <f>'Table 5a'!L59</f>
        <v>9242</v>
      </c>
      <c r="E63" s="1954">
        <v>9578</v>
      </c>
      <c r="F63" s="814">
        <v>9775</v>
      </c>
      <c r="G63" s="814">
        <v>9775</v>
      </c>
      <c r="H63" s="814">
        <v>9775</v>
      </c>
      <c r="I63" s="807">
        <v>9775</v>
      </c>
      <c r="J63" s="807">
        <v>9775</v>
      </c>
      <c r="K63" s="305">
        <v>9775</v>
      </c>
      <c r="L63" s="1861">
        <f t="shared" si="2"/>
        <v>0.06</v>
      </c>
      <c r="M63" s="1955">
        <f t="shared" si="149"/>
        <v>1.31</v>
      </c>
      <c r="N63" s="1956">
        <v>0</v>
      </c>
      <c r="O63" s="633">
        <f>'Table 5a'!G59</f>
        <v>1.31</v>
      </c>
      <c r="P63" s="1000">
        <f t="shared" si="150"/>
        <v>1.41</v>
      </c>
      <c r="Q63" s="1956">
        <v>0</v>
      </c>
      <c r="R63" s="3080">
        <f>E63*$AO63/1000000</f>
        <v>1.41</v>
      </c>
      <c r="S63" s="2010">
        <v>0</v>
      </c>
      <c r="T63" s="1957">
        <f t="shared" si="151"/>
        <v>1.44</v>
      </c>
      <c r="U63" s="1956">
        <v>0</v>
      </c>
      <c r="V63" s="3080">
        <f>F63*$AO63/1000000</f>
        <v>1.44</v>
      </c>
      <c r="W63" s="3090">
        <v>0</v>
      </c>
      <c r="X63" s="1955">
        <f t="shared" si="152"/>
        <v>1.44</v>
      </c>
      <c r="Y63" s="299">
        <v>0</v>
      </c>
      <c r="Z63" s="3080">
        <f>G63*$AO63/1000000</f>
        <v>1.44</v>
      </c>
      <c r="AA63" s="2010">
        <v>0</v>
      </c>
      <c r="AB63" s="1957">
        <f t="shared" si="153"/>
        <v>1.44</v>
      </c>
      <c r="AC63" s="1956">
        <v>0</v>
      </c>
      <c r="AD63" s="3080">
        <f>H63*$AO63/1000000</f>
        <v>1.44</v>
      </c>
      <c r="AE63" s="2010">
        <v>0</v>
      </c>
      <c r="AF63" s="1957">
        <f t="shared" si="154"/>
        <v>1.44</v>
      </c>
      <c r="AG63" s="299">
        <v>0</v>
      </c>
      <c r="AH63" s="3080">
        <f>I63*$AO63/1000000</f>
        <v>1.44</v>
      </c>
      <c r="AI63" s="2010">
        <v>0</v>
      </c>
      <c r="AJ63" s="1957">
        <f t="shared" si="147"/>
        <v>1.44</v>
      </c>
      <c r="AK63" s="299">
        <v>0</v>
      </c>
      <c r="AL63" s="3080">
        <f>J63*AO63/1000000</f>
        <v>1.44</v>
      </c>
      <c r="AM63" s="2011">
        <v>0</v>
      </c>
      <c r="AN63" s="300">
        <f t="shared" si="115"/>
        <v>0.1</v>
      </c>
      <c r="AO63" s="2237">
        <f>'Table 5a'!P59</f>
        <v>147</v>
      </c>
      <c r="AP63" s="1957">
        <f t="shared" si="155"/>
        <v>1.53</v>
      </c>
      <c r="AQ63" s="299">
        <f>AG63</f>
        <v>0</v>
      </c>
      <c r="AR63" s="3080">
        <f t="shared" si="156"/>
        <v>1.53</v>
      </c>
      <c r="AS63" s="3093">
        <v>0</v>
      </c>
      <c r="AU63" s="1959">
        <f t="shared" si="11"/>
        <v>533</v>
      </c>
      <c r="AV63" s="1960">
        <f t="shared" si="12"/>
        <v>0.13</v>
      </c>
    </row>
    <row r="64" spans="1:48" ht="13.5" thickBot="1">
      <c r="A64" s="3283"/>
      <c r="B64" s="2177" t="s">
        <v>193</v>
      </c>
      <c r="C64" s="2195" t="s">
        <v>128</v>
      </c>
      <c r="D64" s="2031">
        <v>36872</v>
      </c>
      <c r="E64" s="2032">
        <v>42245</v>
      </c>
      <c r="F64" s="2033">
        <v>48281</v>
      </c>
      <c r="G64" s="2033">
        <v>52246</v>
      </c>
      <c r="H64" s="2033">
        <v>57358</v>
      </c>
      <c r="I64" s="2034">
        <v>61491</v>
      </c>
      <c r="J64" s="2034">
        <v>65315</v>
      </c>
      <c r="K64" s="2036">
        <v>224737</v>
      </c>
      <c r="L64" s="197">
        <f t="shared" si="2"/>
        <v>0.77</v>
      </c>
      <c r="M64" s="2037">
        <f t="shared" si="149"/>
        <v>2.2599999999999998</v>
      </c>
      <c r="N64" s="2038">
        <v>0</v>
      </c>
      <c r="O64" s="51">
        <f>'Table 5a'!G60</f>
        <v>2.2599999999999998</v>
      </c>
      <c r="P64" s="1021">
        <f t="shared" si="150"/>
        <v>2.91</v>
      </c>
      <c r="Q64" s="2038">
        <v>0</v>
      </c>
      <c r="R64" s="3078">
        <f>E64*$AO64/1000000</f>
        <v>2.91</v>
      </c>
      <c r="S64" s="2042">
        <v>0</v>
      </c>
      <c r="T64" s="2040">
        <f t="shared" si="151"/>
        <v>3.33</v>
      </c>
      <c r="U64" s="2038">
        <v>0</v>
      </c>
      <c r="V64" s="3078">
        <f>F64*$AO64/1000000</f>
        <v>3.33</v>
      </c>
      <c r="W64" s="3091">
        <v>0</v>
      </c>
      <c r="X64" s="2037">
        <f t="shared" si="152"/>
        <v>3.6</v>
      </c>
      <c r="Y64" s="1022">
        <v>0</v>
      </c>
      <c r="Z64" s="3078">
        <f>G64*$AO64/1000000</f>
        <v>3.6</v>
      </c>
      <c r="AA64" s="2042">
        <v>0</v>
      </c>
      <c r="AB64" s="2040">
        <f t="shared" si="153"/>
        <v>3.83</v>
      </c>
      <c r="AC64" s="2038">
        <v>0</v>
      </c>
      <c r="AD64" s="3078">
        <f>(H64*$AO64/1000000)-AE64</f>
        <v>3.83</v>
      </c>
      <c r="AE64" s="2042">
        <v>0.13</v>
      </c>
      <c r="AF64" s="2040">
        <f t="shared" si="154"/>
        <v>3.83</v>
      </c>
      <c r="AG64" s="1022">
        <v>0</v>
      </c>
      <c r="AH64" s="3078">
        <f>(I64*$AO64/1000000)-AI64</f>
        <v>3.83</v>
      </c>
      <c r="AI64" s="2042">
        <v>0.41</v>
      </c>
      <c r="AJ64" s="2040">
        <f t="shared" si="147"/>
        <v>3.83</v>
      </c>
      <c r="AK64" s="1022">
        <v>0</v>
      </c>
      <c r="AL64" s="3078">
        <f>(J64*AO64/1000000)-AM64</f>
        <v>3.83</v>
      </c>
      <c r="AM64" s="2043">
        <v>0.68</v>
      </c>
      <c r="AN64" s="216">
        <f t="shared" si="115"/>
        <v>0.69</v>
      </c>
      <c r="AO64" s="2238">
        <f>'Table 5a'!P60</f>
        <v>69</v>
      </c>
      <c r="AP64" s="2040">
        <f t="shared" si="155"/>
        <v>3.83</v>
      </c>
      <c r="AQ64" s="1022">
        <f>AG64</f>
        <v>0</v>
      </c>
      <c r="AR64" s="3078">
        <f>(SUM(AL64:AM64)*1.06)-AS64</f>
        <v>3.83</v>
      </c>
      <c r="AS64" s="3093">
        <v>0.95</v>
      </c>
      <c r="AU64" s="2045">
        <f t="shared" si="11"/>
        <v>28443</v>
      </c>
      <c r="AV64" s="2046">
        <f t="shared" si="12"/>
        <v>1.57</v>
      </c>
    </row>
    <row r="65" spans="1:48" ht="14.25" thickTop="1" thickBot="1">
      <c r="A65" s="3285"/>
      <c r="B65" s="3277" t="s">
        <v>194</v>
      </c>
      <c r="C65" s="3278"/>
      <c r="D65" s="1978">
        <f t="shared" ref="D65:J65" si="157">SUM(D60:D64)</f>
        <v>69384</v>
      </c>
      <c r="E65" s="1979">
        <f t="shared" si="157"/>
        <v>76436</v>
      </c>
      <c r="F65" s="1980">
        <f t="shared" si="157"/>
        <v>83818</v>
      </c>
      <c r="G65" s="1980">
        <f t="shared" si="157"/>
        <v>90085</v>
      </c>
      <c r="H65" s="1980">
        <f t="shared" si="157"/>
        <v>95197</v>
      </c>
      <c r="I65" s="1981">
        <f t="shared" si="157"/>
        <v>99492</v>
      </c>
      <c r="J65" s="1981">
        <f t="shared" si="157"/>
        <v>103316</v>
      </c>
      <c r="K65" s="1983">
        <f>SUM(K60:K64)</f>
        <v>269015</v>
      </c>
      <c r="L65" s="202">
        <f t="shared" si="2"/>
        <v>0.49</v>
      </c>
      <c r="M65" s="101">
        <f t="shared" si="149"/>
        <v>6.92</v>
      </c>
      <c r="N65" s="1984">
        <f>SUM(N60:N64)</f>
        <v>0</v>
      </c>
      <c r="O65" s="154">
        <f t="shared" ref="O65" si="158">SUM(O60:O64)</f>
        <v>6.92</v>
      </c>
      <c r="P65" s="100">
        <f t="shared" si="150"/>
        <v>8.07</v>
      </c>
      <c r="Q65" s="1984">
        <f t="shared" ref="Q65:AL65" si="159">SUM(Q60:Q64)</f>
        <v>0</v>
      </c>
      <c r="R65" s="2546">
        <f t="shared" si="159"/>
        <v>8.07</v>
      </c>
      <c r="S65" s="2992">
        <f>SUM(S60:S64)</f>
        <v>0</v>
      </c>
      <c r="T65" s="2240">
        <f t="shared" si="151"/>
        <v>8.69</v>
      </c>
      <c r="U65" s="2241">
        <f t="shared" ref="U65" si="160">SUM(U60:U64)</f>
        <v>0</v>
      </c>
      <c r="V65" s="2546">
        <f t="shared" si="159"/>
        <v>8.69</v>
      </c>
      <c r="W65" s="3098">
        <f>SUM(W60:W64)</f>
        <v>0</v>
      </c>
      <c r="X65" s="2243">
        <f t="shared" si="152"/>
        <v>9.15</v>
      </c>
      <c r="Y65" s="2244">
        <f t="shared" ref="Y65" si="161">SUM(Y60:Y64)</f>
        <v>0</v>
      </c>
      <c r="Z65" s="3074">
        <f t="shared" si="159"/>
        <v>9.15</v>
      </c>
      <c r="AA65" s="303">
        <f>SUM(AA60:AA64)</f>
        <v>0</v>
      </c>
      <c r="AB65" s="1985">
        <f t="shared" si="153"/>
        <v>9.3800000000000008</v>
      </c>
      <c r="AC65" s="1984">
        <f t="shared" ref="AC65" si="162">SUM(AC60:AC64)</f>
        <v>0</v>
      </c>
      <c r="AD65" s="3074">
        <f t="shared" si="159"/>
        <v>9.3800000000000008</v>
      </c>
      <c r="AE65" s="303">
        <f>SUM(AE60:AE64)</f>
        <v>0.13</v>
      </c>
      <c r="AF65" s="1985">
        <f t="shared" si="154"/>
        <v>9.4</v>
      </c>
      <c r="AG65" s="108">
        <f t="shared" ref="AG65" si="163">SUM(AG60:AG64)</f>
        <v>0</v>
      </c>
      <c r="AH65" s="3074">
        <f t="shared" si="159"/>
        <v>9.4</v>
      </c>
      <c r="AI65" s="303">
        <f>SUM(AI60:AI64)</f>
        <v>0.41</v>
      </c>
      <c r="AJ65" s="1985">
        <f t="shared" ref="AJ65:AJ72" si="164">AL65-AK65</f>
        <v>9.4</v>
      </c>
      <c r="AK65" s="108">
        <f t="shared" ref="AK65" si="165">SUM(AK60:AK64)</f>
        <v>0</v>
      </c>
      <c r="AL65" s="3074">
        <f t="shared" si="159"/>
        <v>9.4</v>
      </c>
      <c r="AM65" s="21">
        <f>SUM(AM60:AM64)</f>
        <v>0.68</v>
      </c>
      <c r="AN65" s="202">
        <f t="shared" si="115"/>
        <v>0.36</v>
      </c>
      <c r="AO65" s="3035" t="s">
        <v>16</v>
      </c>
      <c r="AP65" s="1985">
        <f t="shared" si="155"/>
        <v>9.74</v>
      </c>
      <c r="AQ65" s="108">
        <f>SUM(AQ60:AQ64)</f>
        <v>0</v>
      </c>
      <c r="AR65" s="2546">
        <f t="shared" ref="AR65" si="166">SUM(AR60:AR64)</f>
        <v>9.74</v>
      </c>
      <c r="AS65" s="3098">
        <f>SUM(AS60:AS64)</f>
        <v>0.95</v>
      </c>
      <c r="AU65" s="1986">
        <f t="shared" si="11"/>
        <v>33932</v>
      </c>
      <c r="AV65" s="1987">
        <f t="shared" si="12"/>
        <v>2.48</v>
      </c>
    </row>
    <row r="66" spans="1:48">
      <c r="A66" s="3274" t="s">
        <v>195</v>
      </c>
      <c r="B66" s="2245" t="s">
        <v>196</v>
      </c>
      <c r="C66" s="2122" t="s">
        <v>197</v>
      </c>
      <c r="D66" s="2047">
        <f>'Table 5a'!L62</f>
        <v>935</v>
      </c>
      <c r="E66" s="2167">
        <v>959</v>
      </c>
      <c r="F66" s="2168">
        <v>959</v>
      </c>
      <c r="G66" s="2168">
        <v>959</v>
      </c>
      <c r="H66" s="2168">
        <v>959</v>
      </c>
      <c r="I66" s="2169">
        <v>959</v>
      </c>
      <c r="J66" s="2169">
        <v>959</v>
      </c>
      <c r="K66" s="2170">
        <v>2205</v>
      </c>
      <c r="L66" s="221">
        <f t="shared" si="2"/>
        <v>0.03</v>
      </c>
      <c r="M66" s="122">
        <f t="shared" ref="M66" si="167">O66-N66</f>
        <v>0.08</v>
      </c>
      <c r="N66" s="462">
        <v>0</v>
      </c>
      <c r="O66" s="2246">
        <f>'Table 5a'!G62</f>
        <v>0.08</v>
      </c>
      <c r="P66" s="109">
        <f t="shared" ref="P66" si="168">R66-Q66</f>
        <v>0.08</v>
      </c>
      <c r="Q66" s="2247">
        <v>0</v>
      </c>
      <c r="R66" s="3081">
        <f t="shared" ref="R66:R72" si="169">E66*$AO66/1000000</f>
        <v>0.08</v>
      </c>
      <c r="S66" s="2248">
        <v>0</v>
      </c>
      <c r="T66" s="99">
        <f t="shared" ref="T66" si="170">V66-U66</f>
        <v>0.08</v>
      </c>
      <c r="U66" s="2249">
        <v>0</v>
      </c>
      <c r="V66" s="3081">
        <f t="shared" ref="V66:V72" si="171">F66*$AO66/1000000</f>
        <v>0.08</v>
      </c>
      <c r="W66" s="3105">
        <v>0</v>
      </c>
      <c r="X66" s="122">
        <f t="shared" ref="X66" si="172">Z66-Y66</f>
        <v>0.08</v>
      </c>
      <c r="Y66" s="2247">
        <v>0</v>
      </c>
      <c r="Z66" s="3081">
        <f t="shared" ref="Z66:Z72" si="173">G66*$AO66/1000000</f>
        <v>0.08</v>
      </c>
      <c r="AA66" s="2248">
        <v>0</v>
      </c>
      <c r="AB66" s="99">
        <f t="shared" ref="AB66" si="174">AD66-AC66</f>
        <v>0.08</v>
      </c>
      <c r="AC66" s="2249">
        <v>0</v>
      </c>
      <c r="AD66" s="3081">
        <f t="shared" ref="AD66:AD72" si="175">H66*$AO66/1000000</f>
        <v>0.08</v>
      </c>
      <c r="AE66" s="2248">
        <v>0</v>
      </c>
      <c r="AF66" s="99">
        <f t="shared" ref="AF66" si="176">AH66-AG66</f>
        <v>0.08</v>
      </c>
      <c r="AG66" s="2247">
        <v>0</v>
      </c>
      <c r="AH66" s="3081">
        <f t="shared" ref="AH66:AH72" si="177">I66*$AO66/1000000</f>
        <v>0.08</v>
      </c>
      <c r="AI66" s="2248">
        <v>0</v>
      </c>
      <c r="AJ66" s="99">
        <f t="shared" si="164"/>
        <v>0.08</v>
      </c>
      <c r="AK66" s="2247">
        <v>0</v>
      </c>
      <c r="AL66" s="3081">
        <f t="shared" ref="AL66:AL72" si="178">J66*AO66/1000000</f>
        <v>0.08</v>
      </c>
      <c r="AM66" s="2250">
        <v>0</v>
      </c>
      <c r="AN66" s="882">
        <f t="shared" si="115"/>
        <v>0</v>
      </c>
      <c r="AO66" s="2251">
        <f>'Table 5a'!P62</f>
        <v>88</v>
      </c>
      <c r="AP66" s="99">
        <f t="shared" ref="AP66" si="179">AR66-AQ66</f>
        <v>0.08</v>
      </c>
      <c r="AQ66" s="2247">
        <f t="shared" ref="AQ66:AQ72" si="180">AG66</f>
        <v>0</v>
      </c>
      <c r="AR66" s="3081">
        <f t="shared" ref="AR66:AR72" si="181">AL66*1.06</f>
        <v>0.08</v>
      </c>
      <c r="AS66" s="3123">
        <v>0</v>
      </c>
      <c r="AT66" s="2"/>
      <c r="AU66" s="2175">
        <f t="shared" si="11"/>
        <v>24</v>
      </c>
      <c r="AV66" s="1582">
        <f t="shared" si="12"/>
        <v>0</v>
      </c>
    </row>
    <row r="67" spans="1:48">
      <c r="A67" s="3275"/>
      <c r="B67" s="2252" t="s">
        <v>198</v>
      </c>
      <c r="C67" s="2253">
        <v>1627</v>
      </c>
      <c r="D67" s="2254">
        <f>'Table 5a'!L63</f>
        <v>1800</v>
      </c>
      <c r="E67" s="2255">
        <v>1805</v>
      </c>
      <c r="F67" s="76">
        <v>1805</v>
      </c>
      <c r="G67" s="76">
        <v>1805</v>
      </c>
      <c r="H67" s="76">
        <v>1805</v>
      </c>
      <c r="I67" s="2256">
        <v>1805</v>
      </c>
      <c r="J67" s="2256">
        <v>1805</v>
      </c>
      <c r="K67" s="2257">
        <v>4238</v>
      </c>
      <c r="L67" s="224">
        <f t="shared" si="2"/>
        <v>0</v>
      </c>
      <c r="M67" s="114">
        <f t="shared" ref="M67:M90" si="182">O67-N67</f>
        <v>0.17</v>
      </c>
      <c r="N67" s="118">
        <v>0</v>
      </c>
      <c r="O67" s="1024">
        <f>'Table 5a'!G63</f>
        <v>0.17</v>
      </c>
      <c r="P67" s="121">
        <f t="shared" ref="P67:P91" si="183">R67-Q67</f>
        <v>0.17</v>
      </c>
      <c r="Q67" s="118">
        <v>0</v>
      </c>
      <c r="R67" s="3082">
        <f t="shared" si="169"/>
        <v>0.17</v>
      </c>
      <c r="S67" s="2258">
        <v>0</v>
      </c>
      <c r="T67" s="110">
        <f t="shared" ref="T67:T91" si="184">V67-U67</f>
        <v>0.17</v>
      </c>
      <c r="U67" s="118">
        <v>0</v>
      </c>
      <c r="V67" s="3082">
        <f t="shared" si="171"/>
        <v>0.17</v>
      </c>
      <c r="W67" s="3097">
        <v>0</v>
      </c>
      <c r="X67" s="114">
        <f t="shared" ref="X67:X91" si="185">Z67-Y67</f>
        <v>0.17</v>
      </c>
      <c r="Y67" s="112">
        <v>0</v>
      </c>
      <c r="Z67" s="3082">
        <f t="shared" si="173"/>
        <v>0.17</v>
      </c>
      <c r="AA67" s="2258">
        <v>0</v>
      </c>
      <c r="AB67" s="110">
        <f t="shared" ref="AB67:AB91" si="186">AD67-AC67</f>
        <v>0.17</v>
      </c>
      <c r="AC67" s="118">
        <v>0</v>
      </c>
      <c r="AD67" s="3082">
        <f t="shared" si="175"/>
        <v>0.17</v>
      </c>
      <c r="AE67" s="2258">
        <v>0</v>
      </c>
      <c r="AF67" s="110">
        <f t="shared" ref="AF67:AF91" si="187">AH67-AG67</f>
        <v>0.17</v>
      </c>
      <c r="AG67" s="112">
        <v>0</v>
      </c>
      <c r="AH67" s="3082">
        <f t="shared" si="177"/>
        <v>0.17</v>
      </c>
      <c r="AI67" s="2258">
        <v>0</v>
      </c>
      <c r="AJ67" s="110">
        <f t="shared" si="164"/>
        <v>0.17</v>
      </c>
      <c r="AK67" s="112">
        <v>0</v>
      </c>
      <c r="AL67" s="3082">
        <f t="shared" si="178"/>
        <v>0.17</v>
      </c>
      <c r="AM67" s="2259">
        <v>0</v>
      </c>
      <c r="AN67" s="229">
        <f t="shared" si="115"/>
        <v>0</v>
      </c>
      <c r="AO67" s="2260">
        <f>'Table 5a'!P63</f>
        <v>96</v>
      </c>
      <c r="AP67" s="110">
        <f t="shared" ref="AP67:AP90" si="188">AR67-AQ67</f>
        <v>0.18</v>
      </c>
      <c r="AQ67" s="112">
        <f t="shared" si="180"/>
        <v>0</v>
      </c>
      <c r="AR67" s="3082">
        <f t="shared" si="181"/>
        <v>0.18</v>
      </c>
      <c r="AS67" s="3093">
        <v>0</v>
      </c>
      <c r="AT67" s="2"/>
      <c r="AU67" s="2261">
        <f t="shared" si="11"/>
        <v>5</v>
      </c>
      <c r="AV67" s="2262">
        <f t="shared" si="12"/>
        <v>0</v>
      </c>
    </row>
    <row r="68" spans="1:48">
      <c r="A68" s="3275"/>
      <c r="B68" s="1859" t="s">
        <v>199</v>
      </c>
      <c r="C68" s="2263">
        <v>7961</v>
      </c>
      <c r="D68" s="1953">
        <f>'Table 5a'!L64</f>
        <v>450</v>
      </c>
      <c r="E68" s="1954">
        <v>450</v>
      </c>
      <c r="F68" s="814">
        <v>450</v>
      </c>
      <c r="G68" s="814">
        <v>450</v>
      </c>
      <c r="H68" s="814">
        <v>450</v>
      </c>
      <c r="I68" s="807">
        <v>450</v>
      </c>
      <c r="J68" s="807">
        <v>450</v>
      </c>
      <c r="K68" s="305">
        <v>616</v>
      </c>
      <c r="L68" s="1863">
        <f t="shared" si="2"/>
        <v>0</v>
      </c>
      <c r="M68" s="1054">
        <f t="shared" si="182"/>
        <v>0.15</v>
      </c>
      <c r="N68" s="1077">
        <v>0</v>
      </c>
      <c r="O68" s="633">
        <f>'Table 5a'!G64</f>
        <v>0.15</v>
      </c>
      <c r="P68" s="1353">
        <f t="shared" si="183"/>
        <v>0.12</v>
      </c>
      <c r="Q68" s="1077">
        <v>0</v>
      </c>
      <c r="R68" s="3080">
        <f t="shared" si="169"/>
        <v>0.12</v>
      </c>
      <c r="S68" s="2010">
        <v>0</v>
      </c>
      <c r="T68" s="1001">
        <f t="shared" si="184"/>
        <v>0.12</v>
      </c>
      <c r="U68" s="1077">
        <v>0</v>
      </c>
      <c r="V68" s="3080">
        <f t="shared" si="171"/>
        <v>0.12</v>
      </c>
      <c r="W68" s="3090">
        <v>0</v>
      </c>
      <c r="X68" s="1054">
        <f t="shared" si="185"/>
        <v>0.12</v>
      </c>
      <c r="Y68" s="451">
        <v>0</v>
      </c>
      <c r="Z68" s="3080">
        <f t="shared" si="173"/>
        <v>0.12</v>
      </c>
      <c r="AA68" s="2010">
        <v>0</v>
      </c>
      <c r="AB68" s="1001">
        <f t="shared" si="186"/>
        <v>0.12</v>
      </c>
      <c r="AC68" s="1077">
        <v>0</v>
      </c>
      <c r="AD68" s="3080">
        <f t="shared" si="175"/>
        <v>0.12</v>
      </c>
      <c r="AE68" s="2010">
        <v>0</v>
      </c>
      <c r="AF68" s="1001">
        <f t="shared" si="187"/>
        <v>0.12</v>
      </c>
      <c r="AG68" s="451">
        <v>0</v>
      </c>
      <c r="AH68" s="3080">
        <f t="shared" si="177"/>
        <v>0.12</v>
      </c>
      <c r="AI68" s="2010">
        <v>0</v>
      </c>
      <c r="AJ68" s="1001">
        <f t="shared" si="164"/>
        <v>0.12</v>
      </c>
      <c r="AK68" s="451">
        <v>0</v>
      </c>
      <c r="AL68" s="3080">
        <f t="shared" si="178"/>
        <v>0.12</v>
      </c>
      <c r="AM68" s="2011">
        <v>0</v>
      </c>
      <c r="AN68" s="300">
        <f t="shared" si="115"/>
        <v>-0.2</v>
      </c>
      <c r="AO68" s="2193">
        <f>'Table 5a'!P64</f>
        <v>257</v>
      </c>
      <c r="AP68" s="1001">
        <f t="shared" si="188"/>
        <v>0.13</v>
      </c>
      <c r="AQ68" s="451">
        <f t="shared" si="180"/>
        <v>0</v>
      </c>
      <c r="AR68" s="3080">
        <f t="shared" si="181"/>
        <v>0.13</v>
      </c>
      <c r="AS68" s="3093">
        <v>0</v>
      </c>
      <c r="AT68" s="2"/>
      <c r="AU68" s="1959">
        <f t="shared" si="11"/>
        <v>0</v>
      </c>
      <c r="AV68" s="2264">
        <f t="shared" si="12"/>
        <v>-0.03</v>
      </c>
    </row>
    <row r="69" spans="1:48">
      <c r="A69" s="3275"/>
      <c r="B69" s="1859" t="s">
        <v>200</v>
      </c>
      <c r="C69" s="2263">
        <v>7981</v>
      </c>
      <c r="D69" s="1953">
        <f>'Table 5a'!L65</f>
        <v>1000</v>
      </c>
      <c r="E69" s="1954">
        <v>1001</v>
      </c>
      <c r="F69" s="814">
        <v>1001</v>
      </c>
      <c r="G69" s="814">
        <v>1001</v>
      </c>
      <c r="H69" s="814">
        <v>1001</v>
      </c>
      <c r="I69" s="807">
        <v>1001</v>
      </c>
      <c r="J69" s="807">
        <v>1001</v>
      </c>
      <c r="K69" s="305">
        <v>1881</v>
      </c>
      <c r="L69" s="1863">
        <f t="shared" si="2"/>
        <v>0</v>
      </c>
      <c r="M69" s="1054">
        <f t="shared" si="182"/>
        <v>0.1</v>
      </c>
      <c r="N69" s="1077">
        <v>0</v>
      </c>
      <c r="O69" s="633">
        <f>'Table 5a'!G65</f>
        <v>0.1</v>
      </c>
      <c r="P69" s="1353">
        <f t="shared" si="183"/>
        <v>7.0000000000000007E-2</v>
      </c>
      <c r="Q69" s="1077">
        <v>0</v>
      </c>
      <c r="R69" s="3080">
        <f t="shared" si="169"/>
        <v>7.0000000000000007E-2</v>
      </c>
      <c r="S69" s="2010">
        <v>0</v>
      </c>
      <c r="T69" s="1001">
        <f t="shared" si="184"/>
        <v>7.0000000000000007E-2</v>
      </c>
      <c r="U69" s="1077">
        <v>0</v>
      </c>
      <c r="V69" s="3080">
        <f t="shared" si="171"/>
        <v>7.0000000000000007E-2</v>
      </c>
      <c r="W69" s="3090">
        <v>0</v>
      </c>
      <c r="X69" s="1054">
        <f t="shared" si="185"/>
        <v>7.0000000000000007E-2</v>
      </c>
      <c r="Y69" s="451">
        <v>0</v>
      </c>
      <c r="Z69" s="3080">
        <f t="shared" si="173"/>
        <v>7.0000000000000007E-2</v>
      </c>
      <c r="AA69" s="2010">
        <v>0</v>
      </c>
      <c r="AB69" s="1001">
        <f t="shared" si="186"/>
        <v>7.0000000000000007E-2</v>
      </c>
      <c r="AC69" s="1077">
        <v>0</v>
      </c>
      <c r="AD69" s="3080">
        <f t="shared" si="175"/>
        <v>7.0000000000000007E-2</v>
      </c>
      <c r="AE69" s="2010">
        <v>0</v>
      </c>
      <c r="AF69" s="1001">
        <f t="shared" si="187"/>
        <v>7.0000000000000007E-2</v>
      </c>
      <c r="AG69" s="451">
        <v>0</v>
      </c>
      <c r="AH69" s="3080">
        <f t="shared" si="177"/>
        <v>7.0000000000000007E-2</v>
      </c>
      <c r="AI69" s="2010">
        <v>0</v>
      </c>
      <c r="AJ69" s="1001">
        <f t="shared" si="164"/>
        <v>7.0000000000000007E-2</v>
      </c>
      <c r="AK69" s="451">
        <v>0</v>
      </c>
      <c r="AL69" s="3080">
        <f t="shared" si="178"/>
        <v>7.0000000000000007E-2</v>
      </c>
      <c r="AM69" s="2011">
        <v>0</v>
      </c>
      <c r="AN69" s="300">
        <f t="shared" si="115"/>
        <v>-0.3</v>
      </c>
      <c r="AO69" s="2193">
        <f>'Table 5a'!P65</f>
        <v>69</v>
      </c>
      <c r="AP69" s="1001">
        <f t="shared" si="188"/>
        <v>7.0000000000000007E-2</v>
      </c>
      <c r="AQ69" s="451">
        <f t="shared" si="180"/>
        <v>0</v>
      </c>
      <c r="AR69" s="3080">
        <f t="shared" si="181"/>
        <v>7.0000000000000007E-2</v>
      </c>
      <c r="AS69" s="3090">
        <v>0</v>
      </c>
      <c r="AT69" s="2"/>
      <c r="AU69" s="1959">
        <f t="shared" si="11"/>
        <v>1</v>
      </c>
      <c r="AV69" s="2264">
        <f t="shared" si="12"/>
        <v>-0.03</v>
      </c>
    </row>
    <row r="70" spans="1:48">
      <c r="A70" s="3275"/>
      <c r="B70" s="2265" t="s">
        <v>201</v>
      </c>
      <c r="C70" s="2263">
        <v>8114</v>
      </c>
      <c r="D70" s="1953">
        <f>'Table 5a'!L66</f>
        <v>11941</v>
      </c>
      <c r="E70" s="1954">
        <v>12053</v>
      </c>
      <c r="F70" s="814">
        <v>12053</v>
      </c>
      <c r="G70" s="814">
        <v>12053</v>
      </c>
      <c r="H70" s="814">
        <v>12053</v>
      </c>
      <c r="I70" s="807">
        <v>12053</v>
      </c>
      <c r="J70" s="807">
        <v>12053</v>
      </c>
      <c r="K70" s="305">
        <v>24916</v>
      </c>
      <c r="L70" s="1863">
        <f t="shared" si="2"/>
        <v>0.01</v>
      </c>
      <c r="M70" s="1054">
        <f t="shared" si="182"/>
        <v>1.31</v>
      </c>
      <c r="N70" s="1077">
        <v>0</v>
      </c>
      <c r="O70" s="633">
        <f>'Table 5a'!G66</f>
        <v>1.31</v>
      </c>
      <c r="P70" s="1353">
        <f t="shared" si="183"/>
        <v>1.28</v>
      </c>
      <c r="Q70" s="1077">
        <v>0</v>
      </c>
      <c r="R70" s="3080">
        <f t="shared" si="169"/>
        <v>1.28</v>
      </c>
      <c r="S70" s="2010">
        <v>0</v>
      </c>
      <c r="T70" s="1001">
        <f t="shared" si="184"/>
        <v>1.28</v>
      </c>
      <c r="U70" s="1077">
        <v>0</v>
      </c>
      <c r="V70" s="3080">
        <f t="shared" si="171"/>
        <v>1.28</v>
      </c>
      <c r="W70" s="3090">
        <v>0</v>
      </c>
      <c r="X70" s="1054">
        <f t="shared" si="185"/>
        <v>1.28</v>
      </c>
      <c r="Y70" s="451">
        <v>0</v>
      </c>
      <c r="Z70" s="3080">
        <f t="shared" si="173"/>
        <v>1.28</v>
      </c>
      <c r="AA70" s="2010">
        <v>0</v>
      </c>
      <c r="AB70" s="1001">
        <f t="shared" si="186"/>
        <v>1.28</v>
      </c>
      <c r="AC70" s="1077">
        <v>0</v>
      </c>
      <c r="AD70" s="3080">
        <f t="shared" si="175"/>
        <v>1.28</v>
      </c>
      <c r="AE70" s="2010">
        <v>0</v>
      </c>
      <c r="AF70" s="1001">
        <f t="shared" si="187"/>
        <v>1.28</v>
      </c>
      <c r="AG70" s="451">
        <v>0</v>
      </c>
      <c r="AH70" s="3080">
        <f t="shared" si="177"/>
        <v>1.28</v>
      </c>
      <c r="AI70" s="2010">
        <v>0</v>
      </c>
      <c r="AJ70" s="1001">
        <f t="shared" si="164"/>
        <v>1.28</v>
      </c>
      <c r="AK70" s="451">
        <v>0</v>
      </c>
      <c r="AL70" s="3080">
        <f t="shared" si="178"/>
        <v>1.28</v>
      </c>
      <c r="AM70" s="2011">
        <v>0</v>
      </c>
      <c r="AN70" s="300">
        <f t="shared" si="115"/>
        <v>-0.02</v>
      </c>
      <c r="AO70" s="2193">
        <f>'Table 5a'!P66</f>
        <v>106</v>
      </c>
      <c r="AP70" s="1001">
        <f t="shared" si="188"/>
        <v>1.36</v>
      </c>
      <c r="AQ70" s="451">
        <f t="shared" si="180"/>
        <v>0</v>
      </c>
      <c r="AR70" s="3080">
        <f t="shared" si="181"/>
        <v>1.36</v>
      </c>
      <c r="AS70" s="3090">
        <v>0</v>
      </c>
      <c r="AT70" s="2"/>
      <c r="AU70" s="1959">
        <f t="shared" si="11"/>
        <v>112</v>
      </c>
      <c r="AV70" s="2264">
        <f t="shared" si="12"/>
        <v>-0.03</v>
      </c>
    </row>
    <row r="71" spans="1:48">
      <c r="A71" s="3275"/>
      <c r="B71" s="1859" t="s">
        <v>202</v>
      </c>
      <c r="C71" s="2263">
        <v>8168</v>
      </c>
      <c r="D71" s="1953">
        <f>'Table 5a'!L67</f>
        <v>1781</v>
      </c>
      <c r="E71" s="1954">
        <v>1821</v>
      </c>
      <c r="F71" s="814">
        <v>2088</v>
      </c>
      <c r="G71" s="814">
        <v>2169</v>
      </c>
      <c r="H71" s="814">
        <v>2337</v>
      </c>
      <c r="I71" s="807">
        <v>2491</v>
      </c>
      <c r="J71" s="807">
        <v>2668</v>
      </c>
      <c r="K71" s="305">
        <v>3282</v>
      </c>
      <c r="L71" s="1863">
        <f t="shared" ref="L71:L91" si="189">(J71-D71)/D71</f>
        <v>0.5</v>
      </c>
      <c r="M71" s="1054">
        <f t="shared" si="182"/>
        <v>0.1</v>
      </c>
      <c r="N71" s="1077">
        <v>0</v>
      </c>
      <c r="O71" s="633">
        <f>'Table 5a'!G67</f>
        <v>0.1</v>
      </c>
      <c r="P71" s="1353">
        <f t="shared" si="183"/>
        <v>0.1</v>
      </c>
      <c r="Q71" s="1077">
        <v>0</v>
      </c>
      <c r="R71" s="3080">
        <f t="shared" si="169"/>
        <v>0.1</v>
      </c>
      <c r="S71" s="2010">
        <v>0</v>
      </c>
      <c r="T71" s="1001">
        <f t="shared" si="184"/>
        <v>0.11</v>
      </c>
      <c r="U71" s="1077">
        <v>0</v>
      </c>
      <c r="V71" s="3080">
        <f t="shared" si="171"/>
        <v>0.11</v>
      </c>
      <c r="W71" s="3090">
        <v>0</v>
      </c>
      <c r="X71" s="1054">
        <f t="shared" si="185"/>
        <v>0.12</v>
      </c>
      <c r="Y71" s="451">
        <v>0</v>
      </c>
      <c r="Z71" s="3080">
        <f t="shared" si="173"/>
        <v>0.12</v>
      </c>
      <c r="AA71" s="2010">
        <v>0</v>
      </c>
      <c r="AB71" s="1001">
        <f t="shared" si="186"/>
        <v>0.13</v>
      </c>
      <c r="AC71" s="1077">
        <v>0</v>
      </c>
      <c r="AD71" s="3080">
        <f t="shared" si="175"/>
        <v>0.13</v>
      </c>
      <c r="AE71" s="2010">
        <v>0</v>
      </c>
      <c r="AF71" s="1001">
        <f t="shared" si="187"/>
        <v>0.14000000000000001</v>
      </c>
      <c r="AG71" s="451">
        <v>0</v>
      </c>
      <c r="AH71" s="3080">
        <f t="shared" si="177"/>
        <v>0.14000000000000001</v>
      </c>
      <c r="AI71" s="2010">
        <v>0</v>
      </c>
      <c r="AJ71" s="1001">
        <f t="shared" si="164"/>
        <v>0.15</v>
      </c>
      <c r="AK71" s="451">
        <v>0</v>
      </c>
      <c r="AL71" s="3080">
        <f t="shared" si="178"/>
        <v>0.15</v>
      </c>
      <c r="AM71" s="2011">
        <v>0</v>
      </c>
      <c r="AN71" s="300">
        <f t="shared" si="115"/>
        <v>0.5</v>
      </c>
      <c r="AO71" s="2193">
        <f>'Table 5a'!P67</f>
        <v>55</v>
      </c>
      <c r="AP71" s="1001">
        <f t="shared" si="188"/>
        <v>0.16</v>
      </c>
      <c r="AQ71" s="451">
        <f t="shared" si="180"/>
        <v>0</v>
      </c>
      <c r="AR71" s="3080">
        <f t="shared" si="181"/>
        <v>0.16</v>
      </c>
      <c r="AS71" s="3090">
        <v>0</v>
      </c>
      <c r="AT71" s="2"/>
      <c r="AU71" s="1959">
        <f t="shared" si="11"/>
        <v>887</v>
      </c>
      <c r="AV71" s="2264">
        <f t="shared" si="12"/>
        <v>0.05</v>
      </c>
    </row>
    <row r="72" spans="1:48" ht="13.5" thickBot="1">
      <c r="A72" s="3275"/>
      <c r="B72" s="1860" t="s">
        <v>203</v>
      </c>
      <c r="C72" s="2266">
        <v>92165</v>
      </c>
      <c r="D72" s="2031">
        <f>'Table 5a'!L68</f>
        <v>2479</v>
      </c>
      <c r="E72" s="2032">
        <v>2857</v>
      </c>
      <c r="F72" s="2033">
        <v>2857</v>
      </c>
      <c r="G72" s="2033">
        <v>2857</v>
      </c>
      <c r="H72" s="2033">
        <v>2857</v>
      </c>
      <c r="I72" s="2034">
        <v>2857</v>
      </c>
      <c r="J72" s="2034">
        <v>2857</v>
      </c>
      <c r="K72" s="2036">
        <v>5691</v>
      </c>
      <c r="L72" s="222">
        <f t="shared" si="189"/>
        <v>0.15</v>
      </c>
      <c r="M72" s="1056">
        <f t="shared" si="182"/>
        <v>0.27</v>
      </c>
      <c r="N72" s="528">
        <v>0</v>
      </c>
      <c r="O72" s="51">
        <f>'Table 5a'!G68</f>
        <v>0.27</v>
      </c>
      <c r="P72" s="1349">
        <f t="shared" si="183"/>
        <v>0.28000000000000003</v>
      </c>
      <c r="Q72" s="528">
        <v>0</v>
      </c>
      <c r="R72" s="3078">
        <f t="shared" si="169"/>
        <v>0.28000000000000003</v>
      </c>
      <c r="S72" s="2042">
        <v>0</v>
      </c>
      <c r="T72" s="124">
        <f t="shared" si="184"/>
        <v>0.28000000000000003</v>
      </c>
      <c r="U72" s="528">
        <v>0</v>
      </c>
      <c r="V72" s="3078">
        <f t="shared" si="171"/>
        <v>0.28000000000000003</v>
      </c>
      <c r="W72" s="2042">
        <v>0</v>
      </c>
      <c r="X72" s="1306">
        <f t="shared" si="185"/>
        <v>0.28000000000000003</v>
      </c>
      <c r="Y72" s="1057">
        <v>0</v>
      </c>
      <c r="Z72" s="3078">
        <f t="shared" si="173"/>
        <v>0.28000000000000003</v>
      </c>
      <c r="AA72" s="2042">
        <v>0</v>
      </c>
      <c r="AB72" s="124">
        <f t="shared" si="186"/>
        <v>0.28000000000000003</v>
      </c>
      <c r="AC72" s="528">
        <v>0</v>
      </c>
      <c r="AD72" s="3078">
        <f t="shared" si="175"/>
        <v>0.28000000000000003</v>
      </c>
      <c r="AE72" s="2042">
        <v>0</v>
      </c>
      <c r="AF72" s="124">
        <f t="shared" si="187"/>
        <v>0.28000000000000003</v>
      </c>
      <c r="AG72" s="1057">
        <v>0</v>
      </c>
      <c r="AH72" s="3078">
        <f t="shared" si="177"/>
        <v>0.28000000000000003</v>
      </c>
      <c r="AI72" s="2042">
        <v>0</v>
      </c>
      <c r="AJ72" s="124">
        <f t="shared" si="164"/>
        <v>0.28000000000000003</v>
      </c>
      <c r="AK72" s="1057">
        <v>0</v>
      </c>
      <c r="AL72" s="3078">
        <f t="shared" si="178"/>
        <v>0.28000000000000003</v>
      </c>
      <c r="AM72" s="2043">
        <v>0</v>
      </c>
      <c r="AN72" s="216">
        <f t="shared" si="115"/>
        <v>0.04</v>
      </c>
      <c r="AO72" s="2267">
        <f>'Table 5a'!P68</f>
        <v>98</v>
      </c>
      <c r="AP72" s="124">
        <f t="shared" si="188"/>
        <v>0.3</v>
      </c>
      <c r="AQ72" s="1057">
        <f t="shared" si="180"/>
        <v>0</v>
      </c>
      <c r="AR72" s="3078">
        <f t="shared" si="181"/>
        <v>0.3</v>
      </c>
      <c r="AS72" s="3091">
        <v>0</v>
      </c>
      <c r="AT72" s="2"/>
      <c r="AU72" s="2045">
        <f t="shared" ref="AU72:AU91" si="190">J72-D72</f>
        <v>378</v>
      </c>
      <c r="AV72" s="1845">
        <f t="shared" ref="AV72:AV91" si="191">AL72-O72</f>
        <v>0.01</v>
      </c>
    </row>
    <row r="73" spans="1:48" ht="14.25" thickTop="1" thickBot="1">
      <c r="A73" s="3276"/>
      <c r="B73" s="3277" t="s">
        <v>204</v>
      </c>
      <c r="C73" s="3278"/>
      <c r="D73" s="1978">
        <f>SUM(D66:D72)</f>
        <v>20386</v>
      </c>
      <c r="E73" s="1979">
        <f t="shared" ref="E73:J73" si="192">SUM(E66:E72)</f>
        <v>20946</v>
      </c>
      <c r="F73" s="1980">
        <f t="shared" si="192"/>
        <v>21213</v>
      </c>
      <c r="G73" s="1980">
        <f t="shared" si="192"/>
        <v>21294</v>
      </c>
      <c r="H73" s="1980">
        <f t="shared" si="192"/>
        <v>21462</v>
      </c>
      <c r="I73" s="1981">
        <f t="shared" si="192"/>
        <v>21616</v>
      </c>
      <c r="J73" s="1981">
        <f t="shared" si="192"/>
        <v>21793</v>
      </c>
      <c r="K73" s="1983">
        <f>SUM(K66:K72)</f>
        <v>42829</v>
      </c>
      <c r="L73" s="233">
        <f t="shared" si="189"/>
        <v>7.0000000000000007E-2</v>
      </c>
      <c r="M73" s="119">
        <f t="shared" si="182"/>
        <v>2.1800000000000002</v>
      </c>
      <c r="N73" s="107">
        <f>SUM(N66:N72)</f>
        <v>0</v>
      </c>
      <c r="O73" s="647">
        <f>SUM(O66:O72)</f>
        <v>2.1800000000000002</v>
      </c>
      <c r="P73" s="120">
        <f t="shared" si="183"/>
        <v>2.1</v>
      </c>
      <c r="Q73" s="107">
        <f t="shared" ref="Q73:R73" si="193">SUM(Q66:Q72)</f>
        <v>0</v>
      </c>
      <c r="R73" s="3109">
        <f t="shared" si="193"/>
        <v>2.1</v>
      </c>
      <c r="S73" s="2097">
        <f>SUM(S66:S72)</f>
        <v>0</v>
      </c>
      <c r="T73" s="98">
        <f t="shared" si="184"/>
        <v>2.11</v>
      </c>
      <c r="U73" s="107">
        <f t="shared" ref="U73:V73" si="194">SUM(U66:U72)</f>
        <v>0</v>
      </c>
      <c r="V73" s="3083">
        <f t="shared" si="194"/>
        <v>2.11</v>
      </c>
      <c r="W73" s="3092">
        <f>SUM(W66:W72)</f>
        <v>0</v>
      </c>
      <c r="X73" s="119">
        <f t="shared" si="185"/>
        <v>2.12</v>
      </c>
      <c r="Y73" s="128">
        <f t="shared" ref="Y73:Z73" si="195">SUM(Y66:Y72)</f>
        <v>0</v>
      </c>
      <c r="Z73" s="3109">
        <f t="shared" si="195"/>
        <v>2.12</v>
      </c>
      <c r="AA73" s="2097">
        <f>SUM(AA66:AA72)</f>
        <v>0</v>
      </c>
      <c r="AB73" s="98">
        <f t="shared" si="186"/>
        <v>2.13</v>
      </c>
      <c r="AC73" s="107">
        <f t="shared" ref="AC73:AD73" si="196">SUM(AC66:AC72)</f>
        <v>0</v>
      </c>
      <c r="AD73" s="3109">
        <f t="shared" si="196"/>
        <v>2.13</v>
      </c>
      <c r="AE73" s="2097">
        <f>SUM(AE66:AE72)</f>
        <v>0</v>
      </c>
      <c r="AF73" s="98">
        <f t="shared" si="187"/>
        <v>2.14</v>
      </c>
      <c r="AG73" s="128">
        <f t="shared" ref="AG73:AH73" si="197">SUM(AG66:AG72)</f>
        <v>0</v>
      </c>
      <c r="AH73" s="3083">
        <f t="shared" si="197"/>
        <v>2.14</v>
      </c>
      <c r="AI73" s="2097">
        <f>SUM(AI66:AI72)</f>
        <v>0</v>
      </c>
      <c r="AJ73" s="98">
        <f t="shared" ref="AJ73:AJ80" si="198">AL73-AK73</f>
        <v>2.15</v>
      </c>
      <c r="AK73" s="128">
        <f t="shared" ref="AK73:AL73" si="199">SUM(AK66:AK72)</f>
        <v>0</v>
      </c>
      <c r="AL73" s="3109">
        <f t="shared" si="199"/>
        <v>2.15</v>
      </c>
      <c r="AM73" s="2101">
        <f>SUM(AM66:AM72)</f>
        <v>0</v>
      </c>
      <c r="AN73" s="217">
        <f t="shared" si="115"/>
        <v>-0.01</v>
      </c>
      <c r="AO73" s="2268" t="s">
        <v>16</v>
      </c>
      <c r="AP73" s="98">
        <f t="shared" si="188"/>
        <v>2.2799999999999998</v>
      </c>
      <c r="AQ73" s="128">
        <f>SUM(AQ66:AQ72)</f>
        <v>0</v>
      </c>
      <c r="AR73" s="3109">
        <f>SUM(AR66:AR72)</f>
        <v>2.2799999999999998</v>
      </c>
      <c r="AS73" s="3096">
        <f>SUM(AS66:AS72)</f>
        <v>0</v>
      </c>
      <c r="AT73" s="2"/>
      <c r="AU73" s="1986">
        <f t="shared" si="190"/>
        <v>1407</v>
      </c>
      <c r="AV73" s="1583">
        <f t="shared" si="191"/>
        <v>-0.03</v>
      </c>
    </row>
    <row r="74" spans="1:48">
      <c r="A74" s="3274" t="s">
        <v>205</v>
      </c>
      <c r="B74" s="162" t="s">
        <v>206</v>
      </c>
      <c r="C74" s="2253">
        <v>157</v>
      </c>
      <c r="D74" s="2047">
        <f>'Table 5a'!L70</f>
        <v>3295</v>
      </c>
      <c r="E74" s="2167">
        <v>3885</v>
      </c>
      <c r="F74" s="2168">
        <v>5077</v>
      </c>
      <c r="G74" s="2168">
        <v>5077</v>
      </c>
      <c r="H74" s="2168">
        <v>5077</v>
      </c>
      <c r="I74" s="2169">
        <v>5077</v>
      </c>
      <c r="J74" s="2256">
        <v>5077</v>
      </c>
      <c r="K74" s="2257">
        <v>5077</v>
      </c>
      <c r="L74" s="224">
        <f t="shared" si="189"/>
        <v>0.54</v>
      </c>
      <c r="M74" s="114">
        <f t="shared" si="182"/>
        <v>0.45</v>
      </c>
      <c r="N74" s="118">
        <v>0</v>
      </c>
      <c r="O74" s="1024">
        <f>'Table 5a'!G70</f>
        <v>0.45</v>
      </c>
      <c r="P74" s="121">
        <f t="shared" si="183"/>
        <v>0.53</v>
      </c>
      <c r="Q74" s="118">
        <v>0</v>
      </c>
      <c r="R74" s="3082">
        <f>E74*$AO74/1000000</f>
        <v>0.53</v>
      </c>
      <c r="S74" s="2258">
        <v>0</v>
      </c>
      <c r="T74" s="110">
        <f t="shared" si="184"/>
        <v>0.69</v>
      </c>
      <c r="U74" s="118">
        <v>0</v>
      </c>
      <c r="V74" s="3082">
        <f>F74*$AO74/1000000</f>
        <v>0.69</v>
      </c>
      <c r="W74" s="3097">
        <v>0</v>
      </c>
      <c r="X74" s="114">
        <f t="shared" si="185"/>
        <v>0.69</v>
      </c>
      <c r="Y74" s="112">
        <v>0</v>
      </c>
      <c r="Z74" s="3079">
        <f>G74*$AO74/1000000</f>
        <v>0.69</v>
      </c>
      <c r="AA74" s="2258">
        <v>0</v>
      </c>
      <c r="AB74" s="110">
        <f t="shared" si="186"/>
        <v>0.69</v>
      </c>
      <c r="AC74" s="118">
        <v>0</v>
      </c>
      <c r="AD74" s="3082">
        <f>H74*$AO74/1000000</f>
        <v>0.69</v>
      </c>
      <c r="AE74" s="2258">
        <v>0</v>
      </c>
      <c r="AF74" s="110">
        <f t="shared" si="187"/>
        <v>0.69</v>
      </c>
      <c r="AG74" s="112">
        <v>0</v>
      </c>
      <c r="AH74" s="3082">
        <f>I74*$AO74/1000000</f>
        <v>0.69</v>
      </c>
      <c r="AI74" s="2258">
        <v>0</v>
      </c>
      <c r="AJ74" s="110">
        <f t="shared" si="198"/>
        <v>0.69</v>
      </c>
      <c r="AK74" s="112">
        <v>0</v>
      </c>
      <c r="AL74" s="3082">
        <f>J74*AO74/1000000</f>
        <v>0.69</v>
      </c>
      <c r="AM74" s="2259">
        <v>0</v>
      </c>
      <c r="AN74" s="229">
        <f t="shared" si="115"/>
        <v>0.53</v>
      </c>
      <c r="AO74" s="2194">
        <f>'Table 5a'!P70</f>
        <v>136</v>
      </c>
      <c r="AP74" s="110">
        <f t="shared" si="188"/>
        <v>0.73</v>
      </c>
      <c r="AQ74" s="112">
        <f t="shared" ref="AQ74:AQ80" si="200">AG74</f>
        <v>0</v>
      </c>
      <c r="AR74" s="3082">
        <f t="shared" ref="AR74:AR79" si="201">AL74*1.06</f>
        <v>0.73</v>
      </c>
      <c r="AS74" s="3094">
        <v>0</v>
      </c>
      <c r="AT74" s="2"/>
      <c r="AU74" s="2175">
        <f t="shared" si="190"/>
        <v>1782</v>
      </c>
      <c r="AV74" s="2262">
        <f t="shared" si="191"/>
        <v>0.24</v>
      </c>
    </row>
    <row r="75" spans="1:48">
      <c r="A75" s="3275"/>
      <c r="B75" s="1859" t="s">
        <v>207</v>
      </c>
      <c r="C75" s="2263">
        <v>324</v>
      </c>
      <c r="D75" s="1953">
        <f>'Table 5a'!L71</f>
        <v>858</v>
      </c>
      <c r="E75" s="1954">
        <v>891</v>
      </c>
      <c r="F75" s="814">
        <v>933</v>
      </c>
      <c r="G75" s="814">
        <v>933</v>
      </c>
      <c r="H75" s="814">
        <v>933</v>
      </c>
      <c r="I75" s="807">
        <v>933</v>
      </c>
      <c r="J75" s="807">
        <v>933</v>
      </c>
      <c r="K75" s="305">
        <v>933</v>
      </c>
      <c r="L75" s="1863">
        <f t="shared" si="189"/>
        <v>0.09</v>
      </c>
      <c r="M75" s="1054">
        <f t="shared" si="182"/>
        <v>0.06</v>
      </c>
      <c r="N75" s="1077">
        <v>0</v>
      </c>
      <c r="O75" s="633">
        <f>'Table 5a'!G71</f>
        <v>0.06</v>
      </c>
      <c r="P75" s="1353">
        <f t="shared" si="183"/>
        <v>0.06</v>
      </c>
      <c r="Q75" s="1077">
        <v>0</v>
      </c>
      <c r="R75" s="3080">
        <f>E75*$AO75/1000000</f>
        <v>0.06</v>
      </c>
      <c r="S75" s="2010">
        <v>0</v>
      </c>
      <c r="T75" s="1001">
        <f t="shared" si="184"/>
        <v>0.06</v>
      </c>
      <c r="U75" s="1077">
        <v>0</v>
      </c>
      <c r="V75" s="3080">
        <f>F75*$AO75/1000000</f>
        <v>0.06</v>
      </c>
      <c r="W75" s="3090">
        <v>0</v>
      </c>
      <c r="X75" s="1054">
        <f t="shared" si="185"/>
        <v>0.06</v>
      </c>
      <c r="Y75" s="451">
        <v>0</v>
      </c>
      <c r="Z75" s="3080">
        <f>G75*$AO75/1000000</f>
        <v>0.06</v>
      </c>
      <c r="AA75" s="2010">
        <v>0</v>
      </c>
      <c r="AB75" s="1001">
        <f t="shared" si="186"/>
        <v>0.06</v>
      </c>
      <c r="AC75" s="1077">
        <v>0</v>
      </c>
      <c r="AD75" s="3080">
        <f>H75*$AO75/1000000</f>
        <v>0.06</v>
      </c>
      <c r="AE75" s="2010">
        <v>0</v>
      </c>
      <c r="AF75" s="1001">
        <f t="shared" si="187"/>
        <v>0.06</v>
      </c>
      <c r="AG75" s="451">
        <v>0</v>
      </c>
      <c r="AH75" s="3080">
        <f>I75*$AO75/1000000</f>
        <v>0.06</v>
      </c>
      <c r="AI75" s="2010">
        <v>0</v>
      </c>
      <c r="AJ75" s="1001">
        <f t="shared" si="198"/>
        <v>0.06</v>
      </c>
      <c r="AK75" s="451">
        <v>0</v>
      </c>
      <c r="AL75" s="3080">
        <f>J75*AO75/1000000</f>
        <v>0.06</v>
      </c>
      <c r="AM75" s="2011">
        <v>0</v>
      </c>
      <c r="AN75" s="300">
        <f t="shared" si="115"/>
        <v>0</v>
      </c>
      <c r="AO75" s="2193">
        <f>'Table 5a'!P71</f>
        <v>68</v>
      </c>
      <c r="AP75" s="1001">
        <f t="shared" si="188"/>
        <v>0.06</v>
      </c>
      <c r="AQ75" s="451">
        <f t="shared" si="200"/>
        <v>0</v>
      </c>
      <c r="AR75" s="3080">
        <f t="shared" si="201"/>
        <v>0.06</v>
      </c>
      <c r="AS75" s="3093">
        <v>0</v>
      </c>
      <c r="AT75" s="2"/>
      <c r="AU75" s="1959">
        <f t="shared" si="190"/>
        <v>75</v>
      </c>
      <c r="AV75" s="2264">
        <f t="shared" si="191"/>
        <v>0</v>
      </c>
    </row>
    <row r="76" spans="1:48">
      <c r="A76" s="3275"/>
      <c r="B76" s="2192" t="s">
        <v>208</v>
      </c>
      <c r="C76" s="2263">
        <v>1142</v>
      </c>
      <c r="D76" s="1953">
        <v>25274</v>
      </c>
      <c r="E76" s="1954">
        <v>29408</v>
      </c>
      <c r="F76" s="814">
        <v>29408</v>
      </c>
      <c r="G76" s="814">
        <v>29408</v>
      </c>
      <c r="H76" s="814">
        <v>29408</v>
      </c>
      <c r="I76" s="807">
        <v>29408</v>
      </c>
      <c r="J76" s="807">
        <v>29408</v>
      </c>
      <c r="K76" s="305">
        <v>29784</v>
      </c>
      <c r="L76" s="1863">
        <f t="shared" si="189"/>
        <v>0.16</v>
      </c>
      <c r="M76" s="1054">
        <f t="shared" si="182"/>
        <v>4.0199999999999996</v>
      </c>
      <c r="N76" s="1077">
        <v>0</v>
      </c>
      <c r="O76" s="633">
        <f>'Table 5a'!G72</f>
        <v>4.0199999999999996</v>
      </c>
      <c r="P76" s="1353">
        <f t="shared" si="183"/>
        <v>4.78</v>
      </c>
      <c r="Q76" s="1077">
        <v>0</v>
      </c>
      <c r="R76" s="3080">
        <f>29491*$AO76/1000000</f>
        <v>4.78</v>
      </c>
      <c r="S76" s="2010">
        <v>0</v>
      </c>
      <c r="T76" s="1001">
        <f t="shared" si="184"/>
        <v>4.78</v>
      </c>
      <c r="U76" s="1077">
        <v>0</v>
      </c>
      <c r="V76" s="3080">
        <f>29491*$AO76/1000000</f>
        <v>4.78</v>
      </c>
      <c r="W76" s="3090">
        <v>0</v>
      </c>
      <c r="X76" s="1054">
        <f t="shared" si="185"/>
        <v>4.78</v>
      </c>
      <c r="Y76" s="451">
        <v>0</v>
      </c>
      <c r="Z76" s="3080">
        <f>29491*$AO76/1000000</f>
        <v>4.78</v>
      </c>
      <c r="AA76" s="2010">
        <v>0</v>
      </c>
      <c r="AB76" s="1001">
        <f t="shared" si="186"/>
        <v>4.78</v>
      </c>
      <c r="AC76" s="1077">
        <v>0</v>
      </c>
      <c r="AD76" s="3080">
        <f>29491*$AO76/1000000</f>
        <v>4.78</v>
      </c>
      <c r="AE76" s="2010">
        <v>0</v>
      </c>
      <c r="AF76" s="1001">
        <f t="shared" si="187"/>
        <v>4.78</v>
      </c>
      <c r="AG76" s="451">
        <v>0</v>
      </c>
      <c r="AH76" s="3080">
        <f>29493*$AO76/1000000</f>
        <v>4.78</v>
      </c>
      <c r="AI76" s="2010">
        <v>0</v>
      </c>
      <c r="AJ76" s="1001">
        <f t="shared" si="198"/>
        <v>4.78</v>
      </c>
      <c r="AK76" s="451">
        <v>0</v>
      </c>
      <c r="AL76" s="3080">
        <f>29493*AO76/1000000</f>
        <v>4.78</v>
      </c>
      <c r="AM76" s="2011">
        <v>0</v>
      </c>
      <c r="AN76" s="300">
        <f t="shared" si="115"/>
        <v>0.19</v>
      </c>
      <c r="AO76" s="2193">
        <f>'Table 5a'!P72</f>
        <v>162</v>
      </c>
      <c r="AP76" s="1001">
        <f t="shared" si="188"/>
        <v>5.07</v>
      </c>
      <c r="AQ76" s="451">
        <f t="shared" si="200"/>
        <v>0</v>
      </c>
      <c r="AR76" s="3080">
        <f t="shared" si="201"/>
        <v>5.07</v>
      </c>
      <c r="AS76" s="3093">
        <v>0</v>
      </c>
      <c r="AT76" s="2"/>
      <c r="AU76" s="1959">
        <f t="shared" si="190"/>
        <v>4134</v>
      </c>
      <c r="AV76" s="2264">
        <f t="shared" si="191"/>
        <v>0.76</v>
      </c>
    </row>
    <row r="77" spans="1:48">
      <c r="A77" s="3275"/>
      <c r="B77" s="1859" t="s">
        <v>209</v>
      </c>
      <c r="C77" s="2263">
        <v>1198</v>
      </c>
      <c r="D77" s="1953">
        <f>'Table 5a'!L73</f>
        <v>70395</v>
      </c>
      <c r="E77" s="1954">
        <v>76210</v>
      </c>
      <c r="F77" s="814">
        <v>102128</v>
      </c>
      <c r="G77" s="814">
        <v>130244</v>
      </c>
      <c r="H77" s="814">
        <v>152607</v>
      </c>
      <c r="I77" s="807">
        <v>159943</v>
      </c>
      <c r="J77" s="807">
        <v>162581</v>
      </c>
      <c r="K77" s="305">
        <v>409267</v>
      </c>
      <c r="L77" s="1863">
        <f t="shared" si="189"/>
        <v>1.31</v>
      </c>
      <c r="M77" s="1054">
        <f t="shared" si="182"/>
        <v>6.9</v>
      </c>
      <c r="N77" s="1077">
        <v>0</v>
      </c>
      <c r="O77" s="633">
        <f>'Table 5a'!G73</f>
        <v>6.9</v>
      </c>
      <c r="P77" s="1353">
        <f t="shared" si="183"/>
        <v>12.35</v>
      </c>
      <c r="Q77" s="1077">
        <v>0</v>
      </c>
      <c r="R77" s="3080">
        <f>E77*$AO77/1000000</f>
        <v>12.35</v>
      </c>
      <c r="S77" s="2010">
        <v>0</v>
      </c>
      <c r="T77" s="1232">
        <f>V77-U77</f>
        <v>15.2</v>
      </c>
      <c r="U77" s="1077">
        <v>0</v>
      </c>
      <c r="V77" s="3080">
        <f>(F77*$AO77/1000000)-W77</f>
        <v>15.2</v>
      </c>
      <c r="W77" s="3090">
        <v>1.34</v>
      </c>
      <c r="X77" s="1054">
        <f t="shared" si="185"/>
        <v>15.2</v>
      </c>
      <c r="Y77" s="451">
        <v>0</v>
      </c>
      <c r="Z77" s="3080">
        <f>(G77*$AO77/1000000)-AA77</f>
        <v>15.2</v>
      </c>
      <c r="AA77" s="2010">
        <v>5.9</v>
      </c>
      <c r="AB77" s="1001">
        <f t="shared" si="186"/>
        <v>15.2</v>
      </c>
      <c r="AC77" s="1077">
        <v>0</v>
      </c>
      <c r="AD77" s="3080">
        <f>(H77*$AO77/1000000)-AE77</f>
        <v>15.2</v>
      </c>
      <c r="AE77" s="2010">
        <v>9.52</v>
      </c>
      <c r="AF77" s="1001">
        <f t="shared" si="187"/>
        <v>15.2</v>
      </c>
      <c r="AG77" s="451">
        <v>0</v>
      </c>
      <c r="AH77" s="3080">
        <f>(I77*$AO77/1000000)-AI77</f>
        <v>15.2</v>
      </c>
      <c r="AI77" s="2010">
        <v>10.71</v>
      </c>
      <c r="AJ77" s="1001">
        <f t="shared" si="198"/>
        <v>15.2</v>
      </c>
      <c r="AK77" s="451">
        <v>0</v>
      </c>
      <c r="AL77" s="3080">
        <f>(J77*AO77/1000000)-AM77</f>
        <v>15.2</v>
      </c>
      <c r="AM77" s="2011">
        <v>11.14</v>
      </c>
      <c r="AN77" s="300">
        <f t="shared" si="115"/>
        <v>1.2</v>
      </c>
      <c r="AO77" s="2193">
        <f>'Table 5a'!P72</f>
        <v>162</v>
      </c>
      <c r="AP77" s="1001">
        <f t="shared" si="188"/>
        <v>15.2</v>
      </c>
      <c r="AQ77" s="451">
        <f t="shared" si="200"/>
        <v>0</v>
      </c>
      <c r="AR77" s="3080">
        <f>(SUM(AL77:AM77)*1.06)-AS77</f>
        <v>15.2</v>
      </c>
      <c r="AS77" s="3090">
        <v>12.72</v>
      </c>
      <c r="AT77" s="2"/>
      <c r="AU77" s="1959">
        <f t="shared" si="190"/>
        <v>92186</v>
      </c>
      <c r="AV77" s="2264">
        <f t="shared" si="191"/>
        <v>8.3000000000000007</v>
      </c>
    </row>
    <row r="78" spans="1:48">
      <c r="A78" s="3275"/>
      <c r="B78" s="1859" t="s">
        <v>209</v>
      </c>
      <c r="C78" s="2263">
        <v>1392</v>
      </c>
      <c r="D78" s="1953">
        <f>'Table 5a'!L74</f>
        <v>682</v>
      </c>
      <c r="E78" s="1954">
        <v>708</v>
      </c>
      <c r="F78" s="814">
        <v>1108</v>
      </c>
      <c r="G78" s="814">
        <v>2144</v>
      </c>
      <c r="H78" s="814">
        <v>2790</v>
      </c>
      <c r="I78" s="807">
        <v>2862</v>
      </c>
      <c r="J78" s="807">
        <v>2862</v>
      </c>
      <c r="K78" s="305">
        <v>3389</v>
      </c>
      <c r="L78" s="1863">
        <f t="shared" si="189"/>
        <v>3.2</v>
      </c>
      <c r="M78" s="1054">
        <f t="shared" si="182"/>
        <v>0.08</v>
      </c>
      <c r="N78" s="1077">
        <v>0</v>
      </c>
      <c r="O78" s="633">
        <f>'Table 5a'!G74</f>
        <v>0.08</v>
      </c>
      <c r="P78" s="1353">
        <f t="shared" si="183"/>
        <v>7.0000000000000007E-2</v>
      </c>
      <c r="Q78" s="1077">
        <v>0</v>
      </c>
      <c r="R78" s="3080">
        <f>E78*$AO78/1000000</f>
        <v>7.0000000000000007E-2</v>
      </c>
      <c r="S78" s="2010">
        <v>0</v>
      </c>
      <c r="T78" s="1001">
        <f t="shared" si="184"/>
        <v>0.12</v>
      </c>
      <c r="U78" s="1077">
        <v>0</v>
      </c>
      <c r="V78" s="3080">
        <f>F78*$AO78/1000000</f>
        <v>0.12</v>
      </c>
      <c r="W78" s="3090">
        <v>0</v>
      </c>
      <c r="X78" s="1054">
        <f t="shared" si="185"/>
        <v>0.23</v>
      </c>
      <c r="Y78" s="451">
        <v>0</v>
      </c>
      <c r="Z78" s="3080">
        <f>G78*$AO78/1000000</f>
        <v>0.23</v>
      </c>
      <c r="AA78" s="2010">
        <v>0</v>
      </c>
      <c r="AB78" s="1001">
        <f t="shared" si="186"/>
        <v>0.28999999999999998</v>
      </c>
      <c r="AC78" s="1077">
        <v>0</v>
      </c>
      <c r="AD78" s="3080">
        <f>H78*$AO78/1000000</f>
        <v>0.28999999999999998</v>
      </c>
      <c r="AE78" s="2010">
        <v>0</v>
      </c>
      <c r="AF78" s="1001">
        <f t="shared" si="187"/>
        <v>0.3</v>
      </c>
      <c r="AG78" s="451">
        <v>0</v>
      </c>
      <c r="AH78" s="3080">
        <f>I78*$AO78/1000000</f>
        <v>0.3</v>
      </c>
      <c r="AI78" s="2010">
        <v>0</v>
      </c>
      <c r="AJ78" s="1001">
        <f t="shared" si="198"/>
        <v>0.3</v>
      </c>
      <c r="AK78" s="451">
        <v>0</v>
      </c>
      <c r="AL78" s="3080">
        <f>J78*AO78/1000000</f>
        <v>0.3</v>
      </c>
      <c r="AM78" s="2011">
        <v>0</v>
      </c>
      <c r="AN78" s="300">
        <f t="shared" si="115"/>
        <v>2.75</v>
      </c>
      <c r="AO78" s="2193">
        <f>'Table 5a'!P73</f>
        <v>105</v>
      </c>
      <c r="AP78" s="1001">
        <f t="shared" si="188"/>
        <v>0.32</v>
      </c>
      <c r="AQ78" s="451">
        <f t="shared" si="200"/>
        <v>0</v>
      </c>
      <c r="AR78" s="3080">
        <f t="shared" si="201"/>
        <v>0.32</v>
      </c>
      <c r="AS78" s="3096">
        <v>0</v>
      </c>
      <c r="AT78" s="2"/>
      <c r="AU78" s="1959">
        <f t="shared" si="190"/>
        <v>2180</v>
      </c>
      <c r="AV78" s="2264">
        <f t="shared" si="191"/>
        <v>0.22</v>
      </c>
    </row>
    <row r="79" spans="1:48">
      <c r="A79" s="3275"/>
      <c r="B79" s="2269" t="s">
        <v>210</v>
      </c>
      <c r="C79" s="2263">
        <v>50299</v>
      </c>
      <c r="D79" s="1953">
        <f>'Table 5a'!L75</f>
        <v>28207</v>
      </c>
      <c r="E79" s="1954">
        <v>33919</v>
      </c>
      <c r="F79" s="814">
        <v>40714</v>
      </c>
      <c r="G79" s="814">
        <v>40714</v>
      </c>
      <c r="H79" s="814">
        <v>40714</v>
      </c>
      <c r="I79" s="807">
        <v>41488</v>
      </c>
      <c r="J79" s="807">
        <v>43975</v>
      </c>
      <c r="K79" s="305">
        <v>52019</v>
      </c>
      <c r="L79" s="1863">
        <f t="shared" si="189"/>
        <v>0.56000000000000005</v>
      </c>
      <c r="M79" s="1054">
        <f t="shared" si="182"/>
        <v>3.23</v>
      </c>
      <c r="N79" s="1077">
        <v>0</v>
      </c>
      <c r="O79" s="633">
        <f>'Table 5a'!G75</f>
        <v>3.23</v>
      </c>
      <c r="P79" s="1353">
        <f t="shared" si="183"/>
        <v>4.2699999999999996</v>
      </c>
      <c r="Q79" s="1077">
        <v>0</v>
      </c>
      <c r="R79" s="3080">
        <f>E79*$AO79/1000000</f>
        <v>4.2699999999999996</v>
      </c>
      <c r="S79" s="2010">
        <v>0</v>
      </c>
      <c r="T79" s="1001">
        <f t="shared" si="184"/>
        <v>5.13</v>
      </c>
      <c r="U79" s="1077">
        <v>0</v>
      </c>
      <c r="V79" s="3080">
        <f>F79*$AO79/1000000</f>
        <v>5.13</v>
      </c>
      <c r="W79" s="3090">
        <v>0</v>
      </c>
      <c r="X79" s="1054">
        <f t="shared" si="185"/>
        <v>5.13</v>
      </c>
      <c r="Y79" s="451">
        <v>0</v>
      </c>
      <c r="Z79" s="3080">
        <f>G79*$AO79/1000000</f>
        <v>5.13</v>
      </c>
      <c r="AA79" s="2010">
        <v>0</v>
      </c>
      <c r="AB79" s="1001">
        <f t="shared" si="186"/>
        <v>5.13</v>
      </c>
      <c r="AC79" s="1077">
        <v>0</v>
      </c>
      <c r="AD79" s="3080">
        <f>H79*$AO79/1000000</f>
        <v>5.13</v>
      </c>
      <c r="AE79" s="2010">
        <v>0</v>
      </c>
      <c r="AF79" s="1001">
        <f t="shared" si="187"/>
        <v>5.23</v>
      </c>
      <c r="AG79" s="451">
        <v>0</v>
      </c>
      <c r="AH79" s="3080">
        <f>I79*$AO79/1000000</f>
        <v>5.23</v>
      </c>
      <c r="AI79" s="2010">
        <v>0</v>
      </c>
      <c r="AJ79" s="1001">
        <f t="shared" si="198"/>
        <v>5.54</v>
      </c>
      <c r="AK79" s="451">
        <v>0</v>
      </c>
      <c r="AL79" s="3080">
        <f>J79*AO79/1000000</f>
        <v>5.54</v>
      </c>
      <c r="AM79" s="2011">
        <v>0</v>
      </c>
      <c r="AN79" s="300">
        <f t="shared" si="115"/>
        <v>0.72</v>
      </c>
      <c r="AO79" s="2193">
        <f>'Table 5a'!P74</f>
        <v>126</v>
      </c>
      <c r="AP79" s="1001">
        <f t="shared" si="188"/>
        <v>5.87</v>
      </c>
      <c r="AQ79" s="451">
        <f t="shared" si="200"/>
        <v>0</v>
      </c>
      <c r="AR79" s="3080">
        <f t="shared" si="201"/>
        <v>5.87</v>
      </c>
      <c r="AS79" s="3093">
        <v>0</v>
      </c>
      <c r="AT79" s="2"/>
      <c r="AU79" s="1959">
        <f t="shared" si="190"/>
        <v>15768</v>
      </c>
      <c r="AV79" s="2264">
        <f t="shared" si="191"/>
        <v>2.31</v>
      </c>
    </row>
    <row r="80" spans="1:48" ht="13.5" thickBot="1">
      <c r="A80" s="3275"/>
      <c r="B80" s="2177" t="s">
        <v>211</v>
      </c>
      <c r="C80" s="2266">
        <v>88271</v>
      </c>
      <c r="D80" s="2031">
        <v>44505</v>
      </c>
      <c r="E80" s="2032">
        <v>56566</v>
      </c>
      <c r="F80" s="2033">
        <v>58445</v>
      </c>
      <c r="G80" s="2033">
        <v>58445</v>
      </c>
      <c r="H80" s="2033">
        <v>59222</v>
      </c>
      <c r="I80" s="2034">
        <v>71871</v>
      </c>
      <c r="J80" s="2034">
        <v>86409</v>
      </c>
      <c r="K80" s="2036">
        <v>115091</v>
      </c>
      <c r="L80" s="222">
        <f t="shared" si="189"/>
        <v>0.94</v>
      </c>
      <c r="M80" s="1056">
        <f t="shared" si="182"/>
        <v>4.47</v>
      </c>
      <c r="N80" s="528">
        <v>0</v>
      </c>
      <c r="O80" s="51">
        <v>4.47</v>
      </c>
      <c r="P80" s="1349">
        <f t="shared" si="183"/>
        <v>6.5</v>
      </c>
      <c r="Q80" s="528">
        <v>0</v>
      </c>
      <c r="R80" s="3078">
        <f>(E80*$AO80/1000000)-S80</f>
        <v>6.5</v>
      </c>
      <c r="S80" s="2042">
        <v>2.21</v>
      </c>
      <c r="T80" s="124">
        <f t="shared" si="184"/>
        <v>6.5</v>
      </c>
      <c r="U80" s="528">
        <v>0</v>
      </c>
      <c r="V80" s="3078">
        <f>(F80*$AO80/1000000)-W80</f>
        <v>6.5</v>
      </c>
      <c r="W80" s="3091">
        <v>2.5</v>
      </c>
      <c r="X80" s="1056">
        <f t="shared" si="185"/>
        <v>6.5</v>
      </c>
      <c r="Y80" s="1057">
        <v>0</v>
      </c>
      <c r="Z80" s="3078">
        <f>(G80*$AO80/1000000)-AA80</f>
        <v>6.5</v>
      </c>
      <c r="AA80" s="2042">
        <v>2.5</v>
      </c>
      <c r="AB80" s="124">
        <f t="shared" si="186"/>
        <v>6.5</v>
      </c>
      <c r="AC80" s="528">
        <v>0</v>
      </c>
      <c r="AD80" s="3078">
        <f>(H80*$AO80/1000000)-AE80</f>
        <v>6.5</v>
      </c>
      <c r="AE80" s="2042">
        <v>2.62</v>
      </c>
      <c r="AF80" s="124">
        <f t="shared" si="187"/>
        <v>6.5</v>
      </c>
      <c r="AG80" s="1057">
        <v>0</v>
      </c>
      <c r="AH80" s="3078">
        <f>(I80*$AO80/1000000)-AI80</f>
        <v>6.5</v>
      </c>
      <c r="AI80" s="2042">
        <v>4.57</v>
      </c>
      <c r="AJ80" s="124">
        <f t="shared" si="198"/>
        <v>6.5</v>
      </c>
      <c r="AK80" s="1057">
        <v>0</v>
      </c>
      <c r="AL80" s="3078">
        <f>(J80*AO80/1000000)-AM80</f>
        <v>6.5</v>
      </c>
      <c r="AM80" s="2043">
        <v>6.81</v>
      </c>
      <c r="AN80" s="216">
        <f t="shared" si="115"/>
        <v>0.45</v>
      </c>
      <c r="AO80" s="2044">
        <f>'Table 5a'!P36</f>
        <v>154</v>
      </c>
      <c r="AP80" s="124">
        <f t="shared" si="188"/>
        <v>6.5</v>
      </c>
      <c r="AQ80" s="1057">
        <f t="shared" si="200"/>
        <v>0</v>
      </c>
      <c r="AR80" s="3078">
        <f>(SUM(AL80:AM80)*1.06)-AS80</f>
        <v>6.5</v>
      </c>
      <c r="AS80" s="3093">
        <v>7.61</v>
      </c>
      <c r="AT80" s="2"/>
      <c r="AU80" s="2045">
        <f t="shared" si="190"/>
        <v>41904</v>
      </c>
      <c r="AV80" s="1845">
        <f t="shared" si="191"/>
        <v>2.0299999999999998</v>
      </c>
    </row>
    <row r="81" spans="1:48" ht="14.25" thickTop="1" thickBot="1">
      <c r="A81" s="3276"/>
      <c r="B81" s="3277" t="s">
        <v>212</v>
      </c>
      <c r="C81" s="3278"/>
      <c r="D81" s="1978">
        <f t="shared" ref="D81:J81" si="202">SUM(D74:D80)</f>
        <v>173216</v>
      </c>
      <c r="E81" s="2270">
        <f t="shared" si="202"/>
        <v>201587</v>
      </c>
      <c r="F81" s="2271">
        <f t="shared" si="202"/>
        <v>237813</v>
      </c>
      <c r="G81" s="2271">
        <f t="shared" si="202"/>
        <v>266965</v>
      </c>
      <c r="H81" s="2271">
        <f t="shared" si="202"/>
        <v>290751</v>
      </c>
      <c r="I81" s="2272">
        <f t="shared" si="202"/>
        <v>311582</v>
      </c>
      <c r="J81" s="2272">
        <f t="shared" si="202"/>
        <v>331245</v>
      </c>
      <c r="K81" s="1983">
        <f>SUM(K74:K80)</f>
        <v>615560</v>
      </c>
      <c r="L81" s="233">
        <f t="shared" si="189"/>
        <v>0.91</v>
      </c>
      <c r="M81" s="119">
        <f t="shared" si="182"/>
        <v>19.21</v>
      </c>
      <c r="N81" s="107">
        <f>SUM(N74:N80)</f>
        <v>0</v>
      </c>
      <c r="O81" s="2273">
        <f t="shared" ref="O81" si="203">SUM(O74:O80)</f>
        <v>19.21</v>
      </c>
      <c r="P81" s="120">
        <f t="shared" si="183"/>
        <v>28.56</v>
      </c>
      <c r="Q81" s="107">
        <f t="shared" ref="Q81:AL81" si="204">SUM(Q74:Q80)</f>
        <v>0</v>
      </c>
      <c r="R81" s="3110">
        <f t="shared" si="204"/>
        <v>28.56</v>
      </c>
      <c r="S81" s="2275">
        <f>SUM(S74:S80)</f>
        <v>2.21</v>
      </c>
      <c r="T81" s="98">
        <f t="shared" si="184"/>
        <v>32.479999999999997</v>
      </c>
      <c r="U81" s="107">
        <f t="shared" ref="U81" si="205">SUM(U74:U80)</f>
        <v>0</v>
      </c>
      <c r="V81" s="2274">
        <f t="shared" si="204"/>
        <v>32.479999999999997</v>
      </c>
      <c r="W81" s="3106">
        <f>SUM(W74:W80)</f>
        <v>3.84</v>
      </c>
      <c r="X81" s="119">
        <f t="shared" si="185"/>
        <v>32.590000000000003</v>
      </c>
      <c r="Y81" s="128">
        <f t="shared" ref="Y81" si="206">SUM(Y74:Y80)</f>
        <v>0</v>
      </c>
      <c r="Z81" s="3110">
        <f t="shared" si="204"/>
        <v>32.590000000000003</v>
      </c>
      <c r="AA81" s="2275">
        <f>SUM(AA74:AA80)</f>
        <v>8.4</v>
      </c>
      <c r="AB81" s="98">
        <f t="shared" si="186"/>
        <v>32.65</v>
      </c>
      <c r="AC81" s="107">
        <f t="shared" ref="AC81" si="207">SUM(AC74:AC80)</f>
        <v>0</v>
      </c>
      <c r="AD81" s="3112">
        <f t="shared" si="204"/>
        <v>32.65</v>
      </c>
      <c r="AE81" s="2275">
        <f>SUM(AE74:AE80)</f>
        <v>12.14</v>
      </c>
      <c r="AF81" s="98">
        <f t="shared" si="187"/>
        <v>32.76</v>
      </c>
      <c r="AG81" s="128">
        <f t="shared" ref="AG81" si="208">SUM(AG74:AG80)</f>
        <v>0</v>
      </c>
      <c r="AH81" s="3112">
        <f t="shared" si="204"/>
        <v>32.76</v>
      </c>
      <c r="AI81" s="2275">
        <f>SUM(AI74:AI80)</f>
        <v>15.28</v>
      </c>
      <c r="AJ81" s="98">
        <f t="shared" ref="AJ81:AJ87" si="209">AL81-AK81</f>
        <v>33.07</v>
      </c>
      <c r="AK81" s="128">
        <f t="shared" ref="AK81" si="210">SUM(AK74:AK80)</f>
        <v>0</v>
      </c>
      <c r="AL81" s="3112">
        <f t="shared" si="204"/>
        <v>33.07</v>
      </c>
      <c r="AM81" s="2276">
        <f>SUM(AM74:AM80)</f>
        <v>17.95</v>
      </c>
      <c r="AN81" s="233">
        <f t="shared" si="115"/>
        <v>0.72</v>
      </c>
      <c r="AO81" s="2268" t="s">
        <v>16</v>
      </c>
      <c r="AP81" s="98">
        <f t="shared" si="188"/>
        <v>33.75</v>
      </c>
      <c r="AQ81" s="128">
        <f>SUM(AQ74:AQ80)</f>
        <v>0</v>
      </c>
      <c r="AR81" s="3112">
        <f t="shared" ref="AR81" si="211">SUM(AR74:AR80)</f>
        <v>33.75</v>
      </c>
      <c r="AS81" s="3106">
        <f>SUM(AS74:AS80)</f>
        <v>20.329999999999998</v>
      </c>
      <c r="AT81" s="2"/>
      <c r="AU81" s="2277">
        <f t="shared" si="190"/>
        <v>158029</v>
      </c>
      <c r="AV81" s="1583">
        <f t="shared" si="191"/>
        <v>13.86</v>
      </c>
    </row>
    <row r="82" spans="1:48">
      <c r="A82" s="3283" t="s">
        <v>213</v>
      </c>
      <c r="B82" s="1859" t="s">
        <v>214</v>
      </c>
      <c r="C82" s="2206">
        <v>216507</v>
      </c>
      <c r="D82" s="1953">
        <f>'Table 5a'!L77</f>
        <v>483</v>
      </c>
      <c r="E82" s="1954">
        <v>490</v>
      </c>
      <c r="F82" s="814">
        <v>490</v>
      </c>
      <c r="G82" s="814">
        <v>490</v>
      </c>
      <c r="H82" s="814">
        <v>548</v>
      </c>
      <c r="I82" s="807">
        <v>613</v>
      </c>
      <c r="J82" s="807">
        <v>613</v>
      </c>
      <c r="K82" s="305">
        <v>613</v>
      </c>
      <c r="L82" s="300">
        <f t="shared" si="189"/>
        <v>0.27</v>
      </c>
      <c r="M82" s="1955">
        <f t="shared" si="182"/>
        <v>0.04</v>
      </c>
      <c r="N82" s="1956">
        <v>0</v>
      </c>
      <c r="O82" s="633">
        <f>'Table 5a'!G77</f>
        <v>0.04</v>
      </c>
      <c r="P82" s="1000">
        <f t="shared" si="183"/>
        <v>0.04</v>
      </c>
      <c r="Q82" s="1956">
        <v>0</v>
      </c>
      <c r="R82" s="3080">
        <f>E82*$AO82/1000000</f>
        <v>0.04</v>
      </c>
      <c r="S82" s="2010">
        <v>0</v>
      </c>
      <c r="T82" s="1957">
        <f t="shared" si="184"/>
        <v>0.04</v>
      </c>
      <c r="U82" s="1956">
        <v>0</v>
      </c>
      <c r="V82" s="3079">
        <f>F82*$AO82/1000000</f>
        <v>0.04</v>
      </c>
      <c r="W82" s="3090">
        <v>0</v>
      </c>
      <c r="X82" s="1955">
        <f t="shared" si="185"/>
        <v>0.04</v>
      </c>
      <c r="Y82" s="299">
        <v>0</v>
      </c>
      <c r="Z82" s="3079">
        <f>G82*$AO82/1000000</f>
        <v>0.04</v>
      </c>
      <c r="AA82" s="2010">
        <v>0</v>
      </c>
      <c r="AB82" s="1957">
        <f t="shared" si="186"/>
        <v>0.04</v>
      </c>
      <c r="AC82" s="1956">
        <v>0</v>
      </c>
      <c r="AD82" s="3080">
        <f>H82*$AO82/1000000</f>
        <v>0.04</v>
      </c>
      <c r="AE82" s="2010">
        <v>0</v>
      </c>
      <c r="AF82" s="1957">
        <f t="shared" si="187"/>
        <v>0.05</v>
      </c>
      <c r="AG82" s="299">
        <v>0</v>
      </c>
      <c r="AH82" s="3080">
        <f>I82*$AO82/1000000</f>
        <v>0.05</v>
      </c>
      <c r="AI82" s="2010">
        <v>0</v>
      </c>
      <c r="AJ82" s="1957">
        <f t="shared" si="209"/>
        <v>0.05</v>
      </c>
      <c r="AK82" s="299">
        <v>0</v>
      </c>
      <c r="AL82" s="3080">
        <f>J82*AO82/1000000</f>
        <v>0.05</v>
      </c>
      <c r="AM82" s="2011">
        <v>0</v>
      </c>
      <c r="AN82" s="300">
        <f t="shared" si="115"/>
        <v>0.25</v>
      </c>
      <c r="AO82" s="2278">
        <f>'Table 5a'!P77</f>
        <v>79</v>
      </c>
      <c r="AP82" s="1957">
        <f t="shared" si="188"/>
        <v>0.05</v>
      </c>
      <c r="AQ82" s="299">
        <v>0</v>
      </c>
      <c r="AR82" s="3080">
        <f t="shared" ref="AR82:AR85" si="212">AL82*1.06</f>
        <v>0.05</v>
      </c>
      <c r="AS82" s="3094">
        <v>0</v>
      </c>
      <c r="AT82" s="2279"/>
      <c r="AU82" s="1959">
        <f t="shared" si="190"/>
        <v>130</v>
      </c>
      <c r="AV82" s="1960">
        <f t="shared" si="191"/>
        <v>0.01</v>
      </c>
    </row>
    <row r="83" spans="1:48">
      <c r="A83" s="3283"/>
      <c r="B83" s="2103" t="s">
        <v>215</v>
      </c>
      <c r="C83" s="2280">
        <v>216658</v>
      </c>
      <c r="D83" s="2015">
        <f>'Table 5a'!L78</f>
        <v>664</v>
      </c>
      <c r="E83" s="2016">
        <v>700</v>
      </c>
      <c r="F83" s="2017">
        <v>700</v>
      </c>
      <c r="G83" s="2017">
        <v>727</v>
      </c>
      <c r="H83" s="2017">
        <v>927</v>
      </c>
      <c r="I83" s="2018">
        <v>927</v>
      </c>
      <c r="J83" s="2018">
        <v>927</v>
      </c>
      <c r="K83" s="2020">
        <v>937</v>
      </c>
      <c r="L83" s="996">
        <f t="shared" si="189"/>
        <v>0.4</v>
      </c>
      <c r="M83" s="2021">
        <f t="shared" si="182"/>
        <v>7.0000000000000007E-2</v>
      </c>
      <c r="N83" s="2022">
        <v>0</v>
      </c>
      <c r="O83" s="632">
        <f>'Table 5a'!G78</f>
        <v>7.0000000000000007E-2</v>
      </c>
      <c r="P83" s="1053">
        <f t="shared" si="183"/>
        <v>0.08</v>
      </c>
      <c r="Q83" s="2022">
        <v>0</v>
      </c>
      <c r="R83" s="3084">
        <f>E83*$AO83/1000000</f>
        <v>0.08</v>
      </c>
      <c r="S83" s="2024">
        <v>0</v>
      </c>
      <c r="T83" s="2023">
        <f t="shared" si="184"/>
        <v>0.08</v>
      </c>
      <c r="U83" s="2022">
        <v>0</v>
      </c>
      <c r="V83" s="3084">
        <f>F83*$AO83/1000000</f>
        <v>0.08</v>
      </c>
      <c r="W83" s="3093">
        <v>0</v>
      </c>
      <c r="X83" s="2021">
        <f t="shared" si="185"/>
        <v>0.09</v>
      </c>
      <c r="Y83" s="1857">
        <v>0</v>
      </c>
      <c r="Z83" s="3084">
        <f>G83*$AO83/1000000</f>
        <v>0.09</v>
      </c>
      <c r="AA83" s="2024">
        <v>0</v>
      </c>
      <c r="AB83" s="2023">
        <f t="shared" si="186"/>
        <v>0.11</v>
      </c>
      <c r="AC83" s="2022">
        <v>0</v>
      </c>
      <c r="AD83" s="3084">
        <f>H83*$AO83/1000000</f>
        <v>0.11</v>
      </c>
      <c r="AE83" s="2024">
        <v>0</v>
      </c>
      <c r="AF83" s="2023">
        <f t="shared" si="187"/>
        <v>0.11</v>
      </c>
      <c r="AG83" s="1857">
        <v>0</v>
      </c>
      <c r="AH83" s="3084">
        <f>I83*$AO83/1000000</f>
        <v>0.11</v>
      </c>
      <c r="AI83" s="2024">
        <v>0</v>
      </c>
      <c r="AJ83" s="2023">
        <f t="shared" si="209"/>
        <v>0.11</v>
      </c>
      <c r="AK83" s="1857">
        <v>0</v>
      </c>
      <c r="AL83" s="3084">
        <f>J83*AO83/1000000</f>
        <v>0.11</v>
      </c>
      <c r="AM83" s="2025">
        <v>0</v>
      </c>
      <c r="AN83" s="996">
        <f t="shared" si="115"/>
        <v>0.56999999999999995</v>
      </c>
      <c r="AO83" s="2281">
        <f>'Table 5a'!P78</f>
        <v>120</v>
      </c>
      <c r="AP83" s="2023">
        <f t="shared" si="188"/>
        <v>0.12</v>
      </c>
      <c r="AQ83" s="1857">
        <v>0</v>
      </c>
      <c r="AR83" s="3108">
        <f t="shared" si="212"/>
        <v>0.12</v>
      </c>
      <c r="AS83" s="3096">
        <v>0</v>
      </c>
      <c r="AT83" s="2279"/>
      <c r="AU83" s="2027">
        <f t="shared" si="190"/>
        <v>263</v>
      </c>
      <c r="AV83" s="2028">
        <f t="shared" si="191"/>
        <v>0.04</v>
      </c>
    </row>
    <row r="84" spans="1:48">
      <c r="A84" s="3284"/>
      <c r="B84" s="2203" t="s">
        <v>216</v>
      </c>
      <c r="C84" s="2206">
        <v>219527</v>
      </c>
      <c r="D84" s="1953">
        <v>563</v>
      </c>
      <c r="E84" s="1954">
        <v>793</v>
      </c>
      <c r="F84" s="814">
        <v>1308</v>
      </c>
      <c r="G84" s="814">
        <v>1566</v>
      </c>
      <c r="H84" s="814">
        <v>1566</v>
      </c>
      <c r="I84" s="807">
        <v>1566</v>
      </c>
      <c r="J84" s="807">
        <v>1579</v>
      </c>
      <c r="K84" s="305">
        <v>9304</v>
      </c>
      <c r="L84" s="300">
        <f t="shared" si="189"/>
        <v>1.8</v>
      </c>
      <c r="M84" s="1955">
        <f t="shared" si="182"/>
        <v>0.14000000000000001</v>
      </c>
      <c r="N84" s="1956">
        <v>0</v>
      </c>
      <c r="O84" s="633">
        <f>'Table 5a'!G79</f>
        <v>0.14000000000000001</v>
      </c>
      <c r="P84" s="1000">
        <f t="shared" ref="P84:P85" si="213">R84-Q84</f>
        <v>0.16</v>
      </c>
      <c r="Q84" s="1956">
        <v>0</v>
      </c>
      <c r="R84" s="3080">
        <f>E84*$AO84/1000000</f>
        <v>0.16</v>
      </c>
      <c r="S84" s="2010">
        <v>0</v>
      </c>
      <c r="T84" s="1957">
        <f t="shared" ref="T84:T85" si="214">V84-U84</f>
        <v>0.26</v>
      </c>
      <c r="U84" s="1956">
        <v>0</v>
      </c>
      <c r="V84" s="3080">
        <f>F84*$AO84/1000000</f>
        <v>0.26</v>
      </c>
      <c r="W84" s="3090">
        <v>0</v>
      </c>
      <c r="X84" s="1955">
        <f t="shared" ref="X84:X85" si="215">Z84-Y84</f>
        <v>0.31</v>
      </c>
      <c r="Y84" s="299">
        <v>0</v>
      </c>
      <c r="Z84" s="3080">
        <f>G84*$AO84/1000000</f>
        <v>0.31</v>
      </c>
      <c r="AA84" s="2010">
        <v>0</v>
      </c>
      <c r="AB84" s="1957">
        <f t="shared" ref="AB84:AB85" si="216">AD84-AC84</f>
        <v>0.31</v>
      </c>
      <c r="AC84" s="1956">
        <v>0</v>
      </c>
      <c r="AD84" s="3080">
        <f>H84*$AO84/1000000</f>
        <v>0.31</v>
      </c>
      <c r="AE84" s="2010">
        <v>0</v>
      </c>
      <c r="AF84" s="1957">
        <f t="shared" ref="AF84:AF85" si="217">AH84-AG84</f>
        <v>0.31</v>
      </c>
      <c r="AG84" s="299">
        <v>0</v>
      </c>
      <c r="AH84" s="3080">
        <f>I84*$AO84/1000000</f>
        <v>0.31</v>
      </c>
      <c r="AI84" s="2010">
        <v>0</v>
      </c>
      <c r="AJ84" s="1957">
        <f t="shared" si="209"/>
        <v>0.31</v>
      </c>
      <c r="AK84" s="299">
        <v>0</v>
      </c>
      <c r="AL84" s="3080">
        <f>J84*AO84/1000000</f>
        <v>0.31</v>
      </c>
      <c r="AM84" s="2011">
        <v>0</v>
      </c>
      <c r="AN84" s="300">
        <f t="shared" si="115"/>
        <v>1.21</v>
      </c>
      <c r="AO84" s="2282">
        <f>'Table 5a'!P79</f>
        <v>199</v>
      </c>
      <c r="AP84" s="1957">
        <f t="shared" ref="AP84:AP85" si="218">AR84-AQ84</f>
        <v>0.33</v>
      </c>
      <c r="AQ84" s="299">
        <v>0</v>
      </c>
      <c r="AR84" s="3080">
        <f t="shared" si="212"/>
        <v>0.33</v>
      </c>
      <c r="AS84" s="3090">
        <v>0</v>
      </c>
      <c r="AT84" s="2279"/>
      <c r="AU84" s="1959">
        <f t="shared" si="190"/>
        <v>1016</v>
      </c>
      <c r="AV84" s="1960">
        <f t="shared" si="191"/>
        <v>0.17</v>
      </c>
    </row>
    <row r="85" spans="1:48" ht="13.5" thickBot="1">
      <c r="A85" s="3284"/>
      <c r="B85" s="2283" t="s">
        <v>217</v>
      </c>
      <c r="C85" s="2207">
        <v>220612</v>
      </c>
      <c r="D85" s="2031">
        <f>'Table 5a'!L80</f>
        <v>5781</v>
      </c>
      <c r="E85" s="2032">
        <v>6142</v>
      </c>
      <c r="F85" s="2033">
        <v>6463</v>
      </c>
      <c r="G85" s="2033">
        <v>6744</v>
      </c>
      <c r="H85" s="2033">
        <v>6971</v>
      </c>
      <c r="I85" s="2034">
        <v>7159</v>
      </c>
      <c r="J85" s="2034">
        <v>7319</v>
      </c>
      <c r="K85" s="2036">
        <v>11659</v>
      </c>
      <c r="L85" s="216">
        <f t="shared" si="189"/>
        <v>0.27</v>
      </c>
      <c r="M85" s="2037">
        <f t="shared" si="182"/>
        <v>1.07</v>
      </c>
      <c r="N85" s="2038">
        <v>0</v>
      </c>
      <c r="O85" s="51">
        <f>'Table 5a'!G80</f>
        <v>1.07</v>
      </c>
      <c r="P85" s="1021">
        <f t="shared" si="213"/>
        <v>1.17</v>
      </c>
      <c r="Q85" s="2038">
        <v>0</v>
      </c>
      <c r="R85" s="3078">
        <f>E85*$AO85/1000000</f>
        <v>1.17</v>
      </c>
      <c r="S85" s="2042">
        <v>0</v>
      </c>
      <c r="T85" s="2040">
        <f t="shared" si="214"/>
        <v>1.23</v>
      </c>
      <c r="U85" s="2038">
        <v>0</v>
      </c>
      <c r="V85" s="3078">
        <f>F85*$AO85/1000000</f>
        <v>1.23</v>
      </c>
      <c r="W85" s="3091">
        <v>0</v>
      </c>
      <c r="X85" s="2037">
        <f t="shared" si="215"/>
        <v>1.29</v>
      </c>
      <c r="Y85" s="1022">
        <v>0</v>
      </c>
      <c r="Z85" s="3078">
        <f>G85*$AO85/1000000</f>
        <v>1.29</v>
      </c>
      <c r="AA85" s="2042">
        <v>0</v>
      </c>
      <c r="AB85" s="2040">
        <f t="shared" si="216"/>
        <v>1.33</v>
      </c>
      <c r="AC85" s="2038">
        <v>0</v>
      </c>
      <c r="AD85" s="3078">
        <f>H85*$AO85/1000000</f>
        <v>1.33</v>
      </c>
      <c r="AE85" s="2042">
        <v>0</v>
      </c>
      <c r="AF85" s="2040">
        <f t="shared" si="217"/>
        <v>1.37</v>
      </c>
      <c r="AG85" s="1022">
        <v>0</v>
      </c>
      <c r="AH85" s="3078">
        <f>I85*$AO85/1000000</f>
        <v>1.37</v>
      </c>
      <c r="AI85" s="2042">
        <v>0</v>
      </c>
      <c r="AJ85" s="2040">
        <f t="shared" si="209"/>
        <v>1.4</v>
      </c>
      <c r="AK85" s="1022">
        <v>0</v>
      </c>
      <c r="AL85" s="3078">
        <f>J85*AO85/1000000</f>
        <v>1.4</v>
      </c>
      <c r="AM85" s="2043">
        <v>0</v>
      </c>
      <c r="AN85" s="216">
        <f t="shared" si="115"/>
        <v>0.31</v>
      </c>
      <c r="AO85" s="2284">
        <f>'Table 5a'!P80</f>
        <v>191</v>
      </c>
      <c r="AP85" s="2040">
        <f t="shared" si="218"/>
        <v>1.48</v>
      </c>
      <c r="AQ85" s="1022">
        <v>0</v>
      </c>
      <c r="AR85" s="3078">
        <f t="shared" si="212"/>
        <v>1.48</v>
      </c>
      <c r="AS85" s="3096">
        <v>0</v>
      </c>
      <c r="AT85" s="2279"/>
      <c r="AU85" s="2045">
        <f t="shared" si="190"/>
        <v>1538</v>
      </c>
      <c r="AV85" s="2046">
        <f t="shared" si="191"/>
        <v>0.33</v>
      </c>
    </row>
    <row r="86" spans="1:48" ht="14.25" thickTop="1" thickBot="1">
      <c r="A86" s="3285"/>
      <c r="B86" s="3277" t="s">
        <v>218</v>
      </c>
      <c r="C86" s="3278"/>
      <c r="D86" s="1978">
        <f>SUM(D82:D85)</f>
        <v>7491</v>
      </c>
      <c r="E86" s="1979">
        <f t="shared" ref="E86:K86" si="219">SUM(E82:E85)</f>
        <v>8125</v>
      </c>
      <c r="F86" s="1980">
        <f t="shared" si="219"/>
        <v>8961</v>
      </c>
      <c r="G86" s="1980">
        <f t="shared" si="219"/>
        <v>9527</v>
      </c>
      <c r="H86" s="1980">
        <f t="shared" si="219"/>
        <v>10012</v>
      </c>
      <c r="I86" s="1981">
        <f t="shared" si="219"/>
        <v>10265</v>
      </c>
      <c r="J86" s="1981">
        <f t="shared" si="219"/>
        <v>10438</v>
      </c>
      <c r="K86" s="1983">
        <f t="shared" si="219"/>
        <v>22513</v>
      </c>
      <c r="L86" s="217">
        <f t="shared" si="189"/>
        <v>0.39</v>
      </c>
      <c r="M86" s="101">
        <f t="shared" si="182"/>
        <v>1.32</v>
      </c>
      <c r="N86" s="1984">
        <f>SUM(N82:N85)</f>
        <v>0</v>
      </c>
      <c r="O86" s="647">
        <f>SUM(O82:O85)</f>
        <v>1.32</v>
      </c>
      <c r="P86" s="100">
        <f t="shared" ref="P86" si="220">R86-Q86</f>
        <v>1.45</v>
      </c>
      <c r="Q86" s="1984">
        <f t="shared" ref="Q86:R86" si="221">SUM(Q82:Q85)</f>
        <v>0</v>
      </c>
      <c r="R86" s="3109">
        <f t="shared" si="221"/>
        <v>1.45</v>
      </c>
      <c r="S86" s="2097">
        <f>SUM(S82:S85)</f>
        <v>0</v>
      </c>
      <c r="T86" s="1985">
        <f t="shared" ref="T86" si="222">V86-U86</f>
        <v>1.61</v>
      </c>
      <c r="U86" s="1984">
        <f t="shared" ref="U86:V86" si="223">SUM(U82:U85)</f>
        <v>0</v>
      </c>
      <c r="V86" s="3083">
        <f t="shared" si="223"/>
        <v>1.61</v>
      </c>
      <c r="W86" s="3107">
        <f>SUM(W82:W85)</f>
        <v>0</v>
      </c>
      <c r="X86" s="101">
        <f t="shared" ref="X86" si="224">Z86-Y86</f>
        <v>1.73</v>
      </c>
      <c r="Y86" s="108">
        <f t="shared" ref="Y86:Z86" si="225">SUM(Y82:Y85)</f>
        <v>0</v>
      </c>
      <c r="Z86" s="3109">
        <f t="shared" si="225"/>
        <v>1.73</v>
      </c>
      <c r="AA86" s="2097">
        <f>SUM(AA82:AA85)</f>
        <v>0</v>
      </c>
      <c r="AB86" s="1985">
        <f t="shared" ref="AB86" si="226">AD86-AC86</f>
        <v>1.79</v>
      </c>
      <c r="AC86" s="1984">
        <f t="shared" ref="AC86:AD86" si="227">SUM(AC82:AC85)</f>
        <v>0</v>
      </c>
      <c r="AD86" s="3109">
        <f t="shared" si="227"/>
        <v>1.79</v>
      </c>
      <c r="AE86" s="2097">
        <f>SUM(AE82:AE85)</f>
        <v>0</v>
      </c>
      <c r="AF86" s="1985">
        <f t="shared" ref="AF86" si="228">AH86-AG86</f>
        <v>1.84</v>
      </c>
      <c r="AG86" s="108">
        <f t="shared" ref="AG86:AH86" si="229">SUM(AG82:AG85)</f>
        <v>0</v>
      </c>
      <c r="AH86" s="3083">
        <f t="shared" si="229"/>
        <v>1.84</v>
      </c>
      <c r="AI86" s="2097">
        <f>SUM(AI82:AI85)</f>
        <v>0</v>
      </c>
      <c r="AJ86" s="1985">
        <f t="shared" ref="AJ86" si="230">AL86-AK86</f>
        <v>1.87</v>
      </c>
      <c r="AK86" s="108">
        <f t="shared" ref="AK86:AL86" si="231">SUM(AK82:AK85)</f>
        <v>0</v>
      </c>
      <c r="AL86" s="3083">
        <f t="shared" si="231"/>
        <v>1.87</v>
      </c>
      <c r="AM86" s="2101">
        <f>SUM(AM82:AM85)</f>
        <v>0</v>
      </c>
      <c r="AN86" s="217">
        <f t="shared" si="115"/>
        <v>0.42</v>
      </c>
      <c r="AO86" s="2285" t="s">
        <v>16</v>
      </c>
      <c r="AP86" s="1985">
        <f t="shared" ref="AP86" si="232">AR86-AQ86</f>
        <v>1.98</v>
      </c>
      <c r="AQ86" s="108">
        <f>SUM(AQ82:AQ85)</f>
        <v>0</v>
      </c>
      <c r="AR86" s="3109">
        <f>SUM(AR82:AR85)</f>
        <v>1.98</v>
      </c>
      <c r="AS86" s="3092">
        <f>SUM(AS82:AS85)</f>
        <v>0</v>
      </c>
      <c r="AT86" s="2279"/>
      <c r="AU86" s="1986">
        <f t="shared" si="190"/>
        <v>2947</v>
      </c>
      <c r="AV86" s="1987">
        <f t="shared" si="191"/>
        <v>0.55000000000000004</v>
      </c>
    </row>
    <row r="87" spans="1:48" ht="13.5" thickBot="1">
      <c r="A87" s="3289" t="s">
        <v>219</v>
      </c>
      <c r="B87" s="2135" t="s">
        <v>220</v>
      </c>
      <c r="C87" s="1993">
        <v>220148</v>
      </c>
      <c r="D87" s="2136">
        <f>'Table 5a'!L82</f>
        <v>1742</v>
      </c>
      <c r="E87" s="2137">
        <v>1850</v>
      </c>
      <c r="F87" s="2138">
        <v>1885</v>
      </c>
      <c r="G87" s="2138">
        <v>1885</v>
      </c>
      <c r="H87" s="2138">
        <v>1905</v>
      </c>
      <c r="I87" s="2139">
        <v>1905</v>
      </c>
      <c r="J87" s="2139">
        <v>1905</v>
      </c>
      <c r="K87" s="2140">
        <v>6558</v>
      </c>
      <c r="L87" s="219">
        <f t="shared" si="189"/>
        <v>0.09</v>
      </c>
      <c r="M87" s="2141">
        <f t="shared" si="182"/>
        <v>0.26</v>
      </c>
      <c r="N87" s="2142">
        <v>0</v>
      </c>
      <c r="O87" s="2143">
        <f>'Table 5a'!G82</f>
        <v>0.26</v>
      </c>
      <c r="P87" s="2144">
        <f t="shared" si="183"/>
        <v>0.24</v>
      </c>
      <c r="Q87" s="2145">
        <v>0</v>
      </c>
      <c r="R87" s="3085">
        <f>E87*$AO87/1000000</f>
        <v>0.24</v>
      </c>
      <c r="S87" s="2146">
        <v>0</v>
      </c>
      <c r="T87" s="2147">
        <f t="shared" si="184"/>
        <v>0.24</v>
      </c>
      <c r="U87" s="2142">
        <v>0</v>
      </c>
      <c r="V87" s="3085">
        <f>F87*$AO87/1000000</f>
        <v>0.24</v>
      </c>
      <c r="W87" s="3095">
        <v>0</v>
      </c>
      <c r="X87" s="2141">
        <f t="shared" si="185"/>
        <v>0.24</v>
      </c>
      <c r="Y87" s="2142">
        <v>0</v>
      </c>
      <c r="Z87" s="3085">
        <f>G87*$AO87/1000000</f>
        <v>0.24</v>
      </c>
      <c r="AA87" s="2146">
        <v>0</v>
      </c>
      <c r="AB87" s="2147">
        <f t="shared" si="186"/>
        <v>0.25</v>
      </c>
      <c r="AC87" s="2142">
        <v>0</v>
      </c>
      <c r="AD87" s="3085">
        <f>H87*$AO87/1000000</f>
        <v>0.25</v>
      </c>
      <c r="AE87" s="2146">
        <v>0</v>
      </c>
      <c r="AF87" s="2147">
        <f t="shared" si="187"/>
        <v>0.25</v>
      </c>
      <c r="AG87" s="2145">
        <v>0</v>
      </c>
      <c r="AH87" s="3085">
        <f>I87*$AO87/1000000</f>
        <v>0.25</v>
      </c>
      <c r="AI87" s="2146">
        <v>0</v>
      </c>
      <c r="AJ87" s="2147">
        <f t="shared" si="209"/>
        <v>0.25</v>
      </c>
      <c r="AK87" s="2145">
        <v>0</v>
      </c>
      <c r="AL87" s="3085">
        <f>J87*AO87/1000000</f>
        <v>0.25</v>
      </c>
      <c r="AM87" s="3114">
        <v>0</v>
      </c>
      <c r="AN87" s="230">
        <f t="shared" si="115"/>
        <v>-0.04</v>
      </c>
      <c r="AO87" s="2149">
        <f>'Table 5a'!P82</f>
        <v>129</v>
      </c>
      <c r="AP87" s="2147">
        <f t="shared" si="188"/>
        <v>0.27</v>
      </c>
      <c r="AQ87" s="2145">
        <v>0</v>
      </c>
      <c r="AR87" s="3078">
        <f>AL87*1.06</f>
        <v>0.27</v>
      </c>
      <c r="AS87" s="3096">
        <v>0</v>
      </c>
      <c r="AT87" s="2279"/>
      <c r="AU87" s="2150">
        <f t="shared" si="190"/>
        <v>163</v>
      </c>
      <c r="AV87" s="2151">
        <f t="shared" si="191"/>
        <v>-0.01</v>
      </c>
    </row>
    <row r="88" spans="1:48" ht="14.25" thickTop="1" thickBot="1">
      <c r="A88" s="3285"/>
      <c r="B88" s="3277" t="s">
        <v>221</v>
      </c>
      <c r="C88" s="3278"/>
      <c r="D88" s="304">
        <f t="shared" ref="D88:J88" si="233">D87</f>
        <v>1742</v>
      </c>
      <c r="E88" s="2090">
        <f t="shared" si="233"/>
        <v>1850</v>
      </c>
      <c r="F88" s="274">
        <f t="shared" si="233"/>
        <v>1885</v>
      </c>
      <c r="G88" s="274">
        <f t="shared" si="233"/>
        <v>1885</v>
      </c>
      <c r="H88" s="274">
        <f t="shared" si="233"/>
        <v>1905</v>
      </c>
      <c r="I88" s="2091">
        <f t="shared" si="233"/>
        <v>1905</v>
      </c>
      <c r="J88" s="2091">
        <f t="shared" si="233"/>
        <v>1905</v>
      </c>
      <c r="K88" s="2092">
        <f>K87</f>
        <v>6558</v>
      </c>
      <c r="L88" s="217">
        <f t="shared" si="189"/>
        <v>0.09</v>
      </c>
      <c r="M88" s="2093">
        <f t="shared" si="182"/>
        <v>0.26</v>
      </c>
      <c r="N88" s="2094">
        <f>N87</f>
        <v>0</v>
      </c>
      <c r="O88" s="647">
        <f t="shared" ref="O88" si="234">O87</f>
        <v>0.26</v>
      </c>
      <c r="P88" s="2095">
        <f t="shared" si="183"/>
        <v>0.24</v>
      </c>
      <c r="Q88" s="2096">
        <f t="shared" ref="Q88:AL88" si="235">Q87</f>
        <v>0</v>
      </c>
      <c r="R88" s="3109">
        <f t="shared" si="235"/>
        <v>0.24</v>
      </c>
      <c r="S88" s="2097">
        <f>SUM(S87)</f>
        <v>0</v>
      </c>
      <c r="T88" s="2098">
        <f t="shared" si="184"/>
        <v>0.24</v>
      </c>
      <c r="U88" s="2094">
        <f t="shared" ref="U88" si="236">U87</f>
        <v>0</v>
      </c>
      <c r="V88" s="3083">
        <f t="shared" si="235"/>
        <v>0.24</v>
      </c>
      <c r="W88" s="3107">
        <f>SUM(W87)</f>
        <v>0</v>
      </c>
      <c r="X88" s="2093">
        <f t="shared" si="185"/>
        <v>0.24</v>
      </c>
      <c r="Y88" s="2094">
        <f t="shared" ref="Y88" si="237">Y87</f>
        <v>0</v>
      </c>
      <c r="Z88" s="3109">
        <f t="shared" si="235"/>
        <v>0.24</v>
      </c>
      <c r="AA88" s="2097">
        <f>SUM(AA87)</f>
        <v>0</v>
      </c>
      <c r="AB88" s="2098">
        <f t="shared" si="186"/>
        <v>0.25</v>
      </c>
      <c r="AC88" s="2094">
        <f t="shared" ref="AC88" si="238">AC87</f>
        <v>0</v>
      </c>
      <c r="AD88" s="3083">
        <f t="shared" si="235"/>
        <v>0.25</v>
      </c>
      <c r="AE88" s="2097">
        <f>SUM(AE87)</f>
        <v>0</v>
      </c>
      <c r="AF88" s="2098">
        <f t="shared" si="187"/>
        <v>0.25</v>
      </c>
      <c r="AG88" s="2096">
        <f t="shared" ref="AG88" si="239">AG87</f>
        <v>0</v>
      </c>
      <c r="AH88" s="3109">
        <f t="shared" si="235"/>
        <v>0.25</v>
      </c>
      <c r="AI88" s="2097">
        <f>SUM(AI87)</f>
        <v>0</v>
      </c>
      <c r="AJ88" s="2098">
        <f t="shared" ref="AJ88:AJ91" si="240">AL88-AK88</f>
        <v>0.25</v>
      </c>
      <c r="AK88" s="2096">
        <f t="shared" ref="AK88" si="241">AK87</f>
        <v>0</v>
      </c>
      <c r="AL88" s="3109">
        <f t="shared" si="235"/>
        <v>0.25</v>
      </c>
      <c r="AM88" s="2101">
        <f>SUM(AM87)</f>
        <v>0</v>
      </c>
      <c r="AN88" s="298">
        <f t="shared" si="115"/>
        <v>-0.04</v>
      </c>
      <c r="AO88" s="3040" t="s">
        <v>16</v>
      </c>
      <c r="AP88" s="2098">
        <f t="shared" si="188"/>
        <v>0.27</v>
      </c>
      <c r="AQ88" s="2096">
        <f>AQ87</f>
        <v>0</v>
      </c>
      <c r="AR88" s="3109">
        <f t="shared" ref="AR88" si="242">AR87</f>
        <v>0.27</v>
      </c>
      <c r="AS88" s="3092">
        <f>SUM(AS87)</f>
        <v>0</v>
      </c>
      <c r="AT88" s="2279"/>
      <c r="AU88" s="739">
        <f t="shared" si="190"/>
        <v>163</v>
      </c>
      <c r="AV88" s="2102">
        <f t="shared" si="191"/>
        <v>-0.01</v>
      </c>
    </row>
    <row r="89" spans="1:48" s="2" customFormat="1" ht="13.5" thickBot="1">
      <c r="A89" s="3307" t="s">
        <v>32</v>
      </c>
      <c r="B89" s="3308"/>
      <c r="C89" s="3309"/>
      <c r="D89" s="304">
        <f t="shared" ref="D89:K89" si="243">D10+D19+D21+D30+D42+D51+D65+D73+D81</f>
        <v>1383967</v>
      </c>
      <c r="E89" s="2090">
        <f t="shared" si="243"/>
        <v>1496051</v>
      </c>
      <c r="F89" s="274">
        <f t="shared" si="243"/>
        <v>1617656</v>
      </c>
      <c r="G89" s="274">
        <f t="shared" si="243"/>
        <v>1707159</v>
      </c>
      <c r="H89" s="274">
        <f t="shared" si="243"/>
        <v>1790758</v>
      </c>
      <c r="I89" s="2091">
        <f t="shared" si="243"/>
        <v>1856566</v>
      </c>
      <c r="J89" s="2091">
        <f t="shared" si="243"/>
        <v>1916415</v>
      </c>
      <c r="K89" s="304">
        <f t="shared" si="243"/>
        <v>3544459</v>
      </c>
      <c r="L89" s="714">
        <f t="shared" si="189"/>
        <v>0.38</v>
      </c>
      <c r="M89" s="2286">
        <f t="shared" ref="M89:AL89" si="244">M10+M19+M21+M30+M42+M51+M65+M73+M81</f>
        <v>178.8</v>
      </c>
      <c r="N89" s="2287">
        <f t="shared" si="244"/>
        <v>7.0000000000000007E-2</v>
      </c>
      <c r="O89" s="2288">
        <f t="shared" si="244"/>
        <v>178.87</v>
      </c>
      <c r="P89" s="2286">
        <f t="shared" si="244"/>
        <v>196.67</v>
      </c>
      <c r="Q89" s="2287">
        <f t="shared" si="244"/>
        <v>0.03</v>
      </c>
      <c r="R89" s="3111">
        <f t="shared" si="244"/>
        <v>196.7</v>
      </c>
      <c r="S89" s="3068">
        <f t="shared" ref="S89" si="245">S10+S19+S21+S30+S42+S51+S65+S73+S81</f>
        <v>3.5</v>
      </c>
      <c r="T89" s="2289">
        <f t="shared" si="244"/>
        <v>212.11</v>
      </c>
      <c r="U89" s="2287">
        <f t="shared" si="244"/>
        <v>0.03</v>
      </c>
      <c r="V89" s="3086">
        <f t="shared" si="244"/>
        <v>212.14</v>
      </c>
      <c r="W89" s="3068">
        <f t="shared" ref="W89" si="246">W10+W19+W21+W30+W42+W51+W65+W73+W81</f>
        <v>5.13</v>
      </c>
      <c r="X89" s="2289">
        <f t="shared" si="244"/>
        <v>220.2</v>
      </c>
      <c r="Y89" s="2287">
        <f t="shared" si="244"/>
        <v>0.03</v>
      </c>
      <c r="Z89" s="3111">
        <f t="shared" si="244"/>
        <v>220.23</v>
      </c>
      <c r="AA89" s="3068">
        <f t="shared" ref="AA89" si="247">AA10+AA19+AA21+AA30+AA42+AA51+AA65+AA73+AA81</f>
        <v>9.69</v>
      </c>
      <c r="AB89" s="2289">
        <f t="shared" si="244"/>
        <v>227.64</v>
      </c>
      <c r="AC89" s="2287">
        <f t="shared" si="244"/>
        <v>0.03</v>
      </c>
      <c r="AD89" s="3111">
        <f t="shared" si="244"/>
        <v>227.67</v>
      </c>
      <c r="AE89" s="3068">
        <f t="shared" ref="AE89" si="248">AE10+AE19+AE21+AE30+AE42+AE51+AE65+AE73+AE81</f>
        <v>13.56</v>
      </c>
      <c r="AF89" s="2289">
        <f t="shared" si="244"/>
        <v>233.18</v>
      </c>
      <c r="AG89" s="2287">
        <f t="shared" si="244"/>
        <v>0.03</v>
      </c>
      <c r="AH89" s="3111">
        <f t="shared" si="244"/>
        <v>233.21</v>
      </c>
      <c r="AI89" s="3068">
        <f t="shared" ref="AI89" si="249">AI10+AI19+AI21+AI30+AI42+AI51+AI65+AI73+AI81</f>
        <v>16.98</v>
      </c>
      <c r="AJ89" s="2289">
        <f t="shared" si="244"/>
        <v>238.39</v>
      </c>
      <c r="AK89" s="2287">
        <f t="shared" si="244"/>
        <v>0.03</v>
      </c>
      <c r="AL89" s="3111">
        <f t="shared" si="244"/>
        <v>238.42</v>
      </c>
      <c r="AM89" s="2287">
        <f t="shared" ref="AM89" si="250">AM10+AM19+AM21+AM30+AM42+AM51+AM65+AM73+AM81</f>
        <v>20.07</v>
      </c>
      <c r="AN89" s="714">
        <f t="shared" si="115"/>
        <v>0.33</v>
      </c>
      <c r="AO89" s="1023" t="s">
        <v>16</v>
      </c>
      <c r="AP89" s="2289">
        <f>AP10+AP19+AP21+AP30+AP42+AP51+AP65+AP73+AP81</f>
        <v>251.15</v>
      </c>
      <c r="AQ89" s="2287">
        <f>AQ10+AQ19+AQ21+AQ30+AQ42+AQ51+AQ65+AQ73+AQ81</f>
        <v>0.03</v>
      </c>
      <c r="AR89" s="3111">
        <f>AR10+AR19+AR21+AR30+AR42+AR51+AR65+AR73+AR81</f>
        <v>251.18</v>
      </c>
      <c r="AS89" s="3126">
        <f>AS10+AS19+AS21+AS30+AS42+AS51+AS65+AS73+AS81</f>
        <v>22.81</v>
      </c>
      <c r="AU89" s="739">
        <f t="shared" si="190"/>
        <v>532448</v>
      </c>
      <c r="AV89" s="2290">
        <f t="shared" si="191"/>
        <v>59.55</v>
      </c>
    </row>
    <row r="90" spans="1:48" s="2" customFormat="1" ht="13.5" thickBot="1">
      <c r="A90" s="3271" t="s">
        <v>33</v>
      </c>
      <c r="B90" s="3272"/>
      <c r="C90" s="3273"/>
      <c r="D90" s="419">
        <f t="shared" ref="D90:K90" si="251">D16+D24+D33+D54+D59+D86+D88</f>
        <v>64483</v>
      </c>
      <c r="E90" s="306">
        <f t="shared" si="251"/>
        <v>69179</v>
      </c>
      <c r="F90" s="65">
        <f t="shared" si="251"/>
        <v>71351</v>
      </c>
      <c r="G90" s="65">
        <f t="shared" si="251"/>
        <v>74457</v>
      </c>
      <c r="H90" s="65">
        <f t="shared" si="251"/>
        <v>77251</v>
      </c>
      <c r="I90" s="214">
        <f t="shared" si="251"/>
        <v>78706</v>
      </c>
      <c r="J90" s="214">
        <f t="shared" si="251"/>
        <v>79985</v>
      </c>
      <c r="K90" s="419">
        <f t="shared" si="251"/>
        <v>220902</v>
      </c>
      <c r="L90" s="228">
        <f t="shared" si="189"/>
        <v>0.24</v>
      </c>
      <c r="M90" s="2291">
        <f t="shared" si="182"/>
        <v>9.32</v>
      </c>
      <c r="N90" s="2292">
        <f>N16+N24+N33+N111+N54+N59+N113+N115+N120+N125+N86+N129+N88</f>
        <v>0</v>
      </c>
      <c r="O90" s="2293">
        <f>O16+O24+O33+O54+O59+O86+O88</f>
        <v>9.32</v>
      </c>
      <c r="P90" s="2291">
        <f t="shared" si="183"/>
        <v>9.99</v>
      </c>
      <c r="Q90" s="2292">
        <f>Q16+Q24+Q33+Q111+Q54+Q59+Q113+Q115+Q120+Q125+Q86+Q129+Q88</f>
        <v>0</v>
      </c>
      <c r="R90" s="3086">
        <f>R16+R24+R33+R54+R59+R86+R88</f>
        <v>9.99</v>
      </c>
      <c r="S90" s="3069">
        <f>S16+S24+S33+S54+S59+S86+S88</f>
        <v>0</v>
      </c>
      <c r="T90" s="2294">
        <f t="shared" si="184"/>
        <v>10.32</v>
      </c>
      <c r="U90" s="2292">
        <f>U16+U24+U33+U111+U54+U59+U113+U115+U120+U125+U86+U129+U88</f>
        <v>0</v>
      </c>
      <c r="V90" s="3086">
        <f>V16+V24+V33+V54+V59+V86+V88</f>
        <v>10.32</v>
      </c>
      <c r="W90" s="3069">
        <f>W16+W24+W33+W54+W59+W86+W88</f>
        <v>0</v>
      </c>
      <c r="X90" s="2294">
        <f t="shared" si="185"/>
        <v>10.73</v>
      </c>
      <c r="Y90" s="2292">
        <f>Y16+Y24+Y33+Y111+Y54+Y59+Y113+Y115+Y120+Y125+Y86+Y129+Y88</f>
        <v>0</v>
      </c>
      <c r="Z90" s="3086">
        <f>Z16+Z24+Z33+Z54+Z59+Z86+Z88</f>
        <v>10.73</v>
      </c>
      <c r="AA90" s="3069">
        <f>AA16+AA24+AA33+AA54+AA59+AA86+AA88</f>
        <v>0</v>
      </c>
      <c r="AB90" s="2294">
        <f t="shared" si="186"/>
        <v>11.1</v>
      </c>
      <c r="AC90" s="2292">
        <f>AC16+AC24+AC33+AC111+AC54+AC59+AC113+AC115+AC120+AC125+AC86+AC129+AC88</f>
        <v>0</v>
      </c>
      <c r="AD90" s="3086">
        <f>AD16+AD24+AD33+AD54+AD59+AD86+AD88</f>
        <v>11.1</v>
      </c>
      <c r="AE90" s="3069">
        <f>AE16+AE24+AE33+AE54+AE59+AE86+AE88</f>
        <v>0</v>
      </c>
      <c r="AF90" s="2294">
        <f t="shared" si="187"/>
        <v>11.33</v>
      </c>
      <c r="AG90" s="2292">
        <f>AG16+AG24+AG33+AG111+AG54+AG59+AG113+AG115+AG120+AG125+AG86+AG129+AG88</f>
        <v>0</v>
      </c>
      <c r="AH90" s="3086">
        <f>AH16+AH24+AH33+AH54+AH59+AH86+AH88</f>
        <v>11.33</v>
      </c>
      <c r="AI90" s="3069">
        <f>AI16+AI24+AI33+AI54+AI59+AI86+AI88</f>
        <v>0</v>
      </c>
      <c r="AJ90" s="2294">
        <f t="shared" si="240"/>
        <v>11.52</v>
      </c>
      <c r="AK90" s="2292">
        <f>AK16+AK24+AK33+AK111+AK54+AK59+AK113+AK115+AK120+AK125+AK86+AK129+AK88</f>
        <v>0</v>
      </c>
      <c r="AL90" s="3086">
        <f>AL16+AL24+AL33+AL54+AL59+AL86+AL88</f>
        <v>11.52</v>
      </c>
      <c r="AM90" s="2292">
        <f>AM16+AM24+AM33+AM54+AM59+AM86+AM88</f>
        <v>0</v>
      </c>
      <c r="AN90" s="228">
        <f t="shared" si="115"/>
        <v>0.24</v>
      </c>
      <c r="AO90" s="2051" t="s">
        <v>16</v>
      </c>
      <c r="AP90" s="2294">
        <f t="shared" si="188"/>
        <v>12.22</v>
      </c>
      <c r="AQ90" s="2292">
        <f>AQ16+AQ24+AQ33+AQ111+AQ54+AQ59+AQ113+AQ115+AQ120+AQ125+AQ86+AQ129+AQ88</f>
        <v>0</v>
      </c>
      <c r="AR90" s="3086">
        <f>AR16+AR24+AR33+AR54+AR59+AR86+AR88</f>
        <v>12.22</v>
      </c>
      <c r="AS90" s="3124">
        <f>AS16+AS24+AS33+AS54+AS59+AS86+AS88</f>
        <v>0</v>
      </c>
      <c r="AU90" s="1610">
        <f t="shared" si="190"/>
        <v>15502</v>
      </c>
      <c r="AV90" s="2295">
        <f t="shared" si="191"/>
        <v>2.2000000000000002</v>
      </c>
    </row>
    <row r="91" spans="1:48" s="2" customFormat="1" ht="13.5" thickBot="1">
      <c r="A91" s="3271" t="s">
        <v>34</v>
      </c>
      <c r="B91" s="3272"/>
      <c r="C91" s="3273"/>
      <c r="D91" s="419">
        <f t="shared" ref="D91" si="252">D89+D90</f>
        <v>1448450</v>
      </c>
      <c r="E91" s="306">
        <f t="shared" ref="E91:K91" si="253">E89+E90</f>
        <v>1565230</v>
      </c>
      <c r="F91" s="65">
        <f t="shared" si="253"/>
        <v>1689007</v>
      </c>
      <c r="G91" s="65">
        <f t="shared" si="253"/>
        <v>1781616</v>
      </c>
      <c r="H91" s="65">
        <f t="shared" si="253"/>
        <v>1868009</v>
      </c>
      <c r="I91" s="214">
        <f t="shared" si="253"/>
        <v>1935272</v>
      </c>
      <c r="J91" s="214">
        <f t="shared" si="253"/>
        <v>1996400</v>
      </c>
      <c r="K91" s="419">
        <f t="shared" si="253"/>
        <v>3765361</v>
      </c>
      <c r="L91" s="228">
        <f t="shared" si="189"/>
        <v>0.38</v>
      </c>
      <c r="M91" s="2291">
        <f>O91-N91</f>
        <v>188.12</v>
      </c>
      <c r="N91" s="2292">
        <f>N89+N90</f>
        <v>7.0000000000000007E-2</v>
      </c>
      <c r="O91" s="2293">
        <f t="shared" ref="O91" si="254">O89+O90</f>
        <v>188.19</v>
      </c>
      <c r="P91" s="2291">
        <f t="shared" si="183"/>
        <v>206.66</v>
      </c>
      <c r="Q91" s="2292">
        <f t="shared" ref="Q91:AL91" si="255">Q89+Q90</f>
        <v>0.03</v>
      </c>
      <c r="R91" s="3086">
        <f t="shared" si="255"/>
        <v>206.69</v>
      </c>
      <c r="S91" s="3069">
        <f t="shared" ref="S91" si="256">S89+S90</f>
        <v>3.5</v>
      </c>
      <c r="T91" s="2294">
        <f t="shared" si="184"/>
        <v>222.43</v>
      </c>
      <c r="U91" s="2292">
        <f t="shared" ref="U91" si="257">U89+U90</f>
        <v>0.03</v>
      </c>
      <c r="V91" s="3086">
        <f t="shared" si="255"/>
        <v>222.46</v>
      </c>
      <c r="W91" s="3069">
        <f t="shared" ref="W91" si="258">W89+W90</f>
        <v>5.13</v>
      </c>
      <c r="X91" s="2294">
        <f t="shared" si="185"/>
        <v>230.93</v>
      </c>
      <c r="Y91" s="2292">
        <f t="shared" ref="Y91" si="259">Y89+Y90</f>
        <v>0.03</v>
      </c>
      <c r="Z91" s="3086">
        <f t="shared" si="255"/>
        <v>230.96</v>
      </c>
      <c r="AA91" s="3069">
        <f t="shared" ref="AA91" si="260">AA89+AA90</f>
        <v>9.69</v>
      </c>
      <c r="AB91" s="2294">
        <f t="shared" si="186"/>
        <v>238.74</v>
      </c>
      <c r="AC91" s="2292">
        <f t="shared" ref="AC91" si="261">AC89+AC90</f>
        <v>0.03</v>
      </c>
      <c r="AD91" s="3086">
        <f t="shared" si="255"/>
        <v>238.77</v>
      </c>
      <c r="AE91" s="3069">
        <f t="shared" ref="AE91" si="262">AE89+AE90</f>
        <v>13.56</v>
      </c>
      <c r="AF91" s="2294">
        <f t="shared" si="187"/>
        <v>244.51</v>
      </c>
      <c r="AG91" s="2292">
        <f t="shared" ref="AG91" si="263">AG89+AG90</f>
        <v>0.03</v>
      </c>
      <c r="AH91" s="3086">
        <f t="shared" si="255"/>
        <v>244.54</v>
      </c>
      <c r="AI91" s="3069">
        <f t="shared" ref="AI91" si="264">AI89+AI90</f>
        <v>16.98</v>
      </c>
      <c r="AJ91" s="2294">
        <f t="shared" si="240"/>
        <v>249.91</v>
      </c>
      <c r="AK91" s="2292">
        <f t="shared" ref="AK91" si="265">AK89+AK90</f>
        <v>0.03</v>
      </c>
      <c r="AL91" s="3086">
        <f t="shared" si="255"/>
        <v>249.94</v>
      </c>
      <c r="AM91" s="2292">
        <f t="shared" ref="AM91" si="266">AM89+AM90</f>
        <v>20.07</v>
      </c>
      <c r="AN91" s="228">
        <f t="shared" si="115"/>
        <v>0.33</v>
      </c>
      <c r="AO91" s="2051" t="s">
        <v>16</v>
      </c>
      <c r="AP91" s="2294">
        <f>AR91-AQ91</f>
        <v>263.37</v>
      </c>
      <c r="AQ91" s="2292">
        <f>AQ89+AQ90</f>
        <v>0.03</v>
      </c>
      <c r="AR91" s="3086">
        <f t="shared" ref="AR91:AS91" si="267">AR89+AR90</f>
        <v>263.39999999999998</v>
      </c>
      <c r="AS91" s="3125">
        <f t="shared" si="267"/>
        <v>22.81</v>
      </c>
      <c r="AU91" s="1610">
        <f t="shared" si="190"/>
        <v>547950</v>
      </c>
      <c r="AV91" s="2295">
        <f t="shared" si="191"/>
        <v>61.75</v>
      </c>
    </row>
    <row r="92" spans="1:48">
      <c r="A92" s="54" t="s">
        <v>35</v>
      </c>
      <c r="B92" s="54"/>
      <c r="C92" s="54"/>
      <c r="L92" s="1" t="s">
        <v>36</v>
      </c>
      <c r="AS92" s="2933"/>
    </row>
    <row r="93" spans="1:48">
      <c r="A93" s="2" t="s">
        <v>222</v>
      </c>
      <c r="B93" s="54"/>
      <c r="C93" s="54"/>
      <c r="D93" s="2296"/>
      <c r="F93" s="2" t="s">
        <v>36</v>
      </c>
      <c r="O93" s="2297"/>
    </row>
    <row r="94" spans="1:48">
      <c r="A94" s="2" t="s">
        <v>69</v>
      </c>
      <c r="B94" s="54"/>
      <c r="C94" s="54"/>
      <c r="P94" s="2228"/>
      <c r="AH94" s="23"/>
      <c r="AI94" s="23"/>
      <c r="AJ94" s="23" t="s">
        <v>36</v>
      </c>
      <c r="AK94" s="23"/>
      <c r="AL94" s="23"/>
      <c r="AM94" s="23"/>
    </row>
    <row r="95" spans="1:48" ht="13.5" customHeight="1">
      <c r="A95" s="1" t="s">
        <v>223</v>
      </c>
      <c r="B95" s="1"/>
      <c r="C95" s="1"/>
      <c r="E95" s="1"/>
      <c r="F95" s="1"/>
      <c r="G95" s="1"/>
      <c r="H95" s="1"/>
      <c r="I95" s="1"/>
      <c r="J95" s="1"/>
      <c r="P95" s="2228"/>
    </row>
    <row r="96" spans="1:48">
      <c r="A96" s="2" t="s">
        <v>40</v>
      </c>
      <c r="O96" s="23"/>
      <c r="P96" s="23"/>
      <c r="AL96" s="1" t="s">
        <v>36</v>
      </c>
    </row>
    <row r="97" spans="1:48">
      <c r="A97" s="2" t="s">
        <v>224</v>
      </c>
    </row>
    <row r="98" spans="1:48">
      <c r="A98" s="2" t="s">
        <v>225</v>
      </c>
    </row>
    <row r="99" spans="1:48">
      <c r="A99" s="2" t="s">
        <v>226</v>
      </c>
    </row>
    <row r="100" spans="1:48">
      <c r="A100" s="2" t="s">
        <v>227</v>
      </c>
    </row>
    <row r="101" spans="1:48" ht="26.25" customHeight="1">
      <c r="A101" s="3304" t="s">
        <v>228</v>
      </c>
      <c r="B101" s="3304"/>
      <c r="C101" s="3304"/>
      <c r="D101" s="3304"/>
      <c r="E101" s="3304"/>
      <c r="F101" s="3304"/>
      <c r="G101" s="3304"/>
      <c r="H101" s="3304"/>
      <c r="I101" s="3304"/>
      <c r="J101" s="3304"/>
      <c r="K101" s="3304"/>
      <c r="L101" s="3304"/>
      <c r="M101" s="3304"/>
      <c r="N101" s="3304"/>
      <c r="O101" s="3304"/>
      <c r="P101" s="3304"/>
      <c r="Q101" s="3304"/>
      <c r="R101" s="3304"/>
      <c r="S101" s="3304"/>
      <c r="T101" s="3304"/>
      <c r="U101" s="3304"/>
      <c r="V101" s="3304"/>
      <c r="W101" s="3304"/>
      <c r="X101" s="3304"/>
      <c r="Y101" s="3304"/>
      <c r="Z101" s="3304"/>
      <c r="AA101" s="3304"/>
      <c r="AB101" s="3304"/>
      <c r="AC101" s="3304"/>
      <c r="AD101" s="3304"/>
      <c r="AE101" s="3304"/>
      <c r="AF101" s="3304"/>
      <c r="AG101" s="3304"/>
      <c r="AH101" s="3304"/>
      <c r="AI101" s="3304"/>
      <c r="AJ101" s="3304"/>
      <c r="AK101" s="3304"/>
      <c r="AL101" s="3304"/>
      <c r="AM101" s="3304"/>
      <c r="AN101" s="3304"/>
      <c r="AO101" s="3304"/>
      <c r="AP101" s="3304"/>
      <c r="AQ101" s="3304"/>
      <c r="AR101" s="3304"/>
      <c r="AS101" s="3025"/>
    </row>
    <row r="102" spans="1:48">
      <c r="A102" s="255"/>
      <c r="B102" s="3025"/>
      <c r="C102" s="3025"/>
      <c r="D102" s="936"/>
      <c r="E102" s="3025"/>
      <c r="F102" s="3025"/>
      <c r="G102" s="3025"/>
      <c r="H102" s="3025"/>
      <c r="I102" s="3025"/>
      <c r="J102" s="3025"/>
      <c r="K102" s="3025"/>
      <c r="L102" s="3025"/>
      <c r="M102" s="3025"/>
      <c r="N102" s="3025"/>
      <c r="O102" s="3025"/>
      <c r="P102" s="3025"/>
      <c r="Q102" s="3025"/>
      <c r="R102" s="3025"/>
      <c r="S102" s="3025"/>
      <c r="T102" s="3025"/>
      <c r="U102" s="3025"/>
      <c r="V102" s="3025"/>
      <c r="W102" s="3025"/>
      <c r="X102" s="3025"/>
      <c r="Y102" s="3025"/>
      <c r="Z102" s="3025"/>
      <c r="AA102" s="3025"/>
      <c r="AB102" s="3025"/>
      <c r="AC102" s="3025"/>
      <c r="AD102" s="3025"/>
      <c r="AE102" s="3025"/>
      <c r="AF102" s="3025"/>
      <c r="AG102" s="3025"/>
      <c r="AH102" s="3025"/>
      <c r="AI102" s="3025"/>
      <c r="AJ102" s="3025"/>
      <c r="AK102" s="3025"/>
      <c r="AL102" s="3025"/>
      <c r="AM102" s="3025"/>
      <c r="AN102" s="3025"/>
      <c r="AO102" s="3025"/>
      <c r="AP102" s="3025"/>
      <c r="AQ102" s="3025"/>
      <c r="AR102" s="3025"/>
      <c r="AS102" s="3025"/>
    </row>
    <row r="103" spans="1:48" ht="13.5" thickBot="1">
      <c r="A103" s="297" t="s">
        <v>229</v>
      </c>
      <c r="B103" s="2049"/>
      <c r="C103" s="2049"/>
      <c r="D103" s="2050"/>
      <c r="E103" s="2049"/>
      <c r="F103" s="2049"/>
      <c r="G103" s="2049"/>
      <c r="H103" s="2049"/>
      <c r="I103" s="2049"/>
      <c r="J103" s="2049"/>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22"/>
    </row>
    <row r="104" spans="1:48" ht="15.75" customHeight="1" thickBot="1">
      <c r="A104" s="3233" t="s">
        <v>85</v>
      </c>
      <c r="B104" s="3294" t="s">
        <v>86</v>
      </c>
      <c r="C104" s="3290" t="s">
        <v>87</v>
      </c>
      <c r="D104" s="3238" t="s">
        <v>76</v>
      </c>
      <c r="E104" s="3293" t="s">
        <v>88</v>
      </c>
      <c r="F104" s="3294"/>
      <c r="G104" s="3294"/>
      <c r="H104" s="3294"/>
      <c r="I104" s="3294"/>
      <c r="J104" s="3294"/>
      <c r="K104" s="3297" t="s">
        <v>89</v>
      </c>
      <c r="L104" s="3300" t="s">
        <v>57</v>
      </c>
      <c r="M104" s="3286" t="s">
        <v>55</v>
      </c>
      <c r="N104" s="3287"/>
      <c r="O104" s="3288"/>
      <c r="P104" s="3286" t="s">
        <v>56</v>
      </c>
      <c r="Q104" s="3287"/>
      <c r="R104" s="3287"/>
      <c r="S104" s="3287"/>
      <c r="T104" s="3287"/>
      <c r="U104" s="3287"/>
      <c r="V104" s="3287"/>
      <c r="W104" s="3287"/>
      <c r="X104" s="3287"/>
      <c r="Y104" s="3287"/>
      <c r="Z104" s="3287"/>
      <c r="AA104" s="3287"/>
      <c r="AB104" s="3287"/>
      <c r="AC104" s="3287"/>
      <c r="AD104" s="3287"/>
      <c r="AE104" s="3287"/>
      <c r="AF104" s="3287"/>
      <c r="AG104" s="3287"/>
      <c r="AH104" s="3287"/>
      <c r="AI104" s="3287"/>
      <c r="AJ104" s="3287"/>
      <c r="AK104" s="3287"/>
      <c r="AL104" s="3287"/>
      <c r="AM104" s="3288"/>
      <c r="AN104" s="3300" t="s">
        <v>57</v>
      </c>
      <c r="AO104" s="3266" t="s">
        <v>90</v>
      </c>
      <c r="AP104" s="3261" t="s">
        <v>58</v>
      </c>
      <c r="AQ104" s="3262"/>
      <c r="AR104" s="3262"/>
      <c r="AS104" s="3263"/>
      <c r="AU104" s="3300" t="s">
        <v>78</v>
      </c>
      <c r="AV104" s="3300" t="s">
        <v>91</v>
      </c>
    </row>
    <row r="105" spans="1:48" ht="15.75" customHeight="1" thickBot="1">
      <c r="A105" s="3234"/>
      <c r="B105" s="3306"/>
      <c r="C105" s="3291"/>
      <c r="D105" s="3240"/>
      <c r="E105" s="3295"/>
      <c r="F105" s="3296"/>
      <c r="G105" s="3296"/>
      <c r="H105" s="3296"/>
      <c r="I105" s="3296"/>
      <c r="J105" s="3296"/>
      <c r="K105" s="3298"/>
      <c r="L105" s="3301"/>
      <c r="M105" s="3281">
        <v>2015</v>
      </c>
      <c r="N105" s="3281"/>
      <c r="O105" s="3282"/>
      <c r="P105" s="3305">
        <v>2020</v>
      </c>
      <c r="Q105" s="3281"/>
      <c r="R105" s="3281"/>
      <c r="S105" s="3282"/>
      <c r="T105" s="3305">
        <v>2025</v>
      </c>
      <c r="U105" s="3281"/>
      <c r="V105" s="3281"/>
      <c r="W105" s="3282"/>
      <c r="X105" s="3305">
        <v>2030</v>
      </c>
      <c r="Y105" s="3281"/>
      <c r="Z105" s="3281"/>
      <c r="AA105" s="3282"/>
      <c r="AB105" s="3305">
        <v>2035</v>
      </c>
      <c r="AC105" s="3281"/>
      <c r="AD105" s="3281"/>
      <c r="AE105" s="3282"/>
      <c r="AF105" s="3305">
        <v>2040</v>
      </c>
      <c r="AG105" s="3281"/>
      <c r="AH105" s="3281"/>
      <c r="AI105" s="3282"/>
      <c r="AJ105" s="3305">
        <v>2045</v>
      </c>
      <c r="AK105" s="3281"/>
      <c r="AL105" s="3281"/>
      <c r="AM105" s="3282"/>
      <c r="AN105" s="3301"/>
      <c r="AO105" s="3279"/>
      <c r="AP105" s="3305">
        <v>2045</v>
      </c>
      <c r="AQ105" s="3281"/>
      <c r="AR105" s="3281"/>
      <c r="AS105" s="3282"/>
      <c r="AU105" s="3301"/>
      <c r="AV105" s="3301"/>
    </row>
    <row r="106" spans="1:48" ht="13.5" thickBot="1">
      <c r="A106" s="3235"/>
      <c r="B106" s="3296"/>
      <c r="C106" s="3292"/>
      <c r="D106" s="1023">
        <v>2015</v>
      </c>
      <c r="E106" s="3028">
        <v>2020</v>
      </c>
      <c r="F106" s="3029">
        <v>2025</v>
      </c>
      <c r="G106" s="3029">
        <v>2030</v>
      </c>
      <c r="H106" s="3029">
        <v>2035</v>
      </c>
      <c r="I106" s="2051">
        <v>2040</v>
      </c>
      <c r="J106" s="3038">
        <v>2045</v>
      </c>
      <c r="K106" s="3299"/>
      <c r="L106" s="3302"/>
      <c r="M106" s="1680" t="s">
        <v>92</v>
      </c>
      <c r="N106" s="1128" t="s">
        <v>93</v>
      </c>
      <c r="O106" s="1681" t="s">
        <v>18</v>
      </c>
      <c r="P106" s="1127" t="s">
        <v>92</v>
      </c>
      <c r="Q106" s="1131" t="s">
        <v>93</v>
      </c>
      <c r="R106" s="3070" t="s">
        <v>18</v>
      </c>
      <c r="S106" s="1680" t="s">
        <v>81</v>
      </c>
      <c r="T106" s="1130" t="s">
        <v>92</v>
      </c>
      <c r="U106" s="1128" t="s">
        <v>93</v>
      </c>
      <c r="V106" s="3070" t="s">
        <v>18</v>
      </c>
      <c r="W106" s="1132" t="s">
        <v>81</v>
      </c>
      <c r="X106" s="1127" t="s">
        <v>92</v>
      </c>
      <c r="Y106" s="1128" t="s">
        <v>93</v>
      </c>
      <c r="Z106" s="3070" t="s">
        <v>18</v>
      </c>
      <c r="AA106" s="1680" t="s">
        <v>81</v>
      </c>
      <c r="AB106" s="1130" t="s">
        <v>92</v>
      </c>
      <c r="AC106" s="1128" t="s">
        <v>93</v>
      </c>
      <c r="AD106" s="3070" t="s">
        <v>18</v>
      </c>
      <c r="AE106" s="1680" t="s">
        <v>81</v>
      </c>
      <c r="AF106" s="1130" t="s">
        <v>92</v>
      </c>
      <c r="AG106" s="1131" t="s">
        <v>93</v>
      </c>
      <c r="AH106" s="3070" t="s">
        <v>18</v>
      </c>
      <c r="AI106" s="1680" t="s">
        <v>81</v>
      </c>
      <c r="AJ106" s="1130" t="s">
        <v>92</v>
      </c>
      <c r="AK106" s="1131" t="s">
        <v>93</v>
      </c>
      <c r="AL106" s="3070" t="s">
        <v>18</v>
      </c>
      <c r="AM106" s="3088" t="s">
        <v>81</v>
      </c>
      <c r="AN106" s="3302"/>
      <c r="AO106" s="3280"/>
      <c r="AP106" s="1130" t="s">
        <v>92</v>
      </c>
      <c r="AQ106" s="1131" t="s">
        <v>93</v>
      </c>
      <c r="AR106" s="3070" t="s">
        <v>18</v>
      </c>
      <c r="AS106" s="3088" t="s">
        <v>81</v>
      </c>
      <c r="AU106" s="3302"/>
      <c r="AV106" s="3302"/>
    </row>
    <row r="107" spans="1:48">
      <c r="A107" s="3275" t="s">
        <v>230</v>
      </c>
      <c r="B107" s="2298" t="s">
        <v>231</v>
      </c>
      <c r="C107" s="2053">
        <v>216823</v>
      </c>
      <c r="D107" s="2254">
        <f>'Table 5a'!L96</f>
        <v>1637</v>
      </c>
      <c r="E107" s="2255">
        <v>2063</v>
      </c>
      <c r="F107" s="76">
        <v>2188</v>
      </c>
      <c r="G107" s="76">
        <v>2252</v>
      </c>
      <c r="H107" s="76">
        <v>2267</v>
      </c>
      <c r="I107" s="2256">
        <v>2267</v>
      </c>
      <c r="J107" s="335">
        <v>2267</v>
      </c>
      <c r="K107" s="2257">
        <v>5173</v>
      </c>
      <c r="L107" s="229">
        <f t="shared" ref="L107:L130" si="268">(J107-D107)/D107</f>
        <v>0.38</v>
      </c>
      <c r="M107" s="2299">
        <f>O107-N107</f>
        <v>0.53</v>
      </c>
      <c r="N107" s="2300">
        <v>0</v>
      </c>
      <c r="O107" s="53">
        <f>'Table 5a'!G96</f>
        <v>0.53</v>
      </c>
      <c r="P107" s="73">
        <f>R107-Q107</f>
        <v>0.68</v>
      </c>
      <c r="Q107" s="2300">
        <v>0</v>
      </c>
      <c r="R107" s="3116">
        <f>E107*$AO107/1000000</f>
        <v>0.68</v>
      </c>
      <c r="S107" s="784">
        <v>0</v>
      </c>
      <c r="T107" s="2301">
        <f>V107-U107</f>
        <v>0.72</v>
      </c>
      <c r="U107" s="2300">
        <v>0</v>
      </c>
      <c r="V107" s="3116">
        <f>F107*$AO107/1000000</f>
        <v>0.72</v>
      </c>
      <c r="W107" s="15">
        <v>0</v>
      </c>
      <c r="X107" s="2299">
        <f>Z107-Y107</f>
        <v>0.75</v>
      </c>
      <c r="Y107" s="90">
        <v>0</v>
      </c>
      <c r="Z107" s="3116">
        <f>G107*$AO107/1000000</f>
        <v>0.75</v>
      </c>
      <c r="AA107" s="784">
        <v>0</v>
      </c>
      <c r="AB107" s="2301">
        <f>AD107-AC107</f>
        <v>0.75</v>
      </c>
      <c r="AC107" s="2300">
        <v>0</v>
      </c>
      <c r="AD107" s="3116">
        <f>H107*$AO107/1000000</f>
        <v>0.75</v>
      </c>
      <c r="AE107" s="784">
        <v>0</v>
      </c>
      <c r="AF107" s="2301">
        <f>AH107-AG107</f>
        <v>0.75</v>
      </c>
      <c r="AG107" s="90">
        <v>0</v>
      </c>
      <c r="AH107" s="3116">
        <f>I107*$AO107/1000000</f>
        <v>0.75</v>
      </c>
      <c r="AI107" s="784">
        <v>0</v>
      </c>
      <c r="AJ107" s="2301">
        <f>AL107-AK107</f>
        <v>0.75</v>
      </c>
      <c r="AK107" s="90">
        <v>0</v>
      </c>
      <c r="AL107" s="3116">
        <f>J107*AO107/1000000</f>
        <v>0.75</v>
      </c>
      <c r="AM107" s="15">
        <v>0</v>
      </c>
      <c r="AN107" s="229">
        <f t="shared" ref="AN107:AN130" si="269">(AL107-O107)/O107</f>
        <v>0.42</v>
      </c>
      <c r="AO107" s="2302">
        <f>'Table 5a'!P96</f>
        <v>331</v>
      </c>
      <c r="AP107" s="2301">
        <f>AR107-AQ107</f>
        <v>0.8</v>
      </c>
      <c r="AQ107" s="90">
        <v>0</v>
      </c>
      <c r="AR107" s="3116">
        <f>AL107*1.06</f>
        <v>0.8</v>
      </c>
      <c r="AS107" s="3121">
        <v>0</v>
      </c>
      <c r="AU107" s="2261">
        <f>J107-D107</f>
        <v>630</v>
      </c>
      <c r="AV107" s="2303">
        <f>AL107-O107</f>
        <v>0.22</v>
      </c>
    </row>
    <row r="108" spans="1:48">
      <c r="A108" s="3275"/>
      <c r="B108" s="2152" t="s">
        <v>232</v>
      </c>
      <c r="C108" s="2104">
        <v>216831</v>
      </c>
      <c r="D108" s="2015">
        <f>'Table 5a'!L97</f>
        <v>286</v>
      </c>
      <c r="E108" s="2016">
        <v>300</v>
      </c>
      <c r="F108" s="2017">
        <v>300</v>
      </c>
      <c r="G108" s="2017">
        <v>300</v>
      </c>
      <c r="H108" s="2017">
        <v>302</v>
      </c>
      <c r="I108" s="2018">
        <v>302</v>
      </c>
      <c r="J108" s="2019">
        <v>302</v>
      </c>
      <c r="K108" s="2020">
        <v>476</v>
      </c>
      <c r="L108" s="996">
        <f t="shared" si="268"/>
        <v>0.06</v>
      </c>
      <c r="M108" s="2021">
        <f>O108-N108</f>
        <v>7.0000000000000007E-2</v>
      </c>
      <c r="N108" s="2022">
        <v>0</v>
      </c>
      <c r="O108" s="358">
        <f>'Table 5a'!G97</f>
        <v>7.0000000000000007E-2</v>
      </c>
      <c r="P108" s="1053">
        <f>R108-Q108</f>
        <v>7.0000000000000007E-2</v>
      </c>
      <c r="Q108" s="2022">
        <v>0</v>
      </c>
      <c r="R108" s="3077">
        <f>E108*$AO108/1000000</f>
        <v>7.0000000000000007E-2</v>
      </c>
      <c r="S108" s="2304">
        <v>0</v>
      </c>
      <c r="T108" s="2023">
        <f>V108-U108</f>
        <v>7.0000000000000007E-2</v>
      </c>
      <c r="U108" s="2022">
        <v>0</v>
      </c>
      <c r="V108" s="3077">
        <f>F108*$AO108/1000000</f>
        <v>7.0000000000000007E-2</v>
      </c>
      <c r="W108" s="1002">
        <v>0</v>
      </c>
      <c r="X108" s="2021">
        <f>Z108-Y108</f>
        <v>7.0000000000000007E-2</v>
      </c>
      <c r="Y108" s="1857">
        <v>0</v>
      </c>
      <c r="Z108" s="3077">
        <f>G108*$AO108/1000000</f>
        <v>7.0000000000000007E-2</v>
      </c>
      <c r="AA108" s="2304">
        <v>0</v>
      </c>
      <c r="AB108" s="2023">
        <f>AD108-AC108</f>
        <v>7.0000000000000007E-2</v>
      </c>
      <c r="AC108" s="2022">
        <v>0</v>
      </c>
      <c r="AD108" s="3077">
        <f>H108*$AO108/1000000</f>
        <v>7.0000000000000007E-2</v>
      </c>
      <c r="AE108" s="2304">
        <v>0</v>
      </c>
      <c r="AF108" s="2023">
        <f>AH108-AG108</f>
        <v>7.0000000000000007E-2</v>
      </c>
      <c r="AG108" s="1857">
        <v>0</v>
      </c>
      <c r="AH108" s="3077">
        <f>I108*$AO108/1000000</f>
        <v>7.0000000000000007E-2</v>
      </c>
      <c r="AI108" s="2304">
        <v>0</v>
      </c>
      <c r="AJ108" s="2023">
        <f>AL108-AK108</f>
        <v>7.0000000000000007E-2</v>
      </c>
      <c r="AK108" s="1857">
        <v>0</v>
      </c>
      <c r="AL108" s="3077">
        <f>J108*AO108/1000000</f>
        <v>7.0000000000000007E-2</v>
      </c>
      <c r="AM108" s="1002">
        <v>0</v>
      </c>
      <c r="AN108" s="996">
        <f t="shared" si="269"/>
        <v>0</v>
      </c>
      <c r="AO108" s="2305">
        <f>'Table 5a'!P97</f>
        <v>239</v>
      </c>
      <c r="AP108" s="2023">
        <f>AR108-AQ108</f>
        <v>7.0000000000000007E-2</v>
      </c>
      <c r="AQ108" s="1857">
        <v>0</v>
      </c>
      <c r="AR108" s="3077">
        <f t="shared" ref="AR108:AR110" si="270">AL108*1.06</f>
        <v>7.0000000000000007E-2</v>
      </c>
      <c r="AS108" s="61">
        <v>0</v>
      </c>
      <c r="AU108" s="2027">
        <f t="shared" ref="AU108:AU130" si="271">J108-D108</f>
        <v>16</v>
      </c>
      <c r="AV108" s="2028">
        <f t="shared" ref="AV108:AV130" si="272">AL108-O108</f>
        <v>0</v>
      </c>
    </row>
    <row r="109" spans="1:48">
      <c r="A109" s="3275"/>
      <c r="B109" s="1951" t="s">
        <v>233</v>
      </c>
      <c r="C109" s="1952">
        <v>217129</v>
      </c>
      <c r="D109" s="1953">
        <f>'Table 5a'!L98</f>
        <v>164</v>
      </c>
      <c r="E109" s="1954">
        <v>167</v>
      </c>
      <c r="F109" s="814">
        <v>167</v>
      </c>
      <c r="G109" s="814">
        <v>167</v>
      </c>
      <c r="H109" s="814">
        <v>167</v>
      </c>
      <c r="I109" s="807">
        <v>167</v>
      </c>
      <c r="J109" s="813">
        <v>167</v>
      </c>
      <c r="K109" s="305">
        <v>332</v>
      </c>
      <c r="L109" s="300">
        <f t="shared" si="268"/>
        <v>0.02</v>
      </c>
      <c r="M109" s="1955">
        <f t="shared" ref="M109:M110" si="273">O109-N109</f>
        <v>0.05</v>
      </c>
      <c r="N109" s="1956">
        <v>0</v>
      </c>
      <c r="O109" s="392">
        <f>'Table 5a'!G98</f>
        <v>0.05</v>
      </c>
      <c r="P109" s="1000">
        <f>R109-Q109</f>
        <v>0.05</v>
      </c>
      <c r="Q109" s="1956">
        <v>0</v>
      </c>
      <c r="R109" s="3076">
        <f>E109*$AO109/1000000</f>
        <v>0.05</v>
      </c>
      <c r="S109" s="998">
        <v>0</v>
      </c>
      <c r="T109" s="1957">
        <f>V109-U109</f>
        <v>0.05</v>
      </c>
      <c r="U109" s="1956">
        <v>0</v>
      </c>
      <c r="V109" s="3076">
        <f>F109*$AO109/1000000</f>
        <v>0.05</v>
      </c>
      <c r="W109" s="830">
        <v>0</v>
      </c>
      <c r="X109" s="1955">
        <f>Z109-Y109</f>
        <v>0.05</v>
      </c>
      <c r="Y109" s="299">
        <v>0</v>
      </c>
      <c r="Z109" s="3076">
        <f>G109*$AO109/1000000</f>
        <v>0.05</v>
      </c>
      <c r="AA109" s="998">
        <v>0</v>
      </c>
      <c r="AB109" s="1957">
        <f>AD109-AC109</f>
        <v>0.05</v>
      </c>
      <c r="AC109" s="1956">
        <v>0</v>
      </c>
      <c r="AD109" s="3076">
        <f>H109*$AO109/1000000</f>
        <v>0.05</v>
      </c>
      <c r="AE109" s="998">
        <v>0</v>
      </c>
      <c r="AF109" s="1957">
        <f>AH109-AG109</f>
        <v>0.05</v>
      </c>
      <c r="AG109" s="299">
        <v>0</v>
      </c>
      <c r="AH109" s="3076">
        <f>I109*$AO109/1000000</f>
        <v>0.05</v>
      </c>
      <c r="AI109" s="998">
        <v>0</v>
      </c>
      <c r="AJ109" s="1957">
        <f>AL109-AK109</f>
        <v>0.05</v>
      </c>
      <c r="AK109" s="299">
        <v>0</v>
      </c>
      <c r="AL109" s="3076">
        <f>J109*AO109/1000000</f>
        <v>0.05</v>
      </c>
      <c r="AM109" s="830">
        <v>0</v>
      </c>
      <c r="AN109" s="300">
        <f t="shared" si="269"/>
        <v>0</v>
      </c>
      <c r="AO109" s="1958">
        <f>'Table 5a'!P98</f>
        <v>276</v>
      </c>
      <c r="AP109" s="1957">
        <f t="shared" ref="AP109:AP110" si="274">AR109-AQ109</f>
        <v>0.05</v>
      </c>
      <c r="AQ109" s="299">
        <v>0</v>
      </c>
      <c r="AR109" s="3076">
        <f t="shared" si="270"/>
        <v>0.05</v>
      </c>
      <c r="AS109" s="3104">
        <v>0</v>
      </c>
      <c r="AU109" s="1959">
        <f t="shared" si="271"/>
        <v>3</v>
      </c>
      <c r="AV109" s="1960">
        <f t="shared" si="272"/>
        <v>0</v>
      </c>
    </row>
    <row r="110" spans="1:48" ht="13.5" thickBot="1">
      <c r="A110" s="3275"/>
      <c r="B110" s="1961" t="s">
        <v>234</v>
      </c>
      <c r="C110" s="1962">
        <v>220310</v>
      </c>
      <c r="D110" s="1963">
        <f>'Table 5a'!L99</f>
        <v>404</v>
      </c>
      <c r="E110" s="1964">
        <v>422</v>
      </c>
      <c r="F110" s="1965">
        <v>422</v>
      </c>
      <c r="G110" s="1965">
        <v>422</v>
      </c>
      <c r="H110" s="1965">
        <v>425</v>
      </c>
      <c r="I110" s="1966">
        <v>425</v>
      </c>
      <c r="J110" s="1967">
        <v>425</v>
      </c>
      <c r="K110" s="1968">
        <v>1744</v>
      </c>
      <c r="L110" s="230">
        <f t="shared" si="268"/>
        <v>0.05</v>
      </c>
      <c r="M110" s="1969">
        <f t="shared" si="273"/>
        <v>0</v>
      </c>
      <c r="N110" s="1970">
        <v>0</v>
      </c>
      <c r="O110" s="411">
        <f>'Table 5a'!G99</f>
        <v>0</v>
      </c>
      <c r="P110" s="1971">
        <f>R110-Q110</f>
        <v>0</v>
      </c>
      <c r="Q110" s="1970">
        <v>0</v>
      </c>
      <c r="R110" s="3117">
        <f>E110*$AO110/1000000</f>
        <v>0</v>
      </c>
      <c r="S110" s="1974">
        <v>0</v>
      </c>
      <c r="T110" s="1972">
        <f>V110-U110</f>
        <v>0</v>
      </c>
      <c r="U110" s="1970">
        <v>0</v>
      </c>
      <c r="V110" s="3117">
        <f>F110*$AO110/1000000</f>
        <v>0</v>
      </c>
      <c r="W110" s="145">
        <v>0</v>
      </c>
      <c r="X110" s="1969">
        <f>Z110-Y110</f>
        <v>0</v>
      </c>
      <c r="Y110" s="1973">
        <v>0</v>
      </c>
      <c r="Z110" s="3117">
        <f>G110*$AO110/1000000</f>
        <v>0</v>
      </c>
      <c r="AA110" s="1974">
        <v>0</v>
      </c>
      <c r="AB110" s="1972">
        <f>AD110-AC110</f>
        <v>0</v>
      </c>
      <c r="AC110" s="1970">
        <v>0</v>
      </c>
      <c r="AD110" s="3117">
        <f>H110*$AO110/1000000</f>
        <v>0</v>
      </c>
      <c r="AE110" s="1974">
        <v>0</v>
      </c>
      <c r="AF110" s="1972">
        <f>AH110-AG110</f>
        <v>0</v>
      </c>
      <c r="AG110" s="1973">
        <v>0</v>
      </c>
      <c r="AH110" s="3117">
        <f>I110*$AO110/1000000</f>
        <v>0</v>
      </c>
      <c r="AI110" s="1974">
        <v>0</v>
      </c>
      <c r="AJ110" s="1972">
        <f>AL110-AK110</f>
        <v>0</v>
      </c>
      <c r="AK110" s="1973">
        <v>0</v>
      </c>
      <c r="AL110" s="3117">
        <f>J110*AO110/1000000</f>
        <v>0</v>
      </c>
      <c r="AM110" s="145">
        <v>0</v>
      </c>
      <c r="AN110" s="230" t="s">
        <v>16</v>
      </c>
      <c r="AO110" s="1975">
        <f>'Table 5a'!P99</f>
        <v>0</v>
      </c>
      <c r="AP110" s="1972">
        <f t="shared" si="274"/>
        <v>0</v>
      </c>
      <c r="AQ110" s="1973">
        <v>0</v>
      </c>
      <c r="AR110" s="3117">
        <f t="shared" si="270"/>
        <v>0</v>
      </c>
      <c r="AS110" s="61">
        <v>0</v>
      </c>
      <c r="AU110" s="1976">
        <f t="shared" si="271"/>
        <v>21</v>
      </c>
      <c r="AV110" s="1977">
        <f t="shared" si="272"/>
        <v>0</v>
      </c>
    </row>
    <row r="111" spans="1:48" ht="14.25" thickTop="1" thickBot="1">
      <c r="A111" s="3276"/>
      <c r="B111" s="3277" t="s">
        <v>235</v>
      </c>
      <c r="C111" s="3278"/>
      <c r="D111" s="1978">
        <f>SUM(D107:D110)</f>
        <v>2491</v>
      </c>
      <c r="E111" s="1979">
        <f>SUM(E107:E110)</f>
        <v>2952</v>
      </c>
      <c r="F111" s="1980">
        <f t="shared" ref="F111:K111" si="275">SUM(F107:F110)</f>
        <v>3077</v>
      </c>
      <c r="G111" s="1980">
        <f t="shared" si="275"/>
        <v>3141</v>
      </c>
      <c r="H111" s="1980">
        <f t="shared" si="275"/>
        <v>3161</v>
      </c>
      <c r="I111" s="1981">
        <f t="shared" si="275"/>
        <v>3161</v>
      </c>
      <c r="J111" s="1982">
        <f t="shared" si="275"/>
        <v>3161</v>
      </c>
      <c r="K111" s="1983">
        <f t="shared" si="275"/>
        <v>7725</v>
      </c>
      <c r="L111" s="217">
        <f t="shared" si="268"/>
        <v>0.27</v>
      </c>
      <c r="M111" s="101">
        <f t="shared" ref="M111" si="276">SUM(M107:M110)</f>
        <v>0.65</v>
      </c>
      <c r="N111" s="1984">
        <f t="shared" ref="N111" si="277">SUM(N107:N110)</f>
        <v>0</v>
      </c>
      <c r="O111" s="154">
        <f t="shared" ref="O111" si="278">SUM(O107:O110)</f>
        <v>0.65</v>
      </c>
      <c r="P111" s="100">
        <f t="shared" ref="P111" si="279">SUM(P107:P110)</f>
        <v>0.8</v>
      </c>
      <c r="Q111" s="1984">
        <f t="shared" ref="Q111" si="280">SUM(Q107:Q110)</f>
        <v>0</v>
      </c>
      <c r="R111" s="3074">
        <f t="shared" ref="R111" si="281">SUM(R107:R110)</f>
        <v>0.8</v>
      </c>
      <c r="S111" s="303">
        <f>SUM(S107:S110)</f>
        <v>0</v>
      </c>
      <c r="T111" s="1985">
        <f t="shared" ref="T111" si="282">SUM(T107:T110)</f>
        <v>0.84</v>
      </c>
      <c r="U111" s="1984">
        <f t="shared" ref="U111" si="283">SUM(U107:U110)</f>
        <v>0</v>
      </c>
      <c r="V111" s="3074">
        <f t="shared" ref="V111" si="284">SUM(V107:V110)</f>
        <v>0.84</v>
      </c>
      <c r="W111" s="21">
        <f>SUM(W107:W110)</f>
        <v>0</v>
      </c>
      <c r="X111" s="101">
        <f t="shared" ref="X111" si="285">SUM(X107:X110)</f>
        <v>0.87</v>
      </c>
      <c r="Y111" s="108">
        <f t="shared" ref="Y111" si="286">SUM(Y107:Y110)</f>
        <v>0</v>
      </c>
      <c r="Z111" s="3074">
        <f t="shared" ref="Z111" si="287">SUM(Z107:Z110)</f>
        <v>0.87</v>
      </c>
      <c r="AA111" s="303">
        <f>SUM(AA107:AA110)</f>
        <v>0</v>
      </c>
      <c r="AB111" s="1985">
        <f t="shared" ref="AB111" si="288">SUM(AB107:AB110)</f>
        <v>0.87</v>
      </c>
      <c r="AC111" s="1984">
        <f t="shared" ref="AC111" si="289">SUM(AC107:AC110)</f>
        <v>0</v>
      </c>
      <c r="AD111" s="3074">
        <f t="shared" ref="AD111" si="290">SUM(AD107:AD110)</f>
        <v>0.87</v>
      </c>
      <c r="AE111" s="303">
        <f>SUM(AE107:AE110)</f>
        <v>0</v>
      </c>
      <c r="AF111" s="1985">
        <f t="shared" ref="AF111" si="291">SUM(AF107:AF110)</f>
        <v>0.87</v>
      </c>
      <c r="AG111" s="108">
        <f t="shared" ref="AG111" si="292">SUM(AG107:AG110)</f>
        <v>0</v>
      </c>
      <c r="AH111" s="3074">
        <f t="shared" ref="AH111" si="293">SUM(AH107:AH110)</f>
        <v>0.87</v>
      </c>
      <c r="AI111" s="303">
        <f>SUM(AI107:AI110)</f>
        <v>0</v>
      </c>
      <c r="AJ111" s="1985">
        <f t="shared" ref="AJ111" si="294">SUM(AJ107:AJ110)</f>
        <v>0.87</v>
      </c>
      <c r="AK111" s="108">
        <f t="shared" ref="AK111" si="295">SUM(AK107:AK110)</f>
        <v>0</v>
      </c>
      <c r="AL111" s="3074">
        <f t="shared" ref="AL111" si="296">SUM(AL107:AL110)</f>
        <v>0.87</v>
      </c>
      <c r="AM111" s="21">
        <f>SUM(AM107:AM110)</f>
        <v>0</v>
      </c>
      <c r="AN111" s="217">
        <f t="shared" si="269"/>
        <v>0.34</v>
      </c>
      <c r="AO111" s="3024" t="s">
        <v>16</v>
      </c>
      <c r="AP111" s="1985">
        <f t="shared" ref="AP111" si="297">SUM(AP107:AP110)</f>
        <v>0.92</v>
      </c>
      <c r="AQ111" s="108">
        <f>SUM(AQ107:AQ108)</f>
        <v>0</v>
      </c>
      <c r="AR111" s="3074">
        <f>SUM(AR107:AR108)</f>
        <v>0.87</v>
      </c>
      <c r="AS111" s="3098">
        <f>SUM(AS107:AS110)</f>
        <v>0</v>
      </c>
      <c r="AU111" s="1986">
        <f t="shared" si="271"/>
        <v>670</v>
      </c>
      <c r="AV111" s="1987">
        <f t="shared" si="272"/>
        <v>0.22</v>
      </c>
    </row>
    <row r="112" spans="1:48" ht="12.75" customHeight="1" thickBot="1">
      <c r="A112" s="3303" t="s">
        <v>236</v>
      </c>
      <c r="B112" s="1988" t="s">
        <v>237</v>
      </c>
      <c r="C112" s="1962">
        <v>218662</v>
      </c>
      <c r="D112" s="1989">
        <f>'Table 5a'!L101</f>
        <v>553</v>
      </c>
      <c r="E112" s="1964">
        <v>606</v>
      </c>
      <c r="F112" s="1965">
        <v>618</v>
      </c>
      <c r="G112" s="1965">
        <v>626</v>
      </c>
      <c r="H112" s="1965">
        <v>629</v>
      </c>
      <c r="I112" s="1966">
        <v>639</v>
      </c>
      <c r="J112" s="1967">
        <v>644</v>
      </c>
      <c r="K112" s="1990">
        <v>18403</v>
      </c>
      <c r="L112" s="230">
        <f t="shared" si="268"/>
        <v>0.16</v>
      </c>
      <c r="M112" s="1969">
        <f>O112-N112</f>
        <v>0</v>
      </c>
      <c r="N112" s="1970">
        <v>0</v>
      </c>
      <c r="O112" s="411">
        <f>'Table 5a'!G101</f>
        <v>0</v>
      </c>
      <c r="P112" s="1971">
        <f>R112-Q112</f>
        <v>0</v>
      </c>
      <c r="Q112" s="1970">
        <v>0</v>
      </c>
      <c r="R112" s="3117">
        <v>0</v>
      </c>
      <c r="S112" s="1974">
        <v>0</v>
      </c>
      <c r="T112" s="1972">
        <f>V112-U112</f>
        <v>0</v>
      </c>
      <c r="U112" s="1970">
        <v>0</v>
      </c>
      <c r="V112" s="3117">
        <v>0</v>
      </c>
      <c r="W112" s="145">
        <v>0</v>
      </c>
      <c r="X112" s="1969">
        <f>Z112-Y112</f>
        <v>0</v>
      </c>
      <c r="Y112" s="1973">
        <v>0</v>
      </c>
      <c r="Z112" s="3117">
        <v>0</v>
      </c>
      <c r="AA112" s="1974">
        <v>0</v>
      </c>
      <c r="AB112" s="1972">
        <f>AD112-AC112</f>
        <v>0</v>
      </c>
      <c r="AC112" s="1970">
        <v>0</v>
      </c>
      <c r="AD112" s="3117">
        <v>0</v>
      </c>
      <c r="AE112" s="1974">
        <v>0</v>
      </c>
      <c r="AF112" s="1972">
        <f>AH112-AG112</f>
        <v>0</v>
      </c>
      <c r="AG112" s="1973">
        <v>0</v>
      </c>
      <c r="AH112" s="3117">
        <v>0</v>
      </c>
      <c r="AI112" s="1974">
        <v>0</v>
      </c>
      <c r="AJ112" s="1972">
        <f>AL112-AK112</f>
        <v>0</v>
      </c>
      <c r="AK112" s="1973">
        <v>0</v>
      </c>
      <c r="AL112" s="3117">
        <v>0</v>
      </c>
      <c r="AM112" s="145">
        <v>0</v>
      </c>
      <c r="AN112" s="230">
        <v>0</v>
      </c>
      <c r="AO112" s="1991" t="s">
        <v>16</v>
      </c>
      <c r="AP112" s="1972">
        <f>AR112-AQ112</f>
        <v>0</v>
      </c>
      <c r="AQ112" s="1973">
        <v>0</v>
      </c>
      <c r="AR112" s="3117">
        <f>AL112*1.06</f>
        <v>0</v>
      </c>
      <c r="AS112" s="3101">
        <v>0</v>
      </c>
      <c r="AU112" s="1976">
        <f t="shared" si="271"/>
        <v>91</v>
      </c>
      <c r="AV112" s="1977">
        <f t="shared" si="272"/>
        <v>0</v>
      </c>
    </row>
    <row r="113" spans="1:48" ht="14.25" thickTop="1" thickBot="1">
      <c r="A113" s="3285"/>
      <c r="B113" s="3277" t="s">
        <v>238</v>
      </c>
      <c r="C113" s="3278"/>
      <c r="D113" s="1978">
        <f t="shared" ref="D113:J113" si="298">SUM(D112)</f>
        <v>553</v>
      </c>
      <c r="E113" s="1979">
        <f>SUM(E112)</f>
        <v>606</v>
      </c>
      <c r="F113" s="1980">
        <f t="shared" si="298"/>
        <v>618</v>
      </c>
      <c r="G113" s="1980">
        <f t="shared" si="298"/>
        <v>626</v>
      </c>
      <c r="H113" s="1980">
        <f t="shared" si="298"/>
        <v>629</v>
      </c>
      <c r="I113" s="1981">
        <f t="shared" si="298"/>
        <v>639</v>
      </c>
      <c r="J113" s="1982">
        <f t="shared" si="298"/>
        <v>644</v>
      </c>
      <c r="K113" s="1983">
        <f>K112</f>
        <v>18403</v>
      </c>
      <c r="L113" s="217">
        <f t="shared" si="268"/>
        <v>0.16</v>
      </c>
      <c r="M113" s="101">
        <f t="shared" ref="M113:AL113" si="299">M112</f>
        <v>0</v>
      </c>
      <c r="N113" s="1984">
        <f t="shared" si="299"/>
        <v>0</v>
      </c>
      <c r="O113" s="154">
        <f t="shared" si="299"/>
        <v>0</v>
      </c>
      <c r="P113" s="100">
        <f t="shared" si="299"/>
        <v>0</v>
      </c>
      <c r="Q113" s="1984">
        <f t="shared" si="299"/>
        <v>0</v>
      </c>
      <c r="R113" s="3074">
        <f>R112</f>
        <v>0</v>
      </c>
      <c r="S113" s="303">
        <f>SUM(S112)</f>
        <v>0</v>
      </c>
      <c r="T113" s="1985">
        <f t="shared" si="299"/>
        <v>0</v>
      </c>
      <c r="U113" s="1984">
        <f t="shared" si="299"/>
        <v>0</v>
      </c>
      <c r="V113" s="3074">
        <f t="shared" si="299"/>
        <v>0</v>
      </c>
      <c r="W113" s="21">
        <f>SUM(W112)</f>
        <v>0</v>
      </c>
      <c r="X113" s="101">
        <f t="shared" si="299"/>
        <v>0</v>
      </c>
      <c r="Y113" s="108">
        <f t="shared" si="299"/>
        <v>0</v>
      </c>
      <c r="Z113" s="3074">
        <f t="shared" si="299"/>
        <v>0</v>
      </c>
      <c r="AA113" s="303">
        <f>SUM(AA112)</f>
        <v>0</v>
      </c>
      <c r="AB113" s="1985">
        <f t="shared" si="299"/>
        <v>0</v>
      </c>
      <c r="AC113" s="1984">
        <f t="shared" si="299"/>
        <v>0</v>
      </c>
      <c r="AD113" s="3074">
        <f t="shared" si="299"/>
        <v>0</v>
      </c>
      <c r="AE113" s="303">
        <f>SUM(AE112)</f>
        <v>0</v>
      </c>
      <c r="AF113" s="1985">
        <f t="shared" si="299"/>
        <v>0</v>
      </c>
      <c r="AG113" s="108">
        <f t="shared" si="299"/>
        <v>0</v>
      </c>
      <c r="AH113" s="3074">
        <f t="shared" si="299"/>
        <v>0</v>
      </c>
      <c r="AI113" s="303">
        <f>SUM(AI112)</f>
        <v>0</v>
      </c>
      <c r="AJ113" s="1985">
        <f t="shared" si="299"/>
        <v>0</v>
      </c>
      <c r="AK113" s="108">
        <f t="shared" si="299"/>
        <v>0</v>
      </c>
      <c r="AL113" s="3074">
        <f t="shared" si="299"/>
        <v>0</v>
      </c>
      <c r="AM113" s="61">
        <f>SUM(AM112)</f>
        <v>0</v>
      </c>
      <c r="AN113" s="229">
        <v>0</v>
      </c>
      <c r="AO113" s="3035" t="s">
        <v>16</v>
      </c>
      <c r="AP113" s="1985">
        <f>AP112</f>
        <v>0</v>
      </c>
      <c r="AQ113" s="108">
        <f>SUM(AQ112)</f>
        <v>0</v>
      </c>
      <c r="AR113" s="3074">
        <f>SUM(AR112)</f>
        <v>0</v>
      </c>
      <c r="AS113" s="3099">
        <f>SUM(AS112)</f>
        <v>0</v>
      </c>
      <c r="AU113" s="1986">
        <f t="shared" si="271"/>
        <v>91</v>
      </c>
      <c r="AV113" s="1987">
        <f t="shared" si="272"/>
        <v>0</v>
      </c>
    </row>
    <row r="114" spans="1:48" ht="12.75" customHeight="1" thickBot="1">
      <c r="A114" s="3289" t="s">
        <v>239</v>
      </c>
      <c r="B114" s="1992" t="s">
        <v>240</v>
      </c>
      <c r="C114" s="1993">
        <v>216851</v>
      </c>
      <c r="D114" s="1989">
        <f>'Table 5a'!L103</f>
        <v>1188</v>
      </c>
      <c r="E114" s="1994">
        <v>1208</v>
      </c>
      <c r="F114" s="1995">
        <v>1208</v>
      </c>
      <c r="G114" s="1995">
        <v>1208</v>
      </c>
      <c r="H114" s="1995">
        <v>1208</v>
      </c>
      <c r="I114" s="1996">
        <v>1208</v>
      </c>
      <c r="J114" s="1997">
        <v>1214</v>
      </c>
      <c r="K114" s="1990">
        <v>1780</v>
      </c>
      <c r="L114" s="219">
        <f t="shared" si="268"/>
        <v>0.02</v>
      </c>
      <c r="M114" s="1998">
        <f>O114-N114</f>
        <v>0.15</v>
      </c>
      <c r="N114" s="1999">
        <v>0</v>
      </c>
      <c r="O114" s="2000">
        <f>'Table 5a'!G103</f>
        <v>0.15</v>
      </c>
      <c r="P114" s="2001">
        <f>R114-Q114</f>
        <v>0.16</v>
      </c>
      <c r="Q114" s="1999">
        <v>0</v>
      </c>
      <c r="R114" s="3118">
        <f>E114*$AO114/1000000</f>
        <v>0.16</v>
      </c>
      <c r="S114" s="762">
        <v>0</v>
      </c>
      <c r="T114" s="2002">
        <f>V114-U114</f>
        <v>0.16</v>
      </c>
      <c r="U114" s="1999">
        <v>0</v>
      </c>
      <c r="V114" s="3118">
        <f>F114*$AO114/1000000</f>
        <v>0.16</v>
      </c>
      <c r="W114" s="763">
        <v>0</v>
      </c>
      <c r="X114" s="1998">
        <f>Z114-Y114</f>
        <v>0.16</v>
      </c>
      <c r="Y114" s="2003">
        <v>0</v>
      </c>
      <c r="Z114" s="3118">
        <f>G114*$AO114/1000000</f>
        <v>0.16</v>
      </c>
      <c r="AA114" s="762">
        <v>0</v>
      </c>
      <c r="AB114" s="2002">
        <f>AD114-AC114</f>
        <v>0.16</v>
      </c>
      <c r="AC114" s="1999">
        <v>0</v>
      </c>
      <c r="AD114" s="3118">
        <f>H114*$AO114/1000000</f>
        <v>0.16</v>
      </c>
      <c r="AE114" s="762">
        <v>0</v>
      </c>
      <c r="AF114" s="2002">
        <f>AH114-AG114</f>
        <v>0.16</v>
      </c>
      <c r="AG114" s="2003">
        <v>0</v>
      </c>
      <c r="AH114" s="3118">
        <f>I114*$AO114/1000000</f>
        <v>0.16</v>
      </c>
      <c r="AI114" s="762">
        <v>0</v>
      </c>
      <c r="AJ114" s="2002">
        <f>AL114-AK114</f>
        <v>0.16</v>
      </c>
      <c r="AK114" s="2003">
        <v>0</v>
      </c>
      <c r="AL114" s="3118">
        <f>J114*AO114/1000000</f>
        <v>0.16</v>
      </c>
      <c r="AM114" s="763">
        <v>0</v>
      </c>
      <c r="AN114" s="219">
        <f t="shared" si="269"/>
        <v>7.0000000000000007E-2</v>
      </c>
      <c r="AO114" s="2004">
        <f>'Table 5a'!P103</f>
        <v>133</v>
      </c>
      <c r="AP114" s="2002">
        <f>AR114-AQ114</f>
        <v>0.17</v>
      </c>
      <c r="AQ114" s="2003">
        <v>0</v>
      </c>
      <c r="AR114" s="3118">
        <f>AL114*1.06</f>
        <v>0.17</v>
      </c>
      <c r="AS114" s="61">
        <v>0</v>
      </c>
      <c r="AU114" s="2005">
        <f t="shared" si="271"/>
        <v>26</v>
      </c>
      <c r="AV114" s="2006">
        <f t="shared" si="272"/>
        <v>0.01</v>
      </c>
    </row>
    <row r="115" spans="1:48" ht="14.25" thickTop="1" thickBot="1">
      <c r="A115" s="3285"/>
      <c r="B115" s="3277" t="s">
        <v>241</v>
      </c>
      <c r="C115" s="3278"/>
      <c r="D115" s="1978">
        <f t="shared" ref="D115:J115" si="300">SUM(D114)</f>
        <v>1188</v>
      </c>
      <c r="E115" s="1979">
        <f t="shared" si="300"/>
        <v>1208</v>
      </c>
      <c r="F115" s="1980">
        <f t="shared" si="300"/>
        <v>1208</v>
      </c>
      <c r="G115" s="1980">
        <f t="shared" si="300"/>
        <v>1208</v>
      </c>
      <c r="H115" s="1980">
        <f t="shared" si="300"/>
        <v>1208</v>
      </c>
      <c r="I115" s="1981">
        <f t="shared" si="300"/>
        <v>1208</v>
      </c>
      <c r="J115" s="1982">
        <f t="shared" si="300"/>
        <v>1214</v>
      </c>
      <c r="K115" s="1983">
        <f>K114</f>
        <v>1780</v>
      </c>
      <c r="L115" s="217">
        <f t="shared" si="268"/>
        <v>0.02</v>
      </c>
      <c r="M115" s="101">
        <f t="shared" ref="M115:AL115" si="301">M114</f>
        <v>0.15</v>
      </c>
      <c r="N115" s="1984">
        <f t="shared" si="301"/>
        <v>0</v>
      </c>
      <c r="O115" s="154">
        <f t="shared" si="301"/>
        <v>0.15</v>
      </c>
      <c r="P115" s="100">
        <f t="shared" si="301"/>
        <v>0.16</v>
      </c>
      <c r="Q115" s="1984">
        <f t="shared" si="301"/>
        <v>0</v>
      </c>
      <c r="R115" s="3074">
        <f t="shared" si="301"/>
        <v>0.16</v>
      </c>
      <c r="S115" s="303">
        <f>SUM(S114)</f>
        <v>0</v>
      </c>
      <c r="T115" s="1985">
        <f t="shared" si="301"/>
        <v>0.16</v>
      </c>
      <c r="U115" s="1984">
        <f t="shared" si="301"/>
        <v>0</v>
      </c>
      <c r="V115" s="3074">
        <f t="shared" si="301"/>
        <v>0.16</v>
      </c>
      <c r="W115" s="21">
        <f>SUM(W114)</f>
        <v>0</v>
      </c>
      <c r="X115" s="101">
        <f t="shared" si="301"/>
        <v>0.16</v>
      </c>
      <c r="Y115" s="108">
        <f t="shared" si="301"/>
        <v>0</v>
      </c>
      <c r="Z115" s="3074">
        <f t="shared" si="301"/>
        <v>0.16</v>
      </c>
      <c r="AA115" s="303">
        <f>SUM(AA114)</f>
        <v>0</v>
      </c>
      <c r="AB115" s="1985">
        <f t="shared" si="301"/>
        <v>0.16</v>
      </c>
      <c r="AC115" s="1984">
        <f t="shared" si="301"/>
        <v>0</v>
      </c>
      <c r="AD115" s="3074">
        <f t="shared" si="301"/>
        <v>0.16</v>
      </c>
      <c r="AE115" s="303">
        <f>SUM(AE114)</f>
        <v>0</v>
      </c>
      <c r="AF115" s="1985">
        <f t="shared" si="301"/>
        <v>0.16</v>
      </c>
      <c r="AG115" s="108">
        <f t="shared" si="301"/>
        <v>0</v>
      </c>
      <c r="AH115" s="3074">
        <f t="shared" si="301"/>
        <v>0.16</v>
      </c>
      <c r="AI115" s="303">
        <f>SUM(AI114)</f>
        <v>0</v>
      </c>
      <c r="AJ115" s="1985">
        <f t="shared" si="301"/>
        <v>0.16</v>
      </c>
      <c r="AK115" s="108">
        <f t="shared" si="301"/>
        <v>0</v>
      </c>
      <c r="AL115" s="3074">
        <f t="shared" si="301"/>
        <v>0.16</v>
      </c>
      <c r="AM115" s="21">
        <f>SUM(AM114)</f>
        <v>0</v>
      </c>
      <c r="AN115" s="217">
        <f t="shared" si="269"/>
        <v>7.0000000000000007E-2</v>
      </c>
      <c r="AO115" s="3035" t="s">
        <v>16</v>
      </c>
      <c r="AP115" s="1985">
        <f>AP114</f>
        <v>0.17</v>
      </c>
      <c r="AQ115" s="108">
        <f>SUM(AQ114)</f>
        <v>0</v>
      </c>
      <c r="AR115" s="3074">
        <f>SUM(AR114)</f>
        <v>0.17</v>
      </c>
      <c r="AS115" s="3098">
        <f>SUM(AS114)</f>
        <v>0</v>
      </c>
      <c r="AU115" s="1986">
        <f t="shared" si="271"/>
        <v>26</v>
      </c>
      <c r="AV115" s="1987">
        <f t="shared" si="272"/>
        <v>0.01</v>
      </c>
    </row>
    <row r="116" spans="1:48">
      <c r="A116" s="3283" t="s">
        <v>242</v>
      </c>
      <c r="B116" s="2007" t="s">
        <v>243</v>
      </c>
      <c r="C116" s="2008" t="s">
        <v>244</v>
      </c>
      <c r="D116" s="1953">
        <f>'Table 5a'!L105</f>
        <v>2180</v>
      </c>
      <c r="E116" s="1954">
        <v>2304</v>
      </c>
      <c r="F116" s="814">
        <v>2304</v>
      </c>
      <c r="G116" s="814">
        <v>2304</v>
      </c>
      <c r="H116" s="814">
        <v>2304</v>
      </c>
      <c r="I116" s="807">
        <v>2304</v>
      </c>
      <c r="J116" s="813">
        <v>2304</v>
      </c>
      <c r="K116" s="305">
        <v>4616</v>
      </c>
      <c r="L116" s="300">
        <f t="shared" si="268"/>
        <v>0.06</v>
      </c>
      <c r="M116" s="1955">
        <f>O116-N116</f>
        <v>0.12</v>
      </c>
      <c r="N116" s="1956">
        <v>0</v>
      </c>
      <c r="O116" s="633">
        <f>'Table 5a'!G105</f>
        <v>0.12</v>
      </c>
      <c r="P116" s="1000">
        <f>R116-Q116</f>
        <v>0.13</v>
      </c>
      <c r="Q116" s="1956">
        <v>0</v>
      </c>
      <c r="R116" s="3080">
        <f>E116*$AO116/1000000</f>
        <v>0.13</v>
      </c>
      <c r="S116" s="2010">
        <v>0</v>
      </c>
      <c r="T116" s="1957">
        <f>V116-U116</f>
        <v>0.13</v>
      </c>
      <c r="U116" s="1956">
        <v>0</v>
      </c>
      <c r="V116" s="3080">
        <f>F116*$AO116/1000000</f>
        <v>0.13</v>
      </c>
      <c r="W116" s="2011">
        <v>0</v>
      </c>
      <c r="X116" s="1955">
        <f>Z116-Y116</f>
        <v>0.13</v>
      </c>
      <c r="Y116" s="299">
        <v>0</v>
      </c>
      <c r="Z116" s="3080">
        <f>G116*$AO116/1000000</f>
        <v>0.13</v>
      </c>
      <c r="AA116" s="2010">
        <v>0</v>
      </c>
      <c r="AB116" s="1957">
        <f>AD116-AC116</f>
        <v>0.13</v>
      </c>
      <c r="AC116" s="1956">
        <v>0</v>
      </c>
      <c r="AD116" s="3080">
        <f>H116*$AO116/1000000</f>
        <v>0.13</v>
      </c>
      <c r="AE116" s="2010">
        <v>0</v>
      </c>
      <c r="AF116" s="1957">
        <f>AH116-AG116</f>
        <v>0.13</v>
      </c>
      <c r="AG116" s="299">
        <v>0</v>
      </c>
      <c r="AH116" s="3080">
        <f>I116*$AO116/1000000</f>
        <v>0.13</v>
      </c>
      <c r="AI116" s="2010">
        <v>0</v>
      </c>
      <c r="AJ116" s="1957">
        <f>AL116-AK116</f>
        <v>0.13</v>
      </c>
      <c r="AK116" s="299">
        <v>0</v>
      </c>
      <c r="AL116" s="3080">
        <f>J116*AO116/1000000</f>
        <v>0.13</v>
      </c>
      <c r="AM116" s="2011">
        <v>0</v>
      </c>
      <c r="AN116" s="300">
        <f t="shared" si="269"/>
        <v>0.08</v>
      </c>
      <c r="AO116" s="2012">
        <f>'Table 5a'!P105</f>
        <v>57</v>
      </c>
      <c r="AP116" s="1957">
        <f>AR116-AQ116</f>
        <v>0.14000000000000001</v>
      </c>
      <c r="AQ116" s="299">
        <v>0</v>
      </c>
      <c r="AR116" s="3080">
        <f t="shared" ref="AR116:AR119" si="302">AL116*1.06</f>
        <v>0.14000000000000001</v>
      </c>
      <c r="AS116" s="2067">
        <v>0</v>
      </c>
      <c r="AU116" s="1959">
        <f t="shared" si="271"/>
        <v>124</v>
      </c>
      <c r="AV116" s="1960">
        <f t="shared" si="272"/>
        <v>0.01</v>
      </c>
    </row>
    <row r="117" spans="1:48">
      <c r="A117" s="3283"/>
      <c r="B117" s="2007" t="s">
        <v>245</v>
      </c>
      <c r="C117" s="2008" t="s">
        <v>246</v>
      </c>
      <c r="D117" s="1953">
        <f>'Table 5a'!L106</f>
        <v>2211</v>
      </c>
      <c r="E117" s="1954">
        <v>2317</v>
      </c>
      <c r="F117" s="814">
        <v>2402</v>
      </c>
      <c r="G117" s="814">
        <v>2489</v>
      </c>
      <c r="H117" s="814">
        <v>2532</v>
      </c>
      <c r="I117" s="807">
        <v>2586</v>
      </c>
      <c r="J117" s="813">
        <v>2651</v>
      </c>
      <c r="K117" s="305">
        <v>9063</v>
      </c>
      <c r="L117" s="300">
        <f t="shared" si="268"/>
        <v>0.2</v>
      </c>
      <c r="M117" s="1955">
        <f>O117-N117</f>
        <v>0.31</v>
      </c>
      <c r="N117" s="1956">
        <v>0</v>
      </c>
      <c r="O117" s="633">
        <f>'Table 5a'!G106</f>
        <v>0.31</v>
      </c>
      <c r="P117" s="1000">
        <f>R117-Q117</f>
        <v>0.31</v>
      </c>
      <c r="Q117" s="1956">
        <v>0</v>
      </c>
      <c r="R117" s="3080">
        <f>E117*$AO117/1000000</f>
        <v>0.31</v>
      </c>
      <c r="S117" s="2010">
        <v>0</v>
      </c>
      <c r="T117" s="1957">
        <f>V117-U117</f>
        <v>0.32</v>
      </c>
      <c r="U117" s="1956">
        <v>0</v>
      </c>
      <c r="V117" s="3080">
        <f>F117*$AO117/1000000</f>
        <v>0.32</v>
      </c>
      <c r="W117" s="2011">
        <v>0</v>
      </c>
      <c r="X117" s="1955">
        <f>Z117-Y117</f>
        <v>0.34</v>
      </c>
      <c r="Y117" s="299">
        <v>0</v>
      </c>
      <c r="Z117" s="3080">
        <f>G117*$AO117/1000000</f>
        <v>0.34</v>
      </c>
      <c r="AA117" s="2010">
        <v>0</v>
      </c>
      <c r="AB117" s="1957">
        <f>AD117-AC117</f>
        <v>0.34</v>
      </c>
      <c r="AC117" s="1956">
        <v>0</v>
      </c>
      <c r="AD117" s="3080">
        <f>H117*$AO117/1000000</f>
        <v>0.34</v>
      </c>
      <c r="AE117" s="2010">
        <v>0</v>
      </c>
      <c r="AF117" s="1957">
        <f>AH117-AG117</f>
        <v>0.35</v>
      </c>
      <c r="AG117" s="299">
        <v>0</v>
      </c>
      <c r="AH117" s="3080">
        <f>I117*$AO117/1000000</f>
        <v>0.35</v>
      </c>
      <c r="AI117" s="2010">
        <v>0</v>
      </c>
      <c r="AJ117" s="1957">
        <f>AL117-AK117</f>
        <v>0.36</v>
      </c>
      <c r="AK117" s="299">
        <v>0</v>
      </c>
      <c r="AL117" s="3080">
        <f>J117*AO117/1000000</f>
        <v>0.36</v>
      </c>
      <c r="AM117" s="2011">
        <v>0</v>
      </c>
      <c r="AN117" s="300">
        <f t="shared" si="269"/>
        <v>0.16</v>
      </c>
      <c r="AO117" s="2012">
        <f>'Table 5a'!P106</f>
        <v>135</v>
      </c>
      <c r="AP117" s="1957">
        <f>AR117-AQ117</f>
        <v>0.38</v>
      </c>
      <c r="AQ117" s="299">
        <v>0</v>
      </c>
      <c r="AR117" s="3080">
        <f t="shared" si="302"/>
        <v>0.38</v>
      </c>
      <c r="AS117" s="3093">
        <v>0</v>
      </c>
      <c r="AU117" s="1959">
        <f t="shared" si="271"/>
        <v>440</v>
      </c>
      <c r="AV117" s="1960">
        <f t="shared" si="272"/>
        <v>0.05</v>
      </c>
    </row>
    <row r="118" spans="1:48">
      <c r="A118" s="3283"/>
      <c r="B118" s="2013" t="s">
        <v>247</v>
      </c>
      <c r="C118" s="2014" t="s">
        <v>248</v>
      </c>
      <c r="D118" s="2015">
        <f>'Table 5a'!L107</f>
        <v>1106</v>
      </c>
      <c r="E118" s="2016">
        <v>1133</v>
      </c>
      <c r="F118" s="2017">
        <v>1133</v>
      </c>
      <c r="G118" s="2017">
        <v>1133</v>
      </c>
      <c r="H118" s="2017">
        <v>1133</v>
      </c>
      <c r="I118" s="2018">
        <v>1133</v>
      </c>
      <c r="J118" s="2019">
        <v>1133</v>
      </c>
      <c r="K118" s="2020">
        <v>5075</v>
      </c>
      <c r="L118" s="996">
        <f t="shared" si="268"/>
        <v>0.02</v>
      </c>
      <c r="M118" s="2021">
        <f>O118-N118</f>
        <v>0.15</v>
      </c>
      <c r="N118" s="2022">
        <v>0</v>
      </c>
      <c r="O118" s="632">
        <f>'Table 5a'!G107</f>
        <v>0.15</v>
      </c>
      <c r="P118" s="1053">
        <f>R118-Q118</f>
        <v>0.15</v>
      </c>
      <c r="Q118" s="2022">
        <v>0</v>
      </c>
      <c r="R118" s="3084">
        <f>E118*$AO118/1000000</f>
        <v>0.15</v>
      </c>
      <c r="S118" s="2024">
        <v>0</v>
      </c>
      <c r="T118" s="2023">
        <f>V118-U118</f>
        <v>0.15</v>
      </c>
      <c r="U118" s="2022">
        <v>0</v>
      </c>
      <c r="V118" s="3084">
        <f>F118*$AO118/1000000</f>
        <v>0.15</v>
      </c>
      <c r="W118" s="2025">
        <v>0</v>
      </c>
      <c r="X118" s="2021">
        <f>Z118-Y118</f>
        <v>0.15</v>
      </c>
      <c r="Y118" s="1857">
        <v>0</v>
      </c>
      <c r="Z118" s="3084">
        <f>G118*$AO118/1000000</f>
        <v>0.15</v>
      </c>
      <c r="AA118" s="2024">
        <v>0</v>
      </c>
      <c r="AB118" s="2023">
        <f>AD118-AC118</f>
        <v>0.15</v>
      </c>
      <c r="AC118" s="2022">
        <v>0</v>
      </c>
      <c r="AD118" s="3084">
        <f>H118*$AO118/1000000</f>
        <v>0.15</v>
      </c>
      <c r="AE118" s="2024">
        <v>0</v>
      </c>
      <c r="AF118" s="2023">
        <f>AH118-AG118</f>
        <v>0.15</v>
      </c>
      <c r="AG118" s="1857">
        <v>0</v>
      </c>
      <c r="AH118" s="3084">
        <f>I118*$AO118/1000000</f>
        <v>0.15</v>
      </c>
      <c r="AI118" s="2024">
        <v>0</v>
      </c>
      <c r="AJ118" s="2023">
        <f>AL118-AK118</f>
        <v>0.15</v>
      </c>
      <c r="AK118" s="1857">
        <v>0</v>
      </c>
      <c r="AL118" s="3084">
        <f>J118*AO118/1000000</f>
        <v>0.15</v>
      </c>
      <c r="AM118" s="2025">
        <v>0</v>
      </c>
      <c r="AN118" s="996">
        <f t="shared" si="269"/>
        <v>0</v>
      </c>
      <c r="AO118" s="2026">
        <f>'Table 5a'!P107</f>
        <v>132</v>
      </c>
      <c r="AP118" s="2023">
        <f>AR118-AQ118</f>
        <v>0.16</v>
      </c>
      <c r="AQ118" s="1857">
        <v>0</v>
      </c>
      <c r="AR118" s="3084">
        <f t="shared" si="302"/>
        <v>0.16</v>
      </c>
      <c r="AS118" s="3090">
        <v>0</v>
      </c>
      <c r="AU118" s="2027">
        <f t="shared" si="271"/>
        <v>27</v>
      </c>
      <c r="AV118" s="2028">
        <f t="shared" si="272"/>
        <v>0</v>
      </c>
    </row>
    <row r="119" spans="1:48" ht="13.5" thickBot="1">
      <c r="A119" s="3284"/>
      <c r="B119" s="2029" t="s">
        <v>249</v>
      </c>
      <c r="C119" s="2030" t="s">
        <v>250</v>
      </c>
      <c r="D119" s="2031">
        <f>'Table 5a'!L108</f>
        <v>177</v>
      </c>
      <c r="E119" s="2032">
        <v>177</v>
      </c>
      <c r="F119" s="2033">
        <v>177</v>
      </c>
      <c r="G119" s="2033">
        <v>177</v>
      </c>
      <c r="H119" s="2033">
        <v>177</v>
      </c>
      <c r="I119" s="2034">
        <v>177</v>
      </c>
      <c r="J119" s="2035">
        <v>177</v>
      </c>
      <c r="K119" s="2036">
        <v>581</v>
      </c>
      <c r="L119" s="216">
        <f t="shared" si="268"/>
        <v>0</v>
      </c>
      <c r="M119" s="2037">
        <f>O119-N119</f>
        <v>0.1</v>
      </c>
      <c r="N119" s="2038">
        <v>0</v>
      </c>
      <c r="O119" s="51">
        <f>'Table 5a'!G108</f>
        <v>0.1</v>
      </c>
      <c r="P119" s="1021">
        <f>R119-Q119</f>
        <v>0.02</v>
      </c>
      <c r="Q119" s="2038">
        <v>0</v>
      </c>
      <c r="R119" s="3078">
        <f>E119*$AO119/1000000</f>
        <v>0.02</v>
      </c>
      <c r="S119" s="2042">
        <v>0</v>
      </c>
      <c r="T119" s="2040">
        <f>V119-U119</f>
        <v>0.02</v>
      </c>
      <c r="U119" s="2038">
        <v>0</v>
      </c>
      <c r="V119" s="3078">
        <f>F119*$AO119/1000000</f>
        <v>0.02</v>
      </c>
      <c r="W119" s="2043">
        <v>0</v>
      </c>
      <c r="X119" s="2037">
        <f>Z119-Y119</f>
        <v>0.02</v>
      </c>
      <c r="Y119" s="1022">
        <v>0</v>
      </c>
      <c r="Z119" s="3078">
        <f>G119*$AO119/1000000</f>
        <v>0.02</v>
      </c>
      <c r="AA119" s="2042">
        <v>0</v>
      </c>
      <c r="AB119" s="2040">
        <f>AD119-AC119</f>
        <v>0.02</v>
      </c>
      <c r="AC119" s="2038">
        <v>0</v>
      </c>
      <c r="AD119" s="3078">
        <f>H119*$AO119/1000000</f>
        <v>0.02</v>
      </c>
      <c r="AE119" s="2042">
        <v>0</v>
      </c>
      <c r="AF119" s="2040">
        <f>AH119-AG119</f>
        <v>0.02</v>
      </c>
      <c r="AG119" s="1022">
        <v>0</v>
      </c>
      <c r="AH119" s="3078">
        <f>I119*$AO119/1000000</f>
        <v>0.02</v>
      </c>
      <c r="AI119" s="2042">
        <v>0</v>
      </c>
      <c r="AJ119" s="2040">
        <f>AL119-AK119</f>
        <v>0.02</v>
      </c>
      <c r="AK119" s="1022">
        <v>0</v>
      </c>
      <c r="AL119" s="3078">
        <f>J119*AO119/1000000</f>
        <v>0.02</v>
      </c>
      <c r="AM119" s="2043">
        <v>0</v>
      </c>
      <c r="AN119" s="216">
        <f t="shared" si="269"/>
        <v>-0.8</v>
      </c>
      <c r="AO119" s="2044">
        <v>94</v>
      </c>
      <c r="AP119" s="2040">
        <f>AR119-AQ119</f>
        <v>0.02</v>
      </c>
      <c r="AQ119" s="1022">
        <v>0</v>
      </c>
      <c r="AR119" s="3078">
        <f t="shared" si="302"/>
        <v>0.02</v>
      </c>
      <c r="AS119" s="3091">
        <v>0</v>
      </c>
      <c r="AU119" s="2045">
        <f t="shared" si="271"/>
        <v>0</v>
      </c>
      <c r="AV119" s="2046">
        <f t="shared" si="272"/>
        <v>-0.08</v>
      </c>
    </row>
    <row r="120" spans="1:48" ht="14.25" thickTop="1" thickBot="1">
      <c r="A120" s="3285"/>
      <c r="B120" s="3277" t="s">
        <v>251</v>
      </c>
      <c r="C120" s="3278"/>
      <c r="D120" s="1978">
        <f>SUM(D116:D119)</f>
        <v>5674</v>
      </c>
      <c r="E120" s="1979">
        <f>SUM(E116:E119)</f>
        <v>5931</v>
      </c>
      <c r="F120" s="1980">
        <f>SUM(F116:F119)</f>
        <v>6016</v>
      </c>
      <c r="G120" s="1980">
        <f t="shared" ref="G120:J120" si="303">SUM(G116:G119)</f>
        <v>6103</v>
      </c>
      <c r="H120" s="1980">
        <f t="shared" si="303"/>
        <v>6146</v>
      </c>
      <c r="I120" s="1981">
        <f t="shared" si="303"/>
        <v>6200</v>
      </c>
      <c r="J120" s="1982">
        <f t="shared" si="303"/>
        <v>6265</v>
      </c>
      <c r="K120" s="1983">
        <f>SUM(K116:K119)</f>
        <v>19335</v>
      </c>
      <c r="L120" s="217">
        <f t="shared" si="268"/>
        <v>0.1</v>
      </c>
      <c r="M120" s="101">
        <f t="shared" ref="M120:AL120" si="304">SUM(M116:M119)</f>
        <v>0.68</v>
      </c>
      <c r="N120" s="1984">
        <f t="shared" si="304"/>
        <v>0</v>
      </c>
      <c r="O120" s="154">
        <f t="shared" si="304"/>
        <v>0.68</v>
      </c>
      <c r="P120" s="100">
        <f t="shared" si="304"/>
        <v>0.61</v>
      </c>
      <c r="Q120" s="1984">
        <f t="shared" si="304"/>
        <v>0</v>
      </c>
      <c r="R120" s="3074">
        <f t="shared" si="304"/>
        <v>0.61</v>
      </c>
      <c r="S120" s="303">
        <f>SUM(S116:S119)</f>
        <v>0</v>
      </c>
      <c r="T120" s="1985">
        <f t="shared" si="304"/>
        <v>0.62</v>
      </c>
      <c r="U120" s="1984">
        <f t="shared" si="304"/>
        <v>0</v>
      </c>
      <c r="V120" s="3074">
        <f t="shared" si="304"/>
        <v>0.62</v>
      </c>
      <c r="W120" s="21">
        <f>SUM(W116:W119)</f>
        <v>0</v>
      </c>
      <c r="X120" s="101">
        <f t="shared" si="304"/>
        <v>0.64</v>
      </c>
      <c r="Y120" s="108">
        <f t="shared" si="304"/>
        <v>0</v>
      </c>
      <c r="Z120" s="3074">
        <f t="shared" si="304"/>
        <v>0.64</v>
      </c>
      <c r="AA120" s="303">
        <f>SUM(AA116:AA119)</f>
        <v>0</v>
      </c>
      <c r="AB120" s="1985">
        <f t="shared" si="304"/>
        <v>0.64</v>
      </c>
      <c r="AC120" s="1984">
        <f t="shared" si="304"/>
        <v>0</v>
      </c>
      <c r="AD120" s="3074">
        <f t="shared" si="304"/>
        <v>0.64</v>
      </c>
      <c r="AE120" s="303">
        <f>SUM(AE116:AE119)</f>
        <v>0</v>
      </c>
      <c r="AF120" s="1985">
        <f t="shared" si="304"/>
        <v>0.65</v>
      </c>
      <c r="AG120" s="108">
        <f t="shared" si="304"/>
        <v>0</v>
      </c>
      <c r="AH120" s="3074">
        <f t="shared" si="304"/>
        <v>0.65</v>
      </c>
      <c r="AI120" s="303">
        <f>SUM(AI116:AI119)</f>
        <v>0</v>
      </c>
      <c r="AJ120" s="1985">
        <f t="shared" si="304"/>
        <v>0.66</v>
      </c>
      <c r="AK120" s="108">
        <f t="shared" si="304"/>
        <v>0</v>
      </c>
      <c r="AL120" s="3074">
        <f t="shared" si="304"/>
        <v>0.66</v>
      </c>
      <c r="AM120" s="21">
        <f>SUM(AM116:AM119)</f>
        <v>0</v>
      </c>
      <c r="AN120" s="217">
        <f t="shared" si="269"/>
        <v>-0.03</v>
      </c>
      <c r="AO120" s="3035" t="s">
        <v>16</v>
      </c>
      <c r="AP120" s="1985">
        <f t="shared" ref="AP120:AR120" si="305">SUM(AP116:AP119)</f>
        <v>0.7</v>
      </c>
      <c r="AQ120" s="108">
        <f t="shared" si="305"/>
        <v>0</v>
      </c>
      <c r="AR120" s="3074">
        <f t="shared" si="305"/>
        <v>0.7</v>
      </c>
      <c r="AS120" s="3099">
        <f>SUM(AS116:AS119)</f>
        <v>0</v>
      </c>
      <c r="AU120" s="1986">
        <f t="shared" si="271"/>
        <v>591</v>
      </c>
      <c r="AV120" s="1987">
        <f t="shared" si="272"/>
        <v>-0.02</v>
      </c>
    </row>
    <row r="121" spans="1:48">
      <c r="A121" s="3283" t="s">
        <v>252</v>
      </c>
      <c r="B121" s="2007" t="s">
        <v>253</v>
      </c>
      <c r="C121" s="2008" t="s">
        <v>254</v>
      </c>
      <c r="D121" s="2047">
        <f>'Table 5a'!L110</f>
        <v>3783</v>
      </c>
      <c r="E121" s="1954">
        <v>3969</v>
      </c>
      <c r="F121" s="814">
        <v>4034</v>
      </c>
      <c r="G121" s="814">
        <v>4088</v>
      </c>
      <c r="H121" s="814">
        <v>4109</v>
      </c>
      <c r="I121" s="807">
        <v>4152</v>
      </c>
      <c r="J121" s="813">
        <v>4200</v>
      </c>
      <c r="K121" s="305">
        <v>16736</v>
      </c>
      <c r="L121" s="300">
        <f t="shared" si="268"/>
        <v>0.11</v>
      </c>
      <c r="M121" s="1955">
        <f>O121-N121</f>
        <v>0.93</v>
      </c>
      <c r="N121" s="1956">
        <v>0</v>
      </c>
      <c r="O121" s="633">
        <f>'Table 5a'!G110</f>
        <v>0.93</v>
      </c>
      <c r="P121" s="1000">
        <f>R121-Q121</f>
        <v>1.04</v>
      </c>
      <c r="Q121" s="1956">
        <v>0</v>
      </c>
      <c r="R121" s="3080">
        <f>E121*$AO121/1000000</f>
        <v>1.04</v>
      </c>
      <c r="S121" s="2010">
        <v>0</v>
      </c>
      <c r="T121" s="1957">
        <f>V121-U121</f>
        <v>1.06</v>
      </c>
      <c r="U121" s="1956">
        <v>0</v>
      </c>
      <c r="V121" s="3080">
        <f>F121*$AO121/1000000</f>
        <v>1.06</v>
      </c>
      <c r="W121" s="2011">
        <v>0</v>
      </c>
      <c r="X121" s="1955">
        <f>Z121-Y121</f>
        <v>1.08</v>
      </c>
      <c r="Y121" s="299">
        <v>0</v>
      </c>
      <c r="Z121" s="3080">
        <f>G121*$AO121/1000000</f>
        <v>1.08</v>
      </c>
      <c r="AA121" s="2010">
        <v>0</v>
      </c>
      <c r="AB121" s="1957">
        <f>AD121-AC121</f>
        <v>1.08</v>
      </c>
      <c r="AC121" s="1956">
        <v>0</v>
      </c>
      <c r="AD121" s="3080">
        <f>H121*$AO121/1000000</f>
        <v>1.08</v>
      </c>
      <c r="AE121" s="2010">
        <v>0</v>
      </c>
      <c r="AF121" s="1957">
        <f>AH121-AG121</f>
        <v>1.0900000000000001</v>
      </c>
      <c r="AG121" s="299">
        <v>0</v>
      </c>
      <c r="AH121" s="3080">
        <f>I121*$AO121/1000000</f>
        <v>1.0900000000000001</v>
      </c>
      <c r="AI121" s="2010">
        <v>0</v>
      </c>
      <c r="AJ121" s="1957">
        <f>AL121-AK121</f>
        <v>1.1000000000000001</v>
      </c>
      <c r="AK121" s="299">
        <v>0</v>
      </c>
      <c r="AL121" s="3080">
        <f>J121*AO121/1000000</f>
        <v>1.1000000000000001</v>
      </c>
      <c r="AM121" s="2011">
        <v>0</v>
      </c>
      <c r="AN121" s="300">
        <f t="shared" si="269"/>
        <v>0.18</v>
      </c>
      <c r="AO121" s="2012">
        <f>'Table 5a'!P110</f>
        <v>263</v>
      </c>
      <c r="AP121" s="1957">
        <f>AR121-AQ121</f>
        <v>1.17</v>
      </c>
      <c r="AQ121" s="299">
        <v>0</v>
      </c>
      <c r="AR121" s="3079">
        <f t="shared" ref="AR121:AR124" si="306">AL121*1.06</f>
        <v>1.17</v>
      </c>
      <c r="AS121" s="2067">
        <v>0</v>
      </c>
      <c r="AU121" s="1959">
        <f t="shared" si="271"/>
        <v>417</v>
      </c>
      <c r="AV121" s="1960">
        <f t="shared" si="272"/>
        <v>0.17</v>
      </c>
    </row>
    <row r="122" spans="1:48">
      <c r="A122" s="3283"/>
      <c r="B122" s="2048" t="s">
        <v>255</v>
      </c>
      <c r="C122" s="2008" t="s">
        <v>256</v>
      </c>
      <c r="D122" s="1953">
        <f>'Table 5a'!L111</f>
        <v>770</v>
      </c>
      <c r="E122" s="1954">
        <v>796</v>
      </c>
      <c r="F122" s="814">
        <v>796</v>
      </c>
      <c r="G122" s="814">
        <v>796</v>
      </c>
      <c r="H122" s="814">
        <v>796</v>
      </c>
      <c r="I122" s="807">
        <v>796</v>
      </c>
      <c r="J122" s="813">
        <v>796</v>
      </c>
      <c r="K122" s="305">
        <v>2040</v>
      </c>
      <c r="L122" s="300">
        <f t="shared" si="268"/>
        <v>0.03</v>
      </c>
      <c r="M122" s="1955">
        <f>O122-N122</f>
        <v>0.1</v>
      </c>
      <c r="N122" s="1956">
        <v>0</v>
      </c>
      <c r="O122" s="633">
        <f>'Table 5a'!G111</f>
        <v>0.1</v>
      </c>
      <c r="P122" s="1000">
        <f>R122-Q122</f>
        <v>0.11</v>
      </c>
      <c r="Q122" s="1956">
        <v>0</v>
      </c>
      <c r="R122" s="3080">
        <f>E122*$AO122/1000000</f>
        <v>0.11</v>
      </c>
      <c r="S122" s="2010">
        <v>0</v>
      </c>
      <c r="T122" s="1957">
        <f>V122-U122</f>
        <v>0.11</v>
      </c>
      <c r="U122" s="1956">
        <v>0</v>
      </c>
      <c r="V122" s="3080">
        <f>F122*$AO122/1000000</f>
        <v>0.11</v>
      </c>
      <c r="W122" s="2011">
        <v>0</v>
      </c>
      <c r="X122" s="1955">
        <f>Z122-Y122</f>
        <v>0.11</v>
      </c>
      <c r="Y122" s="299">
        <v>0</v>
      </c>
      <c r="Z122" s="3080">
        <f>G122*$AO122/1000000</f>
        <v>0.11</v>
      </c>
      <c r="AA122" s="2010">
        <v>0</v>
      </c>
      <c r="AB122" s="1957">
        <f>AD122-AC122</f>
        <v>0.11</v>
      </c>
      <c r="AC122" s="1956">
        <v>0</v>
      </c>
      <c r="AD122" s="3080">
        <f>H122*$AO122/1000000</f>
        <v>0.11</v>
      </c>
      <c r="AE122" s="2010">
        <v>0</v>
      </c>
      <c r="AF122" s="1957">
        <f>AH122-AG122</f>
        <v>0.11</v>
      </c>
      <c r="AG122" s="299">
        <v>0</v>
      </c>
      <c r="AH122" s="3080">
        <f>I122*$AO122/1000000</f>
        <v>0.11</v>
      </c>
      <c r="AI122" s="2010">
        <v>0</v>
      </c>
      <c r="AJ122" s="1957">
        <f>AL122-AK122</f>
        <v>0.11</v>
      </c>
      <c r="AK122" s="299">
        <v>0</v>
      </c>
      <c r="AL122" s="3080">
        <f>J122*AO122/1000000</f>
        <v>0.11</v>
      </c>
      <c r="AM122" s="2011">
        <v>0</v>
      </c>
      <c r="AN122" s="300">
        <f t="shared" si="269"/>
        <v>0.1</v>
      </c>
      <c r="AO122" s="2012">
        <f>'Table 5a'!P111</f>
        <v>142</v>
      </c>
      <c r="AP122" s="1957">
        <f>AR122-AQ122</f>
        <v>0.12</v>
      </c>
      <c r="AQ122" s="299">
        <v>0</v>
      </c>
      <c r="AR122" s="3080">
        <f t="shared" si="306"/>
        <v>0.12</v>
      </c>
      <c r="AS122" s="3090">
        <v>0</v>
      </c>
      <c r="AU122" s="1959">
        <f t="shared" si="271"/>
        <v>26</v>
      </c>
      <c r="AV122" s="1960">
        <f t="shared" si="272"/>
        <v>0.01</v>
      </c>
    </row>
    <row r="123" spans="1:48">
      <c r="A123" s="3283"/>
      <c r="B123" s="2306" t="s">
        <v>257</v>
      </c>
      <c r="C123" s="2307" t="s">
        <v>258</v>
      </c>
      <c r="D123" s="2254">
        <f>'Table 5a'!L112</f>
        <v>331</v>
      </c>
      <c r="E123" s="2255">
        <v>338</v>
      </c>
      <c r="F123" s="76">
        <v>338</v>
      </c>
      <c r="G123" s="76">
        <v>338</v>
      </c>
      <c r="H123" s="76">
        <v>338</v>
      </c>
      <c r="I123" s="2256">
        <v>346</v>
      </c>
      <c r="J123" s="335">
        <v>346</v>
      </c>
      <c r="K123" s="2257">
        <v>1929</v>
      </c>
      <c r="L123" s="215">
        <f t="shared" si="268"/>
        <v>0.05</v>
      </c>
      <c r="M123" s="2299">
        <f>O123-N123</f>
        <v>0.06</v>
      </c>
      <c r="N123" s="2229">
        <v>0</v>
      </c>
      <c r="O123" s="638">
        <f>'Table 5a'!G112</f>
        <v>0.06</v>
      </c>
      <c r="P123" s="2230">
        <f>R123-Q123</f>
        <v>7.0000000000000007E-2</v>
      </c>
      <c r="Q123" s="2229">
        <v>0</v>
      </c>
      <c r="R123" s="3082">
        <f>E123*$AO123/1000000</f>
        <v>7.0000000000000007E-2</v>
      </c>
      <c r="S123" s="2063">
        <v>0</v>
      </c>
      <c r="T123" s="2231">
        <f>V123-U123</f>
        <v>7.0000000000000007E-2</v>
      </c>
      <c r="U123" s="2229">
        <v>0</v>
      </c>
      <c r="V123" s="3108">
        <f>F123*$AO123/1000000</f>
        <v>7.0000000000000007E-2</v>
      </c>
      <c r="W123" s="2067">
        <v>0</v>
      </c>
      <c r="X123" s="2228">
        <f>Z123-Y123</f>
        <v>7.0000000000000007E-2</v>
      </c>
      <c r="Y123" s="2232">
        <v>0</v>
      </c>
      <c r="Z123" s="3108">
        <f>G123*$AO123/1000000</f>
        <v>7.0000000000000007E-2</v>
      </c>
      <c r="AA123" s="2063">
        <v>0</v>
      </c>
      <c r="AB123" s="2231">
        <f>AD123-AC123</f>
        <v>7.0000000000000007E-2</v>
      </c>
      <c r="AC123" s="2229">
        <v>0</v>
      </c>
      <c r="AD123" s="3108">
        <f>H123*$AO123/1000000</f>
        <v>7.0000000000000007E-2</v>
      </c>
      <c r="AE123" s="2063">
        <v>0</v>
      </c>
      <c r="AF123" s="2231">
        <f>AH123-AG123</f>
        <v>7.0000000000000007E-2</v>
      </c>
      <c r="AG123" s="2232">
        <v>0</v>
      </c>
      <c r="AH123" s="3108">
        <f>I123*$AO123/1000000</f>
        <v>7.0000000000000007E-2</v>
      </c>
      <c r="AI123" s="2063">
        <v>0</v>
      </c>
      <c r="AJ123" s="2231">
        <f>AL123-AK123</f>
        <v>7.0000000000000007E-2</v>
      </c>
      <c r="AK123" s="2232">
        <v>0</v>
      </c>
      <c r="AL123" s="3108">
        <f>J123*AO123/1000000</f>
        <v>7.0000000000000007E-2</v>
      </c>
      <c r="AM123" s="2067">
        <v>0</v>
      </c>
      <c r="AN123" s="215">
        <f t="shared" si="269"/>
        <v>0.17</v>
      </c>
      <c r="AO123" s="2174">
        <f>'Table 5a'!P112</f>
        <v>208</v>
      </c>
      <c r="AP123" s="2301">
        <f>AR123-AQ123</f>
        <v>7.0000000000000007E-2</v>
      </c>
      <c r="AQ123" s="2232">
        <v>0</v>
      </c>
      <c r="AR123" s="3082">
        <f t="shared" si="306"/>
        <v>7.0000000000000007E-2</v>
      </c>
      <c r="AS123" s="2067">
        <v>0</v>
      </c>
      <c r="AU123" s="2261">
        <f t="shared" si="271"/>
        <v>15</v>
      </c>
      <c r="AV123" s="2303">
        <f t="shared" si="272"/>
        <v>0.01</v>
      </c>
    </row>
    <row r="124" spans="1:48" ht="13.5" thickBot="1">
      <c r="A124" s="3283"/>
      <c r="B124" s="2177" t="s">
        <v>259</v>
      </c>
      <c r="C124" s="2030" t="s">
        <v>260</v>
      </c>
      <c r="D124" s="2031">
        <f>'Table 5a'!L113</f>
        <v>620</v>
      </c>
      <c r="E124" s="2032">
        <v>660</v>
      </c>
      <c r="F124" s="2033">
        <v>664</v>
      </c>
      <c r="G124" s="2033">
        <v>664</v>
      </c>
      <c r="H124" s="2033">
        <v>664</v>
      </c>
      <c r="I124" s="2034">
        <v>664</v>
      </c>
      <c r="J124" s="2035">
        <v>664</v>
      </c>
      <c r="K124" s="2036">
        <v>1903</v>
      </c>
      <c r="L124" s="216">
        <f t="shared" si="268"/>
        <v>7.0000000000000007E-2</v>
      </c>
      <c r="M124" s="2037">
        <f>O124-N124</f>
        <v>0.05</v>
      </c>
      <c r="N124" s="2038">
        <v>0</v>
      </c>
      <c r="O124" s="51">
        <f>'Table 5a'!G113</f>
        <v>0.05</v>
      </c>
      <c r="P124" s="1021">
        <f>R124-Q124</f>
        <v>0.05</v>
      </c>
      <c r="Q124" s="2038">
        <v>0</v>
      </c>
      <c r="R124" s="3078">
        <f>E124*$AO124/1000000</f>
        <v>0.05</v>
      </c>
      <c r="S124" s="2042">
        <v>0</v>
      </c>
      <c r="T124" s="2040">
        <f>V124-U124</f>
        <v>0.05</v>
      </c>
      <c r="U124" s="2038">
        <v>0</v>
      </c>
      <c r="V124" s="3078">
        <f>F124*$AO124/1000000</f>
        <v>0.05</v>
      </c>
      <c r="W124" s="2043">
        <v>0</v>
      </c>
      <c r="X124" s="2037">
        <f>Z124-Y124</f>
        <v>0.05</v>
      </c>
      <c r="Y124" s="1022">
        <v>0</v>
      </c>
      <c r="Z124" s="3078">
        <f>G124*$AO124/1000000</f>
        <v>0.05</v>
      </c>
      <c r="AA124" s="2042">
        <v>0</v>
      </c>
      <c r="AB124" s="2040">
        <f>AD124-AC124</f>
        <v>0.05</v>
      </c>
      <c r="AC124" s="2038">
        <v>0</v>
      </c>
      <c r="AD124" s="3078">
        <f>H124*$AO124/1000000</f>
        <v>0.05</v>
      </c>
      <c r="AE124" s="2042">
        <v>0</v>
      </c>
      <c r="AF124" s="2040">
        <f>AH124-AG124</f>
        <v>0.05</v>
      </c>
      <c r="AG124" s="1022">
        <v>0</v>
      </c>
      <c r="AH124" s="3078">
        <f>I124*$AO124/1000000</f>
        <v>0.05</v>
      </c>
      <c r="AI124" s="2042">
        <v>0</v>
      </c>
      <c r="AJ124" s="2040">
        <f>AL124-AK124</f>
        <v>0.05</v>
      </c>
      <c r="AK124" s="1022">
        <v>0</v>
      </c>
      <c r="AL124" s="3078">
        <f>J124*AO124/1000000</f>
        <v>0.05</v>
      </c>
      <c r="AM124" s="2043">
        <v>0</v>
      </c>
      <c r="AN124" s="216">
        <f t="shared" si="269"/>
        <v>0</v>
      </c>
      <c r="AO124" s="2044">
        <f>'Table 5a'!P113</f>
        <v>81</v>
      </c>
      <c r="AP124" s="2040">
        <f>AR124-AQ124</f>
        <v>0.05</v>
      </c>
      <c r="AQ124" s="1022">
        <v>0</v>
      </c>
      <c r="AR124" s="3078">
        <f t="shared" si="306"/>
        <v>0.05</v>
      </c>
      <c r="AS124" s="3093">
        <v>0</v>
      </c>
      <c r="AU124" s="2045">
        <f t="shared" si="271"/>
        <v>44</v>
      </c>
      <c r="AV124" s="2046">
        <f t="shared" si="272"/>
        <v>0</v>
      </c>
    </row>
    <row r="125" spans="1:48" ht="14.25" thickTop="1" thickBot="1">
      <c r="A125" s="3285"/>
      <c r="B125" s="3277" t="s">
        <v>261</v>
      </c>
      <c r="C125" s="3278"/>
      <c r="D125" s="1978">
        <f t="shared" ref="D125:K125" si="307">SUM(D121:D124)</f>
        <v>5504</v>
      </c>
      <c r="E125" s="1979">
        <f t="shared" si="307"/>
        <v>5763</v>
      </c>
      <c r="F125" s="1980">
        <f t="shared" si="307"/>
        <v>5832</v>
      </c>
      <c r="G125" s="1980">
        <f t="shared" si="307"/>
        <v>5886</v>
      </c>
      <c r="H125" s="1980">
        <f t="shared" si="307"/>
        <v>5907</v>
      </c>
      <c r="I125" s="1981">
        <f t="shared" si="307"/>
        <v>5958</v>
      </c>
      <c r="J125" s="1982">
        <f t="shared" si="307"/>
        <v>6006</v>
      </c>
      <c r="K125" s="1983">
        <f t="shared" si="307"/>
        <v>22608</v>
      </c>
      <c r="L125" s="217">
        <f t="shared" ref="L125:AL125" si="308">SUM(L121:L124)</f>
        <v>0.26</v>
      </c>
      <c r="M125" s="101">
        <f t="shared" si="308"/>
        <v>1.1399999999999999</v>
      </c>
      <c r="N125" s="1984">
        <f t="shared" si="308"/>
        <v>0</v>
      </c>
      <c r="O125" s="154">
        <f t="shared" si="308"/>
        <v>1.1399999999999999</v>
      </c>
      <c r="P125" s="100">
        <f t="shared" si="308"/>
        <v>1.27</v>
      </c>
      <c r="Q125" s="1984">
        <f t="shared" si="308"/>
        <v>0</v>
      </c>
      <c r="R125" s="3074">
        <f t="shared" si="308"/>
        <v>1.27</v>
      </c>
      <c r="S125" s="303">
        <f>SUM(S121:S124)</f>
        <v>0</v>
      </c>
      <c r="T125" s="1985">
        <f t="shared" si="308"/>
        <v>1.29</v>
      </c>
      <c r="U125" s="1984">
        <f t="shared" si="308"/>
        <v>0</v>
      </c>
      <c r="V125" s="3074">
        <f t="shared" si="308"/>
        <v>1.29</v>
      </c>
      <c r="W125" s="21">
        <f>SUM(W121:W124)</f>
        <v>0</v>
      </c>
      <c r="X125" s="101">
        <f t="shared" si="308"/>
        <v>1.31</v>
      </c>
      <c r="Y125" s="108">
        <f t="shared" si="308"/>
        <v>0</v>
      </c>
      <c r="Z125" s="3074">
        <f t="shared" si="308"/>
        <v>1.31</v>
      </c>
      <c r="AA125" s="303">
        <f>SUM(AA121:AA124)</f>
        <v>0</v>
      </c>
      <c r="AB125" s="1985">
        <f t="shared" si="308"/>
        <v>1.31</v>
      </c>
      <c r="AC125" s="1984">
        <f t="shared" si="308"/>
        <v>0</v>
      </c>
      <c r="AD125" s="3074">
        <f t="shared" si="308"/>
        <v>1.31</v>
      </c>
      <c r="AE125" s="303">
        <f>SUM(AE121:AE124)</f>
        <v>0</v>
      </c>
      <c r="AF125" s="1985">
        <f t="shared" si="308"/>
        <v>1.32</v>
      </c>
      <c r="AG125" s="108">
        <f t="shared" si="308"/>
        <v>0</v>
      </c>
      <c r="AH125" s="3074">
        <f t="shared" si="308"/>
        <v>1.32</v>
      </c>
      <c r="AI125" s="303">
        <f>SUM(AI121:AI124)</f>
        <v>0</v>
      </c>
      <c r="AJ125" s="1985">
        <f t="shared" si="308"/>
        <v>1.33</v>
      </c>
      <c r="AK125" s="108">
        <f t="shared" si="308"/>
        <v>0</v>
      </c>
      <c r="AL125" s="3074">
        <f t="shared" si="308"/>
        <v>1.33</v>
      </c>
      <c r="AM125" s="21">
        <f>SUM(AM121:AM124)</f>
        <v>0</v>
      </c>
      <c r="AN125" s="217">
        <f t="shared" si="269"/>
        <v>0.17</v>
      </c>
      <c r="AO125" s="3035" t="s">
        <v>16</v>
      </c>
      <c r="AP125" s="1985">
        <f t="shared" ref="AP125:AR125" si="309">SUM(AP121:AP124)</f>
        <v>1.41</v>
      </c>
      <c r="AQ125" s="108">
        <f t="shared" si="309"/>
        <v>0</v>
      </c>
      <c r="AR125" s="2546">
        <f t="shared" si="309"/>
        <v>1.41</v>
      </c>
      <c r="AS125" s="3098">
        <f>SUM(AS121:AS124)</f>
        <v>0</v>
      </c>
      <c r="AU125" s="1986">
        <f t="shared" si="271"/>
        <v>502</v>
      </c>
      <c r="AV125" s="1987">
        <f t="shared" si="272"/>
        <v>0.19</v>
      </c>
    </row>
    <row r="126" spans="1:48">
      <c r="A126" s="3274" t="s">
        <v>262</v>
      </c>
      <c r="B126" s="2103" t="s">
        <v>263</v>
      </c>
      <c r="C126" s="2280">
        <v>216835</v>
      </c>
      <c r="D126" s="2015">
        <f>'Table 5a'!L115</f>
        <v>6736</v>
      </c>
      <c r="E126" s="2016">
        <v>6919</v>
      </c>
      <c r="F126" s="2017">
        <v>6919</v>
      </c>
      <c r="G126" s="2017">
        <v>6919</v>
      </c>
      <c r="H126" s="2017">
        <v>6919</v>
      </c>
      <c r="I126" s="2018">
        <v>6919</v>
      </c>
      <c r="J126" s="2019">
        <v>6919</v>
      </c>
      <c r="K126" s="2020">
        <v>12145</v>
      </c>
      <c r="L126" s="215">
        <f t="shared" si="268"/>
        <v>0.03</v>
      </c>
      <c r="M126" s="2216">
        <f>O126-N126</f>
        <v>1.43</v>
      </c>
      <c r="N126" s="2229">
        <v>0</v>
      </c>
      <c r="O126" s="315">
        <f>'Table 5a'!G115</f>
        <v>1.43</v>
      </c>
      <c r="P126" s="2230">
        <f>R126-Q126</f>
        <v>1.49</v>
      </c>
      <c r="Q126" s="2229">
        <v>0</v>
      </c>
      <c r="R126" s="3075">
        <f>E126*$AO126/1000000</f>
        <v>1.49</v>
      </c>
      <c r="S126" s="103">
        <v>0</v>
      </c>
      <c r="T126" s="2231">
        <f>V126-U126</f>
        <v>1.49</v>
      </c>
      <c r="U126" s="2229">
        <v>0</v>
      </c>
      <c r="V126" s="3075">
        <f>F126*$AO126/1000000</f>
        <v>1.49</v>
      </c>
      <c r="W126" s="61">
        <v>0</v>
      </c>
      <c r="X126" s="2228">
        <f>Z126-Y126</f>
        <v>1.49</v>
      </c>
      <c r="Y126" s="2232">
        <v>0</v>
      </c>
      <c r="Z126" s="3075">
        <f>G126*$AO126/1000000</f>
        <v>1.49</v>
      </c>
      <c r="AA126" s="103">
        <v>0</v>
      </c>
      <c r="AB126" s="2231">
        <f>AD126-AC126</f>
        <v>1.49</v>
      </c>
      <c r="AC126" s="2229">
        <v>0</v>
      </c>
      <c r="AD126" s="3075">
        <f>H126*$AO126/1000000</f>
        <v>1.49</v>
      </c>
      <c r="AE126" s="103">
        <v>0</v>
      </c>
      <c r="AF126" s="2231">
        <f>AH126-AG126</f>
        <v>1.49</v>
      </c>
      <c r="AG126" s="2232">
        <v>0</v>
      </c>
      <c r="AH126" s="3075">
        <f>I126*$AO126/1000000</f>
        <v>1.49</v>
      </c>
      <c r="AI126" s="103">
        <v>0</v>
      </c>
      <c r="AJ126" s="2231">
        <f>AL126-AK126</f>
        <v>1.49</v>
      </c>
      <c r="AK126" s="2232">
        <v>0</v>
      </c>
      <c r="AL126" s="3075">
        <f>J126*AO126/1000000</f>
        <v>1.49</v>
      </c>
      <c r="AM126" s="61">
        <v>0</v>
      </c>
      <c r="AN126" s="215">
        <f t="shared" si="269"/>
        <v>0.04</v>
      </c>
      <c r="AO126" s="2308">
        <f>'Table 5a'!P115</f>
        <v>215</v>
      </c>
      <c r="AP126" s="2220">
        <f>AR126-AQ126</f>
        <v>1.58</v>
      </c>
      <c r="AQ126" s="2232">
        <v>0</v>
      </c>
      <c r="AR126" s="3087">
        <f t="shared" ref="AR126:AR128" si="310">AL126*1.06</f>
        <v>1.58</v>
      </c>
      <c r="AS126" s="2067">
        <v>0</v>
      </c>
      <c r="AU126" s="2027">
        <f t="shared" si="271"/>
        <v>183</v>
      </c>
      <c r="AV126" s="2227">
        <f t="shared" si="272"/>
        <v>0.06</v>
      </c>
    </row>
    <row r="127" spans="1:48">
      <c r="A127" s="3275"/>
      <c r="B127" s="2203" t="s">
        <v>264</v>
      </c>
      <c r="C127" s="2206">
        <v>220484</v>
      </c>
      <c r="D127" s="1953">
        <f>'Table 5a'!L116</f>
        <v>3222</v>
      </c>
      <c r="E127" s="1954">
        <v>3412</v>
      </c>
      <c r="F127" s="814">
        <v>3952</v>
      </c>
      <c r="G127" s="814">
        <v>4307</v>
      </c>
      <c r="H127" s="814">
        <v>4662</v>
      </c>
      <c r="I127" s="807">
        <v>4923</v>
      </c>
      <c r="J127" s="813">
        <v>5289</v>
      </c>
      <c r="K127" s="305">
        <v>6192</v>
      </c>
      <c r="L127" s="300">
        <f t="shared" si="268"/>
        <v>0.64</v>
      </c>
      <c r="M127" s="1955">
        <f>O127-N127</f>
        <v>0.26</v>
      </c>
      <c r="N127" s="1956">
        <v>0</v>
      </c>
      <c r="O127" s="633">
        <f>'Table 5a'!G116</f>
        <v>0.26</v>
      </c>
      <c r="P127" s="1000">
        <f>R127-Q127</f>
        <v>0.32</v>
      </c>
      <c r="Q127" s="1956">
        <v>0</v>
      </c>
      <c r="R127" s="3080">
        <f>E127*$AO127/1000000</f>
        <v>0.32</v>
      </c>
      <c r="S127" s="2010">
        <v>0</v>
      </c>
      <c r="T127" s="1957">
        <f>V127-U127</f>
        <v>0.38</v>
      </c>
      <c r="U127" s="1956">
        <v>0</v>
      </c>
      <c r="V127" s="3080">
        <f>F127*$AO127/1000000</f>
        <v>0.38</v>
      </c>
      <c r="W127" s="2011">
        <v>0</v>
      </c>
      <c r="X127" s="1955">
        <f>Z127-Y127</f>
        <v>0.41</v>
      </c>
      <c r="Y127" s="299">
        <v>0</v>
      </c>
      <c r="Z127" s="3080">
        <f>G127*$AO127/1000000</f>
        <v>0.41</v>
      </c>
      <c r="AA127" s="2010">
        <v>0</v>
      </c>
      <c r="AB127" s="1957">
        <f>AD127-AC127</f>
        <v>0.44</v>
      </c>
      <c r="AC127" s="1956">
        <v>0</v>
      </c>
      <c r="AD127" s="3080">
        <f>H127*$AO127/1000000</f>
        <v>0.44</v>
      </c>
      <c r="AE127" s="2010">
        <v>0</v>
      </c>
      <c r="AF127" s="1957">
        <f>AH127-AG127</f>
        <v>0.47</v>
      </c>
      <c r="AG127" s="299">
        <v>0</v>
      </c>
      <c r="AH127" s="3080">
        <f>I127*$AO127/1000000</f>
        <v>0.47</v>
      </c>
      <c r="AI127" s="2010">
        <v>0</v>
      </c>
      <c r="AJ127" s="1957">
        <f>AL127-AK127</f>
        <v>0.5</v>
      </c>
      <c r="AK127" s="299">
        <v>0</v>
      </c>
      <c r="AL127" s="3080">
        <f>J127*AO127/1000000</f>
        <v>0.5</v>
      </c>
      <c r="AM127" s="2011">
        <v>0</v>
      </c>
      <c r="AN127" s="300">
        <f t="shared" si="269"/>
        <v>0.92</v>
      </c>
      <c r="AO127" s="2190">
        <f>'Table 5a'!P116</f>
        <v>95</v>
      </c>
      <c r="AP127" s="1957">
        <f>AR127-AQ127</f>
        <v>0.53</v>
      </c>
      <c r="AQ127" s="299">
        <v>0</v>
      </c>
      <c r="AR127" s="3080">
        <f t="shared" si="310"/>
        <v>0.53</v>
      </c>
      <c r="AS127" s="3090">
        <v>0</v>
      </c>
      <c r="AT127" s="2279"/>
      <c r="AU127" s="1959">
        <f t="shared" si="271"/>
        <v>2067</v>
      </c>
      <c r="AV127" s="1960">
        <f t="shared" si="272"/>
        <v>0.24</v>
      </c>
    </row>
    <row r="128" spans="1:48" ht="13.5" thickBot="1">
      <c r="A128" s="3275"/>
      <c r="B128" s="2283" t="s">
        <v>265</v>
      </c>
      <c r="C128" s="2207">
        <v>221166</v>
      </c>
      <c r="D128" s="2031">
        <f>'Table 5a'!L117</f>
        <v>1233</v>
      </c>
      <c r="E128" s="2032">
        <v>1330</v>
      </c>
      <c r="F128" s="2033">
        <v>1398</v>
      </c>
      <c r="G128" s="2033">
        <v>1470</v>
      </c>
      <c r="H128" s="2033">
        <v>1545</v>
      </c>
      <c r="I128" s="2034">
        <v>1623</v>
      </c>
      <c r="J128" s="2035">
        <v>1623</v>
      </c>
      <c r="K128" s="2036">
        <v>8749</v>
      </c>
      <c r="L128" s="216">
        <f t="shared" si="268"/>
        <v>0.32</v>
      </c>
      <c r="M128" s="2037">
        <f>O128-N128</f>
        <v>0.05</v>
      </c>
      <c r="N128" s="2038">
        <v>0</v>
      </c>
      <c r="O128" s="51">
        <f>'Table 5a'!G117</f>
        <v>0.05</v>
      </c>
      <c r="P128" s="1021">
        <f>R128-Q128</f>
        <v>0.06</v>
      </c>
      <c r="Q128" s="2038">
        <v>0</v>
      </c>
      <c r="R128" s="3078">
        <f>E128*$AO128/1000000</f>
        <v>0.06</v>
      </c>
      <c r="S128" s="2042">
        <v>0</v>
      </c>
      <c r="T128" s="2040">
        <f>V128-U128</f>
        <v>0.06</v>
      </c>
      <c r="U128" s="2038">
        <v>0</v>
      </c>
      <c r="V128" s="3078">
        <f>F128*$AO128/1000000</f>
        <v>0.06</v>
      </c>
      <c r="W128" s="2043">
        <v>0</v>
      </c>
      <c r="X128" s="2037">
        <f>Z128-Y128</f>
        <v>7.0000000000000007E-2</v>
      </c>
      <c r="Y128" s="1022">
        <v>0</v>
      </c>
      <c r="Z128" s="3078">
        <f>G128*$AO128/1000000</f>
        <v>7.0000000000000007E-2</v>
      </c>
      <c r="AA128" s="2042">
        <v>0</v>
      </c>
      <c r="AB128" s="2040">
        <f>AD128-AC128</f>
        <v>7.0000000000000007E-2</v>
      </c>
      <c r="AC128" s="2038">
        <v>0</v>
      </c>
      <c r="AD128" s="3078">
        <f>H128*$AO128/1000000</f>
        <v>7.0000000000000007E-2</v>
      </c>
      <c r="AE128" s="2042">
        <v>0</v>
      </c>
      <c r="AF128" s="2040">
        <f>AH128-AG128</f>
        <v>7.0000000000000007E-2</v>
      </c>
      <c r="AG128" s="1022">
        <v>0</v>
      </c>
      <c r="AH128" s="3078">
        <f>I128*$AO128/1000000</f>
        <v>7.0000000000000007E-2</v>
      </c>
      <c r="AI128" s="2042">
        <v>0</v>
      </c>
      <c r="AJ128" s="2040">
        <f>AL128-AK128</f>
        <v>7.0000000000000007E-2</v>
      </c>
      <c r="AK128" s="1022">
        <v>0</v>
      </c>
      <c r="AL128" s="3078">
        <f>J128*AO128/1000000</f>
        <v>7.0000000000000007E-2</v>
      </c>
      <c r="AM128" s="2043">
        <v>0</v>
      </c>
      <c r="AN128" s="216">
        <f t="shared" si="269"/>
        <v>0.4</v>
      </c>
      <c r="AO128" s="2309">
        <f>'Table 5a'!P117</f>
        <v>45</v>
      </c>
      <c r="AP128" s="2040">
        <f>AR128-AQ128</f>
        <v>7.0000000000000007E-2</v>
      </c>
      <c r="AQ128" s="1022">
        <v>0</v>
      </c>
      <c r="AR128" s="3078">
        <f t="shared" si="310"/>
        <v>7.0000000000000007E-2</v>
      </c>
      <c r="AS128" s="3091">
        <v>0</v>
      </c>
      <c r="AT128" s="2279"/>
      <c r="AU128" s="2045">
        <f t="shared" si="271"/>
        <v>390</v>
      </c>
      <c r="AV128" s="2046">
        <f t="shared" si="272"/>
        <v>0.02</v>
      </c>
    </row>
    <row r="129" spans="1:48" ht="14.25" thickTop="1" thickBot="1">
      <c r="A129" s="3276"/>
      <c r="B129" s="3277" t="s">
        <v>266</v>
      </c>
      <c r="C129" s="3278"/>
      <c r="D129" s="1978">
        <f>SUM(D126:D128)</f>
        <v>11191</v>
      </c>
      <c r="E129" s="1979">
        <f t="shared" ref="E129:J129" si="311">SUM(E126:E128)</f>
        <v>11661</v>
      </c>
      <c r="F129" s="1980">
        <f t="shared" si="311"/>
        <v>12269</v>
      </c>
      <c r="G129" s="1980">
        <f t="shared" si="311"/>
        <v>12696</v>
      </c>
      <c r="H129" s="1980">
        <f t="shared" si="311"/>
        <v>13126</v>
      </c>
      <c r="I129" s="1981">
        <f t="shared" si="311"/>
        <v>13465</v>
      </c>
      <c r="J129" s="1982">
        <f t="shared" si="311"/>
        <v>13831</v>
      </c>
      <c r="K129" s="1983">
        <f>SUM(K126:K128)</f>
        <v>27086</v>
      </c>
      <c r="L129" s="217">
        <f t="shared" si="268"/>
        <v>0.24</v>
      </c>
      <c r="M129" s="101">
        <f t="shared" ref="M129:AM129" si="312">SUM(M126:M128)</f>
        <v>1.74</v>
      </c>
      <c r="N129" s="1984">
        <f t="shared" si="312"/>
        <v>0</v>
      </c>
      <c r="O129" s="647">
        <f t="shared" si="312"/>
        <v>1.74</v>
      </c>
      <c r="P129" s="100">
        <f t="shared" si="312"/>
        <v>1.87</v>
      </c>
      <c r="Q129" s="1984">
        <f t="shared" si="312"/>
        <v>0</v>
      </c>
      <c r="R129" s="3109">
        <f t="shared" si="312"/>
        <v>1.87</v>
      </c>
      <c r="S129" s="2097">
        <f t="shared" ref="S129" si="313">SUM(S126:S128)</f>
        <v>0</v>
      </c>
      <c r="T129" s="1985">
        <f t="shared" si="312"/>
        <v>1.93</v>
      </c>
      <c r="U129" s="1984">
        <f t="shared" si="312"/>
        <v>0</v>
      </c>
      <c r="V129" s="3109">
        <f t="shared" si="312"/>
        <v>1.93</v>
      </c>
      <c r="W129" s="2101">
        <f t="shared" si="312"/>
        <v>0</v>
      </c>
      <c r="X129" s="101">
        <f t="shared" si="312"/>
        <v>1.97</v>
      </c>
      <c r="Y129" s="108">
        <f t="shared" si="312"/>
        <v>0</v>
      </c>
      <c r="Z129" s="3109">
        <f t="shared" si="312"/>
        <v>1.97</v>
      </c>
      <c r="AA129" s="2097">
        <f t="shared" si="312"/>
        <v>0</v>
      </c>
      <c r="AB129" s="1985">
        <f t="shared" si="312"/>
        <v>2</v>
      </c>
      <c r="AC129" s="1984">
        <f t="shared" si="312"/>
        <v>0</v>
      </c>
      <c r="AD129" s="3109">
        <f t="shared" si="312"/>
        <v>2</v>
      </c>
      <c r="AE129" s="2097">
        <f t="shared" si="312"/>
        <v>0</v>
      </c>
      <c r="AF129" s="1985">
        <f t="shared" si="312"/>
        <v>2.0299999999999998</v>
      </c>
      <c r="AG129" s="108">
        <f t="shared" si="312"/>
        <v>0</v>
      </c>
      <c r="AH129" s="3109">
        <f t="shared" si="312"/>
        <v>2.0299999999999998</v>
      </c>
      <c r="AI129" s="2097">
        <f t="shared" si="312"/>
        <v>0</v>
      </c>
      <c r="AJ129" s="1985">
        <f t="shared" si="312"/>
        <v>2.06</v>
      </c>
      <c r="AK129" s="108">
        <f t="shared" si="312"/>
        <v>0</v>
      </c>
      <c r="AL129" s="3109">
        <f t="shared" si="312"/>
        <v>2.06</v>
      </c>
      <c r="AM129" s="2101">
        <f t="shared" si="312"/>
        <v>0</v>
      </c>
      <c r="AN129" s="217">
        <f t="shared" si="269"/>
        <v>0.18</v>
      </c>
      <c r="AO129" s="3041" t="s">
        <v>16</v>
      </c>
      <c r="AP129" s="1985">
        <f t="shared" ref="AP129:AR129" si="314">SUM(AP126:AP128)</f>
        <v>2.1800000000000002</v>
      </c>
      <c r="AQ129" s="108">
        <f t="shared" si="314"/>
        <v>0</v>
      </c>
      <c r="AR129" s="3109">
        <f t="shared" si="314"/>
        <v>2.1800000000000002</v>
      </c>
      <c r="AS129" s="2067">
        <f>SUM(AS126:AS128)</f>
        <v>0</v>
      </c>
      <c r="AT129" s="2279"/>
      <c r="AU129" s="1986">
        <f t="shared" si="271"/>
        <v>2640</v>
      </c>
      <c r="AV129" s="1987">
        <f t="shared" si="272"/>
        <v>0.32</v>
      </c>
    </row>
    <row r="130" spans="1:48" ht="13.5" thickBot="1">
      <c r="A130" s="3271" t="s">
        <v>52</v>
      </c>
      <c r="B130" s="3272"/>
      <c r="C130" s="3273"/>
      <c r="D130" s="1978">
        <f>D111+D113+D115+D120+D125+D129</f>
        <v>26601</v>
      </c>
      <c r="E130" s="1979">
        <f t="shared" ref="E130:K130" si="315">E111+E113+E115+E120+E125+E129</f>
        <v>28121</v>
      </c>
      <c r="F130" s="1980">
        <f t="shared" si="315"/>
        <v>29020</v>
      </c>
      <c r="G130" s="1980">
        <f t="shared" si="315"/>
        <v>29660</v>
      </c>
      <c r="H130" s="1980">
        <f t="shared" si="315"/>
        <v>30177</v>
      </c>
      <c r="I130" s="1981">
        <f t="shared" si="315"/>
        <v>30631</v>
      </c>
      <c r="J130" s="1982">
        <f t="shared" si="315"/>
        <v>31121</v>
      </c>
      <c r="K130" s="1983">
        <f t="shared" si="315"/>
        <v>96937</v>
      </c>
      <c r="L130" s="217">
        <f t="shared" si="268"/>
        <v>0.17</v>
      </c>
      <c r="M130" s="101">
        <f t="shared" ref="M130" si="316">M111+M113+M115+M120+M125+M129</f>
        <v>4.3600000000000003</v>
      </c>
      <c r="N130" s="1984">
        <f t="shared" ref="N130" si="317">N111+N113+N115+N120+N125+N129</f>
        <v>0</v>
      </c>
      <c r="O130" s="647">
        <f t="shared" ref="O130" si="318">O111+O113+O115+O120+O125+O129</f>
        <v>4.3600000000000003</v>
      </c>
      <c r="P130" s="100">
        <f t="shared" ref="P130" si="319">P111+P113+P115+P120+P125+P129</f>
        <v>4.71</v>
      </c>
      <c r="Q130" s="1984">
        <f t="shared" ref="Q130" si="320">Q111+Q113+Q115+Q120+Q125+Q129</f>
        <v>0</v>
      </c>
      <c r="R130" s="3109">
        <f t="shared" ref="R130:S130" si="321">R111+R113+R115+R120+R125+R129</f>
        <v>4.71</v>
      </c>
      <c r="S130" s="2097">
        <f t="shared" si="321"/>
        <v>0</v>
      </c>
      <c r="T130" s="1985">
        <f t="shared" ref="T130" si="322">T111+T113+T115+T120+T125+T129</f>
        <v>4.84</v>
      </c>
      <c r="U130" s="1984">
        <f t="shared" ref="U130" si="323">U111+U113+U115+U120+U125+U129</f>
        <v>0</v>
      </c>
      <c r="V130" s="3109">
        <f t="shared" ref="V130:W130" si="324">V111+V113+V115+V120+V125+V129</f>
        <v>4.84</v>
      </c>
      <c r="W130" s="2101">
        <f t="shared" si="324"/>
        <v>0</v>
      </c>
      <c r="X130" s="101">
        <f t="shared" ref="X130" si="325">X111+X113+X115+X120+X125+X129</f>
        <v>4.95</v>
      </c>
      <c r="Y130" s="108">
        <f t="shared" ref="Y130" si="326">Y111+Y113+Y115+Y120+Y125+Y129</f>
        <v>0</v>
      </c>
      <c r="Z130" s="3109">
        <f t="shared" ref="Z130:AA130" si="327">Z111+Z113+Z115+Z120+Z125+Z129</f>
        <v>4.95</v>
      </c>
      <c r="AA130" s="2097">
        <f t="shared" si="327"/>
        <v>0</v>
      </c>
      <c r="AB130" s="1985">
        <f t="shared" ref="AB130" si="328">AB111+AB113+AB115+AB120+AB125+AB129</f>
        <v>4.9800000000000004</v>
      </c>
      <c r="AC130" s="1984">
        <f t="shared" ref="AC130" si="329">AC111+AC113+AC115+AC120+AC125+AC129</f>
        <v>0</v>
      </c>
      <c r="AD130" s="3109">
        <f t="shared" ref="AD130:AE130" si="330">AD111+AD113+AD115+AD120+AD125+AD129</f>
        <v>4.9800000000000004</v>
      </c>
      <c r="AE130" s="2097">
        <f t="shared" si="330"/>
        <v>0</v>
      </c>
      <c r="AF130" s="1985">
        <f t="shared" ref="AF130" si="331">AF111+AF113+AF115+AF120+AF125+AF129</f>
        <v>5.03</v>
      </c>
      <c r="AG130" s="108">
        <f t="shared" ref="AG130" si="332">AG111+AG113+AG115+AG120+AG125+AG129</f>
        <v>0</v>
      </c>
      <c r="AH130" s="3109">
        <f t="shared" ref="AH130:AI130" si="333">AH111+AH113+AH115+AH120+AH125+AH129</f>
        <v>5.03</v>
      </c>
      <c r="AI130" s="2097">
        <f t="shared" si="333"/>
        <v>0</v>
      </c>
      <c r="AJ130" s="1985">
        <f t="shared" ref="AJ130" si="334">AJ111+AJ113+AJ115+AJ120+AJ125+AJ129</f>
        <v>5.08</v>
      </c>
      <c r="AK130" s="108">
        <f t="shared" ref="AK130" si="335">AK111+AK113+AK115+AK120+AK125+AK129</f>
        <v>0</v>
      </c>
      <c r="AL130" s="3109">
        <f t="shared" ref="AL130:AM130" si="336">AL111+AL113+AL115+AL120+AL125+AL129</f>
        <v>5.08</v>
      </c>
      <c r="AM130" s="2101">
        <f t="shared" si="336"/>
        <v>0</v>
      </c>
      <c r="AN130" s="217">
        <f t="shared" si="269"/>
        <v>0.17</v>
      </c>
      <c r="AO130" s="3041" t="s">
        <v>16</v>
      </c>
      <c r="AP130" s="1985">
        <f t="shared" ref="AP130" si="337">AP111+AP113+AP115+AP120+AP125+AP129</f>
        <v>5.38</v>
      </c>
      <c r="AQ130" s="108">
        <f t="shared" ref="AQ130" si="338">AQ111+AQ113+AQ115+AQ120+AQ125+AQ129</f>
        <v>0</v>
      </c>
      <c r="AR130" s="3109">
        <f t="shared" ref="AR130:AS130" si="339">AR111+AR113+AR115+AR120+AR125+AR129</f>
        <v>5.33</v>
      </c>
      <c r="AS130" s="3127">
        <f t="shared" si="339"/>
        <v>0</v>
      </c>
      <c r="AU130" s="1986">
        <f t="shared" si="271"/>
        <v>4520</v>
      </c>
      <c r="AV130" s="1987">
        <f t="shared" si="272"/>
        <v>0.72</v>
      </c>
    </row>
    <row r="131" spans="1:48">
      <c r="A131" s="54" t="s">
        <v>35</v>
      </c>
      <c r="B131" s="54"/>
      <c r="C131" s="54"/>
      <c r="L131" s="1" t="s">
        <v>36</v>
      </c>
    </row>
    <row r="132" spans="1:48">
      <c r="A132" s="2" t="s">
        <v>222</v>
      </c>
      <c r="B132" s="54"/>
      <c r="C132" s="54"/>
      <c r="D132" s="2296"/>
      <c r="F132" s="2" t="s">
        <v>36</v>
      </c>
      <c r="O132" s="2297"/>
    </row>
    <row r="133" spans="1:48">
      <c r="A133" s="2" t="s">
        <v>69</v>
      </c>
      <c r="B133" s="54"/>
      <c r="C133" s="54"/>
      <c r="P133" s="2228"/>
      <c r="AH133" s="23"/>
      <c r="AI133" s="23"/>
      <c r="AJ133" s="23" t="s">
        <v>36</v>
      </c>
      <c r="AK133" s="23"/>
      <c r="AL133" s="23"/>
      <c r="AM133" s="23"/>
    </row>
    <row r="134" spans="1:48">
      <c r="A134" s="1" t="s">
        <v>223</v>
      </c>
      <c r="B134" s="1"/>
      <c r="C134" s="1"/>
      <c r="E134" s="1"/>
      <c r="F134" s="1"/>
      <c r="G134" s="1"/>
      <c r="H134" s="1"/>
      <c r="I134" s="1"/>
      <c r="J134" s="1"/>
      <c r="P134" s="2228"/>
    </row>
    <row r="135" spans="1:48">
      <c r="A135" s="2" t="s">
        <v>40</v>
      </c>
      <c r="O135" s="23"/>
      <c r="P135" s="23"/>
      <c r="AL135" s="1" t="s">
        <v>36</v>
      </c>
    </row>
    <row r="136" spans="1:48">
      <c r="A136" s="2" t="s">
        <v>267</v>
      </c>
    </row>
    <row r="137" spans="1:48">
      <c r="A137" s="2" t="s">
        <v>268</v>
      </c>
    </row>
    <row r="138" spans="1:48">
      <c r="A138" s="2" t="s">
        <v>269</v>
      </c>
    </row>
    <row r="139" spans="1:48" ht="25.5" customHeight="1">
      <c r="A139" s="3304" t="s">
        <v>270</v>
      </c>
      <c r="B139" s="3304"/>
      <c r="C139" s="3304"/>
      <c r="D139" s="3304"/>
      <c r="E139" s="3304"/>
      <c r="F139" s="3304"/>
      <c r="G139" s="3304"/>
      <c r="H139" s="3304"/>
      <c r="I139" s="3304"/>
      <c r="J139" s="3304"/>
      <c r="K139" s="3304"/>
      <c r="L139" s="3304"/>
      <c r="M139" s="3304"/>
      <c r="N139" s="3304"/>
      <c r="O139" s="3304"/>
      <c r="P139" s="3304"/>
      <c r="Q139" s="3304"/>
      <c r="R139" s="3304"/>
      <c r="S139" s="3304"/>
      <c r="T139" s="3304"/>
      <c r="U139" s="3304"/>
      <c r="V139" s="3304"/>
      <c r="W139" s="3304"/>
      <c r="X139" s="3304"/>
      <c r="Y139" s="3304"/>
      <c r="Z139" s="3304"/>
      <c r="AA139" s="3304"/>
      <c r="AB139" s="3304"/>
      <c r="AC139" s="3304"/>
      <c r="AD139" s="3304"/>
      <c r="AE139" s="3304"/>
      <c r="AF139" s="3304"/>
      <c r="AG139" s="3304"/>
      <c r="AH139" s="3304"/>
      <c r="AI139" s="3304"/>
      <c r="AJ139" s="3304"/>
      <c r="AK139" s="3304"/>
      <c r="AL139" s="3304"/>
      <c r="AM139" s="3304"/>
      <c r="AN139" s="3304"/>
      <c r="AO139" s="3304"/>
      <c r="AP139" s="3304"/>
      <c r="AQ139" s="3304"/>
      <c r="AR139" s="3304"/>
      <c r="AS139" s="3025"/>
    </row>
  </sheetData>
  <mergeCells count="94">
    <mergeCell ref="P2:AM2"/>
    <mergeCell ref="P3:S3"/>
    <mergeCell ref="AV2:AV4"/>
    <mergeCell ref="AU104:AU106"/>
    <mergeCell ref="AV104:AV106"/>
    <mergeCell ref="AJ3:AM3"/>
    <mergeCell ref="AP2:AS2"/>
    <mergeCell ref="AP3:AS3"/>
    <mergeCell ref="AP104:AS104"/>
    <mergeCell ref="AP105:AS105"/>
    <mergeCell ref="AB105:AE105"/>
    <mergeCell ref="A2:A4"/>
    <mergeCell ref="AU2:AU4"/>
    <mergeCell ref="C2:C4"/>
    <mergeCell ref="E2:J3"/>
    <mergeCell ref="B2:B4"/>
    <mergeCell ref="AO2:AO4"/>
    <mergeCell ref="K2:K4"/>
    <mergeCell ref="D2:D3"/>
    <mergeCell ref="L2:L4"/>
    <mergeCell ref="AN2:AN4"/>
    <mergeCell ref="M2:O2"/>
    <mergeCell ref="M3:O3"/>
    <mergeCell ref="T3:W3"/>
    <mergeCell ref="X3:AA3"/>
    <mergeCell ref="AB3:AE3"/>
    <mergeCell ref="AF3:AI3"/>
    <mergeCell ref="A139:AR139"/>
    <mergeCell ref="A5:A10"/>
    <mergeCell ref="B10:C10"/>
    <mergeCell ref="A17:A19"/>
    <mergeCell ref="B19:C19"/>
    <mergeCell ref="B30:C30"/>
    <mergeCell ref="A11:A16"/>
    <mergeCell ref="B24:C24"/>
    <mergeCell ref="A20:A21"/>
    <mergeCell ref="B21:C21"/>
    <mergeCell ref="B65:C65"/>
    <mergeCell ref="A60:A65"/>
    <mergeCell ref="B73:C73"/>
    <mergeCell ref="B59:C59"/>
    <mergeCell ref="B16:C16"/>
    <mergeCell ref="B33:C33"/>
    <mergeCell ref="A22:A24"/>
    <mergeCell ref="A89:C89"/>
    <mergeCell ref="B54:C54"/>
    <mergeCell ref="A52:A54"/>
    <mergeCell ref="A82:A86"/>
    <mergeCell ref="A66:A73"/>
    <mergeCell ref="A25:A30"/>
    <mergeCell ref="A31:A33"/>
    <mergeCell ref="A55:A59"/>
    <mergeCell ref="B81:C81"/>
    <mergeCell ref="A74:A81"/>
    <mergeCell ref="A101:AR101"/>
    <mergeCell ref="A90:C90"/>
    <mergeCell ref="A91:C91"/>
    <mergeCell ref="AN104:AN106"/>
    <mergeCell ref="P105:S105"/>
    <mergeCell ref="P104:AM104"/>
    <mergeCell ref="AJ105:AM105"/>
    <mergeCell ref="AF105:AI105"/>
    <mergeCell ref="A104:A106"/>
    <mergeCell ref="B104:B106"/>
    <mergeCell ref="X105:AA105"/>
    <mergeCell ref="T105:W105"/>
    <mergeCell ref="L104:L106"/>
    <mergeCell ref="A112:A113"/>
    <mergeCell ref="A114:A115"/>
    <mergeCell ref="B113:C113"/>
    <mergeCell ref="B115:C115"/>
    <mergeCell ref="A34:A42"/>
    <mergeCell ref="B42:C42"/>
    <mergeCell ref="B51:C51"/>
    <mergeCell ref="B88:C88"/>
    <mergeCell ref="A87:A88"/>
    <mergeCell ref="A43:A51"/>
    <mergeCell ref="B86:C86"/>
    <mergeCell ref="A130:C130"/>
    <mergeCell ref="A126:A129"/>
    <mergeCell ref="B129:C129"/>
    <mergeCell ref="AO104:AO106"/>
    <mergeCell ref="M105:O105"/>
    <mergeCell ref="B120:C120"/>
    <mergeCell ref="B111:C111"/>
    <mergeCell ref="A107:A111"/>
    <mergeCell ref="A116:A120"/>
    <mergeCell ref="B125:C125"/>
    <mergeCell ref="A121:A125"/>
    <mergeCell ref="M104:O104"/>
    <mergeCell ref="C104:C106"/>
    <mergeCell ref="D104:D105"/>
    <mergeCell ref="E104:J105"/>
    <mergeCell ref="K104:K106"/>
  </mergeCells>
  <pageMargins left="0.7" right="0.7" top="0.75" bottom="0.75" header="0.3" footer="0.3"/>
  <pageSetup paperSize="3" scale="47" fitToHeight="0" pageOrder="overThenDown" orientation="landscape" r:id="rId1"/>
  <rowBreaks count="1" manualBreakCount="1">
    <brk id="101"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24"/>
  <sheetViews>
    <sheetView zoomScale="90" zoomScaleNormal="90" workbookViewId="0">
      <pane xSplit="5" ySplit="3" topLeftCell="F4" activePane="bottomRight" state="frozen"/>
      <selection pane="bottomRight" activeCell="P120" sqref="P120"/>
      <selection pane="bottomLeft" activeCell="A4" sqref="A4"/>
      <selection pane="topRight" activeCell="F1" sqref="F1"/>
    </sheetView>
  </sheetViews>
  <sheetFormatPr defaultColWidth="9.140625" defaultRowHeight="12.75"/>
  <cols>
    <col min="1" max="1" width="13.42578125" style="78" customWidth="1"/>
    <col min="2" max="2" width="39" style="78" customWidth="1"/>
    <col min="3" max="3" width="39.28515625" style="78" customWidth="1"/>
    <col min="4" max="4" width="38" style="78" customWidth="1"/>
    <col min="5" max="5" width="13" style="78" customWidth="1"/>
    <col min="6" max="10" width="8.85546875" style="2467" customWidth="1"/>
    <col min="11" max="15" width="10.28515625" style="2" customWidth="1"/>
    <col min="16" max="16" width="11.7109375" style="2" customWidth="1"/>
    <col min="17" max="17" width="27.140625" style="78" customWidth="1"/>
    <col min="18" max="16384" width="9.140625" style="2"/>
  </cols>
  <sheetData>
    <row r="1" spans="1:17" ht="28.5" customHeight="1" thickBot="1">
      <c r="A1" s="3224" t="s">
        <v>271</v>
      </c>
      <c r="B1" s="3224"/>
      <c r="C1" s="3224"/>
      <c r="D1" s="3224"/>
      <c r="E1" s="3224"/>
      <c r="F1" s="3224"/>
      <c r="G1" s="3224"/>
      <c r="H1" s="3224"/>
      <c r="I1" s="3224"/>
      <c r="J1" s="3224"/>
      <c r="K1" s="3224"/>
      <c r="L1" s="3224"/>
      <c r="M1" s="3224"/>
      <c r="N1" s="3224"/>
      <c r="O1" s="3224"/>
      <c r="P1" s="3224"/>
      <c r="Q1" s="3224"/>
    </row>
    <row r="2" spans="1:17" ht="21.75" customHeight="1">
      <c r="A2" s="3212" t="s">
        <v>272</v>
      </c>
      <c r="B2" s="3213" t="s">
        <v>273</v>
      </c>
      <c r="C2" s="3219" t="s">
        <v>86</v>
      </c>
      <c r="D2" s="3215" t="s">
        <v>274</v>
      </c>
      <c r="E2" s="3209" t="s">
        <v>85</v>
      </c>
      <c r="F2" s="3332" t="s">
        <v>55</v>
      </c>
      <c r="G2" s="3332"/>
      <c r="H2" s="3332"/>
      <c r="I2" s="3332"/>
      <c r="J2" s="3333"/>
      <c r="K2" s="3334" t="s">
        <v>275</v>
      </c>
      <c r="L2" s="3334"/>
      <c r="M2" s="3334"/>
      <c r="N2" s="3334"/>
      <c r="O2" s="3335"/>
      <c r="P2" s="3238" t="s">
        <v>276</v>
      </c>
      <c r="Q2" s="3209" t="s">
        <v>277</v>
      </c>
    </row>
    <row r="3" spans="1:17" s="67" customFormat="1" ht="21.75" customHeight="1" thickBot="1">
      <c r="A3" s="3330"/>
      <c r="B3" s="3331"/>
      <c r="C3" s="3328"/>
      <c r="D3" s="3329"/>
      <c r="E3" s="3211"/>
      <c r="F3" s="2310">
        <v>2014</v>
      </c>
      <c r="G3" s="2310">
        <v>2015</v>
      </c>
      <c r="H3" s="2310">
        <v>2016</v>
      </c>
      <c r="I3" s="2311">
        <v>2017</v>
      </c>
      <c r="J3" s="2312">
        <v>2018</v>
      </c>
      <c r="K3" s="2310">
        <v>2014</v>
      </c>
      <c r="L3" s="2310">
        <v>2015</v>
      </c>
      <c r="M3" s="2313">
        <v>2016</v>
      </c>
      <c r="N3" s="2310">
        <v>2017</v>
      </c>
      <c r="O3" s="2314">
        <v>2018</v>
      </c>
      <c r="P3" s="3240"/>
      <c r="Q3" s="3211"/>
    </row>
    <row r="4" spans="1:17">
      <c r="A4" s="2315">
        <v>1674</v>
      </c>
      <c r="B4" s="2316" t="s">
        <v>95</v>
      </c>
      <c r="C4" s="2317" t="s">
        <v>95</v>
      </c>
      <c r="D4" s="2318"/>
      <c r="E4" s="79" t="s">
        <v>278</v>
      </c>
      <c r="F4" s="75">
        <v>0.158</v>
      </c>
      <c r="G4" s="75">
        <v>0.13900000000000001</v>
      </c>
      <c r="H4" s="75">
        <v>0.159</v>
      </c>
      <c r="I4" s="269">
        <v>9.1999999999999998E-2</v>
      </c>
      <c r="J4" s="177">
        <v>0.11799999999999999</v>
      </c>
      <c r="K4" s="76">
        <v>1508</v>
      </c>
      <c r="L4" s="2256">
        <v>1508</v>
      </c>
      <c r="M4" s="2256">
        <v>1508</v>
      </c>
      <c r="N4" s="76">
        <v>1510</v>
      </c>
      <c r="O4" s="2319">
        <v>1530</v>
      </c>
      <c r="P4" s="2254">
        <f t="shared" ref="P4:P28" si="0">SUM(F4:J4)/SUM(K4:O4)*1000000</f>
        <v>88</v>
      </c>
      <c r="Q4" s="79"/>
    </row>
    <row r="5" spans="1:17">
      <c r="A5" s="2321">
        <v>11339</v>
      </c>
      <c r="B5" s="2322" t="s">
        <v>279</v>
      </c>
      <c r="C5" s="2192" t="s">
        <v>279</v>
      </c>
      <c r="D5" s="2323" t="s">
        <v>280</v>
      </c>
      <c r="E5" s="309" t="s">
        <v>278</v>
      </c>
      <c r="F5" s="819">
        <v>20.295000000000002</v>
      </c>
      <c r="G5" s="819">
        <v>20.757000000000001</v>
      </c>
      <c r="H5" s="819">
        <v>21.93</v>
      </c>
      <c r="I5" s="817">
        <v>22.038</v>
      </c>
      <c r="J5" s="818">
        <v>20.388999999999999</v>
      </c>
      <c r="K5" s="814">
        <v>181468</v>
      </c>
      <c r="L5" s="807">
        <v>183762</v>
      </c>
      <c r="M5" s="807">
        <v>183762</v>
      </c>
      <c r="N5" s="814">
        <v>185788</v>
      </c>
      <c r="O5" s="2319">
        <v>187646</v>
      </c>
      <c r="P5" s="2254">
        <f t="shared" si="0"/>
        <v>114</v>
      </c>
      <c r="Q5" s="1195"/>
    </row>
    <row r="6" spans="1:17">
      <c r="A6" s="2321">
        <v>11343</v>
      </c>
      <c r="B6" s="2322" t="s">
        <v>97</v>
      </c>
      <c r="C6" s="2192" t="s">
        <v>97</v>
      </c>
      <c r="D6" s="2323" t="s">
        <v>281</v>
      </c>
      <c r="E6" s="309" t="s">
        <v>278</v>
      </c>
      <c r="F6" s="819">
        <v>7.4999999999999997E-2</v>
      </c>
      <c r="G6" s="819">
        <v>8.5000000000000006E-2</v>
      </c>
      <c r="H6" s="819">
        <v>9.2999999999999999E-2</v>
      </c>
      <c r="I6" s="817">
        <v>0.104</v>
      </c>
      <c r="J6" s="818">
        <v>0.13900000000000001</v>
      </c>
      <c r="K6" s="814">
        <v>606</v>
      </c>
      <c r="L6" s="807">
        <v>620</v>
      </c>
      <c r="M6" s="807">
        <v>620</v>
      </c>
      <c r="N6" s="814">
        <v>620</v>
      </c>
      <c r="O6" s="2319">
        <v>620</v>
      </c>
      <c r="P6" s="2254">
        <f t="shared" si="0"/>
        <v>161</v>
      </c>
      <c r="Q6" s="309"/>
    </row>
    <row r="7" spans="1:17">
      <c r="A7" s="2321">
        <v>11356</v>
      </c>
      <c r="B7" s="2322" t="s">
        <v>98</v>
      </c>
      <c r="C7" s="2192" t="s">
        <v>98</v>
      </c>
      <c r="D7" s="2323"/>
      <c r="E7" s="309" t="s">
        <v>278</v>
      </c>
      <c r="F7" s="819">
        <v>0.06</v>
      </c>
      <c r="G7" s="819">
        <v>5.8999999999999997E-2</v>
      </c>
      <c r="H7" s="819">
        <v>6.0999999999999999E-2</v>
      </c>
      <c r="I7" s="817">
        <v>0.06</v>
      </c>
      <c r="J7" s="818">
        <v>5.0999999999999997E-2</v>
      </c>
      <c r="K7" s="814">
        <v>824</v>
      </c>
      <c r="L7" s="807">
        <v>824</v>
      </c>
      <c r="M7" s="807">
        <v>824</v>
      </c>
      <c r="N7" s="814">
        <v>824</v>
      </c>
      <c r="O7" s="2319">
        <v>824</v>
      </c>
      <c r="P7" s="2254">
        <f t="shared" si="0"/>
        <v>71</v>
      </c>
      <c r="Q7" s="309"/>
    </row>
    <row r="8" spans="1:17" ht="13.5" customHeight="1" thickBot="1">
      <c r="A8" s="2325" t="s">
        <v>100</v>
      </c>
      <c r="B8" s="2326" t="s">
        <v>99</v>
      </c>
      <c r="C8" s="2327" t="s">
        <v>99</v>
      </c>
      <c r="D8" s="2328" t="s">
        <v>282</v>
      </c>
      <c r="E8" s="80" t="s">
        <v>278</v>
      </c>
      <c r="F8" s="746">
        <v>7.9000000000000001E-2</v>
      </c>
      <c r="G8" s="746">
        <v>8.5000000000000006E-2</v>
      </c>
      <c r="H8" s="746">
        <v>0.10199999999999999</v>
      </c>
      <c r="I8" s="817">
        <v>0.09</v>
      </c>
      <c r="J8" s="2329">
        <v>9.9000000000000005E-2</v>
      </c>
      <c r="K8" s="2033">
        <v>1266</v>
      </c>
      <c r="L8" s="2034">
        <v>1266</v>
      </c>
      <c r="M8" s="807">
        <v>1195</v>
      </c>
      <c r="N8" s="814">
        <v>1195</v>
      </c>
      <c r="O8" s="2330">
        <v>1195</v>
      </c>
      <c r="P8" s="2031">
        <f t="shared" si="0"/>
        <v>74</v>
      </c>
      <c r="Q8" s="80"/>
    </row>
    <row r="9" spans="1:17" ht="15.75" customHeight="1" thickTop="1" thickBot="1">
      <c r="A9" s="3321" t="s">
        <v>101</v>
      </c>
      <c r="B9" s="3486"/>
      <c r="C9" s="3486"/>
      <c r="D9" s="3486"/>
      <c r="E9" s="3487"/>
      <c r="F9" s="1398">
        <f t="shared" ref="F9:N9" si="1">SUM(F4:F8)</f>
        <v>20.667000000000002</v>
      </c>
      <c r="G9" s="1398">
        <f t="shared" si="1"/>
        <v>21.125</v>
      </c>
      <c r="H9" s="1265">
        <f t="shared" si="1"/>
        <v>22.344999999999999</v>
      </c>
      <c r="I9" s="2494">
        <f t="shared" si="1"/>
        <v>22.384</v>
      </c>
      <c r="J9" s="1402">
        <f>SUM(J4:J8)</f>
        <v>20.795999999999999</v>
      </c>
      <c r="K9" s="2334">
        <f t="shared" si="1"/>
        <v>185672</v>
      </c>
      <c r="L9" s="2334">
        <f t="shared" si="1"/>
        <v>187980</v>
      </c>
      <c r="M9" s="2335">
        <f t="shared" si="1"/>
        <v>187909</v>
      </c>
      <c r="N9" s="2334">
        <f t="shared" si="1"/>
        <v>189937</v>
      </c>
      <c r="O9" s="2336">
        <f>SUM(O4:O8)</f>
        <v>191815</v>
      </c>
      <c r="P9" s="2337">
        <f t="shared" si="0"/>
        <v>114</v>
      </c>
      <c r="Q9" s="1195"/>
    </row>
    <row r="10" spans="1:17">
      <c r="A10" s="2339">
        <v>216450</v>
      </c>
      <c r="B10" s="750" t="s">
        <v>283</v>
      </c>
      <c r="C10" s="750" t="s">
        <v>283</v>
      </c>
      <c r="D10" s="2340" t="s">
        <v>284</v>
      </c>
      <c r="E10" s="2341" t="s">
        <v>278</v>
      </c>
      <c r="F10" s="83">
        <v>0.495</v>
      </c>
      <c r="G10" s="83">
        <v>0.52100000000000002</v>
      </c>
      <c r="H10" s="83">
        <v>0.55100000000000005</v>
      </c>
      <c r="I10" s="289">
        <v>0.57399999999999995</v>
      </c>
      <c r="J10" s="132">
        <v>0.59099999999999997</v>
      </c>
      <c r="K10" s="2495">
        <v>4245</v>
      </c>
      <c r="L10" s="2495">
        <v>4251</v>
      </c>
      <c r="M10" s="2342">
        <v>4463</v>
      </c>
      <c r="N10" s="2343">
        <v>4638</v>
      </c>
      <c r="O10" s="2344">
        <v>4696</v>
      </c>
      <c r="P10" s="2047">
        <f t="shared" si="0"/>
        <v>123</v>
      </c>
      <c r="Q10" s="81"/>
    </row>
    <row r="11" spans="1:17">
      <c r="A11" s="2345">
        <v>216647</v>
      </c>
      <c r="B11" s="810" t="s">
        <v>285</v>
      </c>
      <c r="C11" s="810" t="s">
        <v>285</v>
      </c>
      <c r="D11" s="2347" t="s">
        <v>286</v>
      </c>
      <c r="E11" s="2324" t="s">
        <v>278</v>
      </c>
      <c r="F11" s="819">
        <v>0.11</v>
      </c>
      <c r="G11" s="819">
        <v>0.13500000000000001</v>
      </c>
      <c r="H11" s="819">
        <v>0.11700000000000001</v>
      </c>
      <c r="I11" s="817">
        <v>0.114</v>
      </c>
      <c r="J11" s="818">
        <v>0.128</v>
      </c>
      <c r="K11" s="2496">
        <v>1246</v>
      </c>
      <c r="L11" s="2496">
        <v>1273</v>
      </c>
      <c r="M11" s="2350">
        <v>1282</v>
      </c>
      <c r="N11" s="2351">
        <v>1284</v>
      </c>
      <c r="O11" s="2352">
        <v>1303</v>
      </c>
      <c r="P11" s="2254">
        <f t="shared" si="0"/>
        <v>95</v>
      </c>
      <c r="Q11" s="309"/>
    </row>
    <row r="12" spans="1:17">
      <c r="A12" s="2345">
        <v>216833</v>
      </c>
      <c r="B12" s="810" t="s">
        <v>287</v>
      </c>
      <c r="C12" s="810" t="s">
        <v>287</v>
      </c>
      <c r="D12" s="2347" t="s">
        <v>288</v>
      </c>
      <c r="E12" s="2324" t="s">
        <v>278</v>
      </c>
      <c r="F12" s="819">
        <v>0.40899999999999997</v>
      </c>
      <c r="G12" s="819">
        <v>0.45500000000000002</v>
      </c>
      <c r="H12" s="819">
        <v>0.503</v>
      </c>
      <c r="I12" s="817">
        <v>0.55600000000000005</v>
      </c>
      <c r="J12" s="818">
        <v>0.57999999999999996</v>
      </c>
      <c r="K12" s="2496">
        <v>5675</v>
      </c>
      <c r="L12" s="2496">
        <v>5684</v>
      </c>
      <c r="M12" s="2350">
        <v>6093</v>
      </c>
      <c r="N12" s="2351">
        <v>6155</v>
      </c>
      <c r="O12" s="2352">
        <v>6221</v>
      </c>
      <c r="P12" s="2254">
        <f t="shared" si="0"/>
        <v>84</v>
      </c>
      <c r="Q12" s="309"/>
    </row>
    <row r="13" spans="1:17">
      <c r="A13" s="2353">
        <v>217300</v>
      </c>
      <c r="B13" s="2497" t="s">
        <v>289</v>
      </c>
      <c r="C13" s="2497" t="s">
        <v>289</v>
      </c>
      <c r="D13" s="2355" t="s">
        <v>290</v>
      </c>
      <c r="E13" s="2356" t="s">
        <v>278</v>
      </c>
      <c r="F13" s="2395">
        <v>6.5000000000000002E-2</v>
      </c>
      <c r="G13" s="2395">
        <v>6.2E-2</v>
      </c>
      <c r="H13" s="2395">
        <v>6.7000000000000004E-2</v>
      </c>
      <c r="I13" s="2396">
        <v>7.0999999999999994E-2</v>
      </c>
      <c r="J13" s="2329">
        <v>7.2999999999999995E-2</v>
      </c>
      <c r="K13" s="2498">
        <v>966</v>
      </c>
      <c r="L13" s="2498">
        <v>947</v>
      </c>
      <c r="M13" s="2357">
        <v>955</v>
      </c>
      <c r="N13" s="2358">
        <v>947</v>
      </c>
      <c r="O13" s="2359">
        <v>960</v>
      </c>
      <c r="P13" s="2015">
        <f t="shared" si="0"/>
        <v>71</v>
      </c>
      <c r="Q13" s="2360"/>
    </row>
    <row r="14" spans="1:17" ht="13.5" thickBot="1">
      <c r="A14" s="2361">
        <v>220667</v>
      </c>
      <c r="B14" s="2450" t="s">
        <v>291</v>
      </c>
      <c r="C14" s="2450" t="s">
        <v>291</v>
      </c>
      <c r="D14" s="2363" t="s">
        <v>292</v>
      </c>
      <c r="E14" s="2331" t="s">
        <v>278</v>
      </c>
      <c r="F14" s="746">
        <v>1.131</v>
      </c>
      <c r="G14" s="746">
        <v>1.17</v>
      </c>
      <c r="H14" s="746">
        <v>1.2749999999999999</v>
      </c>
      <c r="I14" s="869">
        <v>1.17</v>
      </c>
      <c r="J14" s="747">
        <v>1.2070000000000001</v>
      </c>
      <c r="K14" s="2499">
        <v>9665</v>
      </c>
      <c r="L14" s="2499">
        <v>9665</v>
      </c>
      <c r="M14" s="2366">
        <v>9873</v>
      </c>
      <c r="N14" s="2367">
        <v>10027</v>
      </c>
      <c r="O14" s="2368">
        <v>10155</v>
      </c>
      <c r="P14" s="2031">
        <f t="shared" ref="P14" si="2">SUM(F14:J14)/SUM(K14:O14)*1000000</f>
        <v>121</v>
      </c>
      <c r="Q14" s="80"/>
    </row>
    <row r="15" spans="1:17" ht="15.75" customHeight="1" thickTop="1" thickBot="1">
      <c r="A15" s="3236" t="s">
        <v>293</v>
      </c>
      <c r="B15" s="3324"/>
      <c r="C15" s="3324"/>
      <c r="D15" s="3324"/>
      <c r="E15" s="3237"/>
      <c r="F15" s="280">
        <f>SUM(F10:F14)</f>
        <v>2.21</v>
      </c>
      <c r="G15" s="280">
        <f t="shared" ref="G15:O15" si="3">SUM(G10:G14)</f>
        <v>2.343</v>
      </c>
      <c r="H15" s="280">
        <f t="shared" si="3"/>
        <v>2.5129999999999999</v>
      </c>
      <c r="I15" s="85">
        <f t="shared" si="3"/>
        <v>2.4849999999999999</v>
      </c>
      <c r="J15" s="2381">
        <f t="shared" si="3"/>
        <v>2.5790000000000002</v>
      </c>
      <c r="K15" s="1980">
        <f t="shared" si="3"/>
        <v>21797</v>
      </c>
      <c r="L15" s="1980">
        <f t="shared" si="3"/>
        <v>21820</v>
      </c>
      <c r="M15" s="1981">
        <f t="shared" si="3"/>
        <v>22666</v>
      </c>
      <c r="N15" s="1980">
        <f t="shared" si="3"/>
        <v>23051</v>
      </c>
      <c r="O15" s="2371">
        <f t="shared" si="3"/>
        <v>23335</v>
      </c>
      <c r="P15" s="1978">
        <f t="shared" si="0"/>
        <v>108</v>
      </c>
      <c r="Q15" s="2372"/>
    </row>
    <row r="16" spans="1:17">
      <c r="A16" s="2373">
        <v>15</v>
      </c>
      <c r="B16" s="2374" t="s">
        <v>110</v>
      </c>
      <c r="C16" s="2375" t="s">
        <v>110</v>
      </c>
      <c r="D16" s="2376"/>
      <c r="E16" s="81" t="s">
        <v>294</v>
      </c>
      <c r="F16" s="83">
        <v>0.84499999999999997</v>
      </c>
      <c r="G16" s="83">
        <v>0.88600000000000001</v>
      </c>
      <c r="H16" s="83">
        <v>0.92200000000000004</v>
      </c>
      <c r="I16" s="289">
        <v>0.90300000000000002</v>
      </c>
      <c r="J16" s="132">
        <v>0.93400000000000005</v>
      </c>
      <c r="K16" s="2168">
        <v>6391</v>
      </c>
      <c r="L16" s="2169">
        <v>6430</v>
      </c>
      <c r="M16" s="2169">
        <v>6430</v>
      </c>
      <c r="N16" s="2168">
        <v>6472</v>
      </c>
      <c r="O16" s="2377">
        <v>6582</v>
      </c>
      <c r="P16" s="2047">
        <f t="shared" si="0"/>
        <v>139</v>
      </c>
      <c r="Q16" s="79"/>
    </row>
    <row r="17" spans="1:17" ht="13.5" thickBot="1">
      <c r="A17" s="2378">
        <v>24</v>
      </c>
      <c r="B17" s="2326" t="s">
        <v>295</v>
      </c>
      <c r="C17" s="2327" t="s">
        <v>295</v>
      </c>
      <c r="D17" s="2379"/>
      <c r="E17" s="80" t="s">
        <v>294</v>
      </c>
      <c r="F17" s="746">
        <v>3.1E-2</v>
      </c>
      <c r="G17" s="746">
        <v>3.1E-2</v>
      </c>
      <c r="H17" s="746">
        <v>3.2000000000000001E-2</v>
      </c>
      <c r="I17" s="869">
        <v>3.3000000000000002E-2</v>
      </c>
      <c r="J17" s="747">
        <v>3.4000000000000002E-2</v>
      </c>
      <c r="K17" s="2033">
        <v>428</v>
      </c>
      <c r="L17" s="2034">
        <v>435</v>
      </c>
      <c r="M17" s="2034">
        <v>435</v>
      </c>
      <c r="N17" s="2033">
        <v>440</v>
      </c>
      <c r="O17" s="2380">
        <v>449</v>
      </c>
      <c r="P17" s="2031">
        <f t="shared" si="0"/>
        <v>74</v>
      </c>
      <c r="Q17" s="80"/>
    </row>
    <row r="18" spans="1:17" ht="14.25" thickTop="1" thickBot="1">
      <c r="A18" s="3236" t="s">
        <v>112</v>
      </c>
      <c r="B18" s="3324"/>
      <c r="C18" s="3324"/>
      <c r="D18" s="3324"/>
      <c r="E18" s="3237"/>
      <c r="F18" s="84">
        <f t="shared" ref="F18:N18" si="4">SUM(F16:F17)</f>
        <v>0.876</v>
      </c>
      <c r="G18" s="84">
        <f t="shared" si="4"/>
        <v>0.91700000000000004</v>
      </c>
      <c r="H18" s="280">
        <f t="shared" si="4"/>
        <v>0.95399999999999996</v>
      </c>
      <c r="I18" s="85">
        <f t="shared" si="4"/>
        <v>0.93600000000000005</v>
      </c>
      <c r="J18" s="2381">
        <f>SUM(J16:J17)</f>
        <v>0.96799999999999997</v>
      </c>
      <c r="K18" s="1980">
        <f t="shared" si="4"/>
        <v>6819</v>
      </c>
      <c r="L18" s="1980">
        <f t="shared" si="4"/>
        <v>6865</v>
      </c>
      <c r="M18" s="1981">
        <f t="shared" si="4"/>
        <v>6865</v>
      </c>
      <c r="N18" s="1980">
        <f t="shared" si="4"/>
        <v>6912</v>
      </c>
      <c r="O18" s="2371">
        <f>SUM(O16:O17)</f>
        <v>7031</v>
      </c>
      <c r="P18" s="2382">
        <f t="shared" si="0"/>
        <v>135</v>
      </c>
      <c r="Q18" s="2372"/>
    </row>
    <row r="19" spans="1:17">
      <c r="A19" s="2339">
        <v>216650</v>
      </c>
      <c r="B19" s="2384" t="s">
        <v>117</v>
      </c>
      <c r="C19" s="2384" t="s">
        <v>117</v>
      </c>
      <c r="D19" s="2385" t="s">
        <v>296</v>
      </c>
      <c r="E19" s="81" t="s">
        <v>297</v>
      </c>
      <c r="F19" s="83">
        <v>0.69599999999999995</v>
      </c>
      <c r="G19" s="83">
        <v>0.748</v>
      </c>
      <c r="H19" s="83">
        <v>0.64500000000000002</v>
      </c>
      <c r="I19" s="289">
        <v>0.70699999999999996</v>
      </c>
      <c r="J19" s="132">
        <v>0.68</v>
      </c>
      <c r="K19" s="2495">
        <v>6591</v>
      </c>
      <c r="L19" s="2495">
        <v>6585</v>
      </c>
      <c r="M19" s="2342">
        <v>6541</v>
      </c>
      <c r="N19" s="2343">
        <v>6538</v>
      </c>
      <c r="O19" s="2344">
        <v>6700</v>
      </c>
      <c r="P19" s="2047">
        <f t="shared" ref="P19" si="5">SUM(F19:J19)/SUM(K19:O19)*1000000</f>
        <v>105</v>
      </c>
      <c r="Q19" s="81"/>
    </row>
    <row r="20" spans="1:17" ht="13.5" thickBot="1">
      <c r="A20" s="2361">
        <v>218998</v>
      </c>
      <c r="B20" s="2387" t="s">
        <v>118</v>
      </c>
      <c r="C20" s="2387" t="s">
        <v>118</v>
      </c>
      <c r="D20" s="2388" t="s">
        <v>298</v>
      </c>
      <c r="E20" s="80" t="s">
        <v>297</v>
      </c>
      <c r="F20" s="746">
        <v>0.186</v>
      </c>
      <c r="G20" s="746">
        <v>0.193</v>
      </c>
      <c r="H20" s="746">
        <v>0.184</v>
      </c>
      <c r="I20" s="869">
        <v>0.191</v>
      </c>
      <c r="J20" s="747">
        <v>0.21199999999999999</v>
      </c>
      <c r="K20" s="2499">
        <v>855</v>
      </c>
      <c r="L20" s="2499">
        <v>877</v>
      </c>
      <c r="M20" s="2366">
        <v>876</v>
      </c>
      <c r="N20" s="2367">
        <v>868</v>
      </c>
      <c r="O20" s="2368">
        <v>889</v>
      </c>
      <c r="P20" s="2031">
        <f t="shared" si="0"/>
        <v>221</v>
      </c>
      <c r="Q20" s="80"/>
    </row>
    <row r="21" spans="1:17" ht="14.25" thickTop="1" thickBot="1">
      <c r="A21" s="3236" t="s">
        <v>119</v>
      </c>
      <c r="B21" s="3324"/>
      <c r="C21" s="3324"/>
      <c r="D21" s="3324"/>
      <c r="E21" s="3237"/>
      <c r="F21" s="84">
        <f>SUM(F19:F20)</f>
        <v>0.88200000000000001</v>
      </c>
      <c r="G21" s="84">
        <f t="shared" ref="G21:J21" si="6">SUM(G19:G20)</f>
        <v>0.94099999999999995</v>
      </c>
      <c r="H21" s="280">
        <f t="shared" si="6"/>
        <v>0.82899999999999996</v>
      </c>
      <c r="I21" s="85">
        <f t="shared" si="6"/>
        <v>0.89800000000000002</v>
      </c>
      <c r="J21" s="2381">
        <f t="shared" si="6"/>
        <v>0.89200000000000002</v>
      </c>
      <c r="K21" s="1980">
        <f>SUM(K19:K20)</f>
        <v>7446</v>
      </c>
      <c r="L21" s="1980">
        <f t="shared" ref="L21:O21" si="7">SUM(L19:L20)</f>
        <v>7462</v>
      </c>
      <c r="M21" s="1980">
        <f t="shared" si="7"/>
        <v>7417</v>
      </c>
      <c r="N21" s="1980">
        <f t="shared" si="7"/>
        <v>7406</v>
      </c>
      <c r="O21" s="1982">
        <f t="shared" si="7"/>
        <v>7589</v>
      </c>
      <c r="P21" s="1978">
        <f t="shared" si="0"/>
        <v>119</v>
      </c>
      <c r="Q21" s="2372"/>
    </row>
    <row r="22" spans="1:17" ht="38.25">
      <c r="A22" s="2390" t="s">
        <v>121</v>
      </c>
      <c r="B22" s="2316" t="s">
        <v>114</v>
      </c>
      <c r="C22" s="2316" t="s">
        <v>114</v>
      </c>
      <c r="D22" s="2318" t="s">
        <v>299</v>
      </c>
      <c r="E22" s="79" t="s">
        <v>300</v>
      </c>
      <c r="F22" s="129">
        <v>10.628</v>
      </c>
      <c r="G22" s="75">
        <v>11.037000000000001</v>
      </c>
      <c r="H22" s="75">
        <v>11.728999999999999</v>
      </c>
      <c r="I22" s="269">
        <v>11.657999999999999</v>
      </c>
      <c r="J22" s="177">
        <v>11.231</v>
      </c>
      <c r="K22" s="76">
        <v>118554</v>
      </c>
      <c r="L22" s="2256">
        <v>115629</v>
      </c>
      <c r="M22" s="2256">
        <v>118432</v>
      </c>
      <c r="N22" s="76">
        <v>118437</v>
      </c>
      <c r="O22" s="2319">
        <v>120444</v>
      </c>
      <c r="P22" s="2254">
        <f t="shared" si="0"/>
        <v>95</v>
      </c>
      <c r="Q22" s="79" t="s">
        <v>301</v>
      </c>
    </row>
    <row r="23" spans="1:17" ht="25.5">
      <c r="A23" s="2390">
        <v>137335</v>
      </c>
      <c r="B23" s="2316" t="s">
        <v>122</v>
      </c>
      <c r="C23" s="2316" t="s">
        <v>122</v>
      </c>
      <c r="D23" s="2318"/>
      <c r="E23" s="79" t="s">
        <v>302</v>
      </c>
      <c r="F23" s="129">
        <v>0</v>
      </c>
      <c r="G23" s="75">
        <v>0</v>
      </c>
      <c r="H23" s="75">
        <v>0</v>
      </c>
      <c r="I23" s="269">
        <v>0</v>
      </c>
      <c r="J23" s="177">
        <v>0</v>
      </c>
      <c r="K23" s="76">
        <v>0</v>
      </c>
      <c r="L23" s="2256">
        <v>0</v>
      </c>
      <c r="M23" s="2256">
        <v>0</v>
      </c>
      <c r="N23" s="76">
        <v>0</v>
      </c>
      <c r="O23" s="2319">
        <v>0</v>
      </c>
      <c r="P23" s="2254" t="s">
        <v>16</v>
      </c>
      <c r="Q23" s="79"/>
    </row>
    <row r="24" spans="1:17">
      <c r="A24" s="2321">
        <v>453</v>
      </c>
      <c r="B24" s="2322" t="s">
        <v>123</v>
      </c>
      <c r="C24" s="2322" t="s">
        <v>123</v>
      </c>
      <c r="D24" s="2323"/>
      <c r="E24" s="309" t="s">
        <v>302</v>
      </c>
      <c r="F24" s="809">
        <v>0.86199999999999999</v>
      </c>
      <c r="G24" s="819">
        <v>0.88700000000000001</v>
      </c>
      <c r="H24" s="819">
        <v>0.92200000000000004</v>
      </c>
      <c r="I24" s="817">
        <v>0.88900000000000001</v>
      </c>
      <c r="J24" s="818">
        <v>0.83</v>
      </c>
      <c r="K24" s="814">
        <v>9042</v>
      </c>
      <c r="L24" s="807">
        <v>9042</v>
      </c>
      <c r="M24" s="807">
        <v>9042</v>
      </c>
      <c r="N24" s="814">
        <v>9058</v>
      </c>
      <c r="O24" s="2319">
        <v>9058</v>
      </c>
      <c r="P24" s="2254">
        <f t="shared" si="0"/>
        <v>97</v>
      </c>
      <c r="Q24" s="309"/>
    </row>
    <row r="25" spans="1:17" ht="13.5" thickBot="1">
      <c r="A25" s="2391">
        <v>499</v>
      </c>
      <c r="B25" s="2392" t="s">
        <v>125</v>
      </c>
      <c r="C25" s="2392" t="s">
        <v>125</v>
      </c>
      <c r="D25" s="2393"/>
      <c r="E25" s="2360" t="s">
        <v>302</v>
      </c>
      <c r="F25" s="2394">
        <v>0.97</v>
      </c>
      <c r="G25" s="2395">
        <v>0.996</v>
      </c>
      <c r="H25" s="746">
        <v>1.127</v>
      </c>
      <c r="I25" s="2396">
        <v>1.1579999999999999</v>
      </c>
      <c r="J25" s="2329">
        <v>1.0489999999999999</v>
      </c>
      <c r="K25" s="2017">
        <v>6500</v>
      </c>
      <c r="L25" s="2018">
        <v>6500</v>
      </c>
      <c r="M25" s="2034">
        <v>6500</v>
      </c>
      <c r="N25" s="2033">
        <v>6630</v>
      </c>
      <c r="O25" s="2380">
        <v>6763</v>
      </c>
      <c r="P25" s="2031">
        <f t="shared" si="0"/>
        <v>161</v>
      </c>
      <c r="Q25" s="2360"/>
    </row>
    <row r="26" spans="1:17" ht="14.25" thickTop="1" thickBot="1">
      <c r="A26" s="3321" t="s">
        <v>129</v>
      </c>
      <c r="B26" s="3322"/>
      <c r="C26" s="3322"/>
      <c r="D26" s="3322"/>
      <c r="E26" s="3323"/>
      <c r="F26" s="1162">
        <f t="shared" ref="F26:N26" si="8">SUM(F22:F25)</f>
        <v>12.46</v>
      </c>
      <c r="G26" s="1169">
        <f t="shared" si="8"/>
        <v>12.92</v>
      </c>
      <c r="H26" s="1168">
        <f t="shared" si="8"/>
        <v>13.778</v>
      </c>
      <c r="I26" s="2500">
        <f t="shared" si="8"/>
        <v>13.705</v>
      </c>
      <c r="J26" s="1278">
        <f>SUM(J22:J25)</f>
        <v>13.11</v>
      </c>
      <c r="K26" s="2271">
        <f t="shared" si="8"/>
        <v>134096</v>
      </c>
      <c r="L26" s="2271">
        <f t="shared" si="8"/>
        <v>131171</v>
      </c>
      <c r="M26" s="2272">
        <f t="shared" si="8"/>
        <v>133974</v>
      </c>
      <c r="N26" s="2271">
        <f t="shared" si="8"/>
        <v>134125</v>
      </c>
      <c r="O26" s="2397">
        <f>SUM(O22:O25)</f>
        <v>136265</v>
      </c>
      <c r="P26" s="2382">
        <f t="shared" si="0"/>
        <v>99</v>
      </c>
      <c r="Q26" s="2479"/>
    </row>
    <row r="27" spans="1:17">
      <c r="A27" s="2399">
        <v>217754</v>
      </c>
      <c r="B27" s="2384" t="s">
        <v>131</v>
      </c>
      <c r="C27" s="2384" t="s">
        <v>131</v>
      </c>
      <c r="D27" s="2385" t="s">
        <v>303</v>
      </c>
      <c r="E27" s="2400" t="s">
        <v>22</v>
      </c>
      <c r="F27" s="83">
        <v>3.2309999999999999</v>
      </c>
      <c r="G27" s="2501">
        <v>3.28</v>
      </c>
      <c r="H27" s="83">
        <v>3.4129999999999998</v>
      </c>
      <c r="I27" s="289">
        <v>3.3620000000000001</v>
      </c>
      <c r="J27" s="132">
        <v>3.3450000000000002</v>
      </c>
      <c r="K27" s="2502">
        <v>18604</v>
      </c>
      <c r="L27" s="2495">
        <v>18697</v>
      </c>
      <c r="M27" s="2342">
        <v>18752</v>
      </c>
      <c r="N27" s="2343">
        <v>18912</v>
      </c>
      <c r="O27" s="2344">
        <v>19097</v>
      </c>
      <c r="P27" s="2047">
        <f>SUM(F27:J27)/SUM(K27:O27)*1000000</f>
        <v>177</v>
      </c>
      <c r="Q27" s="81"/>
    </row>
    <row r="28" spans="1:17" ht="13.5" thickBot="1">
      <c r="A28" s="2401">
        <v>220704</v>
      </c>
      <c r="B28" s="810" t="s">
        <v>133</v>
      </c>
      <c r="C28" s="810" t="s">
        <v>133</v>
      </c>
      <c r="D28" s="2402" t="s">
        <v>304</v>
      </c>
      <c r="E28" s="2403" t="s">
        <v>22</v>
      </c>
      <c r="F28" s="819">
        <v>4.2000000000000003E-2</v>
      </c>
      <c r="G28" s="1270">
        <v>3.7999999999999999E-2</v>
      </c>
      <c r="H28" s="819">
        <v>3.5000000000000003E-2</v>
      </c>
      <c r="I28" s="817">
        <v>4.4999999999999998E-2</v>
      </c>
      <c r="J28" s="818">
        <v>6.6000000000000003E-2</v>
      </c>
      <c r="K28" s="814">
        <v>70</v>
      </c>
      <c r="L28" s="814">
        <v>70</v>
      </c>
      <c r="M28" s="807">
        <v>70</v>
      </c>
      <c r="N28" s="814">
        <v>71</v>
      </c>
      <c r="O28" s="2319">
        <v>75</v>
      </c>
      <c r="P28" s="2254">
        <f t="shared" si="0"/>
        <v>635</v>
      </c>
      <c r="Q28" s="309"/>
    </row>
    <row r="29" spans="1:17" ht="14.25" customHeight="1" thickTop="1" thickBot="1">
      <c r="A29" s="3345" t="s">
        <v>135</v>
      </c>
      <c r="B29" s="3346"/>
      <c r="C29" s="3346"/>
      <c r="D29" s="3346"/>
      <c r="E29" s="3347"/>
      <c r="F29" s="1168">
        <f t="shared" ref="F29:O29" si="9">SUM(F27:F28)</f>
        <v>3.2730000000000001</v>
      </c>
      <c r="G29" s="1168">
        <f t="shared" si="9"/>
        <v>3.3180000000000001</v>
      </c>
      <c r="H29" s="1168">
        <f t="shared" si="9"/>
        <v>3.448</v>
      </c>
      <c r="I29" s="2500">
        <f t="shared" si="9"/>
        <v>3.407</v>
      </c>
      <c r="J29" s="1278">
        <f t="shared" si="9"/>
        <v>3.411</v>
      </c>
      <c r="K29" s="2271">
        <f t="shared" si="9"/>
        <v>18674</v>
      </c>
      <c r="L29" s="2271">
        <f t="shared" si="9"/>
        <v>18767</v>
      </c>
      <c r="M29" s="2271">
        <f t="shared" si="9"/>
        <v>18822</v>
      </c>
      <c r="N29" s="2271">
        <f t="shared" si="9"/>
        <v>18983</v>
      </c>
      <c r="O29" s="2397">
        <f t="shared" si="9"/>
        <v>19172</v>
      </c>
      <c r="P29" s="2382">
        <f>SUM(F29:J29)/SUM(K29:O29)*1000000</f>
        <v>179</v>
      </c>
      <c r="Q29" s="2479"/>
    </row>
    <row r="30" spans="1:17">
      <c r="A30" s="2315">
        <v>756</v>
      </c>
      <c r="B30" s="2316" t="s">
        <v>137</v>
      </c>
      <c r="C30" s="2316" t="s">
        <v>137</v>
      </c>
      <c r="D30" s="2318"/>
      <c r="E30" s="79" t="s">
        <v>23</v>
      </c>
      <c r="F30" s="75">
        <v>7.4999999999999997E-2</v>
      </c>
      <c r="G30" s="75">
        <v>7.9000000000000001E-2</v>
      </c>
      <c r="H30" s="75">
        <v>8.6999999999999994E-2</v>
      </c>
      <c r="I30" s="269">
        <v>8.3000000000000004E-2</v>
      </c>
      <c r="J30" s="2404">
        <v>6.8000000000000005E-2</v>
      </c>
      <c r="K30" s="72">
        <v>1015</v>
      </c>
      <c r="L30" s="2256">
        <v>1015</v>
      </c>
      <c r="M30" s="2256">
        <v>1015</v>
      </c>
      <c r="N30" s="76">
        <v>1015</v>
      </c>
      <c r="O30" s="2405">
        <v>1015</v>
      </c>
      <c r="P30" s="2254">
        <f>SUM(F30:J30)/SUM(K30:O30)*1000000</f>
        <v>77</v>
      </c>
      <c r="Q30" s="79"/>
    </row>
    <row r="31" spans="1:17">
      <c r="A31" s="2321">
        <v>784</v>
      </c>
      <c r="B31" s="2322" t="s">
        <v>139</v>
      </c>
      <c r="C31" s="2322" t="s">
        <v>139</v>
      </c>
      <c r="D31" s="2323"/>
      <c r="E31" s="309" t="s">
        <v>23</v>
      </c>
      <c r="F31" s="819">
        <v>0.24199999999999999</v>
      </c>
      <c r="G31" s="819">
        <v>0.217</v>
      </c>
      <c r="H31" s="819">
        <v>0.23100000000000001</v>
      </c>
      <c r="I31" s="817">
        <v>0.24199999999999999</v>
      </c>
      <c r="J31" s="2406">
        <v>0.19900000000000001</v>
      </c>
      <c r="K31" s="824">
        <v>1411</v>
      </c>
      <c r="L31" s="807">
        <v>1385</v>
      </c>
      <c r="M31" s="807">
        <v>1392</v>
      </c>
      <c r="N31" s="814">
        <v>1407</v>
      </c>
      <c r="O31" s="2405">
        <v>1419</v>
      </c>
      <c r="P31" s="2254">
        <f t="shared" ref="P31:P52" si="10">SUM(F31:J31)/SUM(K31:O31)*1000000</f>
        <v>161</v>
      </c>
      <c r="Q31" s="309"/>
    </row>
    <row r="32" spans="1:17">
      <c r="A32" s="2321">
        <v>793</v>
      </c>
      <c r="B32" s="2322" t="s">
        <v>141</v>
      </c>
      <c r="C32" s="2322" t="s">
        <v>141</v>
      </c>
      <c r="D32" s="2323"/>
      <c r="E32" s="309" t="s">
        <v>23</v>
      </c>
      <c r="F32" s="819">
        <v>2.3650000000000002</v>
      </c>
      <c r="G32" s="819">
        <v>2.4910000000000001</v>
      </c>
      <c r="H32" s="819">
        <v>2.6579999999999999</v>
      </c>
      <c r="I32" s="817">
        <v>2.5390000000000001</v>
      </c>
      <c r="J32" s="2406">
        <v>2.4180000000000001</v>
      </c>
      <c r="K32" s="824">
        <v>23279</v>
      </c>
      <c r="L32" s="807">
        <v>23279</v>
      </c>
      <c r="M32" s="807">
        <v>23279</v>
      </c>
      <c r="N32" s="814">
        <v>23498</v>
      </c>
      <c r="O32" s="2405">
        <v>23733</v>
      </c>
      <c r="P32" s="2254">
        <f t="shared" si="10"/>
        <v>107</v>
      </c>
      <c r="Q32" s="309"/>
    </row>
    <row r="33" spans="1:17">
      <c r="A33" s="2321">
        <v>810</v>
      </c>
      <c r="B33" s="2322" t="s">
        <v>143</v>
      </c>
      <c r="C33" s="2322" t="s">
        <v>143</v>
      </c>
      <c r="D33" s="2323" t="s">
        <v>305</v>
      </c>
      <c r="E33" s="309" t="s">
        <v>23</v>
      </c>
      <c r="F33" s="819">
        <v>2.34</v>
      </c>
      <c r="G33" s="819">
        <v>2.355</v>
      </c>
      <c r="H33" s="819">
        <v>2.359</v>
      </c>
      <c r="I33" s="817">
        <v>2.3220000000000001</v>
      </c>
      <c r="J33" s="2406">
        <v>2.31</v>
      </c>
      <c r="K33" s="824">
        <v>22530</v>
      </c>
      <c r="L33" s="807">
        <v>22674</v>
      </c>
      <c r="M33" s="807">
        <v>23024</v>
      </c>
      <c r="N33" s="814">
        <v>23313</v>
      </c>
      <c r="O33" s="2405">
        <v>23585</v>
      </c>
      <c r="P33" s="2254">
        <f t="shared" si="10"/>
        <v>102</v>
      </c>
      <c r="Q33" s="309"/>
    </row>
    <row r="34" spans="1:17">
      <c r="A34" s="2321">
        <v>842</v>
      </c>
      <c r="B34" s="2322" t="s">
        <v>145</v>
      </c>
      <c r="C34" s="2322" t="s">
        <v>145</v>
      </c>
      <c r="D34" s="2323"/>
      <c r="E34" s="309" t="s">
        <v>23</v>
      </c>
      <c r="F34" s="819">
        <v>0.95699999999999996</v>
      </c>
      <c r="G34" s="819">
        <v>0.93799999999999994</v>
      </c>
      <c r="H34" s="819">
        <v>0.91400000000000003</v>
      </c>
      <c r="I34" s="817">
        <v>0.92900000000000005</v>
      </c>
      <c r="J34" s="2406">
        <v>0.88400000000000001</v>
      </c>
      <c r="K34" s="824">
        <v>7270</v>
      </c>
      <c r="L34" s="807">
        <v>7270</v>
      </c>
      <c r="M34" s="807">
        <v>7270</v>
      </c>
      <c r="N34" s="814">
        <v>7303</v>
      </c>
      <c r="O34" s="2405">
        <v>7554</v>
      </c>
      <c r="P34" s="2254">
        <f t="shared" si="10"/>
        <v>126</v>
      </c>
      <c r="Q34" s="309"/>
    </row>
    <row r="35" spans="1:17">
      <c r="A35" s="2321">
        <v>50293</v>
      </c>
      <c r="B35" s="2322" t="s">
        <v>306</v>
      </c>
      <c r="C35" s="2322" t="s">
        <v>306</v>
      </c>
      <c r="D35" s="2323"/>
      <c r="E35" s="309" t="s">
        <v>23</v>
      </c>
      <c r="F35" s="819">
        <v>0.27500000000000002</v>
      </c>
      <c r="G35" s="819">
        <v>0.28299999999999997</v>
      </c>
      <c r="H35" s="819">
        <v>0.27900000000000003</v>
      </c>
      <c r="I35" s="817">
        <v>0.32700000000000001</v>
      </c>
      <c r="J35" s="2406">
        <v>0.28100000000000003</v>
      </c>
      <c r="K35" s="824">
        <v>3265</v>
      </c>
      <c r="L35" s="807">
        <v>3200</v>
      </c>
      <c r="M35" s="807">
        <v>3200</v>
      </c>
      <c r="N35" s="814">
        <v>3202</v>
      </c>
      <c r="O35" s="2405">
        <v>3235</v>
      </c>
      <c r="P35" s="2254">
        <f t="shared" si="10"/>
        <v>90</v>
      </c>
      <c r="Q35" s="309"/>
    </row>
    <row r="36" spans="1:17" ht="39" thickBot="1">
      <c r="A36" s="2325">
        <v>88271</v>
      </c>
      <c r="B36" s="2326" t="s">
        <v>307</v>
      </c>
      <c r="C36" s="2326" t="s">
        <v>307</v>
      </c>
      <c r="D36" s="2328"/>
      <c r="E36" s="80" t="s">
        <v>308</v>
      </c>
      <c r="F36" s="746">
        <v>100.428</v>
      </c>
      <c r="G36" s="746">
        <v>104.625</v>
      </c>
      <c r="H36" s="746">
        <v>109.845</v>
      </c>
      <c r="I36" s="869">
        <v>113.288</v>
      </c>
      <c r="J36" s="2407">
        <v>110.158</v>
      </c>
      <c r="K36" s="2408">
        <v>683536</v>
      </c>
      <c r="L36" s="2034">
        <v>688039</v>
      </c>
      <c r="M36" s="2034">
        <v>698947</v>
      </c>
      <c r="N36" s="2033">
        <v>706344</v>
      </c>
      <c r="O36" s="2409">
        <v>730054</v>
      </c>
      <c r="P36" s="2031">
        <f t="shared" si="10"/>
        <v>154</v>
      </c>
      <c r="Q36" s="80"/>
    </row>
    <row r="37" spans="1:17" ht="14.25" customHeight="1" thickTop="1" thickBot="1">
      <c r="A37" s="3321" t="s">
        <v>152</v>
      </c>
      <c r="B37" s="3322"/>
      <c r="C37" s="3322"/>
      <c r="D37" s="3322"/>
      <c r="E37" s="3323"/>
      <c r="F37" s="84">
        <f t="shared" ref="F37:N37" si="11">SUM(F30:F36)</f>
        <v>106.682</v>
      </c>
      <c r="G37" s="84">
        <f t="shared" si="11"/>
        <v>110.988</v>
      </c>
      <c r="H37" s="280">
        <f t="shared" si="11"/>
        <v>116.373</v>
      </c>
      <c r="I37" s="85">
        <f t="shared" si="11"/>
        <v>119.73</v>
      </c>
      <c r="J37" s="287">
        <f>SUM(J30:J36)</f>
        <v>116.318</v>
      </c>
      <c r="K37" s="2411">
        <f t="shared" si="11"/>
        <v>742306</v>
      </c>
      <c r="L37" s="1980">
        <f t="shared" si="11"/>
        <v>746862</v>
      </c>
      <c r="M37" s="1981">
        <f t="shared" si="11"/>
        <v>758127</v>
      </c>
      <c r="N37" s="1980">
        <f t="shared" si="11"/>
        <v>766082</v>
      </c>
      <c r="O37" s="2412">
        <f>SUM(O30:O36)</f>
        <v>790595</v>
      </c>
      <c r="P37" s="2382">
        <f t="shared" si="10"/>
        <v>150</v>
      </c>
      <c r="Q37" s="2372"/>
    </row>
    <row r="38" spans="1:17">
      <c r="A38" s="2373">
        <v>59</v>
      </c>
      <c r="B38" s="2374" t="s">
        <v>154</v>
      </c>
      <c r="C38" s="2374" t="s">
        <v>154</v>
      </c>
      <c r="D38" s="2413"/>
      <c r="E38" s="81" t="s">
        <v>309</v>
      </c>
      <c r="F38" s="83">
        <v>0.81899999999999995</v>
      </c>
      <c r="G38" s="83">
        <v>0.64900000000000002</v>
      </c>
      <c r="H38" s="75">
        <v>0.67300000000000004</v>
      </c>
      <c r="I38" s="269">
        <v>0.64300000000000002</v>
      </c>
      <c r="J38" s="2404">
        <v>0.54100000000000004</v>
      </c>
      <c r="K38" s="72">
        <v>4507</v>
      </c>
      <c r="L38" s="2256">
        <v>4621</v>
      </c>
      <c r="M38" s="2256">
        <v>4630</v>
      </c>
      <c r="N38" s="76">
        <v>4677</v>
      </c>
      <c r="O38" s="2405">
        <v>4677</v>
      </c>
      <c r="P38" s="2254">
        <f t="shared" si="10"/>
        <v>144</v>
      </c>
      <c r="Q38" s="81"/>
    </row>
    <row r="39" spans="1:17">
      <c r="A39" s="2321">
        <v>1947</v>
      </c>
      <c r="B39" s="2322" t="s">
        <v>156</v>
      </c>
      <c r="C39" s="2322" t="s">
        <v>156</v>
      </c>
      <c r="D39" s="2323" t="s">
        <v>310</v>
      </c>
      <c r="E39" s="309" t="s">
        <v>309</v>
      </c>
      <c r="F39" s="819">
        <v>6.5650000000000004</v>
      </c>
      <c r="G39" s="819">
        <v>7.0739999999999998</v>
      </c>
      <c r="H39" s="819">
        <v>7.6059999999999999</v>
      </c>
      <c r="I39" s="817">
        <v>7.66</v>
      </c>
      <c r="J39" s="2406">
        <v>7.452</v>
      </c>
      <c r="K39" s="824">
        <v>79903</v>
      </c>
      <c r="L39" s="807">
        <v>79819</v>
      </c>
      <c r="M39" s="807">
        <v>81182</v>
      </c>
      <c r="N39" s="814">
        <v>82137</v>
      </c>
      <c r="O39" s="2405">
        <v>89548</v>
      </c>
      <c r="P39" s="2254">
        <f t="shared" si="10"/>
        <v>88</v>
      </c>
      <c r="Q39" s="309"/>
    </row>
    <row r="40" spans="1:17" ht="25.5">
      <c r="A40" s="2321">
        <v>1960</v>
      </c>
      <c r="B40" s="2322" t="s">
        <v>311</v>
      </c>
      <c r="C40" s="2322" t="s">
        <v>311</v>
      </c>
      <c r="D40" s="2323"/>
      <c r="E40" s="309" t="s">
        <v>312</v>
      </c>
      <c r="F40" s="819">
        <v>0.17499999999999999</v>
      </c>
      <c r="G40" s="819">
        <v>0.16900000000000001</v>
      </c>
      <c r="H40" s="819">
        <v>0.223</v>
      </c>
      <c r="I40" s="817">
        <v>0.26300000000000001</v>
      </c>
      <c r="J40" s="2406">
        <v>0.23599999999999999</v>
      </c>
      <c r="K40" s="824">
        <v>3000</v>
      </c>
      <c r="L40" s="807">
        <v>3000</v>
      </c>
      <c r="M40" s="807">
        <v>3000</v>
      </c>
      <c r="N40" s="814">
        <v>3174</v>
      </c>
      <c r="O40" s="2405">
        <v>3174</v>
      </c>
      <c r="P40" s="2254">
        <f t="shared" si="10"/>
        <v>69</v>
      </c>
      <c r="Q40" s="309"/>
    </row>
    <row r="41" spans="1:17">
      <c r="A41" s="2321">
        <v>1982</v>
      </c>
      <c r="B41" s="2322" t="s">
        <v>160</v>
      </c>
      <c r="C41" s="2322" t="s">
        <v>160</v>
      </c>
      <c r="D41" s="2323"/>
      <c r="E41" s="309" t="s">
        <v>309</v>
      </c>
      <c r="F41" s="819">
        <v>0.35199999999999998</v>
      </c>
      <c r="G41" s="819">
        <v>0.32900000000000001</v>
      </c>
      <c r="H41" s="819">
        <v>0.40100000000000002</v>
      </c>
      <c r="I41" s="817">
        <v>0.48599999999999999</v>
      </c>
      <c r="J41" s="2406">
        <v>0.33700000000000002</v>
      </c>
      <c r="K41" s="824">
        <v>2835</v>
      </c>
      <c r="L41" s="807">
        <v>2875</v>
      </c>
      <c r="M41" s="807">
        <v>2910</v>
      </c>
      <c r="N41" s="814">
        <v>2934</v>
      </c>
      <c r="O41" s="2405">
        <v>2999</v>
      </c>
      <c r="P41" s="2254">
        <f t="shared" si="10"/>
        <v>131</v>
      </c>
      <c r="Q41" s="309"/>
    </row>
    <row r="42" spans="1:17">
      <c r="A42" s="2321">
        <v>2002</v>
      </c>
      <c r="B42" s="2322" t="s">
        <v>162</v>
      </c>
      <c r="C42" s="2322" t="s">
        <v>162</v>
      </c>
      <c r="D42" s="2323" t="s">
        <v>313</v>
      </c>
      <c r="E42" s="309" t="s">
        <v>309</v>
      </c>
      <c r="F42" s="819">
        <v>0.128</v>
      </c>
      <c r="G42" s="819">
        <v>0.13500000000000001</v>
      </c>
      <c r="H42" s="819">
        <v>9.8000000000000004E-2</v>
      </c>
      <c r="I42" s="817">
        <v>4.9000000000000002E-2</v>
      </c>
      <c r="J42" s="2406">
        <v>0.13500000000000001</v>
      </c>
      <c r="K42" s="824">
        <v>1284</v>
      </c>
      <c r="L42" s="807">
        <v>1284</v>
      </c>
      <c r="M42" s="807">
        <v>1284</v>
      </c>
      <c r="N42" s="814">
        <v>1284</v>
      </c>
      <c r="O42" s="2405">
        <v>1284</v>
      </c>
      <c r="P42" s="2254">
        <f t="shared" si="10"/>
        <v>85</v>
      </c>
      <c r="Q42" s="309"/>
    </row>
    <row r="43" spans="1:17" ht="26.25" thickBot="1">
      <c r="A43" s="2378">
        <v>51136</v>
      </c>
      <c r="B43" s="2326" t="s">
        <v>168</v>
      </c>
      <c r="C43" s="2326" t="s">
        <v>168</v>
      </c>
      <c r="D43" s="2328"/>
      <c r="E43" s="80" t="s">
        <v>309</v>
      </c>
      <c r="F43" s="746">
        <v>2.4750000000000001</v>
      </c>
      <c r="G43" s="746">
        <v>0.69199999999999995</v>
      </c>
      <c r="H43" s="746">
        <v>0.86</v>
      </c>
      <c r="I43" s="869">
        <v>0.91200000000000003</v>
      </c>
      <c r="J43" s="2407">
        <v>0.8</v>
      </c>
      <c r="K43" s="2408">
        <v>4017</v>
      </c>
      <c r="L43" s="2034">
        <v>4017</v>
      </c>
      <c r="M43" s="2034">
        <v>4017</v>
      </c>
      <c r="N43" s="2033">
        <v>4091</v>
      </c>
      <c r="O43" s="2409">
        <v>4153</v>
      </c>
      <c r="P43" s="2031">
        <f t="shared" si="10"/>
        <v>283</v>
      </c>
      <c r="Q43" s="80" t="s">
        <v>314</v>
      </c>
    </row>
    <row r="44" spans="1:17" ht="14.25" customHeight="1" thickTop="1" thickBot="1">
      <c r="A44" s="3321" t="s">
        <v>169</v>
      </c>
      <c r="B44" s="3322"/>
      <c r="C44" s="3322"/>
      <c r="D44" s="3322"/>
      <c r="E44" s="3323"/>
      <c r="F44" s="1398">
        <f t="shared" ref="F44:N44" si="12">SUM(F38:F43)</f>
        <v>10.513999999999999</v>
      </c>
      <c r="G44" s="1398">
        <f t="shared" si="12"/>
        <v>9.048</v>
      </c>
      <c r="H44" s="1265">
        <f t="shared" si="12"/>
        <v>9.8610000000000007</v>
      </c>
      <c r="I44" s="1399">
        <f t="shared" si="12"/>
        <v>10.013</v>
      </c>
      <c r="J44" s="2503">
        <f>SUM(J38:J43)</f>
        <v>9.5009999999999994</v>
      </c>
      <c r="K44" s="2416">
        <f t="shared" si="12"/>
        <v>95546</v>
      </c>
      <c r="L44" s="2271">
        <f t="shared" si="12"/>
        <v>95616</v>
      </c>
      <c r="M44" s="2272">
        <f t="shared" si="12"/>
        <v>97023</v>
      </c>
      <c r="N44" s="2271">
        <f t="shared" si="12"/>
        <v>98297</v>
      </c>
      <c r="O44" s="2412">
        <f>SUM(O38:O43)</f>
        <v>105835</v>
      </c>
      <c r="P44" s="1978">
        <f t="shared" si="10"/>
        <v>99</v>
      </c>
      <c r="Q44" s="2372"/>
    </row>
    <row r="45" spans="1:17">
      <c r="A45" s="2339">
        <v>216453</v>
      </c>
      <c r="B45" s="750" t="s">
        <v>171</v>
      </c>
      <c r="C45" s="750" t="s">
        <v>171</v>
      </c>
      <c r="D45" s="2385" t="s">
        <v>315</v>
      </c>
      <c r="E45" s="2400" t="s">
        <v>25</v>
      </c>
      <c r="F45" s="1018">
        <v>0.23100000000000001</v>
      </c>
      <c r="G45" s="83">
        <v>0.218</v>
      </c>
      <c r="H45" s="83">
        <v>0.22</v>
      </c>
      <c r="I45" s="289">
        <v>0.19500000000000001</v>
      </c>
      <c r="J45" s="2417">
        <v>0.20399999999999999</v>
      </c>
      <c r="K45" s="2504">
        <v>2042</v>
      </c>
      <c r="L45" s="2495">
        <v>2040</v>
      </c>
      <c r="M45" s="2342">
        <v>2038</v>
      </c>
      <c r="N45" s="2343">
        <v>2041</v>
      </c>
      <c r="O45" s="2418">
        <v>2100</v>
      </c>
      <c r="P45" s="2047">
        <f t="shared" si="10"/>
        <v>104</v>
      </c>
      <c r="Q45" s="81"/>
    </row>
    <row r="46" spans="1:17" ht="26.25" thickBot="1">
      <c r="A46" s="2419">
        <v>220310</v>
      </c>
      <c r="B46" s="1177" t="s">
        <v>316</v>
      </c>
      <c r="C46" s="1177" t="s">
        <v>316</v>
      </c>
      <c r="D46" s="2420"/>
      <c r="E46" s="2421" t="s">
        <v>25</v>
      </c>
      <c r="F46" s="2505">
        <v>0</v>
      </c>
      <c r="G46" s="991">
        <v>0</v>
      </c>
      <c r="H46" s="991">
        <v>0</v>
      </c>
      <c r="I46" s="992">
        <v>0</v>
      </c>
      <c r="J46" s="2506">
        <v>0</v>
      </c>
      <c r="K46" s="2507">
        <v>86</v>
      </c>
      <c r="L46" s="2508">
        <v>85</v>
      </c>
      <c r="M46" s="2424">
        <v>96</v>
      </c>
      <c r="N46" s="2425">
        <v>98</v>
      </c>
      <c r="O46" s="2426">
        <v>101</v>
      </c>
      <c r="P46" s="1963">
        <f t="shared" si="10"/>
        <v>0</v>
      </c>
      <c r="Q46" s="288" t="s">
        <v>317</v>
      </c>
    </row>
    <row r="47" spans="1:17" ht="14.25" customHeight="1" thickTop="1" thickBot="1">
      <c r="A47" s="3321" t="s">
        <v>173</v>
      </c>
      <c r="B47" s="3322"/>
      <c r="C47" s="3322"/>
      <c r="D47" s="3322"/>
      <c r="E47" s="3323"/>
      <c r="F47" s="1397">
        <f>SUM(F45:F46)</f>
        <v>0.23100000000000001</v>
      </c>
      <c r="G47" s="865">
        <f t="shared" ref="G47:O47" si="13">SUM(G45:G46)</f>
        <v>0.218</v>
      </c>
      <c r="H47" s="865">
        <f t="shared" si="13"/>
        <v>0.22</v>
      </c>
      <c r="I47" s="2494">
        <f t="shared" si="13"/>
        <v>0.19500000000000001</v>
      </c>
      <c r="J47" s="2509">
        <f t="shared" si="13"/>
        <v>0.20399999999999999</v>
      </c>
      <c r="K47" s="2427">
        <f t="shared" si="13"/>
        <v>2128</v>
      </c>
      <c r="L47" s="2334">
        <f t="shared" si="13"/>
        <v>2125</v>
      </c>
      <c r="M47" s="2334">
        <f t="shared" si="13"/>
        <v>2134</v>
      </c>
      <c r="N47" s="2334">
        <f t="shared" si="13"/>
        <v>2139</v>
      </c>
      <c r="O47" s="2428">
        <f t="shared" si="13"/>
        <v>2201</v>
      </c>
      <c r="P47" s="2337">
        <f t="shared" si="10"/>
        <v>100</v>
      </c>
      <c r="Q47" s="2429"/>
    </row>
    <row r="48" spans="1:17">
      <c r="A48" s="2339">
        <v>216567</v>
      </c>
      <c r="B48" s="2430" t="s">
        <v>175</v>
      </c>
      <c r="C48" s="2430" t="s">
        <v>175</v>
      </c>
      <c r="D48" s="2385" t="s">
        <v>318</v>
      </c>
      <c r="E48" s="2400" t="s">
        <v>26</v>
      </c>
      <c r="F48" s="83">
        <v>0.161</v>
      </c>
      <c r="G48" s="83">
        <v>0.13500000000000001</v>
      </c>
      <c r="H48" s="83">
        <v>0.14000000000000001</v>
      </c>
      <c r="I48" s="289">
        <v>0.14099999999999999</v>
      </c>
      <c r="J48" s="2417">
        <v>0.14299999999999999</v>
      </c>
      <c r="K48" s="2504">
        <v>699</v>
      </c>
      <c r="L48" s="2495">
        <v>699</v>
      </c>
      <c r="M48" s="2342">
        <v>688</v>
      </c>
      <c r="N48" s="2343">
        <v>669</v>
      </c>
      <c r="O48" s="2418">
        <v>699</v>
      </c>
      <c r="P48" s="2047">
        <f t="shared" ref="P48" si="14">SUM(F48:J48)/SUM(K48:O48)*1000000</f>
        <v>208</v>
      </c>
      <c r="Q48" s="81"/>
    </row>
    <row r="49" spans="1:17">
      <c r="A49" s="2345">
        <v>216651</v>
      </c>
      <c r="B49" s="2432" t="s">
        <v>177</v>
      </c>
      <c r="C49" s="2432" t="s">
        <v>177</v>
      </c>
      <c r="D49" s="2433" t="s">
        <v>319</v>
      </c>
      <c r="E49" s="2403" t="s">
        <v>26</v>
      </c>
      <c r="F49" s="819">
        <v>4.2999999999999997E-2</v>
      </c>
      <c r="G49" s="819">
        <v>3.5000000000000003E-2</v>
      </c>
      <c r="H49" s="819">
        <v>3.5000000000000003E-2</v>
      </c>
      <c r="I49" s="817">
        <v>4.5999999999999999E-2</v>
      </c>
      <c r="J49" s="2406">
        <v>0.06</v>
      </c>
      <c r="K49" s="2510">
        <v>757</v>
      </c>
      <c r="L49" s="2496">
        <v>754</v>
      </c>
      <c r="M49" s="2350">
        <v>754</v>
      </c>
      <c r="N49" s="2351">
        <v>741</v>
      </c>
      <c r="O49" s="2435">
        <v>777</v>
      </c>
      <c r="P49" s="1953">
        <f t="shared" si="10"/>
        <v>58</v>
      </c>
      <c r="Q49" s="309"/>
    </row>
    <row r="50" spans="1:17">
      <c r="A50" s="2353">
        <v>220443</v>
      </c>
      <c r="B50" s="2446" t="s">
        <v>179</v>
      </c>
      <c r="C50" s="2446" t="s">
        <v>179</v>
      </c>
      <c r="D50" s="3004"/>
      <c r="E50" s="2448" t="s">
        <v>26</v>
      </c>
      <c r="F50" s="2395">
        <v>7.3999999999999996E-2</v>
      </c>
      <c r="G50" s="2395">
        <v>6.7000000000000004E-2</v>
      </c>
      <c r="H50" s="2395">
        <v>4.7E-2</v>
      </c>
      <c r="I50" s="2396">
        <v>5.1999999999999998E-2</v>
      </c>
      <c r="J50" s="3005">
        <v>0.06</v>
      </c>
      <c r="K50" s="2512">
        <v>0</v>
      </c>
      <c r="L50" s="2498">
        <v>0</v>
      </c>
      <c r="M50" s="2357">
        <v>0</v>
      </c>
      <c r="N50" s="2358">
        <v>0</v>
      </c>
      <c r="O50" s="2449">
        <v>0</v>
      </c>
      <c r="P50" s="2015" t="s">
        <v>16</v>
      </c>
      <c r="Q50" s="2360"/>
    </row>
    <row r="51" spans="1:17" ht="13.5" thickBot="1">
      <c r="A51" s="2361">
        <v>220463</v>
      </c>
      <c r="B51" s="749" t="s">
        <v>181</v>
      </c>
      <c r="C51" s="749" t="s">
        <v>181</v>
      </c>
      <c r="D51" s="2388" t="s">
        <v>320</v>
      </c>
      <c r="E51" s="2437" t="s">
        <v>26</v>
      </c>
      <c r="F51" s="746">
        <v>0.61099999999999999</v>
      </c>
      <c r="G51" s="746">
        <v>0.65800000000000003</v>
      </c>
      <c r="H51" s="746">
        <v>0.73499999999999999</v>
      </c>
      <c r="I51" s="869">
        <v>0.68600000000000005</v>
      </c>
      <c r="J51" s="2407">
        <v>0.71599999999999997</v>
      </c>
      <c r="K51" s="2511">
        <v>3635</v>
      </c>
      <c r="L51" s="2499">
        <v>3623</v>
      </c>
      <c r="M51" s="2366">
        <v>3598</v>
      </c>
      <c r="N51" s="2367">
        <v>3574</v>
      </c>
      <c r="O51" s="2439">
        <v>3735</v>
      </c>
      <c r="P51" s="2031">
        <f t="shared" ref="P51" si="15">SUM(F51:J51)/SUM(K51:O51)*1000000</f>
        <v>188</v>
      </c>
      <c r="Q51" s="2517"/>
    </row>
    <row r="52" spans="1:17" ht="14.25" customHeight="1" thickTop="1" thickBot="1">
      <c r="A52" s="3236" t="s">
        <v>183</v>
      </c>
      <c r="B52" s="3324"/>
      <c r="C52" s="3324"/>
      <c r="D52" s="3324"/>
      <c r="E52" s="3237"/>
      <c r="F52" s="280">
        <f t="shared" ref="F52:O52" si="16">SUM(F48:F51)</f>
        <v>0.88900000000000001</v>
      </c>
      <c r="G52" s="280">
        <f t="shared" si="16"/>
        <v>0.89500000000000002</v>
      </c>
      <c r="H52" s="280">
        <f t="shared" si="16"/>
        <v>0.95699999999999996</v>
      </c>
      <c r="I52" s="85">
        <f t="shared" si="16"/>
        <v>0.92500000000000004</v>
      </c>
      <c r="J52" s="287">
        <f t="shared" si="16"/>
        <v>0.97899999999999998</v>
      </c>
      <c r="K52" s="2411">
        <f t="shared" si="16"/>
        <v>5091</v>
      </c>
      <c r="L52" s="1980">
        <f t="shared" si="16"/>
        <v>5076</v>
      </c>
      <c r="M52" s="1980">
        <f t="shared" si="16"/>
        <v>5040</v>
      </c>
      <c r="N52" s="1980">
        <f t="shared" si="16"/>
        <v>4984</v>
      </c>
      <c r="O52" s="2412">
        <f t="shared" si="16"/>
        <v>5211</v>
      </c>
      <c r="P52" s="1978">
        <f t="shared" si="10"/>
        <v>183</v>
      </c>
      <c r="Q52" s="2383"/>
    </row>
    <row r="53" spans="1:17" ht="29.25" customHeight="1" thickBot="1">
      <c r="A53" s="3224" t="s">
        <v>321</v>
      </c>
      <c r="B53" s="3224"/>
      <c r="C53" s="3224"/>
      <c r="D53" s="3224"/>
      <c r="E53" s="3224"/>
      <c r="F53" s="3224"/>
      <c r="G53" s="3224"/>
      <c r="H53" s="3224"/>
      <c r="I53" s="3224"/>
      <c r="J53" s="3224"/>
      <c r="K53" s="3224"/>
      <c r="L53" s="3224"/>
      <c r="M53" s="3224"/>
      <c r="N53" s="3224"/>
      <c r="O53" s="3224"/>
      <c r="P53" s="3224"/>
      <c r="Q53" s="3224"/>
    </row>
    <row r="54" spans="1:17" ht="21.75" customHeight="1">
      <c r="A54" s="3212" t="s">
        <v>272</v>
      </c>
      <c r="B54" s="3213" t="s">
        <v>273</v>
      </c>
      <c r="C54" s="3219" t="s">
        <v>86</v>
      </c>
      <c r="D54" s="3215" t="s">
        <v>274</v>
      </c>
      <c r="E54" s="3209" t="s">
        <v>85</v>
      </c>
      <c r="F54" s="3342" t="s">
        <v>55</v>
      </c>
      <c r="G54" s="3332"/>
      <c r="H54" s="3332"/>
      <c r="I54" s="3332"/>
      <c r="J54" s="3333"/>
      <c r="K54" s="3344" t="s">
        <v>275</v>
      </c>
      <c r="L54" s="3334"/>
      <c r="M54" s="3334"/>
      <c r="N54" s="3334"/>
      <c r="O54" s="3335"/>
      <c r="P54" s="3238" t="s">
        <v>276</v>
      </c>
      <c r="Q54" s="3209" t="s">
        <v>277</v>
      </c>
    </row>
    <row r="55" spans="1:17" s="67" customFormat="1" ht="21.75" customHeight="1" thickBot="1">
      <c r="A55" s="3330"/>
      <c r="B55" s="3331"/>
      <c r="C55" s="3328"/>
      <c r="D55" s="3329"/>
      <c r="E55" s="3211"/>
      <c r="F55" s="2310">
        <v>2014</v>
      </c>
      <c r="G55" s="2310">
        <v>2015</v>
      </c>
      <c r="H55" s="2310">
        <v>2016</v>
      </c>
      <c r="I55" s="2311">
        <v>2017</v>
      </c>
      <c r="J55" s="2312">
        <v>2018</v>
      </c>
      <c r="K55" s="2310">
        <v>2014</v>
      </c>
      <c r="L55" s="2310">
        <v>2015</v>
      </c>
      <c r="M55" s="2313">
        <v>2016</v>
      </c>
      <c r="N55" s="2310">
        <v>2017</v>
      </c>
      <c r="O55" s="2314">
        <v>2018</v>
      </c>
      <c r="P55" s="3240"/>
      <c r="Q55" s="3211"/>
    </row>
    <row r="56" spans="1:17">
      <c r="A56" s="2315">
        <v>122</v>
      </c>
      <c r="B56" s="2316" t="s">
        <v>185</v>
      </c>
      <c r="C56" s="2316" t="s">
        <v>185</v>
      </c>
      <c r="D56" s="2318"/>
      <c r="E56" s="79" t="s">
        <v>322</v>
      </c>
      <c r="F56" s="2440">
        <v>3.0569999999999999</v>
      </c>
      <c r="G56" s="75">
        <v>2.956</v>
      </c>
      <c r="H56" s="75">
        <v>3.2730000000000001</v>
      </c>
      <c r="I56" s="269">
        <v>3.2879999999999998</v>
      </c>
      <c r="J56" s="2404">
        <v>3.3929999999999998</v>
      </c>
      <c r="K56" s="72">
        <v>18661</v>
      </c>
      <c r="L56" s="2256">
        <v>18661</v>
      </c>
      <c r="M56" s="2256">
        <v>18797</v>
      </c>
      <c r="N56" s="76">
        <v>19020</v>
      </c>
      <c r="O56" s="2405">
        <v>19249</v>
      </c>
      <c r="P56" s="2254">
        <f t="shared" ref="P56:P61" si="17">SUM(F56:J56)/SUM(K56:O56)*1000000</f>
        <v>169</v>
      </c>
      <c r="Q56" s="2320"/>
    </row>
    <row r="57" spans="1:17">
      <c r="A57" s="2321">
        <v>922</v>
      </c>
      <c r="B57" s="2322" t="s">
        <v>187</v>
      </c>
      <c r="C57" s="2322" t="s">
        <v>187</v>
      </c>
      <c r="D57" s="2323"/>
      <c r="E57" s="309" t="s">
        <v>322</v>
      </c>
      <c r="F57" s="2441">
        <v>0.152</v>
      </c>
      <c r="G57" s="819">
        <v>0.157</v>
      </c>
      <c r="H57" s="819">
        <v>0.16800000000000001</v>
      </c>
      <c r="I57" s="817">
        <v>0.18099999999999999</v>
      </c>
      <c r="J57" s="2406">
        <v>0.20100000000000001</v>
      </c>
      <c r="K57" s="824">
        <v>1609</v>
      </c>
      <c r="L57" s="807">
        <v>1609</v>
      </c>
      <c r="M57" s="807">
        <v>1658</v>
      </c>
      <c r="N57" s="814">
        <v>1672</v>
      </c>
      <c r="O57" s="2405">
        <v>1719</v>
      </c>
      <c r="P57" s="2254">
        <f t="shared" si="17"/>
        <v>104</v>
      </c>
      <c r="Q57" s="2324"/>
    </row>
    <row r="58" spans="1:17">
      <c r="A58" s="2321">
        <v>948</v>
      </c>
      <c r="B58" s="2322" t="s">
        <v>189</v>
      </c>
      <c r="C58" s="2322" t="s">
        <v>189</v>
      </c>
      <c r="D58" s="2323"/>
      <c r="E58" s="309" t="s">
        <v>322</v>
      </c>
      <c r="F58" s="2441">
        <v>0.221</v>
      </c>
      <c r="G58" s="819">
        <v>0.23200000000000001</v>
      </c>
      <c r="H58" s="819">
        <v>0.21299999999999999</v>
      </c>
      <c r="I58" s="817">
        <v>0.23100000000000001</v>
      </c>
      <c r="J58" s="2406">
        <v>0.27200000000000002</v>
      </c>
      <c r="K58" s="824">
        <v>3000</v>
      </c>
      <c r="L58" s="807">
        <v>3000</v>
      </c>
      <c r="M58" s="807">
        <v>3166</v>
      </c>
      <c r="N58" s="814">
        <v>3178</v>
      </c>
      <c r="O58" s="2405">
        <v>3189</v>
      </c>
      <c r="P58" s="2254">
        <f t="shared" si="17"/>
        <v>75</v>
      </c>
      <c r="Q58" s="2324"/>
    </row>
    <row r="59" spans="1:17" ht="25.5">
      <c r="A59" s="2321">
        <v>50087</v>
      </c>
      <c r="B59" s="2322" t="s">
        <v>323</v>
      </c>
      <c r="C59" s="2322" t="s">
        <v>191</v>
      </c>
      <c r="D59" s="2323" t="s">
        <v>324</v>
      </c>
      <c r="E59" s="309" t="s">
        <v>322</v>
      </c>
      <c r="F59" s="2441">
        <v>1.264</v>
      </c>
      <c r="G59" s="819">
        <v>1.3089999999999999</v>
      </c>
      <c r="H59" s="819">
        <v>1.407</v>
      </c>
      <c r="I59" s="817">
        <v>1.4179999999999999</v>
      </c>
      <c r="J59" s="2406">
        <v>1.385</v>
      </c>
      <c r="K59" s="824">
        <v>8946</v>
      </c>
      <c r="L59" s="807">
        <v>9242</v>
      </c>
      <c r="M59" s="807">
        <v>9290</v>
      </c>
      <c r="N59" s="814">
        <v>9344</v>
      </c>
      <c r="O59" s="2442">
        <v>9401</v>
      </c>
      <c r="P59" s="1953">
        <f t="shared" si="17"/>
        <v>147</v>
      </c>
      <c r="Q59" s="2324"/>
    </row>
    <row r="60" spans="1:17" ht="13.5" thickBot="1">
      <c r="A60" s="2325">
        <v>88271</v>
      </c>
      <c r="B60" s="2326" t="s">
        <v>307</v>
      </c>
      <c r="C60" s="2326" t="s">
        <v>307</v>
      </c>
      <c r="D60" s="2328" t="s">
        <v>325</v>
      </c>
      <c r="E60" s="80" t="s">
        <v>322</v>
      </c>
      <c r="F60" s="866">
        <v>2.1850000000000001</v>
      </c>
      <c r="G60" s="746">
        <v>2.2570000000000001</v>
      </c>
      <c r="H60" s="746">
        <v>2.6509999999999998</v>
      </c>
      <c r="I60" s="869">
        <v>2.89</v>
      </c>
      <c r="J60" s="2407">
        <v>3.1669999999999998</v>
      </c>
      <c r="K60" s="2408">
        <v>35686</v>
      </c>
      <c r="L60" s="2034">
        <v>36856</v>
      </c>
      <c r="M60" s="2034">
        <v>38084</v>
      </c>
      <c r="N60" s="2033">
        <v>39221</v>
      </c>
      <c r="O60" s="2409">
        <v>41366</v>
      </c>
      <c r="P60" s="2031">
        <f t="shared" si="17"/>
        <v>69</v>
      </c>
      <c r="Q60" s="2331"/>
    </row>
    <row r="61" spans="1:17" ht="14.25" customHeight="1" thickTop="1" thickBot="1">
      <c r="A61" s="3236" t="s">
        <v>194</v>
      </c>
      <c r="B61" s="3324"/>
      <c r="C61" s="3324"/>
      <c r="D61" s="3324"/>
      <c r="E61" s="3237"/>
      <c r="F61" s="84">
        <f t="shared" ref="F61:N61" si="18">SUM(F56:F60)</f>
        <v>6.8789999999999996</v>
      </c>
      <c r="G61" s="84">
        <f t="shared" si="18"/>
        <v>6.9109999999999996</v>
      </c>
      <c r="H61" s="280">
        <f t="shared" si="18"/>
        <v>7.7119999999999997</v>
      </c>
      <c r="I61" s="85">
        <f t="shared" si="18"/>
        <v>8.0079999999999991</v>
      </c>
      <c r="J61" s="287">
        <f>SUM(J56:J60)</f>
        <v>8.4179999999999993</v>
      </c>
      <c r="K61" s="2411">
        <f t="shared" si="18"/>
        <v>67902</v>
      </c>
      <c r="L61" s="1980">
        <f t="shared" si="18"/>
        <v>69368</v>
      </c>
      <c r="M61" s="1981">
        <f t="shared" si="18"/>
        <v>70995</v>
      </c>
      <c r="N61" s="1980">
        <f t="shared" si="18"/>
        <v>72435</v>
      </c>
      <c r="O61" s="2412">
        <f>SUM(O56:O60)</f>
        <v>74924</v>
      </c>
      <c r="P61" s="2382">
        <f t="shared" si="17"/>
        <v>107</v>
      </c>
      <c r="Q61" s="2479"/>
    </row>
    <row r="62" spans="1:17" ht="14.25" customHeight="1">
      <c r="A62" s="2339" t="s">
        <v>197</v>
      </c>
      <c r="B62" s="750" t="s">
        <v>196</v>
      </c>
      <c r="C62" s="750" t="s">
        <v>196</v>
      </c>
      <c r="D62" s="2443"/>
      <c r="E62" s="2400" t="s">
        <v>326</v>
      </c>
      <c r="F62" s="87">
        <v>0.08</v>
      </c>
      <c r="G62" s="83">
        <v>8.2000000000000003E-2</v>
      </c>
      <c r="H62" s="83">
        <v>0.08</v>
      </c>
      <c r="I62" s="289">
        <v>0.10100000000000001</v>
      </c>
      <c r="J62" s="2417">
        <v>7.0999999999999994E-2</v>
      </c>
      <c r="K62" s="2444">
        <v>930</v>
      </c>
      <c r="L62" s="2168">
        <v>935</v>
      </c>
      <c r="M62" s="2168">
        <v>938</v>
      </c>
      <c r="N62" s="2167">
        <v>943</v>
      </c>
      <c r="O62" s="2445">
        <v>959</v>
      </c>
      <c r="P62" s="2047">
        <f t="shared" ref="P62:P76" si="19">SUM(F62:J62)/SUM(K62:O62)*1000000</f>
        <v>88</v>
      </c>
      <c r="Q62" s="2341"/>
    </row>
    <row r="63" spans="1:17">
      <c r="A63" s="2315">
        <v>1627</v>
      </c>
      <c r="B63" s="2316" t="s">
        <v>198</v>
      </c>
      <c r="C63" s="2316" t="s">
        <v>198</v>
      </c>
      <c r="D63" s="2318"/>
      <c r="E63" s="79" t="s">
        <v>326</v>
      </c>
      <c r="F63" s="2440">
        <v>0.17599999999999999</v>
      </c>
      <c r="G63" s="75">
        <v>0.16600000000000001</v>
      </c>
      <c r="H63" s="75">
        <v>0.17100000000000001</v>
      </c>
      <c r="I63" s="269">
        <v>0.17799999999999999</v>
      </c>
      <c r="J63" s="2404">
        <v>0.17100000000000001</v>
      </c>
      <c r="K63" s="72">
        <v>1800</v>
      </c>
      <c r="L63" s="2256">
        <v>1800</v>
      </c>
      <c r="M63" s="2256">
        <v>1800</v>
      </c>
      <c r="N63" s="76">
        <v>1804</v>
      </c>
      <c r="O63" s="2405">
        <v>1805</v>
      </c>
      <c r="P63" s="2254">
        <f t="shared" si="19"/>
        <v>96</v>
      </c>
      <c r="Q63" s="2320"/>
    </row>
    <row r="64" spans="1:17" ht="38.25">
      <c r="A64" s="2321">
        <v>7961</v>
      </c>
      <c r="B64" s="2322" t="s">
        <v>199</v>
      </c>
      <c r="C64" s="2322" t="s">
        <v>199</v>
      </c>
      <c r="D64" s="2323"/>
      <c r="E64" s="309" t="s">
        <v>326</v>
      </c>
      <c r="F64" s="2441">
        <v>0.1</v>
      </c>
      <c r="G64" s="819">
        <v>0.151</v>
      </c>
      <c r="H64" s="819">
        <v>0.113</v>
      </c>
      <c r="I64" s="817">
        <v>0.107</v>
      </c>
      <c r="J64" s="2406">
        <v>0.108</v>
      </c>
      <c r="K64" s="824">
        <v>449</v>
      </c>
      <c r="L64" s="807">
        <v>450</v>
      </c>
      <c r="M64" s="807">
        <v>450</v>
      </c>
      <c r="N64" s="814">
        <v>450</v>
      </c>
      <c r="O64" s="2405">
        <v>450</v>
      </c>
      <c r="P64" s="2254">
        <f t="shared" si="19"/>
        <v>257</v>
      </c>
      <c r="Q64" s="2324" t="s">
        <v>327</v>
      </c>
    </row>
    <row r="65" spans="1:17">
      <c r="A65" s="2321">
        <v>7981</v>
      </c>
      <c r="B65" s="2322" t="s">
        <v>328</v>
      </c>
      <c r="C65" s="2322" t="s">
        <v>200</v>
      </c>
      <c r="D65" s="2323"/>
      <c r="E65" s="309" t="s">
        <v>326</v>
      </c>
      <c r="F65" s="2441">
        <v>6.2E-2</v>
      </c>
      <c r="G65" s="819">
        <v>9.8000000000000004E-2</v>
      </c>
      <c r="H65" s="819">
        <v>6.5000000000000002E-2</v>
      </c>
      <c r="I65" s="817">
        <v>6.9000000000000006E-2</v>
      </c>
      <c r="J65" s="2406">
        <v>0.05</v>
      </c>
      <c r="K65" s="824">
        <v>1000</v>
      </c>
      <c r="L65" s="807">
        <v>1000</v>
      </c>
      <c r="M65" s="807">
        <v>1000</v>
      </c>
      <c r="N65" s="814">
        <v>1001</v>
      </c>
      <c r="O65" s="2405">
        <v>1001</v>
      </c>
      <c r="P65" s="2254">
        <f t="shared" si="19"/>
        <v>69</v>
      </c>
      <c r="Q65" s="2324"/>
    </row>
    <row r="66" spans="1:17">
      <c r="A66" s="2321">
        <v>8114</v>
      </c>
      <c r="B66" s="2322" t="s">
        <v>201</v>
      </c>
      <c r="C66" s="2322" t="s">
        <v>201</v>
      </c>
      <c r="D66" s="2323"/>
      <c r="E66" s="309" t="s">
        <v>326</v>
      </c>
      <c r="F66" s="2441">
        <v>1.3260000000000001</v>
      </c>
      <c r="G66" s="819">
        <v>1.3069999999999999</v>
      </c>
      <c r="H66" s="819">
        <v>1.206</v>
      </c>
      <c r="I66" s="817">
        <v>1.526</v>
      </c>
      <c r="J66" s="2406">
        <v>0.96099999999999997</v>
      </c>
      <c r="K66" s="824">
        <v>11900</v>
      </c>
      <c r="L66" s="807">
        <v>11941</v>
      </c>
      <c r="M66" s="807">
        <v>11985</v>
      </c>
      <c r="N66" s="814">
        <v>12053</v>
      </c>
      <c r="O66" s="2405">
        <v>12053</v>
      </c>
      <c r="P66" s="2254">
        <f t="shared" si="19"/>
        <v>106</v>
      </c>
      <c r="Q66" s="2324"/>
    </row>
    <row r="67" spans="1:17">
      <c r="A67" s="2321">
        <v>8168</v>
      </c>
      <c r="B67" s="2322" t="s">
        <v>202</v>
      </c>
      <c r="C67" s="2322" t="s">
        <v>202</v>
      </c>
      <c r="D67" s="2323"/>
      <c r="E67" s="309" t="s">
        <v>326</v>
      </c>
      <c r="F67" s="2441">
        <v>9.4E-2</v>
      </c>
      <c r="G67" s="819">
        <v>9.8000000000000004E-2</v>
      </c>
      <c r="H67" s="819">
        <v>8.7999999999999995E-2</v>
      </c>
      <c r="I67" s="817">
        <v>0.114</v>
      </c>
      <c r="J67" s="2406">
        <v>9.4E-2</v>
      </c>
      <c r="K67" s="824">
        <v>1781</v>
      </c>
      <c r="L67" s="807">
        <v>1781</v>
      </c>
      <c r="M67" s="807">
        <v>1781</v>
      </c>
      <c r="N67" s="814">
        <v>1785</v>
      </c>
      <c r="O67" s="2405">
        <v>1790</v>
      </c>
      <c r="P67" s="2254">
        <f t="shared" si="19"/>
        <v>55</v>
      </c>
      <c r="Q67" s="2324"/>
    </row>
    <row r="68" spans="1:17" ht="26.25" thickBot="1">
      <c r="A68" s="2378">
        <v>92165</v>
      </c>
      <c r="B68" s="2326" t="s">
        <v>203</v>
      </c>
      <c r="C68" s="2326" t="s">
        <v>203</v>
      </c>
      <c r="D68" s="2328" t="s">
        <v>329</v>
      </c>
      <c r="E68" s="80" t="s">
        <v>326</v>
      </c>
      <c r="F68" s="866">
        <v>0.24299999999999999</v>
      </c>
      <c r="G68" s="746">
        <v>0.26900000000000002</v>
      </c>
      <c r="H68" s="746">
        <v>0.27400000000000002</v>
      </c>
      <c r="I68" s="869">
        <v>0.27100000000000002</v>
      </c>
      <c r="J68" s="2407">
        <v>0.26100000000000001</v>
      </c>
      <c r="K68" s="2408">
        <v>2393</v>
      </c>
      <c r="L68" s="2034">
        <v>2479</v>
      </c>
      <c r="M68" s="2034">
        <v>2842</v>
      </c>
      <c r="N68" s="2033">
        <v>2851</v>
      </c>
      <c r="O68" s="2409">
        <v>2857</v>
      </c>
      <c r="P68" s="2031">
        <f t="shared" si="19"/>
        <v>98</v>
      </c>
      <c r="Q68" s="2331"/>
    </row>
    <row r="69" spans="1:17" ht="14.25" customHeight="1" thickTop="1" thickBot="1">
      <c r="A69" s="3236" t="s">
        <v>204</v>
      </c>
      <c r="B69" s="3324"/>
      <c r="C69" s="3324"/>
      <c r="D69" s="3324"/>
      <c r="E69" s="3237"/>
      <c r="F69" s="84">
        <f>SUM(F62:F68)</f>
        <v>2.081</v>
      </c>
      <c r="G69" s="84">
        <f t="shared" ref="G69:O69" si="20">SUM(G62:G68)</f>
        <v>2.1709999999999998</v>
      </c>
      <c r="H69" s="280">
        <f t="shared" si="20"/>
        <v>1.9970000000000001</v>
      </c>
      <c r="I69" s="85">
        <f t="shared" si="20"/>
        <v>2.3660000000000001</v>
      </c>
      <c r="J69" s="287">
        <f t="shared" si="20"/>
        <v>1.716</v>
      </c>
      <c r="K69" s="2411">
        <f t="shared" si="20"/>
        <v>20253</v>
      </c>
      <c r="L69" s="1980">
        <f t="shared" si="20"/>
        <v>20386</v>
      </c>
      <c r="M69" s="1981">
        <f t="shared" si="20"/>
        <v>20796</v>
      </c>
      <c r="N69" s="1980">
        <f t="shared" si="20"/>
        <v>20887</v>
      </c>
      <c r="O69" s="2412">
        <f t="shared" si="20"/>
        <v>20915</v>
      </c>
      <c r="P69" s="1978">
        <f t="shared" si="19"/>
        <v>100</v>
      </c>
      <c r="Q69" s="2383"/>
    </row>
    <row r="70" spans="1:17">
      <c r="A70" s="2373">
        <v>157</v>
      </c>
      <c r="B70" s="2374" t="s">
        <v>206</v>
      </c>
      <c r="C70" s="2374" t="s">
        <v>206</v>
      </c>
      <c r="D70" s="2413"/>
      <c r="E70" s="81" t="s">
        <v>330</v>
      </c>
      <c r="F70" s="87">
        <v>0.41499999999999998</v>
      </c>
      <c r="G70" s="83">
        <v>0.44900000000000001</v>
      </c>
      <c r="H70" s="75">
        <v>0.49299999999999999</v>
      </c>
      <c r="I70" s="269">
        <v>0.498</v>
      </c>
      <c r="J70" s="2404">
        <v>0.53500000000000003</v>
      </c>
      <c r="K70" s="72">
        <v>3295</v>
      </c>
      <c r="L70" s="2256">
        <v>3295</v>
      </c>
      <c r="M70" s="2256">
        <v>3445</v>
      </c>
      <c r="N70" s="76">
        <v>3702</v>
      </c>
      <c r="O70" s="2405">
        <v>3789</v>
      </c>
      <c r="P70" s="2254">
        <f t="shared" si="19"/>
        <v>136</v>
      </c>
      <c r="Q70" s="2341"/>
    </row>
    <row r="71" spans="1:17">
      <c r="A71" s="2321">
        <v>324</v>
      </c>
      <c r="B71" s="2322" t="s">
        <v>207</v>
      </c>
      <c r="C71" s="2322" t="s">
        <v>207</v>
      </c>
      <c r="D71" s="2323"/>
      <c r="E71" s="309" t="s">
        <v>330</v>
      </c>
      <c r="F71" s="2441">
        <v>6.0999999999999999E-2</v>
      </c>
      <c r="G71" s="819">
        <v>0.06</v>
      </c>
      <c r="H71" s="819">
        <v>5.8000000000000003E-2</v>
      </c>
      <c r="I71" s="817">
        <v>5.8999999999999997E-2</v>
      </c>
      <c r="J71" s="2406">
        <v>5.7000000000000002E-2</v>
      </c>
      <c r="K71" s="824">
        <v>858</v>
      </c>
      <c r="L71" s="807">
        <v>858</v>
      </c>
      <c r="M71" s="807">
        <v>858</v>
      </c>
      <c r="N71" s="814">
        <v>858</v>
      </c>
      <c r="O71" s="2405">
        <v>891</v>
      </c>
      <c r="P71" s="2254">
        <f t="shared" si="19"/>
        <v>68</v>
      </c>
      <c r="Q71" s="2324"/>
    </row>
    <row r="72" spans="1:17" ht="25.5">
      <c r="A72" s="2321">
        <v>1142</v>
      </c>
      <c r="B72" s="2322" t="s">
        <v>331</v>
      </c>
      <c r="C72" s="2322" t="s">
        <v>331</v>
      </c>
      <c r="D72" s="2323" t="s">
        <v>332</v>
      </c>
      <c r="E72" s="309" t="s">
        <v>333</v>
      </c>
      <c r="F72" s="2441">
        <v>3.665</v>
      </c>
      <c r="G72" s="819">
        <v>4.0170000000000003</v>
      </c>
      <c r="H72" s="819">
        <v>4.5350000000000001</v>
      </c>
      <c r="I72" s="817">
        <v>4.7629999999999999</v>
      </c>
      <c r="J72" s="2406">
        <v>4.01</v>
      </c>
      <c r="K72" s="824">
        <v>25353</v>
      </c>
      <c r="L72" s="807">
        <v>25353</v>
      </c>
      <c r="M72" s="807">
        <v>25707</v>
      </c>
      <c r="N72" s="814">
        <v>26176</v>
      </c>
      <c r="O72" s="2405">
        <v>27197</v>
      </c>
      <c r="P72" s="2254">
        <f t="shared" si="19"/>
        <v>162</v>
      </c>
      <c r="Q72" s="2324"/>
    </row>
    <row r="73" spans="1:17" ht="25.5">
      <c r="A73" s="2321">
        <v>1198</v>
      </c>
      <c r="B73" s="2322" t="s">
        <v>209</v>
      </c>
      <c r="C73" s="2322" t="s">
        <v>209</v>
      </c>
      <c r="D73" s="2323" t="s">
        <v>334</v>
      </c>
      <c r="E73" s="309" t="s">
        <v>330</v>
      </c>
      <c r="F73" s="2441">
        <v>6.8179999999999996</v>
      </c>
      <c r="G73" s="819">
        <v>6.8949999999999996</v>
      </c>
      <c r="H73" s="819">
        <v>7.9219999999999997</v>
      </c>
      <c r="I73" s="817">
        <v>7.8460000000000001</v>
      </c>
      <c r="J73" s="2406">
        <v>7.6840000000000002</v>
      </c>
      <c r="K73" s="824">
        <v>62675</v>
      </c>
      <c r="L73" s="807">
        <v>70395</v>
      </c>
      <c r="M73" s="807">
        <v>70395</v>
      </c>
      <c r="N73" s="814">
        <v>75016</v>
      </c>
      <c r="O73" s="2442">
        <v>75016</v>
      </c>
      <c r="P73" s="1953">
        <f t="shared" si="19"/>
        <v>105</v>
      </c>
      <c r="Q73" s="2324"/>
    </row>
    <row r="74" spans="1:17">
      <c r="A74" s="2321">
        <v>1392</v>
      </c>
      <c r="B74" s="2322" t="s">
        <v>209</v>
      </c>
      <c r="C74" s="2322" t="s">
        <v>209</v>
      </c>
      <c r="D74" s="2323" t="s">
        <v>335</v>
      </c>
      <c r="E74" s="309" t="s">
        <v>330</v>
      </c>
      <c r="F74" s="2441">
        <v>0.08</v>
      </c>
      <c r="G74" s="819">
        <v>8.4000000000000005E-2</v>
      </c>
      <c r="H74" s="819">
        <v>8.5999999999999993E-2</v>
      </c>
      <c r="I74" s="817">
        <v>8.3000000000000004E-2</v>
      </c>
      <c r="J74" s="2406">
        <v>8.8999999999999996E-2</v>
      </c>
      <c r="K74" s="824">
        <v>593</v>
      </c>
      <c r="L74" s="807">
        <v>682</v>
      </c>
      <c r="M74" s="807">
        <v>682</v>
      </c>
      <c r="N74" s="814">
        <v>695</v>
      </c>
      <c r="O74" s="2405">
        <v>708</v>
      </c>
      <c r="P74" s="2254">
        <f t="shared" si="19"/>
        <v>126</v>
      </c>
      <c r="Q74" s="2324"/>
    </row>
    <row r="75" spans="1:17" ht="13.5" thickBot="1">
      <c r="A75" s="2378">
        <v>50299</v>
      </c>
      <c r="B75" s="2326" t="s">
        <v>336</v>
      </c>
      <c r="C75" s="2326" t="s">
        <v>336</v>
      </c>
      <c r="D75" s="2328"/>
      <c r="E75" s="80" t="s">
        <v>330</v>
      </c>
      <c r="F75" s="866">
        <v>2.9510000000000001</v>
      </c>
      <c r="G75" s="746">
        <v>3.2309999999999999</v>
      </c>
      <c r="H75" s="746">
        <v>3.4089999999999998</v>
      </c>
      <c r="I75" s="869">
        <v>3.5779999999999998</v>
      </c>
      <c r="J75" s="2407">
        <v>3.46</v>
      </c>
      <c r="K75" s="2408">
        <v>28207</v>
      </c>
      <c r="L75" s="2034">
        <v>28207</v>
      </c>
      <c r="M75" s="2034">
        <v>29490</v>
      </c>
      <c r="N75" s="2033">
        <v>30190</v>
      </c>
      <c r="O75" s="2409">
        <v>32088</v>
      </c>
      <c r="P75" s="2031">
        <f t="shared" si="19"/>
        <v>112</v>
      </c>
      <c r="Q75" s="2331"/>
    </row>
    <row r="76" spans="1:17" ht="14.25" thickTop="1" thickBot="1">
      <c r="A76" s="3236" t="s">
        <v>212</v>
      </c>
      <c r="B76" s="3324"/>
      <c r="C76" s="3324"/>
      <c r="D76" s="3324"/>
      <c r="E76" s="3237"/>
      <c r="F76" s="84">
        <f t="shared" ref="F76:N76" si="21">SUM(F70:F75)</f>
        <v>13.99</v>
      </c>
      <c r="G76" s="84">
        <f t="shared" si="21"/>
        <v>14.736000000000001</v>
      </c>
      <c r="H76" s="280">
        <f t="shared" si="21"/>
        <v>16.503</v>
      </c>
      <c r="I76" s="85">
        <f t="shared" si="21"/>
        <v>16.827000000000002</v>
      </c>
      <c r="J76" s="287">
        <f>SUM(J70:J75)</f>
        <v>15.835000000000001</v>
      </c>
      <c r="K76" s="2411">
        <f t="shared" si="21"/>
        <v>120981</v>
      </c>
      <c r="L76" s="1980">
        <f t="shared" si="21"/>
        <v>128790</v>
      </c>
      <c r="M76" s="1981">
        <f t="shared" si="21"/>
        <v>130577</v>
      </c>
      <c r="N76" s="1980">
        <f t="shared" si="21"/>
        <v>136637</v>
      </c>
      <c r="O76" s="2412">
        <f>SUM(O70:O75)</f>
        <v>139689</v>
      </c>
      <c r="P76" s="1978">
        <f t="shared" si="19"/>
        <v>119</v>
      </c>
      <c r="Q76" s="2383"/>
    </row>
    <row r="77" spans="1:17">
      <c r="A77" s="2339">
        <v>216507</v>
      </c>
      <c r="B77" s="2430" t="s">
        <v>214</v>
      </c>
      <c r="C77" s="2430" t="s">
        <v>214</v>
      </c>
      <c r="D77" s="2385" t="s">
        <v>337</v>
      </c>
      <c r="E77" s="2400" t="s">
        <v>30</v>
      </c>
      <c r="F77" s="1018">
        <v>4.2000000000000003E-2</v>
      </c>
      <c r="G77" s="83">
        <v>3.5000000000000003E-2</v>
      </c>
      <c r="H77" s="83">
        <v>3.6999999999999998E-2</v>
      </c>
      <c r="I77" s="289">
        <v>3.7999999999999999E-2</v>
      </c>
      <c r="J77" s="132">
        <v>3.9E-2</v>
      </c>
      <c r="K77" s="2444">
        <v>493</v>
      </c>
      <c r="L77" s="2168">
        <v>483</v>
      </c>
      <c r="M77" s="2169">
        <v>485</v>
      </c>
      <c r="N77" s="2168">
        <v>478</v>
      </c>
      <c r="O77" s="2445">
        <v>490</v>
      </c>
      <c r="P77" s="2047">
        <f t="shared" ref="P77:P83" si="22">SUM(F77:J77)/SUM(K77:O77)*1000000</f>
        <v>79</v>
      </c>
      <c r="Q77" s="81"/>
    </row>
    <row r="78" spans="1:17">
      <c r="A78" s="2353">
        <v>216658</v>
      </c>
      <c r="B78" s="2446" t="s">
        <v>215</v>
      </c>
      <c r="C78" s="2446" t="s">
        <v>215</v>
      </c>
      <c r="D78" s="2447" t="s">
        <v>338</v>
      </c>
      <c r="E78" s="2448" t="s">
        <v>30</v>
      </c>
      <c r="F78" s="2394">
        <v>7.4999999999999997E-2</v>
      </c>
      <c r="G78" s="2395">
        <v>7.2999999999999995E-2</v>
      </c>
      <c r="H78" s="2395">
        <v>8.2000000000000003E-2</v>
      </c>
      <c r="I78" s="2396">
        <v>9.4E-2</v>
      </c>
      <c r="J78" s="2329">
        <v>8.4000000000000005E-2</v>
      </c>
      <c r="K78" s="2512">
        <v>666</v>
      </c>
      <c r="L78" s="2498">
        <v>664</v>
      </c>
      <c r="M78" s="2357">
        <v>683</v>
      </c>
      <c r="N78" s="2358">
        <v>683</v>
      </c>
      <c r="O78" s="2449">
        <v>700</v>
      </c>
      <c r="P78" s="2015">
        <f t="shared" si="22"/>
        <v>120</v>
      </c>
      <c r="Q78" s="2360"/>
    </row>
    <row r="79" spans="1:17">
      <c r="A79" s="2345">
        <v>219527</v>
      </c>
      <c r="B79" s="2432" t="s">
        <v>216</v>
      </c>
      <c r="C79" s="2432" t="s">
        <v>216</v>
      </c>
      <c r="D79" s="2402" t="s">
        <v>339</v>
      </c>
      <c r="E79" s="2403" t="s">
        <v>30</v>
      </c>
      <c r="F79" s="809">
        <v>0.13700000000000001</v>
      </c>
      <c r="G79" s="819">
        <v>0.13600000000000001</v>
      </c>
      <c r="H79" s="819">
        <v>0.13600000000000001</v>
      </c>
      <c r="I79" s="817">
        <v>0.14599999999999999</v>
      </c>
      <c r="J79" s="818">
        <v>0.127</v>
      </c>
      <c r="K79" s="2510">
        <v>563</v>
      </c>
      <c r="L79" s="2496">
        <v>563</v>
      </c>
      <c r="M79" s="2350">
        <v>753</v>
      </c>
      <c r="N79" s="2351">
        <v>761</v>
      </c>
      <c r="O79" s="2435">
        <v>780</v>
      </c>
      <c r="P79" s="2015">
        <f t="shared" si="22"/>
        <v>199</v>
      </c>
      <c r="Q79" s="309"/>
    </row>
    <row r="80" spans="1:17" ht="13.5" thickBot="1">
      <c r="A80" s="2361">
        <v>220612</v>
      </c>
      <c r="B80" s="2450" t="s">
        <v>217</v>
      </c>
      <c r="C80" s="2450" t="s">
        <v>217</v>
      </c>
      <c r="D80" s="2388" t="s">
        <v>340</v>
      </c>
      <c r="E80" s="2437" t="s">
        <v>30</v>
      </c>
      <c r="F80" s="1874">
        <v>1.1879999999999999</v>
      </c>
      <c r="G80" s="746">
        <v>1.0649999999999999</v>
      </c>
      <c r="H80" s="746">
        <v>1.1499999999999999</v>
      </c>
      <c r="I80" s="869">
        <v>1.0680000000000001</v>
      </c>
      <c r="J80" s="747">
        <v>1.056</v>
      </c>
      <c r="K80" s="2511">
        <v>5627</v>
      </c>
      <c r="L80" s="2499">
        <v>5781</v>
      </c>
      <c r="M80" s="2366">
        <v>5750</v>
      </c>
      <c r="N80" s="2367">
        <v>5779</v>
      </c>
      <c r="O80" s="2439">
        <v>6005</v>
      </c>
      <c r="P80" s="2031">
        <f t="shared" ref="P80" si="23">SUM(F80:J80)/SUM(K80:O80)*1000000</f>
        <v>191</v>
      </c>
      <c r="Q80" s="80"/>
    </row>
    <row r="81" spans="1:17" ht="14.25" customHeight="1" thickTop="1" thickBot="1">
      <c r="A81" s="3236" t="s">
        <v>218</v>
      </c>
      <c r="B81" s="3324"/>
      <c r="C81" s="3324"/>
      <c r="D81" s="3324"/>
      <c r="E81" s="3237"/>
      <c r="F81" s="2513">
        <f>SUM(F77:F80)</f>
        <v>1.4419999999999999</v>
      </c>
      <c r="G81" s="280">
        <f t="shared" ref="G81:O81" si="24">SUM(G77:G80)</f>
        <v>1.3089999999999999</v>
      </c>
      <c r="H81" s="280">
        <f t="shared" si="24"/>
        <v>1.405</v>
      </c>
      <c r="I81" s="85">
        <f t="shared" si="24"/>
        <v>1.3460000000000001</v>
      </c>
      <c r="J81" s="2381">
        <f t="shared" si="24"/>
        <v>1.306</v>
      </c>
      <c r="K81" s="2411">
        <f t="shared" si="24"/>
        <v>7349</v>
      </c>
      <c r="L81" s="1980">
        <f t="shared" si="24"/>
        <v>7491</v>
      </c>
      <c r="M81" s="1980">
        <f t="shared" si="24"/>
        <v>7671</v>
      </c>
      <c r="N81" s="1980">
        <f t="shared" si="24"/>
        <v>7701</v>
      </c>
      <c r="O81" s="2412">
        <f t="shared" si="24"/>
        <v>7975</v>
      </c>
      <c r="P81" s="1978">
        <f t="shared" si="22"/>
        <v>178</v>
      </c>
      <c r="Q81" s="2372"/>
    </row>
    <row r="82" spans="1:17" ht="13.5" thickBot="1">
      <c r="A82" s="2419">
        <v>220148</v>
      </c>
      <c r="B82" s="2451" t="s">
        <v>220</v>
      </c>
      <c r="C82" s="2451" t="s">
        <v>220</v>
      </c>
      <c r="D82" s="2452" t="s">
        <v>341</v>
      </c>
      <c r="E82" s="2421" t="s">
        <v>31</v>
      </c>
      <c r="F82" s="2505">
        <v>0.219</v>
      </c>
      <c r="G82" s="991">
        <v>0.26</v>
      </c>
      <c r="H82" s="991">
        <v>0.21299999999999999</v>
      </c>
      <c r="I82" s="992">
        <v>0.222</v>
      </c>
      <c r="J82" s="2514">
        <v>0.223</v>
      </c>
      <c r="K82" s="2507">
        <v>1743</v>
      </c>
      <c r="L82" s="2508">
        <v>1742</v>
      </c>
      <c r="M82" s="2424">
        <v>1742</v>
      </c>
      <c r="N82" s="2425">
        <v>1729</v>
      </c>
      <c r="O82" s="2426">
        <v>1850</v>
      </c>
      <c r="P82" s="1963">
        <f t="shared" si="22"/>
        <v>129</v>
      </c>
      <c r="Q82" s="288"/>
    </row>
    <row r="83" spans="1:17" ht="14.25" customHeight="1" thickTop="1" thickBot="1">
      <c r="A83" s="3236" t="s">
        <v>221</v>
      </c>
      <c r="B83" s="3324"/>
      <c r="C83" s="3324"/>
      <c r="D83" s="3324"/>
      <c r="E83" s="3237"/>
      <c r="F83" s="2513">
        <f t="shared" ref="F83:N83" si="25">F82</f>
        <v>0.219</v>
      </c>
      <c r="G83" s="280">
        <f t="shared" si="25"/>
        <v>0.26</v>
      </c>
      <c r="H83" s="280">
        <f t="shared" si="25"/>
        <v>0.21299999999999999</v>
      </c>
      <c r="I83" s="85">
        <f t="shared" si="25"/>
        <v>0.222</v>
      </c>
      <c r="J83" s="2381">
        <f>J82</f>
        <v>0.223</v>
      </c>
      <c r="K83" s="2411">
        <f t="shared" si="25"/>
        <v>1743</v>
      </c>
      <c r="L83" s="1980">
        <f t="shared" si="25"/>
        <v>1742</v>
      </c>
      <c r="M83" s="1980">
        <f t="shared" si="25"/>
        <v>1742</v>
      </c>
      <c r="N83" s="1980">
        <f t="shared" si="25"/>
        <v>1729</v>
      </c>
      <c r="O83" s="2412">
        <f>O82</f>
        <v>1850</v>
      </c>
      <c r="P83" s="1978">
        <f t="shared" si="22"/>
        <v>129</v>
      </c>
      <c r="Q83" s="2372"/>
    </row>
    <row r="84" spans="1:17" ht="13.5" thickBot="1">
      <c r="A84" s="3325" t="s">
        <v>32</v>
      </c>
      <c r="B84" s="3326"/>
      <c r="C84" s="3326"/>
      <c r="D84" s="3326"/>
      <c r="E84" s="3327"/>
      <c r="F84" s="2453">
        <f t="shared" ref="F84:O84" si="26">F76+F69+F61+F44+F37+F26+F18+F9</f>
        <v>174.149</v>
      </c>
      <c r="G84" s="2454">
        <f t="shared" si="26"/>
        <v>178.816</v>
      </c>
      <c r="H84" s="2454">
        <f t="shared" si="26"/>
        <v>189.523</v>
      </c>
      <c r="I84" s="2455">
        <f t="shared" si="26"/>
        <v>193.96899999999999</v>
      </c>
      <c r="J84" s="2455">
        <f t="shared" si="26"/>
        <v>186.66200000000001</v>
      </c>
      <c r="K84" s="2456">
        <f t="shared" si="26"/>
        <v>1373575</v>
      </c>
      <c r="L84" s="2457">
        <f t="shared" si="26"/>
        <v>1387038</v>
      </c>
      <c r="M84" s="2458">
        <f t="shared" si="26"/>
        <v>1406266</v>
      </c>
      <c r="N84" s="2457">
        <f t="shared" si="26"/>
        <v>1425312</v>
      </c>
      <c r="O84" s="2459">
        <f t="shared" si="26"/>
        <v>1467069</v>
      </c>
      <c r="P84" s="2460">
        <f t="shared" ref="P84:P86" si="27">SUM(F84:J84)/SUM(K84:O84)*1000000</f>
        <v>131</v>
      </c>
      <c r="Q84" s="2461"/>
    </row>
    <row r="85" spans="1:17" ht="13.5" thickBot="1">
      <c r="A85" s="3325" t="s">
        <v>33</v>
      </c>
      <c r="B85" s="3326"/>
      <c r="C85" s="3326"/>
      <c r="D85" s="3326"/>
      <c r="E85" s="3327"/>
      <c r="F85" s="2462">
        <f t="shared" ref="F85:O85" si="28">F15+F21+F29+F47+F52+F81+F83</f>
        <v>9.1460000000000008</v>
      </c>
      <c r="G85" s="88">
        <f t="shared" si="28"/>
        <v>9.2840000000000007</v>
      </c>
      <c r="H85" s="88">
        <f t="shared" si="28"/>
        <v>9.5850000000000009</v>
      </c>
      <c r="I85" s="2463">
        <f t="shared" si="28"/>
        <v>9.4779999999999998</v>
      </c>
      <c r="J85" s="2463">
        <f t="shared" si="28"/>
        <v>9.5939999999999994</v>
      </c>
      <c r="K85" s="2464">
        <f t="shared" si="28"/>
        <v>64228</v>
      </c>
      <c r="L85" s="2465">
        <f t="shared" si="28"/>
        <v>64483</v>
      </c>
      <c r="M85" s="2465">
        <f t="shared" si="28"/>
        <v>65492</v>
      </c>
      <c r="N85" s="2465">
        <f t="shared" si="28"/>
        <v>65993</v>
      </c>
      <c r="O85" s="2466">
        <f t="shared" si="28"/>
        <v>67333</v>
      </c>
      <c r="P85" s="2460">
        <f t="shared" si="27"/>
        <v>144</v>
      </c>
      <c r="Q85" s="2461"/>
    </row>
    <row r="86" spans="1:17" ht="13.5" thickBot="1">
      <c r="A86" s="3325" t="s">
        <v>34</v>
      </c>
      <c r="B86" s="3326"/>
      <c r="C86" s="3326"/>
      <c r="D86" s="3326"/>
      <c r="E86" s="3327"/>
      <c r="F86" s="84">
        <f t="shared" ref="F86:N86" si="29">F84+F85</f>
        <v>183.29499999999999</v>
      </c>
      <c r="G86" s="280">
        <f t="shared" si="29"/>
        <v>188.1</v>
      </c>
      <c r="H86" s="280">
        <f t="shared" si="29"/>
        <v>199.108</v>
      </c>
      <c r="I86" s="287">
        <f t="shared" si="29"/>
        <v>203.447</v>
      </c>
      <c r="J86" s="287">
        <f t="shared" ref="J86" si="30">J84+J85</f>
        <v>196.256</v>
      </c>
      <c r="K86" s="2411">
        <f t="shared" si="29"/>
        <v>1437803</v>
      </c>
      <c r="L86" s="1980">
        <f t="shared" si="29"/>
        <v>1451521</v>
      </c>
      <c r="M86" s="1980">
        <f t="shared" si="29"/>
        <v>1471758</v>
      </c>
      <c r="N86" s="1980">
        <f t="shared" si="29"/>
        <v>1491305</v>
      </c>
      <c r="O86" s="2412">
        <f t="shared" ref="O86" si="31">O84+O85</f>
        <v>1534402</v>
      </c>
      <c r="P86" s="2460">
        <f t="shared" si="27"/>
        <v>131</v>
      </c>
      <c r="Q86" s="2461"/>
    </row>
    <row r="87" spans="1:17">
      <c r="A87" s="54" t="s">
        <v>35</v>
      </c>
    </row>
    <row r="88" spans="1:17">
      <c r="A88" s="2" t="s">
        <v>68</v>
      </c>
      <c r="I88" s="2467" t="s">
        <v>36</v>
      </c>
      <c r="N88" s="2" t="s">
        <v>36</v>
      </c>
    </row>
    <row r="89" spans="1:17">
      <c r="A89" s="2" t="s">
        <v>69</v>
      </c>
      <c r="K89" s="212"/>
      <c r="L89" s="212"/>
      <c r="M89" s="212" t="s">
        <v>36</v>
      </c>
      <c r="N89" s="212"/>
      <c r="O89" s="212"/>
    </row>
    <row r="90" spans="1:17">
      <c r="A90" s="2" t="s">
        <v>342</v>
      </c>
    </row>
    <row r="91" spans="1:17">
      <c r="A91" s="2" t="s">
        <v>343</v>
      </c>
    </row>
    <row r="92" spans="1:17">
      <c r="A92" s="2"/>
    </row>
    <row r="93" spans="1:17" ht="13.5" thickBot="1">
      <c r="A93" s="2" t="s">
        <v>344</v>
      </c>
    </row>
    <row r="94" spans="1:17" ht="21.75" customHeight="1">
      <c r="A94" s="3212" t="s">
        <v>272</v>
      </c>
      <c r="B94" s="3213" t="s">
        <v>273</v>
      </c>
      <c r="C94" s="3219" t="s">
        <v>86</v>
      </c>
      <c r="D94" s="3215" t="s">
        <v>274</v>
      </c>
      <c r="E94" s="3209" t="s">
        <v>85</v>
      </c>
      <c r="F94" s="3342" t="s">
        <v>55</v>
      </c>
      <c r="G94" s="3332"/>
      <c r="H94" s="3332"/>
      <c r="I94" s="3332"/>
      <c r="J94" s="3333"/>
      <c r="K94" s="3334" t="s">
        <v>275</v>
      </c>
      <c r="L94" s="3334"/>
      <c r="M94" s="3334"/>
      <c r="N94" s="3334"/>
      <c r="O94" s="3334"/>
      <c r="P94" s="3238" t="s">
        <v>276</v>
      </c>
      <c r="Q94" s="3218" t="s">
        <v>277</v>
      </c>
    </row>
    <row r="95" spans="1:17" s="67" customFormat="1" ht="21.75" customHeight="1" thickBot="1">
      <c r="A95" s="3330"/>
      <c r="B95" s="3331"/>
      <c r="C95" s="3328"/>
      <c r="D95" s="3329"/>
      <c r="E95" s="3211"/>
      <c r="F95" s="2528">
        <v>2014</v>
      </c>
      <c r="G95" s="2310">
        <v>2015</v>
      </c>
      <c r="H95" s="2310">
        <v>2016</v>
      </c>
      <c r="I95" s="2311">
        <v>2017</v>
      </c>
      <c r="J95" s="2312">
        <v>2018</v>
      </c>
      <c r="K95" s="2522">
        <v>2014</v>
      </c>
      <c r="L95" s="2310">
        <v>2015</v>
      </c>
      <c r="M95" s="2313">
        <v>2016</v>
      </c>
      <c r="N95" s="2310">
        <v>2017</v>
      </c>
      <c r="O95" s="2314">
        <v>2018</v>
      </c>
      <c r="P95" s="3240"/>
      <c r="Q95" s="3343"/>
    </row>
    <row r="96" spans="1:17">
      <c r="A96" s="2468">
        <v>216823</v>
      </c>
      <c r="B96" s="2469" t="s">
        <v>231</v>
      </c>
      <c r="C96" s="2469" t="s">
        <v>231</v>
      </c>
      <c r="D96" s="2470" t="s">
        <v>341</v>
      </c>
      <c r="E96" s="2471" t="s">
        <v>46</v>
      </c>
      <c r="F96" s="129">
        <v>0.51900000000000002</v>
      </c>
      <c r="G96" s="75">
        <v>0.52500000000000002</v>
      </c>
      <c r="H96" s="75">
        <v>0.54600000000000004</v>
      </c>
      <c r="I96" s="269">
        <v>0.55200000000000005</v>
      </c>
      <c r="J96" s="177">
        <v>0.57799999999999996</v>
      </c>
      <c r="K96" s="2523">
        <v>1645</v>
      </c>
      <c r="L96" s="2515">
        <v>1637</v>
      </c>
      <c r="M96" s="2473">
        <v>1617</v>
      </c>
      <c r="N96" s="2474">
        <v>1611</v>
      </c>
      <c r="O96" s="2352">
        <v>1696</v>
      </c>
      <c r="P96" s="2254">
        <f t="shared" ref="P96:P100" si="32">SUM(F96:J96)/SUM(K96:O96)*1000000</f>
        <v>331</v>
      </c>
      <c r="Q96" s="2320"/>
    </row>
    <row r="97" spans="1:17">
      <c r="A97" s="2345">
        <v>216831</v>
      </c>
      <c r="B97" s="2432" t="s">
        <v>232</v>
      </c>
      <c r="C97" s="2432" t="s">
        <v>232</v>
      </c>
      <c r="D97" s="2475" t="s">
        <v>345</v>
      </c>
      <c r="E97" s="2403" t="s">
        <v>46</v>
      </c>
      <c r="F97" s="809">
        <v>6.0999999999999999E-2</v>
      </c>
      <c r="G97" s="819">
        <v>6.5000000000000002E-2</v>
      </c>
      <c r="H97" s="819">
        <v>7.2999999999999995E-2</v>
      </c>
      <c r="I97" s="817">
        <v>7.1999999999999995E-2</v>
      </c>
      <c r="J97" s="818">
        <v>7.2999999999999995E-2</v>
      </c>
      <c r="K97" s="1954">
        <v>286</v>
      </c>
      <c r="L97" s="814">
        <v>286</v>
      </c>
      <c r="M97" s="807">
        <v>285</v>
      </c>
      <c r="N97" s="814">
        <v>285</v>
      </c>
      <c r="O97" s="2476">
        <v>300</v>
      </c>
      <c r="P97" s="1953">
        <f t="shared" si="32"/>
        <v>239</v>
      </c>
      <c r="Q97" s="2324"/>
    </row>
    <row r="98" spans="1:17">
      <c r="A98" s="2468">
        <v>217129</v>
      </c>
      <c r="B98" s="2469" t="s">
        <v>233</v>
      </c>
      <c r="C98" s="2469" t="s">
        <v>233</v>
      </c>
      <c r="D98" s="2470" t="s">
        <v>346</v>
      </c>
      <c r="E98" s="2471" t="s">
        <v>46</v>
      </c>
      <c r="F98" s="129">
        <v>4.1000000000000002E-2</v>
      </c>
      <c r="G98" s="75">
        <v>4.4999999999999998E-2</v>
      </c>
      <c r="H98" s="75">
        <v>4.7E-2</v>
      </c>
      <c r="I98" s="269">
        <v>4.9000000000000002E-2</v>
      </c>
      <c r="J98" s="177">
        <v>4.2000000000000003E-2</v>
      </c>
      <c r="K98" s="2523">
        <v>164</v>
      </c>
      <c r="L98" s="2515">
        <v>164</v>
      </c>
      <c r="M98" s="2473">
        <v>160</v>
      </c>
      <c r="N98" s="2474">
        <v>158</v>
      </c>
      <c r="O98" s="2352">
        <v>167</v>
      </c>
      <c r="P98" s="2254">
        <f t="shared" si="32"/>
        <v>276</v>
      </c>
      <c r="Q98" s="2320"/>
    </row>
    <row r="99" spans="1:17" ht="26.25" thickBot="1">
      <c r="A99" s="2361">
        <v>220310</v>
      </c>
      <c r="B99" s="2450" t="s">
        <v>347</v>
      </c>
      <c r="C99" s="2450" t="s">
        <v>347</v>
      </c>
      <c r="D99" s="2477"/>
      <c r="E99" s="2437" t="s">
        <v>46</v>
      </c>
      <c r="F99" s="1874">
        <v>0</v>
      </c>
      <c r="G99" s="746">
        <v>0</v>
      </c>
      <c r="H99" s="746">
        <v>0</v>
      </c>
      <c r="I99" s="869">
        <v>0</v>
      </c>
      <c r="J99" s="747">
        <v>0</v>
      </c>
      <c r="K99" s="2032">
        <v>405</v>
      </c>
      <c r="L99" s="2033">
        <v>404</v>
      </c>
      <c r="M99" s="2034">
        <v>401</v>
      </c>
      <c r="N99" s="2033">
        <v>398</v>
      </c>
      <c r="O99" s="2380">
        <v>421</v>
      </c>
      <c r="P99" s="2031">
        <f t="shared" si="32"/>
        <v>0</v>
      </c>
      <c r="Q99" s="2331" t="s">
        <v>348</v>
      </c>
    </row>
    <row r="100" spans="1:17" ht="14.25" customHeight="1" thickTop="1" thickBot="1">
      <c r="A100" s="3236" t="s">
        <v>235</v>
      </c>
      <c r="B100" s="3324"/>
      <c r="C100" s="3324"/>
      <c r="D100" s="3324"/>
      <c r="E100" s="3237"/>
      <c r="F100" s="2513">
        <f t="shared" ref="F100:O100" si="33">SUM(F96:F99)</f>
        <v>0.621</v>
      </c>
      <c r="G100" s="280">
        <f t="shared" si="33"/>
        <v>0.63500000000000001</v>
      </c>
      <c r="H100" s="280">
        <f t="shared" si="33"/>
        <v>0.66600000000000004</v>
      </c>
      <c r="I100" s="85">
        <f t="shared" si="33"/>
        <v>0.67300000000000004</v>
      </c>
      <c r="J100" s="2381">
        <f t="shared" si="33"/>
        <v>0.69299999999999995</v>
      </c>
      <c r="K100" s="1979">
        <f t="shared" si="33"/>
        <v>2500</v>
      </c>
      <c r="L100" s="1980">
        <f t="shared" si="33"/>
        <v>2491</v>
      </c>
      <c r="M100" s="1980">
        <f t="shared" si="33"/>
        <v>2463</v>
      </c>
      <c r="N100" s="1980">
        <f t="shared" si="33"/>
        <v>2452</v>
      </c>
      <c r="O100" s="2371">
        <f t="shared" si="33"/>
        <v>2584</v>
      </c>
      <c r="P100" s="1978">
        <f t="shared" si="32"/>
        <v>263</v>
      </c>
      <c r="Q100" s="2383"/>
    </row>
    <row r="101" spans="1:17" ht="14.25" customHeight="1" thickBot="1">
      <c r="A101" s="2468" t="s">
        <v>349</v>
      </c>
      <c r="B101" s="2469" t="s">
        <v>350</v>
      </c>
      <c r="C101" s="2469" t="s">
        <v>350</v>
      </c>
      <c r="D101" s="2452" t="s">
        <v>351</v>
      </c>
      <c r="E101" s="2471" t="s">
        <v>47</v>
      </c>
      <c r="F101" s="129">
        <v>0</v>
      </c>
      <c r="G101" s="75">
        <v>0</v>
      </c>
      <c r="H101" s="75">
        <v>0</v>
      </c>
      <c r="I101" s="75">
        <v>0</v>
      </c>
      <c r="J101" s="177">
        <v>0</v>
      </c>
      <c r="K101" s="2530">
        <v>548</v>
      </c>
      <c r="L101" s="2531">
        <v>553</v>
      </c>
      <c r="M101" s="2532">
        <v>529</v>
      </c>
      <c r="N101" s="2533">
        <v>577</v>
      </c>
      <c r="O101" s="2534">
        <v>603</v>
      </c>
      <c r="P101" s="2535" t="s">
        <v>16</v>
      </c>
      <c r="Q101" s="2338" t="s">
        <v>352</v>
      </c>
    </row>
    <row r="102" spans="1:17" ht="14.25" thickTop="1" thickBot="1">
      <c r="A102" s="3321" t="s">
        <v>238</v>
      </c>
      <c r="B102" s="3322"/>
      <c r="C102" s="3322"/>
      <c r="D102" s="3322"/>
      <c r="E102" s="3323"/>
      <c r="F102" s="1397">
        <v>0</v>
      </c>
      <c r="G102" s="2478">
        <v>0</v>
      </c>
      <c r="H102" s="2478">
        <v>0</v>
      </c>
      <c r="I102" s="2478">
        <v>0</v>
      </c>
      <c r="J102" s="1403">
        <v>0</v>
      </c>
      <c r="K102" s="1979">
        <f>SUM(K101:K101)</f>
        <v>548</v>
      </c>
      <c r="L102" s="1980">
        <f>SUM(L101:L101)</f>
        <v>553</v>
      </c>
      <c r="M102" s="1980">
        <f>SUM(M101:M101)</f>
        <v>529</v>
      </c>
      <c r="N102" s="1980">
        <f>SUM(N101:N101)</f>
        <v>577</v>
      </c>
      <c r="O102" s="2371">
        <f>SUM(O101:O101)</f>
        <v>603</v>
      </c>
      <c r="P102" s="304" t="s">
        <v>16</v>
      </c>
      <c r="Q102" s="2398"/>
    </row>
    <row r="103" spans="1:17" ht="13.5" thickBot="1">
      <c r="A103" s="294">
        <v>216851</v>
      </c>
      <c r="B103" s="2480" t="s">
        <v>240</v>
      </c>
      <c r="C103" s="2480" t="s">
        <v>240</v>
      </c>
      <c r="D103" s="2481" t="s">
        <v>353</v>
      </c>
      <c r="E103" s="2482" t="s">
        <v>48</v>
      </c>
      <c r="F103" s="1275">
        <v>0.16800000000000001</v>
      </c>
      <c r="G103" s="2483">
        <v>0.14699999999999999</v>
      </c>
      <c r="H103" s="86">
        <v>0.161</v>
      </c>
      <c r="I103" s="2484">
        <v>0.14699999999999999</v>
      </c>
      <c r="J103" s="1276">
        <v>0.17199999999999999</v>
      </c>
      <c r="K103" s="2524">
        <v>1195</v>
      </c>
      <c r="L103" s="2516">
        <v>1188</v>
      </c>
      <c r="M103" s="2486">
        <v>1182</v>
      </c>
      <c r="N103" s="2487">
        <v>1183</v>
      </c>
      <c r="O103" s="2518">
        <v>1208</v>
      </c>
      <c r="P103" s="1989">
        <f t="shared" ref="P103:P104" si="34">SUM(F103:J103)/SUM(K103:O103)*1000000</f>
        <v>133</v>
      </c>
      <c r="Q103" s="2521"/>
    </row>
    <row r="104" spans="1:17" ht="14.25" thickTop="1" thickBot="1">
      <c r="A104" s="3236" t="s">
        <v>241</v>
      </c>
      <c r="B104" s="3324"/>
      <c r="C104" s="3324"/>
      <c r="D104" s="3324"/>
      <c r="E104" s="3237"/>
      <c r="F104" s="2513">
        <f t="shared" ref="F104:N104" si="35">F103</f>
        <v>0.16800000000000001</v>
      </c>
      <c r="G104" s="84">
        <f t="shared" si="35"/>
        <v>0.14699999999999999</v>
      </c>
      <c r="H104" s="84">
        <f t="shared" si="35"/>
        <v>0.161</v>
      </c>
      <c r="I104" s="2488">
        <f t="shared" si="35"/>
        <v>0.14699999999999999</v>
      </c>
      <c r="J104" s="2381">
        <f>J103</f>
        <v>0.17199999999999999</v>
      </c>
      <c r="K104" s="1979">
        <f t="shared" si="35"/>
        <v>1195</v>
      </c>
      <c r="L104" s="1980">
        <f t="shared" si="35"/>
        <v>1188</v>
      </c>
      <c r="M104" s="1980">
        <f t="shared" si="35"/>
        <v>1182</v>
      </c>
      <c r="N104" s="1980">
        <f t="shared" si="35"/>
        <v>1183</v>
      </c>
      <c r="O104" s="2371">
        <f>O103</f>
        <v>1208</v>
      </c>
      <c r="P104" s="1978">
        <f t="shared" si="34"/>
        <v>133</v>
      </c>
      <c r="Q104" s="2383"/>
    </row>
    <row r="105" spans="1:17">
      <c r="A105" s="2339">
        <v>216821</v>
      </c>
      <c r="B105" s="750" t="s">
        <v>354</v>
      </c>
      <c r="C105" s="750" t="s">
        <v>354</v>
      </c>
      <c r="D105" s="2385" t="s">
        <v>355</v>
      </c>
      <c r="E105" s="2400" t="s">
        <v>49</v>
      </c>
      <c r="F105" s="1018">
        <v>0.13200000000000001</v>
      </c>
      <c r="G105" s="83">
        <v>0.11600000000000001</v>
      </c>
      <c r="H105" s="83">
        <v>0.125</v>
      </c>
      <c r="I105" s="289">
        <v>0.129</v>
      </c>
      <c r="J105" s="132">
        <v>0.13100000000000001</v>
      </c>
      <c r="K105" s="2525">
        <v>2191</v>
      </c>
      <c r="L105" s="2495">
        <v>2180</v>
      </c>
      <c r="M105" s="2342">
        <v>2207</v>
      </c>
      <c r="N105" s="2343">
        <v>2283</v>
      </c>
      <c r="O105" s="2344">
        <v>2304</v>
      </c>
      <c r="P105" s="2047">
        <f t="shared" ref="P105:P114" si="36">SUM(F105:J105)/SUM(K105:O105)*1000000</f>
        <v>57</v>
      </c>
      <c r="Q105" s="2341"/>
    </row>
    <row r="106" spans="1:17">
      <c r="A106" s="2345">
        <v>216826</v>
      </c>
      <c r="B106" s="2432" t="s">
        <v>245</v>
      </c>
      <c r="C106" s="2432" t="s">
        <v>245</v>
      </c>
      <c r="D106" s="2402" t="s">
        <v>356</v>
      </c>
      <c r="E106" s="2403" t="s">
        <v>49</v>
      </c>
      <c r="F106" s="809">
        <v>0.312</v>
      </c>
      <c r="G106" s="819">
        <v>0.314</v>
      </c>
      <c r="H106" s="819">
        <v>0.28399999999999997</v>
      </c>
      <c r="I106" s="817">
        <v>0.29099999999999998</v>
      </c>
      <c r="J106" s="818">
        <v>0.29299999999999998</v>
      </c>
      <c r="K106" s="2526">
        <v>2220</v>
      </c>
      <c r="L106" s="2496">
        <v>2211</v>
      </c>
      <c r="M106" s="2350">
        <v>2215</v>
      </c>
      <c r="N106" s="2351">
        <v>2208</v>
      </c>
      <c r="O106" s="2519">
        <v>2229</v>
      </c>
      <c r="P106" s="1953">
        <f t="shared" si="36"/>
        <v>135</v>
      </c>
      <c r="Q106" s="2324"/>
    </row>
    <row r="107" spans="1:17">
      <c r="A107" s="2345">
        <v>216830</v>
      </c>
      <c r="B107" s="2432" t="s">
        <v>247</v>
      </c>
      <c r="C107" s="2432" t="s">
        <v>247</v>
      </c>
      <c r="D107" s="2402" t="s">
        <v>357</v>
      </c>
      <c r="E107" s="2403" t="s">
        <v>49</v>
      </c>
      <c r="F107" s="809">
        <v>0.114</v>
      </c>
      <c r="G107" s="819">
        <v>0.154</v>
      </c>
      <c r="H107" s="819">
        <v>0.151</v>
      </c>
      <c r="I107" s="817">
        <v>0.153</v>
      </c>
      <c r="J107" s="818">
        <v>0.16400000000000001</v>
      </c>
      <c r="K107" s="2526">
        <v>1111</v>
      </c>
      <c r="L107" s="2496">
        <v>1106</v>
      </c>
      <c r="M107" s="2350">
        <v>1110</v>
      </c>
      <c r="N107" s="2351">
        <v>1130</v>
      </c>
      <c r="O107" s="2519">
        <v>1133</v>
      </c>
      <c r="P107" s="1953">
        <f t="shared" si="36"/>
        <v>132</v>
      </c>
      <c r="Q107" s="2324"/>
    </row>
    <row r="108" spans="1:17" ht="64.5" thickBot="1">
      <c r="A108" s="2419">
        <v>220310</v>
      </c>
      <c r="B108" s="1177" t="s">
        <v>358</v>
      </c>
      <c r="C108" s="1177" t="s">
        <v>358</v>
      </c>
      <c r="D108" s="2452" t="s">
        <v>359</v>
      </c>
      <c r="E108" s="2421" t="s">
        <v>49</v>
      </c>
      <c r="F108" s="2505">
        <v>9.4E-2</v>
      </c>
      <c r="G108" s="991">
        <v>9.7000000000000003E-2</v>
      </c>
      <c r="H108" s="991">
        <v>0.11700000000000001</v>
      </c>
      <c r="I108" s="992">
        <v>0.13</v>
      </c>
      <c r="J108" s="2514">
        <v>0.13700000000000001</v>
      </c>
      <c r="K108" s="2527">
        <v>178</v>
      </c>
      <c r="L108" s="2508">
        <v>177</v>
      </c>
      <c r="M108" s="2424">
        <v>176</v>
      </c>
      <c r="N108" s="2425">
        <v>175</v>
      </c>
      <c r="O108" s="2520">
        <v>176</v>
      </c>
      <c r="P108" s="1963">
        <f>SUM(F108:J108)/SUM(K108:O108,K99:O99,K46:O46)*1000000</f>
        <v>170</v>
      </c>
      <c r="Q108" s="2331" t="s">
        <v>360</v>
      </c>
    </row>
    <row r="109" spans="1:17" ht="14.25" thickTop="1" thickBot="1">
      <c r="A109" s="3339" t="s">
        <v>251</v>
      </c>
      <c r="B109" s="3340"/>
      <c r="C109" s="3340"/>
      <c r="D109" s="3340"/>
      <c r="E109" s="3341"/>
      <c r="F109" s="2513">
        <f>SUM(F105:F108)</f>
        <v>0.65200000000000002</v>
      </c>
      <c r="G109" s="280">
        <f t="shared" ref="G109:O109" si="37">SUM(G105:G108)</f>
        <v>0.68100000000000005</v>
      </c>
      <c r="H109" s="280">
        <f t="shared" si="37"/>
        <v>0.67700000000000005</v>
      </c>
      <c r="I109" s="85">
        <f t="shared" si="37"/>
        <v>0.70299999999999996</v>
      </c>
      <c r="J109" s="2381">
        <f t="shared" si="37"/>
        <v>0.72499999999999998</v>
      </c>
      <c r="K109" s="1979">
        <f t="shared" si="37"/>
        <v>5700</v>
      </c>
      <c r="L109" s="1980">
        <f t="shared" si="37"/>
        <v>5674</v>
      </c>
      <c r="M109" s="1980">
        <f t="shared" si="37"/>
        <v>5708</v>
      </c>
      <c r="N109" s="1980">
        <f t="shared" si="37"/>
        <v>5796</v>
      </c>
      <c r="O109" s="2371">
        <f t="shared" si="37"/>
        <v>5842</v>
      </c>
      <c r="P109" s="1978">
        <f t="shared" si="36"/>
        <v>120</v>
      </c>
      <c r="Q109" s="2383"/>
    </row>
    <row r="110" spans="1:17">
      <c r="A110" s="2345">
        <v>216506</v>
      </c>
      <c r="B110" s="2432" t="s">
        <v>253</v>
      </c>
      <c r="C110" s="2432" t="s">
        <v>253</v>
      </c>
      <c r="D110" s="2402" t="s">
        <v>361</v>
      </c>
      <c r="E110" s="2403" t="s">
        <v>50</v>
      </c>
      <c r="F110" s="809">
        <v>1.0129999999999999</v>
      </c>
      <c r="G110" s="819">
        <v>0.92500000000000004</v>
      </c>
      <c r="H110" s="819">
        <v>0.97399999999999998</v>
      </c>
      <c r="I110" s="817">
        <v>1.0580000000000001</v>
      </c>
      <c r="J110" s="818">
        <v>1.0429999999999999</v>
      </c>
      <c r="K110" s="2526">
        <v>3806</v>
      </c>
      <c r="L110" s="2496">
        <v>3783</v>
      </c>
      <c r="M110" s="2350">
        <v>3762</v>
      </c>
      <c r="N110" s="2351">
        <v>3741</v>
      </c>
      <c r="O110" s="2519">
        <v>3969</v>
      </c>
      <c r="P110" s="1953">
        <f t="shared" si="36"/>
        <v>263</v>
      </c>
      <c r="Q110" s="2324"/>
    </row>
    <row r="111" spans="1:17">
      <c r="A111" s="2345">
        <v>217127</v>
      </c>
      <c r="B111" s="2432" t="s">
        <v>255</v>
      </c>
      <c r="C111" s="2432" t="s">
        <v>255</v>
      </c>
      <c r="D111" s="2402" t="s">
        <v>362</v>
      </c>
      <c r="E111" s="2403" t="s">
        <v>50</v>
      </c>
      <c r="F111" s="809">
        <v>9.8000000000000004E-2</v>
      </c>
      <c r="G111" s="819">
        <v>0.1</v>
      </c>
      <c r="H111" s="819">
        <v>0.11600000000000001</v>
      </c>
      <c r="I111" s="817">
        <v>0.13</v>
      </c>
      <c r="J111" s="818">
        <v>0.104</v>
      </c>
      <c r="K111" s="2526">
        <v>773</v>
      </c>
      <c r="L111" s="2496">
        <v>770</v>
      </c>
      <c r="M111" s="2350">
        <v>772</v>
      </c>
      <c r="N111" s="2351">
        <v>756</v>
      </c>
      <c r="O111" s="2519">
        <v>796</v>
      </c>
      <c r="P111" s="1953">
        <f t="shared" si="36"/>
        <v>142</v>
      </c>
      <c r="Q111" s="2324"/>
    </row>
    <row r="112" spans="1:17">
      <c r="A112" s="2468">
        <v>218663</v>
      </c>
      <c r="B112" s="2469" t="s">
        <v>257</v>
      </c>
      <c r="C112" s="2469" t="s">
        <v>257</v>
      </c>
      <c r="D112" s="2490" t="s">
        <v>363</v>
      </c>
      <c r="E112" s="2471" t="s">
        <v>50</v>
      </c>
      <c r="F112" s="129">
        <v>6.9000000000000006E-2</v>
      </c>
      <c r="G112" s="75">
        <v>6.2E-2</v>
      </c>
      <c r="H112" s="75">
        <v>7.9000000000000001E-2</v>
      </c>
      <c r="I112" s="269">
        <v>5.8999999999999997E-2</v>
      </c>
      <c r="J112" s="177">
        <v>7.1999999999999995E-2</v>
      </c>
      <c r="K112" s="2523">
        <v>331</v>
      </c>
      <c r="L112" s="2515">
        <v>331</v>
      </c>
      <c r="M112" s="2473">
        <v>319</v>
      </c>
      <c r="N112" s="2474">
        <v>319</v>
      </c>
      <c r="O112" s="2352">
        <v>338</v>
      </c>
      <c r="P112" s="2254">
        <f t="shared" ref="P112" si="38">SUM(F112:J112)/SUM(K112:O112)*1000000</f>
        <v>208</v>
      </c>
      <c r="Q112" s="2320"/>
    </row>
    <row r="113" spans="1:17" ht="13.5" thickBot="1">
      <c r="A113" s="2361">
        <v>219588</v>
      </c>
      <c r="B113" s="749" t="s">
        <v>364</v>
      </c>
      <c r="C113" s="749" t="s">
        <v>364</v>
      </c>
      <c r="D113" s="2388" t="s">
        <v>365</v>
      </c>
      <c r="E113" s="2437" t="s">
        <v>50</v>
      </c>
      <c r="F113" s="1874">
        <v>5.0999999999999997E-2</v>
      </c>
      <c r="G113" s="746">
        <v>5.1999999999999998E-2</v>
      </c>
      <c r="H113" s="746">
        <v>5.5E-2</v>
      </c>
      <c r="I113" s="869">
        <v>4.4999999999999998E-2</v>
      </c>
      <c r="J113" s="747">
        <v>0.05</v>
      </c>
      <c r="K113" s="2032">
        <v>622</v>
      </c>
      <c r="L113" s="2033">
        <v>620</v>
      </c>
      <c r="M113" s="2034">
        <v>620</v>
      </c>
      <c r="N113" s="2033">
        <v>621</v>
      </c>
      <c r="O113" s="2380">
        <v>659</v>
      </c>
      <c r="P113" s="2031">
        <f t="shared" si="36"/>
        <v>81</v>
      </c>
      <c r="Q113" s="2331"/>
    </row>
    <row r="114" spans="1:17" ht="14.25" customHeight="1" thickTop="1" thickBot="1">
      <c r="A114" s="3336" t="s">
        <v>261</v>
      </c>
      <c r="B114" s="3337"/>
      <c r="C114" s="3337"/>
      <c r="D114" s="3337"/>
      <c r="E114" s="3338"/>
      <c r="F114" s="2513">
        <f t="shared" ref="F114:O114" si="39">SUM(F110:F113)</f>
        <v>1.2310000000000001</v>
      </c>
      <c r="G114" s="280">
        <f t="shared" si="39"/>
        <v>1.139</v>
      </c>
      <c r="H114" s="280">
        <f t="shared" si="39"/>
        <v>1.224</v>
      </c>
      <c r="I114" s="85">
        <f t="shared" si="39"/>
        <v>1.292</v>
      </c>
      <c r="J114" s="2381">
        <f t="shared" si="39"/>
        <v>1.2689999999999999</v>
      </c>
      <c r="K114" s="1979">
        <f t="shared" si="39"/>
        <v>5532</v>
      </c>
      <c r="L114" s="1980">
        <f t="shared" si="39"/>
        <v>5504</v>
      </c>
      <c r="M114" s="1980">
        <f t="shared" si="39"/>
        <v>5473</v>
      </c>
      <c r="N114" s="1980">
        <f t="shared" si="39"/>
        <v>5437</v>
      </c>
      <c r="O114" s="2371">
        <f t="shared" si="39"/>
        <v>5762</v>
      </c>
      <c r="P114" s="1978">
        <f t="shared" si="36"/>
        <v>222</v>
      </c>
      <c r="Q114" s="2383"/>
    </row>
    <row r="115" spans="1:17" ht="14.25" customHeight="1">
      <c r="A115" s="2339">
        <v>216835</v>
      </c>
      <c r="B115" s="2430" t="s">
        <v>366</v>
      </c>
      <c r="C115" s="2430" t="s">
        <v>366</v>
      </c>
      <c r="D115" s="2385" t="s">
        <v>367</v>
      </c>
      <c r="E115" s="2400" t="s">
        <v>51</v>
      </c>
      <c r="F115" s="1018">
        <v>1.4139999999999999</v>
      </c>
      <c r="G115" s="83">
        <v>1.431</v>
      </c>
      <c r="H115" s="83">
        <v>1.4970000000000001</v>
      </c>
      <c r="I115" s="289">
        <v>1.415</v>
      </c>
      <c r="J115" s="132">
        <v>1.498</v>
      </c>
      <c r="K115" s="2525">
        <v>6745</v>
      </c>
      <c r="L115" s="2495">
        <v>6736</v>
      </c>
      <c r="M115" s="2342">
        <v>6663</v>
      </c>
      <c r="N115" s="2343">
        <v>6638</v>
      </c>
      <c r="O115" s="2344">
        <v>6919</v>
      </c>
      <c r="P115" s="2047">
        <f t="shared" ref="P115" si="40">SUM(F115:J115)/SUM(K115:O115)*1000000</f>
        <v>215</v>
      </c>
      <c r="Q115" s="2341"/>
    </row>
    <row r="116" spans="1:17">
      <c r="A116" s="2468">
        <v>220484</v>
      </c>
      <c r="B116" s="2469" t="s">
        <v>264</v>
      </c>
      <c r="C116" s="2469" t="s">
        <v>264</v>
      </c>
      <c r="D116" s="2490" t="s">
        <v>368</v>
      </c>
      <c r="E116" s="2471" t="s">
        <v>51</v>
      </c>
      <c r="F116" s="129">
        <v>0.29399999999999998</v>
      </c>
      <c r="G116" s="75">
        <v>0.26200000000000001</v>
      </c>
      <c r="H116" s="75">
        <v>0.371</v>
      </c>
      <c r="I116" s="269">
        <v>0.27200000000000002</v>
      </c>
      <c r="J116" s="177">
        <v>0.32200000000000001</v>
      </c>
      <c r="K116" s="2255">
        <v>3222</v>
      </c>
      <c r="L116" s="76">
        <v>3222</v>
      </c>
      <c r="M116" s="2256">
        <v>3174</v>
      </c>
      <c r="N116" s="76">
        <v>3168</v>
      </c>
      <c r="O116" s="2319">
        <v>3300</v>
      </c>
      <c r="P116" s="2254">
        <f>SUM(F116:J116)/SUM(K116:O116)*1000000</f>
        <v>95</v>
      </c>
      <c r="Q116" s="2320"/>
    </row>
    <row r="117" spans="1:17" ht="13.5" thickBot="1">
      <c r="A117" s="2361">
        <v>221166</v>
      </c>
      <c r="B117" s="2450" t="s">
        <v>265</v>
      </c>
      <c r="C117" s="2450" t="s">
        <v>265</v>
      </c>
      <c r="D117" s="2388" t="s">
        <v>369</v>
      </c>
      <c r="E117" s="2437" t="s">
        <v>51</v>
      </c>
      <c r="F117" s="1874">
        <v>4.9000000000000002E-2</v>
      </c>
      <c r="G117" s="746">
        <v>0.05</v>
      </c>
      <c r="H117" s="746">
        <v>0.05</v>
      </c>
      <c r="I117" s="869">
        <v>6.4000000000000001E-2</v>
      </c>
      <c r="J117" s="747">
        <v>6.4000000000000001E-2</v>
      </c>
      <c r="K117" s="2032">
        <v>1233</v>
      </c>
      <c r="L117" s="2033">
        <v>1233</v>
      </c>
      <c r="M117" s="2034">
        <v>1200</v>
      </c>
      <c r="N117" s="2033">
        <v>1214</v>
      </c>
      <c r="O117" s="2380">
        <v>1265</v>
      </c>
      <c r="P117" s="2031">
        <f>SUM(F117:J117)/SUM(K117:O117)*1000000</f>
        <v>45</v>
      </c>
      <c r="Q117" s="2331"/>
    </row>
    <row r="118" spans="1:17" ht="14.25" customHeight="1" thickTop="1" thickBot="1">
      <c r="A118" s="3236" t="s">
        <v>266</v>
      </c>
      <c r="B118" s="3324"/>
      <c r="C118" s="3324"/>
      <c r="D118" s="3324"/>
      <c r="E118" s="3237"/>
      <c r="F118" s="2513">
        <f>SUM(F115:F117)</f>
        <v>1.7569999999999999</v>
      </c>
      <c r="G118" s="280">
        <f t="shared" ref="G118:O118" si="41">SUM(G115:G117)</f>
        <v>1.7430000000000001</v>
      </c>
      <c r="H118" s="280">
        <f t="shared" si="41"/>
        <v>1.9179999999999999</v>
      </c>
      <c r="I118" s="85">
        <f t="shared" si="41"/>
        <v>1.7509999999999999</v>
      </c>
      <c r="J118" s="2381">
        <f t="shared" si="41"/>
        <v>1.8839999999999999</v>
      </c>
      <c r="K118" s="1979">
        <f t="shared" si="41"/>
        <v>11200</v>
      </c>
      <c r="L118" s="1980">
        <f t="shared" si="41"/>
        <v>11191</v>
      </c>
      <c r="M118" s="1980">
        <f t="shared" si="41"/>
        <v>11037</v>
      </c>
      <c r="N118" s="1980">
        <f t="shared" si="41"/>
        <v>11020</v>
      </c>
      <c r="O118" s="2371">
        <f t="shared" si="41"/>
        <v>11484</v>
      </c>
      <c r="P118" s="1978">
        <f>SUM(F118:J118)/SUM(K118:O118)*1000000</f>
        <v>162</v>
      </c>
      <c r="Q118" s="2383"/>
    </row>
    <row r="119" spans="1:17" ht="42" customHeight="1" thickBot="1">
      <c r="A119" s="3236" t="s">
        <v>52</v>
      </c>
      <c r="B119" s="3324"/>
      <c r="C119" s="3324"/>
      <c r="D119" s="3324"/>
      <c r="E119" s="3237"/>
      <c r="F119" s="2513">
        <f>F100+F104+F109+F114+F118</f>
        <v>4.4290000000000003</v>
      </c>
      <c r="G119" s="84">
        <f t="shared" ref="G119:J119" si="42">G100+G104+G109+G114+G118</f>
        <v>4.3449999999999998</v>
      </c>
      <c r="H119" s="84">
        <f t="shared" si="42"/>
        <v>4.6459999999999999</v>
      </c>
      <c r="I119" s="84">
        <f t="shared" si="42"/>
        <v>4.5659999999999998</v>
      </c>
      <c r="J119" s="2529">
        <f t="shared" si="42"/>
        <v>4.7430000000000003</v>
      </c>
      <c r="K119" s="2371">
        <f>K100+K102+K104+K109+K114+K118</f>
        <v>26675</v>
      </c>
      <c r="L119" s="2537">
        <f t="shared" ref="L119:O119" si="43">L100+L102+L104+L109+L114+L118</f>
        <v>26601</v>
      </c>
      <c r="M119" s="2537">
        <f t="shared" si="43"/>
        <v>26392</v>
      </c>
      <c r="N119" s="2537">
        <f t="shared" si="43"/>
        <v>26465</v>
      </c>
      <c r="O119" s="2536">
        <f t="shared" si="43"/>
        <v>27483</v>
      </c>
      <c r="P119" s="1978">
        <v>174</v>
      </c>
      <c r="Q119" s="2383" t="s">
        <v>370</v>
      </c>
    </row>
    <row r="120" spans="1:17">
      <c r="A120" s="54" t="s">
        <v>35</v>
      </c>
    </row>
    <row r="121" spans="1:17">
      <c r="A121" s="2" t="s">
        <v>68</v>
      </c>
      <c r="K121" s="212"/>
      <c r="L121" s="212"/>
      <c r="M121" s="212"/>
      <c r="N121" s="212"/>
      <c r="O121" s="212"/>
    </row>
    <row r="122" spans="1:17">
      <c r="A122" s="2" t="s">
        <v>69</v>
      </c>
    </row>
    <row r="123" spans="1:17">
      <c r="A123" s="2" t="s">
        <v>342</v>
      </c>
    </row>
    <row r="124" spans="1:17">
      <c r="A124" s="2" t="s">
        <v>343</v>
      </c>
    </row>
  </sheetData>
  <mergeCells count="54">
    <mergeCell ref="A1:Q1"/>
    <mergeCell ref="F94:J94"/>
    <mergeCell ref="K94:O94"/>
    <mergeCell ref="P94:P95"/>
    <mergeCell ref="Q94:Q95"/>
    <mergeCell ref="F54:J54"/>
    <mergeCell ref="K54:O54"/>
    <mergeCell ref="P54:P55"/>
    <mergeCell ref="Q54:Q55"/>
    <mergeCell ref="A29:E29"/>
    <mergeCell ref="A47:E47"/>
    <mergeCell ref="A52:E52"/>
    <mergeCell ref="A69:E69"/>
    <mergeCell ref="A81:E81"/>
    <mergeCell ref="A54:A55"/>
    <mergeCell ref="B54:B55"/>
    <mergeCell ref="A119:E119"/>
    <mergeCell ref="A94:A95"/>
    <mergeCell ref="B94:B95"/>
    <mergeCell ref="C94:C95"/>
    <mergeCell ref="D94:D95"/>
    <mergeCell ref="E94:E95"/>
    <mergeCell ref="A100:E100"/>
    <mergeCell ref="A102:E102"/>
    <mergeCell ref="A114:E114"/>
    <mergeCell ref="A109:E109"/>
    <mergeCell ref="A118:E118"/>
    <mergeCell ref="Q2:Q3"/>
    <mergeCell ref="A9:E9"/>
    <mergeCell ref="P2:P3"/>
    <mergeCell ref="A26:E26"/>
    <mergeCell ref="A18:E18"/>
    <mergeCell ref="A2:A3"/>
    <mergeCell ref="B2:B3"/>
    <mergeCell ref="C2:C3"/>
    <mergeCell ref="D2:D3"/>
    <mergeCell ref="E2:E3"/>
    <mergeCell ref="A15:E15"/>
    <mergeCell ref="A21:E21"/>
    <mergeCell ref="F2:J2"/>
    <mergeCell ref="K2:O2"/>
    <mergeCell ref="A37:E37"/>
    <mergeCell ref="A44:E44"/>
    <mergeCell ref="A76:E76"/>
    <mergeCell ref="A104:E104"/>
    <mergeCell ref="A61:E61"/>
    <mergeCell ref="A85:E85"/>
    <mergeCell ref="A86:E86"/>
    <mergeCell ref="A83:E83"/>
    <mergeCell ref="A84:E84"/>
    <mergeCell ref="C54:C55"/>
    <mergeCell ref="D54:D55"/>
    <mergeCell ref="E54:E55"/>
    <mergeCell ref="A53:Q53"/>
  </mergeCells>
  <pageMargins left="0.7" right="0.7" top="0.75" bottom="0.75" header="0.3" footer="0.3"/>
  <pageSetup paperSize="5" scale="57" fitToHeight="0" orientation="landscape" r:id="rId1"/>
  <rowBreaks count="2" manualBreakCount="2">
    <brk id="52" max="16383" man="1"/>
    <brk id="91"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49"/>
  <sheetViews>
    <sheetView workbookViewId="0">
      <pane xSplit="1" topLeftCell="J1" activePane="topRight" state="frozen"/>
      <selection pane="topRight" activeCell="P20" sqref="P20"/>
    </sheetView>
  </sheetViews>
  <sheetFormatPr defaultColWidth="9.140625" defaultRowHeight="12.75"/>
  <cols>
    <col min="1" max="1" width="15.28515625" style="1" customWidth="1"/>
    <col min="2" max="2" width="11.28515625" style="1" customWidth="1"/>
    <col min="3" max="3" width="10.5703125" style="1" customWidth="1"/>
    <col min="4" max="5" width="9.5703125" style="1" bestFit="1" customWidth="1"/>
    <col min="6" max="6" width="9.28515625" style="1" bestFit="1" customWidth="1"/>
    <col min="7" max="7" width="9.5703125" style="1" bestFit="1" customWidth="1"/>
    <col min="8" max="9" width="9.5703125" style="1" customWidth="1"/>
    <col min="10" max="10" width="11" style="1" customWidth="1"/>
    <col min="11" max="27" width="9.140625" style="1"/>
    <col min="28" max="31" width="9.140625" style="1" customWidth="1"/>
    <col min="32" max="32" width="10.140625" style="1" customWidth="1"/>
    <col min="33" max="36" width="9.140625" style="1" customWidth="1"/>
    <col min="37" max="37" width="10.85546875" style="1" hidden="1" customWidth="1"/>
    <col min="38" max="38" width="11" style="1" hidden="1" customWidth="1"/>
    <col min="39" max="39" width="9.140625" style="1"/>
    <col min="40" max="40" width="11.28515625" style="1" customWidth="1"/>
    <col min="41" max="41" width="11.140625" style="1" customWidth="1"/>
    <col min="42" max="42" width="9.140625" style="1"/>
    <col min="43" max="46" width="10.5703125" style="1" customWidth="1"/>
    <col min="47" max="16384" width="9.140625" style="1"/>
  </cols>
  <sheetData>
    <row r="1" spans="1:38" ht="13.5" thickBot="1">
      <c r="A1" s="1" t="s">
        <v>371</v>
      </c>
      <c r="B1" s="256"/>
      <c r="C1" s="256"/>
      <c r="D1" s="256"/>
      <c r="E1" s="256"/>
      <c r="F1" s="256"/>
      <c r="G1" s="256"/>
    </row>
    <row r="2" spans="1:38" ht="13.5" thickBot="1">
      <c r="A2" s="3181" t="s">
        <v>1</v>
      </c>
      <c r="B2" s="3362" t="s">
        <v>2</v>
      </c>
      <c r="C2" s="3300" t="s">
        <v>275</v>
      </c>
      <c r="D2" s="3365" t="s">
        <v>88</v>
      </c>
      <c r="E2" s="3366"/>
      <c r="F2" s="3366"/>
      <c r="G2" s="3366"/>
      <c r="H2" s="3366"/>
      <c r="I2" s="3318"/>
      <c r="J2" s="3300" t="s">
        <v>57</v>
      </c>
      <c r="K2" s="3261" t="s">
        <v>55</v>
      </c>
      <c r="L2" s="3262"/>
      <c r="M2" s="3263"/>
      <c r="N2" s="3261" t="s">
        <v>56</v>
      </c>
      <c r="O2" s="3262"/>
      <c r="P2" s="3262"/>
      <c r="Q2" s="3262"/>
      <c r="R2" s="3262"/>
      <c r="S2" s="3262"/>
      <c r="T2" s="3262"/>
      <c r="U2" s="3262"/>
      <c r="V2" s="3262"/>
      <c r="W2" s="3262"/>
      <c r="X2" s="3262"/>
      <c r="Y2" s="3262"/>
      <c r="Z2" s="3262"/>
      <c r="AA2" s="3262"/>
      <c r="AB2" s="3262"/>
      <c r="AC2" s="3262"/>
      <c r="AD2" s="3262"/>
      <c r="AE2" s="3263"/>
      <c r="AF2" s="3245" t="s">
        <v>57</v>
      </c>
      <c r="AG2" s="3261" t="s">
        <v>58</v>
      </c>
      <c r="AH2" s="3262"/>
      <c r="AI2" s="3263"/>
      <c r="AK2" s="3300" t="s">
        <v>78</v>
      </c>
      <c r="AL2" s="3255" t="s">
        <v>80</v>
      </c>
    </row>
    <row r="3" spans="1:38" ht="13.5" thickBot="1">
      <c r="A3" s="3361"/>
      <c r="B3" s="3363"/>
      <c r="C3" s="3302"/>
      <c r="D3" s="3367"/>
      <c r="E3" s="3368"/>
      <c r="F3" s="3368"/>
      <c r="G3" s="3368"/>
      <c r="H3" s="3368"/>
      <c r="I3" s="3374"/>
      <c r="J3" s="3301"/>
      <c r="K3" s="3373">
        <v>2015</v>
      </c>
      <c r="L3" s="3349"/>
      <c r="M3" s="3350"/>
      <c r="N3" s="3351">
        <v>2020</v>
      </c>
      <c r="O3" s="3352"/>
      <c r="P3" s="3353"/>
      <c r="Q3" s="3354">
        <v>2025</v>
      </c>
      <c r="R3" s="3352"/>
      <c r="S3" s="3355"/>
      <c r="T3" s="3356">
        <v>2030</v>
      </c>
      <c r="U3" s="3357"/>
      <c r="V3" s="3358"/>
      <c r="W3" s="3351">
        <v>2035</v>
      </c>
      <c r="X3" s="3352"/>
      <c r="Y3" s="3353"/>
      <c r="Z3" s="3354">
        <v>2040</v>
      </c>
      <c r="AA3" s="3352"/>
      <c r="AB3" s="3355"/>
      <c r="AC3" s="3354">
        <v>2045</v>
      </c>
      <c r="AD3" s="3352"/>
      <c r="AE3" s="3355"/>
      <c r="AF3" s="3246"/>
      <c r="AG3" s="3258">
        <v>2045</v>
      </c>
      <c r="AH3" s="3264"/>
      <c r="AI3" s="3245"/>
      <c r="AK3" s="3301"/>
      <c r="AL3" s="3256"/>
    </row>
    <row r="4" spans="1:38" ht="15.75" customHeight="1" thickBot="1">
      <c r="A4" s="3488"/>
      <c r="B4" s="3364"/>
      <c r="C4" s="235">
        <v>2015</v>
      </c>
      <c r="D4" s="3042">
        <v>2020</v>
      </c>
      <c r="E4" s="1682">
        <v>2025</v>
      </c>
      <c r="F4" s="3042">
        <v>2030</v>
      </c>
      <c r="G4" s="1682">
        <v>2035</v>
      </c>
      <c r="H4" s="3042">
        <v>2040</v>
      </c>
      <c r="I4" s="1684">
        <v>2045</v>
      </c>
      <c r="J4" s="3377"/>
      <c r="K4" s="1130" t="s">
        <v>60</v>
      </c>
      <c r="L4" s="1128" t="s">
        <v>61</v>
      </c>
      <c r="M4" s="1681" t="s">
        <v>18</v>
      </c>
      <c r="N4" s="1127" t="s">
        <v>60</v>
      </c>
      <c r="O4" s="1131" t="s">
        <v>61</v>
      </c>
      <c r="P4" s="1132" t="s">
        <v>18</v>
      </c>
      <c r="Q4" s="1130" t="s">
        <v>60</v>
      </c>
      <c r="R4" s="1128" t="s">
        <v>61</v>
      </c>
      <c r="S4" s="1659" t="s">
        <v>18</v>
      </c>
      <c r="T4" s="1655" t="s">
        <v>60</v>
      </c>
      <c r="U4" s="1657" t="s">
        <v>61</v>
      </c>
      <c r="V4" s="1658" t="s">
        <v>18</v>
      </c>
      <c r="W4" s="1127" t="s">
        <v>60</v>
      </c>
      <c r="X4" s="1128" t="s">
        <v>61</v>
      </c>
      <c r="Y4" s="1129" t="s">
        <v>18</v>
      </c>
      <c r="Z4" s="1130" t="s">
        <v>60</v>
      </c>
      <c r="AA4" s="1131" t="s">
        <v>61</v>
      </c>
      <c r="AB4" s="1132" t="s">
        <v>18</v>
      </c>
      <c r="AC4" s="1683" t="s">
        <v>60</v>
      </c>
      <c r="AD4" s="1131" t="s">
        <v>61</v>
      </c>
      <c r="AE4" s="1132" t="s">
        <v>18</v>
      </c>
      <c r="AF4" s="3247"/>
      <c r="AG4" s="1133" t="s">
        <v>60</v>
      </c>
      <c r="AH4" s="1134" t="s">
        <v>61</v>
      </c>
      <c r="AI4" s="1135" t="s">
        <v>18</v>
      </c>
      <c r="AK4" s="3302"/>
      <c r="AL4" s="3257"/>
    </row>
    <row r="5" spans="1:38">
      <c r="A5" s="295" t="s">
        <v>14</v>
      </c>
      <c r="B5" s="296" t="s">
        <v>15</v>
      </c>
      <c r="C5" s="372">
        <f>'Table 6a'!C5</f>
        <v>9486</v>
      </c>
      <c r="D5" s="370">
        <f>'Table 6a'!D5</f>
        <v>9756</v>
      </c>
      <c r="E5" s="371">
        <f>'Table 6a'!E5</f>
        <v>10120</v>
      </c>
      <c r="F5" s="370">
        <f>'Table 6a'!F5</f>
        <v>11998</v>
      </c>
      <c r="G5" s="371">
        <f>'Table 6a'!G5</f>
        <v>11998</v>
      </c>
      <c r="H5" s="370">
        <f>'Table 6a'!H5</f>
        <v>13089</v>
      </c>
      <c r="I5" s="1028">
        <f>'Table 6a'!I5</f>
        <v>14518</v>
      </c>
      <c r="J5" s="198">
        <f>(I5-C5)/C5</f>
        <v>0.53</v>
      </c>
      <c r="K5" s="9">
        <f>'Table 6a'!K5</f>
        <v>0.85</v>
      </c>
      <c r="L5" s="7">
        <f>'Table 6a'!L5</f>
        <v>0</v>
      </c>
      <c r="M5" s="53">
        <f>'Table 6a'!M5</f>
        <v>0.85</v>
      </c>
      <c r="N5" s="9">
        <f>'Table 6a'!N5</f>
        <v>0.67</v>
      </c>
      <c r="O5" s="7">
        <f>'Table 6a'!O5</f>
        <v>0</v>
      </c>
      <c r="P5" s="53">
        <f>'Table 6a'!P5</f>
        <v>0.67</v>
      </c>
      <c r="Q5" s="9">
        <f>'Table 6a'!Q5</f>
        <v>0.7</v>
      </c>
      <c r="R5" s="7">
        <f>'Table 6a'!R5</f>
        <v>0</v>
      </c>
      <c r="S5" s="53">
        <f>'Table 6a'!S5</f>
        <v>0.7</v>
      </c>
      <c r="T5" s="9">
        <f>'Table 6a'!T5</f>
        <v>0.83</v>
      </c>
      <c r="U5" s="10">
        <f>'Table 6a'!U5</f>
        <v>0</v>
      </c>
      <c r="V5" s="11">
        <f>'Table 6a'!V5</f>
        <v>0.83</v>
      </c>
      <c r="W5" s="9">
        <f>'Table 6a'!W5</f>
        <v>0.83</v>
      </c>
      <c r="X5" s="7">
        <f>'Table 6a'!X5</f>
        <v>0</v>
      </c>
      <c r="Y5" s="53">
        <f>'Table 6a'!Y5</f>
        <v>0.83</v>
      </c>
      <c r="Z5" s="9">
        <f>'Table 6a'!Z5</f>
        <v>0.9</v>
      </c>
      <c r="AA5" s="10">
        <f>'Table 6a'!AA5</f>
        <v>0</v>
      </c>
      <c r="AB5" s="11">
        <f>'Table 6a'!AB5</f>
        <v>0.9</v>
      </c>
      <c r="AC5" s="1208">
        <f>'Table 6a'!AC5</f>
        <v>1</v>
      </c>
      <c r="AD5" s="10">
        <f>'Table 6a'!AD5</f>
        <v>0</v>
      </c>
      <c r="AE5" s="11">
        <f>'Table 6a'!AE5</f>
        <v>1</v>
      </c>
      <c r="AF5" s="43">
        <f>(AE5-M5)/M5</f>
        <v>0.18</v>
      </c>
      <c r="AG5" s="47">
        <f>'Table 6a'!AH5</f>
        <v>1.06</v>
      </c>
      <c r="AH5" s="5">
        <f>'Table 6a'!AI5</f>
        <v>0</v>
      </c>
      <c r="AI5" s="15">
        <f>'Table 6a'!AJ5</f>
        <v>1.06</v>
      </c>
      <c r="AK5" s="372">
        <f>I5-C5</f>
        <v>5032</v>
      </c>
      <c r="AL5" s="1360">
        <f>AE5-M5</f>
        <v>0.15</v>
      </c>
    </row>
    <row r="6" spans="1:38" ht="13.5" thickBot="1">
      <c r="A6" s="1037" t="s">
        <v>14</v>
      </c>
      <c r="B6" s="1864" t="s">
        <v>17</v>
      </c>
      <c r="C6" s="1941">
        <f>'Table 6a'!C6+'Table 6b'!D8</f>
        <v>33908</v>
      </c>
      <c r="D6" s="1940">
        <f>'Table 6a'!D6+'Table 6b'!E8</f>
        <v>41946</v>
      </c>
      <c r="E6" s="375">
        <f>'Table 6a'!E6+'Table 6b'!F8</f>
        <v>48682</v>
      </c>
      <c r="F6" s="374">
        <f>'Table 6a'!F6+'Table 6b'!G8</f>
        <v>53397</v>
      </c>
      <c r="G6" s="375">
        <f>'Table 6a'!G6+'Table 6b'!H8</f>
        <v>60475</v>
      </c>
      <c r="H6" s="374">
        <f>'Table 6a'!H6+'Table 6b'!I8</f>
        <v>65410</v>
      </c>
      <c r="I6" s="1031">
        <f>'Table 6a'!I6+'Table 6b'!J8</f>
        <v>69416</v>
      </c>
      <c r="J6" s="384">
        <f t="shared" ref="J6:J27" si="0">(I6-C6)/C6</f>
        <v>1.05</v>
      </c>
      <c r="K6" s="158">
        <f>'Table 6a'!K6+'Table 6b'!M8</f>
        <v>1.84</v>
      </c>
      <c r="L6" s="354">
        <f>'Table 6a'!L6+'Table 6b'!N8</f>
        <v>0</v>
      </c>
      <c r="M6" s="315">
        <f>'Table 6a'!M6+'Table 6b'!O8</f>
        <v>1.84</v>
      </c>
      <c r="N6" s="158">
        <f>'Table 6a'!N6+'Table 6b'!P8</f>
        <v>2.27</v>
      </c>
      <c r="O6" s="354">
        <f>'Table 6a'!O6+'Table 6b'!Q8</f>
        <v>0</v>
      </c>
      <c r="P6" s="315">
        <f>'Table 6a'!P6+'Table 6b'!R8</f>
        <v>2.27</v>
      </c>
      <c r="Q6" s="158">
        <f>'Table 6a'!Q6+'Table 6b'!S8</f>
        <v>2.63</v>
      </c>
      <c r="R6" s="354">
        <f>'Table 6a'!R6+'Table 6b'!T8</f>
        <v>0</v>
      </c>
      <c r="S6" s="315">
        <f>'Table 6a'!S6+'Table 6b'!U8</f>
        <v>2.63</v>
      </c>
      <c r="T6" s="158">
        <f>'Table 6a'!T6+'Table 6b'!V8</f>
        <v>2.89</v>
      </c>
      <c r="U6" s="355">
        <f>'Table 6a'!U6+'Table 6b'!W8</f>
        <v>0</v>
      </c>
      <c r="V6" s="353">
        <f>'Table 6a'!V6+'Table 6b'!X8</f>
        <v>2.89</v>
      </c>
      <c r="W6" s="158">
        <f>'Table 6a'!W6+'Table 6b'!Y8</f>
        <v>3.27</v>
      </c>
      <c r="X6" s="354">
        <f>'Table 6a'!X6+'Table 6b'!Z8</f>
        <v>0</v>
      </c>
      <c r="Y6" s="315">
        <f>'Table 6a'!Y6+'Table 6b'!AA8</f>
        <v>3.27</v>
      </c>
      <c r="Z6" s="158">
        <f>'Table 6a'!Z6+'Table 6b'!AB8</f>
        <v>3.54</v>
      </c>
      <c r="AA6" s="355">
        <f>'Table 6a'!AA6+'Table 6b'!AC8</f>
        <v>0</v>
      </c>
      <c r="AB6" s="353">
        <f>'Table 6a'!AB6+'Table 6b'!AD8</f>
        <v>3.54</v>
      </c>
      <c r="AC6" s="1844">
        <f>'Table 6a'!AC6+'Table 6b'!AE8</f>
        <v>3.75</v>
      </c>
      <c r="AD6" s="412">
        <f>'Table 6a'!AD6+'Table 6b'!AF8</f>
        <v>0</v>
      </c>
      <c r="AE6" s="876">
        <f>'Table 6a'!AE6+'Table 6b'!AG8</f>
        <v>3.75</v>
      </c>
      <c r="AF6" s="194">
        <f t="shared" ref="AF6:AF27" si="1">(AE6-M6)/M6</f>
        <v>1.04</v>
      </c>
      <c r="AG6" s="48">
        <f>'Table 6a'!AH6+'Table 6b'!AJ8</f>
        <v>3.97</v>
      </c>
      <c r="AH6" s="440">
        <f>'Table 6a'!AI6+'Table 6b'!AK8</f>
        <v>0</v>
      </c>
      <c r="AI6" s="874">
        <f>'Table 6a'!AJ6+'Table 6b'!AL8</f>
        <v>3.97</v>
      </c>
      <c r="AK6" s="373">
        <f t="shared" ref="AK6:AK27" si="2">I6-C6</f>
        <v>35508</v>
      </c>
      <c r="AL6" s="1312">
        <f t="shared" ref="AL6:AL27" si="3">AE6-M6</f>
        <v>1.91</v>
      </c>
    </row>
    <row r="7" spans="1:38" ht="14.25" thickTop="1" thickBot="1">
      <c r="A7" s="402" t="s">
        <v>14</v>
      </c>
      <c r="B7" s="403" t="s">
        <v>18</v>
      </c>
      <c r="C7" s="431">
        <f t="shared" ref="C7:I7" si="4">SUM(C5:C6)</f>
        <v>43394</v>
      </c>
      <c r="D7" s="432">
        <f t="shared" si="4"/>
        <v>51702</v>
      </c>
      <c r="E7" s="433">
        <f t="shared" si="4"/>
        <v>58802</v>
      </c>
      <c r="F7" s="432">
        <f t="shared" si="4"/>
        <v>65395</v>
      </c>
      <c r="G7" s="433">
        <f t="shared" si="4"/>
        <v>72473</v>
      </c>
      <c r="H7" s="432">
        <f t="shared" si="4"/>
        <v>78499</v>
      </c>
      <c r="I7" s="1029">
        <f t="shared" si="4"/>
        <v>83934</v>
      </c>
      <c r="J7" s="434">
        <f t="shared" si="0"/>
        <v>0.93</v>
      </c>
      <c r="K7" s="435">
        <f>SUM(K5:K6)</f>
        <v>2.69</v>
      </c>
      <c r="L7" s="436">
        <f t="shared" ref="L7:AE7" si="5">SUM(L5:L6)</f>
        <v>0</v>
      </c>
      <c r="M7" s="407">
        <f t="shared" si="5"/>
        <v>2.69</v>
      </c>
      <c r="N7" s="435">
        <f t="shared" si="5"/>
        <v>2.94</v>
      </c>
      <c r="O7" s="436">
        <f t="shared" si="5"/>
        <v>0</v>
      </c>
      <c r="P7" s="407">
        <f t="shared" si="5"/>
        <v>2.94</v>
      </c>
      <c r="Q7" s="435">
        <f t="shared" si="5"/>
        <v>3.33</v>
      </c>
      <c r="R7" s="436">
        <f t="shared" si="5"/>
        <v>0</v>
      </c>
      <c r="S7" s="407">
        <f t="shared" si="5"/>
        <v>3.33</v>
      </c>
      <c r="T7" s="435">
        <f t="shared" si="5"/>
        <v>3.72</v>
      </c>
      <c r="U7" s="437">
        <f t="shared" si="5"/>
        <v>0</v>
      </c>
      <c r="V7" s="408">
        <f t="shared" si="5"/>
        <v>3.72</v>
      </c>
      <c r="W7" s="435">
        <f t="shared" si="5"/>
        <v>4.0999999999999996</v>
      </c>
      <c r="X7" s="436">
        <f t="shared" si="5"/>
        <v>0</v>
      </c>
      <c r="Y7" s="407">
        <f t="shared" si="5"/>
        <v>4.0999999999999996</v>
      </c>
      <c r="Z7" s="435">
        <f t="shared" si="5"/>
        <v>4.4400000000000004</v>
      </c>
      <c r="AA7" s="437">
        <f t="shared" si="5"/>
        <v>0</v>
      </c>
      <c r="AB7" s="408">
        <f t="shared" si="5"/>
        <v>4.4400000000000004</v>
      </c>
      <c r="AC7" s="1525">
        <f t="shared" si="5"/>
        <v>4.75</v>
      </c>
      <c r="AD7" s="1531">
        <f t="shared" si="5"/>
        <v>0</v>
      </c>
      <c r="AE7" s="1036">
        <f t="shared" si="5"/>
        <v>4.75</v>
      </c>
      <c r="AF7" s="1612">
        <f t="shared" si="1"/>
        <v>0.77</v>
      </c>
      <c r="AG7" s="139">
        <f>SUM(AG5:AG6)</f>
        <v>5.03</v>
      </c>
      <c r="AH7" s="550">
        <f>SUM(AH5:AH6)</f>
        <v>0</v>
      </c>
      <c r="AI7" s="61">
        <f>SUM(AI5:AI6)</f>
        <v>5.03</v>
      </c>
      <c r="AK7" s="431">
        <f t="shared" si="2"/>
        <v>40540</v>
      </c>
      <c r="AL7" s="1614">
        <f t="shared" si="3"/>
        <v>2.06</v>
      </c>
    </row>
    <row r="8" spans="1:38">
      <c r="A8" s="292" t="s">
        <v>19</v>
      </c>
      <c r="B8" s="267" t="s">
        <v>15</v>
      </c>
      <c r="C8" s="404">
        <f>'Table 6a'!C8</f>
        <v>19691</v>
      </c>
      <c r="D8" s="405">
        <f>'Table 6a'!D8</f>
        <v>20395</v>
      </c>
      <c r="E8" s="406">
        <f>'Table 6a'!E8</f>
        <v>21529</v>
      </c>
      <c r="F8" s="405">
        <f>'Table 6a'!F8</f>
        <v>22193</v>
      </c>
      <c r="G8" s="406">
        <f>'Table 6a'!G8</f>
        <v>22924</v>
      </c>
      <c r="H8" s="405">
        <f>'Table 6a'!H8</f>
        <v>23637</v>
      </c>
      <c r="I8" s="1030">
        <f>'Table 6a'!I8</f>
        <v>24364</v>
      </c>
      <c r="J8" s="199">
        <f t="shared" si="0"/>
        <v>0.24</v>
      </c>
      <c r="K8" s="151">
        <f>'Table 6a'!K8</f>
        <v>2.08</v>
      </c>
      <c r="L8" s="113">
        <f>'Table 6a'!L8</f>
        <v>0</v>
      </c>
      <c r="M8" s="146">
        <f>'Table 6a'!M8</f>
        <v>2.08</v>
      </c>
      <c r="N8" s="151">
        <f>'Table 6a'!N8</f>
        <v>2.4300000000000002</v>
      </c>
      <c r="O8" s="113">
        <f>'Table 6a'!O8</f>
        <v>0</v>
      </c>
      <c r="P8" s="146">
        <f>'Table 6a'!P8</f>
        <v>2.4300000000000002</v>
      </c>
      <c r="Q8" s="151">
        <f>'Table 6a'!Q8</f>
        <v>2.56</v>
      </c>
      <c r="R8" s="113">
        <f>'Table 6a'!R8</f>
        <v>0</v>
      </c>
      <c r="S8" s="146">
        <f>'Table 6a'!S8</f>
        <v>2.56</v>
      </c>
      <c r="T8" s="151">
        <f>'Table 6a'!T8</f>
        <v>2.64</v>
      </c>
      <c r="U8" s="123">
        <f>'Table 6a'!U8</f>
        <v>0</v>
      </c>
      <c r="V8" s="152">
        <f>'Table 6a'!V8</f>
        <v>2.64</v>
      </c>
      <c r="W8" s="151">
        <f>'Table 6a'!W8</f>
        <v>2.73</v>
      </c>
      <c r="X8" s="113">
        <f>'Table 6a'!X8</f>
        <v>0</v>
      </c>
      <c r="Y8" s="146">
        <f>'Table 6a'!Y8</f>
        <v>2.73</v>
      </c>
      <c r="Z8" s="151">
        <f>'Table 6a'!Z8</f>
        <v>2.81</v>
      </c>
      <c r="AA8" s="123">
        <f>'Table 6a'!AA8</f>
        <v>0</v>
      </c>
      <c r="AB8" s="152">
        <f>'Table 6a'!AB8</f>
        <v>2.81</v>
      </c>
      <c r="AC8" s="1209">
        <f>'Table 6a'!AC8</f>
        <v>2.9</v>
      </c>
      <c r="AD8" s="10">
        <f>'Table 6a'!AD8</f>
        <v>0</v>
      </c>
      <c r="AE8" s="11">
        <f>'Table 6a'!AE8</f>
        <v>2.9</v>
      </c>
      <c r="AF8" s="43">
        <f t="shared" si="1"/>
        <v>0.39</v>
      </c>
      <c r="AG8" s="149">
        <f>'Table 6a'!AH8</f>
        <v>3.07</v>
      </c>
      <c r="AH8" s="164">
        <f>'Table 6a'!AI8</f>
        <v>0</v>
      </c>
      <c r="AI8" s="150">
        <f>'Table 6a'!AJ8</f>
        <v>3.07</v>
      </c>
      <c r="AK8" s="404">
        <f t="shared" si="2"/>
        <v>4673</v>
      </c>
      <c r="AL8" s="1360">
        <f t="shared" si="3"/>
        <v>0.82</v>
      </c>
    </row>
    <row r="9" spans="1:38" ht="13.5" thickBot="1">
      <c r="A9" s="1037" t="s">
        <v>19</v>
      </c>
      <c r="B9" s="268" t="s">
        <v>17</v>
      </c>
      <c r="C9" s="719">
        <f>'Table 6a'!C9</f>
        <v>503</v>
      </c>
      <c r="D9" s="374">
        <f>'Table 6a'!D9</f>
        <v>521</v>
      </c>
      <c r="E9" s="375">
        <f>'Table 6a'!E9</f>
        <v>549</v>
      </c>
      <c r="F9" s="374">
        <f>'Table 6a'!F9</f>
        <v>573</v>
      </c>
      <c r="G9" s="375">
        <f>'Table 6a'!G9</f>
        <v>591</v>
      </c>
      <c r="H9" s="374">
        <f>'Table 6a'!H9</f>
        <v>609</v>
      </c>
      <c r="I9" s="1031">
        <v>623</v>
      </c>
      <c r="J9" s="409">
        <f t="shared" si="0"/>
        <v>0.24</v>
      </c>
      <c r="K9" s="156">
        <f>'Table 6a'!K9</f>
        <v>0.05</v>
      </c>
      <c r="L9" s="410">
        <f>'Table 6a'!L9</f>
        <v>0</v>
      </c>
      <c r="M9" s="411">
        <f>'Table 6a'!M9</f>
        <v>0.05</v>
      </c>
      <c r="N9" s="156">
        <f>'Table 6a'!N9</f>
        <v>0.06</v>
      </c>
      <c r="O9" s="410">
        <f>'Table 6a'!O9</f>
        <v>0</v>
      </c>
      <c r="P9" s="411">
        <f>'Table 6a'!P9</f>
        <v>0.06</v>
      </c>
      <c r="Q9" s="156">
        <f>'Table 6a'!Q9</f>
        <v>0.06</v>
      </c>
      <c r="R9" s="410">
        <f>'Table 6a'!R9</f>
        <v>0</v>
      </c>
      <c r="S9" s="411">
        <f>'Table 6a'!S9</f>
        <v>0.06</v>
      </c>
      <c r="T9" s="156">
        <f>'Table 6a'!T9</f>
        <v>0.06</v>
      </c>
      <c r="U9" s="412">
        <f>'Table 6a'!U9</f>
        <v>0</v>
      </c>
      <c r="V9" s="413">
        <f>'Table 6a'!V9</f>
        <v>0.06</v>
      </c>
      <c r="W9" s="156">
        <f>'Table 6a'!W9</f>
        <v>0.06</v>
      </c>
      <c r="X9" s="410">
        <f>'Table 6a'!X9</f>
        <v>0</v>
      </c>
      <c r="Y9" s="411">
        <f>'Table 6a'!Y9</f>
        <v>0.06</v>
      </c>
      <c r="Z9" s="156">
        <f>'Table 6a'!Z9</f>
        <v>7.0000000000000007E-2</v>
      </c>
      <c r="AA9" s="412">
        <f>'Table 6a'!AA9</f>
        <v>0</v>
      </c>
      <c r="AB9" s="413">
        <f>'Table 6a'!AB9</f>
        <v>7.0000000000000007E-2</v>
      </c>
      <c r="AC9" s="1526">
        <f>'Table 6a'!AC9</f>
        <v>7.0000000000000007E-2</v>
      </c>
      <c r="AD9" s="660">
        <f>'Table 6a'!AD9</f>
        <v>0</v>
      </c>
      <c r="AE9" s="413">
        <f>'Table 6a'!AE9</f>
        <v>7.0000000000000007E-2</v>
      </c>
      <c r="AF9" s="194">
        <f t="shared" si="1"/>
        <v>0.4</v>
      </c>
      <c r="AG9" s="48">
        <f>'Table 6a'!AH9</f>
        <v>7.0000000000000007E-2</v>
      </c>
      <c r="AH9" s="440">
        <f>'Table 6a'!AI9</f>
        <v>0</v>
      </c>
      <c r="AI9" s="874">
        <f>'Table 6a'!AJ9</f>
        <v>7.0000000000000007E-2</v>
      </c>
      <c r="AK9" s="376">
        <f t="shared" si="2"/>
        <v>120</v>
      </c>
      <c r="AL9" s="1615">
        <f t="shared" si="3"/>
        <v>0.02</v>
      </c>
    </row>
    <row r="10" spans="1:38" ht="14.25" thickTop="1" thickBot="1">
      <c r="A10" s="339" t="s">
        <v>19</v>
      </c>
      <c r="B10" s="731" t="s">
        <v>18</v>
      </c>
      <c r="C10" s="379">
        <f t="shared" ref="C10:I10" si="6">SUM(C8:C9)</f>
        <v>20194</v>
      </c>
      <c r="D10" s="432">
        <f t="shared" si="6"/>
        <v>20916</v>
      </c>
      <c r="E10" s="433">
        <f t="shared" si="6"/>
        <v>22078</v>
      </c>
      <c r="F10" s="432">
        <f t="shared" si="6"/>
        <v>22766</v>
      </c>
      <c r="G10" s="433">
        <f t="shared" si="6"/>
        <v>23515</v>
      </c>
      <c r="H10" s="432">
        <f t="shared" si="6"/>
        <v>24246</v>
      </c>
      <c r="I10" s="1032">
        <f t="shared" si="6"/>
        <v>24987</v>
      </c>
      <c r="J10" s="200">
        <f t="shared" si="0"/>
        <v>0.24</v>
      </c>
      <c r="K10" s="36">
        <f>SUM(K8:K9)</f>
        <v>2.13</v>
      </c>
      <c r="L10" s="32">
        <f t="shared" ref="L10:AB10" si="7">SUM(L8:L9)</f>
        <v>0</v>
      </c>
      <c r="M10" s="154">
        <f t="shared" si="7"/>
        <v>2.13</v>
      </c>
      <c r="N10" s="36">
        <f t="shared" si="7"/>
        <v>2.4900000000000002</v>
      </c>
      <c r="O10" s="32">
        <f t="shared" si="7"/>
        <v>0</v>
      </c>
      <c r="P10" s="154">
        <f t="shared" si="7"/>
        <v>2.4900000000000002</v>
      </c>
      <c r="Q10" s="36">
        <f t="shared" si="7"/>
        <v>2.62</v>
      </c>
      <c r="R10" s="32">
        <f t="shared" si="7"/>
        <v>0</v>
      </c>
      <c r="S10" s="154">
        <f t="shared" si="7"/>
        <v>2.62</v>
      </c>
      <c r="T10" s="36">
        <f t="shared" si="7"/>
        <v>2.7</v>
      </c>
      <c r="U10" s="165">
        <f t="shared" si="7"/>
        <v>0</v>
      </c>
      <c r="V10" s="38">
        <f t="shared" si="7"/>
        <v>2.7</v>
      </c>
      <c r="W10" s="36">
        <f t="shared" si="7"/>
        <v>2.79</v>
      </c>
      <c r="X10" s="32">
        <f t="shared" si="7"/>
        <v>0</v>
      </c>
      <c r="Y10" s="154">
        <f t="shared" si="7"/>
        <v>2.79</v>
      </c>
      <c r="Z10" s="36">
        <f t="shared" si="7"/>
        <v>2.88</v>
      </c>
      <c r="AA10" s="165">
        <f t="shared" si="7"/>
        <v>0</v>
      </c>
      <c r="AB10" s="38">
        <f t="shared" si="7"/>
        <v>2.88</v>
      </c>
      <c r="AC10" s="1231">
        <f>SUM(AC8:AC9)</f>
        <v>2.97</v>
      </c>
      <c r="AD10" s="165">
        <f t="shared" ref="AD10:AE10" si="8">SUM(AD8:AD9)</f>
        <v>0</v>
      </c>
      <c r="AE10" s="38">
        <f t="shared" si="8"/>
        <v>2.97</v>
      </c>
      <c r="AF10" s="244">
        <f t="shared" si="1"/>
        <v>0.39</v>
      </c>
      <c r="AG10" s="34">
        <f>SUM(AG8:AG9)</f>
        <v>3.14</v>
      </c>
      <c r="AH10" s="1026">
        <f>SUM(AH8:AH9)</f>
        <v>0</v>
      </c>
      <c r="AI10" s="21">
        <f>SUM(AI8:AI9)</f>
        <v>3.14</v>
      </c>
      <c r="AK10" s="379">
        <f t="shared" si="2"/>
        <v>4793</v>
      </c>
      <c r="AL10" s="1335">
        <f t="shared" si="3"/>
        <v>0.84</v>
      </c>
    </row>
    <row r="11" spans="1:38">
      <c r="A11" s="292" t="s">
        <v>20</v>
      </c>
      <c r="B11" s="267" t="s">
        <v>15</v>
      </c>
      <c r="C11" s="404">
        <f>'Table 6a'!C11</f>
        <v>2174</v>
      </c>
      <c r="D11" s="405">
        <f>'Table 6a'!D11</f>
        <v>2353</v>
      </c>
      <c r="E11" s="406">
        <f>'Table 6a'!E11</f>
        <v>2727</v>
      </c>
      <c r="F11" s="405">
        <f>'Table 6a'!F11</f>
        <v>2914</v>
      </c>
      <c r="G11" s="406">
        <f>'Table 6a'!G11</f>
        <v>2914</v>
      </c>
      <c r="H11" s="405">
        <f>'Table 6a'!H11</f>
        <v>3079</v>
      </c>
      <c r="I11" s="1030">
        <f>'Table 6a'!I11</f>
        <v>3263</v>
      </c>
      <c r="J11" s="199">
        <f t="shared" si="0"/>
        <v>0.5</v>
      </c>
      <c r="K11" s="151">
        <f>'Table 6a'!K11</f>
        <v>0.28000000000000003</v>
      </c>
      <c r="L11" s="113">
        <f>'Table 6a'!L11</f>
        <v>0</v>
      </c>
      <c r="M11" s="146">
        <f>'Table 6a'!M11</f>
        <v>0.28000000000000003</v>
      </c>
      <c r="N11" s="151">
        <f>'Table 6a'!N11</f>
        <v>0.21</v>
      </c>
      <c r="O11" s="113">
        <f>'Table 6a'!O11</f>
        <v>0</v>
      </c>
      <c r="P11" s="146">
        <f>'Table 6a'!P11</f>
        <v>0.21</v>
      </c>
      <c r="Q11" s="151">
        <f>'Table 6a'!Q11</f>
        <v>0.25</v>
      </c>
      <c r="R11" s="113">
        <f>'Table 6a'!R11</f>
        <v>0</v>
      </c>
      <c r="S11" s="146">
        <f>'Table 6a'!S11</f>
        <v>0.25</v>
      </c>
      <c r="T11" s="151">
        <f>'Table 6a'!T11</f>
        <v>0.27</v>
      </c>
      <c r="U11" s="123">
        <f>'Table 6a'!U11</f>
        <v>0</v>
      </c>
      <c r="V11" s="152">
        <f>'Table 6a'!V11</f>
        <v>0.27</v>
      </c>
      <c r="W11" s="151">
        <f>'Table 6a'!W11</f>
        <v>0.27</v>
      </c>
      <c r="X11" s="113">
        <f>'Table 6a'!X11</f>
        <v>0</v>
      </c>
      <c r="Y11" s="146">
        <f>'Table 6a'!Y11</f>
        <v>0.27</v>
      </c>
      <c r="Z11" s="151">
        <f>'Table 6a'!Z11</f>
        <v>0.28000000000000003</v>
      </c>
      <c r="AA11" s="123">
        <f>'Table 6a'!AA11</f>
        <v>0</v>
      </c>
      <c r="AB11" s="152">
        <f>'Table 6a'!AB11</f>
        <v>0.28000000000000003</v>
      </c>
      <c r="AC11" s="1211">
        <f>'Table 6a'!AC11</f>
        <v>0.3</v>
      </c>
      <c r="AD11" s="123">
        <f>'Table 6a'!AD11</f>
        <v>0</v>
      </c>
      <c r="AE11" s="152">
        <f>'Table 6a'!AE11</f>
        <v>0.3</v>
      </c>
      <c r="AF11" s="193">
        <f t="shared" si="1"/>
        <v>7.0000000000000007E-2</v>
      </c>
      <c r="AG11" s="149">
        <f>'Table 6a'!AH11</f>
        <v>0.32</v>
      </c>
      <c r="AH11" s="164">
        <f>'Table 6a'!AI11</f>
        <v>0</v>
      </c>
      <c r="AI11" s="150">
        <f>'Table 6a'!AJ11</f>
        <v>0.32</v>
      </c>
      <c r="AK11" s="404">
        <f t="shared" si="2"/>
        <v>1089</v>
      </c>
      <c r="AL11" s="1327">
        <f t="shared" si="3"/>
        <v>0.02</v>
      </c>
    </row>
    <row r="12" spans="1:38" ht="13.5" thickBot="1">
      <c r="A12" s="1037" t="s">
        <v>20</v>
      </c>
      <c r="B12" s="268" t="s">
        <v>17</v>
      </c>
      <c r="C12" s="376">
        <f>'Table 6a'!C12+'Table 6b'!D12</f>
        <v>13250</v>
      </c>
      <c r="D12" s="377">
        <f>'Table 6a'!D12+'Table 6b'!E12</f>
        <v>12237</v>
      </c>
      <c r="E12" s="378">
        <f>'Table 6a'!E12+'Table 6b'!F12</f>
        <v>12054</v>
      </c>
      <c r="F12" s="377">
        <f>'Table 6a'!F12+'Table 6b'!G12</f>
        <v>11913</v>
      </c>
      <c r="G12" s="378">
        <f>'Table 6a'!G12+'Table 6b'!H12</f>
        <v>11867</v>
      </c>
      <c r="H12" s="377">
        <f>'Table 6a'!H12+'Table 6b'!I12</f>
        <v>11690</v>
      </c>
      <c r="I12" s="1033">
        <v>11414</v>
      </c>
      <c r="J12" s="1027">
        <f t="shared" si="0"/>
        <v>-0.14000000000000001</v>
      </c>
      <c r="K12" s="18">
        <f>'Table 6a'!K12+'Table 6b'!M12</f>
        <v>0.61</v>
      </c>
      <c r="L12" s="410">
        <f>'Table 6a'!L12+'Table 6b'!N12</f>
        <v>0</v>
      </c>
      <c r="M12" s="50">
        <f>'Table 6a'!M12+'Table 6b'!O12</f>
        <v>0.61</v>
      </c>
      <c r="N12" s="18">
        <f>'Table 6a'!N12+'Table 6b'!P12</f>
        <v>0.56999999999999995</v>
      </c>
      <c r="O12" s="410">
        <f>'Table 6a'!O12+'Table 6b'!Q12</f>
        <v>0</v>
      </c>
      <c r="P12" s="50">
        <f>'Table 6a'!P12+'Table 6b'!R12</f>
        <v>0.56999999999999995</v>
      </c>
      <c r="Q12" s="18">
        <f>'Table 6a'!Q12+'Table 6b'!S12</f>
        <v>0.56000000000000005</v>
      </c>
      <c r="R12" s="410">
        <f>'Table 6a'!R12+'Table 6b'!T12</f>
        <v>0</v>
      </c>
      <c r="S12" s="50">
        <f>'Table 6a'!S12+'Table 6b'!U12</f>
        <v>0.56000000000000005</v>
      </c>
      <c r="T12" s="18">
        <f>'Table 6a'!T12+'Table 6b'!V12</f>
        <v>0.56000000000000005</v>
      </c>
      <c r="U12" s="412">
        <f>'Table 6a'!U12+'Table 6b'!W12</f>
        <v>0</v>
      </c>
      <c r="V12" s="876">
        <f>'Table 6a'!V12+'Table 6b'!X12</f>
        <v>0.56000000000000005</v>
      </c>
      <c r="W12" s="18">
        <f>'Table 6a'!W12+'Table 6b'!Y12</f>
        <v>0.55000000000000004</v>
      </c>
      <c r="X12" s="410">
        <f>'Table 6a'!X12+'Table 6b'!Z12</f>
        <v>0</v>
      </c>
      <c r="Y12" s="50">
        <f>'Table 6a'!Y12+'Table 6b'!AA12</f>
        <v>0.55000000000000004</v>
      </c>
      <c r="Z12" s="18">
        <f>'Table 6a'!Z12+'Table 6b'!AB12</f>
        <v>0.55000000000000004</v>
      </c>
      <c r="AA12" s="412">
        <f>'Table 6a'!AA12+'Table 6b'!AC12</f>
        <v>0</v>
      </c>
      <c r="AB12" s="876">
        <f>'Table 6a'!AB12+'Table 6b'!AD12</f>
        <v>0.55000000000000004</v>
      </c>
      <c r="AC12" s="1527">
        <f>'Table 6a'!AC12+'Table 6b'!AE12</f>
        <v>0.53</v>
      </c>
      <c r="AD12" s="412">
        <f>'Table 6a'!AD12+'Table 6b'!AF12</f>
        <v>0</v>
      </c>
      <c r="AE12" s="876">
        <f>'Table 6a'!AE12+'Table 6b'!AG12</f>
        <v>0.53</v>
      </c>
      <c r="AF12" s="194">
        <f t="shared" si="1"/>
        <v>-0.13</v>
      </c>
      <c r="AG12" s="48">
        <f>'Table 6a'!AH12+'Table 6b'!AJ12</f>
        <v>0.52</v>
      </c>
      <c r="AH12" s="440">
        <f>'Table 6a'!AI12+'Table 6b'!AK12</f>
        <v>0</v>
      </c>
      <c r="AI12" s="874">
        <f>'Table 6a'!AJ12+'Table 6b'!AL12</f>
        <v>0.52</v>
      </c>
      <c r="AK12" s="719">
        <f t="shared" si="2"/>
        <v>-1836</v>
      </c>
      <c r="AL12" s="1312">
        <f t="shared" si="3"/>
        <v>-0.08</v>
      </c>
    </row>
    <row r="13" spans="1:38" ht="14.25" thickTop="1" thickBot="1">
      <c r="A13" s="339" t="s">
        <v>20</v>
      </c>
      <c r="B13" s="731" t="s">
        <v>18</v>
      </c>
      <c r="C13" s="379">
        <f t="shared" ref="C13:I13" si="9">SUM(C11:C12)</f>
        <v>15424</v>
      </c>
      <c r="D13" s="380">
        <f t="shared" si="9"/>
        <v>14590</v>
      </c>
      <c r="E13" s="381">
        <f t="shared" si="9"/>
        <v>14781</v>
      </c>
      <c r="F13" s="380">
        <f t="shared" si="9"/>
        <v>14827</v>
      </c>
      <c r="G13" s="381">
        <f t="shared" si="9"/>
        <v>14781</v>
      </c>
      <c r="H13" s="380">
        <f t="shared" si="9"/>
        <v>14769</v>
      </c>
      <c r="I13" s="1032">
        <f t="shared" si="9"/>
        <v>14677</v>
      </c>
      <c r="J13" s="200">
        <f t="shared" si="0"/>
        <v>-0.05</v>
      </c>
      <c r="K13" s="36">
        <f>SUM(K11:K12)</f>
        <v>0.89</v>
      </c>
      <c r="L13" s="32">
        <f t="shared" ref="L13:AE13" si="10">SUM(L11:L12)</f>
        <v>0</v>
      </c>
      <c r="M13" s="154">
        <f t="shared" si="10"/>
        <v>0.89</v>
      </c>
      <c r="N13" s="36">
        <f t="shared" si="10"/>
        <v>0.78</v>
      </c>
      <c r="O13" s="32">
        <f t="shared" si="10"/>
        <v>0</v>
      </c>
      <c r="P13" s="154">
        <f t="shared" si="10"/>
        <v>0.78</v>
      </c>
      <c r="Q13" s="36">
        <f t="shared" si="10"/>
        <v>0.81</v>
      </c>
      <c r="R13" s="32">
        <f t="shared" si="10"/>
        <v>0</v>
      </c>
      <c r="S13" s="154">
        <f t="shared" si="10"/>
        <v>0.81</v>
      </c>
      <c r="T13" s="36">
        <f t="shared" si="10"/>
        <v>0.83</v>
      </c>
      <c r="U13" s="165">
        <f t="shared" si="10"/>
        <v>0</v>
      </c>
      <c r="V13" s="38">
        <f t="shared" si="10"/>
        <v>0.83</v>
      </c>
      <c r="W13" s="36">
        <f t="shared" si="10"/>
        <v>0.82</v>
      </c>
      <c r="X13" s="32">
        <f t="shared" si="10"/>
        <v>0</v>
      </c>
      <c r="Y13" s="154">
        <f t="shared" si="10"/>
        <v>0.82</v>
      </c>
      <c r="Z13" s="36">
        <f t="shared" si="10"/>
        <v>0.83</v>
      </c>
      <c r="AA13" s="165">
        <f t="shared" si="10"/>
        <v>0</v>
      </c>
      <c r="AB13" s="38">
        <f t="shared" si="10"/>
        <v>0.83</v>
      </c>
      <c r="AC13" s="147">
        <f t="shared" si="10"/>
        <v>0.83</v>
      </c>
      <c r="AD13" s="165">
        <f t="shared" si="10"/>
        <v>0</v>
      </c>
      <c r="AE13" s="38">
        <f t="shared" si="10"/>
        <v>0.83</v>
      </c>
      <c r="AF13" s="195">
        <f t="shared" si="1"/>
        <v>-7.0000000000000007E-2</v>
      </c>
      <c r="AG13" s="34">
        <f>SUM(AG11:AG12)</f>
        <v>0.84</v>
      </c>
      <c r="AH13" s="1026">
        <f>SUM(AH11:AH12)</f>
        <v>0</v>
      </c>
      <c r="AI13" s="21">
        <f>SUM(AI11:AI12)</f>
        <v>0.84</v>
      </c>
      <c r="AK13" s="379">
        <f t="shared" si="2"/>
        <v>-747</v>
      </c>
      <c r="AL13" s="1335">
        <f t="shared" si="3"/>
        <v>-0.06</v>
      </c>
    </row>
    <row r="14" spans="1:38">
      <c r="A14" s="295" t="s">
        <v>21</v>
      </c>
      <c r="B14" s="730" t="s">
        <v>15</v>
      </c>
      <c r="C14" s="372">
        <f>'Table 6a'!C14+'Table 6b'!D16</f>
        <v>64758</v>
      </c>
      <c r="D14" s="370">
        <f>'Table 6a'!D14+'Table 6b'!E16</f>
        <v>69381</v>
      </c>
      <c r="E14" s="371">
        <f>'Table 6a'!E14+'Table 6b'!F16</f>
        <v>76333</v>
      </c>
      <c r="F14" s="370">
        <f>'Table 6a'!F14+'Table 6b'!G16</f>
        <v>86024</v>
      </c>
      <c r="G14" s="371">
        <f>'Table 6a'!G14+'Table 6b'!H16</f>
        <v>89218</v>
      </c>
      <c r="H14" s="370">
        <f>'Table 6a'!H14+'Table 6b'!I16</f>
        <v>91999</v>
      </c>
      <c r="I14" s="1028">
        <f>'Table 6a'!I14+'Table 6b'!J16</f>
        <v>94025</v>
      </c>
      <c r="J14" s="198">
        <f t="shared" si="0"/>
        <v>0.45</v>
      </c>
      <c r="K14" s="9">
        <f>'Table 6a'!K14+'Table 6b'!M16</f>
        <v>6.8</v>
      </c>
      <c r="L14" s="7">
        <f>'Table 6a'!L14+'Table 6b'!N16</f>
        <v>0</v>
      </c>
      <c r="M14" s="53">
        <f>'Table 6a'!M14+'Table 6b'!O16</f>
        <v>6.8</v>
      </c>
      <c r="N14" s="9">
        <f>'Table 6a'!N14+'Table 6b'!P16</f>
        <v>5.0999999999999996</v>
      </c>
      <c r="O14" s="7">
        <f>'Table 6a'!O14+'Table 6b'!Q16</f>
        <v>0</v>
      </c>
      <c r="P14" s="53">
        <f>'Table 6a'!P14+'Table 6b'!R16</f>
        <v>5.0999999999999996</v>
      </c>
      <c r="Q14" s="9">
        <f>'Table 6a'!Q14+'Table 6b'!S16</f>
        <v>5.61</v>
      </c>
      <c r="R14" s="7">
        <f>'Table 6a'!R14+'Table 6b'!T16</f>
        <v>0</v>
      </c>
      <c r="S14" s="53">
        <f>'Table 6a'!S14+'Table 6b'!U16</f>
        <v>5.61</v>
      </c>
      <c r="T14" s="9">
        <f>'Table 6a'!T14+'Table 6b'!V16</f>
        <v>6.31</v>
      </c>
      <c r="U14" s="10">
        <f>'Table 6a'!U14+'Table 6b'!W16</f>
        <v>0</v>
      </c>
      <c r="V14" s="11">
        <f>'Table 6a'!V14+'Table 6b'!X16</f>
        <v>6.31</v>
      </c>
      <c r="W14" s="9">
        <f>'Table 6a'!W14+'Table 6b'!Y16</f>
        <v>6.55</v>
      </c>
      <c r="X14" s="7">
        <f>'Table 6a'!X14+'Table 6b'!Z16</f>
        <v>0</v>
      </c>
      <c r="Y14" s="53">
        <f>'Table 6a'!Y14+'Table 6b'!AA16</f>
        <v>6.55</v>
      </c>
      <c r="Z14" s="9">
        <f>'Table 6a'!Z14+'Table 6b'!AB16</f>
        <v>6.75</v>
      </c>
      <c r="AA14" s="10">
        <f>'Table 6a'!AA14+'Table 6b'!AC16</f>
        <v>0</v>
      </c>
      <c r="AB14" s="11">
        <f>'Table 6a'!AB14+'Table 6b'!AD16</f>
        <v>6.75</v>
      </c>
      <c r="AC14" s="1208">
        <f>'Table 6a'!AC14+'Table 6b'!AE16</f>
        <v>6.9</v>
      </c>
      <c r="AD14" s="10">
        <f>'Table 6a'!AD14+'Table 6b'!AF16</f>
        <v>0</v>
      </c>
      <c r="AE14" s="11">
        <f>'Table 6a'!AE14+'Table 6b'!AG16</f>
        <v>6.9</v>
      </c>
      <c r="AF14" s="43">
        <f t="shared" si="1"/>
        <v>0.01</v>
      </c>
      <c r="AG14" s="47">
        <f>'Table 6a'!AH14+'Table 6b'!AJ16</f>
        <v>7.31</v>
      </c>
      <c r="AH14" s="5">
        <f>'Table 6a'!AI14+'Table 6b'!AK16</f>
        <v>0</v>
      </c>
      <c r="AI14" s="15">
        <f>'Table 6a'!AJ14+'Table 6b'!AL16</f>
        <v>7.31</v>
      </c>
      <c r="AK14" s="372">
        <f t="shared" si="2"/>
        <v>29267</v>
      </c>
      <c r="AL14" s="1360">
        <f t="shared" si="3"/>
        <v>0.1</v>
      </c>
    </row>
    <row r="15" spans="1:38">
      <c r="A15" s="364" t="s">
        <v>22</v>
      </c>
      <c r="B15" s="730" t="s">
        <v>17</v>
      </c>
      <c r="C15" s="372">
        <f>'Table 6a'!C15+'Table 6b'!D35</f>
        <v>45270</v>
      </c>
      <c r="D15" s="370">
        <f>'Table 6a'!D15+'Table 6b'!E35</f>
        <v>46898</v>
      </c>
      <c r="E15" s="371">
        <f>'Table 6a'!E15+'Table 6b'!F35</f>
        <v>49337</v>
      </c>
      <c r="F15" s="370">
        <f>'Table 6a'!F15+'Table 6b'!G35</f>
        <v>51272</v>
      </c>
      <c r="G15" s="371">
        <f>'Table 6a'!G15+'Table 6b'!H35</f>
        <v>52689</v>
      </c>
      <c r="H15" s="370">
        <f>'Table 6a'!H15+'Table 6b'!I35</f>
        <v>53793</v>
      </c>
      <c r="I15" s="1028">
        <v>54677</v>
      </c>
      <c r="J15" s="198">
        <f t="shared" si="0"/>
        <v>0.21</v>
      </c>
      <c r="K15" s="9">
        <f>'Table 6a'!K15+'Table 6b'!M35</f>
        <v>2.65</v>
      </c>
      <c r="L15" s="884">
        <f>'Table 6a'!L15+'Table 6b'!N35</f>
        <v>0</v>
      </c>
      <c r="M15" s="53">
        <f>'Table 6a'!M15+'Table 6b'!O35</f>
        <v>2.65</v>
      </c>
      <c r="N15" s="9">
        <f>'Table 6a'!N15+'Table 6b'!P35</f>
        <v>2.73</v>
      </c>
      <c r="O15" s="884">
        <f>'Table 6a'!O15+'Table 6b'!Q35</f>
        <v>0</v>
      </c>
      <c r="P15" s="53">
        <f>'Table 6a'!P15+'Table 6b'!R35</f>
        <v>2.73</v>
      </c>
      <c r="Q15" s="9">
        <f>'Table 6a'!Q15+'Table 6b'!S35</f>
        <v>2.86</v>
      </c>
      <c r="R15" s="884">
        <f>'Table 6a'!R15+'Table 6b'!T35</f>
        <v>0</v>
      </c>
      <c r="S15" s="53">
        <f>'Table 6a'!S15+'Table 6b'!U35</f>
        <v>2.86</v>
      </c>
      <c r="T15" s="9">
        <f>'Table 6a'!T15+'Table 6b'!V35</f>
        <v>2.97</v>
      </c>
      <c r="U15" s="321">
        <f>'Table 6a'!U15+'Table 6b'!W35</f>
        <v>0</v>
      </c>
      <c r="V15" s="11">
        <f>'Table 6a'!V15+'Table 6b'!X35</f>
        <v>2.97</v>
      </c>
      <c r="W15" s="9">
        <f>'Table 6a'!W15+'Table 6b'!Y35</f>
        <v>3.05</v>
      </c>
      <c r="X15" s="884">
        <f>'Table 6a'!X15+'Table 6b'!Z35</f>
        <v>0</v>
      </c>
      <c r="Y15" s="53">
        <f>'Table 6a'!Y15+'Table 6b'!AA35</f>
        <v>3.05</v>
      </c>
      <c r="Z15" s="9">
        <f>'Table 6a'!Z15+'Table 6b'!AB35</f>
        <v>3.12</v>
      </c>
      <c r="AA15" s="321">
        <f>'Table 6a'!AA15+'Table 6b'!AC35</f>
        <v>0</v>
      </c>
      <c r="AB15" s="11">
        <f>'Table 6a'!AB15+'Table 6b'!AD35</f>
        <v>3.12</v>
      </c>
      <c r="AC15" s="1208">
        <f>'Table 6a'!AC15+'Table 6b'!AE35</f>
        <v>3.18</v>
      </c>
      <c r="AD15" s="10">
        <f>'Table 6a'!AD15+'Table 6b'!AF35</f>
        <v>0</v>
      </c>
      <c r="AE15" s="11">
        <f>'Table 6a'!AE15+'Table 6b'!AG35</f>
        <v>3.18</v>
      </c>
      <c r="AF15" s="988">
        <f t="shared" si="1"/>
        <v>0.2</v>
      </c>
      <c r="AG15" s="47">
        <f>'Table 6a'!AH15+'Table 6b'!AJ35</f>
        <v>3.32</v>
      </c>
      <c r="AH15" s="352">
        <f>'Table 6a'!AI15+'Table 6b'!AK35</f>
        <v>0</v>
      </c>
      <c r="AI15" s="15">
        <f>'Table 6a'!AJ15+'Table 6b'!AL35</f>
        <v>3.32</v>
      </c>
      <c r="AK15" s="372">
        <f t="shared" si="2"/>
        <v>9407</v>
      </c>
      <c r="AL15" s="1360">
        <f t="shared" si="3"/>
        <v>0.53</v>
      </c>
    </row>
    <row r="16" spans="1:38">
      <c r="A16" s="364" t="s">
        <v>23</v>
      </c>
      <c r="B16" s="730" t="s">
        <v>15</v>
      </c>
      <c r="C16" s="372">
        <f>'Table 6a'!C16</f>
        <v>211531</v>
      </c>
      <c r="D16" s="370">
        <f>'Table 6a'!D16</f>
        <v>228489</v>
      </c>
      <c r="E16" s="371">
        <f>'Table 6a'!E16</f>
        <v>245416</v>
      </c>
      <c r="F16" s="370">
        <f>'Table 6a'!F16</f>
        <v>258497</v>
      </c>
      <c r="G16" s="371">
        <f>'Table 6a'!G16</f>
        <v>269951</v>
      </c>
      <c r="H16" s="370">
        <f>'Table 6a'!H16</f>
        <v>279130</v>
      </c>
      <c r="I16" s="1028">
        <f>'Table 6a'!I16</f>
        <v>287137</v>
      </c>
      <c r="J16" s="198">
        <f t="shared" si="0"/>
        <v>0.36</v>
      </c>
      <c r="K16" s="9">
        <f>'Table 6a'!K16</f>
        <v>12.73</v>
      </c>
      <c r="L16" s="884">
        <f>'Table 6a'!L16</f>
        <v>0</v>
      </c>
      <c r="M16" s="53">
        <f>'Table 6a'!M16</f>
        <v>12.73</v>
      </c>
      <c r="N16" s="9">
        <f>'Table 6a'!N16</f>
        <v>22.16</v>
      </c>
      <c r="O16" s="884">
        <f>'Table 6a'!O16</f>
        <v>0</v>
      </c>
      <c r="P16" s="53">
        <f>'Table 6a'!P16</f>
        <v>22.16</v>
      </c>
      <c r="Q16" s="9">
        <f>'Table 6a'!Q16</f>
        <v>23.81</v>
      </c>
      <c r="R16" s="884">
        <f>'Table 6a'!R16</f>
        <v>0</v>
      </c>
      <c r="S16" s="53">
        <f>'Table 6a'!S16</f>
        <v>23.81</v>
      </c>
      <c r="T16" s="9">
        <f>'Table 6a'!T16</f>
        <v>25.07</v>
      </c>
      <c r="U16" s="321">
        <f>'Table 6a'!U16</f>
        <v>0</v>
      </c>
      <c r="V16" s="11">
        <f>'Table 6a'!V16</f>
        <v>25.07</v>
      </c>
      <c r="W16" s="9">
        <f>'Table 6a'!W16</f>
        <v>26.19</v>
      </c>
      <c r="X16" s="884">
        <f>'Table 6a'!X16</f>
        <v>0</v>
      </c>
      <c r="Y16" s="53">
        <f>'Table 6a'!Y16</f>
        <v>26.19</v>
      </c>
      <c r="Z16" s="9">
        <f>'Table 6a'!Z16</f>
        <v>27.08</v>
      </c>
      <c r="AA16" s="321">
        <f>'Table 6a'!AA16</f>
        <v>0</v>
      </c>
      <c r="AB16" s="11">
        <f>'Table 6a'!AB16</f>
        <v>27.08</v>
      </c>
      <c r="AC16" s="1208">
        <f>'Table 6a'!AC16</f>
        <v>27.85</v>
      </c>
      <c r="AD16" s="10">
        <f>'Table 6a'!AD16</f>
        <v>0</v>
      </c>
      <c r="AE16" s="11">
        <f>'Table 6a'!AE16</f>
        <v>27.85</v>
      </c>
      <c r="AF16" s="988">
        <f t="shared" si="1"/>
        <v>1.19</v>
      </c>
      <c r="AG16" s="47">
        <f>'Table 6a'!AH16</f>
        <v>29.52</v>
      </c>
      <c r="AH16" s="352">
        <f>'Table 6a'!AI16</f>
        <v>0</v>
      </c>
      <c r="AI16" s="15">
        <f>'Table 6a'!AJ16</f>
        <v>29.52</v>
      </c>
      <c r="AK16" s="372">
        <f t="shared" si="2"/>
        <v>75606</v>
      </c>
      <c r="AL16" s="1360">
        <f t="shared" si="3"/>
        <v>15.12</v>
      </c>
    </row>
    <row r="17" spans="1:39">
      <c r="A17" s="364" t="s">
        <v>24</v>
      </c>
      <c r="B17" s="730" t="s">
        <v>15</v>
      </c>
      <c r="C17" s="372">
        <f>'Table 6a'!C17+'Table 6b'!D37</f>
        <v>4964</v>
      </c>
      <c r="D17" s="370">
        <f>'Table 6a'!D17+'Table 6b'!E37</f>
        <v>5542</v>
      </c>
      <c r="E17" s="371">
        <f>'Table 6a'!E17+'Table 6b'!F37</f>
        <v>5596</v>
      </c>
      <c r="F17" s="370">
        <f>'Table 6a'!F17+'Table 6b'!G37</f>
        <v>6992</v>
      </c>
      <c r="G17" s="371">
        <f>'Table 6a'!G17+'Table 6b'!H37</f>
        <v>7114</v>
      </c>
      <c r="H17" s="370">
        <f>'Table 6a'!H17+'Table 6b'!I37</f>
        <v>7258</v>
      </c>
      <c r="I17" s="1028">
        <f>'Table 6a'!I17+'Table 6b'!J37</f>
        <v>7671</v>
      </c>
      <c r="J17" s="198">
        <f t="shared" si="0"/>
        <v>0.55000000000000004</v>
      </c>
      <c r="K17" s="9">
        <f>'Table 6a'!K17+'Table 6b'!M37</f>
        <v>0.31</v>
      </c>
      <c r="L17" s="884">
        <f>'Table 6a'!L17+'Table 6b'!N37</f>
        <v>0</v>
      </c>
      <c r="M17" s="53">
        <f>'Table 6a'!M17+'Table 6b'!O37</f>
        <v>0.31</v>
      </c>
      <c r="N17" s="9">
        <f>'Table 6a'!N17+'Table 6b'!P37</f>
        <v>0.3</v>
      </c>
      <c r="O17" s="884">
        <f>'Table 6a'!O17+'Table 6b'!Q37</f>
        <v>0</v>
      </c>
      <c r="P17" s="53">
        <f>'Table 6a'!P17+'Table 6b'!R37</f>
        <v>0.3</v>
      </c>
      <c r="Q17" s="9">
        <f>'Table 6a'!Q17+'Table 6b'!S37</f>
        <v>0.3</v>
      </c>
      <c r="R17" s="884">
        <f>'Table 6a'!R17+'Table 6b'!T37</f>
        <v>0</v>
      </c>
      <c r="S17" s="53">
        <f>'Table 6a'!S17+'Table 6b'!U37</f>
        <v>0.3</v>
      </c>
      <c r="T17" s="9">
        <f>'Table 6a'!T17+'Table 6b'!V37</f>
        <v>0.38</v>
      </c>
      <c r="U17" s="321">
        <f>'Table 6a'!U17+'Table 6b'!W37</f>
        <v>0</v>
      </c>
      <c r="V17" s="11">
        <f>'Table 6a'!V17+'Table 6b'!X37</f>
        <v>0.38</v>
      </c>
      <c r="W17" s="9">
        <f>'Table 6a'!W17+'Table 6b'!Y37</f>
        <v>0.39</v>
      </c>
      <c r="X17" s="884">
        <f>'Table 6a'!X17+'Table 6b'!Z37</f>
        <v>0</v>
      </c>
      <c r="Y17" s="53">
        <f>'Table 6a'!Y17+'Table 6b'!AA37</f>
        <v>0.39</v>
      </c>
      <c r="Z17" s="9">
        <f>'Table 6a'!Z17+'Table 6b'!AB37</f>
        <v>0.39</v>
      </c>
      <c r="AA17" s="321">
        <f>'Table 6a'!AA17+'Table 6b'!AC37</f>
        <v>0</v>
      </c>
      <c r="AB17" s="11">
        <f>'Table 6a'!AB17+'Table 6b'!AD37</f>
        <v>0.39</v>
      </c>
      <c r="AC17" s="1208">
        <f>'Table 6a'!AC17+'Table 6b'!AE37</f>
        <v>0.4</v>
      </c>
      <c r="AD17" s="10">
        <f>'Table 6a'!AD17+'Table 6b'!AF37</f>
        <v>0</v>
      </c>
      <c r="AE17" s="11">
        <f>'Table 6a'!AE17+'Table 6b'!AG37</f>
        <v>0.4</v>
      </c>
      <c r="AF17" s="988">
        <f t="shared" si="1"/>
        <v>0.28999999999999998</v>
      </c>
      <c r="AG17" s="47">
        <f>'Table 6a'!AH17+'Table 6b'!AJ37</f>
        <v>0.42</v>
      </c>
      <c r="AH17" s="352">
        <f>'Table 6a'!AI17+'Table 6b'!AK37</f>
        <v>0</v>
      </c>
      <c r="AI17" s="15">
        <f>'Table 6a'!AJ17+'Table 6b'!AL37</f>
        <v>0.42</v>
      </c>
      <c r="AK17" s="372">
        <f t="shared" si="2"/>
        <v>2707</v>
      </c>
      <c r="AL17" s="1360">
        <f t="shared" si="3"/>
        <v>0.09</v>
      </c>
      <c r="AM17" s="1" t="s">
        <v>36</v>
      </c>
    </row>
    <row r="18" spans="1:39">
      <c r="A18" s="364" t="s">
        <v>25</v>
      </c>
      <c r="B18" s="729" t="s">
        <v>17</v>
      </c>
      <c r="C18" s="372">
        <f>'Table 6a'!C18</f>
        <v>14033</v>
      </c>
      <c r="D18" s="370">
        <f>'Table 6a'!D18</f>
        <v>14994</v>
      </c>
      <c r="E18" s="371">
        <f>'Table 6a'!E18</f>
        <v>15628</v>
      </c>
      <c r="F18" s="370">
        <f>'Table 6a'!F18</f>
        <v>16204</v>
      </c>
      <c r="G18" s="371">
        <f>'Table 6a'!G18</f>
        <v>16751</v>
      </c>
      <c r="H18" s="370">
        <f>'Table 6a'!H18</f>
        <v>17234</v>
      </c>
      <c r="I18" s="1028">
        <f>'Table 6a'!I18</f>
        <v>17734</v>
      </c>
      <c r="J18" s="1865">
        <f t="shared" si="0"/>
        <v>0.26</v>
      </c>
      <c r="K18" s="923">
        <f>'Table 6a'!K18</f>
        <v>0.98</v>
      </c>
      <c r="L18" s="1866">
        <f>'Table 6a'!L18</f>
        <v>0</v>
      </c>
      <c r="M18" s="358">
        <f>'Table 6a'!M18</f>
        <v>0.98</v>
      </c>
      <c r="N18" s="923">
        <f>'Table 6a'!N18</f>
        <v>1.05</v>
      </c>
      <c r="O18" s="1866">
        <f>'Table 6a'!O18</f>
        <v>0</v>
      </c>
      <c r="P18" s="358">
        <f>'Table 6a'!P18</f>
        <v>1.05</v>
      </c>
      <c r="Q18" s="923">
        <f>'Table 6a'!Q18</f>
        <v>1.0900000000000001</v>
      </c>
      <c r="R18" s="1866">
        <f>'Table 6a'!R18</f>
        <v>0</v>
      </c>
      <c r="S18" s="358">
        <f>'Table 6a'!S18</f>
        <v>1.0900000000000001</v>
      </c>
      <c r="T18" s="923">
        <f>'Table 6a'!T18</f>
        <v>1.1299999999999999</v>
      </c>
      <c r="U18" s="1867">
        <f>'Table 6a'!U18</f>
        <v>0</v>
      </c>
      <c r="V18" s="1868">
        <f>'Table 6a'!V18</f>
        <v>1.1299999999999999</v>
      </c>
      <c r="W18" s="923">
        <f>'Table 6a'!W18</f>
        <v>1.17</v>
      </c>
      <c r="X18" s="1866">
        <f>'Table 6a'!X18</f>
        <v>0</v>
      </c>
      <c r="Y18" s="358">
        <f>'Table 6a'!Y18</f>
        <v>1.17</v>
      </c>
      <c r="Z18" s="923">
        <f>'Table 6a'!Z18</f>
        <v>1.21</v>
      </c>
      <c r="AA18" s="1867">
        <f>'Table 6a'!AA18</f>
        <v>0</v>
      </c>
      <c r="AB18" s="1868">
        <f>'Table 6a'!AB18</f>
        <v>1.21</v>
      </c>
      <c r="AC18" s="1869">
        <f>'Table 6a'!AC18</f>
        <v>1.24</v>
      </c>
      <c r="AD18" s="1867">
        <f>'Table 6a'!AD18</f>
        <v>0</v>
      </c>
      <c r="AE18" s="1868">
        <f>'Table 6a'!AE18</f>
        <v>1.24</v>
      </c>
      <c r="AF18" s="988">
        <f t="shared" si="1"/>
        <v>0.27</v>
      </c>
      <c r="AG18" s="820">
        <f>'Table 6a'!AH18</f>
        <v>1.31</v>
      </c>
      <c r="AH18" s="1870">
        <f>'Table 6a'!AI18</f>
        <v>0</v>
      </c>
      <c r="AI18" s="1002">
        <f>'Table 6a'!AJ18</f>
        <v>1.31</v>
      </c>
      <c r="AK18" s="718">
        <f t="shared" si="2"/>
        <v>3701</v>
      </c>
      <c r="AL18" s="1616">
        <f t="shared" si="3"/>
        <v>0.26</v>
      </c>
    </row>
    <row r="19" spans="1:39">
      <c r="A19" s="364" t="s">
        <v>26</v>
      </c>
      <c r="B19" s="730" t="s">
        <v>17</v>
      </c>
      <c r="C19" s="372">
        <f>'Table 6a'!C19+'Table 6b'!D41</f>
        <v>7065</v>
      </c>
      <c r="D19" s="370">
        <f>'Table 6a'!D19+'Table 6b'!E41</f>
        <v>6869</v>
      </c>
      <c r="E19" s="371">
        <f>'Table 6a'!E19+'Table 6b'!F41</f>
        <v>7026</v>
      </c>
      <c r="F19" s="370">
        <f>'Table 6a'!F19+'Table 6b'!G41</f>
        <v>7103</v>
      </c>
      <c r="G19" s="371">
        <f>'Table 6a'!G19+'Table 6b'!H41</f>
        <v>7103</v>
      </c>
      <c r="H19" s="370">
        <f>'Table 6a'!H19+'Table 6b'!I41</f>
        <v>7103</v>
      </c>
      <c r="I19" s="1028">
        <f>'Table 6a'!I19+'Table 6b'!J41</f>
        <v>7169</v>
      </c>
      <c r="J19" s="1025">
        <f t="shared" si="0"/>
        <v>0.01</v>
      </c>
      <c r="K19" s="883">
        <f>'Table 6a'!K19+'Table 6b'!M41</f>
        <v>0.51</v>
      </c>
      <c r="L19" s="884">
        <f>'Table 6a'!L19+'Table 6b'!N41</f>
        <v>0</v>
      </c>
      <c r="M19" s="392">
        <f>'Table 6a'!M19+'Table 6b'!O41</f>
        <v>0.51</v>
      </c>
      <c r="N19" s="883">
        <f>'Table 6a'!N19+'Table 6b'!P41</f>
        <v>0.49</v>
      </c>
      <c r="O19" s="884">
        <f>'Table 6a'!O19+'Table 6b'!Q41</f>
        <v>0</v>
      </c>
      <c r="P19" s="392">
        <f>'Table 6a'!P19+'Table 6b'!R41</f>
        <v>0.49</v>
      </c>
      <c r="Q19" s="883">
        <f>'Table 6a'!Q19+'Table 6b'!S41</f>
        <v>0.5</v>
      </c>
      <c r="R19" s="884">
        <f>'Table 6a'!R19+'Table 6b'!T41</f>
        <v>0</v>
      </c>
      <c r="S19" s="392">
        <f>'Table 6a'!S19+'Table 6b'!U41</f>
        <v>0.5</v>
      </c>
      <c r="T19" s="883">
        <f>'Table 6a'!T19+'Table 6b'!V41</f>
        <v>0.5</v>
      </c>
      <c r="U19" s="321">
        <f>'Table 6a'!U19+'Table 6b'!W41</f>
        <v>0</v>
      </c>
      <c r="V19" s="914">
        <f>'Table 6a'!V19+'Table 6b'!X41</f>
        <v>0.5</v>
      </c>
      <c r="W19" s="883">
        <f>'Table 6a'!W19+'Table 6b'!Y41</f>
        <v>0.5</v>
      </c>
      <c r="X19" s="884">
        <f>'Table 6a'!X19+'Table 6b'!Z41</f>
        <v>0</v>
      </c>
      <c r="Y19" s="392">
        <f>'Table 6a'!Y19+'Table 6b'!AA41</f>
        <v>0.5</v>
      </c>
      <c r="Z19" s="883">
        <f>'Table 6a'!Z19+'Table 6b'!AB41</f>
        <v>0.5</v>
      </c>
      <c r="AA19" s="321">
        <f>'Table 6a'!AA19+'Table 6b'!AC41</f>
        <v>0</v>
      </c>
      <c r="AB19" s="914">
        <f>'Table 6a'!AB19+'Table 6b'!AD41</f>
        <v>0.5</v>
      </c>
      <c r="AC19" s="1528">
        <f>'Table 6a'!AC19+'Table 6b'!AE41</f>
        <v>0.51</v>
      </c>
      <c r="AD19" s="321">
        <f>'Table 6a'!AD19+'Table 6b'!AF41</f>
        <v>0</v>
      </c>
      <c r="AE19" s="914">
        <f>'Table 6a'!AE19+'Table 6b'!AG41</f>
        <v>0.51</v>
      </c>
      <c r="AF19" s="988">
        <f t="shared" si="1"/>
        <v>0</v>
      </c>
      <c r="AG19" s="823">
        <f>'Table 6a'!AH19+'Table 6b'!AJ41</f>
        <v>0.54</v>
      </c>
      <c r="AH19" s="352">
        <f>'Table 6a'!AI19+'Table 6b'!AK41</f>
        <v>0</v>
      </c>
      <c r="AI19" s="830">
        <f>'Table 6a'!AJ19+'Table 6b'!AL41</f>
        <v>0.54</v>
      </c>
      <c r="AK19" s="394">
        <f t="shared" si="2"/>
        <v>104</v>
      </c>
      <c r="AL19" s="1337">
        <f t="shared" si="3"/>
        <v>0</v>
      </c>
    </row>
    <row r="20" spans="1:39">
      <c r="A20" s="365" t="s">
        <v>27</v>
      </c>
      <c r="B20" s="1938" t="s">
        <v>15</v>
      </c>
      <c r="C20" s="372">
        <f>'Table 6a'!C20+'Table 6b'!D44</f>
        <v>8433</v>
      </c>
      <c r="D20" s="370">
        <f>'Table 6a'!D20+'Table 6b'!E44</f>
        <v>9538</v>
      </c>
      <c r="E20" s="371">
        <f>'Table 6a'!E20+'Table 6b'!F44</f>
        <v>11516</v>
      </c>
      <c r="F20" s="370">
        <f>'Table 6a'!F20+'Table 6b'!G44</f>
        <v>12355</v>
      </c>
      <c r="G20" s="371">
        <f>'Table 6a'!G20+'Table 6b'!H44</f>
        <v>13436</v>
      </c>
      <c r="H20" s="370">
        <f>'Table 6a'!H20+'Table 6b'!I44</f>
        <v>14311</v>
      </c>
      <c r="I20" s="1028">
        <f>'Table 6a'!I20+'Table 6b'!J44</f>
        <v>15120</v>
      </c>
      <c r="J20" s="198">
        <f t="shared" si="0"/>
        <v>0.79</v>
      </c>
      <c r="K20" s="9">
        <f>'Table 6a'!K20+'Table 6b'!M44</f>
        <v>3.87</v>
      </c>
      <c r="L20" s="884">
        <f>'Table 6a'!L20+'Table 6b'!N44</f>
        <v>0</v>
      </c>
      <c r="M20" s="392">
        <f>'Table 6a'!M20+'Table 6b'!O44</f>
        <v>3.87</v>
      </c>
      <c r="N20" s="9">
        <f>'Table 6a'!N20+'Table 6b'!P44</f>
        <v>1.49</v>
      </c>
      <c r="O20" s="884">
        <f>'Table 6a'!O20+'Table 6b'!Q44</f>
        <v>0</v>
      </c>
      <c r="P20" s="392">
        <f>'Table 6a'!P20+'Table 6b'!R44</f>
        <v>1.49</v>
      </c>
      <c r="Q20" s="9">
        <f>'Table 6a'!Q20+'Table 6b'!S44</f>
        <v>1.72</v>
      </c>
      <c r="R20" s="884">
        <f>'Table 6a'!R20+'Table 6b'!T44</f>
        <v>0</v>
      </c>
      <c r="S20" s="392">
        <f>'Table 6a'!S20+'Table 6b'!U44</f>
        <v>1.72</v>
      </c>
      <c r="T20" s="9">
        <f>'Table 6a'!T20+'Table 6b'!V44</f>
        <v>1.85</v>
      </c>
      <c r="U20" s="321">
        <f>'Table 6a'!U20+'Table 6b'!W44</f>
        <v>0</v>
      </c>
      <c r="V20" s="914">
        <f>'Table 6a'!V20+'Table 6b'!X44</f>
        <v>1.85</v>
      </c>
      <c r="W20" s="9">
        <f>'Table 6a'!W20+'Table 6b'!Y44</f>
        <v>2.0299999999999998</v>
      </c>
      <c r="X20" s="884">
        <f>'Table 6a'!X20+'Table 6b'!Z44</f>
        <v>0</v>
      </c>
      <c r="Y20" s="392">
        <f>'Table 6a'!Y20+'Table 6b'!AA44</f>
        <v>2.0299999999999998</v>
      </c>
      <c r="Z20" s="9">
        <f>'Table 6a'!Z20+'Table 6b'!AB44</f>
        <v>2.16</v>
      </c>
      <c r="AA20" s="321">
        <f>'Table 6a'!AA20+'Table 6b'!AC44</f>
        <v>0</v>
      </c>
      <c r="AB20" s="914">
        <f>'Table 6a'!AB20+'Table 6b'!AD44</f>
        <v>2.16</v>
      </c>
      <c r="AC20" s="1528">
        <f>'Table 6a'!AC20+'Table 6b'!AE44</f>
        <v>2.2799999999999998</v>
      </c>
      <c r="AD20" s="321">
        <f>'Table 6a'!AD20+'Table 6b'!AF44</f>
        <v>0</v>
      </c>
      <c r="AE20" s="914">
        <f>'Table 6a'!AE20+'Table 6b'!AG44</f>
        <v>2.2799999999999998</v>
      </c>
      <c r="AF20" s="988">
        <f t="shared" si="1"/>
        <v>-0.41</v>
      </c>
      <c r="AG20" s="823">
        <f>'Table 6a'!AH20+'Table 6b'!AJ44</f>
        <v>2.42</v>
      </c>
      <c r="AH20" s="352">
        <f>'Table 6a'!AI20+'Table 6b'!AK44</f>
        <v>0</v>
      </c>
      <c r="AI20" s="830">
        <f>'Table 6a'!AJ20+'Table 6b'!AL44</f>
        <v>2.42</v>
      </c>
      <c r="AK20" s="372">
        <f t="shared" si="2"/>
        <v>6687</v>
      </c>
      <c r="AL20" s="1337">
        <f t="shared" si="3"/>
        <v>-1.59</v>
      </c>
    </row>
    <row r="21" spans="1:39">
      <c r="A21" s="365" t="s">
        <v>28</v>
      </c>
      <c r="B21" s="1938" t="s">
        <v>15</v>
      </c>
      <c r="C21" s="372">
        <f>'Table 6a'!C21+'Table 6b'!D56</f>
        <v>56398</v>
      </c>
      <c r="D21" s="370">
        <f>'Table 6a'!D21+'Table 6b'!E56</f>
        <v>56295</v>
      </c>
      <c r="E21" s="371">
        <f>'Table 6a'!E21+'Table 6b'!F56</f>
        <v>56300</v>
      </c>
      <c r="F21" s="370">
        <f>'Table 6a'!F21+'Table 6b'!G56</f>
        <v>56304</v>
      </c>
      <c r="G21" s="371">
        <f>'Table 6a'!G21+'Table 6b'!H56</f>
        <v>56310</v>
      </c>
      <c r="H21" s="370">
        <f>'Table 6a'!H21+'Table 6b'!I56</f>
        <v>56317</v>
      </c>
      <c r="I21" s="1028">
        <f>'Table 6a'!I21+'Table 6b'!J56</f>
        <v>56324</v>
      </c>
      <c r="J21" s="198">
        <f t="shared" si="0"/>
        <v>0</v>
      </c>
      <c r="K21" s="9">
        <f>'Table 6a'!K21+'Table 6b'!M56</f>
        <v>2.5499999999999998</v>
      </c>
      <c r="L21" s="884">
        <f>'Table 6a'!L21+'Table 6b'!N56</f>
        <v>0</v>
      </c>
      <c r="M21" s="392">
        <f>'Table 6a'!M21+'Table 6b'!O56</f>
        <v>2.5499999999999998</v>
      </c>
      <c r="N21" s="9">
        <f>'Table 6a'!N21+'Table 6b'!P56</f>
        <v>3.24</v>
      </c>
      <c r="O21" s="884">
        <f>'Table 6a'!O21+'Table 6b'!Q56</f>
        <v>0</v>
      </c>
      <c r="P21" s="392">
        <f>'Table 6a'!P21+'Table 6b'!R56</f>
        <v>3.24</v>
      </c>
      <c r="Q21" s="9">
        <f>'Table 6a'!Q21+'Table 6b'!S56</f>
        <v>3.24</v>
      </c>
      <c r="R21" s="884">
        <f>'Table 6a'!R21+'Table 6b'!T56</f>
        <v>0</v>
      </c>
      <c r="S21" s="392">
        <f>'Table 6a'!S21+'Table 6b'!U56</f>
        <v>3.24</v>
      </c>
      <c r="T21" s="9">
        <f>'Table 6a'!T21+'Table 6b'!V56</f>
        <v>3.24</v>
      </c>
      <c r="U21" s="321">
        <f>'Table 6a'!U21+'Table 6b'!W56</f>
        <v>0</v>
      </c>
      <c r="V21" s="914">
        <f>'Table 6a'!V21+'Table 6b'!X56</f>
        <v>3.24</v>
      </c>
      <c r="W21" s="9">
        <f>'Table 6a'!W21+'Table 6b'!Y56</f>
        <v>3.24</v>
      </c>
      <c r="X21" s="884">
        <f>'Table 6a'!X21+'Table 6b'!Z56</f>
        <v>0</v>
      </c>
      <c r="Y21" s="392">
        <f>'Table 6a'!Y21+'Table 6b'!AA56</f>
        <v>3.24</v>
      </c>
      <c r="Z21" s="9">
        <f>'Table 6a'!Z21+'Table 6b'!AB56</f>
        <v>3.24</v>
      </c>
      <c r="AA21" s="321">
        <f>'Table 6a'!AA21+'Table 6b'!AC56</f>
        <v>0</v>
      </c>
      <c r="AB21" s="914">
        <f>'Table 6a'!AB21+'Table 6b'!AD56</f>
        <v>3.24</v>
      </c>
      <c r="AC21" s="1528">
        <f>'Table 6a'!AC21+'Table 6b'!AE56</f>
        <v>3.24</v>
      </c>
      <c r="AD21" s="321">
        <f>'Table 6a'!AD21+'Table 6b'!AF56</f>
        <v>0</v>
      </c>
      <c r="AE21" s="914">
        <f>'Table 6a'!AE21+'Table 6b'!AG56</f>
        <v>3.24</v>
      </c>
      <c r="AF21" s="988">
        <f t="shared" si="1"/>
        <v>0.27</v>
      </c>
      <c r="AG21" s="823">
        <f>'Table 6a'!AH21+'Table 6b'!AJ56</f>
        <v>3.43</v>
      </c>
      <c r="AH21" s="352">
        <f>'Table 6a'!AI21+'Table 6b'!AK56</f>
        <v>0</v>
      </c>
      <c r="AI21" s="830">
        <f>'Table 6a'!AJ21+'Table 6b'!AL56</f>
        <v>3.43</v>
      </c>
      <c r="AK21" s="372">
        <f t="shared" si="2"/>
        <v>-74</v>
      </c>
      <c r="AL21" s="1337">
        <f t="shared" si="3"/>
        <v>0.69</v>
      </c>
    </row>
    <row r="22" spans="1:39">
      <c r="A22" s="365" t="s">
        <v>29</v>
      </c>
      <c r="B22" s="1938" t="s">
        <v>15</v>
      </c>
      <c r="C22" s="372">
        <f>'Table 6a'!C22+'Table 6b'!D61</f>
        <v>43297</v>
      </c>
      <c r="D22" s="370">
        <f>'Table 6a'!D22+'Table 6b'!E61</f>
        <v>52458</v>
      </c>
      <c r="E22" s="371">
        <f>'Table 6a'!E22+'Table 6b'!F61</f>
        <v>61397</v>
      </c>
      <c r="F22" s="370">
        <f>'Table 6a'!F22+'Table 6b'!G61</f>
        <v>70720</v>
      </c>
      <c r="G22" s="371">
        <f>'Table 6a'!G22+'Table 6b'!H61</f>
        <v>78306</v>
      </c>
      <c r="H22" s="370">
        <f>'Table 6a'!H22+'Table 6b'!I61</f>
        <v>86320</v>
      </c>
      <c r="I22" s="1028">
        <f>'Table 6a'!I22+'Table 6b'!J61</f>
        <v>93749</v>
      </c>
      <c r="J22" s="198">
        <f t="shared" si="0"/>
        <v>1.17</v>
      </c>
      <c r="K22" s="9">
        <f>'Table 6a'!K22+'Table 6b'!M61</f>
        <v>2.78</v>
      </c>
      <c r="L22" s="884">
        <f>'Table 6a'!L22+'Table 6b'!N61</f>
        <v>0</v>
      </c>
      <c r="M22" s="392">
        <f>'Table 6a'!M22+'Table 6b'!O61</f>
        <v>2.78</v>
      </c>
      <c r="N22" s="9">
        <f>'Table 6a'!N22+'Table 6b'!P61</f>
        <v>4.6100000000000003</v>
      </c>
      <c r="O22" s="884">
        <f>'Table 6a'!O22+'Table 6b'!Q61</f>
        <v>0</v>
      </c>
      <c r="P22" s="392">
        <f>'Table 6a'!P22+'Table 6b'!R61</f>
        <v>4.6100000000000003</v>
      </c>
      <c r="Q22" s="9">
        <f>'Table 6a'!Q22+'Table 6b'!S61</f>
        <v>5.4</v>
      </c>
      <c r="R22" s="884">
        <f>'Table 6a'!R22+'Table 6b'!T61</f>
        <v>0</v>
      </c>
      <c r="S22" s="392">
        <f>'Table 6a'!S22+'Table 6b'!U61</f>
        <v>5.4</v>
      </c>
      <c r="T22" s="9">
        <f>'Table 6a'!T22+'Table 6b'!V61</f>
        <v>6.22</v>
      </c>
      <c r="U22" s="321">
        <f>'Table 6a'!U22+'Table 6b'!W61</f>
        <v>0</v>
      </c>
      <c r="V22" s="914">
        <f>'Table 6a'!V22+'Table 6b'!X61</f>
        <v>6.22</v>
      </c>
      <c r="W22" s="9">
        <f>'Table 6a'!W22+'Table 6b'!Y61</f>
        <v>6.89</v>
      </c>
      <c r="X22" s="884">
        <f>'Table 6a'!X22+'Table 6b'!Z61</f>
        <v>0</v>
      </c>
      <c r="Y22" s="392">
        <f>'Table 6a'!Y22+'Table 6b'!AA61</f>
        <v>6.89</v>
      </c>
      <c r="Z22" s="9">
        <f>'Table 6a'!Z22+'Table 6b'!AB61</f>
        <v>7.6</v>
      </c>
      <c r="AA22" s="321">
        <f>'Table 6a'!AA22+'Table 6b'!AC61</f>
        <v>0</v>
      </c>
      <c r="AB22" s="914">
        <f>'Table 6a'!AB22+'Table 6b'!AD61</f>
        <v>7.6</v>
      </c>
      <c r="AC22" s="1528">
        <f>'Table 6a'!AC22+'Table 6b'!AE61</f>
        <v>8.25</v>
      </c>
      <c r="AD22" s="321">
        <f>'Table 6a'!AD22+'Table 6b'!AF61</f>
        <v>0</v>
      </c>
      <c r="AE22" s="914">
        <f>'Table 6a'!AE22+'Table 6b'!AG61</f>
        <v>8.25</v>
      </c>
      <c r="AF22" s="988">
        <f t="shared" si="1"/>
        <v>1.97</v>
      </c>
      <c r="AG22" s="823">
        <f>'Table 6a'!AH22+'Table 6b'!AJ61</f>
        <v>8.74</v>
      </c>
      <c r="AH22" s="352">
        <f>'Table 6a'!AI22+'Table 6b'!AK61</f>
        <v>0</v>
      </c>
      <c r="AI22" s="830">
        <f>'Table 6a'!AJ22+'Table 6b'!AL61</f>
        <v>8.74</v>
      </c>
      <c r="AK22" s="372">
        <f t="shared" si="2"/>
        <v>50452</v>
      </c>
      <c r="AL22" s="1337">
        <f t="shared" si="3"/>
        <v>5.47</v>
      </c>
    </row>
    <row r="23" spans="1:39">
      <c r="A23" s="365" t="s">
        <v>30</v>
      </c>
      <c r="B23" s="1937" t="s">
        <v>17</v>
      </c>
      <c r="C23" s="394">
        <f>'Table 6a'!C23+'Table 6b'!D66</f>
        <v>34041</v>
      </c>
      <c r="D23" s="370">
        <f>'Table 6a'!D23+'Table 6b'!E66</f>
        <v>35774</v>
      </c>
      <c r="E23" s="371">
        <f>'Table 6a'!E23+'Table 6b'!F66</f>
        <v>37338</v>
      </c>
      <c r="F23" s="370">
        <f>'Table 6a'!F23+'Table 6b'!G66</f>
        <v>38872</v>
      </c>
      <c r="G23" s="371">
        <f>'Table 6a'!G23+'Table 6b'!H66</f>
        <v>40087</v>
      </c>
      <c r="H23" s="370">
        <f>'Table 6a'!H23+'Table 6b'!I66</f>
        <v>41234</v>
      </c>
      <c r="I23" s="1028">
        <f>'Table 6a'!I23+'Table 6b'!J66</f>
        <v>42261</v>
      </c>
      <c r="J23" s="1025">
        <f t="shared" si="0"/>
        <v>0.24</v>
      </c>
      <c r="K23" s="883">
        <f>'Table 6a'!K23+'Table 6b'!M66</f>
        <v>2.2200000000000002</v>
      </c>
      <c r="L23" s="884">
        <f>'Table 6a'!L23+'Table 6b'!N66</f>
        <v>0</v>
      </c>
      <c r="M23" s="392">
        <f>'Table 6a'!M23+'Table 6b'!O66</f>
        <v>2.2200000000000002</v>
      </c>
      <c r="N23" s="883">
        <f>'Table 6a'!N23+'Table 6b'!P66</f>
        <v>2.34</v>
      </c>
      <c r="O23" s="884">
        <f>'Table 6a'!O23+'Table 6b'!Q66</f>
        <v>0</v>
      </c>
      <c r="P23" s="392">
        <f>'Table 6a'!P23+'Table 6b'!R66</f>
        <v>2.34</v>
      </c>
      <c r="Q23" s="883">
        <f>'Table 6a'!Q23+'Table 6b'!S66</f>
        <v>2.44</v>
      </c>
      <c r="R23" s="884">
        <f>'Table 6a'!R23+'Table 6b'!T66</f>
        <v>0</v>
      </c>
      <c r="S23" s="392">
        <f>'Table 6a'!S23+'Table 6b'!U66</f>
        <v>2.44</v>
      </c>
      <c r="T23" s="883">
        <f>'Table 6a'!T23+'Table 6b'!V66</f>
        <v>2.54</v>
      </c>
      <c r="U23" s="321">
        <f>'Table 6a'!U23+'Table 6b'!W66</f>
        <v>0</v>
      </c>
      <c r="V23" s="914">
        <f>'Table 6a'!V23+'Table 6b'!X66</f>
        <v>2.54</v>
      </c>
      <c r="W23" s="883">
        <f>'Table 6a'!W23+'Table 6b'!Y66</f>
        <v>2.62</v>
      </c>
      <c r="X23" s="884">
        <f>'Table 6a'!X23+'Table 6b'!Z66</f>
        <v>0</v>
      </c>
      <c r="Y23" s="393">
        <f>'Table 6a'!Y23+'Table 6b'!AA66</f>
        <v>2.62</v>
      </c>
      <c r="Z23" s="883">
        <f>'Table 6a'!Z23+'Table 6b'!AB66</f>
        <v>2.69</v>
      </c>
      <c r="AA23" s="321">
        <f>'Table 6a'!AA23+'Table 6b'!AC66</f>
        <v>0</v>
      </c>
      <c r="AB23" s="944">
        <f>'Table 6a'!AB23+'Table 6b'!AD66</f>
        <v>2.69</v>
      </c>
      <c r="AC23" s="1529">
        <f>'Table 6a'!AC23+'Table 6b'!AE66</f>
        <v>2.76</v>
      </c>
      <c r="AD23" s="352">
        <f>'Table 6a'!AD23+'Table 6b'!AF66</f>
        <v>0</v>
      </c>
      <c r="AE23" s="944">
        <f>'Table 6a'!AE23+'Table 6b'!AG66</f>
        <v>2.76</v>
      </c>
      <c r="AF23" s="988">
        <f t="shared" si="1"/>
        <v>0.24</v>
      </c>
      <c r="AG23" s="823">
        <f>'Table 6a'!AH23+'Table 6b'!AJ66</f>
        <v>2.92</v>
      </c>
      <c r="AH23" s="352">
        <f>'Table 6a'!AI23+'Table 6b'!AK66</f>
        <v>0</v>
      </c>
      <c r="AI23" s="830">
        <f>'Table 6a'!AJ23+'Table 6b'!AL66</f>
        <v>2.92</v>
      </c>
      <c r="AK23" s="391">
        <f t="shared" si="2"/>
        <v>8220</v>
      </c>
      <c r="AL23" s="1617">
        <f t="shared" si="3"/>
        <v>0.54</v>
      </c>
    </row>
    <row r="24" spans="1:39" ht="13.5" thickBot="1">
      <c r="A24" s="1040" t="s">
        <v>31</v>
      </c>
      <c r="B24" s="1939" t="s">
        <v>17</v>
      </c>
      <c r="C24" s="1019">
        <f>'Table 6a'!C24+'Table 6b'!D71</f>
        <v>9273</v>
      </c>
      <c r="D24" s="1940">
        <f>'Table 6a'!D24+'Table 6b'!E71</f>
        <v>8917</v>
      </c>
      <c r="E24" s="414">
        <f>'Table 6a'!E24+'Table 6b'!F71</f>
        <v>8982</v>
      </c>
      <c r="F24" s="1019">
        <f>'Table 6a'!F24+'Table 6b'!G71</f>
        <v>8982</v>
      </c>
      <c r="G24" s="414">
        <f>'Table 6a'!G24+'Table 6b'!H71</f>
        <v>9062</v>
      </c>
      <c r="H24" s="1019">
        <f>'Table 6a'!H24+'Table 6b'!I71</f>
        <v>9062</v>
      </c>
      <c r="I24" s="1033">
        <f>'Table 6a'!I24+'Table 6b'!J71</f>
        <v>9062</v>
      </c>
      <c r="J24" s="409">
        <f t="shared" si="0"/>
        <v>-0.02</v>
      </c>
      <c r="K24" s="156">
        <f>'Table 6a'!K24+'Table 6b'!M71</f>
        <v>0.67</v>
      </c>
      <c r="L24" s="658">
        <f>'Table 6a'!L24+'Table 6b'!N71</f>
        <v>0</v>
      </c>
      <c r="M24" s="411">
        <f>'Table 6a'!M24+'Table 6b'!O71</f>
        <v>0.67</v>
      </c>
      <c r="N24" s="156">
        <f>'Table 6a'!N24+'Table 6b'!P71</f>
        <v>0.65</v>
      </c>
      <c r="O24" s="658">
        <f>'Table 6a'!O24+'Table 6b'!Q71</f>
        <v>0</v>
      </c>
      <c r="P24" s="411">
        <f>'Table 6a'!P24+'Table 6b'!R71</f>
        <v>0.65</v>
      </c>
      <c r="Q24" s="156">
        <f>'Table 6a'!Q24+'Table 6b'!S71</f>
        <v>0.65</v>
      </c>
      <c r="R24" s="658">
        <f>'Table 6a'!R24+'Table 6b'!T71</f>
        <v>0</v>
      </c>
      <c r="S24" s="411">
        <f>'Table 6a'!S24+'Table 6b'!U71</f>
        <v>0.65</v>
      </c>
      <c r="T24" s="156">
        <f>'Table 6a'!T24+'Table 6b'!V71</f>
        <v>0.65</v>
      </c>
      <c r="U24" s="660">
        <f>'Table 6a'!U24+'Table 6b'!W71</f>
        <v>0</v>
      </c>
      <c r="V24" s="413">
        <f>'Table 6a'!V24+'Table 6b'!X71</f>
        <v>0.65</v>
      </c>
      <c r="W24" s="156">
        <f>'Table 6a'!W24+'Table 6b'!Y71</f>
        <v>0.66</v>
      </c>
      <c r="X24" s="658">
        <f>'Table 6a'!X24+'Table 6b'!Z71</f>
        <v>0</v>
      </c>
      <c r="Y24" s="1041">
        <f>'Table 6a'!Y24+'Table 6b'!AA71</f>
        <v>0.66</v>
      </c>
      <c r="Z24" s="156">
        <f>'Table 6a'!Z24+'Table 6b'!AB71</f>
        <v>0.66</v>
      </c>
      <c r="AA24" s="660">
        <f>'Table 6a'!AA24+'Table 6b'!AC71</f>
        <v>0</v>
      </c>
      <c r="AB24" s="1042">
        <f>'Table 6a'!AB24+'Table 6b'!AD71</f>
        <v>0.66</v>
      </c>
      <c r="AC24" s="1530">
        <f>'Table 6a'!AC24+'Table 6b'!AE71</f>
        <v>0.66</v>
      </c>
      <c r="AD24" s="441">
        <f>'Table 6a'!AD24+'Table 6b'!AF71</f>
        <v>0</v>
      </c>
      <c r="AE24" s="1042">
        <f>'Table 6a'!AE24+'Table 6b'!AG71</f>
        <v>0.66</v>
      </c>
      <c r="AF24" s="1043">
        <f t="shared" si="1"/>
        <v>-0.01</v>
      </c>
      <c r="AG24" s="136">
        <f>'Table 6a'!AH24+'Table 6b'!AJ71</f>
        <v>0.7</v>
      </c>
      <c r="AH24" s="441">
        <f>'Table 6a'!AI24+'Table 6b'!AK71</f>
        <v>0</v>
      </c>
      <c r="AI24" s="145">
        <f>'Table 6a'!AJ24+'Table 6b'!AL71</f>
        <v>0.7</v>
      </c>
      <c r="AK24" s="799">
        <f t="shared" si="2"/>
        <v>-211</v>
      </c>
      <c r="AL24" s="1618">
        <f t="shared" si="3"/>
        <v>-0.01</v>
      </c>
    </row>
    <row r="25" spans="1:39" s="22" customFormat="1" ht="14.25" thickTop="1" thickBot="1">
      <c r="A25" s="3369" t="s">
        <v>32</v>
      </c>
      <c r="B25" s="3370"/>
      <c r="C25" s="383">
        <f>C5+C8+C11+C14+C16+C17+C20+C21+C22</f>
        <v>420732</v>
      </c>
      <c r="D25" s="115">
        <f t="shared" ref="D25:I25" si="11">D5+D8+D11+D14+D16+D17+D20+D21+D22</f>
        <v>454207</v>
      </c>
      <c r="E25" s="64">
        <f t="shared" si="11"/>
        <v>490934</v>
      </c>
      <c r="F25" s="115">
        <f t="shared" si="11"/>
        <v>527997</v>
      </c>
      <c r="G25" s="64">
        <f t="shared" si="11"/>
        <v>552171</v>
      </c>
      <c r="H25" s="115">
        <f t="shared" si="11"/>
        <v>575140</v>
      </c>
      <c r="I25" s="1034">
        <f t="shared" si="11"/>
        <v>596171</v>
      </c>
      <c r="J25" s="438">
        <f t="shared" si="0"/>
        <v>0.42</v>
      </c>
      <c r="K25" s="385">
        <f t="shared" ref="K25:AB25" si="12">K5+K8+K11+K14+K16+K17+K20+K21+K22</f>
        <v>32.25</v>
      </c>
      <c r="L25" s="388">
        <f t="shared" si="12"/>
        <v>0</v>
      </c>
      <c r="M25" s="359">
        <f t="shared" si="12"/>
        <v>32.25</v>
      </c>
      <c r="N25" s="385">
        <f t="shared" si="12"/>
        <v>40.21</v>
      </c>
      <c r="O25" s="386">
        <f t="shared" si="12"/>
        <v>0</v>
      </c>
      <c r="P25" s="387">
        <f t="shared" si="12"/>
        <v>40.21</v>
      </c>
      <c r="Q25" s="385">
        <f t="shared" si="12"/>
        <v>43.59</v>
      </c>
      <c r="R25" s="388">
        <f t="shared" si="12"/>
        <v>0</v>
      </c>
      <c r="S25" s="359">
        <f t="shared" si="12"/>
        <v>43.59</v>
      </c>
      <c r="T25" s="385">
        <f t="shared" si="12"/>
        <v>46.81</v>
      </c>
      <c r="U25" s="388">
        <f t="shared" si="12"/>
        <v>0</v>
      </c>
      <c r="V25" s="359">
        <f t="shared" si="12"/>
        <v>46.81</v>
      </c>
      <c r="W25" s="385">
        <f t="shared" si="12"/>
        <v>49.12</v>
      </c>
      <c r="X25" s="386">
        <f t="shared" si="12"/>
        <v>0</v>
      </c>
      <c r="Y25" s="387">
        <f t="shared" si="12"/>
        <v>49.12</v>
      </c>
      <c r="Z25" s="385">
        <f t="shared" si="12"/>
        <v>51.21</v>
      </c>
      <c r="AA25" s="388">
        <f t="shared" si="12"/>
        <v>0</v>
      </c>
      <c r="AB25" s="389">
        <f t="shared" si="12"/>
        <v>51.21</v>
      </c>
      <c r="AC25" s="359">
        <f t="shared" ref="AC25:AE25" si="13">AC5+AC8+AC11+AC14+AC16+AC17+AC20+AC21+AC22</f>
        <v>53.12</v>
      </c>
      <c r="AD25" s="388">
        <f t="shared" si="13"/>
        <v>0</v>
      </c>
      <c r="AE25" s="389">
        <f t="shared" si="13"/>
        <v>53.12</v>
      </c>
      <c r="AF25" s="244">
        <f t="shared" si="1"/>
        <v>0.65</v>
      </c>
      <c r="AG25" s="385">
        <f t="shared" ref="AG25:AI25" si="14">AG5+AG8+AG11+AG14+AG16+AG17+AG20+AG21+AG22</f>
        <v>56.29</v>
      </c>
      <c r="AH25" s="386">
        <f t="shared" si="14"/>
        <v>0</v>
      </c>
      <c r="AI25" s="1039">
        <f t="shared" si="14"/>
        <v>56.29</v>
      </c>
      <c r="AK25" s="383">
        <f t="shared" si="2"/>
        <v>175439</v>
      </c>
      <c r="AL25" s="1619">
        <f t="shared" si="3"/>
        <v>20.87</v>
      </c>
    </row>
    <row r="26" spans="1:39" s="22" customFormat="1" ht="13.5" thickBot="1">
      <c r="A26" s="3371" t="s">
        <v>33</v>
      </c>
      <c r="B26" s="3372"/>
      <c r="C26" s="415">
        <f>C6+C9+C12+C15+C18+C19+C23+C24</f>
        <v>157343</v>
      </c>
      <c r="D26" s="416">
        <f t="shared" ref="D26:I26" si="15">D6+D9+D12+D15+D18+D19+D23+D24</f>
        <v>168156</v>
      </c>
      <c r="E26" s="417">
        <f t="shared" si="15"/>
        <v>179596</v>
      </c>
      <c r="F26" s="417">
        <f t="shared" si="15"/>
        <v>188316</v>
      </c>
      <c r="G26" s="417">
        <f t="shared" si="15"/>
        <v>198625</v>
      </c>
      <c r="H26" s="418">
        <f t="shared" si="15"/>
        <v>206135</v>
      </c>
      <c r="I26" s="420">
        <f t="shared" si="15"/>
        <v>212356</v>
      </c>
      <c r="J26" s="1044">
        <f t="shared" si="0"/>
        <v>0.35</v>
      </c>
      <c r="K26" s="396">
        <f t="shared" ref="K26:AB26" si="16">K6+K9+K12+K15+K18+K19+K23+K24</f>
        <v>9.5299999999999994</v>
      </c>
      <c r="L26" s="398">
        <f t="shared" si="16"/>
        <v>0</v>
      </c>
      <c r="M26" s="423">
        <f t="shared" si="16"/>
        <v>9.5299999999999994</v>
      </c>
      <c r="N26" s="401">
        <f t="shared" si="16"/>
        <v>10.16</v>
      </c>
      <c r="O26" s="424">
        <f t="shared" si="16"/>
        <v>0</v>
      </c>
      <c r="P26" s="421">
        <f t="shared" si="16"/>
        <v>10.16</v>
      </c>
      <c r="Q26" s="396">
        <f t="shared" si="16"/>
        <v>10.79</v>
      </c>
      <c r="R26" s="398">
        <f t="shared" si="16"/>
        <v>0</v>
      </c>
      <c r="S26" s="423">
        <f t="shared" si="16"/>
        <v>10.79</v>
      </c>
      <c r="T26" s="401">
        <f t="shared" si="16"/>
        <v>11.3</v>
      </c>
      <c r="U26" s="424">
        <f t="shared" si="16"/>
        <v>0</v>
      </c>
      <c r="V26" s="427">
        <f t="shared" si="16"/>
        <v>11.3</v>
      </c>
      <c r="W26" s="401">
        <f t="shared" si="16"/>
        <v>11.88</v>
      </c>
      <c r="X26" s="398">
        <f t="shared" si="16"/>
        <v>0</v>
      </c>
      <c r="Y26" s="429">
        <f t="shared" si="16"/>
        <v>11.88</v>
      </c>
      <c r="Z26" s="396">
        <f t="shared" si="16"/>
        <v>12.34</v>
      </c>
      <c r="AA26" s="424">
        <f t="shared" si="16"/>
        <v>0</v>
      </c>
      <c r="AB26" s="421">
        <f t="shared" si="16"/>
        <v>12.34</v>
      </c>
      <c r="AC26" s="427">
        <f t="shared" ref="AC26:AE26" si="17">AC6+AC9+AC12+AC15+AC18+AC19+AC23+AC24</f>
        <v>12.7</v>
      </c>
      <c r="AD26" s="424">
        <f t="shared" si="17"/>
        <v>0</v>
      </c>
      <c r="AE26" s="421">
        <f t="shared" si="17"/>
        <v>12.7</v>
      </c>
      <c r="AF26" s="237">
        <f t="shared" si="1"/>
        <v>0.33</v>
      </c>
      <c r="AG26" s="397">
        <f t="shared" ref="AG26:AI26" si="18">AG6+AG9+AG12+AG15+AG18+AG19+AG23+AG24</f>
        <v>13.35</v>
      </c>
      <c r="AH26" s="399">
        <f t="shared" si="18"/>
        <v>0</v>
      </c>
      <c r="AI26" s="430">
        <f t="shared" si="18"/>
        <v>13.35</v>
      </c>
      <c r="AJ26" s="1613"/>
      <c r="AK26" s="415">
        <f t="shared" si="2"/>
        <v>55013</v>
      </c>
      <c r="AL26" s="1620">
        <f t="shared" si="3"/>
        <v>3.17</v>
      </c>
    </row>
    <row r="27" spans="1:39" s="22" customFormat="1" ht="13.5" thickBot="1">
      <c r="A27" s="3375" t="s">
        <v>34</v>
      </c>
      <c r="B27" s="3376"/>
      <c r="C27" s="419">
        <f>C25+C26</f>
        <v>578075</v>
      </c>
      <c r="D27" s="306">
        <f t="shared" ref="D27:I27" si="19">D25+D26</f>
        <v>622363</v>
      </c>
      <c r="E27" s="65">
        <f t="shared" si="19"/>
        <v>670530</v>
      </c>
      <c r="F27" s="65">
        <f t="shared" si="19"/>
        <v>716313</v>
      </c>
      <c r="G27" s="65">
        <f t="shared" si="19"/>
        <v>750796</v>
      </c>
      <c r="H27" s="214">
        <f t="shared" si="19"/>
        <v>781275</v>
      </c>
      <c r="I27" s="1035">
        <f t="shared" si="19"/>
        <v>808527</v>
      </c>
      <c r="J27" s="1045">
        <f t="shared" si="0"/>
        <v>0.4</v>
      </c>
      <c r="K27" s="397">
        <f t="shared" ref="K27" si="20">K25+K26</f>
        <v>41.78</v>
      </c>
      <c r="L27" s="399">
        <f t="shared" ref="L27" si="21">L25+L26</f>
        <v>0</v>
      </c>
      <c r="M27" s="425">
        <f t="shared" ref="M27" si="22">M25+M26</f>
        <v>41.78</v>
      </c>
      <c r="N27" s="397">
        <f t="shared" ref="N27" si="23">N25+N26</f>
        <v>50.37</v>
      </c>
      <c r="O27" s="426">
        <f t="shared" ref="O27" si="24">O25+O26</f>
        <v>0</v>
      </c>
      <c r="P27" s="422">
        <f t="shared" ref="P27" si="25">P25+P26</f>
        <v>50.37</v>
      </c>
      <c r="Q27" s="400">
        <f t="shared" ref="Q27" si="26">Q25+Q26</f>
        <v>54.38</v>
      </c>
      <c r="R27" s="399">
        <f t="shared" ref="R27" si="27">R25+R26</f>
        <v>0</v>
      </c>
      <c r="S27" s="425">
        <f t="shared" ref="S27" si="28">S25+S26</f>
        <v>54.38</v>
      </c>
      <c r="T27" s="397">
        <f t="shared" ref="T27" si="29">T25+T26</f>
        <v>58.11</v>
      </c>
      <c r="U27" s="426">
        <f t="shared" ref="U27" si="30">U25+U26</f>
        <v>0</v>
      </c>
      <c r="V27" s="428">
        <f t="shared" ref="V27" si="31">V25+V26</f>
        <v>58.11</v>
      </c>
      <c r="W27" s="397">
        <f t="shared" ref="W27" si="32">W25+W26</f>
        <v>61</v>
      </c>
      <c r="X27" s="399">
        <f t="shared" ref="X27" si="33">X25+X26</f>
        <v>0</v>
      </c>
      <c r="Y27" s="430">
        <f t="shared" ref="Y27" si="34">Y25+Y26</f>
        <v>61</v>
      </c>
      <c r="Z27" s="400">
        <f t="shared" ref="Z27" si="35">Z25+Z26</f>
        <v>63.55</v>
      </c>
      <c r="AA27" s="426">
        <f t="shared" ref="AA27" si="36">AA25+AA26</f>
        <v>0</v>
      </c>
      <c r="AB27" s="422">
        <f t="shared" ref="AB27" si="37">AB25+AB26</f>
        <v>63.55</v>
      </c>
      <c r="AC27" s="428">
        <f t="shared" ref="AC27" si="38">AC25+AC26</f>
        <v>65.819999999999993</v>
      </c>
      <c r="AD27" s="426">
        <f t="shared" ref="AD27" si="39">AD25+AD26</f>
        <v>0</v>
      </c>
      <c r="AE27" s="422">
        <f t="shared" ref="AE27" si="40">AE25+AE26</f>
        <v>65.819999999999993</v>
      </c>
      <c r="AF27" s="237">
        <f t="shared" si="1"/>
        <v>0.57999999999999996</v>
      </c>
      <c r="AG27" s="439">
        <f t="shared" ref="AG27" si="41">AG25+AG26</f>
        <v>69.64</v>
      </c>
      <c r="AH27" s="26">
        <f t="shared" ref="AH27" si="42">AH25+AH26</f>
        <v>0</v>
      </c>
      <c r="AI27" s="27">
        <f t="shared" ref="AI27" si="43">AI25+AI26</f>
        <v>69.64</v>
      </c>
      <c r="AJ27" s="1613"/>
      <c r="AK27" s="419">
        <f t="shared" si="2"/>
        <v>230452</v>
      </c>
      <c r="AL27" s="1621">
        <f t="shared" si="3"/>
        <v>24.04</v>
      </c>
    </row>
    <row r="28" spans="1:39">
      <c r="A28" s="89" t="s">
        <v>35</v>
      </c>
    </row>
    <row r="29" spans="1:39">
      <c r="A29" s="1" t="s">
        <v>68</v>
      </c>
      <c r="V29" s="23" t="s">
        <v>36</v>
      </c>
    </row>
    <row r="30" spans="1:39">
      <c r="A30" s="1" t="s">
        <v>69</v>
      </c>
    </row>
    <row r="31" spans="1:39" ht="27" customHeight="1">
      <c r="A31" s="3304" t="s">
        <v>372</v>
      </c>
      <c r="B31" s="3304"/>
      <c r="C31" s="3304"/>
      <c r="D31" s="3304"/>
      <c r="E31" s="3304"/>
      <c r="F31" s="3304"/>
      <c r="G31" s="3304"/>
      <c r="H31" s="3304"/>
      <c r="I31" s="3304"/>
      <c r="J31" s="3304"/>
      <c r="K31" s="3304"/>
      <c r="L31" s="3304"/>
      <c r="M31" s="3304"/>
      <c r="N31" s="3304"/>
      <c r="O31" s="3304"/>
      <c r="P31" s="3304"/>
      <c r="Q31" s="3304"/>
      <c r="R31" s="3304"/>
      <c r="S31" s="3304"/>
      <c r="T31" s="3304"/>
      <c r="U31" s="3304"/>
      <c r="V31" s="3304"/>
      <c r="W31" s="3304"/>
      <c r="X31" s="3304"/>
      <c r="Y31" s="3304"/>
      <c r="Z31" s="3304"/>
      <c r="AA31" s="3304"/>
      <c r="AB31" s="3304"/>
      <c r="AC31" s="3304"/>
      <c r="AD31" s="3304"/>
      <c r="AE31" s="3304"/>
      <c r="AF31" s="3304"/>
      <c r="AG31" s="570"/>
      <c r="AH31" s="570"/>
      <c r="AI31" s="570"/>
      <c r="AJ31" s="570"/>
      <c r="AK31" s="570" t="s">
        <v>36</v>
      </c>
      <c r="AL31" s="570"/>
    </row>
    <row r="32" spans="1:39">
      <c r="A32" s="1" t="s">
        <v>373</v>
      </c>
      <c r="AG32" s="1" t="s">
        <v>36</v>
      </c>
    </row>
    <row r="34" spans="1:38" ht="13.5" thickBot="1">
      <c r="A34" s="1" t="s">
        <v>374</v>
      </c>
      <c r="B34" s="256"/>
      <c r="C34" s="256"/>
      <c r="D34" s="256"/>
      <c r="E34" s="256"/>
      <c r="F34" s="256"/>
      <c r="G34" s="256"/>
    </row>
    <row r="35" spans="1:38" ht="13.5" thickBot="1">
      <c r="A35" s="3181" t="s">
        <v>1</v>
      </c>
      <c r="B35" s="3362" t="s">
        <v>2</v>
      </c>
      <c r="C35" s="3300" t="s">
        <v>275</v>
      </c>
      <c r="D35" s="3365" t="s">
        <v>88</v>
      </c>
      <c r="E35" s="3366"/>
      <c r="F35" s="3366"/>
      <c r="G35" s="3366"/>
      <c r="H35" s="3366"/>
      <c r="I35" s="3366"/>
      <c r="J35" s="3300" t="s">
        <v>57</v>
      </c>
      <c r="K35" s="3262" t="s">
        <v>55</v>
      </c>
      <c r="L35" s="3262"/>
      <c r="M35" s="3263"/>
      <c r="N35" s="3261" t="s">
        <v>56</v>
      </c>
      <c r="O35" s="3262"/>
      <c r="P35" s="3262"/>
      <c r="Q35" s="3262"/>
      <c r="R35" s="3262"/>
      <c r="S35" s="3262"/>
      <c r="T35" s="3262"/>
      <c r="U35" s="3262"/>
      <c r="V35" s="3262"/>
      <c r="W35" s="3262"/>
      <c r="X35" s="3262"/>
      <c r="Y35" s="3262"/>
      <c r="Z35" s="3262"/>
      <c r="AA35" s="3262"/>
      <c r="AB35" s="3262"/>
      <c r="AC35" s="3262"/>
      <c r="AD35" s="3262"/>
      <c r="AE35" s="3263"/>
      <c r="AF35" s="3245" t="s">
        <v>57</v>
      </c>
      <c r="AG35" s="3261" t="s">
        <v>58</v>
      </c>
      <c r="AH35" s="3262"/>
      <c r="AI35" s="3263"/>
      <c r="AK35" s="3300" t="s">
        <v>78</v>
      </c>
      <c r="AL35" s="3255" t="s">
        <v>80</v>
      </c>
    </row>
    <row r="36" spans="1:38" ht="13.5" thickBot="1">
      <c r="A36" s="3361"/>
      <c r="B36" s="3363"/>
      <c r="C36" s="3302"/>
      <c r="D36" s="3367"/>
      <c r="E36" s="3368"/>
      <c r="F36" s="3368"/>
      <c r="G36" s="3368"/>
      <c r="H36" s="3368"/>
      <c r="I36" s="3368"/>
      <c r="J36" s="3301"/>
      <c r="K36" s="3348">
        <v>2015</v>
      </c>
      <c r="L36" s="3349"/>
      <c r="M36" s="3350"/>
      <c r="N36" s="3351">
        <v>2020</v>
      </c>
      <c r="O36" s="3352"/>
      <c r="P36" s="3353"/>
      <c r="Q36" s="3354">
        <v>2025</v>
      </c>
      <c r="R36" s="3352"/>
      <c r="S36" s="3355"/>
      <c r="T36" s="3356">
        <v>2030</v>
      </c>
      <c r="U36" s="3357"/>
      <c r="V36" s="3358"/>
      <c r="W36" s="3351">
        <v>2035</v>
      </c>
      <c r="X36" s="3352"/>
      <c r="Y36" s="3353"/>
      <c r="Z36" s="3354">
        <v>2040</v>
      </c>
      <c r="AA36" s="3352"/>
      <c r="AB36" s="3355"/>
      <c r="AC36" s="3354">
        <v>2045</v>
      </c>
      <c r="AD36" s="3352"/>
      <c r="AE36" s="3355"/>
      <c r="AF36" s="3246"/>
      <c r="AG36" s="3258">
        <v>2045</v>
      </c>
      <c r="AH36" s="3264"/>
      <c r="AI36" s="3245"/>
      <c r="AK36" s="3301"/>
      <c r="AL36" s="3256"/>
    </row>
    <row r="37" spans="1:38" ht="13.5" thickBot="1">
      <c r="A37" s="3488"/>
      <c r="B37" s="3364"/>
      <c r="C37" s="235">
        <v>2015</v>
      </c>
      <c r="D37" s="3042">
        <v>2020</v>
      </c>
      <c r="E37" s="1682">
        <v>2025</v>
      </c>
      <c r="F37" s="3042">
        <v>2030</v>
      </c>
      <c r="G37" s="1682">
        <v>2035</v>
      </c>
      <c r="H37" s="994">
        <v>2040</v>
      </c>
      <c r="I37" s="3042">
        <v>2045</v>
      </c>
      <c r="J37" s="3302"/>
      <c r="K37" s="1127" t="s">
        <v>60</v>
      </c>
      <c r="L37" s="1128" t="s">
        <v>61</v>
      </c>
      <c r="M37" s="1681" t="s">
        <v>18</v>
      </c>
      <c r="N37" s="1127" t="s">
        <v>60</v>
      </c>
      <c r="O37" s="1131" t="s">
        <v>61</v>
      </c>
      <c r="P37" s="1132" t="s">
        <v>18</v>
      </c>
      <c r="Q37" s="1130" t="s">
        <v>60</v>
      </c>
      <c r="R37" s="1128" t="s">
        <v>61</v>
      </c>
      <c r="S37" s="1659" t="s">
        <v>18</v>
      </c>
      <c r="T37" s="1655" t="s">
        <v>60</v>
      </c>
      <c r="U37" s="1657" t="s">
        <v>61</v>
      </c>
      <c r="V37" s="1658" t="s">
        <v>18</v>
      </c>
      <c r="W37" s="1127" t="s">
        <v>60</v>
      </c>
      <c r="X37" s="1128" t="s">
        <v>61</v>
      </c>
      <c r="Y37" s="1129" t="s">
        <v>18</v>
      </c>
      <c r="Z37" s="1130" t="s">
        <v>60</v>
      </c>
      <c r="AA37" s="1131" t="s">
        <v>61</v>
      </c>
      <c r="AB37" s="1132" t="s">
        <v>18</v>
      </c>
      <c r="AC37" s="1683" t="s">
        <v>60</v>
      </c>
      <c r="AD37" s="1131" t="s">
        <v>61</v>
      </c>
      <c r="AE37" s="1132" t="s">
        <v>18</v>
      </c>
      <c r="AF37" s="3247"/>
      <c r="AG37" s="1133" t="s">
        <v>60</v>
      </c>
      <c r="AH37" s="1134" t="s">
        <v>61</v>
      </c>
      <c r="AI37" s="1135" t="s">
        <v>18</v>
      </c>
      <c r="AK37" s="3302"/>
      <c r="AL37" s="3257"/>
    </row>
    <row r="38" spans="1:38">
      <c r="A38" s="295" t="s">
        <v>46</v>
      </c>
      <c r="B38" s="730" t="s">
        <v>17</v>
      </c>
      <c r="C38" s="1931">
        <f>'Table 6a'!C43+'Table 6b'!D91</f>
        <v>12441</v>
      </c>
      <c r="D38" s="370">
        <f>'Table 6a'!D43+'Table 6b'!E91</f>
        <v>12090</v>
      </c>
      <c r="E38" s="371">
        <f>'Table 6a'!E43+'Table 6b'!F91</f>
        <v>12165</v>
      </c>
      <c r="F38" s="370">
        <f>'Table 6a'!F43+'Table 6b'!G91</f>
        <v>12201</v>
      </c>
      <c r="G38" s="371">
        <f>'Table 6a'!G43+'Table 6b'!H91</f>
        <v>12281</v>
      </c>
      <c r="H38" s="370">
        <f>'Table 6a'!H43+'Table 6b'!I91</f>
        <v>12281</v>
      </c>
      <c r="I38" s="1028">
        <f>'Table 6a'!I43+'Table 6b'!J91</f>
        <v>12281</v>
      </c>
      <c r="J38" s="203">
        <f>(I38-C38)/C38</f>
        <v>-0.01</v>
      </c>
      <c r="K38" s="6">
        <f>'Table 6a'!K43+'Table 6b'!M91</f>
        <v>1.21</v>
      </c>
      <c r="L38" s="7">
        <f>'Table 6a'!L43+'Table 6b'!N91</f>
        <v>0</v>
      </c>
      <c r="M38" s="53">
        <f>'Table 6a'!M43+'Table 6b'!O91</f>
        <v>1.21</v>
      </c>
      <c r="N38" s="9">
        <f>'Table 6a'!N43+'Table 6b'!P91</f>
        <v>1.18</v>
      </c>
      <c r="O38" s="7">
        <f>'Table 6a'!O43+'Table 6b'!Q91</f>
        <v>0</v>
      </c>
      <c r="P38" s="53">
        <f>'Table 6a'!P43+'Table 6b'!R91</f>
        <v>1.18</v>
      </c>
      <c r="Q38" s="9">
        <f>'Table 6a'!Q43+'Table 6b'!S91</f>
        <v>1.18</v>
      </c>
      <c r="R38" s="7">
        <f>'Table 6a'!R43+'Table 6b'!T91</f>
        <v>0</v>
      </c>
      <c r="S38" s="53">
        <f>'Table 6a'!S43+'Table 6b'!U91</f>
        <v>1.18</v>
      </c>
      <c r="T38" s="9">
        <f>'Table 6a'!T43+'Table 6b'!V91</f>
        <v>1.19</v>
      </c>
      <c r="U38" s="10">
        <f>'Table 6a'!U43+'Table 6b'!W91</f>
        <v>0</v>
      </c>
      <c r="V38" s="11">
        <f>'Table 6a'!V43+'Table 6b'!X91</f>
        <v>1.19</v>
      </c>
      <c r="W38" s="9">
        <f>'Table 6a'!W43+'Table 6b'!Y91</f>
        <v>1.19</v>
      </c>
      <c r="X38" s="7">
        <f>'Table 6a'!X43+'Table 6b'!Z91</f>
        <v>0</v>
      </c>
      <c r="Y38" s="53">
        <f>'Table 6a'!Y43+'Table 6b'!AA91</f>
        <v>1.19</v>
      </c>
      <c r="Z38" s="9">
        <f>'Table 6a'!Z43+'Table 6b'!AB91</f>
        <v>1.19</v>
      </c>
      <c r="AA38" s="10">
        <f>'Table 6a'!AA43+'Table 6b'!AC91</f>
        <v>0</v>
      </c>
      <c r="AB38" s="11">
        <f>'Table 6a'!AB43+'Table 6b'!AD91</f>
        <v>1.19</v>
      </c>
      <c r="AC38" s="1208">
        <f>'Table 6a'!AC43+'Table 6b'!AE91</f>
        <v>1.19</v>
      </c>
      <c r="AD38" s="10">
        <f>'Table 6a'!AD43+'Table 6b'!AF91</f>
        <v>0</v>
      </c>
      <c r="AE38" s="11">
        <f>'Table 6a'!AE43+'Table 6b'!AG91</f>
        <v>1.19</v>
      </c>
      <c r="AF38" s="43">
        <f>(AE38-M38)/M38</f>
        <v>-0.02</v>
      </c>
      <c r="AG38" s="47">
        <f>'Table 6a'!AH43+'Table 6b'!AJ91</f>
        <v>1.26</v>
      </c>
      <c r="AH38" s="5">
        <f>'Table 6a'!AI43+'Table 6b'!AK91</f>
        <v>0</v>
      </c>
      <c r="AI38" s="15">
        <f>'Table 6a'!AJ43+'Table 6b'!AL91</f>
        <v>1.26</v>
      </c>
      <c r="AK38" s="372">
        <f t="shared" ref="AK38:AK44" si="44">I38-C38</f>
        <v>-160</v>
      </c>
      <c r="AL38" s="1360">
        <f t="shared" ref="AL38:AL44" si="45">AE38-M38</f>
        <v>-0.02</v>
      </c>
    </row>
    <row r="39" spans="1:38">
      <c r="A39" s="364" t="s">
        <v>47</v>
      </c>
      <c r="B39" s="730" t="s">
        <v>17</v>
      </c>
      <c r="C39" s="1932">
        <f>'Table 6a'!C44+'Table 6b'!D93</f>
        <v>3004</v>
      </c>
      <c r="D39" s="370">
        <f>'Table 6a'!D44+'Table 6b'!E93</f>
        <v>3015</v>
      </c>
      <c r="E39" s="371">
        <f>'Table 6a'!E44+'Table 6b'!F93</f>
        <v>3083</v>
      </c>
      <c r="F39" s="370">
        <f>'Table 6a'!F44+'Table 6b'!G93</f>
        <v>3127</v>
      </c>
      <c r="G39" s="371">
        <f>'Table 6a'!G44+'Table 6b'!H93</f>
        <v>3151</v>
      </c>
      <c r="H39" s="370">
        <f>'Table 6a'!H44+'Table 6b'!I93</f>
        <v>3194</v>
      </c>
      <c r="I39" s="1028">
        <f>'Table 6a'!I44+'Table 6b'!J93</f>
        <v>3215</v>
      </c>
      <c r="J39" s="203">
        <f t="shared" ref="J39:J44" si="46">(I39-C39)/C39</f>
        <v>7.0000000000000007E-2</v>
      </c>
      <c r="K39" s="885">
        <f>'Table 6a'!K44</f>
        <v>0.25</v>
      </c>
      <c r="L39" s="884">
        <f>'Table 6a'!L44</f>
        <v>0</v>
      </c>
      <c r="M39" s="392">
        <f>'Table 6a'!M44</f>
        <v>0.25</v>
      </c>
      <c r="N39" s="883">
        <f>'Table 6a'!N44</f>
        <v>0.25</v>
      </c>
      <c r="O39" s="884">
        <f>'Table 6a'!O44</f>
        <v>0</v>
      </c>
      <c r="P39" s="395">
        <f>'Table 6a'!P44</f>
        <v>0.25</v>
      </c>
      <c r="Q39" s="883">
        <f>'Table 6a'!Q44</f>
        <v>0.25</v>
      </c>
      <c r="R39" s="884">
        <f>'Table 6a'!R44</f>
        <v>0</v>
      </c>
      <c r="S39" s="392">
        <f>'Table 6a'!S44</f>
        <v>0.25</v>
      </c>
      <c r="T39" s="883">
        <f>'Table 6a'!T44</f>
        <v>0.26</v>
      </c>
      <c r="U39" s="321">
        <f>'Table 6a'!U44</f>
        <v>0</v>
      </c>
      <c r="V39" s="914">
        <f>'Table 6a'!V44</f>
        <v>0.26</v>
      </c>
      <c r="W39" s="883">
        <f>'Table 6a'!W44</f>
        <v>0.26</v>
      </c>
      <c r="X39" s="884">
        <f>'Table 6a'!X44</f>
        <v>0</v>
      </c>
      <c r="Y39" s="395">
        <f>'Table 6a'!Y44</f>
        <v>0.26</v>
      </c>
      <c r="Z39" s="883">
        <f>'Table 6a'!Z44</f>
        <v>0.26</v>
      </c>
      <c r="AA39" s="321">
        <f>'Table 6a'!AA44</f>
        <v>0</v>
      </c>
      <c r="AB39" s="914">
        <f>'Table 6a'!AB44</f>
        <v>0.26</v>
      </c>
      <c r="AC39" s="1528">
        <f>'Table 6a'!AC44</f>
        <v>0.26</v>
      </c>
      <c r="AD39" s="321">
        <f>'Table 6a'!AD44</f>
        <v>0</v>
      </c>
      <c r="AE39" s="914">
        <f>'Table 6a'!AE44</f>
        <v>0.26</v>
      </c>
      <c r="AF39" s="988">
        <f t="shared" ref="AF39:AF44" si="47">(AE39-M39)/M39</f>
        <v>0.04</v>
      </c>
      <c r="AG39" s="823">
        <f>'Table 6a'!AH44</f>
        <v>0.28000000000000003</v>
      </c>
      <c r="AH39" s="352">
        <f>'Table 6a'!AI44</f>
        <v>0</v>
      </c>
      <c r="AI39" s="830">
        <f>'Table 6a'!AJ44</f>
        <v>0.28000000000000003</v>
      </c>
      <c r="AK39" s="394">
        <f t="shared" si="44"/>
        <v>211</v>
      </c>
      <c r="AL39" s="1337">
        <f t="shared" si="45"/>
        <v>0.01</v>
      </c>
    </row>
    <row r="40" spans="1:38">
      <c r="A40" s="364" t="s">
        <v>48</v>
      </c>
      <c r="B40" s="729" t="s">
        <v>17</v>
      </c>
      <c r="C40" s="394">
        <f>'Table 6a'!C45</f>
        <v>5829</v>
      </c>
      <c r="D40" s="370">
        <f>'Table 6a'!D45</f>
        <v>6301</v>
      </c>
      <c r="E40" s="371">
        <f>'Table 6a'!E45</f>
        <v>6701</v>
      </c>
      <c r="F40" s="370">
        <f>'Table 6a'!F45</f>
        <v>7001</v>
      </c>
      <c r="G40" s="371">
        <f>'Table 6a'!G45</f>
        <v>7301</v>
      </c>
      <c r="H40" s="370">
        <f>'Table 6a'!H45</f>
        <v>7501</v>
      </c>
      <c r="I40" s="1028">
        <f>'Table 6a'!I45</f>
        <v>7695</v>
      </c>
      <c r="J40" s="546">
        <f t="shared" si="46"/>
        <v>0.32</v>
      </c>
      <c r="K40" s="885">
        <f>'Table 6a'!K45</f>
        <v>0.56000000000000005</v>
      </c>
      <c r="L40" s="884">
        <f>'Table 6a'!L45</f>
        <v>0</v>
      </c>
      <c r="M40" s="392">
        <f>'Table 6a'!M45</f>
        <v>0.56000000000000005</v>
      </c>
      <c r="N40" s="883">
        <f>'Table 6a'!N45</f>
        <v>0.6</v>
      </c>
      <c r="O40" s="884">
        <f>'Table 6a'!O45</f>
        <v>0</v>
      </c>
      <c r="P40" s="395">
        <f>'Table 6a'!P45</f>
        <v>0.6</v>
      </c>
      <c r="Q40" s="883">
        <f>'Table 6a'!Q45</f>
        <v>0.64</v>
      </c>
      <c r="R40" s="884">
        <f>'Table 6a'!R45</f>
        <v>0</v>
      </c>
      <c r="S40" s="392">
        <f>'Table 6a'!S45</f>
        <v>0.64</v>
      </c>
      <c r="T40" s="883">
        <f>'Table 6a'!T45</f>
        <v>0.67</v>
      </c>
      <c r="U40" s="321">
        <f>'Table 6a'!U45</f>
        <v>0</v>
      </c>
      <c r="V40" s="914">
        <f>'Table 6a'!V45</f>
        <v>0.67</v>
      </c>
      <c r="W40" s="883">
        <f>'Table 6a'!W45</f>
        <v>0.7</v>
      </c>
      <c r="X40" s="884">
        <f>'Table 6a'!X45</f>
        <v>0</v>
      </c>
      <c r="Y40" s="395">
        <f>'Table 6a'!Y45</f>
        <v>0.7</v>
      </c>
      <c r="Z40" s="883">
        <f>'Table 6a'!Z45</f>
        <v>0.72</v>
      </c>
      <c r="AA40" s="321">
        <f>'Table 6a'!AA45</f>
        <v>0</v>
      </c>
      <c r="AB40" s="914">
        <f>'Table 6a'!AB45</f>
        <v>0.72</v>
      </c>
      <c r="AC40" s="1528">
        <f>'Table 6a'!AC45</f>
        <v>0.74</v>
      </c>
      <c r="AD40" s="321">
        <f>'Table 6a'!AD45</f>
        <v>0</v>
      </c>
      <c r="AE40" s="914">
        <f>'Table 6a'!AE45</f>
        <v>0.74</v>
      </c>
      <c r="AF40" s="988">
        <f t="shared" si="47"/>
        <v>0.32</v>
      </c>
      <c r="AG40" s="823">
        <f>'Table 6a'!AH45</f>
        <v>0.78</v>
      </c>
      <c r="AH40" s="352">
        <f>'Table 6a'!AI45</f>
        <v>0</v>
      </c>
      <c r="AI40" s="830">
        <f>'Table 6a'!AJ45</f>
        <v>0.78</v>
      </c>
      <c r="AK40" s="394">
        <f t="shared" si="44"/>
        <v>1866</v>
      </c>
      <c r="AL40" s="1337">
        <f t="shared" si="45"/>
        <v>0.18</v>
      </c>
    </row>
    <row r="41" spans="1:38" s="22" customFormat="1">
      <c r="A41" s="134" t="s">
        <v>49</v>
      </c>
      <c r="B41" s="1936" t="s">
        <v>17</v>
      </c>
      <c r="C41" s="394">
        <f>'Table 6a'!C46+'Table 6b'!D100</f>
        <v>12613</v>
      </c>
      <c r="D41" s="370">
        <f>'Table 6a'!D46+'Table 6b'!E100</f>
        <v>12650</v>
      </c>
      <c r="E41" s="371">
        <f>'Table 6a'!E46+'Table 6b'!F100</f>
        <v>13056</v>
      </c>
      <c r="F41" s="370">
        <f>'Table 6a'!F46+'Table 6b'!G100</f>
        <v>13371</v>
      </c>
      <c r="G41" s="371">
        <f>'Table 6a'!G46+'Table 6b'!H100</f>
        <v>13641</v>
      </c>
      <c r="H41" s="370">
        <f>'Table 6a'!H46+'Table 6b'!I100</f>
        <v>13855</v>
      </c>
      <c r="I41" s="1028">
        <f>'Table 6a'!I46+'Table 6b'!J100</f>
        <v>14058</v>
      </c>
      <c r="J41" s="546">
        <f t="shared" si="46"/>
        <v>0.11</v>
      </c>
      <c r="K41" s="1046">
        <f>'Table 6a'!K46+'Table 6b'!M100</f>
        <v>0.92</v>
      </c>
      <c r="L41" s="1866">
        <f>'Table 6a'!L46+'Table 6b'!N100</f>
        <v>0</v>
      </c>
      <c r="M41" s="358">
        <f>'Table 6a'!M46+'Table 6b'!O100</f>
        <v>0.92</v>
      </c>
      <c r="N41" s="923">
        <f>'Table 6a'!N46+'Table 6b'!P100</f>
        <v>0.88</v>
      </c>
      <c r="O41" s="1866">
        <f>'Table 6a'!O46+'Table 6b'!Q100</f>
        <v>0</v>
      </c>
      <c r="P41" s="358">
        <f>'Table 6a'!P46+'Table 6b'!R100</f>
        <v>0.88</v>
      </c>
      <c r="Q41" s="923">
        <f>'Table 6a'!Q46+'Table 6b'!S100</f>
        <v>0.9</v>
      </c>
      <c r="R41" s="1866">
        <f>'Table 6a'!R46+'Table 6b'!T100</f>
        <v>0</v>
      </c>
      <c r="S41" s="358">
        <f>'Table 6a'!S46+'Table 6b'!U100</f>
        <v>0.9</v>
      </c>
      <c r="T41" s="923">
        <f>'Table 6a'!T46+'Table 6b'!V100</f>
        <v>0.92</v>
      </c>
      <c r="U41" s="1867">
        <f>'Table 6a'!U46+'Table 6b'!W100</f>
        <v>0</v>
      </c>
      <c r="V41" s="1868">
        <f>'Table 6a'!V46+'Table 6b'!X100</f>
        <v>0.92</v>
      </c>
      <c r="W41" s="923">
        <f>'Table 6a'!W46+'Table 6b'!Y100</f>
        <v>0.94</v>
      </c>
      <c r="X41" s="1866">
        <f>'Table 6a'!X46+'Table 6b'!Z100</f>
        <v>0</v>
      </c>
      <c r="Y41" s="358">
        <f>'Table 6a'!Y46+'Table 6b'!AA100</f>
        <v>0.94</v>
      </c>
      <c r="Z41" s="923">
        <f>'Table 6a'!Z46+'Table 6b'!AB100</f>
        <v>0.97</v>
      </c>
      <c r="AA41" s="1867">
        <f>'Table 6a'!AA46+'Table 6b'!AC100</f>
        <v>0</v>
      </c>
      <c r="AB41" s="1868">
        <f>'Table 6a'!AB46+'Table 6b'!AD100</f>
        <v>0.97</v>
      </c>
      <c r="AC41" s="1232">
        <f>'Table 6a'!AC46+'Table 6b'!AE100</f>
        <v>0.98</v>
      </c>
      <c r="AD41" s="321">
        <f>'Table 6a'!AD46+'Table 6b'!AF100</f>
        <v>0</v>
      </c>
      <c r="AE41" s="914">
        <f>'Table 6a'!AE46+'Table 6b'!AG100</f>
        <v>0.98</v>
      </c>
      <c r="AF41" s="988">
        <f t="shared" si="47"/>
        <v>7.0000000000000007E-2</v>
      </c>
      <c r="AG41" s="820">
        <f>'Table 6a'!AH46+'Table 6b'!AJ100</f>
        <v>1.03</v>
      </c>
      <c r="AH41" s="1870">
        <f>'Table 6a'!AI46+'Table 6b'!AK100</f>
        <v>0</v>
      </c>
      <c r="AI41" s="1002">
        <f>'Table 6a'!AJ46+'Table 6b'!AL100</f>
        <v>1.03</v>
      </c>
      <c r="AK41" s="718">
        <f t="shared" si="44"/>
        <v>1445</v>
      </c>
      <c r="AL41" s="1337">
        <f t="shared" si="45"/>
        <v>0.06</v>
      </c>
    </row>
    <row r="42" spans="1:38" s="22" customFormat="1">
      <c r="A42" s="365" t="s">
        <v>50</v>
      </c>
      <c r="B42" s="1937" t="s">
        <v>17</v>
      </c>
      <c r="C42" s="1933">
        <f>'Table 6a'!C47+'Table 6b'!D103</f>
        <v>12111</v>
      </c>
      <c r="D42" s="370">
        <f>'Table 6a'!D47+'Table 6b'!E103</f>
        <v>12049</v>
      </c>
      <c r="E42" s="371">
        <f>'Table 6a'!E47+'Table 6b'!F103</f>
        <v>12280</v>
      </c>
      <c r="F42" s="370">
        <f>'Table 6a'!F47+'Table 6b'!G103</f>
        <v>12426</v>
      </c>
      <c r="G42" s="371">
        <f>'Table 6a'!G47+'Table 6b'!H103</f>
        <v>12505</v>
      </c>
      <c r="H42" s="370">
        <f>'Table 6a'!H47+'Table 6b'!I103</f>
        <v>12654</v>
      </c>
      <c r="I42" s="1028">
        <f>'Table 6a'!I47+'Table 6b'!J103</f>
        <v>12706</v>
      </c>
      <c r="J42" s="546">
        <f t="shared" si="46"/>
        <v>0.05</v>
      </c>
      <c r="K42" s="885">
        <f>'Table 6a'!K47+'Table 6b'!M103</f>
        <v>0.71</v>
      </c>
      <c r="L42" s="884">
        <f>'Table 6a'!L47+'Table 6b'!N103</f>
        <v>0</v>
      </c>
      <c r="M42" s="392">
        <f>'Table 6a'!M47+'Table 6b'!O103</f>
        <v>0.71</v>
      </c>
      <c r="N42" s="883">
        <f>'Table 6a'!N47+'Table 6b'!P103</f>
        <v>0.7</v>
      </c>
      <c r="O42" s="884">
        <f>'Table 6a'!O47+'Table 6b'!Q103</f>
        <v>0</v>
      </c>
      <c r="P42" s="392">
        <f>'Table 6a'!P47+'Table 6b'!R103</f>
        <v>0.7</v>
      </c>
      <c r="Q42" s="883">
        <f>'Table 6a'!Q47+'Table 6b'!S103</f>
        <v>0.71</v>
      </c>
      <c r="R42" s="884">
        <f>'Table 6a'!R47+'Table 6b'!T103</f>
        <v>0</v>
      </c>
      <c r="S42" s="392">
        <f>'Table 6a'!S47+'Table 6b'!U103</f>
        <v>0.71</v>
      </c>
      <c r="T42" s="883">
        <f>'Table 6a'!T47+'Table 6b'!V103</f>
        <v>0.72</v>
      </c>
      <c r="U42" s="321">
        <f>'Table 6a'!U47+'Table 6b'!W103</f>
        <v>0</v>
      </c>
      <c r="V42" s="914">
        <f>'Table 6a'!V47+'Table 6b'!X103</f>
        <v>0.72</v>
      </c>
      <c r="W42" s="883">
        <f>'Table 6a'!W47+'Table 6b'!Y103</f>
        <v>0.72</v>
      </c>
      <c r="X42" s="884">
        <f>'Table 6a'!X47+'Table 6b'!Z103</f>
        <v>0</v>
      </c>
      <c r="Y42" s="392">
        <f>'Table 6a'!Y47+'Table 6b'!AA103</f>
        <v>0.72</v>
      </c>
      <c r="Z42" s="883">
        <f>'Table 6a'!Z47+'Table 6b'!AB103</f>
        <v>0.73</v>
      </c>
      <c r="AA42" s="321">
        <f>'Table 6a'!AA47+'Table 6b'!AC103</f>
        <v>0</v>
      </c>
      <c r="AB42" s="914">
        <f>'Table 6a'!AB47+'Table 6b'!AD103</f>
        <v>0.73</v>
      </c>
      <c r="AC42" s="1208">
        <f>'Table 6a'!AC47+'Table 6b'!AE103</f>
        <v>0.73</v>
      </c>
      <c r="AD42" s="10">
        <f>'Table 6a'!AD47+'Table 6b'!AF103</f>
        <v>0</v>
      </c>
      <c r="AE42" s="11">
        <f>'Table 6a'!AE47+'Table 6b'!AG103</f>
        <v>0.73</v>
      </c>
      <c r="AF42" s="988">
        <f t="shared" si="47"/>
        <v>0.03</v>
      </c>
      <c r="AG42" s="823">
        <f>'Table 6a'!AH47+'Table 6b'!AJ103</f>
        <v>0.77</v>
      </c>
      <c r="AH42" s="352">
        <f>'Table 6a'!AI47+'Table 6b'!AK103</f>
        <v>0</v>
      </c>
      <c r="AI42" s="830">
        <f>'Table 6a'!AJ47+'Table 6b'!AL103</f>
        <v>0.77</v>
      </c>
      <c r="AK42" s="394">
        <f t="shared" si="44"/>
        <v>595</v>
      </c>
      <c r="AL42" s="1360">
        <f t="shared" si="45"/>
        <v>0.02</v>
      </c>
    </row>
    <row r="43" spans="1:38" ht="13.5" thickBot="1">
      <c r="A43" s="133" t="s">
        <v>51</v>
      </c>
      <c r="B43" s="1935" t="s">
        <v>17</v>
      </c>
      <c r="C43" s="1934">
        <f>'Table 6a'!C48+'Table 6b'!D106</f>
        <v>8575</v>
      </c>
      <c r="D43" s="1019">
        <f>'Table 6a'!D48+'Table 6b'!E106</f>
        <v>8717</v>
      </c>
      <c r="E43" s="414">
        <f>'Table 6a'!E48+'Table 6b'!F106</f>
        <v>8709</v>
      </c>
      <c r="F43" s="1019">
        <f>'Table 6a'!F48+'Table 6b'!G106</f>
        <v>8682</v>
      </c>
      <c r="G43" s="414">
        <f>'Table 6a'!G48+'Table 6b'!H106</f>
        <v>8652</v>
      </c>
      <c r="H43" s="1019">
        <f>'Table 6a'!H48+'Table 6b'!I106</f>
        <v>8613</v>
      </c>
      <c r="I43" s="1033">
        <f>'Table 6a'!I48+'Table 6b'!J106</f>
        <v>8647</v>
      </c>
      <c r="J43" s="806">
        <f t="shared" si="46"/>
        <v>0.01</v>
      </c>
      <c r="K43" s="875">
        <f>'Table 6a'!K48+'Table 6b'!M106</f>
        <v>0.59</v>
      </c>
      <c r="L43" s="410">
        <f>'Table 6a'!L48+'Table 6b'!N106</f>
        <v>0</v>
      </c>
      <c r="M43" s="50">
        <f>'Table 6a'!M48+'Table 6b'!O106</f>
        <v>0.59</v>
      </c>
      <c r="N43" s="18">
        <f>'Table 6a'!N48+'Table 6b'!P106</f>
        <v>0.6</v>
      </c>
      <c r="O43" s="410">
        <f>'Table 6a'!O48+'Table 6b'!Q106</f>
        <v>0</v>
      </c>
      <c r="P43" s="50">
        <f>'Table 6a'!P48+'Table 6b'!R106</f>
        <v>0.6</v>
      </c>
      <c r="Q43" s="18">
        <f>'Table 6a'!Q48+'Table 6b'!S106</f>
        <v>0.6</v>
      </c>
      <c r="R43" s="410">
        <f>'Table 6a'!R48+'Table 6b'!T106</f>
        <v>0</v>
      </c>
      <c r="S43" s="50">
        <f>'Table 6a'!S48+'Table 6b'!U106</f>
        <v>0.6</v>
      </c>
      <c r="T43" s="18">
        <f>'Table 6a'!T48+'Table 6b'!V106</f>
        <v>0.59</v>
      </c>
      <c r="U43" s="412">
        <f>'Table 6a'!U48+'Table 6b'!W106</f>
        <v>0</v>
      </c>
      <c r="V43" s="876">
        <f>'Table 6a'!V48+'Table 6b'!X106</f>
        <v>0.59</v>
      </c>
      <c r="W43" s="18">
        <f>'Table 6a'!W48+'Table 6b'!Y106</f>
        <v>0.59</v>
      </c>
      <c r="X43" s="410">
        <f>'Table 6a'!X48+'Table 6b'!Z106</f>
        <v>0</v>
      </c>
      <c r="Y43" s="1048">
        <f>'Table 6a'!Y48+'Table 6b'!AA106</f>
        <v>0.59</v>
      </c>
      <c r="Z43" s="18">
        <f>'Table 6a'!Z48+'Table 6b'!AB106</f>
        <v>0.59</v>
      </c>
      <c r="AA43" s="412">
        <f>'Table 6a'!AA48+'Table 6b'!AC106</f>
        <v>0</v>
      </c>
      <c r="AB43" s="946">
        <f>'Table 6a'!AB48+'Table 6b'!AD106</f>
        <v>0.59</v>
      </c>
      <c r="AC43" s="1532">
        <f>'Table 6a'!AC48+'Table 6b'!AE106</f>
        <v>0.59</v>
      </c>
      <c r="AD43" s="440">
        <f>'Table 6a'!AD48+'Table 6b'!AF106</f>
        <v>0</v>
      </c>
      <c r="AE43" s="946">
        <f>'Table 6a'!AE48+'Table 6b'!AG106</f>
        <v>0.59</v>
      </c>
      <c r="AF43" s="720">
        <f t="shared" si="47"/>
        <v>0</v>
      </c>
      <c r="AG43" s="48">
        <f>'Table 6a'!AH48+'Table 6b'!AJ106</f>
        <v>0.62</v>
      </c>
      <c r="AH43" s="440">
        <f>'Table 6a'!AI48+'Table 6b'!AK106</f>
        <v>0</v>
      </c>
      <c r="AI43" s="874">
        <f>'Table 6a'!AJ48+'Table 6b'!AL106</f>
        <v>0.62</v>
      </c>
      <c r="AK43" s="1010">
        <f t="shared" si="44"/>
        <v>72</v>
      </c>
      <c r="AL43" s="1634">
        <f t="shared" si="45"/>
        <v>0</v>
      </c>
    </row>
    <row r="44" spans="1:38" ht="27.75" customHeight="1" thickTop="1" thickBot="1">
      <c r="A44" s="3359" t="s">
        <v>52</v>
      </c>
      <c r="B44" s="3360"/>
      <c r="C44" s="304">
        <f>SUM(C38:C43)</f>
        <v>54573</v>
      </c>
      <c r="D44" s="331">
        <f t="shared" ref="D44:I44" si="48">SUM(D38:D43)</f>
        <v>54822</v>
      </c>
      <c r="E44" s="274">
        <f t="shared" si="48"/>
        <v>55994</v>
      </c>
      <c r="F44" s="331">
        <f t="shared" si="48"/>
        <v>56808</v>
      </c>
      <c r="G44" s="274">
        <f t="shared" si="48"/>
        <v>57531</v>
      </c>
      <c r="H44" s="274">
        <f t="shared" si="48"/>
        <v>58098</v>
      </c>
      <c r="I44" s="331">
        <f t="shared" si="48"/>
        <v>58602</v>
      </c>
      <c r="J44" s="206">
        <f t="shared" si="46"/>
        <v>7.0000000000000007E-2</v>
      </c>
      <c r="K44" s="31">
        <f t="shared" ref="K44" si="49">SUM(K38:K43)</f>
        <v>4.24</v>
      </c>
      <c r="L44" s="32">
        <f t="shared" ref="L44" si="50">SUM(L38:L43)</f>
        <v>0</v>
      </c>
      <c r="M44" s="154">
        <f t="shared" ref="M44" si="51">SUM(M38:M43)</f>
        <v>4.24</v>
      </c>
      <c r="N44" s="36">
        <f t="shared" ref="N44" si="52">SUM(N38:N43)</f>
        <v>4.21</v>
      </c>
      <c r="O44" s="32">
        <f t="shared" ref="O44" si="53">SUM(O38:O43)</f>
        <v>0</v>
      </c>
      <c r="P44" s="154">
        <f t="shared" ref="P44" si="54">SUM(P38:P43)</f>
        <v>4.21</v>
      </c>
      <c r="Q44" s="36">
        <f t="shared" ref="Q44" si="55">SUM(Q38:Q43)</f>
        <v>4.28</v>
      </c>
      <c r="R44" s="32">
        <f t="shared" ref="R44" si="56">SUM(R38:R43)</f>
        <v>0</v>
      </c>
      <c r="S44" s="154">
        <f t="shared" ref="S44" si="57">SUM(S38:S43)</f>
        <v>4.28</v>
      </c>
      <c r="T44" s="36">
        <f t="shared" ref="T44" si="58">SUM(T38:T43)</f>
        <v>4.3499999999999996</v>
      </c>
      <c r="U44" s="165">
        <f t="shared" ref="U44" si="59">SUM(U38:U43)</f>
        <v>0</v>
      </c>
      <c r="V44" s="38">
        <f t="shared" ref="V44" si="60">SUM(V38:V43)</f>
        <v>4.3499999999999996</v>
      </c>
      <c r="W44" s="36">
        <f t="shared" ref="W44" si="61">SUM(W38:W43)</f>
        <v>4.4000000000000004</v>
      </c>
      <c r="X44" s="32">
        <f t="shared" ref="X44" si="62">SUM(X38:X43)</f>
        <v>0</v>
      </c>
      <c r="Y44" s="39">
        <f t="shared" ref="Y44" si="63">SUM(Y38:Y43)</f>
        <v>4.4000000000000004</v>
      </c>
      <c r="Z44" s="36">
        <f t="shared" ref="Z44" si="64">SUM(Z38:Z43)</f>
        <v>4.46</v>
      </c>
      <c r="AA44" s="165">
        <f t="shared" ref="AA44" si="65">SUM(AA38:AA43)</f>
        <v>0</v>
      </c>
      <c r="AB44" s="1049">
        <f t="shared" ref="AB44" si="66">SUM(AB38:AB43)</f>
        <v>4.46</v>
      </c>
      <c r="AC44" s="925">
        <f t="shared" ref="AC44" si="67">SUM(AC38:AC43)</f>
        <v>4.49</v>
      </c>
      <c r="AD44" s="1026">
        <f t="shared" ref="AD44" si="68">SUM(AD38:AD43)</f>
        <v>0</v>
      </c>
      <c r="AE44" s="1049">
        <f t="shared" ref="AE44" si="69">SUM(AE38:AE43)</f>
        <v>4.49</v>
      </c>
      <c r="AF44" s="44">
        <f t="shared" si="47"/>
        <v>0.06</v>
      </c>
      <c r="AG44" s="34">
        <f t="shared" ref="AG44" si="70">SUM(AG38:AG43)</f>
        <v>4.74</v>
      </c>
      <c r="AH44" s="1026">
        <f t="shared" ref="AH44" si="71">SUM(AH38:AH43)</f>
        <v>0</v>
      </c>
      <c r="AI44" s="21">
        <f t="shared" ref="AI44" si="72">SUM(AI38:AI43)</f>
        <v>4.74</v>
      </c>
      <c r="AK44" s="304">
        <f t="shared" si="44"/>
        <v>4029</v>
      </c>
      <c r="AL44" s="1622">
        <f t="shared" si="45"/>
        <v>0.25</v>
      </c>
    </row>
    <row r="45" spans="1:38">
      <c r="A45" s="89" t="s">
        <v>35</v>
      </c>
    </row>
    <row r="46" spans="1:38">
      <c r="A46" s="1" t="s">
        <v>68</v>
      </c>
      <c r="V46" s="23" t="s">
        <v>36</v>
      </c>
      <c r="AK46" s="1" t="s">
        <v>36</v>
      </c>
    </row>
    <row r="47" spans="1:38">
      <c r="A47" s="1" t="s">
        <v>69</v>
      </c>
    </row>
    <row r="48" spans="1:38">
      <c r="A48" s="3304" t="s">
        <v>372</v>
      </c>
      <c r="B48" s="3304"/>
      <c r="C48" s="3304"/>
      <c r="D48" s="3304"/>
      <c r="E48" s="3304"/>
      <c r="F48" s="3304"/>
      <c r="G48" s="3304"/>
      <c r="H48" s="3304"/>
      <c r="I48" s="3304"/>
      <c r="J48" s="3304"/>
      <c r="K48" s="3304"/>
      <c r="L48" s="3304"/>
      <c r="M48" s="3304"/>
      <c r="N48" s="3304"/>
      <c r="O48" s="3304"/>
      <c r="P48" s="3304"/>
      <c r="Q48" s="3304"/>
      <c r="R48" s="3304"/>
      <c r="S48" s="3304"/>
      <c r="T48" s="3304"/>
      <c r="U48" s="3304"/>
      <c r="V48" s="3304"/>
      <c r="W48" s="3304"/>
      <c r="X48" s="3304"/>
      <c r="Y48" s="3304"/>
      <c r="Z48" s="3304"/>
      <c r="AA48" s="3304"/>
      <c r="AB48" s="3304"/>
      <c r="AC48" s="3304"/>
      <c r="AD48" s="3304"/>
      <c r="AE48" s="3304"/>
      <c r="AF48" s="3304"/>
    </row>
    <row r="49" spans="1:1">
      <c r="A49" s="1" t="s">
        <v>373</v>
      </c>
    </row>
  </sheetData>
  <mergeCells count="44">
    <mergeCell ref="AK35:AK37"/>
    <mergeCell ref="AL35:AL37"/>
    <mergeCell ref="A48:AF48"/>
    <mergeCell ref="A31:AF31"/>
    <mergeCell ref="AL2:AL4"/>
    <mergeCell ref="AG3:AI3"/>
    <mergeCell ref="AK2:AK4"/>
    <mergeCell ref="AF2:AF4"/>
    <mergeCell ref="AG2:AI2"/>
    <mergeCell ref="A27:B27"/>
    <mergeCell ref="N3:P3"/>
    <mergeCell ref="Q3:S3"/>
    <mergeCell ref="T3:V3"/>
    <mergeCell ref="J2:J4"/>
    <mergeCell ref="K2:M2"/>
    <mergeCell ref="A2:A4"/>
    <mergeCell ref="A25:B25"/>
    <mergeCell ref="A26:B26"/>
    <mergeCell ref="Z3:AB3"/>
    <mergeCell ref="B2:B4"/>
    <mergeCell ref="K3:M3"/>
    <mergeCell ref="W3:Y3"/>
    <mergeCell ref="C2:C3"/>
    <mergeCell ref="D2:I3"/>
    <mergeCell ref="N2:AE2"/>
    <mergeCell ref="AC3:AE3"/>
    <mergeCell ref="A44:B44"/>
    <mergeCell ref="A35:A37"/>
    <mergeCell ref="B35:B37"/>
    <mergeCell ref="C35:C36"/>
    <mergeCell ref="D35:I36"/>
    <mergeCell ref="J35:J37"/>
    <mergeCell ref="K35:M35"/>
    <mergeCell ref="N35:AE35"/>
    <mergeCell ref="AF35:AF37"/>
    <mergeCell ref="AG35:AI35"/>
    <mergeCell ref="K36:M36"/>
    <mergeCell ref="N36:P36"/>
    <mergeCell ref="Q36:S36"/>
    <mergeCell ref="T36:V36"/>
    <mergeCell ref="W36:Y36"/>
    <mergeCell ref="Z36:AB36"/>
    <mergeCell ref="AC36:AE36"/>
    <mergeCell ref="AG36:AI36"/>
  </mergeCells>
  <pageMargins left="0.7" right="0.7" top="0.75" bottom="0.75" header="0.3" footer="0.3"/>
  <pageSetup paperSize="3" scale="56" fitToHeight="0"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59"/>
  <sheetViews>
    <sheetView workbookViewId="0">
      <pane xSplit="1" topLeftCell="B1" activePane="topRight" state="frozen"/>
      <selection pane="topRight" activeCell="E20" sqref="E20"/>
    </sheetView>
  </sheetViews>
  <sheetFormatPr defaultColWidth="9.140625" defaultRowHeight="12.75"/>
  <cols>
    <col min="1" max="1" width="15.85546875" style="1" customWidth="1"/>
    <col min="2" max="2" width="10.85546875" style="1" customWidth="1"/>
    <col min="3" max="3" width="11" style="1" customWidth="1"/>
    <col min="4" max="7" width="9.140625" style="1"/>
    <col min="8" max="9" width="9.140625" style="1" customWidth="1"/>
    <col min="10" max="10" width="11.28515625" style="1" customWidth="1"/>
    <col min="11" max="22" width="9.140625" style="1"/>
    <col min="23" max="23" width="9.140625" style="1" customWidth="1"/>
    <col min="24" max="27" width="9.140625" style="1"/>
    <col min="28" max="31" width="9.140625" style="1" customWidth="1"/>
    <col min="32" max="33" width="10.7109375" style="1" customWidth="1"/>
    <col min="34" max="35" width="9.140625" style="1" customWidth="1"/>
    <col min="36" max="36" width="9.140625" style="1"/>
    <col min="37" max="37" width="9.140625" style="1" customWidth="1"/>
    <col min="38" max="39" width="11.7109375" style="1" hidden="1" customWidth="1"/>
    <col min="40" max="16384" width="9.140625" style="1"/>
  </cols>
  <sheetData>
    <row r="1" spans="1:39" ht="13.5" thickBot="1">
      <c r="A1" s="297" t="s">
        <v>375</v>
      </c>
      <c r="B1" s="2538"/>
      <c r="C1" s="256"/>
      <c r="D1" s="256"/>
      <c r="E1" s="256"/>
      <c r="F1" s="256"/>
      <c r="G1" s="256"/>
      <c r="H1" s="256"/>
      <c r="I1" s="256"/>
    </row>
    <row r="2" spans="1:39" ht="13.5" thickBot="1">
      <c r="A2" s="3387" t="s">
        <v>1</v>
      </c>
      <c r="B2" s="3206" t="s">
        <v>2</v>
      </c>
      <c r="C2" s="3233" t="s">
        <v>275</v>
      </c>
      <c r="D2" s="3293" t="s">
        <v>88</v>
      </c>
      <c r="E2" s="3294"/>
      <c r="F2" s="3294"/>
      <c r="G2" s="3294"/>
      <c r="H2" s="3294"/>
      <c r="I2" s="3381"/>
      <c r="J2" s="3267" t="s">
        <v>57</v>
      </c>
      <c r="K2" s="3286" t="s">
        <v>55</v>
      </c>
      <c r="L2" s="3287"/>
      <c r="M2" s="3288"/>
      <c r="N2" s="3286" t="s">
        <v>56</v>
      </c>
      <c r="O2" s="3287"/>
      <c r="P2" s="3287"/>
      <c r="Q2" s="3287"/>
      <c r="R2" s="3287"/>
      <c r="S2" s="3287"/>
      <c r="T2" s="3287"/>
      <c r="U2" s="3287"/>
      <c r="V2" s="3287"/>
      <c r="W2" s="3287"/>
      <c r="X2" s="3287"/>
      <c r="Y2" s="3287"/>
      <c r="Z2" s="3287"/>
      <c r="AA2" s="3287"/>
      <c r="AB2" s="3287"/>
      <c r="AC2" s="3287"/>
      <c r="AD2" s="3287"/>
      <c r="AE2" s="3288"/>
      <c r="AF2" s="3265" t="s">
        <v>57</v>
      </c>
      <c r="AG2" s="3300" t="s">
        <v>376</v>
      </c>
      <c r="AH2" s="3262" t="s">
        <v>58</v>
      </c>
      <c r="AI2" s="3262"/>
      <c r="AJ2" s="3263"/>
      <c r="AL2" s="3300" t="s">
        <v>78</v>
      </c>
      <c r="AM2" s="3300" t="s">
        <v>80</v>
      </c>
    </row>
    <row r="3" spans="1:39" ht="13.5" thickBot="1">
      <c r="A3" s="3388"/>
      <c r="B3" s="3207"/>
      <c r="C3" s="3235"/>
      <c r="D3" s="3295"/>
      <c r="E3" s="3296"/>
      <c r="F3" s="3296"/>
      <c r="G3" s="3296"/>
      <c r="H3" s="3296"/>
      <c r="I3" s="3382"/>
      <c r="J3" s="3378"/>
      <c r="K3" s="3281">
        <v>2015</v>
      </c>
      <c r="L3" s="3281"/>
      <c r="M3" s="3281"/>
      <c r="N3" s="3305">
        <v>2020</v>
      </c>
      <c r="O3" s="3281"/>
      <c r="P3" s="3282"/>
      <c r="Q3" s="3305">
        <v>2025</v>
      </c>
      <c r="R3" s="3281"/>
      <c r="S3" s="3282"/>
      <c r="T3" s="3281">
        <v>2030</v>
      </c>
      <c r="U3" s="3281"/>
      <c r="V3" s="3281"/>
      <c r="W3" s="3305">
        <v>2035</v>
      </c>
      <c r="X3" s="3281"/>
      <c r="Y3" s="3282"/>
      <c r="Z3" s="3281">
        <v>2040</v>
      </c>
      <c r="AA3" s="3281"/>
      <c r="AB3" s="3282"/>
      <c r="AC3" s="3281">
        <v>2045</v>
      </c>
      <c r="AD3" s="3281"/>
      <c r="AE3" s="3282"/>
      <c r="AF3" s="3379"/>
      <c r="AG3" s="3301"/>
      <c r="AH3" s="3281">
        <v>2045</v>
      </c>
      <c r="AI3" s="3281"/>
      <c r="AJ3" s="3282"/>
      <c r="AL3" s="3301"/>
      <c r="AM3" s="3301"/>
    </row>
    <row r="4" spans="1:39" ht="13.5" thickBot="1">
      <c r="A4" s="3489"/>
      <c r="B4" s="3243"/>
      <c r="C4" s="1023">
        <v>2015</v>
      </c>
      <c r="D4" s="3030">
        <v>2020</v>
      </c>
      <c r="E4" s="3031">
        <v>2025</v>
      </c>
      <c r="F4" s="3031">
        <v>2030</v>
      </c>
      <c r="G4" s="3031">
        <v>2035</v>
      </c>
      <c r="H4" s="3029">
        <v>2040</v>
      </c>
      <c r="I4" s="3046">
        <v>2045</v>
      </c>
      <c r="J4" s="3377"/>
      <c r="K4" s="1127" t="s">
        <v>92</v>
      </c>
      <c r="L4" s="1128" t="s">
        <v>93</v>
      </c>
      <c r="M4" s="1129" t="s">
        <v>18</v>
      </c>
      <c r="N4" s="1130" t="s">
        <v>92</v>
      </c>
      <c r="O4" s="1128" t="s">
        <v>93</v>
      </c>
      <c r="P4" s="1681" t="s">
        <v>18</v>
      </c>
      <c r="Q4" s="1130" t="s">
        <v>92</v>
      </c>
      <c r="R4" s="1131" t="s">
        <v>93</v>
      </c>
      <c r="S4" s="1132" t="s">
        <v>18</v>
      </c>
      <c r="T4" s="1127" t="s">
        <v>92</v>
      </c>
      <c r="U4" s="1128" t="s">
        <v>93</v>
      </c>
      <c r="V4" s="1129" t="s">
        <v>18</v>
      </c>
      <c r="W4" s="1130" t="s">
        <v>92</v>
      </c>
      <c r="X4" s="1131" t="s">
        <v>93</v>
      </c>
      <c r="Y4" s="1681" t="s">
        <v>18</v>
      </c>
      <c r="Z4" s="1127" t="s">
        <v>92</v>
      </c>
      <c r="AA4" s="1128" t="s">
        <v>93</v>
      </c>
      <c r="AB4" s="1681" t="s">
        <v>18</v>
      </c>
      <c r="AC4" s="1127" t="s">
        <v>92</v>
      </c>
      <c r="AD4" s="1128" t="s">
        <v>93</v>
      </c>
      <c r="AE4" s="1681" t="s">
        <v>18</v>
      </c>
      <c r="AF4" s="3380"/>
      <c r="AG4" s="3302"/>
      <c r="AH4" s="1127" t="s">
        <v>92</v>
      </c>
      <c r="AI4" s="1128" t="s">
        <v>93</v>
      </c>
      <c r="AJ4" s="1681" t="s">
        <v>18</v>
      </c>
      <c r="AL4" s="3302"/>
      <c r="AM4" s="3302"/>
    </row>
    <row r="5" spans="1:39">
      <c r="A5" s="295" t="s">
        <v>14</v>
      </c>
      <c r="B5" s="296" t="s">
        <v>15</v>
      </c>
      <c r="C5" s="2254">
        <v>9486</v>
      </c>
      <c r="D5" s="72">
        <v>9756</v>
      </c>
      <c r="E5" s="76">
        <v>10120</v>
      </c>
      <c r="F5" s="76">
        <v>11998</v>
      </c>
      <c r="G5" s="76">
        <v>11998</v>
      </c>
      <c r="H5" s="76">
        <v>13089</v>
      </c>
      <c r="I5" s="2405">
        <v>14518</v>
      </c>
      <c r="J5" s="1685">
        <f>(I5-C5)/C5</f>
        <v>0.53</v>
      </c>
      <c r="K5" s="6">
        <f>M5</f>
        <v>0.85</v>
      </c>
      <c r="L5" s="7">
        <v>0</v>
      </c>
      <c r="M5" s="8">
        <v>0.85</v>
      </c>
      <c r="N5" s="47">
        <f>P5</f>
        <v>0.67</v>
      </c>
      <c r="O5" s="14">
        <v>0</v>
      </c>
      <c r="P5" s="15">
        <f>D5*AG5/1000000</f>
        <v>0.67</v>
      </c>
      <c r="Q5" s="47">
        <f>S5</f>
        <v>0.7</v>
      </c>
      <c r="R5" s="14">
        <v>0</v>
      </c>
      <c r="S5" s="15">
        <f>E5*AG5/1000000</f>
        <v>0.7</v>
      </c>
      <c r="T5" s="246">
        <f>V5</f>
        <v>0.83</v>
      </c>
      <c r="U5" s="14">
        <v>0</v>
      </c>
      <c r="V5" s="784">
        <f>F5*AG5/1000000</f>
        <v>0.83</v>
      </c>
      <c r="W5" s="47">
        <f>Y5</f>
        <v>0.83</v>
      </c>
      <c r="X5" s="14">
        <v>0</v>
      </c>
      <c r="Y5" s="15">
        <f>G5*AG5/1000000</f>
        <v>0.83</v>
      </c>
      <c r="Z5" s="246">
        <f>AB5</f>
        <v>0.9</v>
      </c>
      <c r="AA5" s="14">
        <v>0</v>
      </c>
      <c r="AB5" s="15">
        <f>H5*AG5/1000000</f>
        <v>0.9</v>
      </c>
      <c r="AC5" s="246">
        <f>AE5</f>
        <v>1</v>
      </c>
      <c r="AD5" s="14">
        <v>0</v>
      </c>
      <c r="AE5" s="15">
        <f>I5*AG5/1000000</f>
        <v>1</v>
      </c>
      <c r="AF5" s="2539">
        <f>(AE5-M5)/M5</f>
        <v>0.18</v>
      </c>
      <c r="AG5" s="2540">
        <v>69</v>
      </c>
      <c r="AH5" s="246">
        <f>AJ5</f>
        <v>1.06</v>
      </c>
      <c r="AI5" s="14">
        <v>0</v>
      </c>
      <c r="AJ5" s="15">
        <f>AE5*1.06</f>
        <v>1.06</v>
      </c>
      <c r="AL5" s="2254">
        <f>I5-C5</f>
        <v>5032</v>
      </c>
      <c r="AM5" s="1626">
        <f>AE5-M5</f>
        <v>0.15</v>
      </c>
    </row>
    <row r="6" spans="1:39" ht="13.5" thickBot="1">
      <c r="A6" s="1037" t="s">
        <v>14</v>
      </c>
      <c r="B6" s="1864" t="s">
        <v>17</v>
      </c>
      <c r="C6" s="2031">
        <v>33643</v>
      </c>
      <c r="D6" s="2408">
        <v>41677</v>
      </c>
      <c r="E6" s="2033">
        <v>48413</v>
      </c>
      <c r="F6" s="2033">
        <v>53128</v>
      </c>
      <c r="G6" s="2033">
        <v>60206</v>
      </c>
      <c r="H6" s="2033">
        <v>65141</v>
      </c>
      <c r="I6" s="2409">
        <v>69147</v>
      </c>
      <c r="J6" s="1871">
        <f t="shared" ref="J6:J27" si="0">(I6-C6)/C6</f>
        <v>1.06</v>
      </c>
      <c r="K6" s="875">
        <f t="shared" ref="K6:K19" si="1">M6</f>
        <v>1.82</v>
      </c>
      <c r="L6" s="410">
        <v>0</v>
      </c>
      <c r="M6" s="17">
        <v>1.82</v>
      </c>
      <c r="N6" s="48">
        <f t="shared" ref="N6:N19" si="2">P6</f>
        <v>2.25</v>
      </c>
      <c r="O6" s="366">
        <v>0</v>
      </c>
      <c r="P6" s="874">
        <f>D6*AG6/1000000</f>
        <v>2.25</v>
      </c>
      <c r="Q6" s="48">
        <f t="shared" ref="Q6:Q19" si="3">S6</f>
        <v>2.61</v>
      </c>
      <c r="R6" s="366">
        <v>0</v>
      </c>
      <c r="S6" s="874">
        <f>E6*AG6/1000000</f>
        <v>2.61</v>
      </c>
      <c r="T6" s="1006">
        <f t="shared" ref="T6:T19" si="4">V6</f>
        <v>2.87</v>
      </c>
      <c r="U6" s="366">
        <v>0</v>
      </c>
      <c r="V6" s="1734">
        <f>F6*AG6/1000000</f>
        <v>2.87</v>
      </c>
      <c r="W6" s="48">
        <f t="shared" ref="W6:W19" si="5">Y6</f>
        <v>3.25</v>
      </c>
      <c r="X6" s="366">
        <v>0</v>
      </c>
      <c r="Y6" s="874">
        <f>G6*AG6/1000000</f>
        <v>3.25</v>
      </c>
      <c r="Z6" s="1006">
        <f t="shared" ref="Z6:Z19" si="6">AB6</f>
        <v>3.52</v>
      </c>
      <c r="AA6" s="366">
        <v>0</v>
      </c>
      <c r="AB6" s="874">
        <f>H6*AG6/1000000</f>
        <v>3.52</v>
      </c>
      <c r="AC6" s="1006">
        <f>AE6</f>
        <v>3.73</v>
      </c>
      <c r="AD6" s="366">
        <v>0</v>
      </c>
      <c r="AE6" s="874">
        <f>I6*AG6/1000000</f>
        <v>3.73</v>
      </c>
      <c r="AF6" s="2541">
        <f t="shared" ref="AF6:AF27" si="7">(AE6-M6)/M6</f>
        <v>1.05</v>
      </c>
      <c r="AG6" s="2208">
        <v>54</v>
      </c>
      <c r="AH6" s="1006">
        <f t="shared" ref="AH6:AH19" si="8">AJ6</f>
        <v>3.95</v>
      </c>
      <c r="AI6" s="366">
        <v>0</v>
      </c>
      <c r="AJ6" s="874">
        <f>AE6*1.06</f>
        <v>3.95</v>
      </c>
      <c r="AL6" s="2031">
        <f t="shared" ref="AL6:AL27" si="9">I6-C6</f>
        <v>35504</v>
      </c>
      <c r="AM6" s="1623">
        <f t="shared" ref="AM6:AM27" si="10">AE6-M6</f>
        <v>1.91</v>
      </c>
    </row>
    <row r="7" spans="1:39" s="22" customFormat="1" ht="14.25" thickTop="1" thickBot="1">
      <c r="A7" s="2542" t="s">
        <v>14</v>
      </c>
      <c r="B7" s="2543" t="s">
        <v>18</v>
      </c>
      <c r="C7" s="2196">
        <f t="shared" ref="C7:I7" si="11">SUM(C5:C6)</f>
        <v>43129</v>
      </c>
      <c r="D7" s="2544">
        <f t="shared" si="11"/>
        <v>51433</v>
      </c>
      <c r="E7" s="2179">
        <f t="shared" si="11"/>
        <v>58533</v>
      </c>
      <c r="F7" s="2179">
        <f t="shared" si="11"/>
        <v>65126</v>
      </c>
      <c r="G7" s="2179">
        <f t="shared" si="11"/>
        <v>72204</v>
      </c>
      <c r="H7" s="2179">
        <f t="shared" si="11"/>
        <v>78230</v>
      </c>
      <c r="I7" s="2545">
        <f t="shared" si="11"/>
        <v>83665</v>
      </c>
      <c r="J7" s="242">
        <f t="shared" si="0"/>
        <v>0.94</v>
      </c>
      <c r="K7" s="586">
        <f t="shared" si="1"/>
        <v>2.67</v>
      </c>
      <c r="L7" s="318">
        <v>0</v>
      </c>
      <c r="M7" s="565">
        <f>SUM(M5:M6)</f>
        <v>2.67</v>
      </c>
      <c r="N7" s="34">
        <f t="shared" si="2"/>
        <v>2.92</v>
      </c>
      <c r="O7" s="758">
        <v>0</v>
      </c>
      <c r="P7" s="105">
        <f>SUM(P5:P6)</f>
        <v>2.92</v>
      </c>
      <c r="Q7" s="34">
        <f t="shared" si="3"/>
        <v>3.31</v>
      </c>
      <c r="R7" s="758">
        <v>0</v>
      </c>
      <c r="S7" s="105">
        <f>SUM(S5:S6)</f>
        <v>3.31</v>
      </c>
      <c r="T7" s="140">
        <f t="shared" si="4"/>
        <v>3.7</v>
      </c>
      <c r="U7" s="756">
        <v>0</v>
      </c>
      <c r="V7" s="111">
        <f>SUM(V5:V6)</f>
        <v>3.7</v>
      </c>
      <c r="W7" s="34">
        <f t="shared" si="5"/>
        <v>4.08</v>
      </c>
      <c r="X7" s="758">
        <v>0</v>
      </c>
      <c r="Y7" s="105">
        <f>SUM(Y5:Y6)</f>
        <v>4.08</v>
      </c>
      <c r="Z7" s="140">
        <f t="shared" si="6"/>
        <v>4.42</v>
      </c>
      <c r="AA7" s="756">
        <v>0</v>
      </c>
      <c r="AB7" s="2546">
        <f>SUM(AB5:AB6)</f>
        <v>4.42</v>
      </c>
      <c r="AC7" s="140">
        <f>SUM(AC5:AC6)</f>
        <v>4.7300000000000004</v>
      </c>
      <c r="AD7" s="756">
        <f>SUM(AD5:AD6)</f>
        <v>0</v>
      </c>
      <c r="AE7" s="111">
        <f>SUM(AE5:AE6)</f>
        <v>4.7300000000000004</v>
      </c>
      <c r="AF7" s="2547">
        <f t="shared" si="7"/>
        <v>0.77</v>
      </c>
      <c r="AG7" s="2548" t="s">
        <v>16</v>
      </c>
      <c r="AH7" s="35">
        <f t="shared" si="8"/>
        <v>5.01</v>
      </c>
      <c r="AI7" s="758">
        <v>0</v>
      </c>
      <c r="AJ7" s="105">
        <f>SUM(AJ5:AJ6)</f>
        <v>5.01</v>
      </c>
      <c r="AL7" s="2196">
        <f t="shared" si="9"/>
        <v>40536</v>
      </c>
      <c r="AM7" s="1624">
        <f t="shared" si="10"/>
        <v>2.06</v>
      </c>
    </row>
    <row r="8" spans="1:39">
      <c r="A8" s="292" t="s">
        <v>19</v>
      </c>
      <c r="B8" s="262" t="s">
        <v>15</v>
      </c>
      <c r="C8" s="2047">
        <v>19691</v>
      </c>
      <c r="D8" s="2444">
        <v>20395</v>
      </c>
      <c r="E8" s="2168">
        <v>21529</v>
      </c>
      <c r="F8" s="2168">
        <v>22193</v>
      </c>
      <c r="G8" s="2168">
        <v>22924</v>
      </c>
      <c r="H8" s="2168">
        <v>23637</v>
      </c>
      <c r="I8" s="2445">
        <v>24364</v>
      </c>
      <c r="J8" s="2549">
        <f t="shared" si="0"/>
        <v>0.24</v>
      </c>
      <c r="K8" s="442">
        <f t="shared" si="1"/>
        <v>2.08</v>
      </c>
      <c r="L8" s="113">
        <v>0</v>
      </c>
      <c r="M8" s="143">
        <v>2.08</v>
      </c>
      <c r="N8" s="149">
        <f t="shared" si="2"/>
        <v>2.4300000000000002</v>
      </c>
      <c r="O8" s="159">
        <v>0</v>
      </c>
      <c r="P8" s="150">
        <f>D8*AG8/1000000</f>
        <v>2.4300000000000002</v>
      </c>
      <c r="Q8" s="149">
        <f t="shared" si="3"/>
        <v>2.56</v>
      </c>
      <c r="R8" s="159">
        <v>0</v>
      </c>
      <c r="S8" s="150">
        <f>E8*AG8/1000000</f>
        <v>2.56</v>
      </c>
      <c r="T8" s="149">
        <f t="shared" si="4"/>
        <v>2.64</v>
      </c>
      <c r="U8" s="159">
        <v>0</v>
      </c>
      <c r="V8" s="150">
        <f>F8*AG8/1000000</f>
        <v>2.64</v>
      </c>
      <c r="W8" s="186">
        <f t="shared" si="5"/>
        <v>2.73</v>
      </c>
      <c r="X8" s="159">
        <v>0</v>
      </c>
      <c r="Y8" s="150">
        <f>G8*AG8/1000000</f>
        <v>2.73</v>
      </c>
      <c r="Z8" s="149">
        <f t="shared" si="6"/>
        <v>2.81</v>
      </c>
      <c r="AA8" s="159">
        <v>0</v>
      </c>
      <c r="AB8" s="150">
        <f>H8*AG8/1000000</f>
        <v>2.81</v>
      </c>
      <c r="AC8" s="149">
        <f t="shared" ref="AC8:AC9" si="12">AE8</f>
        <v>2.9</v>
      </c>
      <c r="AD8" s="159">
        <v>0</v>
      </c>
      <c r="AE8" s="150">
        <f t="shared" ref="AE8:AE9" si="13">I8*AG8/1000000</f>
        <v>2.9</v>
      </c>
      <c r="AF8" s="2550">
        <f t="shared" si="7"/>
        <v>0.39</v>
      </c>
      <c r="AG8" s="2551">
        <v>119</v>
      </c>
      <c r="AH8" s="186">
        <f t="shared" si="8"/>
        <v>3.07</v>
      </c>
      <c r="AI8" s="159">
        <v>0</v>
      </c>
      <c r="AJ8" s="150">
        <f t="shared" ref="AJ8:AJ9" si="14">AE8*1.06</f>
        <v>3.07</v>
      </c>
      <c r="AL8" s="2047">
        <f t="shared" si="9"/>
        <v>4673</v>
      </c>
      <c r="AM8" s="1625">
        <f t="shared" si="10"/>
        <v>0.82</v>
      </c>
    </row>
    <row r="9" spans="1:39" ht="13.5" thickBot="1">
      <c r="A9" s="1037" t="s">
        <v>19</v>
      </c>
      <c r="B9" s="1864" t="s">
        <v>17</v>
      </c>
      <c r="C9" s="1963">
        <v>503</v>
      </c>
      <c r="D9" s="2408">
        <v>521</v>
      </c>
      <c r="E9" s="2033">
        <v>549</v>
      </c>
      <c r="F9" s="2033">
        <v>573</v>
      </c>
      <c r="G9" s="2033">
        <v>591</v>
      </c>
      <c r="H9" s="2033">
        <v>609</v>
      </c>
      <c r="I9" s="2409">
        <v>623</v>
      </c>
      <c r="J9" s="1871">
        <f t="shared" si="0"/>
        <v>0.24</v>
      </c>
      <c r="K9" s="875">
        <f t="shared" si="1"/>
        <v>0.05</v>
      </c>
      <c r="L9" s="410">
        <v>0</v>
      </c>
      <c r="M9" s="17">
        <v>0.05</v>
      </c>
      <c r="N9" s="48">
        <f t="shared" si="2"/>
        <v>0.06</v>
      </c>
      <c r="O9" s="366">
        <v>0</v>
      </c>
      <c r="P9" s="145">
        <f>D9*AG9/1000000</f>
        <v>0.06</v>
      </c>
      <c r="Q9" s="48">
        <f t="shared" si="3"/>
        <v>0.06</v>
      </c>
      <c r="R9" s="366">
        <v>0</v>
      </c>
      <c r="S9" s="874">
        <f>E9*AG9/1000000</f>
        <v>0.06</v>
      </c>
      <c r="T9" s="48">
        <f t="shared" si="4"/>
        <v>0.06</v>
      </c>
      <c r="U9" s="366">
        <v>0</v>
      </c>
      <c r="V9" s="145">
        <f>F9*AG9/1000000</f>
        <v>0.06</v>
      </c>
      <c r="W9" s="1006">
        <f t="shared" si="5"/>
        <v>0.06</v>
      </c>
      <c r="X9" s="2552">
        <v>0</v>
      </c>
      <c r="Y9" s="874">
        <f>G9*AG9/1000000</f>
        <v>0.06</v>
      </c>
      <c r="Z9" s="48">
        <f t="shared" si="6"/>
        <v>7.0000000000000007E-2</v>
      </c>
      <c r="AA9" s="2552">
        <v>0</v>
      </c>
      <c r="AB9" s="145">
        <f>H9*AG9/1000000</f>
        <v>7.0000000000000007E-2</v>
      </c>
      <c r="AC9" s="48">
        <f t="shared" si="12"/>
        <v>7.0000000000000007E-2</v>
      </c>
      <c r="AD9" s="2552">
        <v>0</v>
      </c>
      <c r="AE9" s="145">
        <f t="shared" si="13"/>
        <v>7.0000000000000007E-2</v>
      </c>
      <c r="AF9" s="2553">
        <f t="shared" si="7"/>
        <v>0.4</v>
      </c>
      <c r="AG9" s="2208">
        <v>109</v>
      </c>
      <c r="AH9" s="1006">
        <f t="shared" si="8"/>
        <v>7.0000000000000007E-2</v>
      </c>
      <c r="AI9" s="366">
        <v>0</v>
      </c>
      <c r="AJ9" s="874">
        <f t="shared" si="14"/>
        <v>7.0000000000000007E-2</v>
      </c>
      <c r="AL9" s="2031">
        <f t="shared" si="9"/>
        <v>120</v>
      </c>
      <c r="AM9" s="1623">
        <f t="shared" si="10"/>
        <v>0.02</v>
      </c>
    </row>
    <row r="10" spans="1:39" s="22" customFormat="1" ht="14.25" thickTop="1" thickBot="1">
      <c r="A10" s="339" t="s">
        <v>19</v>
      </c>
      <c r="B10" s="2554" t="s">
        <v>18</v>
      </c>
      <c r="C10" s="1978">
        <f t="shared" ref="C10:I10" si="15">SUM(C8:C9)</f>
        <v>20194</v>
      </c>
      <c r="D10" s="2411">
        <f t="shared" si="15"/>
        <v>20916</v>
      </c>
      <c r="E10" s="1980">
        <f t="shared" si="15"/>
        <v>22078</v>
      </c>
      <c r="F10" s="1980">
        <f t="shared" si="15"/>
        <v>22766</v>
      </c>
      <c r="G10" s="1980">
        <f t="shared" si="15"/>
        <v>23515</v>
      </c>
      <c r="H10" s="1980">
        <f t="shared" si="15"/>
        <v>24246</v>
      </c>
      <c r="I10" s="2412">
        <f t="shared" si="15"/>
        <v>24987</v>
      </c>
      <c r="J10" s="2555">
        <f t="shared" si="0"/>
        <v>0.24</v>
      </c>
      <c r="K10" s="31">
        <f t="shared" si="1"/>
        <v>2.13</v>
      </c>
      <c r="L10" s="32">
        <v>0</v>
      </c>
      <c r="M10" s="33">
        <f>SUM(M8:M9)</f>
        <v>2.13</v>
      </c>
      <c r="N10" s="34">
        <f t="shared" si="2"/>
        <v>2.4900000000000002</v>
      </c>
      <c r="O10" s="20">
        <v>0</v>
      </c>
      <c r="P10" s="21">
        <f>SUM(P8:P9)</f>
        <v>2.4900000000000002</v>
      </c>
      <c r="Q10" s="34">
        <f t="shared" si="3"/>
        <v>2.62</v>
      </c>
      <c r="R10" s="20">
        <v>0</v>
      </c>
      <c r="S10" s="21">
        <f>SUM(S8:S9)</f>
        <v>2.62</v>
      </c>
      <c r="T10" s="34">
        <f t="shared" si="4"/>
        <v>2.7</v>
      </c>
      <c r="U10" s="20">
        <v>0</v>
      </c>
      <c r="V10" s="21">
        <f>SUM(V8:V9)</f>
        <v>2.7</v>
      </c>
      <c r="W10" s="35">
        <f t="shared" si="5"/>
        <v>2.79</v>
      </c>
      <c r="X10" s="20">
        <v>0</v>
      </c>
      <c r="Y10" s="21">
        <f>SUM(Y8:Y9)</f>
        <v>2.79</v>
      </c>
      <c r="Z10" s="34">
        <f t="shared" si="6"/>
        <v>2.88</v>
      </c>
      <c r="AA10" s="20">
        <v>0</v>
      </c>
      <c r="AB10" s="21">
        <f>SUM(AB8:AB9)</f>
        <v>2.88</v>
      </c>
      <c r="AC10" s="34">
        <f>SUM(AC8:AC9)</f>
        <v>2.97</v>
      </c>
      <c r="AD10" s="20">
        <f t="shared" ref="AD10:AE10" si="16">SUM(AD8:AD9)</f>
        <v>0</v>
      </c>
      <c r="AE10" s="21">
        <f t="shared" si="16"/>
        <v>2.97</v>
      </c>
      <c r="AF10" s="2556">
        <f t="shared" si="7"/>
        <v>0.39</v>
      </c>
      <c r="AG10" s="2557" t="s">
        <v>16</v>
      </c>
      <c r="AH10" s="35">
        <f t="shared" si="8"/>
        <v>3.14</v>
      </c>
      <c r="AI10" s="20">
        <v>0</v>
      </c>
      <c r="AJ10" s="21">
        <f>SUM(AJ8:AJ9)</f>
        <v>3.14</v>
      </c>
      <c r="AL10" s="1978">
        <f t="shared" si="9"/>
        <v>4793</v>
      </c>
      <c r="AM10" s="1624">
        <f t="shared" si="10"/>
        <v>0.84</v>
      </c>
    </row>
    <row r="11" spans="1:39">
      <c r="A11" s="295" t="s">
        <v>20</v>
      </c>
      <c r="B11" s="296" t="s">
        <v>15</v>
      </c>
      <c r="C11" s="2254">
        <v>2174</v>
      </c>
      <c r="D11" s="72">
        <v>2353</v>
      </c>
      <c r="E11" s="76">
        <v>2727</v>
      </c>
      <c r="F11" s="76">
        <v>2914</v>
      </c>
      <c r="G11" s="76">
        <v>2914</v>
      </c>
      <c r="H11" s="76">
        <v>3079</v>
      </c>
      <c r="I11" s="2405">
        <v>3263</v>
      </c>
      <c r="J11" s="1685">
        <f t="shared" si="0"/>
        <v>0.5</v>
      </c>
      <c r="K11" s="6">
        <f t="shared" si="1"/>
        <v>0.28000000000000003</v>
      </c>
      <c r="L11" s="7">
        <v>0</v>
      </c>
      <c r="M11" s="8">
        <v>0.28000000000000003</v>
      </c>
      <c r="N11" s="47">
        <f t="shared" si="2"/>
        <v>0.21</v>
      </c>
      <c r="O11" s="14">
        <v>0</v>
      </c>
      <c r="P11" s="15">
        <f>D11*AG11/1000000</f>
        <v>0.21</v>
      </c>
      <c r="Q11" s="47">
        <f t="shared" si="3"/>
        <v>0.25</v>
      </c>
      <c r="R11" s="14">
        <v>0</v>
      </c>
      <c r="S11" s="15">
        <f>E11*AG11/1000000</f>
        <v>0.25</v>
      </c>
      <c r="T11" s="47">
        <f t="shared" si="4"/>
        <v>0.27</v>
      </c>
      <c r="U11" s="14">
        <v>0</v>
      </c>
      <c r="V11" s="15">
        <f>F11*AG11/1000000</f>
        <v>0.27</v>
      </c>
      <c r="W11" s="246">
        <f t="shared" si="5"/>
        <v>0.27</v>
      </c>
      <c r="X11" s="14">
        <v>0</v>
      </c>
      <c r="Y11" s="15">
        <f>G11*AG11/1000000</f>
        <v>0.27</v>
      </c>
      <c r="Z11" s="47">
        <f t="shared" si="6"/>
        <v>0.28000000000000003</v>
      </c>
      <c r="AA11" s="14">
        <v>0</v>
      </c>
      <c r="AB11" s="15">
        <f>H11*AG11/1000000</f>
        <v>0.28000000000000003</v>
      </c>
      <c r="AC11" s="47">
        <f t="shared" ref="AC11:AC12" si="17">AE11</f>
        <v>0.3</v>
      </c>
      <c r="AD11" s="14">
        <v>0</v>
      </c>
      <c r="AE11" s="15">
        <f t="shared" ref="AE11:AE12" si="18">I11*AG11/1000000</f>
        <v>0.3</v>
      </c>
      <c r="AF11" s="2539">
        <f t="shared" si="7"/>
        <v>7.0000000000000007E-2</v>
      </c>
      <c r="AG11" s="2540">
        <v>91</v>
      </c>
      <c r="AH11" s="246">
        <f t="shared" si="8"/>
        <v>0.32</v>
      </c>
      <c r="AI11" s="14">
        <v>0</v>
      </c>
      <c r="AJ11" s="15">
        <f>AE11*1.06</f>
        <v>0.32</v>
      </c>
      <c r="AL11" s="2254">
        <f t="shared" si="9"/>
        <v>1089</v>
      </c>
      <c r="AM11" s="1626">
        <f t="shared" si="10"/>
        <v>0.02</v>
      </c>
    </row>
    <row r="12" spans="1:39" ht="13.5" thickBot="1">
      <c r="A12" s="1037" t="s">
        <v>20</v>
      </c>
      <c r="B12" s="1864" t="s">
        <v>17</v>
      </c>
      <c r="C12" s="1963">
        <v>12463</v>
      </c>
      <c r="D12" s="2408">
        <v>11423</v>
      </c>
      <c r="E12" s="2033">
        <v>11240</v>
      </c>
      <c r="F12" s="2033">
        <v>11099</v>
      </c>
      <c r="G12" s="2033">
        <v>11053</v>
      </c>
      <c r="H12" s="2033">
        <v>10876</v>
      </c>
      <c r="I12" s="2409">
        <v>10595</v>
      </c>
      <c r="J12" s="1871">
        <f t="shared" si="0"/>
        <v>-0.15</v>
      </c>
      <c r="K12" s="875">
        <f t="shared" si="1"/>
        <v>0.52</v>
      </c>
      <c r="L12" s="410">
        <v>0</v>
      </c>
      <c r="M12" s="17">
        <v>0.52</v>
      </c>
      <c r="N12" s="48">
        <f t="shared" si="2"/>
        <v>0.48</v>
      </c>
      <c r="O12" s="366">
        <v>0</v>
      </c>
      <c r="P12" s="145">
        <f>D12*AG12/1000000</f>
        <v>0.48</v>
      </c>
      <c r="Q12" s="48">
        <f t="shared" si="3"/>
        <v>0.47</v>
      </c>
      <c r="R12" s="366">
        <v>0</v>
      </c>
      <c r="S12" s="874">
        <f>E12*AG12/1000000</f>
        <v>0.47</v>
      </c>
      <c r="T12" s="48">
        <f t="shared" si="4"/>
        <v>0.47</v>
      </c>
      <c r="U12" s="366">
        <v>0</v>
      </c>
      <c r="V12" s="145">
        <f>F12*AG12/1000000</f>
        <v>0.47</v>
      </c>
      <c r="W12" s="1006">
        <f t="shared" si="5"/>
        <v>0.46</v>
      </c>
      <c r="X12" s="2552">
        <v>0</v>
      </c>
      <c r="Y12" s="874">
        <f>G12*AG12/1000000</f>
        <v>0.46</v>
      </c>
      <c r="Z12" s="48">
        <f t="shared" si="6"/>
        <v>0.46</v>
      </c>
      <c r="AA12" s="2552">
        <v>0</v>
      </c>
      <c r="AB12" s="145">
        <f>H12*AG12/1000000</f>
        <v>0.46</v>
      </c>
      <c r="AC12" s="48">
        <f t="shared" si="17"/>
        <v>0.44</v>
      </c>
      <c r="AD12" s="2552">
        <v>0</v>
      </c>
      <c r="AE12" s="145">
        <f t="shared" si="18"/>
        <v>0.44</v>
      </c>
      <c r="AF12" s="2553">
        <f t="shared" si="7"/>
        <v>-0.15</v>
      </c>
      <c r="AG12" s="2208">
        <v>42</v>
      </c>
      <c r="AH12" s="1006">
        <f t="shared" si="8"/>
        <v>0.47</v>
      </c>
      <c r="AI12" s="366">
        <v>0</v>
      </c>
      <c r="AJ12" s="874">
        <f>AE12*1.06</f>
        <v>0.47</v>
      </c>
      <c r="AL12" s="2031">
        <f t="shared" si="9"/>
        <v>-1868</v>
      </c>
      <c r="AM12" s="1623">
        <f t="shared" si="10"/>
        <v>-0.08</v>
      </c>
    </row>
    <row r="13" spans="1:39" s="22" customFormat="1" ht="14.25" thickTop="1" thickBot="1">
      <c r="A13" s="339" t="s">
        <v>20</v>
      </c>
      <c r="B13" s="2554" t="s">
        <v>18</v>
      </c>
      <c r="C13" s="1978">
        <f t="shared" ref="C13:I13" si="19">SUM(C11:C12)</f>
        <v>14637</v>
      </c>
      <c r="D13" s="2411">
        <f t="shared" si="19"/>
        <v>13776</v>
      </c>
      <c r="E13" s="1980">
        <f t="shared" si="19"/>
        <v>13967</v>
      </c>
      <c r="F13" s="1980">
        <f t="shared" si="19"/>
        <v>14013</v>
      </c>
      <c r="G13" s="1980">
        <f t="shared" si="19"/>
        <v>13967</v>
      </c>
      <c r="H13" s="1980">
        <f t="shared" si="19"/>
        <v>13955</v>
      </c>
      <c r="I13" s="2412">
        <f t="shared" si="19"/>
        <v>13858</v>
      </c>
      <c r="J13" s="2555">
        <f t="shared" si="0"/>
        <v>-0.05</v>
      </c>
      <c r="K13" s="31">
        <f t="shared" si="1"/>
        <v>0.8</v>
      </c>
      <c r="L13" s="32">
        <v>0</v>
      </c>
      <c r="M13" s="33">
        <f>SUM(M11:M12)</f>
        <v>0.8</v>
      </c>
      <c r="N13" s="34">
        <f t="shared" si="2"/>
        <v>0.69</v>
      </c>
      <c r="O13" s="20">
        <v>0</v>
      </c>
      <c r="P13" s="21">
        <f>SUM(P11:P12)</f>
        <v>0.69</v>
      </c>
      <c r="Q13" s="34">
        <f t="shared" si="3"/>
        <v>0.72</v>
      </c>
      <c r="R13" s="20">
        <v>0</v>
      </c>
      <c r="S13" s="21">
        <f>SUM(S11:S12)</f>
        <v>0.72</v>
      </c>
      <c r="T13" s="34">
        <f t="shared" si="4"/>
        <v>0.74</v>
      </c>
      <c r="U13" s="20">
        <v>0</v>
      </c>
      <c r="V13" s="21">
        <f>SUM(V11:V12)</f>
        <v>0.74</v>
      </c>
      <c r="W13" s="35">
        <f t="shared" si="5"/>
        <v>0.73</v>
      </c>
      <c r="X13" s="20">
        <v>0</v>
      </c>
      <c r="Y13" s="21">
        <f>SUM(Y11:Y12)</f>
        <v>0.73</v>
      </c>
      <c r="Z13" s="34">
        <f t="shared" si="6"/>
        <v>0.74</v>
      </c>
      <c r="AA13" s="20">
        <v>0</v>
      </c>
      <c r="AB13" s="21">
        <f>SUM(AB11:AB12)</f>
        <v>0.74</v>
      </c>
      <c r="AC13" s="34">
        <f>SUM(AC11:AC12)</f>
        <v>0.74</v>
      </c>
      <c r="AD13" s="20">
        <f t="shared" ref="AD13:AE13" si="20">SUM(AD11:AD12)</f>
        <v>0</v>
      </c>
      <c r="AE13" s="21">
        <f t="shared" si="20"/>
        <v>0.74</v>
      </c>
      <c r="AF13" s="2556">
        <f t="shared" si="7"/>
        <v>-0.08</v>
      </c>
      <c r="AG13" s="2557" t="s">
        <v>16</v>
      </c>
      <c r="AH13" s="35">
        <f t="shared" si="8"/>
        <v>0.79</v>
      </c>
      <c r="AI13" s="20">
        <v>0</v>
      </c>
      <c r="AJ13" s="21">
        <f>SUM(AJ11:AJ12)</f>
        <v>0.79</v>
      </c>
      <c r="AL13" s="1978">
        <f t="shared" si="9"/>
        <v>-779</v>
      </c>
      <c r="AM13" s="1624">
        <f t="shared" si="10"/>
        <v>-0.06</v>
      </c>
    </row>
    <row r="14" spans="1:39">
      <c r="A14" s="364" t="s">
        <v>21</v>
      </c>
      <c r="B14" s="296" t="s">
        <v>15</v>
      </c>
      <c r="C14" s="2254">
        <v>63061</v>
      </c>
      <c r="D14" s="824">
        <v>67682</v>
      </c>
      <c r="E14" s="814">
        <v>74518</v>
      </c>
      <c r="F14" s="814">
        <v>84148</v>
      </c>
      <c r="G14" s="814">
        <v>87210</v>
      </c>
      <c r="H14" s="814">
        <v>89991</v>
      </c>
      <c r="I14" s="2442">
        <v>92017</v>
      </c>
      <c r="J14" s="2558">
        <f t="shared" si="0"/>
        <v>0.46</v>
      </c>
      <c r="K14" s="885">
        <f t="shared" si="1"/>
        <v>6.65</v>
      </c>
      <c r="L14" s="884">
        <v>0</v>
      </c>
      <c r="M14" s="395">
        <v>6.65</v>
      </c>
      <c r="N14" s="823">
        <f t="shared" si="2"/>
        <v>4.9400000000000004</v>
      </c>
      <c r="O14" s="322">
        <v>0</v>
      </c>
      <c r="P14" s="15">
        <f t="shared" ref="P14:P19" si="21">D14*AG14/1000000</f>
        <v>4.9400000000000004</v>
      </c>
      <c r="Q14" s="823">
        <f t="shared" si="3"/>
        <v>5.44</v>
      </c>
      <c r="R14" s="322">
        <v>0</v>
      </c>
      <c r="S14" s="830">
        <f t="shared" ref="S14:S19" si="22">E14*AG14/1000000</f>
        <v>5.44</v>
      </c>
      <c r="T14" s="823">
        <f t="shared" si="4"/>
        <v>6.14</v>
      </c>
      <c r="U14" s="322">
        <v>0</v>
      </c>
      <c r="V14" s="15">
        <f t="shared" ref="V14:V19" si="23">F14*AG14/1000000</f>
        <v>6.14</v>
      </c>
      <c r="W14" s="870">
        <f t="shared" si="5"/>
        <v>6.37</v>
      </c>
      <c r="X14" s="14">
        <v>0</v>
      </c>
      <c r="Y14" s="830">
        <f t="shared" ref="Y14:Y19" si="24">G14*AG14/1000000</f>
        <v>6.37</v>
      </c>
      <c r="Z14" s="823">
        <f t="shared" si="6"/>
        <v>6.57</v>
      </c>
      <c r="AA14" s="14">
        <v>0</v>
      </c>
      <c r="AB14" s="15">
        <f t="shared" ref="AB14:AB19" si="25">H14*AG14/1000000</f>
        <v>6.57</v>
      </c>
      <c r="AC14" s="823">
        <f t="shared" ref="AC14:AC24" si="26">AE14</f>
        <v>6.72</v>
      </c>
      <c r="AD14" s="14">
        <v>0</v>
      </c>
      <c r="AE14" s="15">
        <f t="shared" ref="AE14:AE24" si="27">I14*AG14/1000000</f>
        <v>6.72</v>
      </c>
      <c r="AF14" s="2539">
        <f t="shared" si="7"/>
        <v>0.01</v>
      </c>
      <c r="AG14" s="2559">
        <v>73</v>
      </c>
      <c r="AH14" s="870">
        <f t="shared" si="8"/>
        <v>7.12</v>
      </c>
      <c r="AI14" s="322">
        <v>0</v>
      </c>
      <c r="AJ14" s="830">
        <f t="shared" ref="AJ14:AJ24" si="28">AE14*1.06</f>
        <v>7.12</v>
      </c>
      <c r="AL14" s="1953">
        <f t="shared" si="9"/>
        <v>28956</v>
      </c>
      <c r="AM14" s="1627">
        <f t="shared" si="10"/>
        <v>7.0000000000000007E-2</v>
      </c>
    </row>
    <row r="15" spans="1:39">
      <c r="A15" s="364" t="s">
        <v>22</v>
      </c>
      <c r="B15" s="296" t="s">
        <v>17</v>
      </c>
      <c r="C15" s="2254">
        <v>42958</v>
      </c>
      <c r="D15" s="824">
        <v>44570</v>
      </c>
      <c r="E15" s="814">
        <v>47009</v>
      </c>
      <c r="F15" s="814">
        <v>48944</v>
      </c>
      <c r="G15" s="814">
        <v>50361</v>
      </c>
      <c r="H15" s="814">
        <v>51416</v>
      </c>
      <c r="I15" s="2442">
        <v>52181</v>
      </c>
      <c r="J15" s="2558">
        <f t="shared" si="0"/>
        <v>0.21</v>
      </c>
      <c r="K15" s="885">
        <f t="shared" si="1"/>
        <v>2.41</v>
      </c>
      <c r="L15" s="884">
        <v>0</v>
      </c>
      <c r="M15" s="395">
        <v>2.41</v>
      </c>
      <c r="N15" s="823">
        <f t="shared" si="2"/>
        <v>2.5</v>
      </c>
      <c r="O15" s="322">
        <v>0</v>
      </c>
      <c r="P15" s="15">
        <f t="shared" si="21"/>
        <v>2.5</v>
      </c>
      <c r="Q15" s="823">
        <f t="shared" si="3"/>
        <v>2.63</v>
      </c>
      <c r="R15" s="322">
        <v>0</v>
      </c>
      <c r="S15" s="830">
        <f t="shared" si="22"/>
        <v>2.63</v>
      </c>
      <c r="T15" s="823">
        <f t="shared" si="4"/>
        <v>2.74</v>
      </c>
      <c r="U15" s="322">
        <v>0</v>
      </c>
      <c r="V15" s="15">
        <f t="shared" si="23"/>
        <v>2.74</v>
      </c>
      <c r="W15" s="870">
        <f t="shared" si="5"/>
        <v>2.82</v>
      </c>
      <c r="X15" s="14">
        <v>0</v>
      </c>
      <c r="Y15" s="830">
        <f t="shared" si="24"/>
        <v>2.82</v>
      </c>
      <c r="Z15" s="823">
        <f t="shared" si="6"/>
        <v>2.88</v>
      </c>
      <c r="AA15" s="14">
        <v>0</v>
      </c>
      <c r="AB15" s="15">
        <f t="shared" si="25"/>
        <v>2.88</v>
      </c>
      <c r="AC15" s="823">
        <f t="shared" si="26"/>
        <v>2.92</v>
      </c>
      <c r="AD15" s="14">
        <v>0</v>
      </c>
      <c r="AE15" s="15">
        <f t="shared" si="27"/>
        <v>2.92</v>
      </c>
      <c r="AF15" s="2539">
        <f t="shared" si="7"/>
        <v>0.21</v>
      </c>
      <c r="AG15" s="2559">
        <v>56</v>
      </c>
      <c r="AH15" s="870">
        <f t="shared" si="8"/>
        <v>3.1</v>
      </c>
      <c r="AI15" s="322">
        <v>0</v>
      </c>
      <c r="AJ15" s="830">
        <f t="shared" si="28"/>
        <v>3.1</v>
      </c>
      <c r="AL15" s="1953">
        <f t="shared" si="9"/>
        <v>9223</v>
      </c>
      <c r="AM15" s="1627">
        <f t="shared" si="10"/>
        <v>0.51</v>
      </c>
    </row>
    <row r="16" spans="1:39">
      <c r="A16" s="364" t="s">
        <v>23</v>
      </c>
      <c r="B16" s="296" t="s">
        <v>15</v>
      </c>
      <c r="C16" s="2254">
        <v>211531</v>
      </c>
      <c r="D16" s="824">
        <v>228489</v>
      </c>
      <c r="E16" s="814">
        <v>245416</v>
      </c>
      <c r="F16" s="814">
        <v>258497</v>
      </c>
      <c r="G16" s="814">
        <v>269951</v>
      </c>
      <c r="H16" s="814">
        <v>279130</v>
      </c>
      <c r="I16" s="2442">
        <v>287137</v>
      </c>
      <c r="J16" s="2558">
        <f t="shared" si="0"/>
        <v>0.36</v>
      </c>
      <c r="K16" s="885">
        <f t="shared" si="1"/>
        <v>12.73</v>
      </c>
      <c r="L16" s="884">
        <v>0</v>
      </c>
      <c r="M16" s="395">
        <v>12.73</v>
      </c>
      <c r="N16" s="823">
        <f t="shared" si="2"/>
        <v>22.16</v>
      </c>
      <c r="O16" s="322">
        <v>0</v>
      </c>
      <c r="P16" s="15">
        <f t="shared" si="21"/>
        <v>22.16</v>
      </c>
      <c r="Q16" s="823">
        <f t="shared" si="3"/>
        <v>23.81</v>
      </c>
      <c r="R16" s="322">
        <v>0</v>
      </c>
      <c r="S16" s="830">
        <f t="shared" si="22"/>
        <v>23.81</v>
      </c>
      <c r="T16" s="823">
        <f t="shared" si="4"/>
        <v>25.07</v>
      </c>
      <c r="U16" s="322">
        <v>0</v>
      </c>
      <c r="V16" s="15">
        <f t="shared" si="23"/>
        <v>25.07</v>
      </c>
      <c r="W16" s="870">
        <f t="shared" si="5"/>
        <v>26.19</v>
      </c>
      <c r="X16" s="14">
        <v>0</v>
      </c>
      <c r="Y16" s="830">
        <f t="shared" si="24"/>
        <v>26.19</v>
      </c>
      <c r="Z16" s="823">
        <f t="shared" si="6"/>
        <v>27.08</v>
      </c>
      <c r="AA16" s="14">
        <v>0</v>
      </c>
      <c r="AB16" s="15">
        <f t="shared" si="25"/>
        <v>27.08</v>
      </c>
      <c r="AC16" s="823">
        <f t="shared" si="26"/>
        <v>27.85</v>
      </c>
      <c r="AD16" s="14">
        <v>0</v>
      </c>
      <c r="AE16" s="15">
        <f t="shared" si="27"/>
        <v>27.85</v>
      </c>
      <c r="AF16" s="2539">
        <f t="shared" si="7"/>
        <v>1.19</v>
      </c>
      <c r="AG16" s="2559">
        <v>97</v>
      </c>
      <c r="AH16" s="870">
        <f t="shared" si="8"/>
        <v>29.52</v>
      </c>
      <c r="AI16" s="322">
        <v>0</v>
      </c>
      <c r="AJ16" s="830">
        <f t="shared" si="28"/>
        <v>29.52</v>
      </c>
      <c r="AL16" s="1953">
        <f t="shared" si="9"/>
        <v>75606</v>
      </c>
      <c r="AM16" s="1627">
        <f t="shared" si="10"/>
        <v>15.12</v>
      </c>
    </row>
    <row r="17" spans="1:39">
      <c r="A17" s="364" t="s">
        <v>24</v>
      </c>
      <c r="B17" s="296" t="s">
        <v>15</v>
      </c>
      <c r="C17" s="2254">
        <v>4584</v>
      </c>
      <c r="D17" s="824">
        <v>5162</v>
      </c>
      <c r="E17" s="814">
        <v>5216</v>
      </c>
      <c r="F17" s="814">
        <v>6612</v>
      </c>
      <c r="G17" s="814">
        <v>6734</v>
      </c>
      <c r="H17" s="814">
        <v>6859</v>
      </c>
      <c r="I17" s="2442">
        <v>6864</v>
      </c>
      <c r="J17" s="2558">
        <f t="shared" si="0"/>
        <v>0.5</v>
      </c>
      <c r="K17" s="885">
        <f t="shared" si="1"/>
        <v>0.3</v>
      </c>
      <c r="L17" s="884">
        <v>0</v>
      </c>
      <c r="M17" s="395">
        <v>0.3</v>
      </c>
      <c r="N17" s="823">
        <f t="shared" si="2"/>
        <v>0.28999999999999998</v>
      </c>
      <c r="O17" s="322">
        <v>0</v>
      </c>
      <c r="P17" s="15">
        <f t="shared" si="21"/>
        <v>0.28999999999999998</v>
      </c>
      <c r="Q17" s="823">
        <f t="shared" si="3"/>
        <v>0.28999999999999998</v>
      </c>
      <c r="R17" s="322">
        <v>0</v>
      </c>
      <c r="S17" s="830">
        <f t="shared" si="22"/>
        <v>0.28999999999999998</v>
      </c>
      <c r="T17" s="823">
        <f t="shared" si="4"/>
        <v>0.37</v>
      </c>
      <c r="U17" s="322">
        <v>0</v>
      </c>
      <c r="V17" s="15">
        <f t="shared" si="23"/>
        <v>0.37</v>
      </c>
      <c r="W17" s="870">
        <f t="shared" si="5"/>
        <v>0.38</v>
      </c>
      <c r="X17" s="14">
        <v>0</v>
      </c>
      <c r="Y17" s="830">
        <f t="shared" si="24"/>
        <v>0.38</v>
      </c>
      <c r="Z17" s="823">
        <f t="shared" si="6"/>
        <v>0.38</v>
      </c>
      <c r="AA17" s="14">
        <v>0</v>
      </c>
      <c r="AB17" s="15">
        <f t="shared" si="25"/>
        <v>0.38</v>
      </c>
      <c r="AC17" s="823">
        <f t="shared" si="26"/>
        <v>0.38</v>
      </c>
      <c r="AD17" s="14">
        <v>0</v>
      </c>
      <c r="AE17" s="15">
        <f t="shared" si="27"/>
        <v>0.38</v>
      </c>
      <c r="AF17" s="2539">
        <f t="shared" si="7"/>
        <v>0.27</v>
      </c>
      <c r="AG17" s="2559">
        <v>56</v>
      </c>
      <c r="AH17" s="870">
        <f t="shared" si="8"/>
        <v>0.4</v>
      </c>
      <c r="AI17" s="322">
        <v>0</v>
      </c>
      <c r="AJ17" s="830">
        <f t="shared" si="28"/>
        <v>0.4</v>
      </c>
      <c r="AL17" s="1953">
        <f t="shared" si="9"/>
        <v>2280</v>
      </c>
      <c r="AM17" s="1627">
        <f t="shared" si="10"/>
        <v>0.08</v>
      </c>
    </row>
    <row r="18" spans="1:39">
      <c r="A18" s="364" t="s">
        <v>25</v>
      </c>
      <c r="B18" s="296" t="s">
        <v>17</v>
      </c>
      <c r="C18" s="2254">
        <v>14033</v>
      </c>
      <c r="D18" s="2560">
        <v>14994</v>
      </c>
      <c r="E18" s="2017">
        <v>15628</v>
      </c>
      <c r="F18" s="2017">
        <v>16204</v>
      </c>
      <c r="G18" s="2017">
        <v>16751</v>
      </c>
      <c r="H18" s="2017">
        <v>17234</v>
      </c>
      <c r="I18" s="2561">
        <v>17734</v>
      </c>
      <c r="J18" s="2562">
        <f t="shared" si="0"/>
        <v>0.26</v>
      </c>
      <c r="K18" s="1046">
        <f t="shared" si="1"/>
        <v>0.98</v>
      </c>
      <c r="L18" s="1866">
        <v>0</v>
      </c>
      <c r="M18" s="568">
        <v>0.98</v>
      </c>
      <c r="N18" s="820">
        <f t="shared" si="2"/>
        <v>1.05</v>
      </c>
      <c r="O18" s="1872">
        <v>0</v>
      </c>
      <c r="P18" s="15">
        <f t="shared" si="21"/>
        <v>1.05</v>
      </c>
      <c r="Q18" s="820">
        <f t="shared" si="3"/>
        <v>1.0900000000000001</v>
      </c>
      <c r="R18" s="1872">
        <v>0</v>
      </c>
      <c r="S18" s="1002">
        <f t="shared" si="22"/>
        <v>1.0900000000000001</v>
      </c>
      <c r="T18" s="820">
        <f t="shared" si="4"/>
        <v>1.1299999999999999</v>
      </c>
      <c r="U18" s="1872">
        <v>0</v>
      </c>
      <c r="V18" s="367">
        <f t="shared" si="23"/>
        <v>1.1299999999999999</v>
      </c>
      <c r="W18" s="2563">
        <f t="shared" si="5"/>
        <v>1.17</v>
      </c>
      <c r="X18" s="14">
        <v>0</v>
      </c>
      <c r="Y18" s="1002">
        <f t="shared" si="24"/>
        <v>1.17</v>
      </c>
      <c r="Z18" s="820">
        <f t="shared" si="6"/>
        <v>1.21</v>
      </c>
      <c r="AA18" s="14">
        <v>0</v>
      </c>
      <c r="AB18" s="367">
        <f t="shared" si="25"/>
        <v>1.21</v>
      </c>
      <c r="AC18" s="820">
        <f t="shared" si="26"/>
        <v>1.24</v>
      </c>
      <c r="AD18" s="14">
        <v>0</v>
      </c>
      <c r="AE18" s="367">
        <f t="shared" si="27"/>
        <v>1.24</v>
      </c>
      <c r="AF18" s="2539">
        <f t="shared" si="7"/>
        <v>0.27</v>
      </c>
      <c r="AG18" s="2564">
        <v>70</v>
      </c>
      <c r="AH18" s="2563">
        <f t="shared" si="8"/>
        <v>1.31</v>
      </c>
      <c r="AI18" s="322">
        <v>0</v>
      </c>
      <c r="AJ18" s="1002">
        <f t="shared" si="28"/>
        <v>1.31</v>
      </c>
      <c r="AL18" s="2015">
        <f t="shared" si="9"/>
        <v>3701</v>
      </c>
      <c r="AM18" s="1628">
        <f t="shared" si="10"/>
        <v>0.26</v>
      </c>
    </row>
    <row r="19" spans="1:39">
      <c r="A19" s="364" t="s">
        <v>26</v>
      </c>
      <c r="B19" s="296" t="s">
        <v>17</v>
      </c>
      <c r="C19" s="2254">
        <v>6634</v>
      </c>
      <c r="D19" s="2560">
        <v>6438</v>
      </c>
      <c r="E19" s="2017">
        <v>6595</v>
      </c>
      <c r="F19" s="2017">
        <v>6672</v>
      </c>
      <c r="G19" s="2017">
        <v>6672</v>
      </c>
      <c r="H19" s="2017">
        <v>6672</v>
      </c>
      <c r="I19" s="2561">
        <v>6738</v>
      </c>
      <c r="J19" s="2562">
        <f t="shared" si="0"/>
        <v>0.02</v>
      </c>
      <c r="K19" s="1046">
        <f t="shared" si="1"/>
        <v>0.43</v>
      </c>
      <c r="L19" s="1866">
        <v>0</v>
      </c>
      <c r="M19" s="568">
        <v>0.43</v>
      </c>
      <c r="N19" s="820">
        <f t="shared" si="2"/>
        <v>0.42</v>
      </c>
      <c r="O19" s="1872">
        <v>0</v>
      </c>
      <c r="P19" s="15">
        <f t="shared" si="21"/>
        <v>0.42</v>
      </c>
      <c r="Q19" s="820">
        <f t="shared" si="3"/>
        <v>0.43</v>
      </c>
      <c r="R19" s="1872">
        <v>0</v>
      </c>
      <c r="S19" s="1002">
        <f t="shared" si="22"/>
        <v>0.43</v>
      </c>
      <c r="T19" s="820">
        <f t="shared" si="4"/>
        <v>0.43</v>
      </c>
      <c r="U19" s="1872">
        <v>0</v>
      </c>
      <c r="V19" s="367">
        <f t="shared" si="23"/>
        <v>0.43</v>
      </c>
      <c r="W19" s="870">
        <f t="shared" si="5"/>
        <v>0.43</v>
      </c>
      <c r="X19" s="322">
        <v>0</v>
      </c>
      <c r="Y19" s="830">
        <f t="shared" si="24"/>
        <v>0.43</v>
      </c>
      <c r="Z19" s="823">
        <f t="shared" si="6"/>
        <v>0.43</v>
      </c>
      <c r="AA19" s="322">
        <v>0</v>
      </c>
      <c r="AB19" s="830">
        <f t="shared" si="25"/>
        <v>0.43</v>
      </c>
      <c r="AC19" s="823">
        <f t="shared" si="26"/>
        <v>0.44</v>
      </c>
      <c r="AD19" s="322">
        <v>0</v>
      </c>
      <c r="AE19" s="830">
        <f t="shared" si="27"/>
        <v>0.44</v>
      </c>
      <c r="AF19" s="1861">
        <f t="shared" si="7"/>
        <v>0.02</v>
      </c>
      <c r="AG19" s="2559">
        <v>65</v>
      </c>
      <c r="AH19" s="2563">
        <f t="shared" si="8"/>
        <v>0.47</v>
      </c>
      <c r="AI19" s="322">
        <v>0</v>
      </c>
      <c r="AJ19" s="1002">
        <f t="shared" si="28"/>
        <v>0.47</v>
      </c>
      <c r="AL19" s="2015">
        <f t="shared" si="9"/>
        <v>104</v>
      </c>
      <c r="AM19" s="1628">
        <f t="shared" si="10"/>
        <v>0.01</v>
      </c>
    </row>
    <row r="20" spans="1:39">
      <c r="A20" s="365" t="s">
        <v>27</v>
      </c>
      <c r="B20" s="2565" t="s">
        <v>15</v>
      </c>
      <c r="C20" s="1953">
        <v>8319</v>
      </c>
      <c r="D20" s="824">
        <v>9381</v>
      </c>
      <c r="E20" s="814">
        <v>10820</v>
      </c>
      <c r="F20" s="814">
        <v>11659</v>
      </c>
      <c r="G20" s="814">
        <v>12740</v>
      </c>
      <c r="H20" s="814">
        <v>13615</v>
      </c>
      <c r="I20" s="2442">
        <v>14424</v>
      </c>
      <c r="J20" s="2558">
        <f t="shared" si="0"/>
        <v>0.73</v>
      </c>
      <c r="K20" s="885">
        <f t="shared" ref="K20:K24" si="29">M20</f>
        <v>3.86</v>
      </c>
      <c r="L20" s="884">
        <v>0</v>
      </c>
      <c r="M20" s="395">
        <v>3.86</v>
      </c>
      <c r="N20" s="823">
        <f t="shared" ref="N20:N24" si="30">P20</f>
        <v>1.43</v>
      </c>
      <c r="O20" s="322">
        <v>0</v>
      </c>
      <c r="P20" s="15">
        <f t="shared" ref="P20:P24" si="31">D20*AG20/1000000</f>
        <v>1.43</v>
      </c>
      <c r="Q20" s="823">
        <f t="shared" ref="Q20:Q24" si="32">S20</f>
        <v>1.64</v>
      </c>
      <c r="R20" s="322">
        <v>0</v>
      </c>
      <c r="S20" s="830">
        <f t="shared" ref="S20:S24" si="33">E20*AG20/1000000</f>
        <v>1.64</v>
      </c>
      <c r="T20" s="823">
        <f t="shared" ref="T20:T24" si="34">V20</f>
        <v>1.77</v>
      </c>
      <c r="U20" s="322">
        <v>0</v>
      </c>
      <c r="V20" s="15">
        <f t="shared" ref="V20:V24" si="35">F20*AG20/1000000</f>
        <v>1.77</v>
      </c>
      <c r="W20" s="870">
        <f t="shared" ref="W20:W24" si="36">Y20</f>
        <v>1.94</v>
      </c>
      <c r="X20" s="14">
        <v>0</v>
      </c>
      <c r="Y20" s="830">
        <f t="shared" ref="Y20:Y24" si="37">G20*AG20/1000000</f>
        <v>1.94</v>
      </c>
      <c r="Z20" s="823">
        <f t="shared" ref="Z20:Z24" si="38">AB20</f>
        <v>2.0699999999999998</v>
      </c>
      <c r="AA20" s="14">
        <v>0</v>
      </c>
      <c r="AB20" s="15">
        <f t="shared" ref="AB20:AB24" si="39">H20*AG20/1000000</f>
        <v>2.0699999999999998</v>
      </c>
      <c r="AC20" s="823">
        <f t="shared" si="26"/>
        <v>2.19</v>
      </c>
      <c r="AD20" s="14">
        <v>0</v>
      </c>
      <c r="AE20" s="15">
        <f t="shared" si="27"/>
        <v>2.19</v>
      </c>
      <c r="AF20" s="2539">
        <f t="shared" si="7"/>
        <v>-0.43</v>
      </c>
      <c r="AG20" s="2540">
        <v>152</v>
      </c>
      <c r="AH20" s="870">
        <f t="shared" ref="AH20:AH24" si="40">AJ20</f>
        <v>2.3199999999999998</v>
      </c>
      <c r="AI20" s="322">
        <v>0</v>
      </c>
      <c r="AJ20" s="830">
        <f t="shared" si="28"/>
        <v>2.3199999999999998</v>
      </c>
      <c r="AL20" s="1953">
        <f t="shared" si="9"/>
        <v>6105</v>
      </c>
      <c r="AM20" s="1627">
        <f t="shared" si="10"/>
        <v>-1.67</v>
      </c>
    </row>
    <row r="21" spans="1:39">
      <c r="A21" s="365" t="s">
        <v>28</v>
      </c>
      <c r="B21" s="2565" t="s">
        <v>15</v>
      </c>
      <c r="C21" s="1953">
        <v>53402</v>
      </c>
      <c r="D21" s="864">
        <v>53285</v>
      </c>
      <c r="E21" s="872">
        <v>53285</v>
      </c>
      <c r="F21" s="872">
        <v>53285</v>
      </c>
      <c r="G21" s="872">
        <v>53285</v>
      </c>
      <c r="H21" s="872">
        <v>53285</v>
      </c>
      <c r="I21" s="995">
        <v>53285</v>
      </c>
      <c r="J21" s="2558">
        <f t="shared" si="0"/>
        <v>0</v>
      </c>
      <c r="K21" s="885">
        <f t="shared" si="29"/>
        <v>2.35</v>
      </c>
      <c r="L21" s="884">
        <v>0</v>
      </c>
      <c r="M21" s="395">
        <v>2.35</v>
      </c>
      <c r="N21" s="823">
        <f t="shared" si="30"/>
        <v>3.04</v>
      </c>
      <c r="O21" s="322">
        <v>0</v>
      </c>
      <c r="P21" s="15">
        <f t="shared" si="31"/>
        <v>3.04</v>
      </c>
      <c r="Q21" s="823">
        <f t="shared" si="32"/>
        <v>3.04</v>
      </c>
      <c r="R21" s="322">
        <v>0</v>
      </c>
      <c r="S21" s="830">
        <f t="shared" si="33"/>
        <v>3.04</v>
      </c>
      <c r="T21" s="823">
        <f t="shared" si="34"/>
        <v>3.04</v>
      </c>
      <c r="U21" s="322">
        <v>0</v>
      </c>
      <c r="V21" s="15">
        <f t="shared" si="35"/>
        <v>3.04</v>
      </c>
      <c r="W21" s="870">
        <f t="shared" si="36"/>
        <v>3.04</v>
      </c>
      <c r="X21" s="14">
        <v>0</v>
      </c>
      <c r="Y21" s="830">
        <f t="shared" si="37"/>
        <v>3.04</v>
      </c>
      <c r="Z21" s="823">
        <f t="shared" si="38"/>
        <v>3.04</v>
      </c>
      <c r="AA21" s="14">
        <v>0</v>
      </c>
      <c r="AB21" s="15">
        <f t="shared" si="39"/>
        <v>3.04</v>
      </c>
      <c r="AC21" s="823">
        <f t="shared" si="26"/>
        <v>3.04</v>
      </c>
      <c r="AD21" s="14">
        <v>0</v>
      </c>
      <c r="AE21" s="15">
        <f t="shared" si="27"/>
        <v>3.04</v>
      </c>
      <c r="AF21" s="2539">
        <f t="shared" si="7"/>
        <v>0.28999999999999998</v>
      </c>
      <c r="AG21" s="2559">
        <v>57</v>
      </c>
      <c r="AH21" s="870">
        <f t="shared" si="40"/>
        <v>3.22</v>
      </c>
      <c r="AI21" s="322">
        <v>0</v>
      </c>
      <c r="AJ21" s="830">
        <f t="shared" si="28"/>
        <v>3.22</v>
      </c>
      <c r="AL21" s="305">
        <f t="shared" si="9"/>
        <v>-117</v>
      </c>
      <c r="AM21" s="1627">
        <f t="shared" si="10"/>
        <v>0.69</v>
      </c>
    </row>
    <row r="22" spans="1:39">
      <c r="A22" s="365" t="s">
        <v>29</v>
      </c>
      <c r="B22" s="2566" t="s">
        <v>15</v>
      </c>
      <c r="C22" s="1953">
        <v>41968</v>
      </c>
      <c r="D22" s="864">
        <v>51023</v>
      </c>
      <c r="E22" s="872">
        <v>59917</v>
      </c>
      <c r="F22" s="872">
        <v>69240</v>
      </c>
      <c r="G22" s="872">
        <v>76826</v>
      </c>
      <c r="H22" s="872">
        <v>84840</v>
      </c>
      <c r="I22" s="995">
        <v>92269</v>
      </c>
      <c r="J22" s="2558">
        <f t="shared" si="0"/>
        <v>1.2</v>
      </c>
      <c r="K22" s="885">
        <f t="shared" si="29"/>
        <v>2.67</v>
      </c>
      <c r="L22" s="884">
        <v>0</v>
      </c>
      <c r="M22" s="395">
        <v>2.67</v>
      </c>
      <c r="N22" s="823">
        <f t="shared" si="30"/>
        <v>4.49</v>
      </c>
      <c r="O22" s="322">
        <v>0</v>
      </c>
      <c r="P22" s="830">
        <f t="shared" si="31"/>
        <v>4.49</v>
      </c>
      <c r="Q22" s="823">
        <f t="shared" si="32"/>
        <v>5.27</v>
      </c>
      <c r="R22" s="322">
        <v>0</v>
      </c>
      <c r="S22" s="830">
        <f t="shared" si="33"/>
        <v>5.27</v>
      </c>
      <c r="T22" s="823">
        <f t="shared" si="34"/>
        <v>6.09</v>
      </c>
      <c r="U22" s="322">
        <v>0</v>
      </c>
      <c r="V22" s="830">
        <f t="shared" si="35"/>
        <v>6.09</v>
      </c>
      <c r="W22" s="870">
        <f t="shared" si="36"/>
        <v>6.76</v>
      </c>
      <c r="X22" s="322">
        <v>0</v>
      </c>
      <c r="Y22" s="830">
        <f t="shared" si="37"/>
        <v>6.76</v>
      </c>
      <c r="Z22" s="823">
        <f t="shared" si="38"/>
        <v>7.47</v>
      </c>
      <c r="AA22" s="322">
        <v>0</v>
      </c>
      <c r="AB22" s="830">
        <f t="shared" si="39"/>
        <v>7.47</v>
      </c>
      <c r="AC22" s="823">
        <f t="shared" si="26"/>
        <v>8.1199999999999992</v>
      </c>
      <c r="AD22" s="322">
        <v>0</v>
      </c>
      <c r="AE22" s="830">
        <f t="shared" si="27"/>
        <v>8.1199999999999992</v>
      </c>
      <c r="AF22" s="2567">
        <f t="shared" si="7"/>
        <v>2.04</v>
      </c>
      <c r="AG22" s="2559">
        <v>88</v>
      </c>
      <c r="AH22" s="870">
        <f t="shared" si="40"/>
        <v>8.61</v>
      </c>
      <c r="AI22" s="322">
        <v>0</v>
      </c>
      <c r="AJ22" s="830">
        <f t="shared" si="28"/>
        <v>8.61</v>
      </c>
      <c r="AL22" s="305">
        <f t="shared" si="9"/>
        <v>50301</v>
      </c>
      <c r="AM22" s="1627">
        <f t="shared" si="10"/>
        <v>5.45</v>
      </c>
    </row>
    <row r="23" spans="1:39">
      <c r="A23" s="365" t="s">
        <v>30</v>
      </c>
      <c r="B23" s="2566" t="s">
        <v>17</v>
      </c>
      <c r="C23" s="1953">
        <v>33604</v>
      </c>
      <c r="D23" s="824">
        <v>35337</v>
      </c>
      <c r="E23" s="814">
        <v>36901</v>
      </c>
      <c r="F23" s="814">
        <v>38435</v>
      </c>
      <c r="G23" s="814">
        <v>39650</v>
      </c>
      <c r="H23" s="814">
        <v>40797</v>
      </c>
      <c r="I23" s="2561">
        <v>41824</v>
      </c>
      <c r="J23" s="2562">
        <f t="shared" si="0"/>
        <v>0.24</v>
      </c>
      <c r="K23" s="1046">
        <f t="shared" si="29"/>
        <v>2.1800000000000002</v>
      </c>
      <c r="L23" s="1866">
        <v>0</v>
      </c>
      <c r="M23" s="568">
        <v>2.1800000000000002</v>
      </c>
      <c r="N23" s="820">
        <f t="shared" si="30"/>
        <v>2.2999999999999998</v>
      </c>
      <c r="O23" s="1872">
        <v>0</v>
      </c>
      <c r="P23" s="15">
        <f t="shared" si="31"/>
        <v>2.2999999999999998</v>
      </c>
      <c r="Q23" s="820">
        <f t="shared" si="32"/>
        <v>2.4</v>
      </c>
      <c r="R23" s="1872">
        <v>0</v>
      </c>
      <c r="S23" s="1002">
        <f t="shared" si="33"/>
        <v>2.4</v>
      </c>
      <c r="T23" s="820">
        <f t="shared" si="34"/>
        <v>2.5</v>
      </c>
      <c r="U23" s="1872">
        <v>0</v>
      </c>
      <c r="V23" s="367">
        <f t="shared" si="35"/>
        <v>2.5</v>
      </c>
      <c r="W23" s="2563">
        <f t="shared" si="36"/>
        <v>2.58</v>
      </c>
      <c r="X23" s="14">
        <v>0</v>
      </c>
      <c r="Y23" s="1002">
        <f t="shared" si="37"/>
        <v>2.58</v>
      </c>
      <c r="Z23" s="820">
        <f t="shared" si="38"/>
        <v>2.65</v>
      </c>
      <c r="AA23" s="14">
        <v>0</v>
      </c>
      <c r="AB23" s="367">
        <f t="shared" si="39"/>
        <v>2.65</v>
      </c>
      <c r="AC23" s="820">
        <f t="shared" si="26"/>
        <v>2.72</v>
      </c>
      <c r="AD23" s="14">
        <v>0</v>
      </c>
      <c r="AE23" s="367">
        <f t="shared" si="27"/>
        <v>2.72</v>
      </c>
      <c r="AF23" s="2567">
        <f t="shared" si="7"/>
        <v>0.25</v>
      </c>
      <c r="AG23" s="2564">
        <v>65</v>
      </c>
      <c r="AH23" s="2563">
        <f t="shared" si="40"/>
        <v>2.88</v>
      </c>
      <c r="AI23" s="322">
        <v>0</v>
      </c>
      <c r="AJ23" s="1002">
        <f t="shared" si="28"/>
        <v>2.88</v>
      </c>
      <c r="AL23" s="1953">
        <f t="shared" si="9"/>
        <v>8220</v>
      </c>
      <c r="AM23" s="1628">
        <f t="shared" si="10"/>
        <v>0.54</v>
      </c>
    </row>
    <row r="24" spans="1:39" ht="13.5" thickBot="1">
      <c r="A24" s="133" t="s">
        <v>31</v>
      </c>
      <c r="B24" s="2568" t="s">
        <v>17</v>
      </c>
      <c r="C24" s="2031">
        <v>9180</v>
      </c>
      <c r="D24" s="2408">
        <v>8824</v>
      </c>
      <c r="E24" s="2033">
        <v>8889</v>
      </c>
      <c r="F24" s="2033">
        <v>8889</v>
      </c>
      <c r="G24" s="2033">
        <v>8969</v>
      </c>
      <c r="H24" s="2033">
        <v>8969</v>
      </c>
      <c r="I24" s="2409">
        <v>8969</v>
      </c>
      <c r="J24" s="1871">
        <f t="shared" si="0"/>
        <v>-0.02</v>
      </c>
      <c r="K24" s="875">
        <f t="shared" si="29"/>
        <v>0.66</v>
      </c>
      <c r="L24" s="410">
        <v>0</v>
      </c>
      <c r="M24" s="17">
        <v>0.66</v>
      </c>
      <c r="N24" s="48">
        <f t="shared" si="30"/>
        <v>0.64</v>
      </c>
      <c r="O24" s="366">
        <v>0</v>
      </c>
      <c r="P24" s="874">
        <f t="shared" si="31"/>
        <v>0.64</v>
      </c>
      <c r="Q24" s="48">
        <f t="shared" si="32"/>
        <v>0.64</v>
      </c>
      <c r="R24" s="366">
        <v>0</v>
      </c>
      <c r="S24" s="874">
        <f t="shared" si="33"/>
        <v>0.64</v>
      </c>
      <c r="T24" s="48">
        <f t="shared" si="34"/>
        <v>0.64</v>
      </c>
      <c r="U24" s="366">
        <v>0</v>
      </c>
      <c r="V24" s="49">
        <f t="shared" si="35"/>
        <v>0.64</v>
      </c>
      <c r="W24" s="1006">
        <f t="shared" si="36"/>
        <v>0.65</v>
      </c>
      <c r="X24" s="366">
        <v>0</v>
      </c>
      <c r="Y24" s="874">
        <f t="shared" si="37"/>
        <v>0.65</v>
      </c>
      <c r="Z24" s="48">
        <f t="shared" si="38"/>
        <v>0.65</v>
      </c>
      <c r="AA24" s="366">
        <v>0</v>
      </c>
      <c r="AB24" s="49">
        <f t="shared" si="39"/>
        <v>0.65</v>
      </c>
      <c r="AC24" s="48">
        <f t="shared" si="26"/>
        <v>0.65</v>
      </c>
      <c r="AD24" s="366">
        <v>0</v>
      </c>
      <c r="AE24" s="49">
        <f t="shared" si="27"/>
        <v>0.65</v>
      </c>
      <c r="AF24" s="2541">
        <f t="shared" si="7"/>
        <v>-0.02</v>
      </c>
      <c r="AG24" s="2208">
        <v>72</v>
      </c>
      <c r="AH24" s="1006">
        <f t="shared" si="40"/>
        <v>0.69</v>
      </c>
      <c r="AI24" s="366">
        <v>0</v>
      </c>
      <c r="AJ24" s="874">
        <f t="shared" si="28"/>
        <v>0.69</v>
      </c>
      <c r="AL24" s="2031">
        <f t="shared" si="9"/>
        <v>-211</v>
      </c>
      <c r="AM24" s="1623">
        <f t="shared" si="10"/>
        <v>-0.01</v>
      </c>
    </row>
    <row r="25" spans="1:39" ht="14.25" thickTop="1" thickBot="1">
      <c r="A25" s="3385" t="s">
        <v>32</v>
      </c>
      <c r="B25" s="3386"/>
      <c r="C25" s="2185">
        <f t="shared" ref="C25:I25" si="41">C5+C8+C11+C14+C16+C17+C20+C21+C22</f>
        <v>414216</v>
      </c>
      <c r="D25" s="856">
        <f t="shared" si="41"/>
        <v>447526</v>
      </c>
      <c r="E25" s="172">
        <f t="shared" si="41"/>
        <v>483548</v>
      </c>
      <c r="F25" s="172">
        <f t="shared" si="41"/>
        <v>520546</v>
      </c>
      <c r="G25" s="172">
        <f t="shared" si="41"/>
        <v>544582</v>
      </c>
      <c r="H25" s="172">
        <f t="shared" si="41"/>
        <v>567525</v>
      </c>
      <c r="I25" s="290">
        <f t="shared" si="41"/>
        <v>588141</v>
      </c>
      <c r="J25" s="242">
        <f t="shared" si="0"/>
        <v>0.42</v>
      </c>
      <c r="K25" s="619">
        <f>K5+K8+K11+K14+K16+K17+K20+K21+K22</f>
        <v>31.77</v>
      </c>
      <c r="L25" s="620">
        <f t="shared" ref="L25:AE25" si="42">L5+L8+L11+L14+L16+L17+L20+L21+L22</f>
        <v>0</v>
      </c>
      <c r="M25" s="621">
        <f t="shared" si="42"/>
        <v>31.77</v>
      </c>
      <c r="N25" s="2569">
        <f t="shared" si="42"/>
        <v>39.659999999999997</v>
      </c>
      <c r="O25" s="2570">
        <f t="shared" si="42"/>
        <v>0</v>
      </c>
      <c r="P25" s="2067">
        <f t="shared" si="42"/>
        <v>39.659999999999997</v>
      </c>
      <c r="Q25" s="2571">
        <f t="shared" si="42"/>
        <v>43</v>
      </c>
      <c r="R25" s="2572">
        <f t="shared" si="42"/>
        <v>0</v>
      </c>
      <c r="S25" s="2066">
        <f t="shared" si="42"/>
        <v>43</v>
      </c>
      <c r="T25" s="2569">
        <f t="shared" si="42"/>
        <v>46.22</v>
      </c>
      <c r="U25" s="2570">
        <f t="shared" si="42"/>
        <v>0</v>
      </c>
      <c r="V25" s="2067">
        <f t="shared" si="42"/>
        <v>46.22</v>
      </c>
      <c r="W25" s="2571">
        <f t="shared" si="42"/>
        <v>48.51</v>
      </c>
      <c r="X25" s="2572">
        <f t="shared" si="42"/>
        <v>0</v>
      </c>
      <c r="Y25" s="2066">
        <f t="shared" si="42"/>
        <v>48.51</v>
      </c>
      <c r="Z25" s="2569">
        <f t="shared" si="42"/>
        <v>50.6</v>
      </c>
      <c r="AA25" s="2570">
        <f t="shared" si="42"/>
        <v>0</v>
      </c>
      <c r="AB25" s="2067">
        <f t="shared" si="42"/>
        <v>50.6</v>
      </c>
      <c r="AC25" s="2569">
        <f t="shared" si="42"/>
        <v>52.5</v>
      </c>
      <c r="AD25" s="2570">
        <f t="shared" si="42"/>
        <v>0</v>
      </c>
      <c r="AE25" s="2067">
        <f t="shared" si="42"/>
        <v>52.5</v>
      </c>
      <c r="AF25" s="2573">
        <f t="shared" si="7"/>
        <v>0.65</v>
      </c>
      <c r="AG25" s="2574" t="s">
        <v>16</v>
      </c>
      <c r="AH25" s="140">
        <f t="shared" ref="AH25:AJ25" si="43">AH5+AH8+AH11+AH14+AH16+AH17+AH20+AH21+AH22</f>
        <v>55.64</v>
      </c>
      <c r="AI25" s="104">
        <f t="shared" si="43"/>
        <v>0</v>
      </c>
      <c r="AJ25" s="61">
        <f t="shared" si="43"/>
        <v>55.64</v>
      </c>
      <c r="AL25" s="2181">
        <f t="shared" si="9"/>
        <v>173925</v>
      </c>
      <c r="AM25" s="1629">
        <f t="shared" si="10"/>
        <v>20.73</v>
      </c>
    </row>
    <row r="26" spans="1:39" ht="13.5" thickBot="1">
      <c r="A26" s="3375" t="s">
        <v>33</v>
      </c>
      <c r="B26" s="3376"/>
      <c r="C26" s="2575">
        <f>C6+C9+C12+C15+C18+C19+C23+C24</f>
        <v>153018</v>
      </c>
      <c r="D26" s="189">
        <f t="shared" ref="D26:I26" si="44">D6+D9+D12+D15+D18+D19+D23+D24</f>
        <v>163784</v>
      </c>
      <c r="E26" s="190">
        <f t="shared" si="44"/>
        <v>175224</v>
      </c>
      <c r="F26" s="190">
        <f t="shared" si="44"/>
        <v>183944</v>
      </c>
      <c r="G26" s="190">
        <f t="shared" si="44"/>
        <v>194253</v>
      </c>
      <c r="H26" s="190">
        <f t="shared" si="44"/>
        <v>201714</v>
      </c>
      <c r="I26" s="709">
        <f t="shared" si="44"/>
        <v>207811</v>
      </c>
      <c r="J26" s="2576">
        <f t="shared" si="0"/>
        <v>0.36</v>
      </c>
      <c r="K26" s="697">
        <f>K6+K9+K12+K15+K18+K19+K23+K24</f>
        <v>9.0500000000000007</v>
      </c>
      <c r="L26" s="695">
        <f t="shared" ref="L26:AE26" si="45">L6+L9+L12+L15+L18+L19+L23+L24</f>
        <v>0</v>
      </c>
      <c r="M26" s="2577">
        <f t="shared" si="45"/>
        <v>9.0500000000000007</v>
      </c>
      <c r="N26" s="2578">
        <f t="shared" si="45"/>
        <v>9.6999999999999993</v>
      </c>
      <c r="O26" s="2579">
        <f t="shared" si="45"/>
        <v>0</v>
      </c>
      <c r="P26" s="2580">
        <f t="shared" si="45"/>
        <v>9.6999999999999993</v>
      </c>
      <c r="Q26" s="2581">
        <f t="shared" si="45"/>
        <v>10.33</v>
      </c>
      <c r="R26" s="2582">
        <f t="shared" si="45"/>
        <v>0</v>
      </c>
      <c r="S26" s="2583">
        <f t="shared" si="45"/>
        <v>10.33</v>
      </c>
      <c r="T26" s="2578">
        <f t="shared" si="45"/>
        <v>10.84</v>
      </c>
      <c r="U26" s="2579">
        <f t="shared" si="45"/>
        <v>0</v>
      </c>
      <c r="V26" s="2580">
        <f t="shared" si="45"/>
        <v>10.84</v>
      </c>
      <c r="W26" s="2584">
        <f t="shared" si="45"/>
        <v>11.42</v>
      </c>
      <c r="X26" s="2582">
        <f t="shared" si="45"/>
        <v>0</v>
      </c>
      <c r="Y26" s="2583">
        <f t="shared" si="45"/>
        <v>11.42</v>
      </c>
      <c r="Z26" s="2578">
        <f t="shared" si="45"/>
        <v>11.87</v>
      </c>
      <c r="AA26" s="2579">
        <f t="shared" si="45"/>
        <v>0</v>
      </c>
      <c r="AB26" s="2580">
        <f t="shared" si="45"/>
        <v>11.87</v>
      </c>
      <c r="AC26" s="2578">
        <f t="shared" si="45"/>
        <v>12.21</v>
      </c>
      <c r="AD26" s="2579">
        <f t="shared" si="45"/>
        <v>0</v>
      </c>
      <c r="AE26" s="2580">
        <f t="shared" si="45"/>
        <v>12.21</v>
      </c>
      <c r="AF26" s="2585">
        <f t="shared" si="7"/>
        <v>0.35</v>
      </c>
      <c r="AG26" s="2586" t="s">
        <v>16</v>
      </c>
      <c r="AH26" s="2587">
        <f t="shared" ref="AH26:AJ26" si="46">AH6+AH9+AH12+AH15+AH18+AH19+AH23+AH24</f>
        <v>12.94</v>
      </c>
      <c r="AI26" s="253">
        <f t="shared" si="46"/>
        <v>0</v>
      </c>
      <c r="AJ26" s="191">
        <f t="shared" si="46"/>
        <v>12.94</v>
      </c>
      <c r="AL26" s="2588">
        <f t="shared" si="9"/>
        <v>54793</v>
      </c>
      <c r="AM26" s="1630">
        <f t="shared" si="10"/>
        <v>3.16</v>
      </c>
    </row>
    <row r="27" spans="1:39" ht="13.5" thickBot="1">
      <c r="A27" s="3383" t="s">
        <v>34</v>
      </c>
      <c r="B27" s="3384"/>
      <c r="C27" s="2589">
        <f t="shared" ref="C27" si="47">C25+C26</f>
        <v>567234</v>
      </c>
      <c r="D27" s="857">
        <f t="shared" ref="D27:I27" si="48">D25+D26</f>
        <v>611310</v>
      </c>
      <c r="E27" s="251">
        <f t="shared" si="48"/>
        <v>658772</v>
      </c>
      <c r="F27" s="251">
        <f t="shared" si="48"/>
        <v>704490</v>
      </c>
      <c r="G27" s="251">
        <f t="shared" si="48"/>
        <v>738835</v>
      </c>
      <c r="H27" s="251">
        <f t="shared" si="48"/>
        <v>769239</v>
      </c>
      <c r="I27" s="97">
        <f t="shared" si="48"/>
        <v>795952</v>
      </c>
      <c r="J27" s="2590">
        <f t="shared" si="0"/>
        <v>0.4</v>
      </c>
      <c r="K27" s="592">
        <f t="shared" ref="K27" si="49">K25+K26</f>
        <v>40.82</v>
      </c>
      <c r="L27" s="536">
        <f t="shared" ref="L27:AE27" si="50">L25+L26</f>
        <v>0</v>
      </c>
      <c r="M27" s="537">
        <f t="shared" si="50"/>
        <v>40.82</v>
      </c>
      <c r="N27" s="2591">
        <f t="shared" si="50"/>
        <v>49.36</v>
      </c>
      <c r="O27" s="2592">
        <f t="shared" si="50"/>
        <v>0</v>
      </c>
      <c r="P27" s="2101">
        <f t="shared" si="50"/>
        <v>49.36</v>
      </c>
      <c r="Q27" s="2593">
        <f t="shared" si="50"/>
        <v>53.33</v>
      </c>
      <c r="R27" s="2594">
        <f t="shared" si="50"/>
        <v>0</v>
      </c>
      <c r="S27" s="2100">
        <f t="shared" si="50"/>
        <v>53.33</v>
      </c>
      <c r="T27" s="2591">
        <f t="shared" si="50"/>
        <v>57.06</v>
      </c>
      <c r="U27" s="2592">
        <f t="shared" si="50"/>
        <v>0</v>
      </c>
      <c r="V27" s="2101">
        <f t="shared" si="50"/>
        <v>57.06</v>
      </c>
      <c r="W27" s="2595">
        <f t="shared" si="50"/>
        <v>59.93</v>
      </c>
      <c r="X27" s="2594">
        <f t="shared" si="50"/>
        <v>0</v>
      </c>
      <c r="Y27" s="2100">
        <f t="shared" si="50"/>
        <v>59.93</v>
      </c>
      <c r="Z27" s="2591">
        <f t="shared" si="50"/>
        <v>62.47</v>
      </c>
      <c r="AA27" s="2592">
        <f t="shared" si="50"/>
        <v>0</v>
      </c>
      <c r="AB27" s="2101">
        <f t="shared" si="50"/>
        <v>62.47</v>
      </c>
      <c r="AC27" s="2591">
        <f t="shared" si="50"/>
        <v>64.709999999999994</v>
      </c>
      <c r="AD27" s="2592">
        <f t="shared" si="50"/>
        <v>0</v>
      </c>
      <c r="AE27" s="2101">
        <f t="shared" si="50"/>
        <v>64.709999999999994</v>
      </c>
      <c r="AF27" s="2596">
        <f t="shared" si="7"/>
        <v>0.59</v>
      </c>
      <c r="AG27" s="2597" t="s">
        <v>16</v>
      </c>
      <c r="AH27" s="35">
        <f t="shared" ref="AH27:AJ27" si="51">AH25+AH26</f>
        <v>68.58</v>
      </c>
      <c r="AI27" s="20">
        <f t="shared" si="51"/>
        <v>0</v>
      </c>
      <c r="AJ27" s="21">
        <f t="shared" si="51"/>
        <v>68.58</v>
      </c>
      <c r="AL27" s="1983">
        <f t="shared" si="9"/>
        <v>228718</v>
      </c>
      <c r="AM27" s="1624">
        <f t="shared" si="10"/>
        <v>23.89</v>
      </c>
    </row>
    <row r="28" spans="1:39">
      <c r="A28" s="89" t="s">
        <v>35</v>
      </c>
      <c r="B28" s="2598"/>
      <c r="C28" s="2598"/>
      <c r="AF28" s="2599" t="s">
        <v>36</v>
      </c>
    </row>
    <row r="29" spans="1:39">
      <c r="A29" s="1" t="s">
        <v>68</v>
      </c>
      <c r="B29" s="54"/>
      <c r="E29" s="1" t="s">
        <v>36</v>
      </c>
      <c r="F29" s="1" t="s">
        <v>36</v>
      </c>
      <c r="L29" s="1" t="s">
        <v>36</v>
      </c>
      <c r="P29" s="1" t="s">
        <v>36</v>
      </c>
      <c r="U29" s="1" t="s">
        <v>36</v>
      </c>
      <c r="AD29" s="1" t="s">
        <v>36</v>
      </c>
      <c r="AG29" s="1" t="s">
        <v>36</v>
      </c>
    </row>
    <row r="30" spans="1:39">
      <c r="A30" s="1" t="s">
        <v>69</v>
      </c>
      <c r="B30" s="54"/>
      <c r="AC30" s="1" t="s">
        <v>377</v>
      </c>
    </row>
    <row r="31" spans="1:39" ht="12.75" customHeight="1">
      <c r="A31" s="1" t="s">
        <v>378</v>
      </c>
    </row>
    <row r="32" spans="1:39">
      <c r="A32" s="2" t="s">
        <v>40</v>
      </c>
    </row>
    <row r="33" spans="1:39">
      <c r="A33" s="2" t="s">
        <v>379</v>
      </c>
    </row>
    <row r="34" spans="1:39">
      <c r="A34" s="2" t="s">
        <v>268</v>
      </c>
    </row>
    <row r="35" spans="1:39">
      <c r="A35" s="2" t="s">
        <v>380</v>
      </c>
    </row>
    <row r="36" spans="1:39">
      <c r="A36" s="1" t="s">
        <v>381</v>
      </c>
    </row>
    <row r="37" spans="1:39">
      <c r="A37" s="1" t="s">
        <v>382</v>
      </c>
    </row>
    <row r="38" spans="1:39">
      <c r="A38" s="2"/>
    </row>
    <row r="39" spans="1:39" ht="13.5" thickBot="1">
      <c r="A39" s="297" t="s">
        <v>383</v>
      </c>
      <c r="B39" s="2538"/>
      <c r="C39" s="256"/>
      <c r="D39" s="256"/>
      <c r="E39" s="256"/>
      <c r="F39" s="256"/>
      <c r="G39" s="256"/>
      <c r="H39" s="256"/>
      <c r="I39" s="256"/>
    </row>
    <row r="40" spans="1:39" ht="13.5" thickBot="1">
      <c r="A40" s="3387" t="s">
        <v>1</v>
      </c>
      <c r="B40" s="3206" t="s">
        <v>2</v>
      </c>
      <c r="C40" s="3233" t="s">
        <v>275</v>
      </c>
      <c r="D40" s="3293" t="s">
        <v>88</v>
      </c>
      <c r="E40" s="3294"/>
      <c r="F40" s="3294"/>
      <c r="G40" s="3294"/>
      <c r="H40" s="3294"/>
      <c r="I40" s="3381"/>
      <c r="J40" s="3267" t="s">
        <v>57</v>
      </c>
      <c r="K40" s="3286" t="s">
        <v>55</v>
      </c>
      <c r="L40" s="3287"/>
      <c r="M40" s="3288"/>
      <c r="N40" s="3286" t="s">
        <v>56</v>
      </c>
      <c r="O40" s="3287"/>
      <c r="P40" s="3287"/>
      <c r="Q40" s="3287"/>
      <c r="R40" s="3287"/>
      <c r="S40" s="3287"/>
      <c r="T40" s="3287"/>
      <c r="U40" s="3287"/>
      <c r="V40" s="3287"/>
      <c r="W40" s="3287"/>
      <c r="X40" s="3287"/>
      <c r="Y40" s="3287"/>
      <c r="Z40" s="3287"/>
      <c r="AA40" s="3287"/>
      <c r="AB40" s="3287"/>
      <c r="AC40" s="3287"/>
      <c r="AD40" s="3287"/>
      <c r="AE40" s="3288"/>
      <c r="AF40" s="3265" t="s">
        <v>57</v>
      </c>
      <c r="AG40" s="3300" t="s">
        <v>376</v>
      </c>
      <c r="AH40" s="3262" t="s">
        <v>58</v>
      </c>
      <c r="AI40" s="3262"/>
      <c r="AJ40" s="3263"/>
      <c r="AL40" s="3300" t="s">
        <v>78</v>
      </c>
      <c r="AM40" s="3300" t="s">
        <v>80</v>
      </c>
    </row>
    <row r="41" spans="1:39" ht="13.5" thickBot="1">
      <c r="A41" s="3388"/>
      <c r="B41" s="3207"/>
      <c r="C41" s="3235"/>
      <c r="D41" s="3295"/>
      <c r="E41" s="3296"/>
      <c r="F41" s="3296"/>
      <c r="G41" s="3296"/>
      <c r="H41" s="3296"/>
      <c r="I41" s="3382"/>
      <c r="J41" s="3378"/>
      <c r="K41" s="3281">
        <v>2015</v>
      </c>
      <c r="L41" s="3281"/>
      <c r="M41" s="3281"/>
      <c r="N41" s="3305">
        <v>2020</v>
      </c>
      <c r="O41" s="3281"/>
      <c r="P41" s="3282"/>
      <c r="Q41" s="3305">
        <v>2025</v>
      </c>
      <c r="R41" s="3281"/>
      <c r="S41" s="3282"/>
      <c r="T41" s="3281">
        <v>2030</v>
      </c>
      <c r="U41" s="3281"/>
      <c r="V41" s="3281"/>
      <c r="W41" s="3305">
        <v>2035</v>
      </c>
      <c r="X41" s="3281"/>
      <c r="Y41" s="3282"/>
      <c r="Z41" s="3281">
        <v>2040</v>
      </c>
      <c r="AA41" s="3281"/>
      <c r="AB41" s="3282"/>
      <c r="AC41" s="3281">
        <v>2045</v>
      </c>
      <c r="AD41" s="3281"/>
      <c r="AE41" s="3282"/>
      <c r="AF41" s="3379"/>
      <c r="AG41" s="3301"/>
      <c r="AH41" s="3281">
        <v>2045</v>
      </c>
      <c r="AI41" s="3281"/>
      <c r="AJ41" s="3282"/>
      <c r="AL41" s="3301"/>
      <c r="AM41" s="3301"/>
    </row>
    <row r="42" spans="1:39" ht="13.5" thickBot="1">
      <c r="A42" s="3489"/>
      <c r="B42" s="3243"/>
      <c r="C42" s="1023">
        <v>2015</v>
      </c>
      <c r="D42" s="3030">
        <v>2020</v>
      </c>
      <c r="E42" s="3031">
        <v>2025</v>
      </c>
      <c r="F42" s="3031">
        <v>2030</v>
      </c>
      <c r="G42" s="3031">
        <v>2035</v>
      </c>
      <c r="H42" s="3029">
        <v>2040</v>
      </c>
      <c r="I42" s="3046">
        <v>2045</v>
      </c>
      <c r="J42" s="3377"/>
      <c r="K42" s="1127" t="s">
        <v>92</v>
      </c>
      <c r="L42" s="1128" t="s">
        <v>93</v>
      </c>
      <c r="M42" s="1129" t="s">
        <v>18</v>
      </c>
      <c r="N42" s="1130" t="s">
        <v>92</v>
      </c>
      <c r="O42" s="1128" t="s">
        <v>93</v>
      </c>
      <c r="P42" s="1681" t="s">
        <v>18</v>
      </c>
      <c r="Q42" s="1130" t="s">
        <v>92</v>
      </c>
      <c r="R42" s="1131" t="s">
        <v>93</v>
      </c>
      <c r="S42" s="1132" t="s">
        <v>18</v>
      </c>
      <c r="T42" s="1127" t="s">
        <v>92</v>
      </c>
      <c r="U42" s="1128" t="s">
        <v>93</v>
      </c>
      <c r="V42" s="1129" t="s">
        <v>18</v>
      </c>
      <c r="W42" s="1130" t="s">
        <v>92</v>
      </c>
      <c r="X42" s="1131" t="s">
        <v>93</v>
      </c>
      <c r="Y42" s="1681" t="s">
        <v>18</v>
      </c>
      <c r="Z42" s="1127" t="s">
        <v>92</v>
      </c>
      <c r="AA42" s="1128" t="s">
        <v>93</v>
      </c>
      <c r="AB42" s="1681" t="s">
        <v>18</v>
      </c>
      <c r="AC42" s="1127" t="s">
        <v>92</v>
      </c>
      <c r="AD42" s="1128" t="s">
        <v>93</v>
      </c>
      <c r="AE42" s="1681" t="s">
        <v>18</v>
      </c>
      <c r="AF42" s="3380"/>
      <c r="AG42" s="3302"/>
      <c r="AH42" s="1127" t="s">
        <v>92</v>
      </c>
      <c r="AI42" s="1128" t="s">
        <v>93</v>
      </c>
      <c r="AJ42" s="1681" t="s">
        <v>18</v>
      </c>
      <c r="AL42" s="3302"/>
      <c r="AM42" s="3302"/>
    </row>
    <row r="43" spans="1:39">
      <c r="A43" s="295" t="s">
        <v>46</v>
      </c>
      <c r="B43" s="296" t="s">
        <v>17</v>
      </c>
      <c r="C43" s="2254">
        <v>12308</v>
      </c>
      <c r="D43" s="72">
        <v>11957</v>
      </c>
      <c r="E43" s="76">
        <v>12032</v>
      </c>
      <c r="F43" s="76">
        <v>12068</v>
      </c>
      <c r="G43" s="76">
        <v>12148</v>
      </c>
      <c r="H43" s="76">
        <v>12148</v>
      </c>
      <c r="I43" s="2405">
        <v>12148</v>
      </c>
      <c r="J43" s="1685">
        <f t="shared" ref="J43:J49" si="52">(I43-C43)/C43</f>
        <v>-0.01</v>
      </c>
      <c r="K43" s="6">
        <f t="shared" ref="K43:K48" si="53">M43</f>
        <v>1.17</v>
      </c>
      <c r="L43" s="7">
        <v>0</v>
      </c>
      <c r="M43" s="8">
        <v>1.17</v>
      </c>
      <c r="N43" s="47">
        <f t="shared" ref="N43:N48" si="54">P43</f>
        <v>1.1399999999999999</v>
      </c>
      <c r="O43" s="14">
        <v>0</v>
      </c>
      <c r="P43" s="15">
        <f t="shared" ref="P43:P48" si="55">D43*AG43/1000000</f>
        <v>1.1399999999999999</v>
      </c>
      <c r="Q43" s="47">
        <f t="shared" ref="Q43:Q48" si="56">S43</f>
        <v>1.1399999999999999</v>
      </c>
      <c r="R43" s="14">
        <v>0</v>
      </c>
      <c r="S43" s="15">
        <f t="shared" ref="S43:S48" si="57">E43*AG43/1000000</f>
        <v>1.1399999999999999</v>
      </c>
      <c r="T43" s="47">
        <f t="shared" ref="T43:T48" si="58">V43</f>
        <v>1.1499999999999999</v>
      </c>
      <c r="U43" s="14">
        <v>0</v>
      </c>
      <c r="V43" s="15">
        <f t="shared" ref="V43:V48" si="59">F43*AG43/1000000</f>
        <v>1.1499999999999999</v>
      </c>
      <c r="W43" s="246">
        <f t="shared" ref="W43:W48" si="60">Y43</f>
        <v>1.1499999999999999</v>
      </c>
      <c r="X43" s="14">
        <v>0</v>
      </c>
      <c r="Y43" s="15">
        <f t="shared" ref="Y43:Y48" si="61">G43*AG43/1000000</f>
        <v>1.1499999999999999</v>
      </c>
      <c r="Z43" s="47">
        <f t="shared" ref="Z43:Z48" si="62">AB43</f>
        <v>1.1499999999999999</v>
      </c>
      <c r="AA43" s="14">
        <v>0</v>
      </c>
      <c r="AB43" s="15">
        <f t="shared" ref="AB43:AB48" si="63">H43*AG43/1000000</f>
        <v>1.1499999999999999</v>
      </c>
      <c r="AC43" s="47">
        <f>AE43</f>
        <v>1.1499999999999999</v>
      </c>
      <c r="AD43" s="14">
        <v>0</v>
      </c>
      <c r="AE43" s="15">
        <f>I43*AG43/1000000</f>
        <v>1.1499999999999999</v>
      </c>
      <c r="AF43" s="2539">
        <f>(AE43-M43)/M43</f>
        <v>-0.02</v>
      </c>
      <c r="AG43" s="2540">
        <v>95</v>
      </c>
      <c r="AH43" s="246">
        <f t="shared" ref="AH43:AH48" si="64">AJ43</f>
        <v>1.22</v>
      </c>
      <c r="AI43" s="14">
        <v>0</v>
      </c>
      <c r="AJ43" s="15">
        <f>AE43*1.06</f>
        <v>1.22</v>
      </c>
      <c r="AL43" s="2254">
        <f>I43-C43</f>
        <v>-160</v>
      </c>
      <c r="AM43" s="1626">
        <f>AE43-M43</f>
        <v>-0.02</v>
      </c>
    </row>
    <row r="44" spans="1:39">
      <c r="A44" s="364" t="s">
        <v>47</v>
      </c>
      <c r="B44" s="907" t="s">
        <v>17</v>
      </c>
      <c r="C44" s="1953">
        <v>2825</v>
      </c>
      <c r="D44" s="824">
        <v>2836</v>
      </c>
      <c r="E44" s="814">
        <v>2901</v>
      </c>
      <c r="F44" s="814">
        <v>2943</v>
      </c>
      <c r="G44" s="814">
        <v>2964</v>
      </c>
      <c r="H44" s="814">
        <v>3005</v>
      </c>
      <c r="I44" s="2442">
        <v>3026</v>
      </c>
      <c r="J44" s="2558">
        <f t="shared" si="52"/>
        <v>7.0000000000000007E-2</v>
      </c>
      <c r="K44" s="885">
        <f t="shared" si="53"/>
        <v>0.25</v>
      </c>
      <c r="L44" s="884">
        <v>0</v>
      </c>
      <c r="M44" s="395">
        <v>0.25</v>
      </c>
      <c r="N44" s="823">
        <f t="shared" si="54"/>
        <v>0.25</v>
      </c>
      <c r="O44" s="322">
        <v>0</v>
      </c>
      <c r="P44" s="830">
        <f t="shared" si="55"/>
        <v>0.25</v>
      </c>
      <c r="Q44" s="823">
        <f t="shared" si="56"/>
        <v>0.25</v>
      </c>
      <c r="R44" s="322">
        <v>0</v>
      </c>
      <c r="S44" s="830">
        <f t="shared" si="57"/>
        <v>0.25</v>
      </c>
      <c r="T44" s="823">
        <f t="shared" si="58"/>
        <v>0.26</v>
      </c>
      <c r="U44" s="322">
        <v>0</v>
      </c>
      <c r="V44" s="830">
        <f t="shared" si="59"/>
        <v>0.26</v>
      </c>
      <c r="W44" s="870">
        <f t="shared" si="60"/>
        <v>0.26</v>
      </c>
      <c r="X44" s="14">
        <v>0</v>
      </c>
      <c r="Y44" s="830">
        <f t="shared" si="61"/>
        <v>0.26</v>
      </c>
      <c r="Z44" s="823">
        <f t="shared" si="62"/>
        <v>0.26</v>
      </c>
      <c r="AA44" s="14">
        <v>0</v>
      </c>
      <c r="AB44" s="830">
        <f t="shared" si="63"/>
        <v>0.26</v>
      </c>
      <c r="AC44" s="823">
        <f t="shared" ref="AC44:AC48" si="65">AE44</f>
        <v>0.26</v>
      </c>
      <c r="AD44" s="14">
        <v>0</v>
      </c>
      <c r="AE44" s="830">
        <f t="shared" ref="AE44:AE48" si="66">I44*AG44/1000000</f>
        <v>0.26</v>
      </c>
      <c r="AF44" s="2539">
        <f t="shared" ref="AF44:AF49" si="67">(AE44-M44)/M44</f>
        <v>0.04</v>
      </c>
      <c r="AG44" s="2559">
        <v>87</v>
      </c>
      <c r="AH44" s="870">
        <f t="shared" si="64"/>
        <v>0.28000000000000003</v>
      </c>
      <c r="AI44" s="322">
        <v>0</v>
      </c>
      <c r="AJ44" s="830">
        <f t="shared" ref="AJ44:AJ48" si="68">AE44*1.06</f>
        <v>0.28000000000000003</v>
      </c>
      <c r="AL44" s="1953">
        <f t="shared" ref="AL44:AL49" si="69">I44-C44</f>
        <v>201</v>
      </c>
      <c r="AM44" s="1627">
        <f t="shared" ref="AM44:AM49" si="70">AE44-M44</f>
        <v>0.01</v>
      </c>
    </row>
    <row r="45" spans="1:39">
      <c r="A45" s="364" t="s">
        <v>48</v>
      </c>
      <c r="B45" s="907" t="s">
        <v>17</v>
      </c>
      <c r="C45" s="1953">
        <v>5829</v>
      </c>
      <c r="D45" s="824">
        <v>6301</v>
      </c>
      <c r="E45" s="814">
        <v>6701</v>
      </c>
      <c r="F45" s="814">
        <v>7001</v>
      </c>
      <c r="G45" s="814">
        <v>7301</v>
      </c>
      <c r="H45" s="814">
        <v>7501</v>
      </c>
      <c r="I45" s="2442">
        <v>7695</v>
      </c>
      <c r="J45" s="2558">
        <f t="shared" si="52"/>
        <v>0.32</v>
      </c>
      <c r="K45" s="885">
        <f t="shared" si="53"/>
        <v>0.56000000000000005</v>
      </c>
      <c r="L45" s="884">
        <v>0</v>
      </c>
      <c r="M45" s="395">
        <v>0.56000000000000005</v>
      </c>
      <c r="N45" s="823">
        <f t="shared" si="54"/>
        <v>0.6</v>
      </c>
      <c r="O45" s="322">
        <v>0</v>
      </c>
      <c r="P45" s="830">
        <f t="shared" si="55"/>
        <v>0.6</v>
      </c>
      <c r="Q45" s="823">
        <f t="shared" si="56"/>
        <v>0.64</v>
      </c>
      <c r="R45" s="322">
        <v>0</v>
      </c>
      <c r="S45" s="830">
        <f t="shared" si="57"/>
        <v>0.64</v>
      </c>
      <c r="T45" s="823">
        <f t="shared" si="58"/>
        <v>0.67</v>
      </c>
      <c r="U45" s="322">
        <v>0</v>
      </c>
      <c r="V45" s="830">
        <f t="shared" si="59"/>
        <v>0.67</v>
      </c>
      <c r="W45" s="870">
        <f t="shared" si="60"/>
        <v>0.7</v>
      </c>
      <c r="X45" s="322">
        <v>0</v>
      </c>
      <c r="Y45" s="830">
        <f t="shared" si="61"/>
        <v>0.7</v>
      </c>
      <c r="Z45" s="823">
        <f t="shared" si="62"/>
        <v>0.72</v>
      </c>
      <c r="AA45" s="322">
        <v>0</v>
      </c>
      <c r="AB45" s="830">
        <f t="shared" si="63"/>
        <v>0.72</v>
      </c>
      <c r="AC45" s="823">
        <f t="shared" si="65"/>
        <v>0.74</v>
      </c>
      <c r="AD45" s="322">
        <v>0</v>
      </c>
      <c r="AE45" s="830">
        <f t="shared" si="66"/>
        <v>0.74</v>
      </c>
      <c r="AF45" s="2567">
        <f t="shared" si="67"/>
        <v>0.32</v>
      </c>
      <c r="AG45" s="2282">
        <v>96</v>
      </c>
      <c r="AH45" s="870">
        <f t="shared" si="64"/>
        <v>0.78</v>
      </c>
      <c r="AI45" s="322">
        <v>0</v>
      </c>
      <c r="AJ45" s="830">
        <f t="shared" si="68"/>
        <v>0.78</v>
      </c>
      <c r="AL45" s="1953">
        <f t="shared" si="69"/>
        <v>1866</v>
      </c>
      <c r="AM45" s="1627">
        <f t="shared" si="70"/>
        <v>0.18</v>
      </c>
    </row>
    <row r="46" spans="1:39">
      <c r="A46" s="134" t="s">
        <v>49</v>
      </c>
      <c r="B46" s="2600" t="s">
        <v>17</v>
      </c>
      <c r="C46" s="2601">
        <v>11286</v>
      </c>
      <c r="D46" s="2602">
        <v>11310</v>
      </c>
      <c r="E46" s="2603">
        <v>11688</v>
      </c>
      <c r="F46" s="2603">
        <v>11985</v>
      </c>
      <c r="G46" s="2603">
        <v>12154</v>
      </c>
      <c r="H46" s="2603">
        <v>12363</v>
      </c>
      <c r="I46" s="2604">
        <v>12555</v>
      </c>
      <c r="J46" s="2605">
        <f t="shared" si="52"/>
        <v>0.11</v>
      </c>
      <c r="K46" s="569">
        <f t="shared" si="53"/>
        <v>0.69</v>
      </c>
      <c r="L46" s="354">
        <v>0</v>
      </c>
      <c r="M46" s="565">
        <v>0.69</v>
      </c>
      <c r="N46" s="138">
        <f t="shared" si="54"/>
        <v>0.7</v>
      </c>
      <c r="O46" s="360">
        <v>0</v>
      </c>
      <c r="P46" s="61">
        <f t="shared" si="55"/>
        <v>0.7</v>
      </c>
      <c r="Q46" s="138">
        <f t="shared" si="56"/>
        <v>0.72</v>
      </c>
      <c r="R46" s="360">
        <v>0</v>
      </c>
      <c r="S46" s="61">
        <f t="shared" si="57"/>
        <v>0.72</v>
      </c>
      <c r="T46" s="138">
        <f t="shared" si="58"/>
        <v>0.74</v>
      </c>
      <c r="U46" s="360">
        <v>0</v>
      </c>
      <c r="V46" s="61">
        <f t="shared" si="59"/>
        <v>0.74</v>
      </c>
      <c r="W46" s="245">
        <f t="shared" si="60"/>
        <v>0.75</v>
      </c>
      <c r="X46" s="14">
        <v>0</v>
      </c>
      <c r="Y46" s="61">
        <f t="shared" si="61"/>
        <v>0.75</v>
      </c>
      <c r="Z46" s="138">
        <f t="shared" si="62"/>
        <v>0.77</v>
      </c>
      <c r="AA46" s="14">
        <v>0</v>
      </c>
      <c r="AB46" s="61">
        <f t="shared" si="63"/>
        <v>0.77</v>
      </c>
      <c r="AC46" s="138">
        <f t="shared" si="65"/>
        <v>0.78</v>
      </c>
      <c r="AD46" s="14">
        <v>0</v>
      </c>
      <c r="AE46" s="61">
        <f t="shared" si="66"/>
        <v>0.78</v>
      </c>
      <c r="AF46" s="2539">
        <f t="shared" si="67"/>
        <v>0.13</v>
      </c>
      <c r="AG46" s="2606">
        <v>62</v>
      </c>
      <c r="AH46" s="245">
        <f t="shared" si="64"/>
        <v>0.83</v>
      </c>
      <c r="AI46" s="14">
        <v>0</v>
      </c>
      <c r="AJ46" s="61">
        <f t="shared" si="68"/>
        <v>0.83</v>
      </c>
      <c r="AL46" s="2601">
        <f t="shared" si="69"/>
        <v>1269</v>
      </c>
      <c r="AM46" s="2607">
        <f t="shared" si="70"/>
        <v>0.09</v>
      </c>
    </row>
    <row r="47" spans="1:39">
      <c r="A47" s="365" t="s">
        <v>50</v>
      </c>
      <c r="B47" s="2566" t="s">
        <v>17</v>
      </c>
      <c r="C47" s="1953">
        <v>12063</v>
      </c>
      <c r="D47" s="824">
        <v>12001</v>
      </c>
      <c r="E47" s="814">
        <v>12232</v>
      </c>
      <c r="F47" s="814">
        <v>12378</v>
      </c>
      <c r="G47" s="814">
        <v>12457</v>
      </c>
      <c r="H47" s="814">
        <v>12606</v>
      </c>
      <c r="I47" s="2442">
        <v>12658</v>
      </c>
      <c r="J47" s="2558">
        <f t="shared" si="52"/>
        <v>0.05</v>
      </c>
      <c r="K47" s="885">
        <f t="shared" si="53"/>
        <v>0.7</v>
      </c>
      <c r="L47" s="884">
        <v>0</v>
      </c>
      <c r="M47" s="395">
        <v>0.7</v>
      </c>
      <c r="N47" s="823">
        <f t="shared" si="54"/>
        <v>0.7</v>
      </c>
      <c r="O47" s="322">
        <v>0</v>
      </c>
      <c r="P47" s="830">
        <f t="shared" si="55"/>
        <v>0.7</v>
      </c>
      <c r="Q47" s="823">
        <f t="shared" si="56"/>
        <v>0.71</v>
      </c>
      <c r="R47" s="322">
        <v>0</v>
      </c>
      <c r="S47" s="830">
        <f t="shared" si="57"/>
        <v>0.71</v>
      </c>
      <c r="T47" s="823">
        <f t="shared" si="58"/>
        <v>0.72</v>
      </c>
      <c r="U47" s="322">
        <v>0</v>
      </c>
      <c r="V47" s="830">
        <f t="shared" si="59"/>
        <v>0.72</v>
      </c>
      <c r="W47" s="870">
        <f t="shared" si="60"/>
        <v>0.72</v>
      </c>
      <c r="X47" s="14">
        <v>0</v>
      </c>
      <c r="Y47" s="830">
        <f t="shared" si="61"/>
        <v>0.72</v>
      </c>
      <c r="Z47" s="823">
        <f t="shared" si="62"/>
        <v>0.73</v>
      </c>
      <c r="AA47" s="14">
        <v>0</v>
      </c>
      <c r="AB47" s="830">
        <f t="shared" si="63"/>
        <v>0.73</v>
      </c>
      <c r="AC47" s="823">
        <f t="shared" si="65"/>
        <v>0.73</v>
      </c>
      <c r="AD47" s="14">
        <v>0</v>
      </c>
      <c r="AE47" s="830">
        <f t="shared" si="66"/>
        <v>0.73</v>
      </c>
      <c r="AF47" s="2539">
        <f t="shared" si="67"/>
        <v>0.04</v>
      </c>
      <c r="AG47" s="2559">
        <v>58</v>
      </c>
      <c r="AH47" s="870">
        <f t="shared" si="64"/>
        <v>0.77</v>
      </c>
      <c r="AI47" s="322">
        <v>0</v>
      </c>
      <c r="AJ47" s="830">
        <f t="shared" si="68"/>
        <v>0.77</v>
      </c>
      <c r="AL47" s="1953">
        <f t="shared" si="69"/>
        <v>595</v>
      </c>
      <c r="AM47" s="1627">
        <f t="shared" si="70"/>
        <v>0.03</v>
      </c>
    </row>
    <row r="48" spans="1:39" ht="13.5" thickBot="1">
      <c r="A48" s="133" t="s">
        <v>51</v>
      </c>
      <c r="B48" s="2568" t="s">
        <v>17</v>
      </c>
      <c r="C48" s="2031">
        <v>8486</v>
      </c>
      <c r="D48" s="2408">
        <v>8621</v>
      </c>
      <c r="E48" s="2033">
        <v>8613</v>
      </c>
      <c r="F48" s="2033">
        <v>8586</v>
      </c>
      <c r="G48" s="2033">
        <v>8556</v>
      </c>
      <c r="H48" s="2033">
        <v>8517</v>
      </c>
      <c r="I48" s="2409">
        <v>8551</v>
      </c>
      <c r="J48" s="1871">
        <f t="shared" si="52"/>
        <v>0.01</v>
      </c>
      <c r="K48" s="875">
        <f t="shared" si="53"/>
        <v>0.57999999999999996</v>
      </c>
      <c r="L48" s="410">
        <v>0</v>
      </c>
      <c r="M48" s="17">
        <v>0.57999999999999996</v>
      </c>
      <c r="N48" s="48">
        <f t="shared" si="54"/>
        <v>0.59</v>
      </c>
      <c r="O48" s="366">
        <v>0</v>
      </c>
      <c r="P48" s="874">
        <f t="shared" si="55"/>
        <v>0.59</v>
      </c>
      <c r="Q48" s="48">
        <f t="shared" si="56"/>
        <v>0.59</v>
      </c>
      <c r="R48" s="366">
        <v>0</v>
      </c>
      <c r="S48" s="874">
        <f t="shared" si="57"/>
        <v>0.59</v>
      </c>
      <c r="T48" s="48">
        <f t="shared" si="58"/>
        <v>0.57999999999999996</v>
      </c>
      <c r="U48" s="366">
        <v>0</v>
      </c>
      <c r="V48" s="49">
        <f t="shared" si="59"/>
        <v>0.57999999999999996</v>
      </c>
      <c r="W48" s="1006">
        <f t="shared" si="60"/>
        <v>0.57999999999999996</v>
      </c>
      <c r="X48" s="366">
        <v>0</v>
      </c>
      <c r="Y48" s="874">
        <f t="shared" si="61"/>
        <v>0.57999999999999996</v>
      </c>
      <c r="Z48" s="48">
        <f t="shared" si="62"/>
        <v>0.57999999999999996</v>
      </c>
      <c r="AA48" s="366">
        <v>0</v>
      </c>
      <c r="AB48" s="49">
        <f t="shared" si="63"/>
        <v>0.57999999999999996</v>
      </c>
      <c r="AC48" s="48">
        <f t="shared" si="65"/>
        <v>0.57999999999999996</v>
      </c>
      <c r="AD48" s="366">
        <v>0</v>
      </c>
      <c r="AE48" s="49">
        <f t="shared" si="66"/>
        <v>0.57999999999999996</v>
      </c>
      <c r="AF48" s="2541">
        <f t="shared" si="67"/>
        <v>0</v>
      </c>
      <c r="AG48" s="2208">
        <v>68</v>
      </c>
      <c r="AH48" s="1006">
        <f t="shared" si="64"/>
        <v>0.61</v>
      </c>
      <c r="AI48" s="366">
        <v>0</v>
      </c>
      <c r="AJ48" s="874">
        <f t="shared" si="68"/>
        <v>0.61</v>
      </c>
      <c r="AL48" s="2031">
        <f t="shared" si="69"/>
        <v>65</v>
      </c>
      <c r="AM48" s="1623">
        <f t="shared" si="70"/>
        <v>0</v>
      </c>
    </row>
    <row r="49" spans="1:39" ht="27" customHeight="1" thickTop="1" thickBot="1">
      <c r="A49" s="3359" t="s">
        <v>52</v>
      </c>
      <c r="B49" s="3360"/>
      <c r="C49" s="1978">
        <f>SUM(C43:C48)</f>
        <v>52797</v>
      </c>
      <c r="D49" s="2411">
        <f t="shared" ref="D49:I49" si="71">SUM(D43:D48)</f>
        <v>53026</v>
      </c>
      <c r="E49" s="1980">
        <f t="shared" si="71"/>
        <v>54167</v>
      </c>
      <c r="F49" s="1980">
        <f t="shared" si="71"/>
        <v>54961</v>
      </c>
      <c r="G49" s="1980">
        <f t="shared" si="71"/>
        <v>55580</v>
      </c>
      <c r="H49" s="1980">
        <f t="shared" si="71"/>
        <v>56140</v>
      </c>
      <c r="I49" s="2412">
        <f t="shared" si="71"/>
        <v>56633</v>
      </c>
      <c r="J49" s="2555">
        <f t="shared" si="52"/>
        <v>7.0000000000000007E-2</v>
      </c>
      <c r="K49" s="31">
        <f t="shared" ref="K49:AE49" si="72">SUM(K43:K48)</f>
        <v>3.95</v>
      </c>
      <c r="L49" s="32">
        <f t="shared" si="72"/>
        <v>0</v>
      </c>
      <c r="M49" s="33">
        <f t="shared" si="72"/>
        <v>3.95</v>
      </c>
      <c r="N49" s="34">
        <f t="shared" si="72"/>
        <v>3.98</v>
      </c>
      <c r="O49" s="20">
        <f t="shared" si="72"/>
        <v>0</v>
      </c>
      <c r="P49" s="21">
        <f t="shared" si="72"/>
        <v>3.98</v>
      </c>
      <c r="Q49" s="34">
        <f t="shared" si="72"/>
        <v>4.05</v>
      </c>
      <c r="R49" s="20">
        <f t="shared" si="72"/>
        <v>0</v>
      </c>
      <c r="S49" s="21">
        <f t="shared" si="72"/>
        <v>4.05</v>
      </c>
      <c r="T49" s="34">
        <f t="shared" si="72"/>
        <v>4.12</v>
      </c>
      <c r="U49" s="20">
        <f t="shared" si="72"/>
        <v>0</v>
      </c>
      <c r="V49" s="105">
        <f t="shared" si="72"/>
        <v>4.12</v>
      </c>
      <c r="W49" s="35">
        <f t="shared" si="72"/>
        <v>4.16</v>
      </c>
      <c r="X49" s="20">
        <f t="shared" si="72"/>
        <v>0</v>
      </c>
      <c r="Y49" s="21">
        <f t="shared" si="72"/>
        <v>4.16</v>
      </c>
      <c r="Z49" s="34">
        <f t="shared" si="72"/>
        <v>4.21</v>
      </c>
      <c r="AA49" s="20">
        <f t="shared" si="72"/>
        <v>0</v>
      </c>
      <c r="AB49" s="105">
        <f t="shared" si="72"/>
        <v>4.21</v>
      </c>
      <c r="AC49" s="34">
        <f t="shared" si="72"/>
        <v>4.24</v>
      </c>
      <c r="AD49" s="20">
        <f t="shared" si="72"/>
        <v>0</v>
      </c>
      <c r="AE49" s="105">
        <f t="shared" si="72"/>
        <v>4.24</v>
      </c>
      <c r="AF49" s="2556">
        <f t="shared" si="67"/>
        <v>7.0000000000000007E-2</v>
      </c>
      <c r="AG49" s="2557" t="s">
        <v>16</v>
      </c>
      <c r="AH49" s="35">
        <f t="shared" ref="AH49" si="73">SUM(AH43:AH48)</f>
        <v>4.49</v>
      </c>
      <c r="AI49" s="20">
        <f t="shared" ref="AI49" si="74">SUM(AI43:AI48)</f>
        <v>0</v>
      </c>
      <c r="AJ49" s="21">
        <f t="shared" ref="AJ49" si="75">SUM(AJ43:AJ48)</f>
        <v>4.49</v>
      </c>
      <c r="AL49" s="1978">
        <f t="shared" si="69"/>
        <v>3836</v>
      </c>
      <c r="AM49" s="1624">
        <f t="shared" si="70"/>
        <v>0.28999999999999998</v>
      </c>
    </row>
    <row r="50" spans="1:39">
      <c r="A50" s="89" t="s">
        <v>35</v>
      </c>
    </row>
    <row r="51" spans="1:39">
      <c r="A51" s="1" t="s">
        <v>68</v>
      </c>
    </row>
    <row r="52" spans="1:39">
      <c r="A52" s="1" t="s">
        <v>69</v>
      </c>
    </row>
    <row r="53" spans="1:39">
      <c r="A53" s="1" t="s">
        <v>378</v>
      </c>
      <c r="AF53" s="1" t="s">
        <v>36</v>
      </c>
    </row>
    <row r="54" spans="1:39">
      <c r="A54" s="2" t="s">
        <v>40</v>
      </c>
    </row>
    <row r="55" spans="1:39">
      <c r="A55" s="2" t="s">
        <v>379</v>
      </c>
    </row>
    <row r="56" spans="1:39">
      <c r="A56" s="2" t="s">
        <v>268</v>
      </c>
    </row>
    <row r="57" spans="1:39">
      <c r="A57" s="2" t="s">
        <v>380</v>
      </c>
    </row>
    <row r="58" spans="1:39">
      <c r="A58" s="1" t="s">
        <v>381</v>
      </c>
    </row>
    <row r="59" spans="1:39">
      <c r="A59" s="1" t="s">
        <v>382</v>
      </c>
    </row>
  </sheetData>
  <mergeCells count="44">
    <mergeCell ref="A49:B49"/>
    <mergeCell ref="K40:M40"/>
    <mergeCell ref="N40:AE40"/>
    <mergeCell ref="AF40:AF42"/>
    <mergeCell ref="AG40:AG42"/>
    <mergeCell ref="A40:A42"/>
    <mergeCell ref="B40:B42"/>
    <mergeCell ref="C40:C41"/>
    <mergeCell ref="D40:I41"/>
    <mergeCell ref="J40:J42"/>
    <mergeCell ref="AC3:AE3"/>
    <mergeCell ref="N2:AE2"/>
    <mergeCell ref="AH40:AJ40"/>
    <mergeCell ref="K41:M41"/>
    <mergeCell ref="N41:P41"/>
    <mergeCell ref="Q41:S41"/>
    <mergeCell ref="T41:V41"/>
    <mergeCell ref="W41:Y41"/>
    <mergeCell ref="Z41:AB41"/>
    <mergeCell ref="AC41:AE41"/>
    <mergeCell ref="AH41:AJ41"/>
    <mergeCell ref="D2:I3"/>
    <mergeCell ref="A26:B26"/>
    <mergeCell ref="A27:B27"/>
    <mergeCell ref="A25:B25"/>
    <mergeCell ref="B2:B4"/>
    <mergeCell ref="C2:C3"/>
    <mergeCell ref="A2:A4"/>
    <mergeCell ref="AL2:AL4"/>
    <mergeCell ref="AM2:AM4"/>
    <mergeCell ref="AL40:AL42"/>
    <mergeCell ref="AM40:AM42"/>
    <mergeCell ref="J2:J4"/>
    <mergeCell ref="AH2:AJ2"/>
    <mergeCell ref="AH3:AJ3"/>
    <mergeCell ref="AG2:AG4"/>
    <mergeCell ref="AF2:AF4"/>
    <mergeCell ref="K3:M3"/>
    <mergeCell ref="N3:P3"/>
    <mergeCell ref="Q3:S3"/>
    <mergeCell ref="T3:V3"/>
    <mergeCell ref="W3:Y3"/>
    <mergeCell ref="Z3:AB3"/>
    <mergeCell ref="K2:M2"/>
  </mergeCells>
  <pageMargins left="0.7" right="0.7" top="0.75" bottom="0.75" header="0.3" footer="0.3"/>
  <pageSetup paperSize="3" scale="57"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116"/>
  <sheetViews>
    <sheetView workbookViewId="0">
      <pane xSplit="3" ySplit="4" topLeftCell="D32" activePane="bottomRight" state="frozen"/>
      <selection pane="bottomRight" activeCell="B43" sqref="A43:XFD43"/>
      <selection pane="bottomLeft" activeCell="A5" sqref="A5"/>
      <selection pane="topRight" activeCell="D1" sqref="D1"/>
    </sheetView>
  </sheetViews>
  <sheetFormatPr defaultColWidth="9.140625" defaultRowHeight="12.75"/>
  <cols>
    <col min="1" max="1" width="11.7109375" style="1" customWidth="1"/>
    <col min="2" max="2" width="49.140625" style="1" customWidth="1"/>
    <col min="3" max="3" width="12.7109375" style="1" customWidth="1"/>
    <col min="4" max="4" width="10.5703125" style="1" customWidth="1"/>
    <col min="5" max="11" width="9.140625" style="1"/>
    <col min="12" max="12" width="11.85546875" style="1" customWidth="1"/>
    <col min="13" max="13" width="9.140625" style="22"/>
    <col min="14" max="15" width="9.140625" style="1"/>
    <col min="16" max="16" width="9.140625" style="22"/>
    <col min="17" max="18" width="9.140625" style="1"/>
    <col min="19" max="19" width="9.140625" style="22"/>
    <col min="20" max="21" width="9.140625" style="1"/>
    <col min="22" max="22" width="9.140625" style="22"/>
    <col min="23" max="24" width="9.140625" style="1"/>
    <col min="25" max="25" width="9.140625" style="22"/>
    <col min="26" max="27" width="9.140625" style="1"/>
    <col min="28" max="28" width="9.140625" style="22"/>
    <col min="29" max="29" width="9.140625" style="22" customWidth="1"/>
    <col min="30" max="33" width="9.140625" style="2748"/>
    <col min="34" max="34" width="11.140625" style="1" customWidth="1"/>
    <col min="35" max="35" width="10" style="1" customWidth="1"/>
    <col min="36" max="36" width="9.140625" style="22"/>
    <col min="37" max="37" width="9.140625" style="1"/>
    <col min="38" max="38" width="9.7109375" style="1" customWidth="1"/>
    <col min="39" max="39" width="11.42578125" style="1" customWidth="1"/>
    <col min="40" max="40" width="11.7109375" style="1" hidden="1" customWidth="1"/>
    <col min="41" max="41" width="11.85546875" style="1" hidden="1" customWidth="1"/>
    <col min="42" max="16384" width="9.140625" style="1"/>
  </cols>
  <sheetData>
    <row r="1" spans="1:41">
      <c r="A1" s="2608" t="s">
        <v>384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3042"/>
      <c r="AE1" s="3042"/>
      <c r="AF1" s="3042"/>
      <c r="AG1" s="3042"/>
      <c r="AH1" s="161"/>
      <c r="AI1" s="161"/>
      <c r="AJ1" s="161"/>
      <c r="AK1" s="22"/>
      <c r="AL1" s="22"/>
    </row>
    <row r="2" spans="1:41" ht="15.75" customHeight="1">
      <c r="A2" s="3297" t="s">
        <v>85</v>
      </c>
      <c r="B2" s="3366" t="s">
        <v>86</v>
      </c>
      <c r="C2" s="3390" t="s">
        <v>87</v>
      </c>
      <c r="D2" s="3300" t="s">
        <v>76</v>
      </c>
      <c r="E2" s="3365" t="s">
        <v>88</v>
      </c>
      <c r="F2" s="3366"/>
      <c r="G2" s="3366"/>
      <c r="H2" s="3366"/>
      <c r="I2" s="3366"/>
      <c r="J2" s="3318"/>
      <c r="K2" s="3267" t="s">
        <v>89</v>
      </c>
      <c r="L2" s="3300" t="s">
        <v>57</v>
      </c>
      <c r="M2" s="3286" t="s">
        <v>55</v>
      </c>
      <c r="N2" s="3287"/>
      <c r="O2" s="3288"/>
      <c r="P2" s="3286" t="s">
        <v>56</v>
      </c>
      <c r="Q2" s="3287"/>
      <c r="R2" s="3287"/>
      <c r="S2" s="3287"/>
      <c r="T2" s="3287"/>
      <c r="U2" s="3287"/>
      <c r="V2" s="3287"/>
      <c r="W2" s="3287"/>
      <c r="X2" s="3287"/>
      <c r="Y2" s="3287"/>
      <c r="Z2" s="3287"/>
      <c r="AA2" s="3287"/>
      <c r="AB2" s="3287"/>
      <c r="AC2" s="3287"/>
      <c r="AD2" s="3287"/>
      <c r="AE2" s="3287"/>
      <c r="AF2" s="3287"/>
      <c r="AG2" s="3400"/>
      <c r="AH2" s="3267" t="s">
        <v>57</v>
      </c>
      <c r="AI2" s="3300" t="s">
        <v>376</v>
      </c>
      <c r="AJ2" s="3262" t="s">
        <v>58</v>
      </c>
      <c r="AK2" s="3262"/>
      <c r="AL2" s="3263"/>
      <c r="AN2" s="3300" t="s">
        <v>78</v>
      </c>
      <c r="AO2" s="3300" t="s">
        <v>80</v>
      </c>
    </row>
    <row r="3" spans="1:41" ht="13.5" customHeight="1">
      <c r="A3" s="3298"/>
      <c r="B3" s="3389"/>
      <c r="C3" s="3391"/>
      <c r="D3" s="3302"/>
      <c r="E3" s="3367"/>
      <c r="F3" s="3368"/>
      <c r="G3" s="3368"/>
      <c r="H3" s="3368"/>
      <c r="I3" s="3368"/>
      <c r="J3" s="3374"/>
      <c r="K3" s="3378"/>
      <c r="L3" s="3301"/>
      <c r="M3" s="3281">
        <v>2015</v>
      </c>
      <c r="N3" s="3281"/>
      <c r="O3" s="3282"/>
      <c r="P3" s="3305">
        <v>2020</v>
      </c>
      <c r="Q3" s="3281"/>
      <c r="R3" s="3282"/>
      <c r="S3" s="3305">
        <v>2025</v>
      </c>
      <c r="T3" s="3281"/>
      <c r="U3" s="3282"/>
      <c r="V3" s="3305">
        <v>2030</v>
      </c>
      <c r="W3" s="3281"/>
      <c r="X3" s="3282"/>
      <c r="Y3" s="3305">
        <v>2035</v>
      </c>
      <c r="Z3" s="3281"/>
      <c r="AA3" s="3282"/>
      <c r="AB3" s="3305">
        <v>2040</v>
      </c>
      <c r="AC3" s="3281"/>
      <c r="AD3" s="3282"/>
      <c r="AE3" s="3305">
        <v>2045</v>
      </c>
      <c r="AF3" s="3281"/>
      <c r="AG3" s="3282"/>
      <c r="AH3" s="3301"/>
      <c r="AI3" s="3301"/>
      <c r="AJ3" s="3305">
        <v>2045</v>
      </c>
      <c r="AK3" s="3281"/>
      <c r="AL3" s="3282"/>
      <c r="AN3" s="3301"/>
      <c r="AO3" s="3301"/>
    </row>
    <row r="4" spans="1:41" ht="15.75" customHeight="1">
      <c r="A4" s="3299"/>
      <c r="B4" s="3368"/>
      <c r="C4" s="3392"/>
      <c r="D4" s="235">
        <v>2015</v>
      </c>
      <c r="E4" s="1945">
        <v>2020</v>
      </c>
      <c r="F4" s="1682">
        <v>2025</v>
      </c>
      <c r="G4" s="1682">
        <v>2030</v>
      </c>
      <c r="H4" s="1682">
        <v>2035</v>
      </c>
      <c r="I4" s="994">
        <v>2040</v>
      </c>
      <c r="J4" s="3043">
        <v>2045</v>
      </c>
      <c r="K4" s="3377"/>
      <c r="L4" s="3302"/>
      <c r="M4" s="1127" t="s">
        <v>92</v>
      </c>
      <c r="N4" s="1128" t="s">
        <v>93</v>
      </c>
      <c r="O4" s="1681" t="s">
        <v>18</v>
      </c>
      <c r="P4" s="1130" t="s">
        <v>92</v>
      </c>
      <c r="Q4" s="1128" t="s">
        <v>93</v>
      </c>
      <c r="R4" s="1681" t="s">
        <v>18</v>
      </c>
      <c r="S4" s="1130" t="s">
        <v>92</v>
      </c>
      <c r="T4" s="1128" t="s">
        <v>93</v>
      </c>
      <c r="U4" s="1681" t="s">
        <v>18</v>
      </c>
      <c r="V4" s="1130" t="s">
        <v>92</v>
      </c>
      <c r="W4" s="1128" t="s">
        <v>93</v>
      </c>
      <c r="X4" s="1681" t="s">
        <v>18</v>
      </c>
      <c r="Y4" s="1130" t="s">
        <v>92</v>
      </c>
      <c r="Z4" s="1128" t="s">
        <v>93</v>
      </c>
      <c r="AA4" s="1681" t="s">
        <v>18</v>
      </c>
      <c r="AB4" s="1130" t="s">
        <v>92</v>
      </c>
      <c r="AC4" s="1128" t="s">
        <v>93</v>
      </c>
      <c r="AD4" s="1681" t="s">
        <v>18</v>
      </c>
      <c r="AE4" s="1130" t="s">
        <v>92</v>
      </c>
      <c r="AF4" s="1128" t="s">
        <v>93</v>
      </c>
      <c r="AG4" s="1681" t="s">
        <v>18</v>
      </c>
      <c r="AH4" s="3302"/>
      <c r="AI4" s="3302"/>
      <c r="AJ4" s="1130" t="s">
        <v>92</v>
      </c>
      <c r="AK4" s="1128" t="s">
        <v>93</v>
      </c>
      <c r="AL4" s="1681" t="s">
        <v>18</v>
      </c>
      <c r="AN4" s="3302"/>
      <c r="AO4" s="3302"/>
    </row>
    <row r="5" spans="1:41">
      <c r="A5" s="3301" t="s">
        <v>102</v>
      </c>
      <c r="B5" s="2609" t="s">
        <v>385</v>
      </c>
      <c r="C5" s="2610">
        <v>216014</v>
      </c>
      <c r="D5" s="2611">
        <f>'Table 6c'!L3</f>
        <v>48</v>
      </c>
      <c r="E5" s="2612">
        <v>48</v>
      </c>
      <c r="F5" s="2613">
        <v>48</v>
      </c>
      <c r="G5" s="2613">
        <v>48</v>
      </c>
      <c r="H5" s="2613">
        <v>48</v>
      </c>
      <c r="I5" s="2613">
        <v>48</v>
      </c>
      <c r="J5" s="2614">
        <v>48</v>
      </c>
      <c r="K5" s="2615">
        <v>48</v>
      </c>
      <c r="L5" s="215">
        <f t="shared" ref="L5:L6" si="0">(J5-D5)/D5</f>
        <v>0</v>
      </c>
      <c r="M5" s="245">
        <f t="shared" ref="M5:M6" si="1">O5-N5</f>
        <v>0.01</v>
      </c>
      <c r="N5" s="2616">
        <v>0</v>
      </c>
      <c r="O5" s="2065">
        <f>'Table 6c'!G3</f>
        <v>0.01</v>
      </c>
      <c r="P5" s="2617">
        <f t="shared" ref="P5:P6" si="2">R5-Q5</f>
        <v>0.01</v>
      </c>
      <c r="Q5" s="2616">
        <v>0</v>
      </c>
      <c r="R5" s="2065">
        <f>E5*AI5/1000000</f>
        <v>0.01</v>
      </c>
      <c r="S5" s="2617">
        <f t="shared" ref="S5:S6" si="3">U5-T5</f>
        <v>0.01</v>
      </c>
      <c r="T5" s="2616">
        <v>0</v>
      </c>
      <c r="U5" s="2065">
        <f>F5*AI5/1000000</f>
        <v>0.01</v>
      </c>
      <c r="V5" s="2617">
        <f t="shared" ref="V5:V6" si="4">X5-W5</f>
        <v>0.01</v>
      </c>
      <c r="W5" s="2616">
        <v>0</v>
      </c>
      <c r="X5" s="2065">
        <f>G5*AI5/1000000</f>
        <v>0.01</v>
      </c>
      <c r="Y5" s="2617">
        <f t="shared" ref="Y5:Y6" si="5">AA5-Z5</f>
        <v>0.01</v>
      </c>
      <c r="Z5" s="2616">
        <v>0</v>
      </c>
      <c r="AA5" s="2065">
        <f>H5*AI5/1000000</f>
        <v>0.01</v>
      </c>
      <c r="AB5" s="2617">
        <f t="shared" ref="AB5:AB6" si="6">AD5-AC5</f>
        <v>0.01</v>
      </c>
      <c r="AC5" s="2616">
        <v>0</v>
      </c>
      <c r="AD5" s="2065">
        <f>I5*AI5/1000000</f>
        <v>0.01</v>
      </c>
      <c r="AE5" s="2617">
        <f t="shared" ref="AE5:AE6" si="7">AG5-AF5</f>
        <v>0.01</v>
      </c>
      <c r="AF5" s="2616">
        <v>0</v>
      </c>
      <c r="AG5" s="2065">
        <f>J5*AI5/1000000</f>
        <v>0.01</v>
      </c>
      <c r="AH5" s="1686">
        <f>(AG5-O5)/O5</f>
        <v>0</v>
      </c>
      <c r="AI5" s="2618">
        <f>'Table 6c'!P3</f>
        <v>208</v>
      </c>
      <c r="AJ5" s="2617">
        <f t="shared" ref="AJ5:AJ6" si="8">AL5-AK5</f>
        <v>0.01</v>
      </c>
      <c r="AK5" s="2616">
        <v>0</v>
      </c>
      <c r="AL5" s="2065">
        <f>AG5*1.06</f>
        <v>0.01</v>
      </c>
      <c r="AN5" s="2619">
        <f>J5-D5</f>
        <v>0</v>
      </c>
      <c r="AO5" s="2620" t="e">
        <f>#REF!-O5</f>
        <v>#REF!</v>
      </c>
    </row>
    <row r="6" spans="1:41">
      <c r="A6" s="3301"/>
      <c r="B6" s="2621" t="s">
        <v>386</v>
      </c>
      <c r="C6" s="2622">
        <v>219158</v>
      </c>
      <c r="D6" s="2623">
        <f>'Table 6c'!L4</f>
        <v>21</v>
      </c>
      <c r="E6" s="2624">
        <v>21</v>
      </c>
      <c r="F6" s="2625">
        <v>21</v>
      </c>
      <c r="G6" s="2625">
        <v>21</v>
      </c>
      <c r="H6" s="2625">
        <v>21</v>
      </c>
      <c r="I6" s="2625">
        <v>21</v>
      </c>
      <c r="J6" s="2626">
        <v>21</v>
      </c>
      <c r="K6" s="2627">
        <v>21</v>
      </c>
      <c r="L6" s="300">
        <f t="shared" si="0"/>
        <v>0</v>
      </c>
      <c r="M6" s="823">
        <f t="shared" si="1"/>
        <v>0</v>
      </c>
      <c r="N6" s="2201">
        <v>0</v>
      </c>
      <c r="O6" s="2009">
        <f>'Table 6c'!G4</f>
        <v>0</v>
      </c>
      <c r="P6" s="2628">
        <f t="shared" si="2"/>
        <v>0</v>
      </c>
      <c r="Q6" s="2201">
        <v>0</v>
      </c>
      <c r="R6" s="2009">
        <f>E6*AI6/1000000</f>
        <v>0</v>
      </c>
      <c r="S6" s="2628">
        <f t="shared" si="3"/>
        <v>0</v>
      </c>
      <c r="T6" s="2201">
        <v>0</v>
      </c>
      <c r="U6" s="2009">
        <f>F6*AI6/1000000</f>
        <v>0</v>
      </c>
      <c r="V6" s="2628">
        <f t="shared" si="4"/>
        <v>0</v>
      </c>
      <c r="W6" s="2201">
        <v>0</v>
      </c>
      <c r="X6" s="2009">
        <f>G6*AI6/1000000</f>
        <v>0</v>
      </c>
      <c r="Y6" s="2628">
        <f t="shared" si="5"/>
        <v>0</v>
      </c>
      <c r="Z6" s="2201">
        <v>0</v>
      </c>
      <c r="AA6" s="2009">
        <f>H6*AI6/1000000</f>
        <v>0</v>
      </c>
      <c r="AB6" s="2628">
        <f t="shared" si="6"/>
        <v>0</v>
      </c>
      <c r="AC6" s="2201">
        <v>0</v>
      </c>
      <c r="AD6" s="2009">
        <f>I6*AI6/1000000</f>
        <v>0</v>
      </c>
      <c r="AE6" s="2628">
        <f t="shared" si="7"/>
        <v>0</v>
      </c>
      <c r="AF6" s="2201">
        <v>0</v>
      </c>
      <c r="AG6" s="2009">
        <f>J6*AI6/1000000</f>
        <v>0</v>
      </c>
      <c r="AH6" s="1008" t="s">
        <v>16</v>
      </c>
      <c r="AI6" s="2629">
        <f>'Table 6c'!P4</f>
        <v>143</v>
      </c>
      <c r="AJ6" s="2628">
        <f t="shared" si="8"/>
        <v>0</v>
      </c>
      <c r="AK6" s="2201">
        <v>0</v>
      </c>
      <c r="AL6" s="2009">
        <f>AG6*1.06</f>
        <v>0</v>
      </c>
      <c r="AN6" s="2630">
        <f t="shared" ref="AN6:AN74" si="9">J6-D6</f>
        <v>0</v>
      </c>
      <c r="AO6" s="2631" t="e">
        <f>#REF!-O6</f>
        <v>#REF!</v>
      </c>
    </row>
    <row r="7" spans="1:41">
      <c r="A7" s="3301"/>
      <c r="B7" s="2632" t="s">
        <v>387</v>
      </c>
      <c r="C7" s="2633">
        <v>220503</v>
      </c>
      <c r="D7" s="2634">
        <f>'Table 6c'!L5</f>
        <v>196</v>
      </c>
      <c r="E7" s="2635">
        <v>200</v>
      </c>
      <c r="F7" s="2636">
        <v>200</v>
      </c>
      <c r="G7" s="2636">
        <v>200</v>
      </c>
      <c r="H7" s="2636">
        <v>200</v>
      </c>
      <c r="I7" s="2636">
        <v>200</v>
      </c>
      <c r="J7" s="2637">
        <v>200</v>
      </c>
      <c r="K7" s="2638">
        <v>200</v>
      </c>
      <c r="L7" s="230">
        <f>(J7-D7)/D7</f>
        <v>0.02</v>
      </c>
      <c r="M7" s="2639">
        <f t="shared" ref="M7:M12" si="10">O7-N7</f>
        <v>0.01</v>
      </c>
      <c r="N7" s="2640">
        <v>0</v>
      </c>
      <c r="O7" s="2641">
        <f>'Table 6c'!G5</f>
        <v>0.01</v>
      </c>
      <c r="P7" s="2642">
        <f t="shared" ref="P7:P12" si="11">R7-Q7</f>
        <v>0.01</v>
      </c>
      <c r="Q7" s="2640">
        <v>0</v>
      </c>
      <c r="R7" s="2641">
        <f>E7*AI7/1000000</f>
        <v>0.01</v>
      </c>
      <c r="S7" s="2642">
        <f t="shared" ref="S7:S12" si="12">U7-T7</f>
        <v>0.01</v>
      </c>
      <c r="T7" s="2640">
        <v>0</v>
      </c>
      <c r="U7" s="2641">
        <f>F7*AI7/1000000</f>
        <v>0.01</v>
      </c>
      <c r="V7" s="2642">
        <f t="shared" ref="V7:V12" si="13">X7-W7</f>
        <v>0.01</v>
      </c>
      <c r="W7" s="2640">
        <v>0</v>
      </c>
      <c r="X7" s="2641">
        <f>G7*AI7/1000000</f>
        <v>0.01</v>
      </c>
      <c r="Y7" s="2642">
        <f t="shared" ref="Y7:Y12" si="14">AA7-Z7</f>
        <v>0.01</v>
      </c>
      <c r="Z7" s="2640">
        <v>0</v>
      </c>
      <c r="AA7" s="2641">
        <f>H7*AI7/1000000</f>
        <v>0.01</v>
      </c>
      <c r="AB7" s="2642">
        <f t="shared" ref="AB7:AB12" si="15">AD7-AC7</f>
        <v>0.01</v>
      </c>
      <c r="AC7" s="2640">
        <v>0</v>
      </c>
      <c r="AD7" s="2641">
        <f>I7*AI7/1000000</f>
        <v>0.01</v>
      </c>
      <c r="AE7" s="2642">
        <f t="shared" ref="AE7:AE60" si="16">AG7-AF7</f>
        <v>0.01</v>
      </c>
      <c r="AF7" s="2640">
        <v>0</v>
      </c>
      <c r="AG7" s="2641">
        <f>J7*AI7/1000000</f>
        <v>0.01</v>
      </c>
      <c r="AH7" s="1007">
        <f>(AG7-O7)/O7</f>
        <v>0</v>
      </c>
      <c r="AI7" s="2643">
        <f>'Table 6c'!P5</f>
        <v>49</v>
      </c>
      <c r="AJ7" s="2642">
        <f t="shared" ref="AJ7:AJ12" si="17">AL7-AK7</f>
        <v>0.01</v>
      </c>
      <c r="AK7" s="2640">
        <v>0</v>
      </c>
      <c r="AL7" s="2641">
        <f>AG7*1.06</f>
        <v>0.01</v>
      </c>
      <c r="AN7" s="2644">
        <f t="shared" si="9"/>
        <v>4</v>
      </c>
      <c r="AO7" s="2645" t="e">
        <f>#REF!-O7</f>
        <v>#REF!</v>
      </c>
    </row>
    <row r="8" spans="1:41" s="22" customFormat="1">
      <c r="A8" s="3302"/>
      <c r="B8" s="3368" t="s">
        <v>293</v>
      </c>
      <c r="C8" s="3374"/>
      <c r="D8" s="2646">
        <f>SUM(D5:D7)</f>
        <v>265</v>
      </c>
      <c r="E8" s="2647">
        <f t="shared" ref="E8:K8" si="18">SUM(E5:E7)</f>
        <v>269</v>
      </c>
      <c r="F8" s="2648">
        <f t="shared" si="18"/>
        <v>269</v>
      </c>
      <c r="G8" s="2648">
        <f t="shared" si="18"/>
        <v>269</v>
      </c>
      <c r="H8" s="2648">
        <f t="shared" si="18"/>
        <v>269</v>
      </c>
      <c r="I8" s="2648">
        <f t="shared" si="18"/>
        <v>269</v>
      </c>
      <c r="J8" s="2649">
        <f t="shared" si="18"/>
        <v>269</v>
      </c>
      <c r="K8" s="2650">
        <f t="shared" si="18"/>
        <v>269</v>
      </c>
      <c r="L8" s="217">
        <f t="shared" ref="L8:L74" si="19">(J8-D8)/D8</f>
        <v>0.02</v>
      </c>
      <c r="M8" s="35">
        <f t="shared" si="10"/>
        <v>0.02</v>
      </c>
      <c r="N8" s="2594">
        <v>0</v>
      </c>
      <c r="O8" s="2099">
        <f>SUM(O5:O7)</f>
        <v>0.02</v>
      </c>
      <c r="P8" s="2591">
        <f t="shared" si="11"/>
        <v>0.02</v>
      </c>
      <c r="Q8" s="2594">
        <v>0</v>
      </c>
      <c r="R8" s="2099">
        <f>SUM(R5:R7)</f>
        <v>0.02</v>
      </c>
      <c r="S8" s="2591">
        <f t="shared" si="12"/>
        <v>0.02</v>
      </c>
      <c r="T8" s="2594">
        <v>0</v>
      </c>
      <c r="U8" s="2099">
        <f>SUM(U5:U7)</f>
        <v>0.02</v>
      </c>
      <c r="V8" s="2591">
        <f t="shared" si="13"/>
        <v>0.02</v>
      </c>
      <c r="W8" s="2594">
        <v>0</v>
      </c>
      <c r="X8" s="2099">
        <f>SUM(X5:X7)</f>
        <v>0.02</v>
      </c>
      <c r="Y8" s="2591">
        <f t="shared" si="14"/>
        <v>0.02</v>
      </c>
      <c r="Z8" s="2594">
        <v>0</v>
      </c>
      <c r="AA8" s="2099">
        <f>SUM(AA5:AA7)</f>
        <v>0.02</v>
      </c>
      <c r="AB8" s="2591">
        <f t="shared" si="15"/>
        <v>0.02</v>
      </c>
      <c r="AC8" s="2594">
        <v>0</v>
      </c>
      <c r="AD8" s="2099">
        <f>SUM(AD5:AD7)</f>
        <v>0.02</v>
      </c>
      <c r="AE8" s="2591">
        <f t="shared" si="16"/>
        <v>0.02</v>
      </c>
      <c r="AF8" s="2594">
        <f t="shared" ref="AF8" si="20">AF7</f>
        <v>0</v>
      </c>
      <c r="AG8" s="2099">
        <f>SUM(AG5:AG7)</f>
        <v>0.02</v>
      </c>
      <c r="AH8" s="333">
        <f>(AG8-O8)/O8</f>
        <v>0</v>
      </c>
      <c r="AI8" s="3041" t="s">
        <v>16</v>
      </c>
      <c r="AJ8" s="2591">
        <f t="shared" si="17"/>
        <v>0.02</v>
      </c>
      <c r="AK8" s="2594">
        <v>0</v>
      </c>
      <c r="AL8" s="2099">
        <f>SUM(AL5:AL7)</f>
        <v>0.02</v>
      </c>
      <c r="AN8" s="2646">
        <f t="shared" si="9"/>
        <v>4</v>
      </c>
      <c r="AO8" s="2651" t="e">
        <f>#REF!-O8</f>
        <v>#REF!</v>
      </c>
    </row>
    <row r="9" spans="1:41" s="22" customFormat="1">
      <c r="A9" s="3300" t="s">
        <v>116</v>
      </c>
      <c r="B9" s="2652" t="s">
        <v>388</v>
      </c>
      <c r="C9" s="2653">
        <v>216644</v>
      </c>
      <c r="D9" s="2654">
        <f>'Table 6c'!L7</f>
        <v>307</v>
      </c>
      <c r="E9" s="2655">
        <v>322</v>
      </c>
      <c r="F9" s="2656">
        <v>322</v>
      </c>
      <c r="G9" s="2656">
        <v>322</v>
      </c>
      <c r="H9" s="2656">
        <v>322</v>
      </c>
      <c r="I9" s="2656">
        <v>322</v>
      </c>
      <c r="J9" s="2657">
        <v>322</v>
      </c>
      <c r="K9" s="995">
        <v>931.77333682417998</v>
      </c>
      <c r="L9" s="218">
        <f t="shared" si="19"/>
        <v>0.05</v>
      </c>
      <c r="M9" s="186">
        <f t="shared" ref="M9" si="21">O9-N9</f>
        <v>0.04</v>
      </c>
      <c r="N9" s="2658">
        <v>0</v>
      </c>
      <c r="O9" s="2131">
        <f>'Table 6c'!G7</f>
        <v>0.04</v>
      </c>
      <c r="P9" s="149">
        <f t="shared" ref="P9" si="22">R9-Q9</f>
        <v>0.04</v>
      </c>
      <c r="Q9" s="2658">
        <v>0</v>
      </c>
      <c r="R9" s="160">
        <f>E9*AI9/1000000</f>
        <v>0.04</v>
      </c>
      <c r="S9" s="149">
        <f t="shared" ref="S9" si="23">U9-T9</f>
        <v>0.04</v>
      </c>
      <c r="T9" s="2658">
        <v>0</v>
      </c>
      <c r="U9" s="160">
        <f>F9*AI9/1000000</f>
        <v>0.04</v>
      </c>
      <c r="V9" s="149">
        <f t="shared" ref="V9" si="24">X9-W9</f>
        <v>0.04</v>
      </c>
      <c r="W9" s="2658">
        <v>0</v>
      </c>
      <c r="X9" s="160">
        <f>G9*AI9/1000000</f>
        <v>0.04</v>
      </c>
      <c r="Y9" s="149">
        <f t="shared" ref="Y9" si="25">AA9-Z9</f>
        <v>0.04</v>
      </c>
      <c r="Z9" s="2658">
        <v>0</v>
      </c>
      <c r="AA9" s="160">
        <f>H9*AI9/1000000</f>
        <v>0.04</v>
      </c>
      <c r="AB9" s="149">
        <f t="shared" ref="AB9" si="26">AD9-AC9</f>
        <v>0.04</v>
      </c>
      <c r="AC9" s="2658">
        <v>0</v>
      </c>
      <c r="AD9" s="160">
        <f>I9*AI9/1000000</f>
        <v>0.04</v>
      </c>
      <c r="AE9" s="149">
        <f t="shared" si="16"/>
        <v>0.04</v>
      </c>
      <c r="AF9" s="2658">
        <v>0</v>
      </c>
      <c r="AG9" s="160">
        <f>J9*AI9/1000000</f>
        <v>0.04</v>
      </c>
      <c r="AH9" s="196">
        <f>(AG9-O9)/O9</f>
        <v>0</v>
      </c>
      <c r="AI9" s="2659">
        <f>'Table 6c'!P7</f>
        <v>129</v>
      </c>
      <c r="AJ9" s="2660">
        <f t="shared" ref="AJ9" si="27">AL9-AK9</f>
        <v>0.04</v>
      </c>
      <c r="AK9" s="2658">
        <v>0</v>
      </c>
      <c r="AL9" s="2131">
        <f>AG9*1.06</f>
        <v>0.04</v>
      </c>
      <c r="AN9" s="2661">
        <f t="shared" si="9"/>
        <v>15</v>
      </c>
      <c r="AO9" s="2662" t="e">
        <f>#REF!-O9</f>
        <v>#REF!</v>
      </c>
    </row>
    <row r="10" spans="1:41" s="22" customFormat="1">
      <c r="A10" s="3301"/>
      <c r="B10" s="2663" t="s">
        <v>389</v>
      </c>
      <c r="C10" s="2664">
        <v>217909</v>
      </c>
      <c r="D10" s="2611">
        <f>'Table 6c'!L8</f>
        <v>15</v>
      </c>
      <c r="E10" s="2612">
        <v>15</v>
      </c>
      <c r="F10" s="2613">
        <v>15</v>
      </c>
      <c r="G10" s="2613">
        <v>15</v>
      </c>
      <c r="H10" s="2613">
        <v>15</v>
      </c>
      <c r="I10" s="2613">
        <v>15</v>
      </c>
      <c r="J10" s="2614">
        <v>15</v>
      </c>
      <c r="K10" s="2665">
        <v>15</v>
      </c>
      <c r="L10" s="215">
        <f t="shared" ref="L10" si="28">(J10-D10)/D10</f>
        <v>0</v>
      </c>
      <c r="M10" s="245">
        <f t="shared" ref="M10" si="29">O10-N10</f>
        <v>0</v>
      </c>
      <c r="N10" s="2616">
        <v>0</v>
      </c>
      <c r="O10" s="2065">
        <f>'Table 6c'!G8</f>
        <v>0</v>
      </c>
      <c r="P10" s="138">
        <f t="shared" ref="P10" si="30">R10-Q10</f>
        <v>0</v>
      </c>
      <c r="Q10" s="2616">
        <v>0</v>
      </c>
      <c r="R10" s="56">
        <f>E10*AI10/1000000</f>
        <v>0</v>
      </c>
      <c r="S10" s="138">
        <f t="shared" ref="S10" si="31">U10-T10</f>
        <v>0</v>
      </c>
      <c r="T10" s="2616">
        <v>0</v>
      </c>
      <c r="U10" s="56">
        <f>F10*AI10/1000000</f>
        <v>0</v>
      </c>
      <c r="V10" s="138">
        <f t="shared" ref="V10" si="32">X10-W10</f>
        <v>0</v>
      </c>
      <c r="W10" s="2616">
        <v>0</v>
      </c>
      <c r="X10" s="56">
        <f>G10*AI10/1000000</f>
        <v>0</v>
      </c>
      <c r="Y10" s="138">
        <f t="shared" ref="Y10" si="33">AA10-Z10</f>
        <v>0</v>
      </c>
      <c r="Z10" s="2616">
        <v>0</v>
      </c>
      <c r="AA10" s="56">
        <f>H10*AI10/1000000</f>
        <v>0</v>
      </c>
      <c r="AB10" s="138">
        <f t="shared" ref="AB10" si="34">AD10-AC10</f>
        <v>0</v>
      </c>
      <c r="AC10" s="2616">
        <v>0</v>
      </c>
      <c r="AD10" s="56">
        <f>I10*AI10/1000000</f>
        <v>0</v>
      </c>
      <c r="AE10" s="138">
        <f t="shared" ref="AE10" si="35">AG10-AF10</f>
        <v>0</v>
      </c>
      <c r="AF10" s="2616">
        <v>0</v>
      </c>
      <c r="AG10" s="56">
        <f>J10*AI10/1000000</f>
        <v>0</v>
      </c>
      <c r="AH10" s="215" t="s">
        <v>16</v>
      </c>
      <c r="AI10" s="2600">
        <f>'Table 6c'!P8</f>
        <v>267</v>
      </c>
      <c r="AJ10" s="2617">
        <f t="shared" ref="AJ10" si="36">AL10-AK10</f>
        <v>0</v>
      </c>
      <c r="AK10" s="2616">
        <v>0</v>
      </c>
      <c r="AL10" s="2065">
        <f>AG10*1.06</f>
        <v>0</v>
      </c>
      <c r="AN10" s="2619">
        <f t="shared" si="9"/>
        <v>0</v>
      </c>
      <c r="AO10" s="2620" t="e">
        <f>#REF!-O10</f>
        <v>#REF!</v>
      </c>
    </row>
    <row r="11" spans="1:41" s="22" customFormat="1" ht="13.5" customHeight="1">
      <c r="A11" s="3301"/>
      <c r="B11" s="2666" t="s">
        <v>390</v>
      </c>
      <c r="C11" s="2667">
        <v>220481</v>
      </c>
      <c r="D11" s="2668">
        <f>'Table 6c'!L9</f>
        <v>465</v>
      </c>
      <c r="E11" s="2669">
        <v>477</v>
      </c>
      <c r="F11" s="2670">
        <v>477</v>
      </c>
      <c r="G11" s="2670">
        <v>477</v>
      </c>
      <c r="H11" s="2670">
        <v>477</v>
      </c>
      <c r="I11" s="2670">
        <v>477</v>
      </c>
      <c r="J11" s="2671">
        <v>482</v>
      </c>
      <c r="K11" s="2036">
        <v>1038.53964689348</v>
      </c>
      <c r="L11" s="216">
        <f t="shared" si="19"/>
        <v>0.04</v>
      </c>
      <c r="M11" s="1006">
        <f t="shared" si="10"/>
        <v>0.05</v>
      </c>
      <c r="N11" s="2672">
        <v>0</v>
      </c>
      <c r="O11" s="2041">
        <f>'Table 6c'!G9</f>
        <v>0.05</v>
      </c>
      <c r="P11" s="48">
        <f t="shared" si="11"/>
        <v>0.05</v>
      </c>
      <c r="Q11" s="2672">
        <v>0</v>
      </c>
      <c r="R11" s="49">
        <f>E11*AI11/1000000</f>
        <v>0.05</v>
      </c>
      <c r="S11" s="48">
        <f t="shared" si="12"/>
        <v>0.05</v>
      </c>
      <c r="T11" s="2672">
        <v>0</v>
      </c>
      <c r="U11" s="49">
        <f>F11*AI11/1000000</f>
        <v>0.05</v>
      </c>
      <c r="V11" s="48">
        <f t="shared" si="13"/>
        <v>0.05</v>
      </c>
      <c r="W11" s="2672">
        <v>0</v>
      </c>
      <c r="X11" s="49">
        <f>G11*AI11/1000000</f>
        <v>0.05</v>
      </c>
      <c r="Y11" s="48">
        <f t="shared" si="14"/>
        <v>0.05</v>
      </c>
      <c r="Z11" s="2672">
        <v>0</v>
      </c>
      <c r="AA11" s="49">
        <f>H11*AI11/1000000</f>
        <v>0.05</v>
      </c>
      <c r="AB11" s="48">
        <f t="shared" si="15"/>
        <v>0.05</v>
      </c>
      <c r="AC11" s="2672">
        <v>0</v>
      </c>
      <c r="AD11" s="49">
        <f>I11*AI11/1000000</f>
        <v>0.05</v>
      </c>
      <c r="AE11" s="48">
        <f t="shared" si="16"/>
        <v>0.05</v>
      </c>
      <c r="AF11" s="2672">
        <v>0</v>
      </c>
      <c r="AG11" s="49">
        <f>J11*AI11/1000000</f>
        <v>0.05</v>
      </c>
      <c r="AH11" s="197">
        <f t="shared" ref="AH11:AH20" si="37">(AG11-O11)/O11</f>
        <v>0</v>
      </c>
      <c r="AI11" s="2568">
        <f>'Table 6c'!P9</f>
        <v>97</v>
      </c>
      <c r="AJ11" s="2673">
        <f t="shared" si="17"/>
        <v>0.05</v>
      </c>
      <c r="AK11" s="2672">
        <v>0</v>
      </c>
      <c r="AL11" s="2041">
        <f>AG11*1.06</f>
        <v>0.05</v>
      </c>
      <c r="AN11" s="2674">
        <f t="shared" si="9"/>
        <v>17</v>
      </c>
      <c r="AO11" s="2675" t="e">
        <f>#REF!-O11</f>
        <v>#REF!</v>
      </c>
    </row>
    <row r="12" spans="1:41" s="22" customFormat="1">
      <c r="A12" s="3302"/>
      <c r="B12" s="3368" t="s">
        <v>119</v>
      </c>
      <c r="C12" s="3374"/>
      <c r="D12" s="2646">
        <f>SUM(D9:D11)</f>
        <v>787</v>
      </c>
      <c r="E12" s="2647">
        <f>SUM(E9:E11)</f>
        <v>814</v>
      </c>
      <c r="F12" s="2648">
        <f t="shared" ref="F12:K12" si="38">SUM(F9:F11)</f>
        <v>814</v>
      </c>
      <c r="G12" s="2648">
        <f t="shared" si="38"/>
        <v>814</v>
      </c>
      <c r="H12" s="2648">
        <f t="shared" si="38"/>
        <v>814</v>
      </c>
      <c r="I12" s="2648">
        <f t="shared" si="38"/>
        <v>814</v>
      </c>
      <c r="J12" s="2649">
        <f t="shared" si="38"/>
        <v>819</v>
      </c>
      <c r="K12" s="291">
        <f t="shared" si="38"/>
        <v>1985</v>
      </c>
      <c r="L12" s="217">
        <f t="shared" si="19"/>
        <v>0.04</v>
      </c>
      <c r="M12" s="35">
        <f t="shared" si="10"/>
        <v>0.09</v>
      </c>
      <c r="N12" s="2594">
        <v>0</v>
      </c>
      <c r="O12" s="2099">
        <f>SUM(O9:O11)</f>
        <v>0.09</v>
      </c>
      <c r="P12" s="34">
        <f t="shared" si="11"/>
        <v>0.09</v>
      </c>
      <c r="Q12" s="2594">
        <v>0</v>
      </c>
      <c r="R12" s="2099">
        <f t="shared" ref="R12" si="39">SUM(R9:R11)</f>
        <v>0.09</v>
      </c>
      <c r="S12" s="34">
        <f t="shared" si="12"/>
        <v>0.09</v>
      </c>
      <c r="T12" s="2594">
        <v>0</v>
      </c>
      <c r="U12" s="2099">
        <f t="shared" ref="U12" si="40">SUM(U9:U11)</f>
        <v>0.09</v>
      </c>
      <c r="V12" s="34">
        <f t="shared" si="13"/>
        <v>0.09</v>
      </c>
      <c r="W12" s="2594">
        <v>0</v>
      </c>
      <c r="X12" s="2099">
        <f t="shared" ref="X12" si="41">SUM(X9:X11)</f>
        <v>0.09</v>
      </c>
      <c r="Y12" s="34">
        <f t="shared" si="14"/>
        <v>0.09</v>
      </c>
      <c r="Z12" s="2594">
        <v>0</v>
      </c>
      <c r="AA12" s="2099">
        <f t="shared" ref="AA12" si="42">SUM(AA9:AA11)</f>
        <v>0.09</v>
      </c>
      <c r="AB12" s="34">
        <f t="shared" si="15"/>
        <v>0.09</v>
      </c>
      <c r="AC12" s="2594">
        <v>0</v>
      </c>
      <c r="AD12" s="2099">
        <f t="shared" ref="AD12" si="43">SUM(AD9:AD11)</f>
        <v>0.09</v>
      </c>
      <c r="AE12" s="34">
        <f t="shared" si="16"/>
        <v>0.09</v>
      </c>
      <c r="AF12" s="2594">
        <v>0</v>
      </c>
      <c r="AG12" s="2099">
        <f t="shared" ref="AG12" si="44">SUM(AG9:AG11)</f>
        <v>0.09</v>
      </c>
      <c r="AH12" s="202">
        <f t="shared" si="37"/>
        <v>0</v>
      </c>
      <c r="AI12" s="3041" t="s">
        <v>16</v>
      </c>
      <c r="AJ12" s="2591">
        <f t="shared" si="17"/>
        <v>0.05</v>
      </c>
      <c r="AK12" s="2594">
        <v>0</v>
      </c>
      <c r="AL12" s="2099">
        <f>SUM(AL11:AL11)</f>
        <v>0.05</v>
      </c>
      <c r="AN12" s="2646">
        <f t="shared" si="9"/>
        <v>32</v>
      </c>
      <c r="AO12" s="2651" t="e">
        <f>#REF!-O12</f>
        <v>#REF!</v>
      </c>
    </row>
    <row r="13" spans="1:41">
      <c r="A13" s="3379" t="s">
        <v>120</v>
      </c>
      <c r="B13" s="2676" t="s">
        <v>391</v>
      </c>
      <c r="C13" s="325">
        <v>497</v>
      </c>
      <c r="D13" s="2215">
        <v>202</v>
      </c>
      <c r="E13" s="170">
        <v>202</v>
      </c>
      <c r="F13" s="169">
        <v>202</v>
      </c>
      <c r="G13" s="169">
        <v>202</v>
      </c>
      <c r="H13" s="169">
        <v>202</v>
      </c>
      <c r="I13" s="169">
        <v>202</v>
      </c>
      <c r="J13" s="270">
        <v>202</v>
      </c>
      <c r="K13" s="270">
        <v>202</v>
      </c>
      <c r="L13" s="218">
        <f t="shared" si="19"/>
        <v>0</v>
      </c>
      <c r="M13" s="246">
        <f t="shared" ref="M13:M40" si="45">O13-N13</f>
        <v>0.05</v>
      </c>
      <c r="N13" s="2300">
        <v>0</v>
      </c>
      <c r="O13" s="141">
        <f>'Table 6c'!G11</f>
        <v>0.05</v>
      </c>
      <c r="P13" s="47">
        <f t="shared" ref="P13:P37" si="46">R13-Q13</f>
        <v>0.04</v>
      </c>
      <c r="Q13" s="2300">
        <v>0</v>
      </c>
      <c r="R13" s="141">
        <f>E13*AI13/1000000</f>
        <v>0.04</v>
      </c>
      <c r="S13" s="47">
        <f t="shared" ref="S13:S37" si="47">U13-T13</f>
        <v>0.04</v>
      </c>
      <c r="T13" s="2300">
        <v>0</v>
      </c>
      <c r="U13" s="141">
        <f>F13*AI13/1000000</f>
        <v>0.04</v>
      </c>
      <c r="V13" s="47">
        <f t="shared" ref="V13:V37" si="48">X13-W13</f>
        <v>0.04</v>
      </c>
      <c r="W13" s="2300">
        <v>0</v>
      </c>
      <c r="X13" s="141">
        <f>G13*AI13/1000000</f>
        <v>0.04</v>
      </c>
      <c r="Y13" s="47">
        <f t="shared" ref="Y13:Y37" si="49">AA13-Z13</f>
        <v>0.04</v>
      </c>
      <c r="Z13" s="2300">
        <v>0</v>
      </c>
      <c r="AA13" s="141">
        <f>H13*AI13/1000000</f>
        <v>0.04</v>
      </c>
      <c r="AB13" s="47">
        <f t="shared" ref="AB13:AB37" si="50">AD13-AC13</f>
        <v>0.04</v>
      </c>
      <c r="AC13" s="2300">
        <v>0</v>
      </c>
      <c r="AD13" s="141">
        <f>I13*AI13/1000000</f>
        <v>0.04</v>
      </c>
      <c r="AE13" s="47">
        <f t="shared" si="16"/>
        <v>0.04</v>
      </c>
      <c r="AF13" s="2300">
        <v>0</v>
      </c>
      <c r="AG13" s="141">
        <f>J13*AI13/1000000</f>
        <v>0.04</v>
      </c>
      <c r="AH13" s="2677">
        <f t="shared" si="37"/>
        <v>-0.2</v>
      </c>
      <c r="AI13" s="2678">
        <f>'Table 6c'!P11</f>
        <v>185</v>
      </c>
      <c r="AJ13" s="47">
        <f t="shared" ref="AJ13:AJ37" si="51">AL13-AK13</f>
        <v>0.04</v>
      </c>
      <c r="AK13" s="2300">
        <v>0</v>
      </c>
      <c r="AL13" s="141">
        <f t="shared" ref="AL13:AL33" si="52">AG13*1.06</f>
        <v>0.04</v>
      </c>
      <c r="AN13" s="2170">
        <f t="shared" si="9"/>
        <v>0</v>
      </c>
      <c r="AO13" s="1626" t="e">
        <f>#REF!-O13</f>
        <v>#REF!</v>
      </c>
    </row>
    <row r="14" spans="1:41">
      <c r="A14" s="3379"/>
      <c r="B14" s="2679" t="s">
        <v>392</v>
      </c>
      <c r="C14" s="2680">
        <v>509</v>
      </c>
      <c r="D14" s="305">
        <f>'Table 6c'!L12</f>
        <v>495</v>
      </c>
      <c r="E14" s="864">
        <v>497</v>
      </c>
      <c r="F14" s="872">
        <v>613</v>
      </c>
      <c r="G14" s="872">
        <v>674</v>
      </c>
      <c r="H14" s="872">
        <v>806</v>
      </c>
      <c r="I14" s="872">
        <v>806</v>
      </c>
      <c r="J14" s="995">
        <v>806</v>
      </c>
      <c r="K14" s="995">
        <v>7246</v>
      </c>
      <c r="L14" s="1861">
        <f t="shared" si="19"/>
        <v>0.63</v>
      </c>
      <c r="M14" s="870">
        <f t="shared" si="45"/>
        <v>0.03</v>
      </c>
      <c r="N14" s="1956">
        <v>0</v>
      </c>
      <c r="O14" s="367">
        <f>'Table 6c'!G12</f>
        <v>0.03</v>
      </c>
      <c r="P14" s="823">
        <f t="shared" si="46"/>
        <v>0.03</v>
      </c>
      <c r="Q14" s="1956">
        <v>0</v>
      </c>
      <c r="R14" s="367">
        <f>E14*AI14/1000000</f>
        <v>0.03</v>
      </c>
      <c r="S14" s="823">
        <f t="shared" si="47"/>
        <v>0.04</v>
      </c>
      <c r="T14" s="1956">
        <v>0</v>
      </c>
      <c r="U14" s="367">
        <f>F14*AI14/1000000</f>
        <v>0.04</v>
      </c>
      <c r="V14" s="823">
        <f t="shared" si="48"/>
        <v>0.04</v>
      </c>
      <c r="W14" s="1956">
        <v>0</v>
      </c>
      <c r="X14" s="367">
        <f>G14*AI14/1000000</f>
        <v>0.04</v>
      </c>
      <c r="Y14" s="823">
        <f t="shared" si="49"/>
        <v>0.05</v>
      </c>
      <c r="Z14" s="1956">
        <v>0</v>
      </c>
      <c r="AA14" s="367">
        <f>H14*AI14/1000000</f>
        <v>0.05</v>
      </c>
      <c r="AB14" s="823">
        <f t="shared" si="50"/>
        <v>0.05</v>
      </c>
      <c r="AC14" s="1956">
        <v>0</v>
      </c>
      <c r="AD14" s="367">
        <f>I14*AI14/1000000</f>
        <v>0.05</v>
      </c>
      <c r="AE14" s="823">
        <f t="shared" si="16"/>
        <v>0.05</v>
      </c>
      <c r="AF14" s="1956">
        <v>0</v>
      </c>
      <c r="AG14" s="367">
        <f>J14*AI14/1000000</f>
        <v>0.05</v>
      </c>
      <c r="AH14" s="2558">
        <f t="shared" si="37"/>
        <v>0.67</v>
      </c>
      <c r="AI14" s="2681">
        <f>'Table 6c'!P12</f>
        <v>60</v>
      </c>
      <c r="AJ14" s="823">
        <f t="shared" si="51"/>
        <v>0.05</v>
      </c>
      <c r="AK14" s="1956">
        <v>0</v>
      </c>
      <c r="AL14" s="367">
        <f t="shared" si="52"/>
        <v>0.05</v>
      </c>
      <c r="AN14" s="305">
        <f t="shared" si="9"/>
        <v>311</v>
      </c>
      <c r="AO14" s="1627" t="e">
        <f>#REF!-O14</f>
        <v>#REF!</v>
      </c>
    </row>
    <row r="15" spans="1:41">
      <c r="A15" s="3379"/>
      <c r="B15" s="2682" t="s">
        <v>393</v>
      </c>
      <c r="C15" s="1873">
        <v>527</v>
      </c>
      <c r="D15" s="2036">
        <f>'Table 6c'!L13</f>
        <v>1000</v>
      </c>
      <c r="E15" s="861">
        <v>1000</v>
      </c>
      <c r="F15" s="368">
        <v>1000</v>
      </c>
      <c r="G15" s="368">
        <v>1000</v>
      </c>
      <c r="H15" s="368">
        <v>1000</v>
      </c>
      <c r="I15" s="368">
        <v>1000</v>
      </c>
      <c r="J15" s="1011">
        <v>1000</v>
      </c>
      <c r="K15" s="1011">
        <v>1000</v>
      </c>
      <c r="L15" s="197">
        <f t="shared" si="19"/>
        <v>0</v>
      </c>
      <c r="M15" s="1006">
        <f t="shared" si="45"/>
        <v>7.0000000000000007E-2</v>
      </c>
      <c r="N15" s="2038">
        <v>0</v>
      </c>
      <c r="O15" s="49">
        <f>'Table 6c'!G13</f>
        <v>7.0000000000000007E-2</v>
      </c>
      <c r="P15" s="48">
        <f t="shared" si="46"/>
        <v>0.09</v>
      </c>
      <c r="Q15" s="2038">
        <v>0</v>
      </c>
      <c r="R15" s="49">
        <f>E15*AI15/1000000</f>
        <v>0.09</v>
      </c>
      <c r="S15" s="48">
        <f t="shared" si="47"/>
        <v>0.09</v>
      </c>
      <c r="T15" s="2038">
        <v>0</v>
      </c>
      <c r="U15" s="49">
        <f>F15*AI15/1000000</f>
        <v>0.09</v>
      </c>
      <c r="V15" s="48">
        <f t="shared" si="48"/>
        <v>0.09</v>
      </c>
      <c r="W15" s="2038">
        <v>0</v>
      </c>
      <c r="X15" s="49">
        <f>G15*AI15/1000000</f>
        <v>0.09</v>
      </c>
      <c r="Y15" s="48">
        <f t="shared" si="49"/>
        <v>0.09</v>
      </c>
      <c r="Z15" s="2038">
        <v>0</v>
      </c>
      <c r="AA15" s="49">
        <f>H15*AI15/1000000</f>
        <v>0.09</v>
      </c>
      <c r="AB15" s="48">
        <f t="shared" si="50"/>
        <v>0.09</v>
      </c>
      <c r="AC15" s="2038">
        <v>0</v>
      </c>
      <c r="AD15" s="49">
        <f>I15*AI15/1000000</f>
        <v>0.09</v>
      </c>
      <c r="AE15" s="48">
        <f t="shared" si="16"/>
        <v>0.09</v>
      </c>
      <c r="AF15" s="2038">
        <v>0</v>
      </c>
      <c r="AG15" s="49">
        <f>J15*AI15/1000000</f>
        <v>0.09</v>
      </c>
      <c r="AH15" s="1871">
        <f t="shared" si="37"/>
        <v>0.28999999999999998</v>
      </c>
      <c r="AI15" s="2683">
        <f>'Table 6c'!P13</f>
        <v>86</v>
      </c>
      <c r="AJ15" s="48">
        <f t="shared" si="51"/>
        <v>0.1</v>
      </c>
      <c r="AK15" s="2038">
        <v>0</v>
      </c>
      <c r="AL15" s="49">
        <f t="shared" si="52"/>
        <v>0.1</v>
      </c>
      <c r="AN15" s="2036">
        <f t="shared" si="9"/>
        <v>0</v>
      </c>
      <c r="AO15" s="1623" t="e">
        <f>#REF!-O15</f>
        <v>#REF!</v>
      </c>
    </row>
    <row r="16" spans="1:41" s="22" customFormat="1" ht="14.25" thickTop="1" thickBot="1">
      <c r="A16" s="3379"/>
      <c r="B16" s="3397" t="s">
        <v>129</v>
      </c>
      <c r="C16" s="3398"/>
      <c r="D16" s="2181">
        <f t="shared" ref="D16:I16" si="53">SUM(D13:D15)</f>
        <v>1697</v>
      </c>
      <c r="E16" s="856">
        <f t="shared" si="53"/>
        <v>1699</v>
      </c>
      <c r="F16" s="172">
        <f t="shared" si="53"/>
        <v>1815</v>
      </c>
      <c r="G16" s="172">
        <f t="shared" si="53"/>
        <v>1876</v>
      </c>
      <c r="H16" s="172">
        <f t="shared" si="53"/>
        <v>2008</v>
      </c>
      <c r="I16" s="172">
        <f t="shared" si="53"/>
        <v>2008</v>
      </c>
      <c r="J16" s="290">
        <f>SUM(J13:J15)</f>
        <v>2008</v>
      </c>
      <c r="K16" s="290">
        <f>SUM(K13:K15)</f>
        <v>8448</v>
      </c>
      <c r="L16" s="241">
        <f t="shared" si="19"/>
        <v>0.18</v>
      </c>
      <c r="M16" s="140">
        <f t="shared" si="45"/>
        <v>0.15</v>
      </c>
      <c r="N16" s="2183">
        <v>0</v>
      </c>
      <c r="O16" s="56">
        <f>SUM(O13:O15)</f>
        <v>0.15</v>
      </c>
      <c r="P16" s="139">
        <f t="shared" si="46"/>
        <v>0.16</v>
      </c>
      <c r="Q16" s="2183">
        <v>0</v>
      </c>
      <c r="R16" s="56">
        <f>SUM(R13:R15)</f>
        <v>0.16</v>
      </c>
      <c r="S16" s="139">
        <f t="shared" si="47"/>
        <v>0.17</v>
      </c>
      <c r="T16" s="2183">
        <v>0</v>
      </c>
      <c r="U16" s="56">
        <f>SUM(U13:U15)</f>
        <v>0.17</v>
      </c>
      <c r="V16" s="139">
        <f t="shared" si="48"/>
        <v>0.17</v>
      </c>
      <c r="W16" s="2183">
        <v>0</v>
      </c>
      <c r="X16" s="56">
        <f>SUM(X13:X15)</f>
        <v>0.17</v>
      </c>
      <c r="Y16" s="139">
        <f t="shared" si="49"/>
        <v>0.18</v>
      </c>
      <c r="Z16" s="2183">
        <v>0</v>
      </c>
      <c r="AA16" s="56">
        <f>SUM(AA13:AA15)</f>
        <v>0.18</v>
      </c>
      <c r="AB16" s="139">
        <f t="shared" si="50"/>
        <v>0.18</v>
      </c>
      <c r="AC16" s="2183">
        <v>0</v>
      </c>
      <c r="AD16" s="56">
        <f>SUM(AD13:AD15)</f>
        <v>0.18</v>
      </c>
      <c r="AE16" s="139">
        <f t="shared" si="16"/>
        <v>0.18</v>
      </c>
      <c r="AF16" s="2183">
        <f t="shared" ref="AF16:AG16" si="54">SUM(AF13:AF15)</f>
        <v>0</v>
      </c>
      <c r="AG16" s="56">
        <f t="shared" si="54"/>
        <v>0.18</v>
      </c>
      <c r="AH16" s="242">
        <f t="shared" si="37"/>
        <v>0.2</v>
      </c>
      <c r="AI16" s="3039" t="s">
        <v>16</v>
      </c>
      <c r="AJ16" s="139">
        <f t="shared" si="51"/>
        <v>0.19</v>
      </c>
      <c r="AK16" s="2183">
        <v>0</v>
      </c>
      <c r="AL16" s="56">
        <f t="shared" si="52"/>
        <v>0.19</v>
      </c>
      <c r="AN16" s="2181">
        <f t="shared" si="9"/>
        <v>311</v>
      </c>
      <c r="AO16" s="1629" t="e">
        <f>#REF!-O16</f>
        <v>#REF!</v>
      </c>
    </row>
    <row r="17" spans="1:41" s="22" customFormat="1" ht="12.75" customHeight="1">
      <c r="A17" s="3300" t="s">
        <v>130</v>
      </c>
      <c r="B17" s="2684" t="s">
        <v>394</v>
      </c>
      <c r="C17" s="754">
        <v>216402</v>
      </c>
      <c r="D17" s="2215">
        <f>'Table 6c'!L15</f>
        <v>52</v>
      </c>
      <c r="E17" s="2685">
        <v>52</v>
      </c>
      <c r="F17" s="2686">
        <v>52</v>
      </c>
      <c r="G17" s="2686">
        <v>52</v>
      </c>
      <c r="H17" s="2686">
        <v>52</v>
      </c>
      <c r="I17" s="2686">
        <v>52</v>
      </c>
      <c r="J17" s="2687">
        <v>52</v>
      </c>
      <c r="K17" s="2687">
        <v>52</v>
      </c>
      <c r="L17" s="196">
        <f t="shared" si="19"/>
        <v>0</v>
      </c>
      <c r="M17" s="186">
        <f t="shared" si="45"/>
        <v>0.01</v>
      </c>
      <c r="N17" s="2172">
        <v>0</v>
      </c>
      <c r="O17" s="160">
        <f>'Table 6c'!G15</f>
        <v>0.01</v>
      </c>
      <c r="P17" s="149">
        <f t="shared" ref="P17:P19" si="55">R17-Q17</f>
        <v>0.01</v>
      </c>
      <c r="Q17" s="2172">
        <v>0</v>
      </c>
      <c r="R17" s="160">
        <f t="shared" ref="R17:R33" si="56">E17*AI17/1000000</f>
        <v>0.01</v>
      </c>
      <c r="S17" s="149">
        <f t="shared" ref="S17:S19" si="57">U17-T17</f>
        <v>0.01</v>
      </c>
      <c r="T17" s="2172">
        <v>0</v>
      </c>
      <c r="U17" s="160">
        <f t="shared" ref="U17:U33" si="58">F17*AI17/1000000</f>
        <v>0.01</v>
      </c>
      <c r="V17" s="149">
        <f t="shared" ref="V17:V19" si="59">X17-W17</f>
        <v>0.01</v>
      </c>
      <c r="W17" s="2172">
        <v>0</v>
      </c>
      <c r="X17" s="160">
        <f t="shared" ref="X17:X33" si="60">G17*AI17/1000000</f>
        <v>0.01</v>
      </c>
      <c r="Y17" s="149">
        <f t="shared" ref="Y17:Y19" si="61">AA17-Z17</f>
        <v>0.01</v>
      </c>
      <c r="Z17" s="2172">
        <v>0</v>
      </c>
      <c r="AA17" s="160">
        <f t="shared" ref="AA17:AA33" si="62">H17*AI17/1000000</f>
        <v>0.01</v>
      </c>
      <c r="AB17" s="149">
        <f t="shared" ref="AB17:AB19" si="63">AD17-AC17</f>
        <v>0.01</v>
      </c>
      <c r="AC17" s="2172">
        <v>0</v>
      </c>
      <c r="AD17" s="160">
        <f t="shared" ref="AD17:AD33" si="64">I17*AI17/1000000</f>
        <v>0.01</v>
      </c>
      <c r="AE17" s="149">
        <f t="shared" ref="AE17:AE19" si="65">AG17-AF17</f>
        <v>0.01</v>
      </c>
      <c r="AF17" s="2172">
        <v>0</v>
      </c>
      <c r="AG17" s="2688">
        <f t="shared" ref="AG17:AG33" si="66">J17*AI17/1000000</f>
        <v>0.01</v>
      </c>
      <c r="AH17" s="196">
        <f t="shared" si="37"/>
        <v>0</v>
      </c>
      <c r="AI17" s="2659">
        <f>'Table 6c'!P15</f>
        <v>154</v>
      </c>
      <c r="AJ17" s="149">
        <f t="shared" si="51"/>
        <v>0.01</v>
      </c>
      <c r="AK17" s="2172">
        <v>0</v>
      </c>
      <c r="AL17" s="160">
        <f t="shared" si="52"/>
        <v>0.01</v>
      </c>
      <c r="AN17" s="2215">
        <f t="shared" si="9"/>
        <v>0</v>
      </c>
      <c r="AO17" s="1625" t="e">
        <f>#REF!-O17</f>
        <v>#REF!</v>
      </c>
    </row>
    <row r="18" spans="1:41" s="22" customFormat="1" ht="15" customHeight="1">
      <c r="A18" s="3301"/>
      <c r="B18" s="2679" t="s">
        <v>395</v>
      </c>
      <c r="C18" s="2346">
        <v>216937</v>
      </c>
      <c r="D18" s="305">
        <f>'Table 6c'!L16</f>
        <v>48</v>
      </c>
      <c r="E18" s="864">
        <v>48</v>
      </c>
      <c r="F18" s="872">
        <v>48</v>
      </c>
      <c r="G18" s="872">
        <v>48</v>
      </c>
      <c r="H18" s="872">
        <v>48</v>
      </c>
      <c r="I18" s="872">
        <v>48</v>
      </c>
      <c r="J18" s="995">
        <v>48</v>
      </c>
      <c r="K18" s="995">
        <v>48</v>
      </c>
      <c r="L18" s="1861">
        <f t="shared" si="19"/>
        <v>0</v>
      </c>
      <c r="M18" s="870">
        <f t="shared" si="45"/>
        <v>0.01</v>
      </c>
      <c r="N18" s="1956">
        <v>0</v>
      </c>
      <c r="O18" s="367">
        <f>'Table 6c'!G16</f>
        <v>0.01</v>
      </c>
      <c r="P18" s="823">
        <f t="shared" si="55"/>
        <v>0.01</v>
      </c>
      <c r="Q18" s="1956">
        <v>0</v>
      </c>
      <c r="R18" s="367">
        <f t="shared" si="56"/>
        <v>0.01</v>
      </c>
      <c r="S18" s="823">
        <f t="shared" si="57"/>
        <v>0.01</v>
      </c>
      <c r="T18" s="1956">
        <v>0</v>
      </c>
      <c r="U18" s="367">
        <f t="shared" si="58"/>
        <v>0.01</v>
      </c>
      <c r="V18" s="823">
        <f t="shared" si="59"/>
        <v>0.01</v>
      </c>
      <c r="W18" s="1956">
        <v>0</v>
      </c>
      <c r="X18" s="367">
        <f t="shared" si="60"/>
        <v>0.01</v>
      </c>
      <c r="Y18" s="823">
        <f t="shared" si="61"/>
        <v>0.01</v>
      </c>
      <c r="Z18" s="1956">
        <v>0</v>
      </c>
      <c r="AA18" s="367">
        <f t="shared" si="62"/>
        <v>0.01</v>
      </c>
      <c r="AB18" s="823">
        <f t="shared" si="63"/>
        <v>0.01</v>
      </c>
      <c r="AC18" s="1956">
        <v>0</v>
      </c>
      <c r="AD18" s="367">
        <f t="shared" si="64"/>
        <v>0.01</v>
      </c>
      <c r="AE18" s="823">
        <f t="shared" si="65"/>
        <v>0.01</v>
      </c>
      <c r="AF18" s="1956">
        <v>0</v>
      </c>
      <c r="AG18" s="2689">
        <f t="shared" si="66"/>
        <v>0.01</v>
      </c>
      <c r="AH18" s="1861">
        <f t="shared" si="37"/>
        <v>0</v>
      </c>
      <c r="AI18" s="2566">
        <f>'Table 6c'!P16</f>
        <v>146</v>
      </c>
      <c r="AJ18" s="823">
        <f t="shared" si="51"/>
        <v>0.01</v>
      </c>
      <c r="AK18" s="1956">
        <v>0</v>
      </c>
      <c r="AL18" s="367">
        <f t="shared" si="52"/>
        <v>0.01</v>
      </c>
      <c r="AN18" s="305">
        <f t="shared" si="9"/>
        <v>0</v>
      </c>
      <c r="AO18" s="1627" t="e">
        <f>#REF!-O18</f>
        <v>#REF!</v>
      </c>
    </row>
    <row r="19" spans="1:41" s="22" customFormat="1" ht="15" customHeight="1">
      <c r="A19" s="3301"/>
      <c r="B19" s="2679" t="s">
        <v>396</v>
      </c>
      <c r="C19" s="2346">
        <v>217171</v>
      </c>
      <c r="D19" s="305">
        <f>'Table 6c'!L17</f>
        <v>136</v>
      </c>
      <c r="E19" s="864">
        <v>136</v>
      </c>
      <c r="F19" s="872">
        <v>136</v>
      </c>
      <c r="G19" s="872">
        <v>136</v>
      </c>
      <c r="H19" s="872">
        <v>136</v>
      </c>
      <c r="I19" s="872">
        <v>136</v>
      </c>
      <c r="J19" s="995">
        <v>136</v>
      </c>
      <c r="K19" s="995">
        <v>136</v>
      </c>
      <c r="L19" s="1861">
        <f t="shared" si="19"/>
        <v>0</v>
      </c>
      <c r="M19" s="870">
        <f t="shared" si="45"/>
        <v>0.02</v>
      </c>
      <c r="N19" s="1956">
        <v>0</v>
      </c>
      <c r="O19" s="367">
        <f>'Table 6c'!G17</f>
        <v>0.02</v>
      </c>
      <c r="P19" s="823">
        <f t="shared" si="55"/>
        <v>0.02</v>
      </c>
      <c r="Q19" s="1956">
        <v>0</v>
      </c>
      <c r="R19" s="367">
        <f t="shared" si="56"/>
        <v>0.02</v>
      </c>
      <c r="S19" s="823">
        <f t="shared" si="57"/>
        <v>0.02</v>
      </c>
      <c r="T19" s="1956">
        <v>0</v>
      </c>
      <c r="U19" s="367">
        <f t="shared" si="58"/>
        <v>0.02</v>
      </c>
      <c r="V19" s="823">
        <f t="shared" si="59"/>
        <v>0.02</v>
      </c>
      <c r="W19" s="1956">
        <v>0</v>
      </c>
      <c r="X19" s="367">
        <f t="shared" si="60"/>
        <v>0.02</v>
      </c>
      <c r="Y19" s="823">
        <f t="shared" si="61"/>
        <v>0.02</v>
      </c>
      <c r="Z19" s="1956">
        <v>0</v>
      </c>
      <c r="AA19" s="367">
        <f t="shared" si="62"/>
        <v>0.02</v>
      </c>
      <c r="AB19" s="823">
        <f t="shared" si="63"/>
        <v>0.02</v>
      </c>
      <c r="AC19" s="1956">
        <v>0</v>
      </c>
      <c r="AD19" s="367">
        <f t="shared" si="64"/>
        <v>0.02</v>
      </c>
      <c r="AE19" s="823">
        <f t="shared" si="65"/>
        <v>0.02</v>
      </c>
      <c r="AF19" s="1956">
        <v>0</v>
      </c>
      <c r="AG19" s="2689">
        <f t="shared" si="66"/>
        <v>0.02</v>
      </c>
      <c r="AH19" s="1861">
        <f t="shared" si="37"/>
        <v>0</v>
      </c>
      <c r="AI19" s="2566">
        <f>'Table 6c'!P17</f>
        <v>147</v>
      </c>
      <c r="AJ19" s="823">
        <f t="shared" si="51"/>
        <v>0.02</v>
      </c>
      <c r="AK19" s="1956">
        <v>0</v>
      </c>
      <c r="AL19" s="367">
        <f t="shared" si="52"/>
        <v>0.02</v>
      </c>
      <c r="AN19" s="305">
        <f t="shared" si="9"/>
        <v>0</v>
      </c>
      <c r="AO19" s="1627" t="e">
        <f>#REF!-O19</f>
        <v>#REF!</v>
      </c>
    </row>
    <row r="20" spans="1:41" s="22" customFormat="1" ht="15" customHeight="1">
      <c r="A20" s="3301"/>
      <c r="B20" s="2621" t="s">
        <v>397</v>
      </c>
      <c r="C20" s="2690">
        <v>218347</v>
      </c>
      <c r="D20" s="305">
        <f>'Table 6c'!L18</f>
        <v>490</v>
      </c>
      <c r="E20" s="864">
        <v>506</v>
      </c>
      <c r="F20" s="872">
        <v>506</v>
      </c>
      <c r="G20" s="872">
        <v>506</v>
      </c>
      <c r="H20" s="872">
        <v>506</v>
      </c>
      <c r="I20" s="872">
        <v>555</v>
      </c>
      <c r="J20" s="995">
        <v>674</v>
      </c>
      <c r="K20" s="995">
        <v>1484</v>
      </c>
      <c r="L20" s="300">
        <f t="shared" si="19"/>
        <v>0.38</v>
      </c>
      <c r="M20" s="870">
        <f>O20-N20</f>
        <v>0.1</v>
      </c>
      <c r="N20" s="1956">
        <v>0</v>
      </c>
      <c r="O20" s="367">
        <f>'Table 6c'!G18</f>
        <v>0.1</v>
      </c>
      <c r="P20" s="823">
        <f t="shared" si="46"/>
        <v>0.08</v>
      </c>
      <c r="Q20" s="1956">
        <v>0</v>
      </c>
      <c r="R20" s="367">
        <f t="shared" si="56"/>
        <v>0.08</v>
      </c>
      <c r="S20" s="823">
        <f t="shared" si="47"/>
        <v>0.08</v>
      </c>
      <c r="T20" s="1956">
        <v>0</v>
      </c>
      <c r="U20" s="367">
        <f t="shared" si="58"/>
        <v>0.08</v>
      </c>
      <c r="V20" s="823">
        <f t="shared" si="48"/>
        <v>0.08</v>
      </c>
      <c r="W20" s="1956">
        <v>0</v>
      </c>
      <c r="X20" s="367">
        <f t="shared" si="60"/>
        <v>0.08</v>
      </c>
      <c r="Y20" s="823">
        <f t="shared" si="49"/>
        <v>0.08</v>
      </c>
      <c r="Z20" s="1956">
        <v>0</v>
      </c>
      <c r="AA20" s="367">
        <f t="shared" si="62"/>
        <v>0.08</v>
      </c>
      <c r="AB20" s="823">
        <f t="shared" si="50"/>
        <v>0.09</v>
      </c>
      <c r="AC20" s="299">
        <v>0</v>
      </c>
      <c r="AD20" s="367">
        <f t="shared" si="64"/>
        <v>0.09</v>
      </c>
      <c r="AE20" s="823">
        <f t="shared" si="16"/>
        <v>0.11</v>
      </c>
      <c r="AF20" s="299">
        <v>0</v>
      </c>
      <c r="AG20" s="2689">
        <f t="shared" si="66"/>
        <v>0.11</v>
      </c>
      <c r="AH20" s="1861">
        <f t="shared" si="37"/>
        <v>0.1</v>
      </c>
      <c r="AI20" s="2566">
        <f>'Table 6c'!P18</f>
        <v>161</v>
      </c>
      <c r="AJ20" s="823">
        <f>AL20-AK20</f>
        <v>0.12</v>
      </c>
      <c r="AK20" s="1956">
        <v>0</v>
      </c>
      <c r="AL20" s="367">
        <f t="shared" si="52"/>
        <v>0.12</v>
      </c>
      <c r="AN20" s="305">
        <f t="shared" si="9"/>
        <v>184</v>
      </c>
      <c r="AO20" s="1627" t="e">
        <f>#REF!-O20</f>
        <v>#REF!</v>
      </c>
    </row>
    <row r="21" spans="1:41" s="22" customFormat="1" ht="15" customHeight="1">
      <c r="A21" s="3301"/>
      <c r="B21" s="2679" t="s">
        <v>398</v>
      </c>
      <c r="C21" s="2346">
        <v>218667</v>
      </c>
      <c r="D21" s="305">
        <f>'Table 6c'!L19</f>
        <v>12</v>
      </c>
      <c r="E21" s="864">
        <v>12</v>
      </c>
      <c r="F21" s="872">
        <v>12</v>
      </c>
      <c r="G21" s="872">
        <v>12</v>
      </c>
      <c r="H21" s="872">
        <v>12</v>
      </c>
      <c r="I21" s="872">
        <v>12</v>
      </c>
      <c r="J21" s="995">
        <v>12</v>
      </c>
      <c r="K21" s="995">
        <v>12</v>
      </c>
      <c r="L21" s="300">
        <f t="shared" si="19"/>
        <v>0</v>
      </c>
      <c r="M21" s="870">
        <f t="shared" ref="M21:M33" si="67">O21-N21</f>
        <v>0</v>
      </c>
      <c r="N21" s="1956">
        <v>0</v>
      </c>
      <c r="O21" s="367">
        <f>'Table 6c'!G19</f>
        <v>0</v>
      </c>
      <c r="P21" s="823">
        <f t="shared" ref="P21:P33" si="68">R21-Q21</f>
        <v>0</v>
      </c>
      <c r="Q21" s="1956">
        <v>0</v>
      </c>
      <c r="R21" s="367">
        <f t="shared" si="56"/>
        <v>0</v>
      </c>
      <c r="S21" s="823">
        <f t="shared" ref="S21:S33" si="69">U21-T21</f>
        <v>0</v>
      </c>
      <c r="T21" s="1956">
        <v>0</v>
      </c>
      <c r="U21" s="367">
        <f t="shared" si="58"/>
        <v>0</v>
      </c>
      <c r="V21" s="823">
        <f t="shared" ref="V21:V33" si="70">X21-W21</f>
        <v>0</v>
      </c>
      <c r="W21" s="1956">
        <v>0</v>
      </c>
      <c r="X21" s="367">
        <f t="shared" si="60"/>
        <v>0</v>
      </c>
      <c r="Y21" s="823">
        <f t="shared" ref="Y21:Y33" si="71">AA21-Z21</f>
        <v>0</v>
      </c>
      <c r="Z21" s="1956">
        <v>0</v>
      </c>
      <c r="AA21" s="367">
        <f t="shared" si="62"/>
        <v>0</v>
      </c>
      <c r="AB21" s="823">
        <f t="shared" ref="AB21:AB33" si="72">AD21-AC21</f>
        <v>0</v>
      </c>
      <c r="AC21" s="1956">
        <v>0</v>
      </c>
      <c r="AD21" s="367">
        <f t="shared" si="64"/>
        <v>0</v>
      </c>
      <c r="AE21" s="823">
        <f t="shared" ref="AE21:AE33" si="73">AG21-AF21</f>
        <v>0</v>
      </c>
      <c r="AF21" s="1956">
        <v>0</v>
      </c>
      <c r="AG21" s="2689">
        <f t="shared" si="66"/>
        <v>0</v>
      </c>
      <c r="AH21" s="300" t="s">
        <v>16</v>
      </c>
      <c r="AI21" s="2566">
        <f>'Table 6c'!P19</f>
        <v>167</v>
      </c>
      <c r="AJ21" s="823">
        <f t="shared" ref="AJ21:AJ33" si="74">AL21-AK21</f>
        <v>0</v>
      </c>
      <c r="AK21" s="1956">
        <v>0</v>
      </c>
      <c r="AL21" s="367">
        <f t="shared" si="52"/>
        <v>0</v>
      </c>
      <c r="AN21" s="305">
        <f t="shared" si="9"/>
        <v>0</v>
      </c>
      <c r="AO21" s="1627" t="e">
        <f>#REF!-O21</f>
        <v>#REF!</v>
      </c>
    </row>
    <row r="22" spans="1:41" s="22" customFormat="1" ht="15" customHeight="1">
      <c r="A22" s="3301"/>
      <c r="B22" s="2679" t="s">
        <v>399</v>
      </c>
      <c r="C22" s="2346">
        <v>219114</v>
      </c>
      <c r="D22" s="305">
        <f>'Table 6c'!L20</f>
        <v>250</v>
      </c>
      <c r="E22" s="2986">
        <v>250</v>
      </c>
      <c r="F22" s="1100">
        <v>250</v>
      </c>
      <c r="G22" s="1100">
        <v>250</v>
      </c>
      <c r="H22" s="1100">
        <v>250</v>
      </c>
      <c r="I22" s="1100">
        <v>250</v>
      </c>
      <c r="J22" s="1100">
        <v>250</v>
      </c>
      <c r="K22" s="305">
        <v>250</v>
      </c>
      <c r="L22" s="300">
        <f t="shared" si="19"/>
        <v>0</v>
      </c>
      <c r="M22" s="870">
        <f t="shared" ref="M22" si="75">O22-N22</f>
        <v>0.01</v>
      </c>
      <c r="N22" s="1956">
        <v>0</v>
      </c>
      <c r="O22" s="367">
        <f>'Table 6c'!G20</f>
        <v>0.01</v>
      </c>
      <c r="P22" s="823">
        <f t="shared" si="68"/>
        <v>0.01</v>
      </c>
      <c r="Q22" s="1956">
        <v>0</v>
      </c>
      <c r="R22" s="367">
        <f t="shared" si="56"/>
        <v>0.01</v>
      </c>
      <c r="S22" s="823">
        <f t="shared" ref="S22" si="76">U22-T22</f>
        <v>0.01</v>
      </c>
      <c r="T22" s="1956">
        <v>0</v>
      </c>
      <c r="U22" s="367">
        <f t="shared" ref="U22" si="77">F22*AI22/1000000</f>
        <v>0.01</v>
      </c>
      <c r="V22" s="823">
        <f t="shared" ref="V22" si="78">X22-W22</f>
        <v>0.01</v>
      </c>
      <c r="W22" s="1956">
        <v>0</v>
      </c>
      <c r="X22" s="367">
        <f t="shared" ref="X22" si="79">G22*AI22/1000000</f>
        <v>0.01</v>
      </c>
      <c r="Y22" s="823">
        <f t="shared" ref="Y22" si="80">AA22-Z22</f>
        <v>0.01</v>
      </c>
      <c r="Z22" s="1956">
        <v>0</v>
      </c>
      <c r="AA22" s="367">
        <f t="shared" ref="AA22" si="81">H22*AI22/1000000</f>
        <v>0.01</v>
      </c>
      <c r="AB22" s="823">
        <f t="shared" ref="AB22" si="82">AD22-AC22</f>
        <v>0.01</v>
      </c>
      <c r="AC22" s="1956">
        <v>0</v>
      </c>
      <c r="AD22" s="367">
        <f t="shared" ref="AD22" si="83">I22*AI22/1000000</f>
        <v>0.01</v>
      </c>
      <c r="AE22" s="823">
        <f t="shared" ref="AE22" si="84">AG22-AF22</f>
        <v>0.01</v>
      </c>
      <c r="AF22" s="1956">
        <v>0</v>
      </c>
      <c r="AG22" s="2689">
        <f t="shared" ref="AG22" si="85">J22*AI22/1000000</f>
        <v>0.01</v>
      </c>
      <c r="AH22" s="300">
        <f>(AG22-O22)/O22</f>
        <v>0</v>
      </c>
      <c r="AI22" s="2566">
        <f>'Table 6c'!P20</f>
        <v>59</v>
      </c>
      <c r="AJ22" s="823">
        <f t="shared" ref="AJ22" si="86">AL22-AK22</f>
        <v>0.01</v>
      </c>
      <c r="AK22" s="1956">
        <v>0</v>
      </c>
      <c r="AL22" s="367">
        <f t="shared" si="52"/>
        <v>0.01</v>
      </c>
      <c r="AN22" s="305"/>
      <c r="AO22" s="1627"/>
    </row>
    <row r="23" spans="1:41" s="22" customFormat="1" ht="15" customHeight="1">
      <c r="A23" s="3301"/>
      <c r="B23" s="2679" t="s">
        <v>400</v>
      </c>
      <c r="C23" s="2346">
        <v>219122</v>
      </c>
      <c r="D23" s="305">
        <f>'Table 6c'!L21</f>
        <v>300</v>
      </c>
      <c r="E23" s="2986">
        <v>300</v>
      </c>
      <c r="F23" s="1100">
        <v>300</v>
      </c>
      <c r="G23" s="1100">
        <v>300</v>
      </c>
      <c r="H23" s="1100">
        <v>300</v>
      </c>
      <c r="I23" s="1100">
        <v>300</v>
      </c>
      <c r="J23" s="873">
        <v>300</v>
      </c>
      <c r="K23" s="995">
        <v>300</v>
      </c>
      <c r="L23" s="300">
        <f t="shared" si="19"/>
        <v>0</v>
      </c>
      <c r="M23" s="870">
        <f t="shared" ref="M23" si="87">O23-N23</f>
        <v>0.01</v>
      </c>
      <c r="N23" s="1956">
        <v>0</v>
      </c>
      <c r="O23" s="367">
        <f>'Table 6c'!G21</f>
        <v>0.01</v>
      </c>
      <c r="P23" s="823">
        <f t="shared" ref="P23" si="88">R23-Q23</f>
        <v>0.01</v>
      </c>
      <c r="Q23" s="1956">
        <v>0</v>
      </c>
      <c r="R23" s="367">
        <f t="shared" ref="R23" si="89">E23*AI23/1000000</f>
        <v>0.01</v>
      </c>
      <c r="S23" s="823">
        <f t="shared" ref="S23" si="90">U23-T23</f>
        <v>0.01</v>
      </c>
      <c r="T23" s="1956">
        <v>0</v>
      </c>
      <c r="U23" s="367">
        <f t="shared" ref="U23" si="91">F23*AI23/1000000</f>
        <v>0.01</v>
      </c>
      <c r="V23" s="823">
        <f t="shared" ref="V23" si="92">X23-W23</f>
        <v>0.01</v>
      </c>
      <c r="W23" s="1956">
        <v>0</v>
      </c>
      <c r="X23" s="367">
        <f t="shared" ref="X23" si="93">G23*AI23/1000000</f>
        <v>0.01</v>
      </c>
      <c r="Y23" s="823">
        <f t="shared" ref="Y23" si="94">AA23-Z23</f>
        <v>0.01</v>
      </c>
      <c r="Z23" s="1956">
        <v>0</v>
      </c>
      <c r="AA23" s="367">
        <f t="shared" ref="AA23" si="95">H23*AI23/1000000</f>
        <v>0.01</v>
      </c>
      <c r="AB23" s="823">
        <f t="shared" ref="AB23" si="96">AD23-AC23</f>
        <v>0.01</v>
      </c>
      <c r="AC23" s="1956">
        <v>0</v>
      </c>
      <c r="AD23" s="367">
        <f t="shared" ref="AD23" si="97">I23*AI23/1000000</f>
        <v>0.01</v>
      </c>
      <c r="AE23" s="823">
        <f t="shared" ref="AE23" si="98">AG23-AF23</f>
        <v>0.01</v>
      </c>
      <c r="AF23" s="1956">
        <v>0</v>
      </c>
      <c r="AG23" s="2689">
        <f t="shared" ref="AG23" si="99">J23*AI23/1000000</f>
        <v>0.01</v>
      </c>
      <c r="AH23" s="300">
        <f>(AG23-O23)/O23</f>
        <v>0</v>
      </c>
      <c r="AI23" s="2566">
        <f>'Table 6c'!P21</f>
        <v>40</v>
      </c>
      <c r="AJ23" s="823">
        <f t="shared" ref="AJ23" si="100">AL23-AK23</f>
        <v>0.01</v>
      </c>
      <c r="AK23" s="1956">
        <v>0</v>
      </c>
      <c r="AL23" s="367">
        <f t="shared" ref="AL23" si="101">AG23*1.06</f>
        <v>0.01</v>
      </c>
      <c r="AN23" s="305"/>
      <c r="AO23" s="1627"/>
    </row>
    <row r="24" spans="1:41" s="22" customFormat="1" ht="15" customHeight="1">
      <c r="A24" s="3301"/>
      <c r="B24" s="2679" t="s">
        <v>401</v>
      </c>
      <c r="C24" s="2346">
        <v>219126</v>
      </c>
      <c r="D24" s="305">
        <f>'Table 6c'!L22</f>
        <v>96</v>
      </c>
      <c r="E24" s="864">
        <v>96</v>
      </c>
      <c r="F24" s="872">
        <v>96</v>
      </c>
      <c r="G24" s="872">
        <v>96</v>
      </c>
      <c r="H24" s="872">
        <v>96</v>
      </c>
      <c r="I24" s="872">
        <v>96</v>
      </c>
      <c r="J24" s="995">
        <v>96</v>
      </c>
      <c r="K24" s="995">
        <v>96</v>
      </c>
      <c r="L24" s="300">
        <f t="shared" si="19"/>
        <v>0</v>
      </c>
      <c r="M24" s="870">
        <f t="shared" si="67"/>
        <v>0.01</v>
      </c>
      <c r="N24" s="1956">
        <v>0</v>
      </c>
      <c r="O24" s="367">
        <f>'Table 6c'!G22</f>
        <v>0.01</v>
      </c>
      <c r="P24" s="823">
        <f t="shared" si="68"/>
        <v>0.01</v>
      </c>
      <c r="Q24" s="1956">
        <v>0</v>
      </c>
      <c r="R24" s="367">
        <f t="shared" si="56"/>
        <v>0.01</v>
      </c>
      <c r="S24" s="823">
        <f t="shared" si="69"/>
        <v>0.01</v>
      </c>
      <c r="T24" s="1956">
        <v>0</v>
      </c>
      <c r="U24" s="367">
        <f t="shared" si="58"/>
        <v>0.01</v>
      </c>
      <c r="V24" s="823">
        <f t="shared" si="70"/>
        <v>0.01</v>
      </c>
      <c r="W24" s="1956">
        <v>0</v>
      </c>
      <c r="X24" s="367">
        <f t="shared" si="60"/>
        <v>0.01</v>
      </c>
      <c r="Y24" s="823">
        <f t="shared" si="71"/>
        <v>0.01</v>
      </c>
      <c r="Z24" s="1956">
        <v>0</v>
      </c>
      <c r="AA24" s="367">
        <f t="shared" si="62"/>
        <v>0.01</v>
      </c>
      <c r="AB24" s="823">
        <f t="shared" si="72"/>
        <v>0.01</v>
      </c>
      <c r="AC24" s="1956">
        <v>0</v>
      </c>
      <c r="AD24" s="367">
        <f t="shared" si="64"/>
        <v>0.01</v>
      </c>
      <c r="AE24" s="823">
        <f t="shared" si="73"/>
        <v>0.01</v>
      </c>
      <c r="AF24" s="1956">
        <v>0</v>
      </c>
      <c r="AG24" s="2689">
        <f t="shared" si="66"/>
        <v>0.01</v>
      </c>
      <c r="AH24" s="300">
        <f>(AG24-O24)/O24</f>
        <v>0</v>
      </c>
      <c r="AI24" s="2566">
        <f>'Table 6c'!P22</f>
        <v>146</v>
      </c>
      <c r="AJ24" s="823">
        <f t="shared" si="74"/>
        <v>0.01</v>
      </c>
      <c r="AK24" s="1956">
        <v>0</v>
      </c>
      <c r="AL24" s="367">
        <f t="shared" si="52"/>
        <v>0.01</v>
      </c>
      <c r="AN24" s="305">
        <f t="shared" si="9"/>
        <v>0</v>
      </c>
      <c r="AO24" s="1627" t="e">
        <f>#REF!-O24</f>
        <v>#REF!</v>
      </c>
    </row>
    <row r="25" spans="1:41" s="22" customFormat="1" ht="15" customHeight="1">
      <c r="A25" s="3301"/>
      <c r="B25" s="2679" t="s">
        <v>402</v>
      </c>
      <c r="C25" s="2346">
        <v>219141</v>
      </c>
      <c r="D25" s="305">
        <f>'Table 6c'!L23</f>
        <v>22</v>
      </c>
      <c r="E25" s="864">
        <v>22</v>
      </c>
      <c r="F25" s="872">
        <v>22</v>
      </c>
      <c r="G25" s="872">
        <v>22</v>
      </c>
      <c r="H25" s="872">
        <v>22</v>
      </c>
      <c r="I25" s="872">
        <v>22</v>
      </c>
      <c r="J25" s="995">
        <v>22</v>
      </c>
      <c r="K25" s="995">
        <v>22</v>
      </c>
      <c r="L25" s="300">
        <f t="shared" si="19"/>
        <v>0</v>
      </c>
      <c r="M25" s="870">
        <f t="shared" si="67"/>
        <v>0</v>
      </c>
      <c r="N25" s="1956">
        <v>0</v>
      </c>
      <c r="O25" s="367">
        <f>'Table 6c'!G23</f>
        <v>0</v>
      </c>
      <c r="P25" s="823">
        <f t="shared" si="68"/>
        <v>0</v>
      </c>
      <c r="Q25" s="1956">
        <v>0</v>
      </c>
      <c r="R25" s="367">
        <f t="shared" si="56"/>
        <v>0</v>
      </c>
      <c r="S25" s="823">
        <f t="shared" si="69"/>
        <v>0</v>
      </c>
      <c r="T25" s="1956">
        <v>0</v>
      </c>
      <c r="U25" s="367">
        <f t="shared" si="58"/>
        <v>0</v>
      </c>
      <c r="V25" s="823">
        <f t="shared" si="70"/>
        <v>0</v>
      </c>
      <c r="W25" s="1956">
        <v>0</v>
      </c>
      <c r="X25" s="367">
        <f t="shared" si="60"/>
        <v>0</v>
      </c>
      <c r="Y25" s="823">
        <f t="shared" si="71"/>
        <v>0</v>
      </c>
      <c r="Z25" s="1956">
        <v>0</v>
      </c>
      <c r="AA25" s="367">
        <f t="shared" si="62"/>
        <v>0</v>
      </c>
      <c r="AB25" s="823">
        <f t="shared" si="72"/>
        <v>0</v>
      </c>
      <c r="AC25" s="1956">
        <v>0</v>
      </c>
      <c r="AD25" s="367">
        <f t="shared" si="64"/>
        <v>0</v>
      </c>
      <c r="AE25" s="823">
        <f t="shared" si="73"/>
        <v>0</v>
      </c>
      <c r="AF25" s="1956">
        <v>0</v>
      </c>
      <c r="AG25" s="2689">
        <f t="shared" si="66"/>
        <v>0</v>
      </c>
      <c r="AH25" s="300" t="s">
        <v>16</v>
      </c>
      <c r="AI25" s="2566">
        <f>'Table 6c'!P23</f>
        <v>136</v>
      </c>
      <c r="AJ25" s="823">
        <f t="shared" si="74"/>
        <v>0</v>
      </c>
      <c r="AK25" s="1956">
        <v>0</v>
      </c>
      <c r="AL25" s="367">
        <f t="shared" si="52"/>
        <v>0</v>
      </c>
      <c r="AM25" s="22" t="s">
        <v>36</v>
      </c>
      <c r="AN25" s="305">
        <f t="shared" si="9"/>
        <v>0</v>
      </c>
      <c r="AO25" s="1627" t="e">
        <f>#REF!-O25</f>
        <v>#REF!</v>
      </c>
    </row>
    <row r="26" spans="1:41" s="22" customFormat="1" ht="25.5" customHeight="1">
      <c r="A26" s="3301"/>
      <c r="B26" s="2691" t="s">
        <v>403</v>
      </c>
      <c r="C26" s="2346">
        <v>219146</v>
      </c>
      <c r="D26" s="305">
        <f>'Table 6c'!L24</f>
        <v>40</v>
      </c>
      <c r="E26" s="864">
        <v>40</v>
      </c>
      <c r="F26" s="872">
        <v>40</v>
      </c>
      <c r="G26" s="872">
        <v>40</v>
      </c>
      <c r="H26" s="872">
        <v>40</v>
      </c>
      <c r="I26" s="872">
        <v>40</v>
      </c>
      <c r="J26" s="995">
        <v>40</v>
      </c>
      <c r="K26" s="995">
        <v>40</v>
      </c>
      <c r="L26" s="300">
        <f t="shared" si="19"/>
        <v>0</v>
      </c>
      <c r="M26" s="870">
        <f t="shared" si="67"/>
        <v>0.01</v>
      </c>
      <c r="N26" s="1956">
        <v>0</v>
      </c>
      <c r="O26" s="367">
        <f>'Table 6c'!G24</f>
        <v>0.01</v>
      </c>
      <c r="P26" s="823">
        <f t="shared" si="68"/>
        <v>0.01</v>
      </c>
      <c r="Q26" s="1956">
        <v>0</v>
      </c>
      <c r="R26" s="367">
        <f t="shared" si="56"/>
        <v>0.01</v>
      </c>
      <c r="S26" s="823">
        <f t="shared" si="69"/>
        <v>0.01</v>
      </c>
      <c r="T26" s="1956">
        <v>0</v>
      </c>
      <c r="U26" s="367">
        <f t="shared" si="58"/>
        <v>0.01</v>
      </c>
      <c r="V26" s="823">
        <f t="shared" si="70"/>
        <v>0.01</v>
      </c>
      <c r="W26" s="1956">
        <v>0</v>
      </c>
      <c r="X26" s="367">
        <f t="shared" si="60"/>
        <v>0.01</v>
      </c>
      <c r="Y26" s="823">
        <f t="shared" si="71"/>
        <v>0.01</v>
      </c>
      <c r="Z26" s="1956">
        <v>0</v>
      </c>
      <c r="AA26" s="367">
        <f t="shared" si="62"/>
        <v>0.01</v>
      </c>
      <c r="AB26" s="823">
        <f t="shared" si="72"/>
        <v>0.01</v>
      </c>
      <c r="AC26" s="1956">
        <v>0</v>
      </c>
      <c r="AD26" s="367">
        <f t="shared" si="64"/>
        <v>0.01</v>
      </c>
      <c r="AE26" s="823">
        <f t="shared" si="73"/>
        <v>0.01</v>
      </c>
      <c r="AF26" s="1956">
        <v>0</v>
      </c>
      <c r="AG26" s="2689">
        <f t="shared" si="66"/>
        <v>0.01</v>
      </c>
      <c r="AH26" s="300">
        <f>(AG26-O26)/O26</f>
        <v>0</v>
      </c>
      <c r="AI26" s="2566">
        <f>'Table 6c'!P24</f>
        <v>150</v>
      </c>
      <c r="AJ26" s="823">
        <f t="shared" si="74"/>
        <v>0.01</v>
      </c>
      <c r="AK26" s="1956">
        <v>0</v>
      </c>
      <c r="AL26" s="367">
        <f t="shared" si="52"/>
        <v>0.01</v>
      </c>
      <c r="AN26" s="305">
        <f t="shared" si="9"/>
        <v>0</v>
      </c>
      <c r="AO26" s="1627" t="e">
        <f>#REF!-O26</f>
        <v>#REF!</v>
      </c>
    </row>
    <row r="27" spans="1:41" s="22" customFormat="1" ht="15" customHeight="1">
      <c r="A27" s="3301"/>
      <c r="B27" s="2679" t="s">
        <v>404</v>
      </c>
      <c r="C27" s="2346">
        <v>219152</v>
      </c>
      <c r="D27" s="305">
        <f>'Table 6c'!L25</f>
        <v>66</v>
      </c>
      <c r="E27" s="864">
        <v>66</v>
      </c>
      <c r="F27" s="872">
        <v>66</v>
      </c>
      <c r="G27" s="872">
        <v>66</v>
      </c>
      <c r="H27" s="872">
        <v>66</v>
      </c>
      <c r="I27" s="872">
        <v>66</v>
      </c>
      <c r="J27" s="995">
        <v>66</v>
      </c>
      <c r="K27" s="995">
        <v>66</v>
      </c>
      <c r="L27" s="300">
        <f t="shared" si="19"/>
        <v>0</v>
      </c>
      <c r="M27" s="870">
        <f t="shared" si="67"/>
        <v>0.01</v>
      </c>
      <c r="N27" s="1956">
        <v>0</v>
      </c>
      <c r="O27" s="367">
        <f>'Table 6c'!G25</f>
        <v>0.01</v>
      </c>
      <c r="P27" s="823">
        <f t="shared" si="68"/>
        <v>0.01</v>
      </c>
      <c r="Q27" s="1956">
        <v>0</v>
      </c>
      <c r="R27" s="367">
        <f t="shared" si="56"/>
        <v>0.01</v>
      </c>
      <c r="S27" s="823">
        <f t="shared" si="69"/>
        <v>0.01</v>
      </c>
      <c r="T27" s="1956">
        <v>0</v>
      </c>
      <c r="U27" s="367">
        <f t="shared" si="58"/>
        <v>0.01</v>
      </c>
      <c r="V27" s="823">
        <f t="shared" si="70"/>
        <v>0.01</v>
      </c>
      <c r="W27" s="1956">
        <v>0</v>
      </c>
      <c r="X27" s="367">
        <f t="shared" si="60"/>
        <v>0.01</v>
      </c>
      <c r="Y27" s="823">
        <f t="shared" si="71"/>
        <v>0.01</v>
      </c>
      <c r="Z27" s="1956">
        <v>0</v>
      </c>
      <c r="AA27" s="367">
        <f t="shared" si="62"/>
        <v>0.01</v>
      </c>
      <c r="AB27" s="823">
        <f t="shared" si="72"/>
        <v>0.01</v>
      </c>
      <c r="AC27" s="1956">
        <v>0</v>
      </c>
      <c r="AD27" s="367">
        <f t="shared" si="64"/>
        <v>0.01</v>
      </c>
      <c r="AE27" s="823">
        <f t="shared" si="73"/>
        <v>0.01</v>
      </c>
      <c r="AF27" s="1956">
        <v>0</v>
      </c>
      <c r="AG27" s="2689">
        <f t="shared" si="66"/>
        <v>0.01</v>
      </c>
      <c r="AH27" s="300">
        <f>(AG27-O27)/O27</f>
        <v>0</v>
      </c>
      <c r="AI27" s="2566">
        <f>'Table 6c'!P25</f>
        <v>152</v>
      </c>
      <c r="AJ27" s="823">
        <f t="shared" si="74"/>
        <v>0.01</v>
      </c>
      <c r="AK27" s="1956">
        <v>0</v>
      </c>
      <c r="AL27" s="367">
        <f t="shared" si="52"/>
        <v>0.01</v>
      </c>
      <c r="AN27" s="305">
        <f t="shared" si="9"/>
        <v>0</v>
      </c>
      <c r="AO27" s="1627" t="e">
        <f>#REF!-O27</f>
        <v>#REF!</v>
      </c>
    </row>
    <row r="28" spans="1:41" s="22" customFormat="1" ht="15" customHeight="1">
      <c r="A28" s="3301"/>
      <c r="B28" s="2679" t="s">
        <v>405</v>
      </c>
      <c r="C28" s="2346">
        <v>219195</v>
      </c>
      <c r="D28" s="305">
        <f>'Table 6c'!L26</f>
        <v>310</v>
      </c>
      <c r="E28" s="864">
        <v>310</v>
      </c>
      <c r="F28" s="872">
        <v>310</v>
      </c>
      <c r="G28" s="872">
        <v>310</v>
      </c>
      <c r="H28" s="872">
        <v>310</v>
      </c>
      <c r="I28" s="872">
        <v>310</v>
      </c>
      <c r="J28" s="873">
        <v>310</v>
      </c>
      <c r="K28" s="995">
        <v>310</v>
      </c>
      <c r="L28" s="300">
        <f t="shared" si="19"/>
        <v>0</v>
      </c>
      <c r="M28" s="870">
        <f t="shared" ref="M28" si="102">O28-N28</f>
        <v>0</v>
      </c>
      <c r="N28" s="1956">
        <v>0</v>
      </c>
      <c r="O28" s="367">
        <f>'Table 6c'!G26</f>
        <v>0</v>
      </c>
      <c r="P28" s="823">
        <f t="shared" ref="P28" si="103">R28-Q28</f>
        <v>0</v>
      </c>
      <c r="Q28" s="1956">
        <v>0</v>
      </c>
      <c r="R28" s="367">
        <f t="shared" ref="R28" si="104">E28*AI28/1000000</f>
        <v>0</v>
      </c>
      <c r="S28" s="823">
        <f t="shared" ref="S28" si="105">U28-T28</f>
        <v>0</v>
      </c>
      <c r="T28" s="1956">
        <v>0</v>
      </c>
      <c r="U28" s="367">
        <f t="shared" ref="U28" si="106">F28*AI28/1000000</f>
        <v>0</v>
      </c>
      <c r="V28" s="823">
        <f t="shared" ref="V28" si="107">X28-W28</f>
        <v>0</v>
      </c>
      <c r="W28" s="1956">
        <v>0</v>
      </c>
      <c r="X28" s="367">
        <f t="shared" ref="X28" si="108">G28*AI28/1000000</f>
        <v>0</v>
      </c>
      <c r="Y28" s="823">
        <f t="shared" ref="Y28" si="109">AA28-Z28</f>
        <v>0</v>
      </c>
      <c r="Z28" s="1956">
        <v>0</v>
      </c>
      <c r="AA28" s="367">
        <f t="shared" ref="AA28" si="110">H28*AI28/1000000</f>
        <v>0</v>
      </c>
      <c r="AB28" s="823">
        <f t="shared" ref="AB28" si="111">AD28-AC28</f>
        <v>0</v>
      </c>
      <c r="AC28" s="1956">
        <v>0</v>
      </c>
      <c r="AD28" s="367">
        <f t="shared" ref="AD28" si="112">I28*AI28/1000000</f>
        <v>0</v>
      </c>
      <c r="AE28" s="823">
        <f t="shared" ref="AE28" si="113">AG28-AF28</f>
        <v>0</v>
      </c>
      <c r="AF28" s="1956">
        <v>0</v>
      </c>
      <c r="AG28" s="2689">
        <f t="shared" ref="AG28" si="114">J28*AI28/1000000</f>
        <v>0</v>
      </c>
      <c r="AH28" s="300" t="s">
        <v>16</v>
      </c>
      <c r="AI28" s="2566">
        <f>'Table 6c'!P26</f>
        <v>13</v>
      </c>
      <c r="AJ28" s="823">
        <f t="shared" ref="AJ28" si="115">AL28-AK28</f>
        <v>0</v>
      </c>
      <c r="AK28" s="1956">
        <v>0</v>
      </c>
      <c r="AL28" s="367">
        <f t="shared" ref="AL28" si="116">AG28*1.06</f>
        <v>0</v>
      </c>
      <c r="AN28" s="305"/>
      <c r="AO28" s="1627"/>
    </row>
    <row r="29" spans="1:41" s="22" customFormat="1" ht="15" customHeight="1">
      <c r="A29" s="3301"/>
      <c r="B29" s="2679" t="s">
        <v>406</v>
      </c>
      <c r="C29" s="2346">
        <v>219755</v>
      </c>
      <c r="D29" s="305">
        <f>'Table 6c'!L27</f>
        <v>20</v>
      </c>
      <c r="E29" s="864">
        <v>20</v>
      </c>
      <c r="F29" s="872">
        <v>20</v>
      </c>
      <c r="G29" s="872">
        <v>20</v>
      </c>
      <c r="H29" s="872">
        <v>20</v>
      </c>
      <c r="I29" s="872">
        <v>20</v>
      </c>
      <c r="J29" s="995">
        <v>20</v>
      </c>
      <c r="K29" s="995">
        <v>20</v>
      </c>
      <c r="L29" s="300">
        <f t="shared" si="19"/>
        <v>0</v>
      </c>
      <c r="M29" s="870">
        <f t="shared" si="67"/>
        <v>0.01</v>
      </c>
      <c r="N29" s="1956">
        <v>0</v>
      </c>
      <c r="O29" s="367">
        <f>'Table 6c'!G27</f>
        <v>0.01</v>
      </c>
      <c r="P29" s="823">
        <f t="shared" si="68"/>
        <v>0.01</v>
      </c>
      <c r="Q29" s="1956">
        <v>0</v>
      </c>
      <c r="R29" s="367">
        <f t="shared" si="56"/>
        <v>0.01</v>
      </c>
      <c r="S29" s="823">
        <f t="shared" si="69"/>
        <v>0.01</v>
      </c>
      <c r="T29" s="1956">
        <v>0</v>
      </c>
      <c r="U29" s="367">
        <f t="shared" si="58"/>
        <v>0.01</v>
      </c>
      <c r="V29" s="823">
        <f t="shared" si="70"/>
        <v>0.01</v>
      </c>
      <c r="W29" s="1956">
        <v>0</v>
      </c>
      <c r="X29" s="367">
        <f t="shared" si="60"/>
        <v>0.01</v>
      </c>
      <c r="Y29" s="823">
        <f t="shared" si="71"/>
        <v>0.01</v>
      </c>
      <c r="Z29" s="1956">
        <v>0</v>
      </c>
      <c r="AA29" s="367">
        <f t="shared" si="62"/>
        <v>0.01</v>
      </c>
      <c r="AB29" s="823">
        <f t="shared" si="72"/>
        <v>0.01</v>
      </c>
      <c r="AC29" s="1956">
        <v>0</v>
      </c>
      <c r="AD29" s="367">
        <f t="shared" si="64"/>
        <v>0.01</v>
      </c>
      <c r="AE29" s="823">
        <f t="shared" si="73"/>
        <v>0.01</v>
      </c>
      <c r="AF29" s="1956">
        <v>0</v>
      </c>
      <c r="AG29" s="2689">
        <f t="shared" si="66"/>
        <v>0.01</v>
      </c>
      <c r="AH29" s="300">
        <f>(AG29-O29)/O29</f>
        <v>0</v>
      </c>
      <c r="AI29" s="2566">
        <f>'Table 6c'!P27</f>
        <v>300</v>
      </c>
      <c r="AJ29" s="823">
        <f t="shared" si="74"/>
        <v>0.01</v>
      </c>
      <c r="AK29" s="1956">
        <v>0</v>
      </c>
      <c r="AL29" s="367">
        <f t="shared" si="52"/>
        <v>0.01</v>
      </c>
      <c r="AN29" s="305">
        <f t="shared" si="9"/>
        <v>0</v>
      </c>
      <c r="AO29" s="1627" t="e">
        <f>#REF!-O29</f>
        <v>#REF!</v>
      </c>
    </row>
    <row r="30" spans="1:41" s="22" customFormat="1" ht="15" customHeight="1">
      <c r="A30" s="3301"/>
      <c r="B30" s="2679" t="s">
        <v>407</v>
      </c>
      <c r="C30" s="2346">
        <v>219757</v>
      </c>
      <c r="D30" s="305">
        <f>'Table 6c'!L28</f>
        <v>30</v>
      </c>
      <c r="E30" s="864">
        <v>30</v>
      </c>
      <c r="F30" s="872">
        <v>30</v>
      </c>
      <c r="G30" s="872">
        <v>30</v>
      </c>
      <c r="H30" s="872">
        <v>30</v>
      </c>
      <c r="I30" s="872">
        <v>30</v>
      </c>
      <c r="J30" s="995">
        <v>30</v>
      </c>
      <c r="K30" s="995">
        <v>30</v>
      </c>
      <c r="L30" s="300">
        <f t="shared" si="19"/>
        <v>0</v>
      </c>
      <c r="M30" s="870">
        <f t="shared" si="67"/>
        <v>0</v>
      </c>
      <c r="N30" s="1956">
        <v>0</v>
      </c>
      <c r="O30" s="367">
        <f>'Table 6c'!G28</f>
        <v>0</v>
      </c>
      <c r="P30" s="823">
        <f t="shared" si="68"/>
        <v>0</v>
      </c>
      <c r="Q30" s="1956">
        <v>0</v>
      </c>
      <c r="R30" s="367">
        <f t="shared" si="56"/>
        <v>0</v>
      </c>
      <c r="S30" s="823">
        <f t="shared" si="69"/>
        <v>0</v>
      </c>
      <c r="T30" s="1956">
        <v>0</v>
      </c>
      <c r="U30" s="367">
        <f t="shared" si="58"/>
        <v>0</v>
      </c>
      <c r="V30" s="823">
        <f t="shared" si="70"/>
        <v>0</v>
      </c>
      <c r="W30" s="1956">
        <v>0</v>
      </c>
      <c r="X30" s="367">
        <f t="shared" si="60"/>
        <v>0</v>
      </c>
      <c r="Y30" s="823">
        <f t="shared" si="71"/>
        <v>0</v>
      </c>
      <c r="Z30" s="1956">
        <v>0</v>
      </c>
      <c r="AA30" s="367">
        <f t="shared" si="62"/>
        <v>0</v>
      </c>
      <c r="AB30" s="823">
        <f t="shared" si="72"/>
        <v>0</v>
      </c>
      <c r="AC30" s="1956">
        <v>0</v>
      </c>
      <c r="AD30" s="367">
        <f t="shared" si="64"/>
        <v>0</v>
      </c>
      <c r="AE30" s="823">
        <f t="shared" si="73"/>
        <v>0</v>
      </c>
      <c r="AF30" s="1956">
        <v>0</v>
      </c>
      <c r="AG30" s="2689">
        <f t="shared" si="66"/>
        <v>0</v>
      </c>
      <c r="AH30" s="300" t="s">
        <v>16</v>
      </c>
      <c r="AI30" s="2566">
        <f>'Table 6c'!P28</f>
        <v>133</v>
      </c>
      <c r="AJ30" s="823">
        <f t="shared" si="74"/>
        <v>0</v>
      </c>
      <c r="AK30" s="1956">
        <v>0</v>
      </c>
      <c r="AL30" s="367">
        <f t="shared" si="52"/>
        <v>0</v>
      </c>
      <c r="AM30" s="22" t="s">
        <v>36</v>
      </c>
      <c r="AN30" s="305">
        <f t="shared" si="9"/>
        <v>0</v>
      </c>
      <c r="AO30" s="1627" t="e">
        <f>#REF!-O30</f>
        <v>#REF!</v>
      </c>
    </row>
    <row r="31" spans="1:41" s="22" customFormat="1" ht="15" customHeight="1">
      <c r="A31" s="3301"/>
      <c r="B31" s="2679" t="s">
        <v>408</v>
      </c>
      <c r="C31" s="2346">
        <v>219905</v>
      </c>
      <c r="D31" s="305">
        <f>'Table 6c'!L29</f>
        <v>16</v>
      </c>
      <c r="E31" s="864">
        <v>16</v>
      </c>
      <c r="F31" s="872">
        <v>16</v>
      </c>
      <c r="G31" s="872">
        <v>16</v>
      </c>
      <c r="H31" s="872">
        <v>16</v>
      </c>
      <c r="I31" s="872">
        <v>16</v>
      </c>
      <c r="J31" s="995">
        <v>16</v>
      </c>
      <c r="K31" s="995">
        <v>16</v>
      </c>
      <c r="L31" s="300">
        <f t="shared" si="19"/>
        <v>0</v>
      </c>
      <c r="M31" s="870">
        <f t="shared" si="67"/>
        <v>0</v>
      </c>
      <c r="N31" s="1956">
        <v>0</v>
      </c>
      <c r="O31" s="367">
        <f>'Table 6c'!G29</f>
        <v>0</v>
      </c>
      <c r="P31" s="823">
        <f t="shared" si="68"/>
        <v>0</v>
      </c>
      <c r="Q31" s="1956">
        <v>0</v>
      </c>
      <c r="R31" s="367">
        <f t="shared" si="56"/>
        <v>0</v>
      </c>
      <c r="S31" s="823">
        <f t="shared" si="69"/>
        <v>0</v>
      </c>
      <c r="T31" s="1956">
        <v>0</v>
      </c>
      <c r="U31" s="367">
        <f t="shared" si="58"/>
        <v>0</v>
      </c>
      <c r="V31" s="823">
        <f t="shared" si="70"/>
        <v>0</v>
      </c>
      <c r="W31" s="1956">
        <v>0</v>
      </c>
      <c r="X31" s="367">
        <f t="shared" si="60"/>
        <v>0</v>
      </c>
      <c r="Y31" s="823">
        <f t="shared" si="71"/>
        <v>0</v>
      </c>
      <c r="Z31" s="1956">
        <v>0</v>
      </c>
      <c r="AA31" s="367">
        <f t="shared" si="62"/>
        <v>0</v>
      </c>
      <c r="AB31" s="823">
        <f t="shared" si="72"/>
        <v>0</v>
      </c>
      <c r="AC31" s="1956">
        <v>0</v>
      </c>
      <c r="AD31" s="367">
        <f t="shared" si="64"/>
        <v>0</v>
      </c>
      <c r="AE31" s="823">
        <f t="shared" si="73"/>
        <v>0</v>
      </c>
      <c r="AF31" s="1956">
        <v>0</v>
      </c>
      <c r="AG31" s="2689">
        <f t="shared" si="66"/>
        <v>0</v>
      </c>
      <c r="AH31" s="300" t="s">
        <v>16</v>
      </c>
      <c r="AI31" s="2566">
        <f>'Table 6c'!P29</f>
        <v>125</v>
      </c>
      <c r="AJ31" s="823">
        <f t="shared" si="74"/>
        <v>0</v>
      </c>
      <c r="AK31" s="1956">
        <v>0</v>
      </c>
      <c r="AL31" s="367">
        <f t="shared" si="52"/>
        <v>0</v>
      </c>
      <c r="AN31" s="305">
        <f t="shared" si="9"/>
        <v>0</v>
      </c>
      <c r="AO31" s="1627" t="e">
        <f>#REF!-O31</f>
        <v>#REF!</v>
      </c>
    </row>
    <row r="32" spans="1:41" s="22" customFormat="1" ht="15.75" customHeight="1" thickBot="1">
      <c r="A32" s="3301"/>
      <c r="B32" s="2679" t="s">
        <v>409</v>
      </c>
      <c r="C32" s="2346">
        <v>220164</v>
      </c>
      <c r="D32" s="305">
        <f>'Table 6c'!L30</f>
        <v>16</v>
      </c>
      <c r="E32" s="864">
        <v>16</v>
      </c>
      <c r="F32" s="872">
        <v>16</v>
      </c>
      <c r="G32" s="872">
        <v>16</v>
      </c>
      <c r="H32" s="872">
        <v>16</v>
      </c>
      <c r="I32" s="872">
        <v>16</v>
      </c>
      <c r="J32" s="995">
        <v>16</v>
      </c>
      <c r="K32" s="995">
        <v>16</v>
      </c>
      <c r="L32" s="300">
        <f t="shared" si="19"/>
        <v>0</v>
      </c>
      <c r="M32" s="870">
        <f t="shared" si="67"/>
        <v>0</v>
      </c>
      <c r="N32" s="1956">
        <v>0</v>
      </c>
      <c r="O32" s="367">
        <f>'Table 6c'!G30</f>
        <v>0</v>
      </c>
      <c r="P32" s="823">
        <f t="shared" si="68"/>
        <v>0</v>
      </c>
      <c r="Q32" s="1956">
        <v>0</v>
      </c>
      <c r="R32" s="367">
        <f t="shared" si="56"/>
        <v>0</v>
      </c>
      <c r="S32" s="823">
        <f t="shared" si="69"/>
        <v>0</v>
      </c>
      <c r="T32" s="1956">
        <v>0</v>
      </c>
      <c r="U32" s="367">
        <f t="shared" si="58"/>
        <v>0</v>
      </c>
      <c r="V32" s="823">
        <f t="shared" si="70"/>
        <v>0</v>
      </c>
      <c r="W32" s="1956">
        <v>0</v>
      </c>
      <c r="X32" s="367">
        <f t="shared" si="60"/>
        <v>0</v>
      </c>
      <c r="Y32" s="823">
        <f t="shared" si="71"/>
        <v>0</v>
      </c>
      <c r="Z32" s="1956">
        <v>0</v>
      </c>
      <c r="AA32" s="367">
        <f t="shared" si="62"/>
        <v>0</v>
      </c>
      <c r="AB32" s="823">
        <f t="shared" si="72"/>
        <v>0</v>
      </c>
      <c r="AC32" s="1956">
        <v>0</v>
      </c>
      <c r="AD32" s="367">
        <f t="shared" si="64"/>
        <v>0</v>
      </c>
      <c r="AE32" s="823">
        <f t="shared" si="73"/>
        <v>0</v>
      </c>
      <c r="AF32" s="1956">
        <v>0</v>
      </c>
      <c r="AG32" s="179">
        <f t="shared" si="66"/>
        <v>0</v>
      </c>
      <c r="AH32" s="996" t="s">
        <v>16</v>
      </c>
      <c r="AI32" s="2566">
        <f>'Table 6c'!P30</f>
        <v>125</v>
      </c>
      <c r="AJ32" s="823">
        <f t="shared" si="74"/>
        <v>0</v>
      </c>
      <c r="AK32" s="1956">
        <v>0</v>
      </c>
      <c r="AL32" s="367">
        <f t="shared" si="52"/>
        <v>0</v>
      </c>
      <c r="AN32" s="2036">
        <f t="shared" si="9"/>
        <v>0</v>
      </c>
      <c r="AO32" s="1623" t="e">
        <f>#REF!-O32</f>
        <v>#REF!</v>
      </c>
    </row>
    <row r="33" spans="1:41" s="22" customFormat="1" ht="15.75" customHeight="1" thickTop="1">
      <c r="A33" s="3301"/>
      <c r="B33" s="2679" t="s">
        <v>410</v>
      </c>
      <c r="C33" s="3059">
        <v>220582</v>
      </c>
      <c r="D33" s="305">
        <f>'Table 6c'!L31</f>
        <v>348</v>
      </c>
      <c r="E33" s="3007">
        <v>348</v>
      </c>
      <c r="F33" s="3008">
        <v>348</v>
      </c>
      <c r="G33" s="3008">
        <v>348</v>
      </c>
      <c r="H33" s="3008">
        <v>348</v>
      </c>
      <c r="I33" s="3008">
        <v>348</v>
      </c>
      <c r="J33" s="3054">
        <v>348</v>
      </c>
      <c r="K33" s="305">
        <v>348</v>
      </c>
      <c r="L33" s="996">
        <f t="shared" si="19"/>
        <v>0</v>
      </c>
      <c r="M33" s="870">
        <f t="shared" si="67"/>
        <v>0.04</v>
      </c>
      <c r="N33" s="2022">
        <v>0</v>
      </c>
      <c r="O33" s="367">
        <f>'Table 6c'!G31</f>
        <v>0.04</v>
      </c>
      <c r="P33" s="823">
        <f t="shared" si="68"/>
        <v>0.05</v>
      </c>
      <c r="Q33" s="2022">
        <v>0</v>
      </c>
      <c r="R33" s="367">
        <f t="shared" si="56"/>
        <v>0.05</v>
      </c>
      <c r="S33" s="820">
        <f t="shared" si="69"/>
        <v>0.05</v>
      </c>
      <c r="T33" s="2022">
        <v>0</v>
      </c>
      <c r="U33" s="367">
        <f t="shared" si="58"/>
        <v>0.05</v>
      </c>
      <c r="V33" s="823">
        <f t="shared" si="70"/>
        <v>0.05</v>
      </c>
      <c r="W33" s="2022">
        <v>0</v>
      </c>
      <c r="X33" s="367">
        <f t="shared" si="60"/>
        <v>0.05</v>
      </c>
      <c r="Y33" s="823">
        <f t="shared" si="71"/>
        <v>0.05</v>
      </c>
      <c r="Z33" s="2022">
        <v>0</v>
      </c>
      <c r="AA33" s="367">
        <f t="shared" si="62"/>
        <v>0.05</v>
      </c>
      <c r="AB33" s="823">
        <f t="shared" si="72"/>
        <v>0.05</v>
      </c>
      <c r="AC33" s="2022">
        <v>0</v>
      </c>
      <c r="AD33" s="367">
        <f t="shared" si="64"/>
        <v>0.05</v>
      </c>
      <c r="AE33" s="823">
        <f t="shared" si="73"/>
        <v>0.05</v>
      </c>
      <c r="AF33" s="2022">
        <v>0</v>
      </c>
      <c r="AG33" s="179">
        <f t="shared" si="66"/>
        <v>0.05</v>
      </c>
      <c r="AH33" s="300">
        <f>(AG33-O33)/O33</f>
        <v>0.25</v>
      </c>
      <c r="AI33" s="2566">
        <f>'Table 6c'!P31</f>
        <v>139</v>
      </c>
      <c r="AJ33" s="823">
        <f t="shared" si="74"/>
        <v>0.05</v>
      </c>
      <c r="AK33" s="2022">
        <v>0</v>
      </c>
      <c r="AL33" s="367">
        <f t="shared" si="52"/>
        <v>0.05</v>
      </c>
      <c r="AN33" s="2987">
        <f t="shared" si="9"/>
        <v>0</v>
      </c>
      <c r="AO33" s="2607"/>
    </row>
    <row r="34" spans="1:41" s="22" customFormat="1" ht="15.75" customHeight="1" thickBot="1">
      <c r="A34" s="3399"/>
      <c r="B34" s="2776" t="s">
        <v>411</v>
      </c>
      <c r="C34" s="2990">
        <v>220689</v>
      </c>
      <c r="D34" s="2036">
        <f>'Table 6c'!L32</f>
        <v>60</v>
      </c>
      <c r="E34" s="861">
        <v>60</v>
      </c>
      <c r="F34" s="368">
        <v>60</v>
      </c>
      <c r="G34" s="368">
        <v>60</v>
      </c>
      <c r="H34" s="368">
        <v>60</v>
      </c>
      <c r="I34" s="368">
        <v>60</v>
      </c>
      <c r="J34" s="711">
        <v>60</v>
      </c>
      <c r="K34" s="2036">
        <v>60</v>
      </c>
      <c r="L34" s="216">
        <f t="shared" si="19"/>
        <v>0</v>
      </c>
      <c r="M34" s="48">
        <f t="shared" ref="M34" si="117">O34-N34</f>
        <v>0</v>
      </c>
      <c r="N34" s="2038">
        <v>0</v>
      </c>
      <c r="O34" s="49">
        <f>'Table 6c'!G32</f>
        <v>0</v>
      </c>
      <c r="P34" s="48">
        <f t="shared" ref="P34" si="118">R34-Q34</f>
        <v>0</v>
      </c>
      <c r="Q34" s="2038">
        <v>0</v>
      </c>
      <c r="R34" s="49">
        <f t="shared" ref="R34" si="119">E34*AI34/1000000</f>
        <v>0</v>
      </c>
      <c r="S34" s="48">
        <f t="shared" ref="S34" si="120">U34-T34</f>
        <v>0</v>
      </c>
      <c r="T34" s="2038">
        <v>0</v>
      </c>
      <c r="U34" s="49">
        <f t="shared" ref="U34" si="121">F34*AI34/1000000</f>
        <v>0</v>
      </c>
      <c r="V34" s="48">
        <f t="shared" ref="V34" si="122">X34-W34</f>
        <v>0</v>
      </c>
      <c r="W34" s="2038">
        <v>0</v>
      </c>
      <c r="X34" s="49">
        <f t="shared" ref="X34" si="123">G34*AI34/1000000</f>
        <v>0</v>
      </c>
      <c r="Y34" s="48">
        <f t="shared" ref="Y34" si="124">AA34-Z34</f>
        <v>0</v>
      </c>
      <c r="Z34" s="2038">
        <v>0</v>
      </c>
      <c r="AA34" s="49">
        <f t="shared" ref="AA34" si="125">H34*AI34/1000000</f>
        <v>0</v>
      </c>
      <c r="AB34" s="48">
        <f t="shared" ref="AB34" si="126">AD34-AC34</f>
        <v>0</v>
      </c>
      <c r="AC34" s="2038">
        <v>0</v>
      </c>
      <c r="AD34" s="49">
        <f t="shared" ref="AD34" si="127">I34*AI34/1000000</f>
        <v>0</v>
      </c>
      <c r="AE34" s="48">
        <f t="shared" ref="AE34" si="128">AG34-AF34</f>
        <v>0</v>
      </c>
      <c r="AF34" s="2038">
        <v>0</v>
      </c>
      <c r="AG34" s="49">
        <f t="shared" ref="AG34" si="129">J34*AI34/1000000</f>
        <v>0</v>
      </c>
      <c r="AH34" s="1871" t="s">
        <v>16</v>
      </c>
      <c r="AI34" s="2568">
        <f>'Table 6c'!P32</f>
        <v>80</v>
      </c>
      <c r="AJ34" s="48">
        <f t="shared" ref="AJ34" si="130">AL34-AK34</f>
        <v>0</v>
      </c>
      <c r="AK34" s="2038">
        <v>0</v>
      </c>
      <c r="AL34" s="49">
        <f t="shared" ref="AL34" si="131">AG34*1.06</f>
        <v>0</v>
      </c>
      <c r="AN34" s="2987"/>
      <c r="AO34" s="2607"/>
    </row>
    <row r="35" spans="1:41" s="22" customFormat="1" ht="15.75" customHeight="1" thickTop="1" thickBot="1">
      <c r="A35" s="2995"/>
      <c r="B35" s="3359" t="s">
        <v>135</v>
      </c>
      <c r="C35" s="3396"/>
      <c r="D35" s="2996">
        <f t="shared" ref="D35:K35" si="132">SUM(D17:D34)</f>
        <v>2312</v>
      </c>
      <c r="E35" s="2993">
        <f t="shared" si="132"/>
        <v>2328</v>
      </c>
      <c r="F35" s="96">
        <f t="shared" si="132"/>
        <v>2328</v>
      </c>
      <c r="G35" s="96">
        <f t="shared" si="132"/>
        <v>2328</v>
      </c>
      <c r="H35" s="96">
        <f t="shared" si="132"/>
        <v>2328</v>
      </c>
      <c r="I35" s="96">
        <f t="shared" si="132"/>
        <v>2377</v>
      </c>
      <c r="J35" s="2732">
        <f t="shared" si="132"/>
        <v>2496</v>
      </c>
      <c r="K35" s="2996">
        <f t="shared" si="132"/>
        <v>3306</v>
      </c>
      <c r="L35" s="2991">
        <f t="shared" si="19"/>
        <v>0.08</v>
      </c>
      <c r="M35" s="2992">
        <f t="shared" ref="M35:AD35" si="133">SUM(M$17:M$34)</f>
        <v>0.24</v>
      </c>
      <c r="N35" s="323">
        <f t="shared" si="133"/>
        <v>0</v>
      </c>
      <c r="O35" s="2992">
        <f t="shared" si="133"/>
        <v>0.24</v>
      </c>
      <c r="P35" s="184">
        <f t="shared" si="133"/>
        <v>0.23</v>
      </c>
      <c r="Q35" s="323">
        <f t="shared" si="133"/>
        <v>0</v>
      </c>
      <c r="R35" s="2239">
        <f t="shared" si="133"/>
        <v>0.23</v>
      </c>
      <c r="S35" s="184">
        <f t="shared" si="133"/>
        <v>0.23</v>
      </c>
      <c r="T35" s="323">
        <f t="shared" si="133"/>
        <v>0</v>
      </c>
      <c r="U35" s="2242">
        <f t="shared" si="133"/>
        <v>0.23</v>
      </c>
      <c r="V35" s="2992">
        <f t="shared" si="133"/>
        <v>0.23</v>
      </c>
      <c r="W35" s="323">
        <f t="shared" si="133"/>
        <v>0</v>
      </c>
      <c r="X35" s="2242">
        <f t="shared" si="133"/>
        <v>0.23</v>
      </c>
      <c r="Y35" s="2992">
        <f t="shared" si="133"/>
        <v>0.23</v>
      </c>
      <c r="Z35" s="323">
        <f t="shared" si="133"/>
        <v>0</v>
      </c>
      <c r="AA35" s="2242">
        <f t="shared" si="133"/>
        <v>0.23</v>
      </c>
      <c r="AB35" s="2992">
        <f t="shared" si="133"/>
        <v>0.24</v>
      </c>
      <c r="AC35" s="323">
        <f t="shared" si="133"/>
        <v>0</v>
      </c>
      <c r="AD35" s="2242">
        <f t="shared" si="133"/>
        <v>0.24</v>
      </c>
      <c r="AE35" s="184">
        <f>SUM(AE17:AE34)</f>
        <v>0.26</v>
      </c>
      <c r="AF35" s="2241">
        <f>SUM(AF17:AF34)</f>
        <v>0</v>
      </c>
      <c r="AG35" s="2242">
        <f>SUM(AG17:AG34)</f>
        <v>0.26</v>
      </c>
      <c r="AH35" s="2997">
        <f t="shared" ref="AH35:AH62" si="134">(AG35-O35)/O35</f>
        <v>0.08</v>
      </c>
      <c r="AI35" s="3044" t="s">
        <v>16</v>
      </c>
      <c r="AJ35" s="184">
        <f>SUM(AJ17:AJ32)</f>
        <v>0.22</v>
      </c>
      <c r="AK35" s="2241">
        <f>SUM(AK17:AK32)</f>
        <v>0</v>
      </c>
      <c r="AL35" s="2242">
        <f>SUM(AL17:AL32)</f>
        <v>0.22</v>
      </c>
      <c r="AN35" s="2181">
        <f t="shared" si="9"/>
        <v>184</v>
      </c>
      <c r="AO35" s="1629" t="e">
        <f>#REF!-O35</f>
        <v>#REF!</v>
      </c>
    </row>
    <row r="36" spans="1:41" ht="13.5" thickBot="1">
      <c r="A36" s="3265" t="s">
        <v>153</v>
      </c>
      <c r="B36" s="2692" t="s">
        <v>412</v>
      </c>
      <c r="C36" s="326">
        <v>1979</v>
      </c>
      <c r="D36" s="1990">
        <f>'Table 6c'!L34</f>
        <v>380</v>
      </c>
      <c r="E36" s="2693">
        <v>380</v>
      </c>
      <c r="F36" s="2694">
        <v>380</v>
      </c>
      <c r="G36" s="2694">
        <v>380</v>
      </c>
      <c r="H36" s="2694">
        <v>380</v>
      </c>
      <c r="I36" s="2694">
        <v>399</v>
      </c>
      <c r="J36" s="2695">
        <v>807</v>
      </c>
      <c r="K36" s="2695">
        <v>807</v>
      </c>
      <c r="L36" s="236">
        <f t="shared" si="19"/>
        <v>1.1200000000000001</v>
      </c>
      <c r="M36" s="157">
        <f t="shared" si="45"/>
        <v>0.01</v>
      </c>
      <c r="N36" s="2003">
        <v>0</v>
      </c>
      <c r="O36" s="148">
        <f>'Table 6c'!G34</f>
        <v>0.01</v>
      </c>
      <c r="P36" s="137">
        <f t="shared" si="46"/>
        <v>0.01</v>
      </c>
      <c r="Q36" s="1999">
        <v>0</v>
      </c>
      <c r="R36" s="148">
        <f>E36*AI36/1000000</f>
        <v>0.01</v>
      </c>
      <c r="S36" s="137">
        <f t="shared" si="47"/>
        <v>0.01</v>
      </c>
      <c r="T36" s="1999">
        <v>0</v>
      </c>
      <c r="U36" s="148">
        <f>F36*AI36/1000000</f>
        <v>0.01</v>
      </c>
      <c r="V36" s="137">
        <f t="shared" si="48"/>
        <v>0.01</v>
      </c>
      <c r="W36" s="1999">
        <v>0</v>
      </c>
      <c r="X36" s="148">
        <f>G36*AI36/1000000</f>
        <v>0.01</v>
      </c>
      <c r="Y36" s="137">
        <f t="shared" si="49"/>
        <v>0.01</v>
      </c>
      <c r="Z36" s="1999">
        <v>0</v>
      </c>
      <c r="AA36" s="148">
        <f>H36*AI36/1000000</f>
        <v>0.01</v>
      </c>
      <c r="AB36" s="137">
        <f t="shared" si="50"/>
        <v>0.01</v>
      </c>
      <c r="AC36" s="1999">
        <v>0</v>
      </c>
      <c r="AD36" s="148">
        <f>I36*AI36/1000000</f>
        <v>0.01</v>
      </c>
      <c r="AE36" s="137">
        <f t="shared" si="16"/>
        <v>0.02</v>
      </c>
      <c r="AF36" s="1999">
        <v>0</v>
      </c>
      <c r="AG36" s="148">
        <f>J36*AI36/1000000</f>
        <v>0.02</v>
      </c>
      <c r="AH36" s="2696">
        <f t="shared" si="134"/>
        <v>1</v>
      </c>
      <c r="AI36" s="2697">
        <f>'Table 6c'!P34</f>
        <v>27</v>
      </c>
      <c r="AJ36" s="137">
        <f t="shared" si="51"/>
        <v>0.02</v>
      </c>
      <c r="AK36" s="1999">
        <v>0</v>
      </c>
      <c r="AL36" s="148">
        <f>AG36*1.06</f>
        <v>0.02</v>
      </c>
      <c r="AN36" s="1990">
        <f t="shared" si="9"/>
        <v>427</v>
      </c>
      <c r="AO36" s="1631" t="e">
        <f>#REF!-O36</f>
        <v>#REF!</v>
      </c>
    </row>
    <row r="37" spans="1:41" s="22" customFormat="1">
      <c r="A37" s="3380"/>
      <c r="B37" s="3359" t="s">
        <v>169</v>
      </c>
      <c r="C37" s="3360"/>
      <c r="D37" s="1983">
        <f t="shared" ref="D37:I37" si="135">D36</f>
        <v>380</v>
      </c>
      <c r="E37" s="857">
        <f t="shared" si="135"/>
        <v>380</v>
      </c>
      <c r="F37" s="251">
        <f t="shared" si="135"/>
        <v>380</v>
      </c>
      <c r="G37" s="251">
        <f t="shared" si="135"/>
        <v>380</v>
      </c>
      <c r="H37" s="251">
        <f t="shared" si="135"/>
        <v>380</v>
      </c>
      <c r="I37" s="251">
        <f t="shared" si="135"/>
        <v>399</v>
      </c>
      <c r="J37" s="97">
        <f>J36</f>
        <v>807</v>
      </c>
      <c r="K37" s="97">
        <f>SUM(K36)</f>
        <v>807</v>
      </c>
      <c r="L37" s="202">
        <f t="shared" si="19"/>
        <v>1.1200000000000001</v>
      </c>
      <c r="M37" s="35">
        <f t="shared" si="45"/>
        <v>0.01</v>
      </c>
      <c r="N37" s="1984">
        <v>0</v>
      </c>
      <c r="O37" s="105">
        <f>SUM(O36)</f>
        <v>0.01</v>
      </c>
      <c r="P37" s="34">
        <f t="shared" si="46"/>
        <v>0.01</v>
      </c>
      <c r="Q37" s="1984">
        <v>0</v>
      </c>
      <c r="R37" s="105">
        <f>SUM(R36)</f>
        <v>0.01</v>
      </c>
      <c r="S37" s="34">
        <f t="shared" si="47"/>
        <v>0.01</v>
      </c>
      <c r="T37" s="1984">
        <v>0</v>
      </c>
      <c r="U37" s="105">
        <f>SUM(U36)</f>
        <v>0.01</v>
      </c>
      <c r="V37" s="34">
        <f t="shared" si="48"/>
        <v>0.01</v>
      </c>
      <c r="W37" s="1984">
        <v>0</v>
      </c>
      <c r="X37" s="105">
        <f>SUM(X36)</f>
        <v>0.01</v>
      </c>
      <c r="Y37" s="34">
        <f t="shared" si="49"/>
        <v>0.01</v>
      </c>
      <c r="Z37" s="1984">
        <v>0</v>
      </c>
      <c r="AA37" s="105">
        <f>SUM(AA36)</f>
        <v>0.01</v>
      </c>
      <c r="AB37" s="34">
        <f t="shared" si="50"/>
        <v>0.01</v>
      </c>
      <c r="AC37" s="1984">
        <v>0</v>
      </c>
      <c r="AD37" s="105">
        <f>SUM(AD36)</f>
        <v>0.01</v>
      </c>
      <c r="AE37" s="34">
        <f t="shared" si="16"/>
        <v>0.02</v>
      </c>
      <c r="AF37" s="1984">
        <f t="shared" ref="AF37:AG37" si="136">SUM(AF36)</f>
        <v>0</v>
      </c>
      <c r="AG37" s="105">
        <f t="shared" si="136"/>
        <v>0.02</v>
      </c>
      <c r="AH37" s="2555">
        <f t="shared" si="134"/>
        <v>1</v>
      </c>
      <c r="AI37" s="3041" t="s">
        <v>16</v>
      </c>
      <c r="AJ37" s="34">
        <f t="shared" si="51"/>
        <v>0.02</v>
      </c>
      <c r="AK37" s="1984">
        <v>0</v>
      </c>
      <c r="AL37" s="105">
        <f>AG37*1.06</f>
        <v>0.02</v>
      </c>
      <c r="AN37" s="1983">
        <f t="shared" si="9"/>
        <v>427</v>
      </c>
      <c r="AO37" s="1624" t="e">
        <f>#REF!-O37</f>
        <v>#REF!</v>
      </c>
    </row>
    <row r="38" spans="1:41" s="22" customFormat="1">
      <c r="A38" s="3300" t="s">
        <v>174</v>
      </c>
      <c r="B38" s="2698" t="s">
        <v>413</v>
      </c>
      <c r="C38" s="2699">
        <v>215891</v>
      </c>
      <c r="D38" s="2215">
        <f>'Table 6c'!L36</f>
        <v>60</v>
      </c>
      <c r="E38" s="2685">
        <v>60</v>
      </c>
      <c r="F38" s="2686">
        <v>60</v>
      </c>
      <c r="G38" s="2686">
        <v>60</v>
      </c>
      <c r="H38" s="2686">
        <v>60</v>
      </c>
      <c r="I38" s="2686">
        <v>60</v>
      </c>
      <c r="J38" s="2687">
        <v>60</v>
      </c>
      <c r="K38" s="2687">
        <v>60</v>
      </c>
      <c r="L38" s="2700">
        <f t="shared" si="19"/>
        <v>0</v>
      </c>
      <c r="M38" s="2701">
        <f t="shared" si="45"/>
        <v>0.01</v>
      </c>
      <c r="N38" s="2217">
        <v>0</v>
      </c>
      <c r="O38" s="2221">
        <f>'Table 6c'!G36</f>
        <v>0.01</v>
      </c>
      <c r="P38" s="2702">
        <f t="shared" ref="P38:P40" si="137">R38-Q38</f>
        <v>0.01</v>
      </c>
      <c r="Q38" s="2217">
        <v>0</v>
      </c>
      <c r="R38" s="2221">
        <f>E38*AI38/1000000</f>
        <v>0.01</v>
      </c>
      <c r="S38" s="2702">
        <f t="shared" ref="S38:S40" si="138">U38-T38</f>
        <v>0.01</v>
      </c>
      <c r="T38" s="2217">
        <v>0</v>
      </c>
      <c r="U38" s="2221">
        <f>F38*AI38/1000000</f>
        <v>0.01</v>
      </c>
      <c r="V38" s="2702">
        <f t="shared" ref="V38:V40" si="139">X38-W38</f>
        <v>0.01</v>
      </c>
      <c r="W38" s="2217">
        <v>0</v>
      </c>
      <c r="X38" s="2221">
        <f>G38*AI38/1000000</f>
        <v>0.01</v>
      </c>
      <c r="Y38" s="2702">
        <f t="shared" ref="Y38:Y40" si="140">AA38-Z38</f>
        <v>0.01</v>
      </c>
      <c r="Z38" s="2217">
        <v>0</v>
      </c>
      <c r="AA38" s="2221">
        <f>H38*AI38/1000000</f>
        <v>0.01</v>
      </c>
      <c r="AB38" s="2702">
        <f t="shared" ref="AB38:AB40" si="141">AD38-AC38</f>
        <v>0.01</v>
      </c>
      <c r="AC38" s="2217">
        <v>0</v>
      </c>
      <c r="AD38" s="2221">
        <f>I38*AI38/1000000</f>
        <v>0.01</v>
      </c>
      <c r="AE38" s="2702">
        <f t="shared" ref="AE38:AE40" si="142">AG38-AF38</f>
        <v>0.01</v>
      </c>
      <c r="AF38" s="2217">
        <v>0</v>
      </c>
      <c r="AG38" s="2703">
        <f>J38*AI38/1000000</f>
        <v>0.01</v>
      </c>
      <c r="AH38" s="2704">
        <f>(AG38-O38)/O38</f>
        <v>0</v>
      </c>
      <c r="AI38" s="2705">
        <f>'Table 6c'!P36</f>
        <v>133</v>
      </c>
      <c r="AJ38" s="2702">
        <f t="shared" ref="AJ38:AJ40" si="143">AL38-AK38</f>
        <v>0.01</v>
      </c>
      <c r="AK38" s="2217">
        <v>0</v>
      </c>
      <c r="AL38" s="2221">
        <f>AG38*1.06</f>
        <v>0.01</v>
      </c>
      <c r="AN38" s="2215">
        <f t="shared" si="9"/>
        <v>0</v>
      </c>
      <c r="AO38" s="2706" t="e">
        <f>#REF!-O38</f>
        <v>#REF!</v>
      </c>
    </row>
    <row r="39" spans="1:41" s="22" customFormat="1">
      <c r="A39" s="3301"/>
      <c r="B39" s="2707" t="s">
        <v>414</v>
      </c>
      <c r="C39" s="2708">
        <v>219148</v>
      </c>
      <c r="D39" s="305">
        <f>'Table 6c'!L37</f>
        <v>21</v>
      </c>
      <c r="E39" s="864">
        <v>21</v>
      </c>
      <c r="F39" s="872">
        <v>21</v>
      </c>
      <c r="G39" s="872">
        <v>21</v>
      </c>
      <c r="H39" s="872">
        <v>21</v>
      </c>
      <c r="I39" s="872">
        <v>21</v>
      </c>
      <c r="J39" s="995">
        <v>21</v>
      </c>
      <c r="K39" s="995">
        <v>21</v>
      </c>
      <c r="L39" s="1861">
        <f t="shared" si="19"/>
        <v>0</v>
      </c>
      <c r="M39" s="870">
        <f t="shared" si="45"/>
        <v>0</v>
      </c>
      <c r="N39" s="1956">
        <v>0</v>
      </c>
      <c r="O39" s="367">
        <f>'Table 6c'!G37</f>
        <v>0</v>
      </c>
      <c r="P39" s="823">
        <f t="shared" si="137"/>
        <v>0</v>
      </c>
      <c r="Q39" s="1956">
        <v>0</v>
      </c>
      <c r="R39" s="367">
        <f>E39*AI39/1000000</f>
        <v>0</v>
      </c>
      <c r="S39" s="823">
        <f t="shared" si="138"/>
        <v>0</v>
      </c>
      <c r="T39" s="1956">
        <v>0</v>
      </c>
      <c r="U39" s="367">
        <f>F39*AI39/1000000</f>
        <v>0</v>
      </c>
      <c r="V39" s="823">
        <f t="shared" si="139"/>
        <v>0</v>
      </c>
      <c r="W39" s="1956">
        <v>0</v>
      </c>
      <c r="X39" s="367">
        <f>G39*AI39/1000000</f>
        <v>0</v>
      </c>
      <c r="Y39" s="823">
        <f t="shared" si="140"/>
        <v>0</v>
      </c>
      <c r="Z39" s="1956">
        <v>0</v>
      </c>
      <c r="AA39" s="367">
        <f>H39*AI39/1000000</f>
        <v>0</v>
      </c>
      <c r="AB39" s="823">
        <f t="shared" si="141"/>
        <v>0</v>
      </c>
      <c r="AC39" s="1956">
        <v>0</v>
      </c>
      <c r="AD39" s="367">
        <f>I39*AI39/1000000</f>
        <v>0</v>
      </c>
      <c r="AE39" s="823">
        <f t="shared" si="142"/>
        <v>0</v>
      </c>
      <c r="AF39" s="1956">
        <v>0</v>
      </c>
      <c r="AG39" s="2709">
        <f>J39*AI39/1000000</f>
        <v>0</v>
      </c>
      <c r="AH39" s="2710" t="s">
        <v>16</v>
      </c>
      <c r="AI39" s="2681">
        <f>'Table 6c'!P37</f>
        <v>143</v>
      </c>
      <c r="AJ39" s="823">
        <f t="shared" si="143"/>
        <v>0</v>
      </c>
      <c r="AK39" s="1956">
        <v>0</v>
      </c>
      <c r="AL39" s="367">
        <f>AG39*1.06</f>
        <v>0</v>
      </c>
      <c r="AN39" s="305">
        <f t="shared" si="9"/>
        <v>0</v>
      </c>
      <c r="AO39" s="1627" t="e">
        <f>#REF!-O39</f>
        <v>#REF!</v>
      </c>
    </row>
    <row r="40" spans="1:41" s="22" customFormat="1" ht="13.5" thickBot="1">
      <c r="A40" s="3301"/>
      <c r="B40" s="2711" t="s">
        <v>415</v>
      </c>
      <c r="C40" s="2712">
        <v>221284</v>
      </c>
      <c r="D40" s="1968">
        <f>'Table 6c'!L38</f>
        <v>350</v>
      </c>
      <c r="E40" s="2713">
        <v>350</v>
      </c>
      <c r="F40" s="2714">
        <v>350</v>
      </c>
      <c r="G40" s="2714">
        <v>350</v>
      </c>
      <c r="H40" s="2714">
        <v>350</v>
      </c>
      <c r="I40" s="2714">
        <v>350</v>
      </c>
      <c r="J40" s="2715">
        <v>350</v>
      </c>
      <c r="K40" s="2715">
        <v>350</v>
      </c>
      <c r="L40" s="2716">
        <f t="shared" si="19"/>
        <v>0</v>
      </c>
      <c r="M40" s="2717">
        <f t="shared" si="45"/>
        <v>7.0000000000000007E-2</v>
      </c>
      <c r="N40" s="2718">
        <v>0</v>
      </c>
      <c r="O40" s="327">
        <f>'Table 6c'!G38</f>
        <v>7.0000000000000007E-2</v>
      </c>
      <c r="P40" s="136">
        <f t="shared" si="137"/>
        <v>0.06</v>
      </c>
      <c r="Q40" s="1970">
        <v>0</v>
      </c>
      <c r="R40" s="327">
        <f>E40*AI40/1000000</f>
        <v>0.06</v>
      </c>
      <c r="S40" s="136">
        <f t="shared" si="138"/>
        <v>0.06</v>
      </c>
      <c r="T40" s="1970">
        <v>0</v>
      </c>
      <c r="U40" s="327">
        <f>F40*AI40/1000000</f>
        <v>0.06</v>
      </c>
      <c r="V40" s="136">
        <f t="shared" si="139"/>
        <v>0.06</v>
      </c>
      <c r="W40" s="1970">
        <v>0</v>
      </c>
      <c r="X40" s="327">
        <f>G40*AI40/1000000</f>
        <v>0.06</v>
      </c>
      <c r="Y40" s="136">
        <f t="shared" si="140"/>
        <v>0.06</v>
      </c>
      <c r="Z40" s="1970">
        <v>0</v>
      </c>
      <c r="AA40" s="327">
        <f>H40*AI40/1000000</f>
        <v>0.06</v>
      </c>
      <c r="AB40" s="136">
        <f t="shared" si="141"/>
        <v>0.06</v>
      </c>
      <c r="AC40" s="1970">
        <v>0</v>
      </c>
      <c r="AD40" s="327">
        <f>I40*AI40/1000000</f>
        <v>0.06</v>
      </c>
      <c r="AE40" s="136">
        <f t="shared" si="142"/>
        <v>0.06</v>
      </c>
      <c r="AF40" s="1970">
        <v>0</v>
      </c>
      <c r="AG40" s="2719">
        <f>J40*AI40/1000000</f>
        <v>0.06</v>
      </c>
      <c r="AH40" s="2720">
        <f t="shared" si="134"/>
        <v>-0.14000000000000001</v>
      </c>
      <c r="AI40" s="2721">
        <f>'Table 6c'!P38</f>
        <v>171</v>
      </c>
      <c r="AJ40" s="136">
        <f t="shared" si="143"/>
        <v>0.06</v>
      </c>
      <c r="AK40" s="1970">
        <v>0</v>
      </c>
      <c r="AL40" s="327">
        <f>AG40*1.06</f>
        <v>0.06</v>
      </c>
      <c r="AN40" s="1968">
        <f t="shared" si="9"/>
        <v>0</v>
      </c>
      <c r="AO40" s="2722" t="e">
        <f>#REF!-O40</f>
        <v>#REF!</v>
      </c>
    </row>
    <row r="41" spans="1:41" s="22" customFormat="1" ht="14.25" thickTop="1" thickBot="1">
      <c r="A41" s="3302"/>
      <c r="B41" s="3395" t="s">
        <v>183</v>
      </c>
      <c r="C41" s="3360"/>
      <c r="D41" s="1983">
        <f>SUM(D38:D40)</f>
        <v>431</v>
      </c>
      <c r="E41" s="857">
        <f t="shared" ref="E41:K41" si="144">SUM(E38:E40)</f>
        <v>431</v>
      </c>
      <c r="F41" s="251">
        <f t="shared" si="144"/>
        <v>431</v>
      </c>
      <c r="G41" s="251">
        <f t="shared" si="144"/>
        <v>431</v>
      </c>
      <c r="H41" s="251">
        <f t="shared" si="144"/>
        <v>431</v>
      </c>
      <c r="I41" s="251">
        <f t="shared" si="144"/>
        <v>431</v>
      </c>
      <c r="J41" s="97">
        <f t="shared" si="144"/>
        <v>431</v>
      </c>
      <c r="K41" s="97">
        <f t="shared" si="144"/>
        <v>431</v>
      </c>
      <c r="L41" s="202">
        <f t="shared" si="19"/>
        <v>0</v>
      </c>
      <c r="M41" s="35">
        <f t="shared" ref="M41" si="145">SUM(M38:M40)</f>
        <v>0.08</v>
      </c>
      <c r="N41" s="1984">
        <f t="shared" ref="N41" si="146">SUM(N38:N40)</f>
        <v>0</v>
      </c>
      <c r="O41" s="105">
        <f t="shared" ref="O41" si="147">SUM(O38:O40)</f>
        <v>0.08</v>
      </c>
      <c r="P41" s="34">
        <f t="shared" ref="P41" si="148">SUM(P38:P40)</f>
        <v>7.0000000000000007E-2</v>
      </c>
      <c r="Q41" s="1984">
        <f t="shared" ref="Q41" si="149">SUM(Q38:Q40)</f>
        <v>0</v>
      </c>
      <c r="R41" s="105">
        <f t="shared" ref="R41" si="150">SUM(R38:R40)</f>
        <v>7.0000000000000007E-2</v>
      </c>
      <c r="S41" s="34">
        <f t="shared" ref="S41" si="151">SUM(S38:S40)</f>
        <v>7.0000000000000007E-2</v>
      </c>
      <c r="T41" s="1984">
        <f t="shared" ref="T41" si="152">SUM(T38:T40)</f>
        <v>0</v>
      </c>
      <c r="U41" s="105">
        <f t="shared" ref="U41" si="153">SUM(U38:U40)</f>
        <v>7.0000000000000007E-2</v>
      </c>
      <c r="V41" s="34">
        <f t="shared" ref="V41" si="154">SUM(V38:V40)</f>
        <v>7.0000000000000007E-2</v>
      </c>
      <c r="W41" s="1984">
        <f t="shared" ref="W41" si="155">SUM(W38:W40)</f>
        <v>0</v>
      </c>
      <c r="X41" s="105">
        <f t="shared" ref="X41" si="156">SUM(X38:X40)</f>
        <v>7.0000000000000007E-2</v>
      </c>
      <c r="Y41" s="34">
        <f t="shared" ref="Y41" si="157">SUM(Y38:Y40)</f>
        <v>7.0000000000000007E-2</v>
      </c>
      <c r="Z41" s="1984">
        <f t="shared" ref="Z41" si="158">SUM(Z38:Z40)</f>
        <v>0</v>
      </c>
      <c r="AA41" s="105">
        <f t="shared" ref="AA41" si="159">SUM(AA38:AA40)</f>
        <v>7.0000000000000007E-2</v>
      </c>
      <c r="AB41" s="34">
        <f t="shared" ref="AB41" si="160">SUM(AB38:AB40)</f>
        <v>7.0000000000000007E-2</v>
      </c>
      <c r="AC41" s="1984">
        <f t="shared" ref="AC41" si="161">SUM(AC38:AC40)</f>
        <v>0</v>
      </c>
      <c r="AD41" s="105">
        <f t="shared" ref="AD41" si="162">SUM(AD38:AD40)</f>
        <v>7.0000000000000007E-2</v>
      </c>
      <c r="AE41" s="34">
        <f t="shared" ref="AE41" si="163">SUM(AE38:AE40)</f>
        <v>7.0000000000000007E-2</v>
      </c>
      <c r="AF41" s="1984">
        <f t="shared" ref="AF41" si="164">SUM(AF38:AF40)</f>
        <v>0</v>
      </c>
      <c r="AG41" s="105">
        <f t="shared" ref="AG41" si="165">SUM(AG38:AG40)</f>
        <v>7.0000000000000007E-2</v>
      </c>
      <c r="AH41" s="2555">
        <f t="shared" si="134"/>
        <v>-0.13</v>
      </c>
      <c r="AI41" s="3041" t="s">
        <v>16</v>
      </c>
      <c r="AJ41" s="34">
        <f t="shared" ref="AJ41" si="166">SUM(AJ38:AJ40)</f>
        <v>7.0000000000000007E-2</v>
      </c>
      <c r="AK41" s="1984">
        <f t="shared" ref="AK41" si="167">SUM(AK38:AK40)</f>
        <v>0</v>
      </c>
      <c r="AL41" s="105">
        <f t="shared" ref="AL41" si="168">SUM(AL38:AL40)</f>
        <v>7.0000000000000007E-2</v>
      </c>
      <c r="AN41" s="1983">
        <f t="shared" si="9"/>
        <v>0</v>
      </c>
      <c r="AO41" s="1624" t="e">
        <f>#REF!-O41</f>
        <v>#REF!</v>
      </c>
    </row>
    <row r="42" spans="1:41" ht="12.75" customHeight="1" thickBot="1">
      <c r="A42" s="3238" t="s">
        <v>184</v>
      </c>
      <c r="B42" s="2373" t="s">
        <v>416</v>
      </c>
      <c r="C42" s="3060">
        <v>925</v>
      </c>
      <c r="D42" s="2215">
        <f>'Table 6c'!L40</f>
        <v>114</v>
      </c>
      <c r="E42" s="170">
        <v>157</v>
      </c>
      <c r="F42" s="169">
        <v>246</v>
      </c>
      <c r="G42" s="169">
        <v>246</v>
      </c>
      <c r="H42" s="169">
        <v>246</v>
      </c>
      <c r="I42" s="169">
        <v>246</v>
      </c>
      <c r="J42" s="270">
        <v>246</v>
      </c>
      <c r="K42" s="270">
        <v>246</v>
      </c>
      <c r="L42" s="196">
        <f t="shared" si="19"/>
        <v>1.1599999999999999</v>
      </c>
      <c r="M42" s="186">
        <f t="shared" ref="M42:M48" si="169">O42-N42</f>
        <v>0.01</v>
      </c>
      <c r="N42" s="2172">
        <v>0</v>
      </c>
      <c r="O42" s="2221">
        <f>'Table 6c'!G40</f>
        <v>0.01</v>
      </c>
      <c r="P42" s="2702">
        <f t="shared" ref="P42:P48" si="170">R42-Q42</f>
        <v>0.01</v>
      </c>
      <c r="Q42" s="2172">
        <v>0</v>
      </c>
      <c r="R42" s="160">
        <f>E42*AI42/1000000</f>
        <v>0.01</v>
      </c>
      <c r="S42" s="2702">
        <f t="shared" ref="S42:S48" si="171">U42-T42</f>
        <v>0.02</v>
      </c>
      <c r="T42" s="2172">
        <v>0</v>
      </c>
      <c r="U42" s="160">
        <f>F42*AI42/1000000</f>
        <v>0.02</v>
      </c>
      <c r="V42" s="149">
        <f t="shared" ref="V42:V48" si="172">X42-W42</f>
        <v>0.02</v>
      </c>
      <c r="W42" s="2172">
        <v>0</v>
      </c>
      <c r="X42" s="160">
        <f>G42*AI42/1000000</f>
        <v>0.02</v>
      </c>
      <c r="Y42" s="2702">
        <f t="shared" ref="Y42:Y48" si="173">AA42-Z42</f>
        <v>0.02</v>
      </c>
      <c r="Z42" s="2172">
        <v>0</v>
      </c>
      <c r="AA42" s="160">
        <f>H42*AI42/1000000</f>
        <v>0.02</v>
      </c>
      <c r="AB42" s="149">
        <f t="shared" ref="AB42:AB48" si="174">AD42-AC42</f>
        <v>0.02</v>
      </c>
      <c r="AC42" s="2172">
        <v>0</v>
      </c>
      <c r="AD42" s="160">
        <f>I42*AI42/1000000</f>
        <v>0.02</v>
      </c>
      <c r="AE42" s="149">
        <f t="shared" si="16"/>
        <v>0.02</v>
      </c>
      <c r="AF42" s="2172">
        <v>0</v>
      </c>
      <c r="AG42" s="160">
        <f>J42*AI42/1000000</f>
        <v>0.02</v>
      </c>
      <c r="AH42" s="196">
        <f t="shared" si="134"/>
        <v>1</v>
      </c>
      <c r="AI42" s="2551">
        <f>'Table 6c'!P40</f>
        <v>79</v>
      </c>
      <c r="AJ42" s="149">
        <f t="shared" ref="AJ42:AJ48" si="175">AL42-AK42</f>
        <v>0.02</v>
      </c>
      <c r="AK42" s="117">
        <v>0</v>
      </c>
      <c r="AL42" s="160">
        <f t="shared" ref="AL42:AL60" si="176">AG42*1.06</f>
        <v>0.02</v>
      </c>
      <c r="AN42" s="1990">
        <f t="shared" si="9"/>
        <v>132</v>
      </c>
      <c r="AO42" s="1631" t="e">
        <f>#REF!-O42</f>
        <v>#REF!</v>
      </c>
    </row>
    <row r="43" spans="1:41" ht="12.75" customHeight="1" thickTop="1" thickBot="1">
      <c r="A43" s="3239"/>
      <c r="B43" s="2378" t="s">
        <v>417</v>
      </c>
      <c r="C43" s="3066">
        <v>945</v>
      </c>
      <c r="D43" s="2036">
        <f>'Table 6c'!L41</f>
        <v>0</v>
      </c>
      <c r="E43" s="2713">
        <v>0</v>
      </c>
      <c r="F43" s="2714">
        <v>450</v>
      </c>
      <c r="G43" s="2714">
        <v>450</v>
      </c>
      <c r="H43" s="2714">
        <v>450</v>
      </c>
      <c r="I43" s="2714">
        <v>450</v>
      </c>
      <c r="J43" s="2715">
        <v>450</v>
      </c>
      <c r="K43" s="2715">
        <v>450</v>
      </c>
      <c r="L43" s="3067" t="s">
        <v>16</v>
      </c>
      <c r="M43" s="2639">
        <f t="shared" si="169"/>
        <v>0</v>
      </c>
      <c r="N43" s="1973">
        <v>0</v>
      </c>
      <c r="O43" s="49">
        <f>'Table 6c'!G41</f>
        <v>0</v>
      </c>
      <c r="P43" s="48">
        <f t="shared" si="170"/>
        <v>0.05</v>
      </c>
      <c r="Q43" s="1970">
        <v>0</v>
      </c>
      <c r="R43" s="327">
        <v>0.05</v>
      </c>
      <c r="S43" s="48">
        <f t="shared" si="171"/>
        <v>0.06</v>
      </c>
      <c r="T43" s="1970">
        <v>0</v>
      </c>
      <c r="U43" s="327">
        <v>0.06</v>
      </c>
      <c r="V43" s="136">
        <f t="shared" si="172"/>
        <v>0.06</v>
      </c>
      <c r="W43" s="1970">
        <v>0</v>
      </c>
      <c r="X43" s="327">
        <v>0.06</v>
      </c>
      <c r="Y43" s="48">
        <f t="shared" si="173"/>
        <v>7.0000000000000007E-2</v>
      </c>
      <c r="Z43" s="1970">
        <v>0</v>
      </c>
      <c r="AA43" s="327">
        <v>7.0000000000000007E-2</v>
      </c>
      <c r="AB43" s="136">
        <f t="shared" si="174"/>
        <v>7.0000000000000007E-2</v>
      </c>
      <c r="AC43" s="1970">
        <v>0</v>
      </c>
      <c r="AD43" s="327">
        <v>7.0000000000000007E-2</v>
      </c>
      <c r="AE43" s="136">
        <f t="shared" si="16"/>
        <v>7.0000000000000007E-2</v>
      </c>
      <c r="AF43" s="1970">
        <v>0</v>
      </c>
      <c r="AG43" s="327">
        <v>7.0000000000000007E-2</v>
      </c>
      <c r="AH43" s="2720" t="s">
        <v>16</v>
      </c>
      <c r="AI43" s="2721" t="str">
        <f>'Table 6c'!P41</f>
        <v>N/A</v>
      </c>
      <c r="AJ43" s="136">
        <f t="shared" ref="AJ43" si="177">AL43-AK43</f>
        <v>7.0000000000000007E-2</v>
      </c>
      <c r="AK43" s="1970">
        <v>0</v>
      </c>
      <c r="AL43" s="327">
        <f t="shared" ref="AL43" si="178">AG43*1.06</f>
        <v>7.0000000000000007E-2</v>
      </c>
      <c r="AN43" s="2987">
        <f t="shared" si="9"/>
        <v>450</v>
      </c>
      <c r="AO43" s="2607"/>
    </row>
    <row r="44" spans="1:41" s="22" customFormat="1" ht="13.5" customHeight="1" thickTop="1" thickBot="1">
      <c r="A44" s="3240"/>
      <c r="B44" s="3359" t="s">
        <v>194</v>
      </c>
      <c r="C44" s="3360"/>
      <c r="D44" s="1983">
        <f t="shared" ref="D44:K44" si="179">SUM(D42:D43)</f>
        <v>114</v>
      </c>
      <c r="E44" s="857">
        <f t="shared" si="179"/>
        <v>157</v>
      </c>
      <c r="F44" s="251">
        <f t="shared" si="179"/>
        <v>696</v>
      </c>
      <c r="G44" s="251">
        <f t="shared" si="179"/>
        <v>696</v>
      </c>
      <c r="H44" s="251">
        <f t="shared" si="179"/>
        <v>696</v>
      </c>
      <c r="I44" s="251">
        <f t="shared" si="179"/>
        <v>696</v>
      </c>
      <c r="J44" s="97">
        <f t="shared" si="179"/>
        <v>696</v>
      </c>
      <c r="K44" s="97">
        <f t="shared" si="179"/>
        <v>696</v>
      </c>
      <c r="L44" s="202">
        <f t="shared" si="19"/>
        <v>5.1100000000000003</v>
      </c>
      <c r="M44" s="35">
        <f t="shared" si="169"/>
        <v>0.01</v>
      </c>
      <c r="N44" s="1984">
        <v>0</v>
      </c>
      <c r="O44" s="2242">
        <f>SUM(O42:O43)</f>
        <v>0.01</v>
      </c>
      <c r="P44" s="34">
        <f t="shared" si="170"/>
        <v>0.06</v>
      </c>
      <c r="Q44" s="1984">
        <v>0</v>
      </c>
      <c r="R44" s="105">
        <f>SUM(R42:R43)</f>
        <v>0.06</v>
      </c>
      <c r="S44" s="34">
        <f t="shared" si="171"/>
        <v>0.08</v>
      </c>
      <c r="T44" s="1984">
        <v>0</v>
      </c>
      <c r="U44" s="105">
        <f>SUM(U42:U43)</f>
        <v>0.08</v>
      </c>
      <c r="V44" s="34">
        <f t="shared" si="172"/>
        <v>0.08</v>
      </c>
      <c r="W44" s="1984">
        <v>0</v>
      </c>
      <c r="X44" s="105">
        <f>SUM(X42:X43)</f>
        <v>0.08</v>
      </c>
      <c r="Y44" s="34">
        <f t="shared" si="173"/>
        <v>0.09</v>
      </c>
      <c r="Z44" s="1984">
        <v>0</v>
      </c>
      <c r="AA44" s="105">
        <f>SUM(AA42:AA43)</f>
        <v>0.09</v>
      </c>
      <c r="AB44" s="34">
        <f t="shared" si="174"/>
        <v>0.09</v>
      </c>
      <c r="AC44" s="1984">
        <v>0</v>
      </c>
      <c r="AD44" s="105">
        <f>SUM(AD42:AD43)</f>
        <v>0.09</v>
      </c>
      <c r="AE44" s="34">
        <f t="shared" si="16"/>
        <v>0.09</v>
      </c>
      <c r="AF44" s="1984">
        <f t="shared" ref="AF44" si="180">SUM(AF42)</f>
        <v>0</v>
      </c>
      <c r="AG44" s="105">
        <f>SUM(AG42:AG43)</f>
        <v>0.09</v>
      </c>
      <c r="AH44" s="2555">
        <f t="shared" si="134"/>
        <v>8</v>
      </c>
      <c r="AI44" s="2723" t="s">
        <v>418</v>
      </c>
      <c r="AJ44" s="34">
        <f t="shared" si="175"/>
        <v>0.1</v>
      </c>
      <c r="AK44" s="1984">
        <v>0</v>
      </c>
      <c r="AL44" s="105">
        <f t="shared" si="176"/>
        <v>0.1</v>
      </c>
      <c r="AN44" s="1983">
        <f t="shared" si="9"/>
        <v>582</v>
      </c>
      <c r="AO44" s="1624" t="e">
        <f>#REF!-O44</f>
        <v>#REF!</v>
      </c>
    </row>
    <row r="45" spans="1:41">
      <c r="A45" s="3239" t="s">
        <v>195</v>
      </c>
      <c r="B45" s="2724" t="s">
        <v>419</v>
      </c>
      <c r="C45" s="2725">
        <v>7982</v>
      </c>
      <c r="D45" s="2257">
        <f>'Table 6c'!L43</f>
        <v>219</v>
      </c>
      <c r="E45" s="170">
        <v>219</v>
      </c>
      <c r="F45" s="249">
        <v>219</v>
      </c>
      <c r="G45" s="249">
        <v>219</v>
      </c>
      <c r="H45" s="249">
        <v>219</v>
      </c>
      <c r="I45" s="249">
        <v>219</v>
      </c>
      <c r="J45" s="291">
        <v>219</v>
      </c>
      <c r="K45" s="291">
        <v>219</v>
      </c>
      <c r="L45" s="2726">
        <f t="shared" si="19"/>
        <v>0</v>
      </c>
      <c r="M45" s="246">
        <f t="shared" si="169"/>
        <v>0.01</v>
      </c>
      <c r="N45" s="2300">
        <v>0</v>
      </c>
      <c r="O45" s="141">
        <f>'Table 6c'!G43</f>
        <v>0.01</v>
      </c>
      <c r="P45" s="47">
        <f t="shared" si="170"/>
        <v>0.01</v>
      </c>
      <c r="Q45" s="2300">
        <v>0</v>
      </c>
      <c r="R45" s="141">
        <f t="shared" ref="R45:R55" si="181">E45*AI45/1000000</f>
        <v>0.01</v>
      </c>
      <c r="S45" s="47">
        <f t="shared" si="171"/>
        <v>0.01</v>
      </c>
      <c r="T45" s="2300">
        <v>0</v>
      </c>
      <c r="U45" s="141">
        <f t="shared" ref="U45:U55" si="182">F45*AI45/1000000</f>
        <v>0.01</v>
      </c>
      <c r="V45" s="47">
        <f t="shared" si="172"/>
        <v>0.01</v>
      </c>
      <c r="W45" s="2300">
        <v>0</v>
      </c>
      <c r="X45" s="141">
        <f t="shared" ref="X45:X55" si="183">G45*AI45/1000000</f>
        <v>0.01</v>
      </c>
      <c r="Y45" s="47">
        <f t="shared" si="173"/>
        <v>0.01</v>
      </c>
      <c r="Z45" s="2300">
        <v>0</v>
      </c>
      <c r="AA45" s="141">
        <f t="shared" ref="AA45:AA55" si="184">H45*AI45/1000000</f>
        <v>0.01</v>
      </c>
      <c r="AB45" s="47">
        <f t="shared" si="174"/>
        <v>0.01</v>
      </c>
      <c r="AC45" s="2300">
        <v>0</v>
      </c>
      <c r="AD45" s="141">
        <f t="shared" ref="AD45:AD55" si="185">I45*AI45/1000000</f>
        <v>0.01</v>
      </c>
      <c r="AE45" s="47">
        <f t="shared" si="16"/>
        <v>0.01</v>
      </c>
      <c r="AF45" s="2300">
        <v>0</v>
      </c>
      <c r="AG45" s="141">
        <f t="shared" ref="AG45:AG55" si="186">J45*AI45/1000000</f>
        <v>0.01</v>
      </c>
      <c r="AH45" s="1685">
        <f t="shared" si="134"/>
        <v>0</v>
      </c>
      <c r="AI45" s="2678">
        <f>'Table 6c'!P43</f>
        <v>46</v>
      </c>
      <c r="AJ45" s="47">
        <f t="shared" si="175"/>
        <v>0.01</v>
      </c>
      <c r="AK45" s="2300">
        <v>0</v>
      </c>
      <c r="AL45" s="141">
        <f t="shared" si="176"/>
        <v>0.01</v>
      </c>
      <c r="AN45" s="2257">
        <f t="shared" si="9"/>
        <v>0</v>
      </c>
      <c r="AO45" s="1626" t="e">
        <f>#REF!-O45</f>
        <v>#REF!</v>
      </c>
    </row>
    <row r="46" spans="1:41">
      <c r="A46" s="3239"/>
      <c r="B46" s="2203" t="s">
        <v>419</v>
      </c>
      <c r="C46" s="2727">
        <v>7986</v>
      </c>
      <c r="D46" s="305">
        <f>'Table 6c'!L44</f>
        <v>622</v>
      </c>
      <c r="E46" s="72">
        <v>622</v>
      </c>
      <c r="F46" s="872">
        <v>622</v>
      </c>
      <c r="G46" s="872">
        <v>622</v>
      </c>
      <c r="H46" s="872">
        <v>622</v>
      </c>
      <c r="I46" s="872">
        <v>622</v>
      </c>
      <c r="J46" s="995">
        <v>622</v>
      </c>
      <c r="K46" s="995">
        <v>803</v>
      </c>
      <c r="L46" s="1861">
        <f t="shared" si="19"/>
        <v>0</v>
      </c>
      <c r="M46" s="870">
        <f t="shared" si="169"/>
        <v>0.03</v>
      </c>
      <c r="N46" s="1956">
        <v>0</v>
      </c>
      <c r="O46" s="367">
        <f>'Table 6c'!G44</f>
        <v>0.03</v>
      </c>
      <c r="P46" s="823">
        <f t="shared" si="170"/>
        <v>0.03</v>
      </c>
      <c r="Q46" s="1956">
        <v>0</v>
      </c>
      <c r="R46" s="367">
        <f t="shared" si="181"/>
        <v>0.03</v>
      </c>
      <c r="S46" s="823">
        <f t="shared" si="171"/>
        <v>0.03</v>
      </c>
      <c r="T46" s="1956">
        <v>0</v>
      </c>
      <c r="U46" s="367">
        <f t="shared" si="182"/>
        <v>0.03</v>
      </c>
      <c r="V46" s="823">
        <f t="shared" si="172"/>
        <v>0.03</v>
      </c>
      <c r="W46" s="1956">
        <v>0</v>
      </c>
      <c r="X46" s="367">
        <f t="shared" si="183"/>
        <v>0.03</v>
      </c>
      <c r="Y46" s="823">
        <f t="shared" si="173"/>
        <v>0.03</v>
      </c>
      <c r="Z46" s="1956">
        <v>0</v>
      </c>
      <c r="AA46" s="367">
        <f t="shared" si="184"/>
        <v>0.03</v>
      </c>
      <c r="AB46" s="823">
        <f t="shared" si="174"/>
        <v>0.03</v>
      </c>
      <c r="AC46" s="1956">
        <v>0</v>
      </c>
      <c r="AD46" s="367">
        <f t="shared" si="185"/>
        <v>0.03</v>
      </c>
      <c r="AE46" s="823">
        <f t="shared" si="16"/>
        <v>0.03</v>
      </c>
      <c r="AF46" s="1956">
        <v>0</v>
      </c>
      <c r="AG46" s="141">
        <f t="shared" si="186"/>
        <v>0.03</v>
      </c>
      <c r="AH46" s="2558">
        <f t="shared" si="134"/>
        <v>0</v>
      </c>
      <c r="AI46" s="2681">
        <f>'Table 6c'!P44</f>
        <v>50</v>
      </c>
      <c r="AJ46" s="823">
        <f t="shared" si="175"/>
        <v>0.03</v>
      </c>
      <c r="AK46" s="1956">
        <v>0</v>
      </c>
      <c r="AL46" s="367">
        <f t="shared" si="176"/>
        <v>0.03</v>
      </c>
      <c r="AN46" s="305">
        <f t="shared" si="9"/>
        <v>0</v>
      </c>
      <c r="AO46" s="1627" t="e">
        <f>#REF!-O46</f>
        <v>#REF!</v>
      </c>
    </row>
    <row r="47" spans="1:41">
      <c r="A47" s="3239"/>
      <c r="B47" s="2203" t="s">
        <v>420</v>
      </c>
      <c r="C47" s="2727">
        <v>8071</v>
      </c>
      <c r="D47" s="305">
        <f>'Table 6c'!L45</f>
        <v>45</v>
      </c>
      <c r="E47" s="72">
        <v>45</v>
      </c>
      <c r="F47" s="872">
        <v>45</v>
      </c>
      <c r="G47" s="872">
        <v>45</v>
      </c>
      <c r="H47" s="872">
        <v>45</v>
      </c>
      <c r="I47" s="872">
        <v>45</v>
      </c>
      <c r="J47" s="995">
        <v>45</v>
      </c>
      <c r="K47" s="995">
        <v>160</v>
      </c>
      <c r="L47" s="1861">
        <f t="shared" si="19"/>
        <v>0</v>
      </c>
      <c r="M47" s="870">
        <f t="shared" si="169"/>
        <v>0.01</v>
      </c>
      <c r="N47" s="1956">
        <v>0</v>
      </c>
      <c r="O47" s="367">
        <f>'Table 6c'!G45</f>
        <v>0.01</v>
      </c>
      <c r="P47" s="823">
        <f t="shared" si="170"/>
        <v>0.01</v>
      </c>
      <c r="Q47" s="1956">
        <v>0</v>
      </c>
      <c r="R47" s="367">
        <f t="shared" si="181"/>
        <v>0.01</v>
      </c>
      <c r="S47" s="823">
        <f t="shared" si="171"/>
        <v>0.01</v>
      </c>
      <c r="T47" s="1956">
        <v>0</v>
      </c>
      <c r="U47" s="367">
        <f t="shared" si="182"/>
        <v>0.01</v>
      </c>
      <c r="V47" s="823">
        <f t="shared" si="172"/>
        <v>0.01</v>
      </c>
      <c r="W47" s="1956">
        <v>0</v>
      </c>
      <c r="X47" s="367">
        <f t="shared" si="183"/>
        <v>0.01</v>
      </c>
      <c r="Y47" s="823">
        <f t="shared" si="173"/>
        <v>0.01</v>
      </c>
      <c r="Z47" s="1956">
        <v>0</v>
      </c>
      <c r="AA47" s="367">
        <f t="shared" si="184"/>
        <v>0.01</v>
      </c>
      <c r="AB47" s="823">
        <f t="shared" si="174"/>
        <v>0.01</v>
      </c>
      <c r="AC47" s="1956">
        <v>0</v>
      </c>
      <c r="AD47" s="367">
        <f t="shared" si="185"/>
        <v>0.01</v>
      </c>
      <c r="AE47" s="823">
        <f t="shared" si="16"/>
        <v>0.01</v>
      </c>
      <c r="AF47" s="1956">
        <v>0</v>
      </c>
      <c r="AG47" s="141">
        <f t="shared" si="186"/>
        <v>0.01</v>
      </c>
      <c r="AH47" s="2558">
        <f t="shared" si="134"/>
        <v>0</v>
      </c>
      <c r="AI47" s="2681">
        <f>'Table 6c'!P45</f>
        <v>244</v>
      </c>
      <c r="AJ47" s="823">
        <f t="shared" si="175"/>
        <v>0.01</v>
      </c>
      <c r="AK47" s="1956">
        <v>0</v>
      </c>
      <c r="AL47" s="367">
        <f t="shared" si="176"/>
        <v>0.01</v>
      </c>
      <c r="AN47" s="305">
        <f t="shared" si="9"/>
        <v>0</v>
      </c>
      <c r="AO47" s="1627" t="e">
        <f>#REF!-O47</f>
        <v>#REF!</v>
      </c>
    </row>
    <row r="48" spans="1:41">
      <c r="A48" s="3239"/>
      <c r="B48" s="2321" t="s">
        <v>421</v>
      </c>
      <c r="C48" s="2727">
        <v>8072</v>
      </c>
      <c r="D48" s="305">
        <f>'Table 6c'!L46</f>
        <v>450</v>
      </c>
      <c r="E48" s="72">
        <v>453</v>
      </c>
      <c r="F48" s="872">
        <v>453</v>
      </c>
      <c r="G48" s="872">
        <v>453</v>
      </c>
      <c r="H48" s="872">
        <v>453</v>
      </c>
      <c r="I48" s="872">
        <v>453</v>
      </c>
      <c r="J48" s="995">
        <v>453</v>
      </c>
      <c r="K48" s="995">
        <v>722</v>
      </c>
      <c r="L48" s="1861">
        <f t="shared" si="19"/>
        <v>0.01</v>
      </c>
      <c r="M48" s="870">
        <f t="shared" si="169"/>
        <v>0.03</v>
      </c>
      <c r="N48" s="1956">
        <v>0</v>
      </c>
      <c r="O48" s="367">
        <f>'Table 6c'!G46</f>
        <v>0.03</v>
      </c>
      <c r="P48" s="823">
        <f t="shared" si="170"/>
        <v>0.03</v>
      </c>
      <c r="Q48" s="1956">
        <v>0</v>
      </c>
      <c r="R48" s="367">
        <f t="shared" si="181"/>
        <v>0.03</v>
      </c>
      <c r="S48" s="823">
        <f t="shared" si="171"/>
        <v>0.03</v>
      </c>
      <c r="T48" s="1956">
        <v>0</v>
      </c>
      <c r="U48" s="367">
        <f t="shared" si="182"/>
        <v>0.03</v>
      </c>
      <c r="V48" s="823">
        <f t="shared" si="172"/>
        <v>0.03</v>
      </c>
      <c r="W48" s="1956">
        <v>0</v>
      </c>
      <c r="X48" s="367">
        <f t="shared" si="183"/>
        <v>0.03</v>
      </c>
      <c r="Y48" s="823">
        <f t="shared" si="173"/>
        <v>0.03</v>
      </c>
      <c r="Z48" s="1956">
        <v>0</v>
      </c>
      <c r="AA48" s="367">
        <f t="shared" si="184"/>
        <v>0.03</v>
      </c>
      <c r="AB48" s="823">
        <f t="shared" si="174"/>
        <v>0.03</v>
      </c>
      <c r="AC48" s="1956">
        <v>0</v>
      </c>
      <c r="AD48" s="367">
        <f t="shared" si="185"/>
        <v>0.03</v>
      </c>
      <c r="AE48" s="823">
        <f t="shared" si="16"/>
        <v>0.03</v>
      </c>
      <c r="AF48" s="1956">
        <v>0</v>
      </c>
      <c r="AG48" s="141">
        <f t="shared" si="186"/>
        <v>0.03</v>
      </c>
      <c r="AH48" s="2558">
        <f t="shared" si="134"/>
        <v>0</v>
      </c>
      <c r="AI48" s="2681">
        <f>'Table 6c'!P46</f>
        <v>64</v>
      </c>
      <c r="AJ48" s="823">
        <f t="shared" si="175"/>
        <v>0.03</v>
      </c>
      <c r="AK48" s="1956">
        <v>0</v>
      </c>
      <c r="AL48" s="367">
        <f t="shared" si="176"/>
        <v>0.03</v>
      </c>
      <c r="AN48" s="305">
        <f t="shared" si="9"/>
        <v>3</v>
      </c>
      <c r="AO48" s="1627" t="e">
        <f>#REF!-O48</f>
        <v>#REF!</v>
      </c>
    </row>
    <row r="49" spans="1:41">
      <c r="A49" s="3239"/>
      <c r="B49" s="2321" t="s">
        <v>422</v>
      </c>
      <c r="C49" s="2727">
        <v>8124</v>
      </c>
      <c r="D49" s="305">
        <f>'Table 6c'!L47</f>
        <v>138</v>
      </c>
      <c r="E49" s="72">
        <v>139</v>
      </c>
      <c r="F49" s="872">
        <v>140</v>
      </c>
      <c r="G49" s="872">
        <v>140</v>
      </c>
      <c r="H49" s="872">
        <v>141</v>
      </c>
      <c r="I49" s="872">
        <v>143</v>
      </c>
      <c r="J49" s="995">
        <v>145</v>
      </c>
      <c r="K49" s="995">
        <v>156</v>
      </c>
      <c r="L49" s="1861">
        <f t="shared" si="19"/>
        <v>0.05</v>
      </c>
      <c r="M49" s="870">
        <f t="shared" ref="M49:M70" si="187">O49-N49</f>
        <v>0.01</v>
      </c>
      <c r="N49" s="1956">
        <v>0</v>
      </c>
      <c r="O49" s="367">
        <f>'Table 6c'!G47</f>
        <v>0.01</v>
      </c>
      <c r="P49" s="823">
        <f t="shared" ref="P49:P60" si="188">R49-Q49</f>
        <v>0.01</v>
      </c>
      <c r="Q49" s="1956">
        <v>0</v>
      </c>
      <c r="R49" s="367">
        <f t="shared" si="181"/>
        <v>0.01</v>
      </c>
      <c r="S49" s="823">
        <f t="shared" ref="S49:S60" si="189">U49-T49</f>
        <v>0.01</v>
      </c>
      <c r="T49" s="1956">
        <v>0</v>
      </c>
      <c r="U49" s="367">
        <f t="shared" si="182"/>
        <v>0.01</v>
      </c>
      <c r="V49" s="823">
        <f t="shared" ref="V49:V60" si="190">X49-W49</f>
        <v>0.01</v>
      </c>
      <c r="W49" s="1956">
        <v>0</v>
      </c>
      <c r="X49" s="367">
        <f t="shared" si="183"/>
        <v>0.01</v>
      </c>
      <c r="Y49" s="823">
        <f t="shared" ref="Y49:Y60" si="191">AA49-Z49</f>
        <v>0.01</v>
      </c>
      <c r="Z49" s="1956">
        <v>0</v>
      </c>
      <c r="AA49" s="367">
        <f t="shared" si="184"/>
        <v>0.01</v>
      </c>
      <c r="AB49" s="823">
        <f t="shared" ref="AB49:AB60" si="192">AD49-AC49</f>
        <v>0.01</v>
      </c>
      <c r="AC49" s="1956">
        <v>0</v>
      </c>
      <c r="AD49" s="367">
        <f t="shared" si="185"/>
        <v>0.01</v>
      </c>
      <c r="AE49" s="823">
        <f t="shared" si="16"/>
        <v>0.01</v>
      </c>
      <c r="AF49" s="1956">
        <v>0</v>
      </c>
      <c r="AG49" s="141">
        <f t="shared" si="186"/>
        <v>0.01</v>
      </c>
      <c r="AH49" s="2558">
        <f t="shared" si="134"/>
        <v>0</v>
      </c>
      <c r="AI49" s="2681">
        <f>'Table 6c'!P47</f>
        <v>72</v>
      </c>
      <c r="AJ49" s="823">
        <f t="shared" ref="AJ49:AJ60" si="193">AL49-AK49</f>
        <v>0.01</v>
      </c>
      <c r="AK49" s="1956">
        <v>0</v>
      </c>
      <c r="AL49" s="367">
        <f t="shared" si="176"/>
        <v>0.01</v>
      </c>
      <c r="AN49" s="305">
        <f t="shared" si="9"/>
        <v>7</v>
      </c>
      <c r="AO49" s="1627" t="e">
        <f>#REF!-O49</f>
        <v>#REF!</v>
      </c>
    </row>
    <row r="50" spans="1:41">
      <c r="A50" s="3239"/>
      <c r="B50" s="2203" t="s">
        <v>419</v>
      </c>
      <c r="C50" s="2725">
        <v>8127</v>
      </c>
      <c r="D50" s="305">
        <f>'Table 6c'!L48</f>
        <v>218</v>
      </c>
      <c r="E50" s="864">
        <v>218</v>
      </c>
      <c r="F50" s="872">
        <v>218</v>
      </c>
      <c r="G50" s="872">
        <v>218</v>
      </c>
      <c r="H50" s="872">
        <v>218</v>
      </c>
      <c r="I50" s="872">
        <v>218</v>
      </c>
      <c r="J50" s="995">
        <v>218</v>
      </c>
      <c r="K50" s="995">
        <v>240</v>
      </c>
      <c r="L50" s="1861">
        <f t="shared" si="19"/>
        <v>0</v>
      </c>
      <c r="M50" s="870">
        <f t="shared" si="187"/>
        <v>0.01</v>
      </c>
      <c r="N50" s="1956">
        <v>0</v>
      </c>
      <c r="O50" s="367">
        <f>'Table 6c'!G48</f>
        <v>0.01</v>
      </c>
      <c r="P50" s="823">
        <f t="shared" ref="P50" si="194">R50-Q50</f>
        <v>0.01</v>
      </c>
      <c r="Q50" s="1956">
        <v>0</v>
      </c>
      <c r="R50" s="367">
        <f t="shared" si="181"/>
        <v>0.01</v>
      </c>
      <c r="S50" s="823">
        <f t="shared" ref="S50" si="195">U50-T50</f>
        <v>0.01</v>
      </c>
      <c r="T50" s="1956">
        <v>0</v>
      </c>
      <c r="U50" s="367">
        <f t="shared" si="182"/>
        <v>0.01</v>
      </c>
      <c r="V50" s="823">
        <f t="shared" ref="V50" si="196">X50-W50</f>
        <v>0.01</v>
      </c>
      <c r="W50" s="1956">
        <v>0</v>
      </c>
      <c r="X50" s="367">
        <f t="shared" si="183"/>
        <v>0.01</v>
      </c>
      <c r="Y50" s="823">
        <f t="shared" ref="Y50" si="197">AA50-Z50</f>
        <v>0.01</v>
      </c>
      <c r="Z50" s="1956">
        <v>0</v>
      </c>
      <c r="AA50" s="367">
        <f t="shared" si="184"/>
        <v>0.01</v>
      </c>
      <c r="AB50" s="823">
        <f t="shared" ref="AB50" si="198">AD50-AC50</f>
        <v>0.01</v>
      </c>
      <c r="AC50" s="1956">
        <v>0</v>
      </c>
      <c r="AD50" s="367">
        <f t="shared" si="185"/>
        <v>0.01</v>
      </c>
      <c r="AE50" s="823">
        <f t="shared" si="16"/>
        <v>0.01</v>
      </c>
      <c r="AF50" s="1956">
        <v>0</v>
      </c>
      <c r="AG50" s="141">
        <f t="shared" si="186"/>
        <v>0.01</v>
      </c>
      <c r="AH50" s="2558">
        <f t="shared" si="134"/>
        <v>0</v>
      </c>
      <c r="AI50" s="2681">
        <f>'Table 6c'!P48</f>
        <v>49</v>
      </c>
      <c r="AJ50" s="823">
        <f t="shared" ref="AJ50" si="199">AL50-AK50</f>
        <v>0.01</v>
      </c>
      <c r="AK50" s="1956">
        <v>0</v>
      </c>
      <c r="AL50" s="367">
        <f t="shared" si="176"/>
        <v>0.01</v>
      </c>
      <c r="AN50" s="305">
        <f t="shared" si="9"/>
        <v>0</v>
      </c>
      <c r="AO50" s="1627" t="e">
        <f>#REF!-O50</f>
        <v>#REF!</v>
      </c>
    </row>
    <row r="51" spans="1:41">
      <c r="A51" s="3239"/>
      <c r="B51" s="2203" t="s">
        <v>423</v>
      </c>
      <c r="C51" s="2727">
        <v>90227</v>
      </c>
      <c r="D51" s="305">
        <f>'Table 6c'!L49</f>
        <v>365</v>
      </c>
      <c r="E51" s="72">
        <v>369</v>
      </c>
      <c r="F51" s="872">
        <v>369</v>
      </c>
      <c r="G51" s="872">
        <v>369</v>
      </c>
      <c r="H51" s="872">
        <v>369</v>
      </c>
      <c r="I51" s="872">
        <v>369</v>
      </c>
      <c r="J51" s="995">
        <v>369</v>
      </c>
      <c r="K51" s="995">
        <v>944</v>
      </c>
      <c r="L51" s="1861">
        <f t="shared" si="19"/>
        <v>0.01</v>
      </c>
      <c r="M51" s="870">
        <f t="shared" si="187"/>
        <v>0.01</v>
      </c>
      <c r="N51" s="1956">
        <v>0</v>
      </c>
      <c r="O51" s="367">
        <f>'Table 6c'!G48</f>
        <v>0.01</v>
      </c>
      <c r="P51" s="823">
        <f t="shared" si="188"/>
        <v>0.02</v>
      </c>
      <c r="Q51" s="1956">
        <v>0</v>
      </c>
      <c r="R51" s="367">
        <f t="shared" si="181"/>
        <v>0.02</v>
      </c>
      <c r="S51" s="823">
        <f t="shared" si="189"/>
        <v>0.02</v>
      </c>
      <c r="T51" s="1956">
        <v>0</v>
      </c>
      <c r="U51" s="367">
        <f t="shared" si="182"/>
        <v>0.02</v>
      </c>
      <c r="V51" s="823">
        <f t="shared" si="190"/>
        <v>0.02</v>
      </c>
      <c r="W51" s="1956">
        <v>0</v>
      </c>
      <c r="X51" s="367">
        <f t="shared" si="183"/>
        <v>0.02</v>
      </c>
      <c r="Y51" s="823">
        <f t="shared" si="191"/>
        <v>0.02</v>
      </c>
      <c r="Z51" s="1956">
        <v>0</v>
      </c>
      <c r="AA51" s="367">
        <f t="shared" si="184"/>
        <v>0.02</v>
      </c>
      <c r="AB51" s="823">
        <f t="shared" si="192"/>
        <v>0.02</v>
      </c>
      <c r="AC51" s="1956">
        <v>0</v>
      </c>
      <c r="AD51" s="367">
        <f t="shared" si="185"/>
        <v>0.02</v>
      </c>
      <c r="AE51" s="823">
        <f t="shared" si="16"/>
        <v>0.02</v>
      </c>
      <c r="AF51" s="1956">
        <v>0</v>
      </c>
      <c r="AG51" s="141">
        <f t="shared" si="186"/>
        <v>0.02</v>
      </c>
      <c r="AH51" s="2558">
        <f t="shared" si="134"/>
        <v>1</v>
      </c>
      <c r="AI51" s="2681">
        <f>'Table 6c'!P49</f>
        <v>63</v>
      </c>
      <c r="AJ51" s="823">
        <f t="shared" si="193"/>
        <v>0.02</v>
      </c>
      <c r="AK51" s="1956">
        <v>0</v>
      </c>
      <c r="AL51" s="367">
        <f t="shared" si="176"/>
        <v>0.02</v>
      </c>
      <c r="AN51" s="305">
        <f t="shared" si="9"/>
        <v>4</v>
      </c>
      <c r="AO51" s="1627" t="e">
        <f>#REF!-O51</f>
        <v>#REF!</v>
      </c>
    </row>
    <row r="52" spans="1:41">
      <c r="A52" s="3239"/>
      <c r="B52" s="2203" t="s">
        <v>424</v>
      </c>
      <c r="C52" s="2728" t="s">
        <v>16</v>
      </c>
      <c r="D52" s="305">
        <f>'Table 6c'!L50</f>
        <v>203</v>
      </c>
      <c r="E52" s="72">
        <v>205</v>
      </c>
      <c r="F52" s="872">
        <v>206</v>
      </c>
      <c r="G52" s="872">
        <v>207</v>
      </c>
      <c r="H52" s="872">
        <v>208</v>
      </c>
      <c r="I52" s="872">
        <v>209</v>
      </c>
      <c r="J52" s="995">
        <v>210</v>
      </c>
      <c r="K52" s="995">
        <v>1079</v>
      </c>
      <c r="L52" s="1861">
        <f t="shared" si="19"/>
        <v>0.03</v>
      </c>
      <c r="M52" s="870">
        <f t="shared" si="187"/>
        <v>0.02</v>
      </c>
      <c r="N52" s="1956">
        <v>0</v>
      </c>
      <c r="O52" s="367">
        <f>'Table 6c'!G50</f>
        <v>0.02</v>
      </c>
      <c r="P52" s="823">
        <f t="shared" si="188"/>
        <v>0.02</v>
      </c>
      <c r="Q52" s="1956">
        <v>0</v>
      </c>
      <c r="R52" s="367">
        <f t="shared" si="181"/>
        <v>0.02</v>
      </c>
      <c r="S52" s="823">
        <f t="shared" si="189"/>
        <v>0.02</v>
      </c>
      <c r="T52" s="1956">
        <v>0</v>
      </c>
      <c r="U52" s="367">
        <f t="shared" si="182"/>
        <v>0.02</v>
      </c>
      <c r="V52" s="823">
        <f t="shared" si="190"/>
        <v>0.02</v>
      </c>
      <c r="W52" s="1956">
        <v>0</v>
      </c>
      <c r="X52" s="367">
        <f t="shared" si="183"/>
        <v>0.02</v>
      </c>
      <c r="Y52" s="823">
        <f t="shared" si="191"/>
        <v>0.02</v>
      </c>
      <c r="Z52" s="1956">
        <v>0</v>
      </c>
      <c r="AA52" s="367">
        <f t="shared" si="184"/>
        <v>0.02</v>
      </c>
      <c r="AB52" s="823">
        <f t="shared" si="192"/>
        <v>0.02</v>
      </c>
      <c r="AC52" s="1956">
        <v>0</v>
      </c>
      <c r="AD52" s="367">
        <f t="shared" si="185"/>
        <v>0.02</v>
      </c>
      <c r="AE52" s="823">
        <f t="shared" si="16"/>
        <v>0.02</v>
      </c>
      <c r="AF52" s="1956">
        <v>0</v>
      </c>
      <c r="AG52" s="141">
        <f t="shared" si="186"/>
        <v>0.02</v>
      </c>
      <c r="AH52" s="2710">
        <f t="shared" si="134"/>
        <v>0</v>
      </c>
      <c r="AI52" s="2681">
        <f>'Table 6c'!P50</f>
        <v>79</v>
      </c>
      <c r="AJ52" s="823">
        <f t="shared" si="193"/>
        <v>0.02</v>
      </c>
      <c r="AK52" s="1956">
        <v>0</v>
      </c>
      <c r="AL52" s="367">
        <f t="shared" si="176"/>
        <v>0.02</v>
      </c>
      <c r="AN52" s="305">
        <f t="shared" si="9"/>
        <v>7</v>
      </c>
      <c r="AO52" s="1627" t="e">
        <f>#REF!-O52</f>
        <v>#REF!</v>
      </c>
    </row>
    <row r="53" spans="1:41">
      <c r="A53" s="3239"/>
      <c r="B53" s="2203" t="s">
        <v>425</v>
      </c>
      <c r="C53" s="2729" t="s">
        <v>16</v>
      </c>
      <c r="D53" s="2257">
        <f>'Table 6c'!L51</f>
        <v>465</v>
      </c>
      <c r="E53" s="72">
        <v>468</v>
      </c>
      <c r="F53" s="872">
        <v>470</v>
      </c>
      <c r="G53" s="872">
        <v>472</v>
      </c>
      <c r="H53" s="872">
        <v>475</v>
      </c>
      <c r="I53" s="872">
        <v>478</v>
      </c>
      <c r="J53" s="291">
        <v>481</v>
      </c>
      <c r="K53" s="291">
        <v>1237</v>
      </c>
      <c r="L53" s="2726">
        <f t="shared" si="19"/>
        <v>0.03</v>
      </c>
      <c r="M53" s="246">
        <f t="shared" si="187"/>
        <v>0.02</v>
      </c>
      <c r="N53" s="2300">
        <v>0</v>
      </c>
      <c r="O53" s="141">
        <f>'Table 6c'!G51</f>
        <v>0.02</v>
      </c>
      <c r="P53" s="47">
        <f t="shared" si="188"/>
        <v>0.02</v>
      </c>
      <c r="Q53" s="2300">
        <v>0</v>
      </c>
      <c r="R53" s="141">
        <f t="shared" si="181"/>
        <v>0.02</v>
      </c>
      <c r="S53" s="47">
        <f t="shared" si="189"/>
        <v>0.02</v>
      </c>
      <c r="T53" s="2300">
        <v>0</v>
      </c>
      <c r="U53" s="141">
        <f t="shared" si="182"/>
        <v>0.02</v>
      </c>
      <c r="V53" s="47">
        <f t="shared" si="190"/>
        <v>0.02</v>
      </c>
      <c r="W53" s="2300">
        <v>0</v>
      </c>
      <c r="X53" s="141">
        <f t="shared" si="183"/>
        <v>0.02</v>
      </c>
      <c r="Y53" s="47">
        <f t="shared" si="191"/>
        <v>0.02</v>
      </c>
      <c r="Z53" s="2300">
        <v>0</v>
      </c>
      <c r="AA53" s="141">
        <f t="shared" si="184"/>
        <v>0.02</v>
      </c>
      <c r="AB53" s="47">
        <f t="shared" si="192"/>
        <v>0.02</v>
      </c>
      <c r="AC53" s="2300">
        <v>0</v>
      </c>
      <c r="AD53" s="141">
        <f t="shared" si="185"/>
        <v>0.02</v>
      </c>
      <c r="AE53" s="47">
        <f t="shared" si="16"/>
        <v>0.02</v>
      </c>
      <c r="AF53" s="2300">
        <v>0</v>
      </c>
      <c r="AG53" s="141">
        <f t="shared" si="186"/>
        <v>0.02</v>
      </c>
      <c r="AH53" s="2677">
        <f t="shared" si="134"/>
        <v>0</v>
      </c>
      <c r="AI53" s="2678">
        <f>'Table 6c'!P51</f>
        <v>49</v>
      </c>
      <c r="AJ53" s="47">
        <f t="shared" si="193"/>
        <v>0.02</v>
      </c>
      <c r="AK53" s="2300">
        <v>0</v>
      </c>
      <c r="AL53" s="141">
        <f t="shared" si="176"/>
        <v>0.02</v>
      </c>
      <c r="AN53" s="305">
        <f t="shared" si="9"/>
        <v>16</v>
      </c>
      <c r="AO53" s="1626" t="e">
        <f>#REF!-O53</f>
        <v>#REF!</v>
      </c>
    </row>
    <row r="54" spans="1:41">
      <c r="A54" s="3239"/>
      <c r="B54" s="2203" t="s">
        <v>426</v>
      </c>
      <c r="C54" s="2728" t="s">
        <v>16</v>
      </c>
      <c r="D54" s="305">
        <f>'Table 6c'!L52</f>
        <v>211</v>
      </c>
      <c r="E54" s="72">
        <v>212</v>
      </c>
      <c r="F54" s="872">
        <v>213</v>
      </c>
      <c r="G54" s="872">
        <v>214</v>
      </c>
      <c r="H54" s="872">
        <v>215</v>
      </c>
      <c r="I54" s="872">
        <v>216</v>
      </c>
      <c r="J54" s="995">
        <v>217</v>
      </c>
      <c r="K54" s="995">
        <v>1828</v>
      </c>
      <c r="L54" s="1861">
        <f t="shared" si="19"/>
        <v>0.03</v>
      </c>
      <c r="M54" s="870">
        <f t="shared" si="187"/>
        <v>0.04</v>
      </c>
      <c r="N54" s="1956">
        <v>0</v>
      </c>
      <c r="O54" s="367">
        <f>'Table 6c'!G52</f>
        <v>0.04</v>
      </c>
      <c r="P54" s="823">
        <f t="shared" si="188"/>
        <v>0.04</v>
      </c>
      <c r="Q54" s="1956">
        <v>0</v>
      </c>
      <c r="R54" s="367">
        <f t="shared" si="181"/>
        <v>0.04</v>
      </c>
      <c r="S54" s="823">
        <f t="shared" si="189"/>
        <v>0.04</v>
      </c>
      <c r="T54" s="1956">
        <v>0</v>
      </c>
      <c r="U54" s="367">
        <f t="shared" si="182"/>
        <v>0.04</v>
      </c>
      <c r="V54" s="823">
        <f t="shared" si="190"/>
        <v>0.04</v>
      </c>
      <c r="W54" s="1956">
        <v>0</v>
      </c>
      <c r="X54" s="367">
        <f t="shared" si="183"/>
        <v>0.04</v>
      </c>
      <c r="Y54" s="823">
        <f t="shared" si="191"/>
        <v>0.04</v>
      </c>
      <c r="Z54" s="1956">
        <v>0</v>
      </c>
      <c r="AA54" s="367">
        <f t="shared" si="184"/>
        <v>0.04</v>
      </c>
      <c r="AB54" s="823">
        <f t="shared" si="192"/>
        <v>0.04</v>
      </c>
      <c r="AC54" s="1956">
        <v>0</v>
      </c>
      <c r="AD54" s="367">
        <f t="shared" si="185"/>
        <v>0.04</v>
      </c>
      <c r="AE54" s="823">
        <f t="shared" si="16"/>
        <v>0.04</v>
      </c>
      <c r="AF54" s="1956">
        <v>0</v>
      </c>
      <c r="AG54" s="141">
        <f t="shared" si="186"/>
        <v>0.04</v>
      </c>
      <c r="AH54" s="2710">
        <f t="shared" si="134"/>
        <v>0</v>
      </c>
      <c r="AI54" s="2681">
        <f>'Table 6c'!P52</f>
        <v>190</v>
      </c>
      <c r="AJ54" s="823">
        <f t="shared" si="193"/>
        <v>0.04</v>
      </c>
      <c r="AK54" s="1956">
        <v>0</v>
      </c>
      <c r="AL54" s="367">
        <f t="shared" si="176"/>
        <v>0.04</v>
      </c>
      <c r="AN54" s="305">
        <f t="shared" si="9"/>
        <v>6</v>
      </c>
      <c r="AO54" s="1627" t="e">
        <f>#REF!-O54</f>
        <v>#REF!</v>
      </c>
    </row>
    <row r="55" spans="1:41">
      <c r="A55" s="3239"/>
      <c r="B55" s="2283" t="s">
        <v>427</v>
      </c>
      <c r="C55" s="2730" t="s">
        <v>16</v>
      </c>
      <c r="D55" s="2036">
        <f>'Table 6c'!L53</f>
        <v>60</v>
      </c>
      <c r="E55" s="861">
        <v>60</v>
      </c>
      <c r="F55" s="368">
        <v>60</v>
      </c>
      <c r="G55" s="368">
        <v>60</v>
      </c>
      <c r="H55" s="368">
        <v>60</v>
      </c>
      <c r="I55" s="368">
        <v>60</v>
      </c>
      <c r="J55" s="1011">
        <v>60</v>
      </c>
      <c r="K55" s="1011">
        <v>60</v>
      </c>
      <c r="L55" s="197">
        <f t="shared" si="19"/>
        <v>0</v>
      </c>
      <c r="M55" s="1006">
        <f t="shared" si="187"/>
        <v>0.01</v>
      </c>
      <c r="N55" s="2038">
        <v>0</v>
      </c>
      <c r="O55" s="49">
        <f>'Table 6c'!G53</f>
        <v>0.01</v>
      </c>
      <c r="P55" s="48">
        <f t="shared" si="188"/>
        <v>0</v>
      </c>
      <c r="Q55" s="2038">
        <v>0</v>
      </c>
      <c r="R55" s="49">
        <f t="shared" si="181"/>
        <v>0</v>
      </c>
      <c r="S55" s="48">
        <f t="shared" si="189"/>
        <v>0</v>
      </c>
      <c r="T55" s="2038">
        <v>0</v>
      </c>
      <c r="U55" s="49">
        <f t="shared" si="182"/>
        <v>0</v>
      </c>
      <c r="V55" s="48">
        <f t="shared" si="190"/>
        <v>0</v>
      </c>
      <c r="W55" s="2038">
        <v>0</v>
      </c>
      <c r="X55" s="49">
        <f t="shared" si="183"/>
        <v>0</v>
      </c>
      <c r="Y55" s="48">
        <f t="shared" si="191"/>
        <v>0</v>
      </c>
      <c r="Z55" s="2038">
        <v>0</v>
      </c>
      <c r="AA55" s="49">
        <f t="shared" si="184"/>
        <v>0</v>
      </c>
      <c r="AB55" s="48">
        <f t="shared" si="192"/>
        <v>0</v>
      </c>
      <c r="AC55" s="2038">
        <v>0</v>
      </c>
      <c r="AD55" s="49">
        <f t="shared" si="185"/>
        <v>0</v>
      </c>
      <c r="AE55" s="48">
        <f t="shared" si="16"/>
        <v>0</v>
      </c>
      <c r="AF55" s="2038">
        <v>0</v>
      </c>
      <c r="AG55" s="2719">
        <f t="shared" si="186"/>
        <v>0</v>
      </c>
      <c r="AH55" s="2731">
        <f t="shared" si="134"/>
        <v>-1</v>
      </c>
      <c r="AI55" s="2683">
        <f>'Table 6c'!P53</f>
        <v>83</v>
      </c>
      <c r="AJ55" s="48">
        <f t="shared" si="193"/>
        <v>0</v>
      </c>
      <c r="AK55" s="2038">
        <v>0</v>
      </c>
      <c r="AL55" s="49">
        <f t="shared" si="176"/>
        <v>0</v>
      </c>
      <c r="AN55" s="2036">
        <f t="shared" si="9"/>
        <v>0</v>
      </c>
      <c r="AO55" s="1623" t="e">
        <f>#REF!-O55</f>
        <v>#REF!</v>
      </c>
    </row>
    <row r="56" spans="1:41" s="22" customFormat="1">
      <c r="A56" s="3240"/>
      <c r="B56" s="3359" t="s">
        <v>204</v>
      </c>
      <c r="C56" s="3360"/>
      <c r="D56" s="1983">
        <f t="shared" ref="D56:K56" si="200">SUM(D45:D55)</f>
        <v>2996</v>
      </c>
      <c r="E56" s="857">
        <f t="shared" si="200"/>
        <v>3010</v>
      </c>
      <c r="F56" s="251">
        <f t="shared" si="200"/>
        <v>3015</v>
      </c>
      <c r="G56" s="251">
        <f t="shared" si="200"/>
        <v>3019</v>
      </c>
      <c r="H56" s="251">
        <f t="shared" si="200"/>
        <v>3025</v>
      </c>
      <c r="I56" s="251">
        <f t="shared" si="200"/>
        <v>3032</v>
      </c>
      <c r="J56" s="97">
        <f t="shared" si="200"/>
        <v>3039</v>
      </c>
      <c r="K56" s="2732">
        <f t="shared" si="200"/>
        <v>7448</v>
      </c>
      <c r="L56" s="241">
        <f t="shared" si="19"/>
        <v>0.01</v>
      </c>
      <c r="M56" s="140">
        <f t="shared" si="187"/>
        <v>0.2</v>
      </c>
      <c r="N56" s="2183">
        <v>0</v>
      </c>
      <c r="O56" s="56">
        <f>SUM(O45:O55)</f>
        <v>0.2</v>
      </c>
      <c r="P56" s="139">
        <f t="shared" si="188"/>
        <v>0.2</v>
      </c>
      <c r="Q56" s="2183">
        <v>0</v>
      </c>
      <c r="R56" s="56">
        <f>SUM(R45:R55)</f>
        <v>0.2</v>
      </c>
      <c r="S56" s="139">
        <f t="shared" si="189"/>
        <v>0.2</v>
      </c>
      <c r="T56" s="2183">
        <v>0</v>
      </c>
      <c r="U56" s="56">
        <f>SUM(U45:U55)</f>
        <v>0.2</v>
      </c>
      <c r="V56" s="139">
        <f t="shared" si="190"/>
        <v>0.2</v>
      </c>
      <c r="W56" s="2183">
        <v>0</v>
      </c>
      <c r="X56" s="56">
        <f>SUM(X45:X55)</f>
        <v>0.2</v>
      </c>
      <c r="Y56" s="139">
        <f t="shared" si="191"/>
        <v>0.2</v>
      </c>
      <c r="Z56" s="2183">
        <v>0</v>
      </c>
      <c r="AA56" s="56">
        <f>SUM(AA45:AA55)</f>
        <v>0.2</v>
      </c>
      <c r="AB56" s="139">
        <f t="shared" si="192"/>
        <v>0.2</v>
      </c>
      <c r="AC56" s="2183">
        <v>0</v>
      </c>
      <c r="AD56" s="56">
        <f>SUM(AD45:AD55)</f>
        <v>0.2</v>
      </c>
      <c r="AE56" s="139">
        <f t="shared" si="16"/>
        <v>0.2</v>
      </c>
      <c r="AF56" s="2183">
        <f>SUM(AF45:AF55)</f>
        <v>0</v>
      </c>
      <c r="AG56" s="56">
        <f>SUM(AG45:AG55)</f>
        <v>0.2</v>
      </c>
      <c r="AH56" s="2733">
        <f t="shared" si="134"/>
        <v>0</v>
      </c>
      <c r="AI56" s="2734" t="s">
        <v>418</v>
      </c>
      <c r="AJ56" s="139">
        <f t="shared" si="193"/>
        <v>0.21</v>
      </c>
      <c r="AK56" s="2183">
        <v>0</v>
      </c>
      <c r="AL56" s="56">
        <f t="shared" si="176"/>
        <v>0.21</v>
      </c>
      <c r="AN56" s="1983">
        <f t="shared" si="9"/>
        <v>43</v>
      </c>
      <c r="AO56" s="1629" t="e">
        <f>#REF!-O56</f>
        <v>#REF!</v>
      </c>
    </row>
    <row r="57" spans="1:41">
      <c r="A57" s="3238" t="s">
        <v>205</v>
      </c>
      <c r="B57" s="2373" t="s">
        <v>428</v>
      </c>
      <c r="C57" s="163">
        <v>1190</v>
      </c>
      <c r="D57" s="2170">
        <f>'Table 6c'!L55</f>
        <v>345</v>
      </c>
      <c r="E57" s="170">
        <v>345</v>
      </c>
      <c r="F57" s="169">
        <v>345</v>
      </c>
      <c r="G57" s="169">
        <v>345</v>
      </c>
      <c r="H57" s="169">
        <v>345</v>
      </c>
      <c r="I57" s="169">
        <v>345</v>
      </c>
      <c r="J57" s="270">
        <v>345</v>
      </c>
      <c r="K57" s="270">
        <v>345</v>
      </c>
      <c r="L57" s="196">
        <f t="shared" si="19"/>
        <v>0</v>
      </c>
      <c r="M57" s="186">
        <f t="shared" si="187"/>
        <v>0.01</v>
      </c>
      <c r="N57" s="2172">
        <v>0</v>
      </c>
      <c r="O57" s="160">
        <f>'Table 6c'!G55</f>
        <v>0.01</v>
      </c>
      <c r="P57" s="149">
        <f t="shared" si="188"/>
        <v>0.01</v>
      </c>
      <c r="Q57" s="2172">
        <v>0</v>
      </c>
      <c r="R57" s="160">
        <f>E57*AI57/1000000</f>
        <v>0.01</v>
      </c>
      <c r="S57" s="149">
        <f t="shared" si="189"/>
        <v>0.01</v>
      </c>
      <c r="T57" s="2172">
        <v>0</v>
      </c>
      <c r="U57" s="160">
        <f>F57*AI57/1000000</f>
        <v>0.01</v>
      </c>
      <c r="V57" s="149">
        <f t="shared" si="190"/>
        <v>0.01</v>
      </c>
      <c r="W57" s="2172">
        <v>0</v>
      </c>
      <c r="X57" s="160">
        <f>G57*AI57/1000000</f>
        <v>0.01</v>
      </c>
      <c r="Y57" s="149">
        <f t="shared" si="191"/>
        <v>0.01</v>
      </c>
      <c r="Z57" s="2172">
        <v>0</v>
      </c>
      <c r="AA57" s="160">
        <f>H57*AI57/1000000</f>
        <v>0.01</v>
      </c>
      <c r="AB57" s="149">
        <f t="shared" si="192"/>
        <v>0.01</v>
      </c>
      <c r="AC57" s="2172">
        <v>0</v>
      </c>
      <c r="AD57" s="160">
        <f>I57*AI57/1000000</f>
        <v>0.01</v>
      </c>
      <c r="AE57" s="149">
        <f t="shared" si="16"/>
        <v>0.01</v>
      </c>
      <c r="AF57" s="2172">
        <v>0</v>
      </c>
      <c r="AG57" s="2703">
        <f>J57*AI57/1000000</f>
        <v>0.01</v>
      </c>
      <c r="AH57" s="2735">
        <f t="shared" si="134"/>
        <v>0</v>
      </c>
      <c r="AI57" s="2736">
        <f>'Table 6c'!P55</f>
        <v>29</v>
      </c>
      <c r="AJ57" s="149">
        <f t="shared" si="193"/>
        <v>0.01</v>
      </c>
      <c r="AK57" s="2172">
        <v>0</v>
      </c>
      <c r="AL57" s="160">
        <f t="shared" si="176"/>
        <v>0.01</v>
      </c>
      <c r="AN57" s="2170">
        <f t="shared" si="9"/>
        <v>0</v>
      </c>
      <c r="AO57" s="1625" t="e">
        <f>#REF!-O57</f>
        <v>#REF!</v>
      </c>
    </row>
    <row r="58" spans="1:41">
      <c r="A58" s="3239"/>
      <c r="B58" s="2203" t="s">
        <v>429</v>
      </c>
      <c r="C58" s="1138">
        <v>1381</v>
      </c>
      <c r="D58" s="305">
        <f>'Table 6c'!L56</f>
        <v>378</v>
      </c>
      <c r="E58" s="864">
        <v>465</v>
      </c>
      <c r="F58" s="872">
        <v>465</v>
      </c>
      <c r="G58" s="872">
        <v>465</v>
      </c>
      <c r="H58" s="872">
        <v>465</v>
      </c>
      <c r="I58" s="872">
        <v>465</v>
      </c>
      <c r="J58" s="995">
        <v>465</v>
      </c>
      <c r="K58" s="995">
        <v>465</v>
      </c>
      <c r="L58" s="1861">
        <f t="shared" si="19"/>
        <v>0.23</v>
      </c>
      <c r="M58" s="870">
        <f t="shared" si="187"/>
        <v>0.02</v>
      </c>
      <c r="N58" s="1956">
        <v>0</v>
      </c>
      <c r="O58" s="367">
        <f>'Table 6c'!G56</f>
        <v>0.02</v>
      </c>
      <c r="P58" s="823">
        <f t="shared" si="188"/>
        <v>0.03</v>
      </c>
      <c r="Q58" s="1956">
        <v>0</v>
      </c>
      <c r="R58" s="367">
        <f>E58*AI58/1000000</f>
        <v>0.03</v>
      </c>
      <c r="S58" s="823">
        <f t="shared" si="189"/>
        <v>0.03</v>
      </c>
      <c r="T58" s="1956">
        <v>0</v>
      </c>
      <c r="U58" s="367">
        <f>F58*AI58/1000000</f>
        <v>0.03</v>
      </c>
      <c r="V58" s="823">
        <f t="shared" si="190"/>
        <v>0.03</v>
      </c>
      <c r="W58" s="1956">
        <v>0</v>
      </c>
      <c r="X58" s="367">
        <f>G58*AI58/1000000</f>
        <v>0.03</v>
      </c>
      <c r="Y58" s="823">
        <f t="shared" si="191"/>
        <v>0.03</v>
      </c>
      <c r="Z58" s="1956">
        <v>0</v>
      </c>
      <c r="AA58" s="367">
        <f>H58*AI58/1000000</f>
        <v>0.03</v>
      </c>
      <c r="AB58" s="823">
        <f t="shared" si="192"/>
        <v>0.03</v>
      </c>
      <c r="AC58" s="1956">
        <v>0</v>
      </c>
      <c r="AD58" s="367">
        <f>I58*AI58/1000000</f>
        <v>0.03</v>
      </c>
      <c r="AE58" s="823">
        <f t="shared" si="16"/>
        <v>0.03</v>
      </c>
      <c r="AF58" s="1956">
        <v>0</v>
      </c>
      <c r="AG58" s="2709">
        <f>J58*AI58/1000000</f>
        <v>0.03</v>
      </c>
      <c r="AH58" s="2710">
        <f t="shared" si="134"/>
        <v>0.5</v>
      </c>
      <c r="AI58" s="2681">
        <f>'Table 6c'!P56</f>
        <v>58</v>
      </c>
      <c r="AJ58" s="823">
        <f t="shared" si="193"/>
        <v>0.03</v>
      </c>
      <c r="AK58" s="1956">
        <v>0</v>
      </c>
      <c r="AL58" s="367">
        <f t="shared" si="176"/>
        <v>0.03</v>
      </c>
      <c r="AN58" s="305">
        <f t="shared" si="9"/>
        <v>87</v>
      </c>
      <c r="AO58" s="1627" t="e">
        <f>#REF!-O58</f>
        <v>#REF!</v>
      </c>
    </row>
    <row r="59" spans="1:41">
      <c r="A59" s="3239"/>
      <c r="B59" s="2203" t="s">
        <v>430</v>
      </c>
      <c r="C59" s="1138">
        <v>1386</v>
      </c>
      <c r="D59" s="305">
        <f>'Table 6c'!L57</f>
        <v>237</v>
      </c>
      <c r="E59" s="72">
        <v>250</v>
      </c>
      <c r="F59" s="872">
        <v>295</v>
      </c>
      <c r="G59" s="872">
        <v>295</v>
      </c>
      <c r="H59" s="872">
        <v>295</v>
      </c>
      <c r="I59" s="872">
        <v>295</v>
      </c>
      <c r="J59" s="995">
        <v>295</v>
      </c>
      <c r="K59" s="995">
        <v>295</v>
      </c>
      <c r="L59" s="1861">
        <f t="shared" si="19"/>
        <v>0.24</v>
      </c>
      <c r="M59" s="870">
        <f t="shared" si="187"/>
        <v>0.04</v>
      </c>
      <c r="N59" s="1956">
        <v>0</v>
      </c>
      <c r="O59" s="367">
        <f>'Table 6c'!G57</f>
        <v>0.04</v>
      </c>
      <c r="P59" s="823">
        <f t="shared" si="188"/>
        <v>0.04</v>
      </c>
      <c r="Q59" s="1956">
        <v>0</v>
      </c>
      <c r="R59" s="367">
        <f>E59*AI59/1000000</f>
        <v>0.04</v>
      </c>
      <c r="S59" s="823">
        <f t="shared" si="189"/>
        <v>0.05</v>
      </c>
      <c r="T59" s="1956">
        <v>0</v>
      </c>
      <c r="U59" s="367">
        <f>F59*AI59/1000000</f>
        <v>0.05</v>
      </c>
      <c r="V59" s="823">
        <f t="shared" si="190"/>
        <v>0.05</v>
      </c>
      <c r="W59" s="1956">
        <v>0</v>
      </c>
      <c r="X59" s="367">
        <f>G59*AI59/1000000</f>
        <v>0.05</v>
      </c>
      <c r="Y59" s="823">
        <f t="shared" si="191"/>
        <v>0.05</v>
      </c>
      <c r="Z59" s="1956">
        <v>0</v>
      </c>
      <c r="AA59" s="367">
        <f>H59*AI59/1000000</f>
        <v>0.05</v>
      </c>
      <c r="AB59" s="823">
        <f t="shared" si="192"/>
        <v>0.05</v>
      </c>
      <c r="AC59" s="1956">
        <v>0</v>
      </c>
      <c r="AD59" s="367">
        <f>I59*AI59/1000000</f>
        <v>0.05</v>
      </c>
      <c r="AE59" s="823">
        <f t="shared" si="16"/>
        <v>0.05</v>
      </c>
      <c r="AF59" s="1956">
        <v>0</v>
      </c>
      <c r="AG59" s="2709">
        <f>J59*AI59/1000000</f>
        <v>0.05</v>
      </c>
      <c r="AH59" s="2710">
        <f t="shared" si="134"/>
        <v>0.25</v>
      </c>
      <c r="AI59" s="2681">
        <f>'Table 6c'!P57</f>
        <v>176</v>
      </c>
      <c r="AJ59" s="823">
        <f t="shared" si="193"/>
        <v>0.05</v>
      </c>
      <c r="AK59" s="1956">
        <v>0</v>
      </c>
      <c r="AL59" s="367">
        <f t="shared" si="176"/>
        <v>0.05</v>
      </c>
      <c r="AN59" s="305">
        <f t="shared" si="9"/>
        <v>58</v>
      </c>
      <c r="AO59" s="1627" t="e">
        <f>#REF!-O59</f>
        <v>#REF!</v>
      </c>
    </row>
    <row r="60" spans="1:41">
      <c r="A60" s="3239"/>
      <c r="B60" s="2283" t="s">
        <v>431</v>
      </c>
      <c r="C60" s="1262">
        <v>1423</v>
      </c>
      <c r="D60" s="2036">
        <f>'Table 6c'!L58</f>
        <v>369</v>
      </c>
      <c r="E60" s="861">
        <v>375</v>
      </c>
      <c r="F60" s="368">
        <v>375</v>
      </c>
      <c r="G60" s="368">
        <v>375</v>
      </c>
      <c r="H60" s="368">
        <v>375</v>
      </c>
      <c r="I60" s="368">
        <v>375</v>
      </c>
      <c r="J60" s="1011">
        <v>375</v>
      </c>
      <c r="K60" s="1011">
        <v>375</v>
      </c>
      <c r="L60" s="197">
        <f t="shared" si="19"/>
        <v>0.02</v>
      </c>
      <c r="M60" s="1006">
        <f t="shared" si="187"/>
        <v>0.04</v>
      </c>
      <c r="N60" s="2038">
        <v>0</v>
      </c>
      <c r="O60" s="49">
        <f>'Table 6c'!G58</f>
        <v>0.04</v>
      </c>
      <c r="P60" s="48">
        <f t="shared" si="188"/>
        <v>0.04</v>
      </c>
      <c r="Q60" s="2038">
        <v>0</v>
      </c>
      <c r="R60" s="49">
        <f>E60*AI60/1000000</f>
        <v>0.04</v>
      </c>
      <c r="S60" s="48">
        <f t="shared" si="189"/>
        <v>0.04</v>
      </c>
      <c r="T60" s="2038">
        <v>0</v>
      </c>
      <c r="U60" s="49">
        <f>F60*AI60/1000000</f>
        <v>0.04</v>
      </c>
      <c r="V60" s="48">
        <f t="shared" si="190"/>
        <v>0.04</v>
      </c>
      <c r="W60" s="2038">
        <v>0</v>
      </c>
      <c r="X60" s="49">
        <f>G60*AI60/1000000</f>
        <v>0.04</v>
      </c>
      <c r="Y60" s="48">
        <f t="shared" si="191"/>
        <v>0.04</v>
      </c>
      <c r="Z60" s="2038">
        <v>0</v>
      </c>
      <c r="AA60" s="49">
        <f>H60*AI60/1000000</f>
        <v>0.04</v>
      </c>
      <c r="AB60" s="48">
        <f t="shared" si="192"/>
        <v>0.04</v>
      </c>
      <c r="AC60" s="2038">
        <v>0</v>
      </c>
      <c r="AD60" s="49">
        <f>I60*AI60/1000000</f>
        <v>0.04</v>
      </c>
      <c r="AE60" s="48">
        <f t="shared" si="16"/>
        <v>0.04</v>
      </c>
      <c r="AF60" s="2038">
        <v>0</v>
      </c>
      <c r="AG60" s="2719">
        <f>J60*AI60/1000000</f>
        <v>0.04</v>
      </c>
      <c r="AH60" s="2731">
        <f t="shared" si="134"/>
        <v>0</v>
      </c>
      <c r="AI60" s="2683">
        <f>'Table 6c'!P58</f>
        <v>117</v>
      </c>
      <c r="AJ60" s="48">
        <f t="shared" si="193"/>
        <v>0.04</v>
      </c>
      <c r="AK60" s="2038">
        <v>0</v>
      </c>
      <c r="AL60" s="49">
        <f t="shared" si="176"/>
        <v>0.04</v>
      </c>
      <c r="AN60" s="2036">
        <f t="shared" si="9"/>
        <v>6</v>
      </c>
      <c r="AO60" s="1623" t="e">
        <f>#REF!-O60</f>
        <v>#REF!</v>
      </c>
    </row>
    <row r="61" spans="1:41" s="22" customFormat="1">
      <c r="A61" s="3240"/>
      <c r="B61" s="3359" t="s">
        <v>212</v>
      </c>
      <c r="C61" s="3360"/>
      <c r="D61" s="1983">
        <f t="shared" ref="D61:I61" si="201">SUM(D57:D60)</f>
        <v>1329</v>
      </c>
      <c r="E61" s="857">
        <f t="shared" si="201"/>
        <v>1435</v>
      </c>
      <c r="F61" s="251">
        <f t="shared" si="201"/>
        <v>1480</v>
      </c>
      <c r="G61" s="251">
        <f t="shared" si="201"/>
        <v>1480</v>
      </c>
      <c r="H61" s="251">
        <f t="shared" si="201"/>
        <v>1480</v>
      </c>
      <c r="I61" s="251">
        <f t="shared" si="201"/>
        <v>1480</v>
      </c>
      <c r="J61" s="97">
        <f t="shared" ref="J61" si="202">SUM(J57:J60)</f>
        <v>1480</v>
      </c>
      <c r="K61" s="97">
        <f>SUM(K57:K60)</f>
        <v>1480</v>
      </c>
      <c r="L61" s="202">
        <f t="shared" si="19"/>
        <v>0.11</v>
      </c>
      <c r="M61" s="35">
        <f t="shared" ref="M61:AD61" si="203">SUM(M57:M60)</f>
        <v>0.11</v>
      </c>
      <c r="N61" s="1984">
        <f t="shared" si="203"/>
        <v>0</v>
      </c>
      <c r="O61" s="105">
        <f t="shared" si="203"/>
        <v>0.11</v>
      </c>
      <c r="P61" s="34">
        <f t="shared" si="203"/>
        <v>0.12</v>
      </c>
      <c r="Q61" s="1984">
        <f t="shared" si="203"/>
        <v>0</v>
      </c>
      <c r="R61" s="105">
        <f t="shared" si="203"/>
        <v>0.12</v>
      </c>
      <c r="S61" s="34">
        <f t="shared" si="203"/>
        <v>0.13</v>
      </c>
      <c r="T61" s="1984">
        <f t="shared" si="203"/>
        <v>0</v>
      </c>
      <c r="U61" s="105">
        <f t="shared" si="203"/>
        <v>0.13</v>
      </c>
      <c r="V61" s="34">
        <f t="shared" si="203"/>
        <v>0.13</v>
      </c>
      <c r="W61" s="1984">
        <f t="shared" si="203"/>
        <v>0</v>
      </c>
      <c r="X61" s="105">
        <f t="shared" si="203"/>
        <v>0.13</v>
      </c>
      <c r="Y61" s="34">
        <f t="shared" si="203"/>
        <v>0.13</v>
      </c>
      <c r="Z61" s="1984">
        <f t="shared" si="203"/>
        <v>0</v>
      </c>
      <c r="AA61" s="105">
        <f t="shared" si="203"/>
        <v>0.13</v>
      </c>
      <c r="AB61" s="34">
        <f t="shared" si="203"/>
        <v>0.13</v>
      </c>
      <c r="AC61" s="1984">
        <f t="shared" si="203"/>
        <v>0</v>
      </c>
      <c r="AD61" s="105">
        <f t="shared" si="203"/>
        <v>0.13</v>
      </c>
      <c r="AE61" s="34">
        <f t="shared" ref="AE61" si="204">SUM(AE57:AE60)</f>
        <v>0.13</v>
      </c>
      <c r="AF61" s="1984">
        <f t="shared" ref="AF61:AG61" si="205">SUM(AF57:AF60)</f>
        <v>0</v>
      </c>
      <c r="AG61" s="105">
        <f t="shared" si="205"/>
        <v>0.13</v>
      </c>
      <c r="AH61" s="2590">
        <f t="shared" si="134"/>
        <v>0.18</v>
      </c>
      <c r="AI61" s="2723" t="s">
        <v>16</v>
      </c>
      <c r="AJ61" s="34">
        <f t="shared" ref="AJ61:AL61" si="206">SUM(AJ57:AJ60)</f>
        <v>0.13</v>
      </c>
      <c r="AK61" s="1984">
        <f t="shared" si="206"/>
        <v>0</v>
      </c>
      <c r="AL61" s="105">
        <f t="shared" si="206"/>
        <v>0.13</v>
      </c>
      <c r="AN61" s="1983">
        <f t="shared" si="9"/>
        <v>151</v>
      </c>
      <c r="AO61" s="1624" t="e">
        <f>#REF!-O61</f>
        <v>#REF!</v>
      </c>
    </row>
    <row r="62" spans="1:41" s="22" customFormat="1" ht="12.75" customHeight="1">
      <c r="A62" s="3238" t="s">
        <v>213</v>
      </c>
      <c r="B62" s="131" t="s">
        <v>432</v>
      </c>
      <c r="C62" s="2698">
        <v>217345</v>
      </c>
      <c r="D62" s="2170">
        <f>'Table 6c'!L62</f>
        <v>320</v>
      </c>
      <c r="E62" s="170">
        <v>320</v>
      </c>
      <c r="F62" s="169">
        <v>320</v>
      </c>
      <c r="G62" s="169">
        <v>320</v>
      </c>
      <c r="H62" s="169">
        <v>320</v>
      </c>
      <c r="I62" s="169">
        <v>320</v>
      </c>
      <c r="J62" s="270">
        <v>320</v>
      </c>
      <c r="K62" s="270">
        <v>320</v>
      </c>
      <c r="L62" s="196">
        <f t="shared" si="19"/>
        <v>0</v>
      </c>
      <c r="M62" s="186">
        <f t="shared" si="187"/>
        <v>0.02</v>
      </c>
      <c r="N62" s="2172">
        <v>0</v>
      </c>
      <c r="O62" s="160">
        <f>'Table 6c'!G62</f>
        <v>0.02</v>
      </c>
      <c r="P62" s="149">
        <f t="shared" ref="P62:P65" si="207">R62-Q62</f>
        <v>0.02</v>
      </c>
      <c r="Q62" s="2172">
        <v>0</v>
      </c>
      <c r="R62" s="160">
        <f>E62*AI62/1000000</f>
        <v>0.02</v>
      </c>
      <c r="S62" s="149">
        <f t="shared" ref="S62:S65" si="208">U62-T62</f>
        <v>0.02</v>
      </c>
      <c r="T62" s="2172">
        <v>0</v>
      </c>
      <c r="U62" s="160">
        <f>F62*AI62/1000000</f>
        <v>0.02</v>
      </c>
      <c r="V62" s="149">
        <f t="shared" ref="V62:V65" si="209">X62-W62</f>
        <v>0.02</v>
      </c>
      <c r="W62" s="2172">
        <v>0</v>
      </c>
      <c r="X62" s="160">
        <f>G62*AI62/1000000</f>
        <v>0.02</v>
      </c>
      <c r="Y62" s="149">
        <f t="shared" ref="Y62:Y65" si="210">AA62-Z62</f>
        <v>0.02</v>
      </c>
      <c r="Z62" s="2172">
        <v>0</v>
      </c>
      <c r="AA62" s="160">
        <f>H62*AI62/1000000</f>
        <v>0.02</v>
      </c>
      <c r="AB62" s="149">
        <f t="shared" ref="AB62:AB65" si="211">AD62-AC62</f>
        <v>0.02</v>
      </c>
      <c r="AC62" s="2172">
        <v>0</v>
      </c>
      <c r="AD62" s="160">
        <f>I62*AI62/1000000</f>
        <v>0.02</v>
      </c>
      <c r="AE62" s="149">
        <f t="shared" ref="AE62:AE65" si="212">AG62-AF62</f>
        <v>0.02</v>
      </c>
      <c r="AF62" s="2172">
        <v>0</v>
      </c>
      <c r="AG62" s="2703">
        <f>J62*AI62/1000000</f>
        <v>0.02</v>
      </c>
      <c r="AH62" s="2735">
        <f t="shared" si="134"/>
        <v>0</v>
      </c>
      <c r="AI62" s="2736">
        <f>'Table 6c'!P62</f>
        <v>69</v>
      </c>
      <c r="AJ62" s="149">
        <f t="shared" ref="AJ62:AJ65" si="213">AL62-AK62</f>
        <v>0.02</v>
      </c>
      <c r="AK62" s="2172">
        <v>0</v>
      </c>
      <c r="AL62" s="160">
        <f>AG62*1.06</f>
        <v>0.02</v>
      </c>
      <c r="AN62" s="2170">
        <f t="shared" si="9"/>
        <v>0</v>
      </c>
      <c r="AO62" s="1625" t="e">
        <f>#REF!-O62</f>
        <v>#REF!</v>
      </c>
    </row>
    <row r="63" spans="1:41" s="22" customFormat="1" ht="12.75" customHeight="1">
      <c r="A63" s="3239"/>
      <c r="B63" s="2679" t="s">
        <v>433</v>
      </c>
      <c r="C63" s="2708">
        <v>216536</v>
      </c>
      <c r="D63" s="305">
        <f>'Table 6c'!L63</f>
        <v>21</v>
      </c>
      <c r="E63" s="864">
        <v>21</v>
      </c>
      <c r="F63" s="872">
        <v>21</v>
      </c>
      <c r="G63" s="872">
        <v>21</v>
      </c>
      <c r="H63" s="872">
        <v>21</v>
      </c>
      <c r="I63" s="872">
        <v>21</v>
      </c>
      <c r="J63" s="995">
        <v>21</v>
      </c>
      <c r="K63" s="995">
        <v>21</v>
      </c>
      <c r="L63" s="1861">
        <f t="shared" si="19"/>
        <v>0</v>
      </c>
      <c r="M63" s="870">
        <f t="shared" si="187"/>
        <v>0</v>
      </c>
      <c r="N63" s="1956">
        <v>0</v>
      </c>
      <c r="O63" s="367">
        <f>'Table 6c'!G63</f>
        <v>0</v>
      </c>
      <c r="P63" s="823">
        <f t="shared" si="207"/>
        <v>0</v>
      </c>
      <c r="Q63" s="1956">
        <v>0</v>
      </c>
      <c r="R63" s="367">
        <f>E63*AI63/1000000</f>
        <v>0</v>
      </c>
      <c r="S63" s="823">
        <f t="shared" si="208"/>
        <v>0</v>
      </c>
      <c r="T63" s="1956">
        <v>0</v>
      </c>
      <c r="U63" s="367">
        <f>F63*AI63/1000000</f>
        <v>0</v>
      </c>
      <c r="V63" s="823">
        <f t="shared" si="209"/>
        <v>0</v>
      </c>
      <c r="W63" s="1956">
        <v>0</v>
      </c>
      <c r="X63" s="367">
        <f>G63*AI63/1000000</f>
        <v>0</v>
      </c>
      <c r="Y63" s="823">
        <f t="shared" si="210"/>
        <v>0</v>
      </c>
      <c r="Z63" s="1956">
        <v>0</v>
      </c>
      <c r="AA63" s="367">
        <f>H63*AI63/1000000</f>
        <v>0</v>
      </c>
      <c r="AB63" s="823">
        <f t="shared" si="211"/>
        <v>0</v>
      </c>
      <c r="AC63" s="1956">
        <v>0</v>
      </c>
      <c r="AD63" s="367">
        <f>I63*AI63/1000000</f>
        <v>0</v>
      </c>
      <c r="AE63" s="823">
        <f t="shared" si="212"/>
        <v>0</v>
      </c>
      <c r="AF63" s="1956">
        <v>0</v>
      </c>
      <c r="AG63" s="2709">
        <f>J63*AI63/1000000</f>
        <v>0</v>
      </c>
      <c r="AH63" s="2710" t="s">
        <v>16</v>
      </c>
      <c r="AI63" s="2681">
        <f>'Table 6c'!P63</f>
        <v>143</v>
      </c>
      <c r="AJ63" s="823">
        <f t="shared" si="213"/>
        <v>0</v>
      </c>
      <c r="AK63" s="1956">
        <v>0</v>
      </c>
      <c r="AL63" s="367">
        <f>AG63*1.06</f>
        <v>0</v>
      </c>
      <c r="AN63" s="305">
        <f t="shared" si="9"/>
        <v>0</v>
      </c>
      <c r="AO63" s="1627" t="e">
        <f>#REF!-O63</f>
        <v>#REF!</v>
      </c>
    </row>
    <row r="64" spans="1:41" s="22" customFormat="1" ht="12.75" customHeight="1">
      <c r="A64" s="3239"/>
      <c r="B64" s="2679" t="s">
        <v>434</v>
      </c>
      <c r="C64" s="2708">
        <v>219144</v>
      </c>
      <c r="D64" s="305">
        <f>'Table 6c'!L64</f>
        <v>39</v>
      </c>
      <c r="E64" s="72">
        <v>39</v>
      </c>
      <c r="F64" s="872">
        <v>39</v>
      </c>
      <c r="G64" s="872">
        <v>39</v>
      </c>
      <c r="H64" s="872">
        <v>39</v>
      </c>
      <c r="I64" s="872">
        <v>39</v>
      </c>
      <c r="J64" s="995">
        <v>39</v>
      </c>
      <c r="K64" s="995">
        <v>39</v>
      </c>
      <c r="L64" s="1861">
        <f t="shared" si="19"/>
        <v>0</v>
      </c>
      <c r="M64" s="870">
        <f t="shared" si="187"/>
        <v>0.01</v>
      </c>
      <c r="N64" s="1956">
        <v>0</v>
      </c>
      <c r="O64" s="367">
        <f>'Table 6c'!G64</f>
        <v>0.01</v>
      </c>
      <c r="P64" s="823">
        <f t="shared" si="207"/>
        <v>0.01</v>
      </c>
      <c r="Q64" s="1956">
        <v>0</v>
      </c>
      <c r="R64" s="367">
        <f>E64*AI64/1000000</f>
        <v>0.01</v>
      </c>
      <c r="S64" s="823">
        <f t="shared" si="208"/>
        <v>0.01</v>
      </c>
      <c r="T64" s="1956">
        <v>0</v>
      </c>
      <c r="U64" s="367">
        <f>F64*AI64/1000000</f>
        <v>0.01</v>
      </c>
      <c r="V64" s="823">
        <f t="shared" si="209"/>
        <v>0.01</v>
      </c>
      <c r="W64" s="1956">
        <v>0</v>
      </c>
      <c r="X64" s="367">
        <f>G64*AI64/1000000</f>
        <v>0.01</v>
      </c>
      <c r="Y64" s="823">
        <f t="shared" si="210"/>
        <v>0.01</v>
      </c>
      <c r="Z64" s="1956">
        <v>0</v>
      </c>
      <c r="AA64" s="367">
        <f>H64*AI64/1000000</f>
        <v>0.01</v>
      </c>
      <c r="AB64" s="823">
        <f t="shared" si="211"/>
        <v>0.01</v>
      </c>
      <c r="AC64" s="1956">
        <v>0</v>
      </c>
      <c r="AD64" s="367">
        <f>I64*AI64/1000000</f>
        <v>0.01</v>
      </c>
      <c r="AE64" s="823">
        <f t="shared" si="212"/>
        <v>0.01</v>
      </c>
      <c r="AF64" s="1956">
        <v>0</v>
      </c>
      <c r="AG64" s="2709">
        <f>J64*AI64/1000000</f>
        <v>0.01</v>
      </c>
      <c r="AH64" s="2710">
        <f>(AG64-O64)/O64</f>
        <v>0</v>
      </c>
      <c r="AI64" s="2681">
        <f>'Table 6c'!P64</f>
        <v>154</v>
      </c>
      <c r="AJ64" s="823">
        <f t="shared" si="213"/>
        <v>0.01</v>
      </c>
      <c r="AK64" s="1956">
        <v>0</v>
      </c>
      <c r="AL64" s="367">
        <f>AG64*1.06</f>
        <v>0.01</v>
      </c>
      <c r="AN64" s="305">
        <f t="shared" si="9"/>
        <v>0</v>
      </c>
      <c r="AO64" s="1627" t="e">
        <f>#REF!-O64</f>
        <v>#REF!</v>
      </c>
    </row>
    <row r="65" spans="1:41" s="22" customFormat="1" ht="12.75" customHeight="1">
      <c r="A65" s="3239"/>
      <c r="B65" s="2682" t="s">
        <v>435</v>
      </c>
      <c r="C65" s="2711">
        <v>219174</v>
      </c>
      <c r="D65" s="2036">
        <f>'Table 6c'!L65</f>
        <v>57</v>
      </c>
      <c r="E65" s="861">
        <v>57</v>
      </c>
      <c r="F65" s="368">
        <v>57</v>
      </c>
      <c r="G65" s="368">
        <v>57</v>
      </c>
      <c r="H65" s="368">
        <v>57</v>
      </c>
      <c r="I65" s="368">
        <v>57</v>
      </c>
      <c r="J65" s="1011">
        <v>57</v>
      </c>
      <c r="K65" s="1011">
        <v>57</v>
      </c>
      <c r="L65" s="197">
        <f t="shared" si="19"/>
        <v>0</v>
      </c>
      <c r="M65" s="1006">
        <f t="shared" si="187"/>
        <v>0.01</v>
      </c>
      <c r="N65" s="2038">
        <v>0</v>
      </c>
      <c r="O65" s="49">
        <f>'Table 6c'!G65</f>
        <v>0.01</v>
      </c>
      <c r="P65" s="48">
        <f t="shared" si="207"/>
        <v>0.01</v>
      </c>
      <c r="Q65" s="2038">
        <v>0</v>
      </c>
      <c r="R65" s="49">
        <f>E65*AI65/1000000</f>
        <v>0.01</v>
      </c>
      <c r="S65" s="48">
        <f t="shared" si="208"/>
        <v>0.01</v>
      </c>
      <c r="T65" s="2038">
        <v>0</v>
      </c>
      <c r="U65" s="49">
        <f>F65*AI65/1000000</f>
        <v>0.01</v>
      </c>
      <c r="V65" s="48">
        <f t="shared" si="209"/>
        <v>0.01</v>
      </c>
      <c r="W65" s="2038">
        <v>0</v>
      </c>
      <c r="X65" s="49">
        <f>G65*AI65/1000000</f>
        <v>0.01</v>
      </c>
      <c r="Y65" s="48">
        <f t="shared" si="210"/>
        <v>0.01</v>
      </c>
      <c r="Z65" s="2038">
        <v>0</v>
      </c>
      <c r="AA65" s="49">
        <f>H65*AI65/1000000</f>
        <v>0.01</v>
      </c>
      <c r="AB65" s="48">
        <f t="shared" si="211"/>
        <v>0.01</v>
      </c>
      <c r="AC65" s="2038">
        <v>0</v>
      </c>
      <c r="AD65" s="49">
        <f>I65*AI65/1000000</f>
        <v>0.01</v>
      </c>
      <c r="AE65" s="48">
        <f t="shared" si="212"/>
        <v>0.01</v>
      </c>
      <c r="AF65" s="2038">
        <v>0</v>
      </c>
      <c r="AG65" s="2719">
        <f>J65*AI65/1000000</f>
        <v>0.01</v>
      </c>
      <c r="AH65" s="2731">
        <f>(AG65-O65)/O65</f>
        <v>0</v>
      </c>
      <c r="AI65" s="2683">
        <f>'Table 6c'!P65</f>
        <v>158</v>
      </c>
      <c r="AJ65" s="48">
        <f t="shared" si="213"/>
        <v>0.01</v>
      </c>
      <c r="AK65" s="2038">
        <v>0</v>
      </c>
      <c r="AL65" s="49">
        <f>AG65*1.06</f>
        <v>0.01</v>
      </c>
      <c r="AN65" s="2036">
        <f t="shared" si="9"/>
        <v>0</v>
      </c>
      <c r="AO65" s="1623" t="e">
        <f>#REF!-O65</f>
        <v>#REF!</v>
      </c>
    </row>
    <row r="66" spans="1:41" s="22" customFormat="1">
      <c r="A66" s="3240"/>
      <c r="B66" s="3359" t="s">
        <v>218</v>
      </c>
      <c r="C66" s="3360"/>
      <c r="D66" s="1983">
        <f>SUM(D62:D65)</f>
        <v>437</v>
      </c>
      <c r="E66" s="857">
        <f t="shared" ref="E66:K66" si="214">SUM(E62:E65)</f>
        <v>437</v>
      </c>
      <c r="F66" s="251">
        <f t="shared" si="214"/>
        <v>437</v>
      </c>
      <c r="G66" s="251">
        <f t="shared" si="214"/>
        <v>437</v>
      </c>
      <c r="H66" s="251">
        <f t="shared" si="214"/>
        <v>437</v>
      </c>
      <c r="I66" s="251">
        <f t="shared" si="214"/>
        <v>437</v>
      </c>
      <c r="J66" s="97">
        <f t="shared" si="214"/>
        <v>437</v>
      </c>
      <c r="K66" s="97">
        <f t="shared" si="214"/>
        <v>437</v>
      </c>
      <c r="L66" s="202">
        <f t="shared" si="19"/>
        <v>0</v>
      </c>
      <c r="M66" s="35">
        <f>SUM(M62:M65)</f>
        <v>0.04</v>
      </c>
      <c r="N66" s="1984">
        <f t="shared" ref="N66:AG66" si="215">SUM(N62:N65)</f>
        <v>0</v>
      </c>
      <c r="O66" s="105">
        <f t="shared" si="215"/>
        <v>0.04</v>
      </c>
      <c r="P66" s="34">
        <f t="shared" si="215"/>
        <v>0.04</v>
      </c>
      <c r="Q66" s="1984">
        <f t="shared" si="215"/>
        <v>0</v>
      </c>
      <c r="R66" s="105">
        <f t="shared" si="215"/>
        <v>0.04</v>
      </c>
      <c r="S66" s="34">
        <f t="shared" si="215"/>
        <v>0.04</v>
      </c>
      <c r="T66" s="1984">
        <f t="shared" si="215"/>
        <v>0</v>
      </c>
      <c r="U66" s="105">
        <f t="shared" si="215"/>
        <v>0.04</v>
      </c>
      <c r="V66" s="34">
        <f t="shared" si="215"/>
        <v>0.04</v>
      </c>
      <c r="W66" s="1984">
        <f t="shared" si="215"/>
        <v>0</v>
      </c>
      <c r="X66" s="105">
        <f t="shared" si="215"/>
        <v>0.04</v>
      </c>
      <c r="Y66" s="34">
        <f t="shared" si="215"/>
        <v>0.04</v>
      </c>
      <c r="Z66" s="1984">
        <f t="shared" si="215"/>
        <v>0</v>
      </c>
      <c r="AA66" s="105">
        <f t="shared" si="215"/>
        <v>0.04</v>
      </c>
      <c r="AB66" s="34">
        <f t="shared" si="215"/>
        <v>0.04</v>
      </c>
      <c r="AC66" s="1984">
        <f t="shared" si="215"/>
        <v>0</v>
      </c>
      <c r="AD66" s="105">
        <f t="shared" si="215"/>
        <v>0.04</v>
      </c>
      <c r="AE66" s="34">
        <f t="shared" si="215"/>
        <v>0.04</v>
      </c>
      <c r="AF66" s="1984">
        <f t="shared" si="215"/>
        <v>0</v>
      </c>
      <c r="AG66" s="105">
        <f t="shared" si="215"/>
        <v>0.04</v>
      </c>
      <c r="AH66" s="2590">
        <f>(AG66-O66)/O66</f>
        <v>0</v>
      </c>
      <c r="AI66" s="2723" t="s">
        <v>16</v>
      </c>
      <c r="AJ66" s="34">
        <f t="shared" ref="AJ66" si="216">SUM(AJ62:AJ65)</f>
        <v>0.04</v>
      </c>
      <c r="AK66" s="1984">
        <f t="shared" ref="AK66" si="217">SUM(AK62:AK65)</f>
        <v>0</v>
      </c>
      <c r="AL66" s="105">
        <f t="shared" ref="AL66" si="218">SUM(AL62:AL65)</f>
        <v>0.04</v>
      </c>
      <c r="AN66" s="1983">
        <f t="shared" si="9"/>
        <v>0</v>
      </c>
      <c r="AO66" s="1624" t="e">
        <f>#REF!-O66</f>
        <v>#REF!</v>
      </c>
    </row>
    <row r="67" spans="1:41" s="22" customFormat="1">
      <c r="A67" s="3238" t="s">
        <v>219</v>
      </c>
      <c r="B67" s="131" t="s">
        <v>436</v>
      </c>
      <c r="C67" s="2698">
        <v>215835</v>
      </c>
      <c r="D67" s="2170">
        <f>'Table 6c'!L67</f>
        <v>12</v>
      </c>
      <c r="E67" s="170">
        <v>12</v>
      </c>
      <c r="F67" s="169">
        <v>12</v>
      </c>
      <c r="G67" s="169">
        <v>12</v>
      </c>
      <c r="H67" s="169">
        <v>12</v>
      </c>
      <c r="I67" s="169">
        <v>12</v>
      </c>
      <c r="J67" s="270">
        <v>12</v>
      </c>
      <c r="K67" s="270">
        <v>12</v>
      </c>
      <c r="L67" s="196">
        <f t="shared" si="19"/>
        <v>0</v>
      </c>
      <c r="M67" s="186">
        <f t="shared" si="187"/>
        <v>0</v>
      </c>
      <c r="N67" s="2172">
        <v>0</v>
      </c>
      <c r="O67" s="160">
        <f>'Table 6c'!G67</f>
        <v>0</v>
      </c>
      <c r="P67" s="149">
        <f t="shared" ref="P67:P70" si="219">R67-Q67</f>
        <v>0</v>
      </c>
      <c r="Q67" s="2172">
        <v>0</v>
      </c>
      <c r="R67" s="160">
        <f>E67*AI67/1000000</f>
        <v>0</v>
      </c>
      <c r="S67" s="149">
        <f t="shared" ref="S67:S70" si="220">U67-T67</f>
        <v>0</v>
      </c>
      <c r="T67" s="2172">
        <v>0</v>
      </c>
      <c r="U67" s="160">
        <f>F67*AI67/1000000</f>
        <v>0</v>
      </c>
      <c r="V67" s="149">
        <f t="shared" ref="V67:V70" si="221">X67-W67</f>
        <v>0</v>
      </c>
      <c r="W67" s="2172">
        <v>0</v>
      </c>
      <c r="X67" s="160">
        <f>G67*AI67/1000000</f>
        <v>0</v>
      </c>
      <c r="Y67" s="149">
        <f t="shared" ref="Y67:Y70" si="222">AA67-Z67</f>
        <v>0</v>
      </c>
      <c r="Z67" s="2172">
        <v>0</v>
      </c>
      <c r="AA67" s="160">
        <f>H67*AI67/1000000</f>
        <v>0</v>
      </c>
      <c r="AB67" s="149">
        <f t="shared" ref="AB67:AB70" si="223">AD67-AC67</f>
        <v>0</v>
      </c>
      <c r="AC67" s="2172">
        <v>0</v>
      </c>
      <c r="AD67" s="160">
        <f>I67*AI67/1000000</f>
        <v>0</v>
      </c>
      <c r="AE67" s="149">
        <f t="shared" ref="AE67:AE70" si="224">AG67-AF67</f>
        <v>0</v>
      </c>
      <c r="AF67" s="2172">
        <v>0</v>
      </c>
      <c r="AG67" s="160">
        <f>J67*AI67/1000000</f>
        <v>0</v>
      </c>
      <c r="AH67" s="2735" t="s">
        <v>16</v>
      </c>
      <c r="AI67" s="2736">
        <f>'Table 6c'!P67</f>
        <v>167</v>
      </c>
      <c r="AJ67" s="149">
        <f t="shared" ref="AJ67:AJ70" si="225">AL67-AK67</f>
        <v>0</v>
      </c>
      <c r="AK67" s="2172">
        <v>0</v>
      </c>
      <c r="AL67" s="160">
        <f>AG67*1.06</f>
        <v>0</v>
      </c>
      <c r="AN67" s="2170">
        <f t="shared" si="9"/>
        <v>0</v>
      </c>
      <c r="AO67" s="1625" t="e">
        <f>#REF!-O67</f>
        <v>#REF!</v>
      </c>
    </row>
    <row r="68" spans="1:41" s="22" customFormat="1">
      <c r="A68" s="3239"/>
      <c r="B68" s="2679" t="s">
        <v>437</v>
      </c>
      <c r="C68" s="2708">
        <v>218586</v>
      </c>
      <c r="D68" s="305">
        <f>'Table 6c'!L68</f>
        <v>42</v>
      </c>
      <c r="E68" s="864">
        <v>42</v>
      </c>
      <c r="F68" s="872">
        <v>42</v>
      </c>
      <c r="G68" s="872">
        <v>42</v>
      </c>
      <c r="H68" s="872">
        <v>42</v>
      </c>
      <c r="I68" s="872">
        <v>42</v>
      </c>
      <c r="J68" s="995">
        <v>42</v>
      </c>
      <c r="K68" s="995">
        <v>42</v>
      </c>
      <c r="L68" s="1861">
        <f t="shared" si="19"/>
        <v>0</v>
      </c>
      <c r="M68" s="870">
        <f t="shared" si="187"/>
        <v>0.01</v>
      </c>
      <c r="N68" s="1956">
        <v>0</v>
      </c>
      <c r="O68" s="367">
        <f>'Table 6c'!G68</f>
        <v>0.01</v>
      </c>
      <c r="P68" s="823">
        <f t="shared" si="219"/>
        <v>0.01</v>
      </c>
      <c r="Q68" s="1956">
        <v>0</v>
      </c>
      <c r="R68" s="367">
        <f>E68*AI68/1000000</f>
        <v>0.01</v>
      </c>
      <c r="S68" s="823">
        <f t="shared" si="220"/>
        <v>0.01</v>
      </c>
      <c r="T68" s="1956">
        <v>0</v>
      </c>
      <c r="U68" s="367">
        <f>F68*AI68/1000000</f>
        <v>0.01</v>
      </c>
      <c r="V68" s="823">
        <f t="shared" si="221"/>
        <v>0.01</v>
      </c>
      <c r="W68" s="1956">
        <v>0</v>
      </c>
      <c r="X68" s="367">
        <f>G68*AI68/1000000</f>
        <v>0.01</v>
      </c>
      <c r="Y68" s="823">
        <f t="shared" si="222"/>
        <v>0.01</v>
      </c>
      <c r="Z68" s="1956">
        <v>0</v>
      </c>
      <c r="AA68" s="367">
        <f>H68*AI68/1000000</f>
        <v>0.01</v>
      </c>
      <c r="AB68" s="823">
        <f t="shared" si="223"/>
        <v>0.01</v>
      </c>
      <c r="AC68" s="1956">
        <v>0</v>
      </c>
      <c r="AD68" s="367">
        <f>I68*AI68/1000000</f>
        <v>0.01</v>
      </c>
      <c r="AE68" s="823">
        <f t="shared" si="224"/>
        <v>0.01</v>
      </c>
      <c r="AF68" s="1956">
        <v>0</v>
      </c>
      <c r="AG68" s="367">
        <f>J68*AI68/1000000</f>
        <v>0.01</v>
      </c>
      <c r="AH68" s="2710">
        <f>(AG68-O68)/O68</f>
        <v>0</v>
      </c>
      <c r="AI68" s="2681">
        <f>'Table 6c'!P68</f>
        <v>190</v>
      </c>
      <c r="AJ68" s="823">
        <f t="shared" si="225"/>
        <v>0.01</v>
      </c>
      <c r="AK68" s="1956">
        <v>0</v>
      </c>
      <c r="AL68" s="367">
        <f>AG68*1.06</f>
        <v>0.01</v>
      </c>
      <c r="AN68" s="305">
        <f t="shared" si="9"/>
        <v>0</v>
      </c>
      <c r="AO68" s="1627" t="e">
        <f>#REF!-O68</f>
        <v>#REF!</v>
      </c>
    </row>
    <row r="69" spans="1:41" s="22" customFormat="1">
      <c r="A69" s="3239"/>
      <c r="B69" s="2679" t="s">
        <v>438</v>
      </c>
      <c r="C69" s="868">
        <v>221370</v>
      </c>
      <c r="D69" s="305">
        <f>'Table 6c'!L69</f>
        <v>18</v>
      </c>
      <c r="E69" s="72">
        <v>18</v>
      </c>
      <c r="F69" s="872">
        <v>18</v>
      </c>
      <c r="G69" s="872">
        <v>18</v>
      </c>
      <c r="H69" s="872">
        <v>18</v>
      </c>
      <c r="I69" s="872">
        <v>18</v>
      </c>
      <c r="J69" s="995">
        <v>18</v>
      </c>
      <c r="K69" s="995">
        <v>18</v>
      </c>
      <c r="L69" s="1861">
        <f t="shared" si="19"/>
        <v>0</v>
      </c>
      <c r="M69" s="870">
        <f t="shared" si="187"/>
        <v>0</v>
      </c>
      <c r="N69" s="1956">
        <v>0</v>
      </c>
      <c r="O69" s="367">
        <f>'Table 6c'!G69</f>
        <v>0</v>
      </c>
      <c r="P69" s="823">
        <f t="shared" si="219"/>
        <v>0</v>
      </c>
      <c r="Q69" s="1956">
        <v>0</v>
      </c>
      <c r="R69" s="367">
        <f>E69*AI69/1000000</f>
        <v>0</v>
      </c>
      <c r="S69" s="823">
        <f t="shared" si="220"/>
        <v>0</v>
      </c>
      <c r="T69" s="1956">
        <v>0</v>
      </c>
      <c r="U69" s="367">
        <f>F69*AI69/1000000</f>
        <v>0</v>
      </c>
      <c r="V69" s="823">
        <f t="shared" si="221"/>
        <v>0</v>
      </c>
      <c r="W69" s="1956">
        <v>0</v>
      </c>
      <c r="X69" s="367">
        <f>G69*AI69/1000000</f>
        <v>0</v>
      </c>
      <c r="Y69" s="823">
        <f t="shared" si="222"/>
        <v>0</v>
      </c>
      <c r="Z69" s="1956">
        <v>0</v>
      </c>
      <c r="AA69" s="367">
        <f>H69*AI69/1000000</f>
        <v>0</v>
      </c>
      <c r="AB69" s="823">
        <f t="shared" si="223"/>
        <v>0</v>
      </c>
      <c r="AC69" s="1956">
        <v>0</v>
      </c>
      <c r="AD69" s="367">
        <f>I69*AI69/1000000</f>
        <v>0</v>
      </c>
      <c r="AE69" s="823">
        <f t="shared" si="224"/>
        <v>0</v>
      </c>
      <c r="AF69" s="1956">
        <v>0</v>
      </c>
      <c r="AG69" s="367">
        <f>J69*AI69/1000000</f>
        <v>0</v>
      </c>
      <c r="AH69" s="2710" t="s">
        <v>16</v>
      </c>
      <c r="AI69" s="2681">
        <f>'Table 6c'!P69</f>
        <v>167</v>
      </c>
      <c r="AJ69" s="823">
        <f t="shared" si="225"/>
        <v>0</v>
      </c>
      <c r="AK69" s="1956">
        <v>0</v>
      </c>
      <c r="AL69" s="367">
        <f>AG69*1.06</f>
        <v>0</v>
      </c>
      <c r="AN69" s="305">
        <f t="shared" si="9"/>
        <v>0</v>
      </c>
      <c r="AO69" s="1627" t="e">
        <f>#REF!-O69</f>
        <v>#REF!</v>
      </c>
    </row>
    <row r="70" spans="1:41" s="22" customFormat="1">
      <c r="A70" s="3239"/>
      <c r="B70" s="2682" t="s">
        <v>439</v>
      </c>
      <c r="C70" s="1016">
        <v>221567</v>
      </c>
      <c r="D70" s="2036">
        <f>'Table 6c'!L70</f>
        <v>21</v>
      </c>
      <c r="E70" s="861">
        <v>21</v>
      </c>
      <c r="F70" s="368">
        <v>21</v>
      </c>
      <c r="G70" s="368">
        <v>21</v>
      </c>
      <c r="H70" s="368">
        <v>21</v>
      </c>
      <c r="I70" s="368">
        <v>21</v>
      </c>
      <c r="J70" s="1011">
        <v>21</v>
      </c>
      <c r="K70" s="1011">
        <v>21</v>
      </c>
      <c r="L70" s="197">
        <f t="shared" si="19"/>
        <v>0</v>
      </c>
      <c r="M70" s="1006">
        <f t="shared" si="187"/>
        <v>0</v>
      </c>
      <c r="N70" s="2038">
        <v>0</v>
      </c>
      <c r="O70" s="49">
        <f>'Table 6c'!G70</f>
        <v>0</v>
      </c>
      <c r="P70" s="48">
        <f t="shared" si="219"/>
        <v>0</v>
      </c>
      <c r="Q70" s="2038">
        <v>0</v>
      </c>
      <c r="R70" s="49">
        <f>E70*AI70/1000000</f>
        <v>0</v>
      </c>
      <c r="S70" s="48">
        <f t="shared" si="220"/>
        <v>0</v>
      </c>
      <c r="T70" s="2038">
        <v>0</v>
      </c>
      <c r="U70" s="49">
        <f>F70*AI70/1000000</f>
        <v>0</v>
      </c>
      <c r="V70" s="48">
        <f t="shared" si="221"/>
        <v>0</v>
      </c>
      <c r="W70" s="2038">
        <v>0</v>
      </c>
      <c r="X70" s="49">
        <f>G70*AI70/1000000</f>
        <v>0</v>
      </c>
      <c r="Y70" s="48">
        <f t="shared" si="222"/>
        <v>0</v>
      </c>
      <c r="Z70" s="2038">
        <v>0</v>
      </c>
      <c r="AA70" s="49">
        <f>H70*AI70/1000000</f>
        <v>0</v>
      </c>
      <c r="AB70" s="48">
        <f t="shared" si="223"/>
        <v>0</v>
      </c>
      <c r="AC70" s="2038">
        <v>0</v>
      </c>
      <c r="AD70" s="49">
        <f>I70*AI70/1000000</f>
        <v>0</v>
      </c>
      <c r="AE70" s="48">
        <f t="shared" si="224"/>
        <v>0</v>
      </c>
      <c r="AF70" s="2038">
        <v>0</v>
      </c>
      <c r="AG70" s="49">
        <f>J70*AI70/1000000</f>
        <v>0</v>
      </c>
      <c r="AH70" s="2731" t="s">
        <v>16</v>
      </c>
      <c r="AI70" s="2683">
        <f>'Table 6c'!P70</f>
        <v>143</v>
      </c>
      <c r="AJ70" s="48">
        <f t="shared" si="225"/>
        <v>0</v>
      </c>
      <c r="AK70" s="2038">
        <v>0</v>
      </c>
      <c r="AL70" s="49">
        <f>AG70*1.06</f>
        <v>0</v>
      </c>
      <c r="AN70" s="2036">
        <f t="shared" si="9"/>
        <v>0</v>
      </c>
      <c r="AO70" s="1623" t="e">
        <f>#REF!-O70</f>
        <v>#REF!</v>
      </c>
    </row>
    <row r="71" spans="1:41" s="22" customFormat="1">
      <c r="A71" s="3240"/>
      <c r="B71" s="3359" t="s">
        <v>221</v>
      </c>
      <c r="C71" s="3360"/>
      <c r="D71" s="1983">
        <f>SUM(D67:D70)</f>
        <v>93</v>
      </c>
      <c r="E71" s="857">
        <f t="shared" ref="E71:K71" si="226">SUM(E67:E70)</f>
        <v>93</v>
      </c>
      <c r="F71" s="251">
        <f t="shared" si="226"/>
        <v>93</v>
      </c>
      <c r="G71" s="251">
        <f t="shared" si="226"/>
        <v>93</v>
      </c>
      <c r="H71" s="251">
        <f t="shared" si="226"/>
        <v>93</v>
      </c>
      <c r="I71" s="251">
        <f t="shared" si="226"/>
        <v>93</v>
      </c>
      <c r="J71" s="97">
        <f t="shared" si="226"/>
        <v>93</v>
      </c>
      <c r="K71" s="97">
        <f t="shared" si="226"/>
        <v>93</v>
      </c>
      <c r="L71" s="202">
        <f t="shared" si="19"/>
        <v>0</v>
      </c>
      <c r="M71" s="35">
        <f>SUM(M67:M70)</f>
        <v>0.01</v>
      </c>
      <c r="N71" s="1984">
        <f t="shared" ref="N71:AG71" si="227">SUM(N67:N70)</f>
        <v>0</v>
      </c>
      <c r="O71" s="105">
        <f t="shared" si="227"/>
        <v>0.01</v>
      </c>
      <c r="P71" s="34">
        <f t="shared" si="227"/>
        <v>0.01</v>
      </c>
      <c r="Q71" s="1984">
        <f t="shared" si="227"/>
        <v>0</v>
      </c>
      <c r="R71" s="105">
        <f t="shared" si="227"/>
        <v>0.01</v>
      </c>
      <c r="S71" s="34">
        <f t="shared" si="227"/>
        <v>0.01</v>
      </c>
      <c r="T71" s="1984">
        <f t="shared" si="227"/>
        <v>0</v>
      </c>
      <c r="U71" s="105">
        <f t="shared" si="227"/>
        <v>0.01</v>
      </c>
      <c r="V71" s="34">
        <f t="shared" si="227"/>
        <v>0.01</v>
      </c>
      <c r="W71" s="1984">
        <f t="shared" si="227"/>
        <v>0</v>
      </c>
      <c r="X71" s="105">
        <f t="shared" si="227"/>
        <v>0.01</v>
      </c>
      <c r="Y71" s="34">
        <f t="shared" si="227"/>
        <v>0.01</v>
      </c>
      <c r="Z71" s="1984">
        <f t="shared" si="227"/>
        <v>0</v>
      </c>
      <c r="AA71" s="105">
        <f t="shared" si="227"/>
        <v>0.01</v>
      </c>
      <c r="AB71" s="34">
        <f t="shared" si="227"/>
        <v>0.01</v>
      </c>
      <c r="AC71" s="1984">
        <f t="shared" si="227"/>
        <v>0</v>
      </c>
      <c r="AD71" s="105">
        <f t="shared" si="227"/>
        <v>0.01</v>
      </c>
      <c r="AE71" s="34">
        <f t="shared" si="227"/>
        <v>0.01</v>
      </c>
      <c r="AF71" s="1984">
        <f t="shared" si="227"/>
        <v>0</v>
      </c>
      <c r="AG71" s="105">
        <f t="shared" si="227"/>
        <v>0.01</v>
      </c>
      <c r="AH71" s="2590">
        <f>(AG71-O71)/O71</f>
        <v>0</v>
      </c>
      <c r="AI71" s="2723" t="s">
        <v>16</v>
      </c>
      <c r="AJ71" s="34">
        <f t="shared" ref="AJ71" si="228">SUM(AJ67:AJ70)</f>
        <v>0.01</v>
      </c>
      <c r="AK71" s="1984">
        <f t="shared" ref="AK71" si="229">SUM(AK67:AK70)</f>
        <v>0</v>
      </c>
      <c r="AL71" s="105">
        <f t="shared" ref="AL71" si="230">SUM(AL67:AL70)</f>
        <v>0.01</v>
      </c>
      <c r="AN71" s="1983">
        <f t="shared" si="9"/>
        <v>0</v>
      </c>
      <c r="AO71" s="1624" t="e">
        <f>#REF!-O71</f>
        <v>#REF!</v>
      </c>
    </row>
    <row r="72" spans="1:41" s="22" customFormat="1">
      <c r="A72" s="3320" t="s">
        <v>32</v>
      </c>
      <c r="B72" s="3393"/>
      <c r="C72" s="3394"/>
      <c r="D72" s="2181">
        <f t="shared" ref="D72:K72" si="231">D61+D56+D44+D37+D16</f>
        <v>6516</v>
      </c>
      <c r="E72" s="856">
        <f t="shared" si="231"/>
        <v>6681</v>
      </c>
      <c r="F72" s="172">
        <f t="shared" si="231"/>
        <v>7386</v>
      </c>
      <c r="G72" s="172">
        <f t="shared" si="231"/>
        <v>7451</v>
      </c>
      <c r="H72" s="172">
        <f t="shared" si="231"/>
        <v>7589</v>
      </c>
      <c r="I72" s="172">
        <f t="shared" si="231"/>
        <v>7615</v>
      </c>
      <c r="J72" s="290">
        <f t="shared" si="231"/>
        <v>8030</v>
      </c>
      <c r="K72" s="290">
        <f t="shared" si="231"/>
        <v>18879</v>
      </c>
      <c r="L72" s="2737">
        <f t="shared" si="19"/>
        <v>0.23</v>
      </c>
      <c r="M72" s="140">
        <f t="shared" ref="M72:AG72" si="232">M61+M56+M44+M37+M16</f>
        <v>0.48</v>
      </c>
      <c r="N72" s="2183">
        <f t="shared" si="232"/>
        <v>0</v>
      </c>
      <c r="O72" s="111">
        <f t="shared" si="232"/>
        <v>0.48</v>
      </c>
      <c r="P72" s="2738">
        <f t="shared" si="232"/>
        <v>0.55000000000000004</v>
      </c>
      <c r="Q72" s="2739">
        <f t="shared" si="232"/>
        <v>0</v>
      </c>
      <c r="R72" s="2221">
        <f t="shared" si="232"/>
        <v>0.55000000000000004</v>
      </c>
      <c r="S72" s="2740">
        <f t="shared" si="232"/>
        <v>0.59</v>
      </c>
      <c r="T72" s="2741">
        <f t="shared" si="232"/>
        <v>0</v>
      </c>
      <c r="U72" s="103">
        <f t="shared" si="232"/>
        <v>0.59</v>
      </c>
      <c r="V72" s="2738">
        <f t="shared" si="232"/>
        <v>0.59</v>
      </c>
      <c r="W72" s="2739">
        <f t="shared" si="232"/>
        <v>0</v>
      </c>
      <c r="X72" s="2221">
        <f t="shared" si="232"/>
        <v>0.59</v>
      </c>
      <c r="Y72" s="140">
        <f t="shared" si="232"/>
        <v>0.61</v>
      </c>
      <c r="Z72" s="2183">
        <f t="shared" si="232"/>
        <v>0</v>
      </c>
      <c r="AA72" s="56">
        <f t="shared" si="232"/>
        <v>0.61</v>
      </c>
      <c r="AB72" s="139">
        <f t="shared" si="232"/>
        <v>0.61</v>
      </c>
      <c r="AC72" s="2183">
        <f t="shared" si="232"/>
        <v>0</v>
      </c>
      <c r="AD72" s="56">
        <f t="shared" si="232"/>
        <v>0.61</v>
      </c>
      <c r="AE72" s="139">
        <f t="shared" si="232"/>
        <v>0.62</v>
      </c>
      <c r="AF72" s="2183">
        <f t="shared" si="232"/>
        <v>0</v>
      </c>
      <c r="AG72" s="56">
        <f t="shared" si="232"/>
        <v>0.62</v>
      </c>
      <c r="AH72" s="242">
        <f>(AG72-O72)/O72</f>
        <v>0.28999999999999998</v>
      </c>
      <c r="AI72" s="2734" t="s">
        <v>16</v>
      </c>
      <c r="AJ72" s="139">
        <f>AJ61+AJ56+AJ44+AJ37+AJ16</f>
        <v>0.65</v>
      </c>
      <c r="AK72" s="2183">
        <f>AK61+AK56+AK44+AK37+AK16</f>
        <v>0</v>
      </c>
      <c r="AL72" s="56">
        <f>AL61+AL56+AL44+AL37+AL16</f>
        <v>0.65</v>
      </c>
      <c r="AN72" s="2181">
        <f t="shared" si="9"/>
        <v>1514</v>
      </c>
      <c r="AO72" s="1629" t="e">
        <f>#REF!-O72</f>
        <v>#REF!</v>
      </c>
    </row>
    <row r="73" spans="1:41" s="22" customFormat="1">
      <c r="A73" s="3221" t="s">
        <v>33</v>
      </c>
      <c r="B73" s="3222"/>
      <c r="C73" s="3222"/>
      <c r="D73" s="2588">
        <f t="shared" ref="D73:K73" si="233">D8+D12+D35+D41+D66+D71</f>
        <v>4325</v>
      </c>
      <c r="E73" s="189">
        <f t="shared" si="233"/>
        <v>4372</v>
      </c>
      <c r="F73" s="190">
        <f t="shared" si="233"/>
        <v>4372</v>
      </c>
      <c r="G73" s="190">
        <f t="shared" si="233"/>
        <v>4372</v>
      </c>
      <c r="H73" s="190">
        <f t="shared" si="233"/>
        <v>4372</v>
      </c>
      <c r="I73" s="190">
        <f t="shared" si="233"/>
        <v>4421</v>
      </c>
      <c r="J73" s="709">
        <f t="shared" si="233"/>
        <v>4545</v>
      </c>
      <c r="K73" s="997">
        <f t="shared" si="233"/>
        <v>6521</v>
      </c>
      <c r="L73" s="2742">
        <f t="shared" si="19"/>
        <v>0.05</v>
      </c>
      <c r="M73" s="192">
        <f t="shared" ref="M73:AG73" si="234">M8+M12+M35+M41+M66+M71</f>
        <v>0.48</v>
      </c>
      <c r="N73" s="187">
        <f t="shared" si="234"/>
        <v>0</v>
      </c>
      <c r="O73" s="2743">
        <f t="shared" si="234"/>
        <v>0.48</v>
      </c>
      <c r="P73" s="192">
        <f t="shared" si="234"/>
        <v>0.46</v>
      </c>
      <c r="Q73" s="2744">
        <f t="shared" si="234"/>
        <v>0</v>
      </c>
      <c r="R73" s="2745">
        <f t="shared" si="234"/>
        <v>0.46</v>
      </c>
      <c r="S73" s="2587">
        <f t="shared" si="234"/>
        <v>0.46</v>
      </c>
      <c r="T73" s="187">
        <f t="shared" si="234"/>
        <v>0</v>
      </c>
      <c r="U73" s="2743">
        <f t="shared" si="234"/>
        <v>0.46</v>
      </c>
      <c r="V73" s="192">
        <f t="shared" si="234"/>
        <v>0.46</v>
      </c>
      <c r="W73" s="2744">
        <f t="shared" si="234"/>
        <v>0</v>
      </c>
      <c r="X73" s="2745">
        <f t="shared" si="234"/>
        <v>0.46</v>
      </c>
      <c r="Y73" s="192">
        <f t="shared" si="234"/>
        <v>0.46</v>
      </c>
      <c r="Z73" s="187">
        <f t="shared" si="234"/>
        <v>0</v>
      </c>
      <c r="AA73" s="2743">
        <f t="shared" si="234"/>
        <v>0.46</v>
      </c>
      <c r="AB73" s="192">
        <f t="shared" si="234"/>
        <v>0.47</v>
      </c>
      <c r="AC73" s="2744">
        <f t="shared" si="234"/>
        <v>0</v>
      </c>
      <c r="AD73" s="2745">
        <f t="shared" si="234"/>
        <v>0.47</v>
      </c>
      <c r="AE73" s="192">
        <f t="shared" si="234"/>
        <v>0.49</v>
      </c>
      <c r="AF73" s="2744">
        <f t="shared" si="234"/>
        <v>0</v>
      </c>
      <c r="AG73" s="2745">
        <f t="shared" si="234"/>
        <v>0.49</v>
      </c>
      <c r="AH73" s="2746">
        <f>(AG73-O73)/O73</f>
        <v>0.02</v>
      </c>
      <c r="AI73" s="2747" t="s">
        <v>16</v>
      </c>
      <c r="AJ73" s="2587">
        <f>AJ8+AJ12+AJ35+AJ41+AJ66+AJ71</f>
        <v>0.41</v>
      </c>
      <c r="AK73" s="187">
        <f>AK8+AK12+AK35+AK41+AK66+AK71</f>
        <v>0</v>
      </c>
      <c r="AL73" s="191">
        <f>AL8+AL12+AL35+AL41+AL66+AL71</f>
        <v>0.41</v>
      </c>
      <c r="AM73" s="22" t="s">
        <v>36</v>
      </c>
      <c r="AN73" s="2588">
        <f t="shared" si="9"/>
        <v>220</v>
      </c>
      <c r="AO73" s="1630" t="e">
        <f>#REF!-O73</f>
        <v>#REF!</v>
      </c>
    </row>
    <row r="74" spans="1:41" s="22" customFormat="1">
      <c r="A74" s="3221" t="s">
        <v>34</v>
      </c>
      <c r="B74" s="3222"/>
      <c r="C74" s="3222"/>
      <c r="D74" s="1983">
        <f>D72+D73</f>
        <v>10841</v>
      </c>
      <c r="E74" s="857">
        <f t="shared" ref="E74:K74" si="235">E72+E73</f>
        <v>11053</v>
      </c>
      <c r="F74" s="251">
        <f t="shared" si="235"/>
        <v>11758</v>
      </c>
      <c r="G74" s="251">
        <f t="shared" si="235"/>
        <v>11823</v>
      </c>
      <c r="H74" s="251">
        <f t="shared" si="235"/>
        <v>11961</v>
      </c>
      <c r="I74" s="251">
        <f t="shared" si="235"/>
        <v>12036</v>
      </c>
      <c r="J74" s="97">
        <f t="shared" ref="J74" si="236">J72+J73</f>
        <v>12575</v>
      </c>
      <c r="K74" s="254">
        <f t="shared" si="235"/>
        <v>25400</v>
      </c>
      <c r="L74" s="202">
        <f t="shared" si="19"/>
        <v>0.16</v>
      </c>
      <c r="M74" s="774">
        <f t="shared" ref="M74:AD74" si="237">M72+M73</f>
        <v>0.96</v>
      </c>
      <c r="N74" s="108">
        <f t="shared" si="237"/>
        <v>0</v>
      </c>
      <c r="O74" s="303">
        <f t="shared" si="237"/>
        <v>0.96</v>
      </c>
      <c r="P74" s="34">
        <f t="shared" si="237"/>
        <v>1.01</v>
      </c>
      <c r="Q74" s="1984">
        <f t="shared" si="237"/>
        <v>0</v>
      </c>
      <c r="R74" s="105">
        <f t="shared" si="237"/>
        <v>1.01</v>
      </c>
      <c r="S74" s="35">
        <f t="shared" si="237"/>
        <v>1.05</v>
      </c>
      <c r="T74" s="108">
        <f t="shared" si="237"/>
        <v>0</v>
      </c>
      <c r="U74" s="303">
        <f t="shared" si="237"/>
        <v>1.05</v>
      </c>
      <c r="V74" s="34">
        <f t="shared" si="237"/>
        <v>1.05</v>
      </c>
      <c r="W74" s="1984">
        <f t="shared" si="237"/>
        <v>0</v>
      </c>
      <c r="X74" s="105">
        <f t="shared" si="237"/>
        <v>1.05</v>
      </c>
      <c r="Y74" s="35">
        <f t="shared" si="237"/>
        <v>1.07</v>
      </c>
      <c r="Z74" s="108">
        <f t="shared" si="237"/>
        <v>0</v>
      </c>
      <c r="AA74" s="303">
        <f t="shared" si="237"/>
        <v>1.07</v>
      </c>
      <c r="AB74" s="34">
        <f t="shared" si="237"/>
        <v>1.08</v>
      </c>
      <c r="AC74" s="1984">
        <f t="shared" si="237"/>
        <v>0</v>
      </c>
      <c r="AD74" s="105">
        <f t="shared" si="237"/>
        <v>1.08</v>
      </c>
      <c r="AE74" s="34">
        <f t="shared" ref="AE74" si="238">AE72+AE73</f>
        <v>1.1100000000000001</v>
      </c>
      <c r="AF74" s="1984">
        <f t="shared" ref="AF74:AG74" si="239">AF72+AF73</f>
        <v>0</v>
      </c>
      <c r="AG74" s="105">
        <f t="shared" si="239"/>
        <v>1.1100000000000001</v>
      </c>
      <c r="AH74" s="2596">
        <f>(AG74-O74)/O74</f>
        <v>0.16</v>
      </c>
      <c r="AI74" s="2557" t="s">
        <v>16</v>
      </c>
      <c r="AJ74" s="35">
        <f t="shared" ref="AJ74:AL74" si="240">AJ72+AJ73</f>
        <v>1.06</v>
      </c>
      <c r="AK74" s="108">
        <f t="shared" si="240"/>
        <v>0</v>
      </c>
      <c r="AL74" s="21">
        <f t="shared" si="240"/>
        <v>1.06</v>
      </c>
      <c r="AN74" s="1983">
        <f t="shared" si="9"/>
        <v>1734</v>
      </c>
      <c r="AO74" s="1624" t="e">
        <f>#REF!-O74</f>
        <v>#REF!</v>
      </c>
    </row>
    <row r="75" spans="1:41">
      <c r="A75" s="89" t="s">
        <v>35</v>
      </c>
      <c r="B75" s="54"/>
      <c r="C75" s="54"/>
      <c r="M75" s="1"/>
      <c r="P75" s="1"/>
      <c r="S75" s="1"/>
      <c r="V75" s="1"/>
      <c r="Y75" s="1"/>
      <c r="AB75" s="1"/>
      <c r="AC75" s="1"/>
      <c r="AD75" s="1"/>
      <c r="AE75" s="1"/>
      <c r="AF75" s="1"/>
      <c r="AG75" s="1"/>
      <c r="AJ75" s="1"/>
    </row>
    <row r="76" spans="1:41">
      <c r="A76" s="1" t="s">
        <v>68</v>
      </c>
      <c r="B76" s="54"/>
      <c r="C76" s="54"/>
      <c r="M76" s="1"/>
      <c r="P76" s="1"/>
      <c r="S76" s="1"/>
      <c r="V76" s="1"/>
      <c r="Y76" s="1"/>
      <c r="AB76" s="1"/>
      <c r="AC76" s="1"/>
      <c r="AD76" s="1"/>
      <c r="AE76" s="1"/>
      <c r="AF76" s="1"/>
      <c r="AG76" s="1"/>
      <c r="AJ76" s="1"/>
    </row>
    <row r="77" spans="1:41">
      <c r="A77" s="1" t="s">
        <v>69</v>
      </c>
      <c r="B77" s="54"/>
      <c r="C77" s="54"/>
      <c r="H77" s="1" t="s">
        <v>36</v>
      </c>
      <c r="K77" s="1" t="s">
        <v>36</v>
      </c>
      <c r="M77" s="1"/>
      <c r="P77" s="1"/>
      <c r="S77" s="1"/>
      <c r="V77" s="1"/>
      <c r="Y77" s="1"/>
      <c r="AB77" s="1"/>
      <c r="AC77" s="1"/>
      <c r="AD77" s="1"/>
      <c r="AE77" s="1"/>
      <c r="AF77" s="1"/>
      <c r="AG77" s="1"/>
      <c r="AJ77" s="1"/>
    </row>
    <row r="78" spans="1:41">
      <c r="A78" s="1" t="s">
        <v>378</v>
      </c>
      <c r="M78" s="1"/>
      <c r="P78" s="1"/>
      <c r="S78" s="1"/>
      <c r="V78" s="1"/>
      <c r="Y78" s="1"/>
      <c r="AB78" s="1"/>
      <c r="AC78" s="1"/>
      <c r="AD78" s="1"/>
      <c r="AE78" s="1"/>
      <c r="AF78" s="1"/>
      <c r="AG78" s="1"/>
      <c r="AJ78" s="3025"/>
    </row>
    <row r="79" spans="1:41">
      <c r="A79" s="1" t="s">
        <v>40</v>
      </c>
      <c r="M79" s="1"/>
      <c r="P79" s="1"/>
      <c r="S79" s="1"/>
      <c r="V79" s="1"/>
      <c r="Y79" s="1"/>
      <c r="AB79" s="1"/>
      <c r="AC79" s="1"/>
      <c r="AD79" s="1"/>
      <c r="AE79" s="1"/>
      <c r="AF79" s="1" t="s">
        <v>36</v>
      </c>
      <c r="AG79" s="1"/>
      <c r="AJ79" s="1"/>
    </row>
    <row r="80" spans="1:41">
      <c r="A80" s="1" t="s">
        <v>267</v>
      </c>
      <c r="M80" s="1"/>
      <c r="P80" s="1"/>
      <c r="S80" s="1"/>
      <c r="V80" s="1"/>
      <c r="Y80" s="1"/>
      <c r="AB80" s="1"/>
      <c r="AC80" s="1"/>
      <c r="AD80" s="1"/>
      <c r="AE80" s="1"/>
      <c r="AF80" s="1"/>
      <c r="AG80" s="1"/>
      <c r="AJ80" s="1"/>
    </row>
    <row r="81" spans="1:41">
      <c r="A81" s="1" t="s">
        <v>268</v>
      </c>
      <c r="M81" s="1"/>
      <c r="P81" s="1"/>
      <c r="S81" s="1"/>
      <c r="V81" s="1"/>
      <c r="Y81" s="1"/>
      <c r="AB81" s="1"/>
      <c r="AC81" s="1"/>
      <c r="AD81" s="1"/>
      <c r="AE81" s="1"/>
      <c r="AF81" s="1"/>
      <c r="AG81" s="1"/>
      <c r="AJ81" s="1"/>
    </row>
    <row r="82" spans="1:41">
      <c r="M82" s="1"/>
      <c r="O82" s="22"/>
      <c r="P82" s="1"/>
      <c r="R82" s="22"/>
      <c r="S82" s="1"/>
      <c r="U82" s="22"/>
      <c r="V82" s="1"/>
      <c r="X82" s="22"/>
      <c r="Y82" s="1"/>
      <c r="AA82" s="22"/>
      <c r="AB82" s="1"/>
      <c r="AC82" s="1"/>
      <c r="AD82" s="22"/>
      <c r="AE82" s="22"/>
      <c r="AF82" s="22"/>
      <c r="AG82" s="22"/>
      <c r="AH82" s="22"/>
      <c r="AI82" s="2748"/>
      <c r="AJ82" s="1"/>
      <c r="AL82" s="22"/>
      <c r="AM82" s="22"/>
    </row>
    <row r="83" spans="1:41">
      <c r="A83" s="2608" t="s">
        <v>440</v>
      </c>
    </row>
    <row r="84" spans="1:41">
      <c r="A84" s="3297" t="s">
        <v>85</v>
      </c>
      <c r="B84" s="3366" t="s">
        <v>86</v>
      </c>
      <c r="C84" s="3390" t="s">
        <v>87</v>
      </c>
      <c r="D84" s="3300" t="s">
        <v>76</v>
      </c>
      <c r="E84" s="3365" t="s">
        <v>88</v>
      </c>
      <c r="F84" s="3366"/>
      <c r="G84" s="3366"/>
      <c r="H84" s="3366"/>
      <c r="I84" s="3366"/>
      <c r="J84" s="3318"/>
      <c r="K84" s="3267" t="s">
        <v>89</v>
      </c>
      <c r="L84" s="3300" t="s">
        <v>57</v>
      </c>
      <c r="M84" s="3286" t="s">
        <v>55</v>
      </c>
      <c r="N84" s="3287"/>
      <c r="O84" s="3288"/>
      <c r="P84" s="3286" t="s">
        <v>56</v>
      </c>
      <c r="Q84" s="3287"/>
      <c r="R84" s="3287"/>
      <c r="S84" s="3287"/>
      <c r="T84" s="3287"/>
      <c r="U84" s="3287"/>
      <c r="V84" s="3287"/>
      <c r="W84" s="3287"/>
      <c r="X84" s="3287"/>
      <c r="Y84" s="3287"/>
      <c r="Z84" s="3287"/>
      <c r="AA84" s="3287"/>
      <c r="AB84" s="3287"/>
      <c r="AC84" s="3287"/>
      <c r="AD84" s="3287"/>
      <c r="AE84" s="3287"/>
      <c r="AF84" s="3287"/>
      <c r="AG84" s="3287"/>
      <c r="AH84" s="3300" t="s">
        <v>57</v>
      </c>
      <c r="AI84" s="3300" t="s">
        <v>376</v>
      </c>
      <c r="AJ84" s="3262" t="s">
        <v>58</v>
      </c>
      <c r="AK84" s="3262"/>
      <c r="AL84" s="3263"/>
      <c r="AN84" s="3300" t="s">
        <v>78</v>
      </c>
      <c r="AO84" s="3300" t="s">
        <v>80</v>
      </c>
    </row>
    <row r="85" spans="1:41" ht="13.5" customHeight="1">
      <c r="A85" s="3298"/>
      <c r="B85" s="3389"/>
      <c r="C85" s="3391"/>
      <c r="D85" s="3302"/>
      <c r="E85" s="3367"/>
      <c r="F85" s="3368"/>
      <c r="G85" s="3368"/>
      <c r="H85" s="3368"/>
      <c r="I85" s="3368"/>
      <c r="J85" s="3374"/>
      <c r="K85" s="3378"/>
      <c r="L85" s="3301"/>
      <c r="M85" s="3281">
        <v>2015</v>
      </c>
      <c r="N85" s="3281"/>
      <c r="O85" s="3282"/>
      <c r="P85" s="3305">
        <v>2020</v>
      </c>
      <c r="Q85" s="3281"/>
      <c r="R85" s="3282"/>
      <c r="S85" s="3305">
        <v>2025</v>
      </c>
      <c r="T85" s="3281"/>
      <c r="U85" s="3282"/>
      <c r="V85" s="3305">
        <v>2030</v>
      </c>
      <c r="W85" s="3281"/>
      <c r="X85" s="3282"/>
      <c r="Y85" s="3305">
        <v>2035</v>
      </c>
      <c r="Z85" s="3281"/>
      <c r="AA85" s="3282"/>
      <c r="AB85" s="3305">
        <v>2040</v>
      </c>
      <c r="AC85" s="3281"/>
      <c r="AD85" s="3282"/>
      <c r="AE85" s="3305">
        <v>2045</v>
      </c>
      <c r="AF85" s="3281"/>
      <c r="AG85" s="3282"/>
      <c r="AH85" s="3301"/>
      <c r="AI85" s="3301"/>
      <c r="AJ85" s="3305">
        <v>2045</v>
      </c>
      <c r="AK85" s="3281"/>
      <c r="AL85" s="3282"/>
      <c r="AN85" s="3301"/>
      <c r="AO85" s="3301"/>
    </row>
    <row r="86" spans="1:41" ht="13.5" thickBot="1">
      <c r="A86" s="3299"/>
      <c r="B86" s="3368"/>
      <c r="C86" s="3392"/>
      <c r="D86" s="235">
        <v>2015</v>
      </c>
      <c r="E86" s="1945">
        <v>2020</v>
      </c>
      <c r="F86" s="1682">
        <v>2025</v>
      </c>
      <c r="G86" s="1682">
        <v>2030</v>
      </c>
      <c r="H86" s="1682">
        <v>2035</v>
      </c>
      <c r="I86" s="994">
        <v>2040</v>
      </c>
      <c r="J86" s="3043">
        <v>2045</v>
      </c>
      <c r="K86" s="3377"/>
      <c r="L86" s="3302"/>
      <c r="M86" s="1127" t="s">
        <v>92</v>
      </c>
      <c r="N86" s="1128" t="s">
        <v>93</v>
      </c>
      <c r="O86" s="1681" t="s">
        <v>18</v>
      </c>
      <c r="P86" s="1130" t="s">
        <v>92</v>
      </c>
      <c r="Q86" s="1128" t="s">
        <v>93</v>
      </c>
      <c r="R86" s="1681" t="s">
        <v>18</v>
      </c>
      <c r="S86" s="1130" t="s">
        <v>92</v>
      </c>
      <c r="T86" s="1128" t="s">
        <v>93</v>
      </c>
      <c r="U86" s="1681" t="s">
        <v>18</v>
      </c>
      <c r="V86" s="1130" t="s">
        <v>92</v>
      </c>
      <c r="W86" s="1128" t="s">
        <v>93</v>
      </c>
      <c r="X86" s="1681" t="s">
        <v>18</v>
      </c>
      <c r="Y86" s="1130" t="s">
        <v>92</v>
      </c>
      <c r="Z86" s="1128" t="s">
        <v>93</v>
      </c>
      <c r="AA86" s="1681" t="s">
        <v>18</v>
      </c>
      <c r="AB86" s="1130" t="s">
        <v>92</v>
      </c>
      <c r="AC86" s="1128" t="s">
        <v>93</v>
      </c>
      <c r="AD86" s="1681" t="s">
        <v>18</v>
      </c>
      <c r="AE86" s="1130" t="s">
        <v>92</v>
      </c>
      <c r="AF86" s="1128" t="s">
        <v>93</v>
      </c>
      <c r="AG86" s="1681" t="s">
        <v>18</v>
      </c>
      <c r="AH86" s="3302"/>
      <c r="AI86" s="3302"/>
      <c r="AJ86" s="1130" t="s">
        <v>92</v>
      </c>
      <c r="AK86" s="1128" t="s">
        <v>93</v>
      </c>
      <c r="AL86" s="1681" t="s">
        <v>18</v>
      </c>
      <c r="AN86" s="3302"/>
      <c r="AO86" s="3302"/>
    </row>
    <row r="87" spans="1:41" s="22" customFormat="1" ht="12.75" customHeight="1">
      <c r="A87" s="3300" t="s">
        <v>230</v>
      </c>
      <c r="B87" s="2749" t="s">
        <v>441</v>
      </c>
      <c r="C87" s="753">
        <v>218620</v>
      </c>
      <c r="D87" s="2257">
        <f>'Table 6c'!L83</f>
        <v>42</v>
      </c>
      <c r="E87" s="168">
        <v>42</v>
      </c>
      <c r="F87" s="249">
        <v>42</v>
      </c>
      <c r="G87" s="249">
        <v>42</v>
      </c>
      <c r="H87" s="249">
        <v>42</v>
      </c>
      <c r="I87" s="249">
        <v>42</v>
      </c>
      <c r="J87" s="291">
        <v>42</v>
      </c>
      <c r="K87" s="291">
        <v>42</v>
      </c>
      <c r="L87" s="229">
        <f t="shared" ref="L87:L107" si="241">(J87-D87)/D87</f>
        <v>0</v>
      </c>
      <c r="M87" s="246">
        <f t="shared" ref="M87:M90" si="242">O87-N87</f>
        <v>0.01</v>
      </c>
      <c r="N87" s="2300">
        <v>0</v>
      </c>
      <c r="O87" s="2750">
        <f>'Table 6c'!G83</f>
        <v>0.01</v>
      </c>
      <c r="P87" s="47">
        <f t="shared" ref="P87:P90" si="243">R87-Q87</f>
        <v>0.01</v>
      </c>
      <c r="Q87" s="2300">
        <v>0</v>
      </c>
      <c r="R87" s="141">
        <f>E87*AI87/1000000</f>
        <v>0.01</v>
      </c>
      <c r="S87" s="47">
        <f t="shared" ref="S87:S90" si="244">U87-T87</f>
        <v>0.01</v>
      </c>
      <c r="T87" s="2300">
        <v>0</v>
      </c>
      <c r="U87" s="141">
        <f>F87*AI87/1000000</f>
        <v>0.01</v>
      </c>
      <c r="V87" s="47">
        <f t="shared" ref="V87:V90" si="245">X87-W87</f>
        <v>0.01</v>
      </c>
      <c r="W87" s="2300">
        <v>0</v>
      </c>
      <c r="X87" s="141">
        <f>G87*AI87/1000000</f>
        <v>0.01</v>
      </c>
      <c r="Y87" s="47">
        <f t="shared" ref="Y87:Y90" si="246">AA87-Z87</f>
        <v>0.01</v>
      </c>
      <c r="Z87" s="2300">
        <v>0</v>
      </c>
      <c r="AA87" s="141">
        <f>H87*AI87/1000000</f>
        <v>0.01</v>
      </c>
      <c r="AB87" s="47">
        <f t="shared" ref="AB87:AB90" si="247">AD87-AC87</f>
        <v>0.01</v>
      </c>
      <c r="AC87" s="2300">
        <v>0</v>
      </c>
      <c r="AD87" s="141">
        <f>I87*AI87/1000000</f>
        <v>0.01</v>
      </c>
      <c r="AE87" s="47">
        <f t="shared" ref="AE87:AE90" si="248">AG87-AF87</f>
        <v>0.01</v>
      </c>
      <c r="AF87" s="2300">
        <v>0</v>
      </c>
      <c r="AG87" s="141">
        <f>J87*AI87/1000000</f>
        <v>0.01</v>
      </c>
      <c r="AH87" s="229">
        <f t="shared" ref="AH87:AH101" si="249">(AG87-O87)/O87</f>
        <v>0</v>
      </c>
      <c r="AI87" s="2565">
        <f>'Table 6c'!P83</f>
        <v>190</v>
      </c>
      <c r="AJ87" s="47">
        <f t="shared" ref="AJ87:AJ90" si="250">AL87-AK87</f>
        <v>0.01</v>
      </c>
      <c r="AK87" s="2300">
        <v>0</v>
      </c>
      <c r="AL87" s="141">
        <f>AG87*1.06</f>
        <v>0.01</v>
      </c>
      <c r="AN87" s="2257">
        <f t="shared" ref="AN87:AN107" si="251">J87-D87</f>
        <v>0</v>
      </c>
      <c r="AO87" s="1626" t="e">
        <f>#REF!-O87</f>
        <v>#REF!</v>
      </c>
    </row>
    <row r="88" spans="1:41" s="22" customFormat="1" ht="15" customHeight="1">
      <c r="A88" s="3301"/>
      <c r="B88" s="2679" t="s">
        <v>442</v>
      </c>
      <c r="C88" s="868">
        <v>218836</v>
      </c>
      <c r="D88" s="305">
        <f>'Table 6c'!L84</f>
        <v>5</v>
      </c>
      <c r="E88" s="864">
        <v>5</v>
      </c>
      <c r="F88" s="872">
        <v>5</v>
      </c>
      <c r="G88" s="872">
        <v>5</v>
      </c>
      <c r="H88" s="872">
        <v>5</v>
      </c>
      <c r="I88" s="872">
        <v>5</v>
      </c>
      <c r="J88" s="995">
        <v>5</v>
      </c>
      <c r="K88" s="995">
        <v>5</v>
      </c>
      <c r="L88" s="300">
        <f t="shared" si="241"/>
        <v>0</v>
      </c>
      <c r="M88" s="870">
        <f t="shared" si="242"/>
        <v>0.01</v>
      </c>
      <c r="N88" s="1956">
        <v>0</v>
      </c>
      <c r="O88" s="2751">
        <f>'Table 6c'!G84</f>
        <v>0.01</v>
      </c>
      <c r="P88" s="823">
        <f t="shared" si="243"/>
        <v>0.01</v>
      </c>
      <c r="Q88" s="1956">
        <v>0</v>
      </c>
      <c r="R88" s="367">
        <f>E88*AI88/1000000</f>
        <v>0.01</v>
      </c>
      <c r="S88" s="823">
        <f t="shared" si="244"/>
        <v>0.01</v>
      </c>
      <c r="T88" s="1956">
        <v>0</v>
      </c>
      <c r="U88" s="367">
        <f>F88*AI88/1000000</f>
        <v>0.01</v>
      </c>
      <c r="V88" s="823">
        <f t="shared" si="245"/>
        <v>0.01</v>
      </c>
      <c r="W88" s="1956">
        <v>0</v>
      </c>
      <c r="X88" s="367">
        <f>G88*AI88/1000000</f>
        <v>0.01</v>
      </c>
      <c r="Y88" s="823">
        <f t="shared" si="246"/>
        <v>0.01</v>
      </c>
      <c r="Z88" s="1956">
        <v>0</v>
      </c>
      <c r="AA88" s="367">
        <f>H88*AI88/1000000</f>
        <v>0.01</v>
      </c>
      <c r="AB88" s="823">
        <f t="shared" si="247"/>
        <v>0.01</v>
      </c>
      <c r="AC88" s="1956">
        <v>0</v>
      </c>
      <c r="AD88" s="367">
        <f>I88*AI88/1000000</f>
        <v>0.01</v>
      </c>
      <c r="AE88" s="823">
        <f t="shared" si="248"/>
        <v>0.01</v>
      </c>
      <c r="AF88" s="1956">
        <v>0</v>
      </c>
      <c r="AG88" s="367">
        <f>J88*AI88/1000000</f>
        <v>0.01</v>
      </c>
      <c r="AH88" s="300">
        <f t="shared" si="249"/>
        <v>0</v>
      </c>
      <c r="AI88" s="2566">
        <f>'Table 6c'!P84</f>
        <v>2000</v>
      </c>
      <c r="AJ88" s="823">
        <f t="shared" si="250"/>
        <v>0.01</v>
      </c>
      <c r="AK88" s="1956">
        <v>0</v>
      </c>
      <c r="AL88" s="367">
        <f>AG88*1.06</f>
        <v>0.01</v>
      </c>
      <c r="AN88" s="305">
        <f t="shared" si="251"/>
        <v>0</v>
      </c>
      <c r="AO88" s="1627" t="e">
        <f>#REF!-O88</f>
        <v>#REF!</v>
      </c>
    </row>
    <row r="89" spans="1:41" s="22" customFormat="1" ht="15" customHeight="1">
      <c r="A89" s="3301"/>
      <c r="B89" s="3006" t="s">
        <v>443</v>
      </c>
      <c r="C89" s="1450">
        <v>218866</v>
      </c>
      <c r="D89" s="305">
        <f>'Table 6c'!L85</f>
        <v>56</v>
      </c>
      <c r="E89" s="3007">
        <v>56</v>
      </c>
      <c r="F89" s="3008">
        <v>56</v>
      </c>
      <c r="G89" s="3008">
        <v>56</v>
      </c>
      <c r="H89" s="3008">
        <v>56</v>
      </c>
      <c r="I89" s="3008">
        <v>56</v>
      </c>
      <c r="J89" s="2665">
        <v>56</v>
      </c>
      <c r="K89" s="2665">
        <v>56</v>
      </c>
      <c r="L89" s="300">
        <f t="shared" si="241"/>
        <v>0</v>
      </c>
      <c r="M89" s="870">
        <f t="shared" si="242"/>
        <v>0.01</v>
      </c>
      <c r="N89" s="2022">
        <v>0</v>
      </c>
      <c r="O89" s="2751">
        <f>'Table 6c'!G85</f>
        <v>0.01</v>
      </c>
      <c r="P89" s="823">
        <f t="shared" si="243"/>
        <v>0.01</v>
      </c>
      <c r="Q89" s="2022">
        <v>0</v>
      </c>
      <c r="R89" s="367">
        <f>E89*AI89/1000000</f>
        <v>0.01</v>
      </c>
      <c r="S89" s="823">
        <f t="shared" si="244"/>
        <v>0.01</v>
      </c>
      <c r="T89" s="2022">
        <v>0</v>
      </c>
      <c r="U89" s="367">
        <f>F89*AI89/1000000</f>
        <v>0.01</v>
      </c>
      <c r="V89" s="823">
        <f t="shared" si="245"/>
        <v>0.01</v>
      </c>
      <c r="W89" s="2022">
        <v>0</v>
      </c>
      <c r="X89" s="367">
        <f>G89*AI89/1000000</f>
        <v>0.01</v>
      </c>
      <c r="Y89" s="823">
        <f t="shared" si="246"/>
        <v>0.01</v>
      </c>
      <c r="Z89" s="2022">
        <v>0</v>
      </c>
      <c r="AA89" s="367">
        <f>H89*AI89/1000000</f>
        <v>0.01</v>
      </c>
      <c r="AB89" s="823">
        <f t="shared" si="247"/>
        <v>0.01</v>
      </c>
      <c r="AC89" s="2022">
        <v>0</v>
      </c>
      <c r="AD89" s="367">
        <f>I89*AI89/1000000</f>
        <v>0.01</v>
      </c>
      <c r="AE89" s="823">
        <f t="shared" si="248"/>
        <v>0.01</v>
      </c>
      <c r="AF89" s="2022">
        <v>0</v>
      </c>
      <c r="AG89" s="367">
        <f>J89*AI89/1000000</f>
        <v>0.01</v>
      </c>
      <c r="AH89" s="300">
        <f t="shared" si="249"/>
        <v>0</v>
      </c>
      <c r="AI89" s="2566">
        <f>'Table 6c'!P85</f>
        <v>143</v>
      </c>
      <c r="AJ89" s="823">
        <f t="shared" si="250"/>
        <v>0.01</v>
      </c>
      <c r="AK89" s="2022">
        <v>0</v>
      </c>
      <c r="AL89" s="367">
        <f>AG89*1.06</f>
        <v>0.01</v>
      </c>
      <c r="AN89" s="2020"/>
      <c r="AO89" s="1628"/>
    </row>
    <row r="90" spans="1:41" s="22" customFormat="1" ht="15.75" customHeight="1" thickBot="1">
      <c r="A90" s="3301"/>
      <c r="B90" s="2682" t="s">
        <v>444</v>
      </c>
      <c r="C90" s="1016">
        <v>218929</v>
      </c>
      <c r="D90" s="2036">
        <f>'Table 6c'!L86</f>
        <v>30</v>
      </c>
      <c r="E90" s="861">
        <v>30</v>
      </c>
      <c r="F90" s="368">
        <v>30</v>
      </c>
      <c r="G90" s="368">
        <v>30</v>
      </c>
      <c r="H90" s="368">
        <v>30</v>
      </c>
      <c r="I90" s="368">
        <v>30</v>
      </c>
      <c r="J90" s="1011">
        <v>30</v>
      </c>
      <c r="K90" s="1011">
        <v>50</v>
      </c>
      <c r="L90" s="216">
        <f t="shared" si="241"/>
        <v>0</v>
      </c>
      <c r="M90" s="1006">
        <f t="shared" si="242"/>
        <v>0.01</v>
      </c>
      <c r="N90" s="2038">
        <v>0</v>
      </c>
      <c r="O90" s="2752">
        <f>'Table 6c'!G86</f>
        <v>0.01</v>
      </c>
      <c r="P90" s="48">
        <f t="shared" si="243"/>
        <v>0.01</v>
      </c>
      <c r="Q90" s="2038">
        <v>0</v>
      </c>
      <c r="R90" s="49">
        <f>E90*AI90/1000000</f>
        <v>0.01</v>
      </c>
      <c r="S90" s="48">
        <f t="shared" si="244"/>
        <v>0.01</v>
      </c>
      <c r="T90" s="2038">
        <v>0</v>
      </c>
      <c r="U90" s="49">
        <f>F90*AI90/1000000</f>
        <v>0.01</v>
      </c>
      <c r="V90" s="48">
        <f t="shared" si="245"/>
        <v>0.01</v>
      </c>
      <c r="W90" s="2038">
        <v>0</v>
      </c>
      <c r="X90" s="49">
        <f>G90*AI90/1000000</f>
        <v>0.01</v>
      </c>
      <c r="Y90" s="48">
        <f t="shared" si="246"/>
        <v>0.01</v>
      </c>
      <c r="Z90" s="2038">
        <v>0</v>
      </c>
      <c r="AA90" s="49">
        <f>H90*AI90/1000000</f>
        <v>0.01</v>
      </c>
      <c r="AB90" s="48">
        <f t="shared" si="247"/>
        <v>0.01</v>
      </c>
      <c r="AC90" s="2038">
        <v>0</v>
      </c>
      <c r="AD90" s="49">
        <f>I90*AI90/1000000</f>
        <v>0.01</v>
      </c>
      <c r="AE90" s="48">
        <f t="shared" si="248"/>
        <v>0.01</v>
      </c>
      <c r="AF90" s="2038">
        <v>0</v>
      </c>
      <c r="AG90" s="49">
        <f>J90*AI90/1000000</f>
        <v>0.01</v>
      </c>
      <c r="AH90" s="216">
        <f t="shared" si="249"/>
        <v>0</v>
      </c>
      <c r="AI90" s="2568">
        <f>'Table 6c'!P86</f>
        <v>233</v>
      </c>
      <c r="AJ90" s="48">
        <f t="shared" si="250"/>
        <v>0.01</v>
      </c>
      <c r="AK90" s="2038">
        <v>0</v>
      </c>
      <c r="AL90" s="49">
        <f>AG90*1.06</f>
        <v>0.01</v>
      </c>
      <c r="AM90" s="22" t="s">
        <v>36</v>
      </c>
      <c r="AN90" s="2036">
        <f t="shared" si="251"/>
        <v>0</v>
      </c>
      <c r="AO90" s="1623" t="e">
        <f>#REF!-O90</f>
        <v>#REF!</v>
      </c>
    </row>
    <row r="91" spans="1:41" s="22" customFormat="1" ht="16.5" customHeight="1" thickTop="1" thickBot="1">
      <c r="A91" s="3302"/>
      <c r="B91" s="3359" t="s">
        <v>235</v>
      </c>
      <c r="C91" s="3360"/>
      <c r="D91" s="1983">
        <f>SUM(D87:D90)</f>
        <v>133</v>
      </c>
      <c r="E91" s="857">
        <f t="shared" ref="E91:K91" si="252">SUM(E87:E90)</f>
        <v>133</v>
      </c>
      <c r="F91" s="251">
        <f t="shared" si="252"/>
        <v>133</v>
      </c>
      <c r="G91" s="251">
        <f t="shared" si="252"/>
        <v>133</v>
      </c>
      <c r="H91" s="251">
        <f t="shared" si="252"/>
        <v>133</v>
      </c>
      <c r="I91" s="251">
        <f t="shared" si="252"/>
        <v>133</v>
      </c>
      <c r="J91" s="97">
        <f t="shared" si="252"/>
        <v>133</v>
      </c>
      <c r="K91" s="97">
        <f t="shared" si="252"/>
        <v>153</v>
      </c>
      <c r="L91" s="202">
        <f t="shared" si="241"/>
        <v>0</v>
      </c>
      <c r="M91" s="35">
        <f>SUM(M87:M90)</f>
        <v>0.04</v>
      </c>
      <c r="N91" s="1984">
        <f t="shared" ref="N91:AG91" si="253">SUM(N87:N90)</f>
        <v>0</v>
      </c>
      <c r="O91" s="105">
        <f t="shared" si="253"/>
        <v>0.04</v>
      </c>
      <c r="P91" s="34">
        <f t="shared" si="253"/>
        <v>0.04</v>
      </c>
      <c r="Q91" s="1984">
        <f t="shared" si="253"/>
        <v>0</v>
      </c>
      <c r="R91" s="105">
        <f t="shared" si="253"/>
        <v>0.04</v>
      </c>
      <c r="S91" s="34">
        <f t="shared" si="253"/>
        <v>0.04</v>
      </c>
      <c r="T91" s="1984">
        <f t="shared" si="253"/>
        <v>0</v>
      </c>
      <c r="U91" s="105">
        <f t="shared" si="253"/>
        <v>0.04</v>
      </c>
      <c r="V91" s="34">
        <f t="shared" si="253"/>
        <v>0.04</v>
      </c>
      <c r="W91" s="1984">
        <f t="shared" si="253"/>
        <v>0</v>
      </c>
      <c r="X91" s="105">
        <f t="shared" si="253"/>
        <v>0.04</v>
      </c>
      <c r="Y91" s="34">
        <f t="shared" si="253"/>
        <v>0.04</v>
      </c>
      <c r="Z91" s="1984">
        <f t="shared" si="253"/>
        <v>0</v>
      </c>
      <c r="AA91" s="105">
        <f t="shared" si="253"/>
        <v>0.04</v>
      </c>
      <c r="AB91" s="34">
        <f t="shared" si="253"/>
        <v>0.04</v>
      </c>
      <c r="AC91" s="1984">
        <f t="shared" si="253"/>
        <v>0</v>
      </c>
      <c r="AD91" s="105">
        <f t="shared" si="253"/>
        <v>0.04</v>
      </c>
      <c r="AE91" s="34">
        <f t="shared" si="253"/>
        <v>0.04</v>
      </c>
      <c r="AF91" s="1984">
        <f t="shared" si="253"/>
        <v>0</v>
      </c>
      <c r="AG91" s="105">
        <f t="shared" si="253"/>
        <v>0.04</v>
      </c>
      <c r="AH91" s="2555">
        <f t="shared" si="249"/>
        <v>0</v>
      </c>
      <c r="AI91" s="3041" t="s">
        <v>16</v>
      </c>
      <c r="AJ91" s="34">
        <f>SUM(AJ87:AJ90)</f>
        <v>0.04</v>
      </c>
      <c r="AK91" s="1984">
        <f t="shared" ref="AK91:AL91" si="254">SUM(AK87:AK90)</f>
        <v>0</v>
      </c>
      <c r="AL91" s="105">
        <f t="shared" si="254"/>
        <v>0.04</v>
      </c>
      <c r="AN91" s="1983">
        <f t="shared" si="251"/>
        <v>0</v>
      </c>
      <c r="AO91" s="1624" t="e">
        <f>#REF!-O91</f>
        <v>#REF!</v>
      </c>
    </row>
    <row r="92" spans="1:41" ht="26.25" thickBot="1">
      <c r="A92" s="3265" t="s">
        <v>236</v>
      </c>
      <c r="B92" s="2753" t="s">
        <v>445</v>
      </c>
      <c r="C92" s="326">
        <v>218662</v>
      </c>
      <c r="D92" s="1990">
        <f>'Table 6c'!L88</f>
        <v>179</v>
      </c>
      <c r="E92" s="2693">
        <v>179</v>
      </c>
      <c r="F92" s="2694">
        <v>182</v>
      </c>
      <c r="G92" s="2694">
        <v>184</v>
      </c>
      <c r="H92" s="2694">
        <v>187</v>
      </c>
      <c r="I92" s="2694">
        <v>189</v>
      </c>
      <c r="J92" s="2695">
        <v>189</v>
      </c>
      <c r="K92" s="2695" t="s">
        <v>16</v>
      </c>
      <c r="L92" s="236">
        <f t="shared" si="241"/>
        <v>0.06</v>
      </c>
      <c r="M92" s="157">
        <f t="shared" ref="M92:M93" si="255">O92-N92</f>
        <v>0.02</v>
      </c>
      <c r="N92" s="2003">
        <v>0</v>
      </c>
      <c r="O92" s="148">
        <f>'Table 6c'!G88</f>
        <v>0.02</v>
      </c>
      <c r="P92" s="137">
        <f t="shared" ref="P92:P93" si="256">R92-Q92</f>
        <v>0.03</v>
      </c>
      <c r="Q92" s="1999">
        <v>0</v>
      </c>
      <c r="R92" s="148">
        <f>E92*AI92/1000000</f>
        <v>0.03</v>
      </c>
      <c r="S92" s="137">
        <f t="shared" ref="S92:S93" si="257">U92-T92</f>
        <v>0.03</v>
      </c>
      <c r="T92" s="1999">
        <v>0</v>
      </c>
      <c r="U92" s="148">
        <f>F92*AI92/1000000</f>
        <v>0.03</v>
      </c>
      <c r="V92" s="137">
        <f t="shared" ref="V92:V93" si="258">X92-W92</f>
        <v>0.03</v>
      </c>
      <c r="W92" s="1999">
        <v>0</v>
      </c>
      <c r="X92" s="148">
        <f>G92*AI92/1000000</f>
        <v>0.03</v>
      </c>
      <c r="Y92" s="137">
        <f t="shared" ref="Y92:Y93" si="259">AA92-Z92</f>
        <v>0.03</v>
      </c>
      <c r="Z92" s="1999">
        <v>0</v>
      </c>
      <c r="AA92" s="148">
        <f>H92*AI92/1000000</f>
        <v>0.03</v>
      </c>
      <c r="AB92" s="137">
        <f t="shared" ref="AB92:AB93" si="260">AD92-AC92</f>
        <v>0.03</v>
      </c>
      <c r="AC92" s="1999">
        <v>0</v>
      </c>
      <c r="AD92" s="148">
        <f>I92*AI92/1000000</f>
        <v>0.03</v>
      </c>
      <c r="AE92" s="137">
        <f t="shared" ref="AE92:AE93" si="261">AG92-AF92</f>
        <v>0.03</v>
      </c>
      <c r="AF92" s="1999">
        <v>0</v>
      </c>
      <c r="AG92" s="148">
        <f>J92*AI92/1000000</f>
        <v>0.03</v>
      </c>
      <c r="AH92" s="2696">
        <f t="shared" si="249"/>
        <v>0.5</v>
      </c>
      <c r="AI92" s="2697">
        <f>'Table 6c'!P88</f>
        <v>150</v>
      </c>
      <c r="AJ92" s="137">
        <f t="shared" ref="AJ92:AJ93" si="262">AL92-AK92</f>
        <v>0.03</v>
      </c>
      <c r="AK92" s="1999">
        <v>0</v>
      </c>
      <c r="AL92" s="148">
        <f>AG92*1.06</f>
        <v>0.03</v>
      </c>
      <c r="AN92" s="1990">
        <f t="shared" si="251"/>
        <v>10</v>
      </c>
      <c r="AO92" s="1631" t="e">
        <f>#REF!-O92</f>
        <v>#REF!</v>
      </c>
    </row>
    <row r="93" spans="1:41" s="22" customFormat="1" ht="14.25" thickTop="1" thickBot="1">
      <c r="A93" s="3380"/>
      <c r="B93" s="3359" t="s">
        <v>238</v>
      </c>
      <c r="C93" s="3360"/>
      <c r="D93" s="1983">
        <f t="shared" ref="D93:I93" si="263">D92</f>
        <v>179</v>
      </c>
      <c r="E93" s="857">
        <f t="shared" si="263"/>
        <v>179</v>
      </c>
      <c r="F93" s="251">
        <f t="shared" si="263"/>
        <v>182</v>
      </c>
      <c r="G93" s="251">
        <f t="shared" si="263"/>
        <v>184</v>
      </c>
      <c r="H93" s="251">
        <f t="shared" si="263"/>
        <v>187</v>
      </c>
      <c r="I93" s="251">
        <f t="shared" si="263"/>
        <v>189</v>
      </c>
      <c r="J93" s="97">
        <f>J92</f>
        <v>189</v>
      </c>
      <c r="K93" s="97">
        <f>SUM(K92)</f>
        <v>0</v>
      </c>
      <c r="L93" s="202">
        <f t="shared" si="241"/>
        <v>0.06</v>
      </c>
      <c r="M93" s="35">
        <f t="shared" si="255"/>
        <v>0.02</v>
      </c>
      <c r="N93" s="1984">
        <v>0</v>
      </c>
      <c r="O93" s="105">
        <f>SUM(O92)</f>
        <v>0.02</v>
      </c>
      <c r="P93" s="34">
        <f t="shared" si="256"/>
        <v>0.03</v>
      </c>
      <c r="Q93" s="1984">
        <v>0</v>
      </c>
      <c r="R93" s="105">
        <f>SUM(R92)</f>
        <v>0.03</v>
      </c>
      <c r="S93" s="34">
        <f t="shared" si="257"/>
        <v>0.03</v>
      </c>
      <c r="T93" s="1984">
        <v>0</v>
      </c>
      <c r="U93" s="105">
        <f>SUM(U92)</f>
        <v>0.03</v>
      </c>
      <c r="V93" s="34">
        <f t="shared" si="258"/>
        <v>0.03</v>
      </c>
      <c r="W93" s="1984">
        <v>0</v>
      </c>
      <c r="X93" s="105">
        <f>SUM(X92)</f>
        <v>0.03</v>
      </c>
      <c r="Y93" s="34">
        <f t="shared" si="259"/>
        <v>0.03</v>
      </c>
      <c r="Z93" s="1984">
        <v>0</v>
      </c>
      <c r="AA93" s="105">
        <f>SUM(AA92)</f>
        <v>0.03</v>
      </c>
      <c r="AB93" s="34">
        <f t="shared" si="260"/>
        <v>0.03</v>
      </c>
      <c r="AC93" s="1984">
        <v>0</v>
      </c>
      <c r="AD93" s="105">
        <f>SUM(AD92)</f>
        <v>0.03</v>
      </c>
      <c r="AE93" s="34">
        <f t="shared" si="261"/>
        <v>0.03</v>
      </c>
      <c r="AF93" s="1984">
        <f t="shared" ref="AF93:AG93" si="264">SUM(AF92)</f>
        <v>0</v>
      </c>
      <c r="AG93" s="105">
        <f t="shared" si="264"/>
        <v>0.03</v>
      </c>
      <c r="AH93" s="2555">
        <f t="shared" si="249"/>
        <v>0.5</v>
      </c>
      <c r="AI93" s="3041" t="s">
        <v>16</v>
      </c>
      <c r="AJ93" s="34">
        <f t="shared" si="262"/>
        <v>0.03</v>
      </c>
      <c r="AK93" s="1984">
        <v>0</v>
      </c>
      <c r="AL93" s="105">
        <f>AG93*1.06</f>
        <v>0.03</v>
      </c>
      <c r="AN93" s="1983">
        <f t="shared" si="251"/>
        <v>10</v>
      </c>
      <c r="AO93" s="1624" t="e">
        <f>#REF!-O93</f>
        <v>#REF!</v>
      </c>
    </row>
    <row r="94" spans="1:41" s="22" customFormat="1" ht="13.5" thickBot="1">
      <c r="A94" s="3300" t="s">
        <v>242</v>
      </c>
      <c r="B94" s="2754" t="s">
        <v>446</v>
      </c>
      <c r="C94" s="2755">
        <v>215920</v>
      </c>
      <c r="D94" s="2170">
        <f>'Table 6c'!L90</f>
        <v>42</v>
      </c>
      <c r="E94" s="324">
        <v>42</v>
      </c>
      <c r="F94" s="169">
        <v>42</v>
      </c>
      <c r="G94" s="169">
        <v>42</v>
      </c>
      <c r="H94" s="169">
        <v>42</v>
      </c>
      <c r="I94" s="169">
        <v>42</v>
      </c>
      <c r="J94" s="270">
        <v>42</v>
      </c>
      <c r="K94" s="270">
        <v>42</v>
      </c>
      <c r="L94" s="196">
        <f t="shared" si="241"/>
        <v>0</v>
      </c>
      <c r="M94" s="186">
        <f>O94-N94</f>
        <v>0.01</v>
      </c>
      <c r="N94" s="2172">
        <v>0</v>
      </c>
      <c r="O94" s="160">
        <f>'Table 6c'!G90</f>
        <v>0.01</v>
      </c>
      <c r="P94" s="149">
        <f>R94-Q94</f>
        <v>0.01</v>
      </c>
      <c r="Q94" s="2172">
        <v>0</v>
      </c>
      <c r="R94" s="160">
        <f t="shared" ref="R94:R99" si="265">E94*AI94/1000000</f>
        <v>0.01</v>
      </c>
      <c r="S94" s="149">
        <f>U94-T94</f>
        <v>0.01</v>
      </c>
      <c r="T94" s="2172">
        <v>0</v>
      </c>
      <c r="U94" s="160">
        <f t="shared" ref="U94:U99" si="266">F94*AI94/1000000</f>
        <v>0.01</v>
      </c>
      <c r="V94" s="149">
        <f>X94-W94</f>
        <v>0.01</v>
      </c>
      <c r="W94" s="2172">
        <v>0</v>
      </c>
      <c r="X94" s="160">
        <f t="shared" ref="X94:X99" si="267">G94*AI94/1000000</f>
        <v>0.01</v>
      </c>
      <c r="Y94" s="149">
        <f>AA94-Z94</f>
        <v>0.01</v>
      </c>
      <c r="Z94" s="2172">
        <v>0</v>
      </c>
      <c r="AA94" s="160">
        <f t="shared" ref="AA94:AA99" si="268">H94*AI94/1000000</f>
        <v>0.01</v>
      </c>
      <c r="AB94" s="149">
        <f>AD94-AC94</f>
        <v>0.01</v>
      </c>
      <c r="AC94" s="2172">
        <v>0</v>
      </c>
      <c r="AD94" s="160">
        <f t="shared" ref="AD94:AD99" si="269">I94*AI94/1000000</f>
        <v>0.01</v>
      </c>
      <c r="AE94" s="149">
        <f>AG94-AF94</f>
        <v>0.01</v>
      </c>
      <c r="AF94" s="2172">
        <v>0</v>
      </c>
      <c r="AG94" s="160">
        <f t="shared" ref="AG94:AG99" si="270">J94*AI94/1000000</f>
        <v>0.01</v>
      </c>
      <c r="AH94" s="2549">
        <f t="shared" si="249"/>
        <v>0</v>
      </c>
      <c r="AI94" s="2659">
        <f>'Table 6c'!P90</f>
        <v>143</v>
      </c>
      <c r="AJ94" s="149">
        <f>AL94-AK94</f>
        <v>0.01</v>
      </c>
      <c r="AK94" s="2172">
        <v>0</v>
      </c>
      <c r="AL94" s="160">
        <f t="shared" ref="AL94:AL99" si="271">AG94*1.06</f>
        <v>0.01</v>
      </c>
      <c r="AN94" s="2181"/>
      <c r="AO94" s="1629"/>
    </row>
    <row r="95" spans="1:41" s="22" customFormat="1">
      <c r="A95" s="3301"/>
      <c r="B95" s="2663" t="s">
        <v>447</v>
      </c>
      <c r="C95" s="2615">
        <v>216642</v>
      </c>
      <c r="D95" s="2058">
        <f>'Table 6c'!L91</f>
        <v>361</v>
      </c>
      <c r="E95" s="2756">
        <v>374</v>
      </c>
      <c r="F95" s="2613">
        <v>398</v>
      </c>
      <c r="G95" s="2613">
        <v>410</v>
      </c>
      <c r="H95" s="2613">
        <v>509</v>
      </c>
      <c r="I95" s="2613">
        <v>510</v>
      </c>
      <c r="J95" s="2614">
        <v>516</v>
      </c>
      <c r="K95" s="2757">
        <v>601</v>
      </c>
      <c r="L95" s="215">
        <f t="shared" si="241"/>
        <v>0.43</v>
      </c>
      <c r="M95" s="245">
        <f>O95-N95</f>
        <v>0.01</v>
      </c>
      <c r="N95" s="2616">
        <v>0</v>
      </c>
      <c r="O95" s="2065">
        <f>'Table 6c'!G91</f>
        <v>0.01</v>
      </c>
      <c r="P95" s="138">
        <f>R95-Q95</f>
        <v>0.01</v>
      </c>
      <c r="Q95" s="2616">
        <v>0</v>
      </c>
      <c r="R95" s="56">
        <f t="shared" si="265"/>
        <v>0.01</v>
      </c>
      <c r="S95" s="138">
        <f>U95-T95</f>
        <v>0.01</v>
      </c>
      <c r="T95" s="2616">
        <v>0</v>
      </c>
      <c r="U95" s="56">
        <f t="shared" si="266"/>
        <v>0.01</v>
      </c>
      <c r="V95" s="138">
        <f>X95-W95</f>
        <v>0.01</v>
      </c>
      <c r="W95" s="2616">
        <v>0</v>
      </c>
      <c r="X95" s="56">
        <f t="shared" si="267"/>
        <v>0.01</v>
      </c>
      <c r="Y95" s="138">
        <f>AA95-Z95</f>
        <v>0.02</v>
      </c>
      <c r="Z95" s="2572">
        <v>0</v>
      </c>
      <c r="AA95" s="56">
        <f t="shared" si="268"/>
        <v>0.02</v>
      </c>
      <c r="AB95" s="138">
        <f>AD95-AC95</f>
        <v>0.02</v>
      </c>
      <c r="AC95" s="2616">
        <v>0</v>
      </c>
      <c r="AD95" s="56">
        <f t="shared" si="269"/>
        <v>0.02</v>
      </c>
      <c r="AE95" s="138">
        <f>AG95-AF95</f>
        <v>0.02</v>
      </c>
      <c r="AF95" s="2616">
        <v>0</v>
      </c>
      <c r="AG95" s="56">
        <f t="shared" si="270"/>
        <v>0.02</v>
      </c>
      <c r="AH95" s="2758">
        <f t="shared" si="249"/>
        <v>1</v>
      </c>
      <c r="AI95" s="2600">
        <f>'Table 6c'!P91</f>
        <v>32</v>
      </c>
      <c r="AJ95" s="2617">
        <f>AL95-AK95</f>
        <v>0.02</v>
      </c>
      <c r="AK95" s="2616">
        <v>0</v>
      </c>
      <c r="AL95" s="2065">
        <f t="shared" si="271"/>
        <v>0.02</v>
      </c>
      <c r="AN95" s="2759">
        <f t="shared" si="251"/>
        <v>155</v>
      </c>
      <c r="AO95" s="1625" t="e">
        <f>#REF!-O95</f>
        <v>#REF!</v>
      </c>
    </row>
    <row r="96" spans="1:41" s="22" customFormat="1">
      <c r="A96" s="3301"/>
      <c r="B96" s="2760" t="s">
        <v>448</v>
      </c>
      <c r="C96" s="2627">
        <v>220497</v>
      </c>
      <c r="D96" s="2070">
        <f>'Table 6c'!L92</f>
        <v>289</v>
      </c>
      <c r="E96" s="2761">
        <v>293</v>
      </c>
      <c r="F96" s="2625">
        <v>293</v>
      </c>
      <c r="G96" s="2625">
        <v>293</v>
      </c>
      <c r="H96" s="2625">
        <v>293</v>
      </c>
      <c r="I96" s="2625">
        <v>293</v>
      </c>
      <c r="J96" s="2626">
        <v>293</v>
      </c>
      <c r="K96" s="2762">
        <v>293</v>
      </c>
      <c r="L96" s="300">
        <f t="shared" si="241"/>
        <v>0.01</v>
      </c>
      <c r="M96" s="870">
        <f t="shared" ref="M96:M97" si="272">O96-N96</f>
        <v>0.13</v>
      </c>
      <c r="N96" s="2201">
        <v>0</v>
      </c>
      <c r="O96" s="2009">
        <f>'Table 6c'!G92</f>
        <v>0.13</v>
      </c>
      <c r="P96" s="823">
        <f t="shared" ref="P96:P97" si="273">R96-Q96</f>
        <v>0.08</v>
      </c>
      <c r="Q96" s="2201">
        <v>0</v>
      </c>
      <c r="R96" s="367">
        <f t="shared" si="265"/>
        <v>0.08</v>
      </c>
      <c r="S96" s="823">
        <f t="shared" ref="S96:S97" si="274">U96-T96</f>
        <v>0.08</v>
      </c>
      <c r="T96" s="2201">
        <v>0</v>
      </c>
      <c r="U96" s="367">
        <f t="shared" si="266"/>
        <v>0.08</v>
      </c>
      <c r="V96" s="823">
        <f t="shared" ref="V96:V97" si="275">X96-W96</f>
        <v>0.08</v>
      </c>
      <c r="W96" s="2201">
        <v>0</v>
      </c>
      <c r="X96" s="367">
        <f t="shared" si="267"/>
        <v>0.08</v>
      </c>
      <c r="Y96" s="823">
        <f t="shared" ref="Y96:Y97" si="276">AA96-Z96</f>
        <v>0.08</v>
      </c>
      <c r="Z96" s="2763">
        <v>0</v>
      </c>
      <c r="AA96" s="367">
        <f t="shared" si="268"/>
        <v>0.08</v>
      </c>
      <c r="AB96" s="823">
        <f t="shared" ref="AB96:AB97" si="277">AD96-AC96</f>
        <v>0.08</v>
      </c>
      <c r="AC96" s="2201">
        <v>0</v>
      </c>
      <c r="AD96" s="367">
        <f t="shared" si="269"/>
        <v>0.08</v>
      </c>
      <c r="AE96" s="823">
        <f t="shared" ref="AE96:AE97" si="278">AG96-AF96</f>
        <v>0.08</v>
      </c>
      <c r="AF96" s="2201">
        <v>0</v>
      </c>
      <c r="AG96" s="367">
        <f t="shared" si="270"/>
        <v>0.08</v>
      </c>
      <c r="AH96" s="1861">
        <f t="shared" si="249"/>
        <v>-0.38</v>
      </c>
      <c r="AI96" s="2566">
        <f>'Table 6c'!P92</f>
        <v>277</v>
      </c>
      <c r="AJ96" s="2628">
        <f t="shared" ref="AJ96:AJ97" si="279">AL96-AK96</f>
        <v>0.08</v>
      </c>
      <c r="AK96" s="2201">
        <v>0</v>
      </c>
      <c r="AL96" s="2009">
        <f t="shared" si="271"/>
        <v>0.08</v>
      </c>
      <c r="AN96" s="2619"/>
      <c r="AO96" s="2607"/>
    </row>
    <row r="97" spans="1:41" s="22" customFormat="1">
      <c r="A97" s="3301"/>
      <c r="B97" s="2760" t="s">
        <v>449</v>
      </c>
      <c r="C97" s="2627">
        <v>217177</v>
      </c>
      <c r="D97" s="2070">
        <f>'Table 6c'!L93</f>
        <v>156</v>
      </c>
      <c r="E97" s="2761">
        <v>158</v>
      </c>
      <c r="F97" s="2625">
        <v>162</v>
      </c>
      <c r="G97" s="2625">
        <v>168</v>
      </c>
      <c r="H97" s="2625">
        <v>170</v>
      </c>
      <c r="I97" s="2625">
        <v>174</v>
      </c>
      <c r="J97" s="2626">
        <v>179</v>
      </c>
      <c r="K97" s="2762">
        <v>230</v>
      </c>
      <c r="L97" s="300">
        <f t="shared" si="241"/>
        <v>0.15</v>
      </c>
      <c r="M97" s="870">
        <f t="shared" si="272"/>
        <v>0.02</v>
      </c>
      <c r="N97" s="2201">
        <v>0</v>
      </c>
      <c r="O97" s="2009">
        <f>'Table 6c'!G93</f>
        <v>0.02</v>
      </c>
      <c r="P97" s="823">
        <f t="shared" si="273"/>
        <v>0.02</v>
      </c>
      <c r="Q97" s="2201">
        <v>0</v>
      </c>
      <c r="R97" s="367">
        <f t="shared" si="265"/>
        <v>0.02</v>
      </c>
      <c r="S97" s="823">
        <f t="shared" si="274"/>
        <v>0.02</v>
      </c>
      <c r="T97" s="2201">
        <v>0</v>
      </c>
      <c r="U97" s="367">
        <f t="shared" si="266"/>
        <v>0.02</v>
      </c>
      <c r="V97" s="823">
        <f t="shared" si="275"/>
        <v>0.02</v>
      </c>
      <c r="W97" s="2201">
        <v>0</v>
      </c>
      <c r="X97" s="367">
        <f t="shared" si="267"/>
        <v>0.02</v>
      </c>
      <c r="Y97" s="823">
        <f t="shared" si="276"/>
        <v>0.02</v>
      </c>
      <c r="Z97" s="2763">
        <v>0</v>
      </c>
      <c r="AA97" s="367">
        <f t="shared" si="268"/>
        <v>0.02</v>
      </c>
      <c r="AB97" s="823">
        <f t="shared" si="277"/>
        <v>0.03</v>
      </c>
      <c r="AC97" s="2201">
        <v>0</v>
      </c>
      <c r="AD97" s="367">
        <f t="shared" si="269"/>
        <v>0.03</v>
      </c>
      <c r="AE97" s="823">
        <f t="shared" si="278"/>
        <v>0.03</v>
      </c>
      <c r="AF97" s="2201">
        <v>0</v>
      </c>
      <c r="AG97" s="367">
        <f t="shared" si="270"/>
        <v>0.03</v>
      </c>
      <c r="AH97" s="1861">
        <f t="shared" si="249"/>
        <v>0.5</v>
      </c>
      <c r="AI97" s="2566">
        <f>'Table 6c'!P93</f>
        <v>147</v>
      </c>
      <c r="AJ97" s="2628">
        <f t="shared" si="279"/>
        <v>0.03</v>
      </c>
      <c r="AK97" s="2201">
        <v>0</v>
      </c>
      <c r="AL97" s="2009">
        <f t="shared" si="271"/>
        <v>0.03</v>
      </c>
      <c r="AN97" s="2619"/>
      <c r="AO97" s="2607"/>
    </row>
    <row r="98" spans="1:41" s="22" customFormat="1" ht="13.5" thickBot="1">
      <c r="A98" s="3301"/>
      <c r="B98" s="2663" t="s">
        <v>450</v>
      </c>
      <c r="C98" s="2615">
        <v>216656</v>
      </c>
      <c r="D98" s="2058">
        <f>'Table 6c'!L94</f>
        <v>179</v>
      </c>
      <c r="E98" s="2756">
        <v>173</v>
      </c>
      <c r="F98" s="2613">
        <v>173</v>
      </c>
      <c r="G98" s="2613">
        <v>173</v>
      </c>
      <c r="H98" s="2613">
        <v>173</v>
      </c>
      <c r="I98" s="2613">
        <v>173</v>
      </c>
      <c r="J98" s="2614">
        <v>173</v>
      </c>
      <c r="K98" s="2757">
        <v>1156</v>
      </c>
      <c r="L98" s="215">
        <f t="shared" si="241"/>
        <v>-0.03</v>
      </c>
      <c r="M98" s="245">
        <f>O98-N98</f>
        <v>0.01</v>
      </c>
      <c r="N98" s="2616">
        <v>0</v>
      </c>
      <c r="O98" s="2065">
        <f>'Table 6c'!G94</f>
        <v>0.01</v>
      </c>
      <c r="P98" s="138">
        <f>R98-Q98</f>
        <v>0.01</v>
      </c>
      <c r="Q98" s="2616">
        <v>0</v>
      </c>
      <c r="R98" s="56">
        <f t="shared" si="265"/>
        <v>0.01</v>
      </c>
      <c r="S98" s="138">
        <f>U98-T98</f>
        <v>0.01</v>
      </c>
      <c r="T98" s="2616">
        <v>0</v>
      </c>
      <c r="U98" s="56">
        <f t="shared" si="266"/>
        <v>0.01</v>
      </c>
      <c r="V98" s="138">
        <f>X98-W98</f>
        <v>0.01</v>
      </c>
      <c r="W98" s="2616">
        <v>0</v>
      </c>
      <c r="X98" s="56">
        <f t="shared" si="267"/>
        <v>0.01</v>
      </c>
      <c r="Y98" s="138">
        <f>AA98-Z98</f>
        <v>0.01</v>
      </c>
      <c r="Z98" s="2572">
        <v>0</v>
      </c>
      <c r="AA98" s="56">
        <f t="shared" si="268"/>
        <v>0.01</v>
      </c>
      <c r="AB98" s="138">
        <f>AD98-AC98</f>
        <v>0.01</v>
      </c>
      <c r="AC98" s="2616">
        <v>0</v>
      </c>
      <c r="AD98" s="56">
        <f t="shared" si="269"/>
        <v>0.01</v>
      </c>
      <c r="AE98" s="138">
        <f>AG98-AF98</f>
        <v>0.01</v>
      </c>
      <c r="AF98" s="2616">
        <v>0</v>
      </c>
      <c r="AG98" s="56">
        <f t="shared" si="270"/>
        <v>0.01</v>
      </c>
      <c r="AH98" s="2758">
        <f t="shared" si="249"/>
        <v>0</v>
      </c>
      <c r="AI98" s="2600">
        <f>'Table 6c'!P94</f>
        <v>56</v>
      </c>
      <c r="AJ98" s="2617">
        <f>AL98-AK98</f>
        <v>0.01</v>
      </c>
      <c r="AK98" s="2616">
        <v>0</v>
      </c>
      <c r="AL98" s="2065">
        <f t="shared" si="271"/>
        <v>0.01</v>
      </c>
      <c r="AN98" s="2674">
        <f t="shared" si="251"/>
        <v>-6</v>
      </c>
      <c r="AO98" s="2722" t="e">
        <f>#REF!-O98</f>
        <v>#REF!</v>
      </c>
    </row>
    <row r="99" spans="1:41" s="22" customFormat="1" ht="14.25" thickTop="1" thickBot="1">
      <c r="A99" s="3301"/>
      <c r="B99" s="2666" t="s">
        <v>451</v>
      </c>
      <c r="C99" s="2667">
        <v>220881</v>
      </c>
      <c r="D99" s="2082">
        <f>'Table 6c'!L95</f>
        <v>300</v>
      </c>
      <c r="E99" s="2764">
        <v>300</v>
      </c>
      <c r="F99" s="2670">
        <v>300</v>
      </c>
      <c r="G99" s="2670">
        <v>300</v>
      </c>
      <c r="H99" s="2670">
        <v>300</v>
      </c>
      <c r="I99" s="2670">
        <v>300</v>
      </c>
      <c r="J99" s="2671">
        <v>300</v>
      </c>
      <c r="K99" s="2765">
        <v>300</v>
      </c>
      <c r="L99" s="216">
        <f t="shared" si="241"/>
        <v>0</v>
      </c>
      <c r="M99" s="1006">
        <f>O99-N99</f>
        <v>0.05</v>
      </c>
      <c r="N99" s="2672">
        <v>0</v>
      </c>
      <c r="O99" s="2041">
        <f>'Table 6c'!G95</f>
        <v>0.05</v>
      </c>
      <c r="P99" s="48">
        <f>R99-Q99</f>
        <v>0.05</v>
      </c>
      <c r="Q99" s="2672">
        <v>0</v>
      </c>
      <c r="R99" s="49">
        <f t="shared" si="265"/>
        <v>0.05</v>
      </c>
      <c r="S99" s="48">
        <f>U99-T99</f>
        <v>0.05</v>
      </c>
      <c r="T99" s="2672">
        <v>0</v>
      </c>
      <c r="U99" s="49">
        <f t="shared" si="266"/>
        <v>0.05</v>
      </c>
      <c r="V99" s="48">
        <f>X99-W99</f>
        <v>0.05</v>
      </c>
      <c r="W99" s="2672">
        <v>0</v>
      </c>
      <c r="X99" s="49">
        <f t="shared" si="267"/>
        <v>0.05</v>
      </c>
      <c r="Y99" s="48">
        <f>AA99-Z99</f>
        <v>0.05</v>
      </c>
      <c r="Z99" s="2766">
        <v>0</v>
      </c>
      <c r="AA99" s="49">
        <f t="shared" si="268"/>
        <v>0.05</v>
      </c>
      <c r="AB99" s="48">
        <f>AD99-AC99</f>
        <v>0.05</v>
      </c>
      <c r="AC99" s="2672">
        <v>0</v>
      </c>
      <c r="AD99" s="49">
        <f t="shared" si="269"/>
        <v>0.05</v>
      </c>
      <c r="AE99" s="48">
        <f>AG99-AF99</f>
        <v>0.05</v>
      </c>
      <c r="AF99" s="2672">
        <v>0</v>
      </c>
      <c r="AG99" s="49">
        <f t="shared" si="270"/>
        <v>0.05</v>
      </c>
      <c r="AH99" s="197">
        <f t="shared" si="249"/>
        <v>0</v>
      </c>
      <c r="AI99" s="2568">
        <f>'Table 6c'!P95</f>
        <v>150</v>
      </c>
      <c r="AJ99" s="2673">
        <f>AL99-AK99</f>
        <v>0.05</v>
      </c>
      <c r="AK99" s="2672">
        <v>0</v>
      </c>
      <c r="AL99" s="2041">
        <f t="shared" si="271"/>
        <v>0.05</v>
      </c>
      <c r="AN99" s="2619"/>
      <c r="AO99" s="2607"/>
    </row>
    <row r="100" spans="1:41" s="22" customFormat="1" ht="15.75" customHeight="1">
      <c r="A100" s="3302"/>
      <c r="B100" s="3359" t="s">
        <v>251</v>
      </c>
      <c r="C100" s="3360"/>
      <c r="D100" s="2092">
        <f>SUM(D94:D99)</f>
        <v>1327</v>
      </c>
      <c r="E100" s="2767">
        <f>SUM(E94:E99)</f>
        <v>1340</v>
      </c>
      <c r="F100" s="2768">
        <f>SUM(F94:F99)</f>
        <v>1368</v>
      </c>
      <c r="G100" s="2768">
        <f t="shared" ref="G100:K100" si="280">SUM(G94:G99)</f>
        <v>1386</v>
      </c>
      <c r="H100" s="2768">
        <f t="shared" si="280"/>
        <v>1487</v>
      </c>
      <c r="I100" s="2768">
        <f t="shared" si="280"/>
        <v>1492</v>
      </c>
      <c r="J100" s="2769">
        <f t="shared" si="280"/>
        <v>1503</v>
      </c>
      <c r="K100" s="2769">
        <f t="shared" si="280"/>
        <v>2622</v>
      </c>
      <c r="L100" s="217">
        <f t="shared" si="241"/>
        <v>0.13</v>
      </c>
      <c r="M100" s="35">
        <f>O100-N100</f>
        <v>0.23</v>
      </c>
      <c r="N100" s="2594">
        <v>0</v>
      </c>
      <c r="O100" s="2099">
        <f>SUM(O94:O99)</f>
        <v>0.23</v>
      </c>
      <c r="P100" s="34">
        <f>R100-Q100</f>
        <v>0.18</v>
      </c>
      <c r="Q100" s="2594">
        <v>0</v>
      </c>
      <c r="R100" s="2099">
        <f>SUM(R94:R99)</f>
        <v>0.18</v>
      </c>
      <c r="S100" s="34">
        <f>U100-T100</f>
        <v>0.18</v>
      </c>
      <c r="T100" s="2594">
        <v>0</v>
      </c>
      <c r="U100" s="2099">
        <f>SUM(U94:U99)</f>
        <v>0.18</v>
      </c>
      <c r="V100" s="34">
        <f>X100-W100</f>
        <v>0.18</v>
      </c>
      <c r="W100" s="2594">
        <v>0</v>
      </c>
      <c r="X100" s="2099">
        <f>SUM(X94:X99)</f>
        <v>0.18</v>
      </c>
      <c r="Y100" s="34">
        <f>AA100-Z100</f>
        <v>0.19</v>
      </c>
      <c r="Z100" s="2594">
        <v>0</v>
      </c>
      <c r="AA100" s="2099">
        <f>SUM(AA94:AA99)</f>
        <v>0.19</v>
      </c>
      <c r="AB100" s="34">
        <f>AD100-AC100</f>
        <v>0.2</v>
      </c>
      <c r="AC100" s="2594">
        <v>0</v>
      </c>
      <c r="AD100" s="2099">
        <f>SUM(AD94:AD99)</f>
        <v>0.2</v>
      </c>
      <c r="AE100" s="34">
        <f>AG100-AF100</f>
        <v>0.2</v>
      </c>
      <c r="AF100" s="2594">
        <v>0</v>
      </c>
      <c r="AG100" s="2099">
        <f>SUM(AG94:AG99)</f>
        <v>0.2</v>
      </c>
      <c r="AH100" s="202">
        <f t="shared" si="249"/>
        <v>-0.13</v>
      </c>
      <c r="AI100" s="3041" t="s">
        <v>16</v>
      </c>
      <c r="AJ100" s="2591">
        <f>AL100-AK100</f>
        <v>0.2</v>
      </c>
      <c r="AK100" s="2594">
        <v>0</v>
      </c>
      <c r="AL100" s="2099">
        <f>SUM(AL94:AL99)</f>
        <v>0.2</v>
      </c>
      <c r="AN100" s="2646">
        <f t="shared" si="251"/>
        <v>176</v>
      </c>
      <c r="AO100" s="1624" t="e">
        <f>#REF!-O100</f>
        <v>#REF!</v>
      </c>
    </row>
    <row r="101" spans="1:41" s="22" customFormat="1">
      <c r="A101" s="3300" t="s">
        <v>252</v>
      </c>
      <c r="B101" s="131" t="s">
        <v>452</v>
      </c>
      <c r="C101" s="2770">
        <v>215614</v>
      </c>
      <c r="D101" s="2124">
        <f>'Table 6c'!L97</f>
        <v>30</v>
      </c>
      <c r="E101" s="2771">
        <v>30</v>
      </c>
      <c r="F101" s="2772">
        <v>30</v>
      </c>
      <c r="G101" s="2772">
        <v>30</v>
      </c>
      <c r="H101" s="2772">
        <v>30</v>
      </c>
      <c r="I101" s="2772">
        <v>30</v>
      </c>
      <c r="J101" s="2773">
        <v>30</v>
      </c>
      <c r="K101" s="2774">
        <v>30</v>
      </c>
      <c r="L101" s="2775">
        <f t="shared" si="241"/>
        <v>0</v>
      </c>
      <c r="M101" s="186">
        <f t="shared" ref="M101:M105" si="281">O101-N101</f>
        <v>0.01</v>
      </c>
      <c r="N101" s="2658">
        <v>0</v>
      </c>
      <c r="O101" s="2131">
        <f>'Table 6c'!G97</f>
        <v>0.01</v>
      </c>
      <c r="P101" s="149">
        <f t="shared" ref="P101:P102" si="282">R101-Q101</f>
        <v>0</v>
      </c>
      <c r="Q101" s="2658">
        <v>0</v>
      </c>
      <c r="R101" s="2131">
        <f>E101*AI101/1000000</f>
        <v>0</v>
      </c>
      <c r="S101" s="149">
        <f t="shared" ref="S101:S102" si="283">U101-T101</f>
        <v>0</v>
      </c>
      <c r="T101" s="2658">
        <v>0</v>
      </c>
      <c r="U101" s="2131">
        <f>F101*AI101/1000000</f>
        <v>0</v>
      </c>
      <c r="V101" s="149">
        <f t="shared" ref="V101:V102" si="284">X101-W101</f>
        <v>0</v>
      </c>
      <c r="W101" s="2658">
        <v>0</v>
      </c>
      <c r="X101" s="2131">
        <f>G101*AI101/1000000</f>
        <v>0</v>
      </c>
      <c r="Y101" s="149">
        <f t="shared" ref="Y101:Y102" si="285">AA101-Z101</f>
        <v>0</v>
      </c>
      <c r="Z101" s="2658">
        <v>0</v>
      </c>
      <c r="AA101" s="2131">
        <f>H101*AI101/1000000</f>
        <v>0</v>
      </c>
      <c r="AB101" s="149">
        <f t="shared" ref="AB101:AB102" si="286">AD101-AC101</f>
        <v>0</v>
      </c>
      <c r="AC101" s="2658">
        <v>0</v>
      </c>
      <c r="AD101" s="2131">
        <f>I101*AI101/1000000</f>
        <v>0</v>
      </c>
      <c r="AE101" s="149">
        <f t="shared" ref="AE101:AE102" si="287">AG101-AF101</f>
        <v>0</v>
      </c>
      <c r="AF101" s="2658">
        <v>0</v>
      </c>
      <c r="AG101" s="2131">
        <f>J101*AI101/1000000</f>
        <v>0</v>
      </c>
      <c r="AH101" s="196">
        <f t="shared" si="249"/>
        <v>-1</v>
      </c>
      <c r="AI101" s="2659">
        <f>'Table 6c'!P96</f>
        <v>132</v>
      </c>
      <c r="AJ101" s="2660">
        <f t="shared" ref="AJ101:AJ102" si="288">AL101-AK101</f>
        <v>0</v>
      </c>
      <c r="AK101" s="2658">
        <v>0</v>
      </c>
      <c r="AL101" s="2131">
        <f>AG101*1.06</f>
        <v>0</v>
      </c>
      <c r="AN101" s="2654">
        <f t="shared" si="251"/>
        <v>0</v>
      </c>
      <c r="AO101" s="1625" t="e">
        <f>#REF!-O101</f>
        <v>#REF!</v>
      </c>
    </row>
    <row r="102" spans="1:41" s="22" customFormat="1">
      <c r="A102" s="3301"/>
      <c r="B102" s="2776" t="s">
        <v>453</v>
      </c>
      <c r="C102" s="2777">
        <v>217482</v>
      </c>
      <c r="D102" s="2778">
        <f>'Table 6c'!K98</f>
        <v>18</v>
      </c>
      <c r="E102" s="2779">
        <v>18</v>
      </c>
      <c r="F102" s="2780">
        <v>18</v>
      </c>
      <c r="G102" s="2780">
        <v>18</v>
      </c>
      <c r="H102" s="2780">
        <v>18</v>
      </c>
      <c r="I102" s="2780">
        <v>18</v>
      </c>
      <c r="J102" s="2781">
        <v>18</v>
      </c>
      <c r="K102" s="2782">
        <v>18</v>
      </c>
      <c r="L102" s="217">
        <f t="shared" si="241"/>
        <v>0</v>
      </c>
      <c r="M102" s="2783">
        <f t="shared" si="281"/>
        <v>0</v>
      </c>
      <c r="N102" s="2784">
        <v>0</v>
      </c>
      <c r="O102" s="2099">
        <f>'Table 6c'!G98</f>
        <v>0</v>
      </c>
      <c r="P102" s="2785">
        <f t="shared" si="282"/>
        <v>0</v>
      </c>
      <c r="Q102" s="2784">
        <v>0</v>
      </c>
      <c r="R102" s="2099">
        <f>E102*AI102/1000000</f>
        <v>0</v>
      </c>
      <c r="S102" s="2785">
        <f t="shared" si="283"/>
        <v>0</v>
      </c>
      <c r="T102" s="2784">
        <v>0</v>
      </c>
      <c r="U102" s="2099">
        <f>F102*AI102/1000000</f>
        <v>0</v>
      </c>
      <c r="V102" s="2785">
        <f t="shared" si="284"/>
        <v>0</v>
      </c>
      <c r="W102" s="2784">
        <v>0</v>
      </c>
      <c r="X102" s="2099">
        <f>G102*AI102/1000000</f>
        <v>0</v>
      </c>
      <c r="Y102" s="2785">
        <f t="shared" si="285"/>
        <v>0</v>
      </c>
      <c r="Z102" s="2784">
        <v>0</v>
      </c>
      <c r="AA102" s="2099">
        <f>H102*AI102/1000000</f>
        <v>0</v>
      </c>
      <c r="AB102" s="2785">
        <f t="shared" si="286"/>
        <v>0</v>
      </c>
      <c r="AC102" s="2784">
        <v>0</v>
      </c>
      <c r="AD102" s="2099">
        <f>I102*AI102/1000000</f>
        <v>0</v>
      </c>
      <c r="AE102" s="2785">
        <f t="shared" si="287"/>
        <v>0</v>
      </c>
      <c r="AF102" s="2784">
        <v>0</v>
      </c>
      <c r="AG102" s="2099">
        <f>J102*AI102/1000000</f>
        <v>0</v>
      </c>
      <c r="AH102" s="2786" t="s">
        <v>16</v>
      </c>
      <c r="AI102" s="2787">
        <f>'Table 6c'!P97</f>
        <v>200</v>
      </c>
      <c r="AJ102" s="2788">
        <f t="shared" si="288"/>
        <v>0</v>
      </c>
      <c r="AK102" s="2784">
        <v>0</v>
      </c>
      <c r="AL102" s="2099">
        <f>AG102*1.06</f>
        <v>0</v>
      </c>
      <c r="AN102" s="2789">
        <f t="shared" si="251"/>
        <v>0</v>
      </c>
      <c r="AO102" s="2790" t="e">
        <f>#REF!-O102</f>
        <v>#REF!</v>
      </c>
    </row>
    <row r="103" spans="1:41" s="22" customFormat="1">
      <c r="A103" s="3302"/>
      <c r="B103" s="3359" t="s">
        <v>261</v>
      </c>
      <c r="C103" s="3360"/>
      <c r="D103" s="2092">
        <f>D101+D102</f>
        <v>48</v>
      </c>
      <c r="E103" s="2791">
        <f t="shared" ref="E103:K103" si="289">E101+E102</f>
        <v>48</v>
      </c>
      <c r="F103" s="2648">
        <f t="shared" si="289"/>
        <v>48</v>
      </c>
      <c r="G103" s="2648">
        <f t="shared" si="289"/>
        <v>48</v>
      </c>
      <c r="H103" s="2648">
        <f t="shared" si="289"/>
        <v>48</v>
      </c>
      <c r="I103" s="2648">
        <f t="shared" si="289"/>
        <v>48</v>
      </c>
      <c r="J103" s="2792">
        <f t="shared" si="289"/>
        <v>48</v>
      </c>
      <c r="K103" s="2769">
        <f t="shared" si="289"/>
        <v>48</v>
      </c>
      <c r="L103" s="217">
        <f t="shared" si="241"/>
        <v>0</v>
      </c>
      <c r="M103" s="35">
        <f>M101+M102</f>
        <v>0.01</v>
      </c>
      <c r="N103" s="2594">
        <f t="shared" ref="N103:AG103" si="290">N101+N102</f>
        <v>0</v>
      </c>
      <c r="O103" s="2099">
        <f t="shared" si="290"/>
        <v>0.01</v>
      </c>
      <c r="P103" s="34">
        <f t="shared" si="290"/>
        <v>0</v>
      </c>
      <c r="Q103" s="2594">
        <f t="shared" si="290"/>
        <v>0</v>
      </c>
      <c r="R103" s="2099">
        <f t="shared" si="290"/>
        <v>0</v>
      </c>
      <c r="S103" s="34">
        <f t="shared" si="290"/>
        <v>0</v>
      </c>
      <c r="T103" s="2594">
        <f t="shared" si="290"/>
        <v>0</v>
      </c>
      <c r="U103" s="2099">
        <f t="shared" si="290"/>
        <v>0</v>
      </c>
      <c r="V103" s="34">
        <f t="shared" si="290"/>
        <v>0</v>
      </c>
      <c r="W103" s="2594">
        <f t="shared" si="290"/>
        <v>0</v>
      </c>
      <c r="X103" s="2099">
        <f t="shared" si="290"/>
        <v>0</v>
      </c>
      <c r="Y103" s="34">
        <f t="shared" si="290"/>
        <v>0</v>
      </c>
      <c r="Z103" s="2594">
        <f t="shared" si="290"/>
        <v>0</v>
      </c>
      <c r="AA103" s="2099">
        <f t="shared" si="290"/>
        <v>0</v>
      </c>
      <c r="AB103" s="34">
        <f t="shared" si="290"/>
        <v>0</v>
      </c>
      <c r="AC103" s="2594">
        <f t="shared" si="290"/>
        <v>0</v>
      </c>
      <c r="AD103" s="2099">
        <f t="shared" si="290"/>
        <v>0</v>
      </c>
      <c r="AE103" s="34">
        <f t="shared" si="290"/>
        <v>0</v>
      </c>
      <c r="AF103" s="2594">
        <f t="shared" si="290"/>
        <v>0</v>
      </c>
      <c r="AG103" s="2099">
        <f t="shared" si="290"/>
        <v>0</v>
      </c>
      <c r="AH103" s="202">
        <f>(AG103-O103)/O103</f>
        <v>-1</v>
      </c>
      <c r="AI103" s="3041" t="s">
        <v>16</v>
      </c>
      <c r="AJ103" s="2591">
        <f t="shared" ref="AJ103" si="291">AJ101+AJ102</f>
        <v>0</v>
      </c>
      <c r="AK103" s="2594">
        <f t="shared" ref="AK103" si="292">AK101+AK102</f>
        <v>0</v>
      </c>
      <c r="AL103" s="2099">
        <f t="shared" ref="AL103" si="293">AL101+AL102</f>
        <v>0</v>
      </c>
      <c r="AN103" s="2646">
        <f t="shared" si="251"/>
        <v>0</v>
      </c>
      <c r="AO103" s="1624" t="e">
        <f>#REF!-O103</f>
        <v>#REF!</v>
      </c>
    </row>
    <row r="104" spans="1:41" s="22" customFormat="1" ht="13.5" customHeight="1">
      <c r="A104" s="3300" t="s">
        <v>262</v>
      </c>
      <c r="B104" s="131" t="s">
        <v>454</v>
      </c>
      <c r="C104" s="2770">
        <v>221616</v>
      </c>
      <c r="D104" s="2124">
        <f>'Table 6c'!L100</f>
        <v>41</v>
      </c>
      <c r="E104" s="2771">
        <v>48</v>
      </c>
      <c r="F104" s="2772">
        <v>48</v>
      </c>
      <c r="G104" s="2772">
        <v>48</v>
      </c>
      <c r="H104" s="2772">
        <v>48</v>
      </c>
      <c r="I104" s="2772">
        <v>48</v>
      </c>
      <c r="J104" s="2773">
        <v>48</v>
      </c>
      <c r="K104" s="2774">
        <v>49</v>
      </c>
      <c r="L104" s="2775">
        <f t="shared" si="241"/>
        <v>0.17</v>
      </c>
      <c r="M104" s="186">
        <f t="shared" si="281"/>
        <v>0</v>
      </c>
      <c r="N104" s="2658">
        <v>0</v>
      </c>
      <c r="O104" s="2131">
        <f>'Table 6c'!G100</f>
        <v>0</v>
      </c>
      <c r="P104" s="149">
        <f t="shared" ref="P104:P105" si="294">R104-Q104</f>
        <v>0</v>
      </c>
      <c r="Q104" s="2658">
        <v>0</v>
      </c>
      <c r="R104" s="2131">
        <f>E104*AI104/1000000</f>
        <v>0</v>
      </c>
      <c r="S104" s="149">
        <f t="shared" ref="S104:S105" si="295">U104-T104</f>
        <v>0</v>
      </c>
      <c r="T104" s="2658">
        <v>0</v>
      </c>
      <c r="U104" s="2131">
        <f>F104*AI104/1000000</f>
        <v>0</v>
      </c>
      <c r="V104" s="149">
        <f t="shared" ref="V104:V105" si="296">X104-W104</f>
        <v>0</v>
      </c>
      <c r="W104" s="2658">
        <v>0</v>
      </c>
      <c r="X104" s="2131">
        <f>G104*AI104/1000000</f>
        <v>0</v>
      </c>
      <c r="Y104" s="149">
        <f t="shared" ref="Y104:Y105" si="297">AA104-Z104</f>
        <v>0</v>
      </c>
      <c r="Z104" s="2658">
        <v>0</v>
      </c>
      <c r="AA104" s="2131">
        <f>H104*AI104/1000000</f>
        <v>0</v>
      </c>
      <c r="AB104" s="149">
        <f t="shared" ref="AB104:AB105" si="298">AD104-AC104</f>
        <v>0</v>
      </c>
      <c r="AC104" s="2658">
        <v>0</v>
      </c>
      <c r="AD104" s="2131">
        <f>I104*AI104/1000000</f>
        <v>0</v>
      </c>
      <c r="AE104" s="149">
        <f t="shared" ref="AE104:AE105" si="299">AG104-AF104</f>
        <v>0</v>
      </c>
      <c r="AF104" s="2658">
        <v>0</v>
      </c>
      <c r="AG104" s="2131">
        <f>J104*AI104/1000000</f>
        <v>0</v>
      </c>
      <c r="AH104" s="218" t="s">
        <v>16</v>
      </c>
      <c r="AI104" s="2659">
        <f>'Table 6c'!P100</f>
        <v>67</v>
      </c>
      <c r="AJ104" s="2660">
        <f t="shared" ref="AJ104:AJ105" si="300">AL104-AK104</f>
        <v>0</v>
      </c>
      <c r="AK104" s="2658">
        <v>0</v>
      </c>
      <c r="AL104" s="2131">
        <f>AG104*1.06</f>
        <v>0</v>
      </c>
      <c r="AN104" s="2654">
        <f t="shared" si="251"/>
        <v>7</v>
      </c>
      <c r="AO104" s="1625" t="e">
        <f>#REF!-O104</f>
        <v>#REF!</v>
      </c>
    </row>
    <row r="105" spans="1:41" s="22" customFormat="1">
      <c r="A105" s="3301"/>
      <c r="B105" s="2776" t="s">
        <v>455</v>
      </c>
      <c r="C105" s="2777">
        <v>215763</v>
      </c>
      <c r="D105" s="2793">
        <f>'Table 6c'!L101</f>
        <v>48</v>
      </c>
      <c r="E105" s="2794">
        <v>48</v>
      </c>
      <c r="F105" s="2795">
        <v>48</v>
      </c>
      <c r="G105" s="2795">
        <v>48</v>
      </c>
      <c r="H105" s="2795">
        <v>48</v>
      </c>
      <c r="I105" s="2795">
        <v>48</v>
      </c>
      <c r="J105" s="2796">
        <v>48</v>
      </c>
      <c r="K105" s="2797">
        <v>48</v>
      </c>
      <c r="L105" s="2798">
        <f t="shared" si="241"/>
        <v>0</v>
      </c>
      <c r="M105" s="2639">
        <f t="shared" si="281"/>
        <v>0.01</v>
      </c>
      <c r="N105" s="2640">
        <v>0</v>
      </c>
      <c r="O105" s="2641">
        <f>'Table 6c'!G101</f>
        <v>0.01</v>
      </c>
      <c r="P105" s="136">
        <f t="shared" si="294"/>
        <v>0.01</v>
      </c>
      <c r="Q105" s="2640">
        <v>0</v>
      </c>
      <c r="R105" s="2641">
        <f>E105*AI105/1000000</f>
        <v>0.01</v>
      </c>
      <c r="S105" s="136">
        <f t="shared" si="295"/>
        <v>0.01</v>
      </c>
      <c r="T105" s="2640">
        <v>0</v>
      </c>
      <c r="U105" s="2641">
        <f>F105*AI105/1000000</f>
        <v>0.01</v>
      </c>
      <c r="V105" s="136">
        <f t="shared" si="296"/>
        <v>0.01</v>
      </c>
      <c r="W105" s="2640">
        <v>0</v>
      </c>
      <c r="X105" s="2641">
        <f>G105*AI105/1000000</f>
        <v>0.01</v>
      </c>
      <c r="Y105" s="136">
        <f t="shared" si="297"/>
        <v>0.01</v>
      </c>
      <c r="Z105" s="2640">
        <v>0</v>
      </c>
      <c r="AA105" s="2641">
        <f>H105*AI105/1000000</f>
        <v>0.01</v>
      </c>
      <c r="AB105" s="136">
        <f t="shared" si="298"/>
        <v>0.01</v>
      </c>
      <c r="AC105" s="2640">
        <v>0</v>
      </c>
      <c r="AD105" s="2641">
        <f>I105*AI105/1000000</f>
        <v>0.01</v>
      </c>
      <c r="AE105" s="136">
        <f t="shared" si="299"/>
        <v>0.01</v>
      </c>
      <c r="AF105" s="2640">
        <v>0</v>
      </c>
      <c r="AG105" s="2641">
        <f>J105*AI105/1000000</f>
        <v>0.01</v>
      </c>
      <c r="AH105" s="230">
        <f>(AG105-O105)/O105</f>
        <v>0</v>
      </c>
      <c r="AI105" s="2799">
        <f>'Table 6c'!P101</f>
        <v>146</v>
      </c>
      <c r="AJ105" s="2642">
        <f t="shared" si="300"/>
        <v>0.01</v>
      </c>
      <c r="AK105" s="2640">
        <v>0</v>
      </c>
      <c r="AL105" s="2641">
        <f>AG105*1.06</f>
        <v>0.01</v>
      </c>
      <c r="AN105" s="2634">
        <f t="shared" si="251"/>
        <v>0</v>
      </c>
      <c r="AO105" s="2722" t="e">
        <f>#REF!-O105</f>
        <v>#REF!</v>
      </c>
    </row>
    <row r="106" spans="1:41" s="22" customFormat="1">
      <c r="A106" s="3302"/>
      <c r="B106" s="3359" t="s">
        <v>266</v>
      </c>
      <c r="C106" s="3360"/>
      <c r="D106" s="2092">
        <f>SUM(D104:D105)</f>
        <v>89</v>
      </c>
      <c r="E106" s="2791">
        <f t="shared" ref="E106:K106" si="301">SUM(E104:E105)</f>
        <v>96</v>
      </c>
      <c r="F106" s="2648">
        <f t="shared" si="301"/>
        <v>96</v>
      </c>
      <c r="G106" s="2648">
        <f t="shared" si="301"/>
        <v>96</v>
      </c>
      <c r="H106" s="2648">
        <f t="shared" si="301"/>
        <v>96</v>
      </c>
      <c r="I106" s="2648">
        <f t="shared" si="301"/>
        <v>96</v>
      </c>
      <c r="J106" s="2792">
        <f t="shared" si="301"/>
        <v>96</v>
      </c>
      <c r="K106" s="2769">
        <f t="shared" si="301"/>
        <v>97</v>
      </c>
      <c r="L106" s="217">
        <f t="shared" si="241"/>
        <v>0.08</v>
      </c>
      <c r="M106" s="35">
        <f t="shared" ref="M106" si="302">SUM(M104:M105)</f>
        <v>0.01</v>
      </c>
      <c r="N106" s="2594">
        <f t="shared" ref="N106" si="303">SUM(N104:N105)</f>
        <v>0</v>
      </c>
      <c r="O106" s="2099">
        <f t="shared" ref="O106" si="304">SUM(O104:O105)</f>
        <v>0.01</v>
      </c>
      <c r="P106" s="34">
        <f t="shared" ref="P106" si="305">SUM(P104:P105)</f>
        <v>0.01</v>
      </c>
      <c r="Q106" s="2594">
        <f t="shared" ref="Q106" si="306">SUM(Q104:Q105)</f>
        <v>0</v>
      </c>
      <c r="R106" s="2099">
        <f t="shared" ref="R106" si="307">SUM(R104:R105)</f>
        <v>0.01</v>
      </c>
      <c r="S106" s="34">
        <f t="shared" ref="S106" si="308">SUM(S104:S105)</f>
        <v>0.01</v>
      </c>
      <c r="T106" s="2594">
        <f t="shared" ref="T106" si="309">SUM(T104:T105)</f>
        <v>0</v>
      </c>
      <c r="U106" s="2099">
        <f t="shared" ref="U106" si="310">SUM(U104:U105)</f>
        <v>0.01</v>
      </c>
      <c r="V106" s="34">
        <f t="shared" ref="V106" si="311">SUM(V104:V105)</f>
        <v>0.01</v>
      </c>
      <c r="W106" s="2594">
        <f t="shared" ref="W106" si="312">SUM(W104:W105)</f>
        <v>0</v>
      </c>
      <c r="X106" s="2099">
        <f t="shared" ref="X106" si="313">SUM(X104:X105)</f>
        <v>0.01</v>
      </c>
      <c r="Y106" s="34">
        <f t="shared" ref="Y106" si="314">SUM(Y104:Y105)</f>
        <v>0.01</v>
      </c>
      <c r="Z106" s="2594">
        <f t="shared" ref="Z106" si="315">SUM(Z104:Z105)</f>
        <v>0</v>
      </c>
      <c r="AA106" s="2099">
        <f t="shared" ref="AA106" si="316">SUM(AA104:AA105)</f>
        <v>0.01</v>
      </c>
      <c r="AB106" s="34">
        <f t="shared" ref="AB106" si="317">SUM(AB104:AB105)</f>
        <v>0.01</v>
      </c>
      <c r="AC106" s="2594">
        <f t="shared" ref="AC106" si="318">SUM(AC104:AC105)</f>
        <v>0</v>
      </c>
      <c r="AD106" s="2099">
        <f t="shared" ref="AD106" si="319">SUM(AD104:AD105)</f>
        <v>0.01</v>
      </c>
      <c r="AE106" s="34">
        <f t="shared" ref="AE106" si="320">SUM(AE104:AE105)</f>
        <v>0.01</v>
      </c>
      <c r="AF106" s="2594">
        <f t="shared" ref="AF106" si="321">SUM(AF104:AF105)</f>
        <v>0</v>
      </c>
      <c r="AG106" s="2099">
        <f t="shared" ref="AG106" si="322">SUM(AG104:AG105)</f>
        <v>0.01</v>
      </c>
      <c r="AH106" s="202">
        <f>(AG106-O106)/O106</f>
        <v>0</v>
      </c>
      <c r="AI106" s="3041">
        <f t="shared" ref="AI106" si="323">SUM(AI104:AI105)</f>
        <v>213</v>
      </c>
      <c r="AJ106" s="2591">
        <f t="shared" ref="AJ106" si="324">SUM(AJ104:AJ105)</f>
        <v>0.01</v>
      </c>
      <c r="AK106" s="2594">
        <f t="shared" ref="AK106" si="325">SUM(AK104:AK105)</f>
        <v>0</v>
      </c>
      <c r="AL106" s="2099">
        <f t="shared" ref="AL106" si="326">SUM(AL104:AL105)</f>
        <v>0.01</v>
      </c>
      <c r="AN106" s="2646">
        <f t="shared" si="251"/>
        <v>7</v>
      </c>
      <c r="AO106" s="1624" t="e">
        <f>#REF!-O106</f>
        <v>#REF!</v>
      </c>
    </row>
    <row r="107" spans="1:41">
      <c r="A107" s="3221" t="s">
        <v>52</v>
      </c>
      <c r="B107" s="3222"/>
      <c r="C107" s="3222"/>
      <c r="D107" s="2092">
        <f>D100+D91+D93+D103+D106</f>
        <v>1776</v>
      </c>
      <c r="E107" s="2092">
        <f t="shared" ref="E107:K107" si="327">E100+E91+E93+E103+E106</f>
        <v>1796</v>
      </c>
      <c r="F107" s="2092">
        <f t="shared" si="327"/>
        <v>1827</v>
      </c>
      <c r="G107" s="2092">
        <f t="shared" si="327"/>
        <v>1847</v>
      </c>
      <c r="H107" s="2092">
        <f t="shared" si="327"/>
        <v>1951</v>
      </c>
      <c r="I107" s="2092">
        <f t="shared" si="327"/>
        <v>1958</v>
      </c>
      <c r="J107" s="2092">
        <f t="shared" si="327"/>
        <v>1969</v>
      </c>
      <c r="K107" s="2092">
        <f t="shared" si="327"/>
        <v>2920</v>
      </c>
      <c r="L107" s="217">
        <f t="shared" si="241"/>
        <v>0.11</v>
      </c>
      <c r="M107" s="35">
        <f>M100+M91+M93+M103+M106</f>
        <v>0.31</v>
      </c>
      <c r="N107" s="35">
        <f t="shared" ref="N107:AG107" si="328">N100+N91+N93+N103+N106</f>
        <v>0</v>
      </c>
      <c r="O107" s="35">
        <f t="shared" si="328"/>
        <v>0.31</v>
      </c>
      <c r="P107" s="35">
        <f t="shared" si="328"/>
        <v>0.26</v>
      </c>
      <c r="Q107" s="35">
        <f t="shared" si="328"/>
        <v>0</v>
      </c>
      <c r="R107" s="35">
        <f t="shared" si="328"/>
        <v>0.26</v>
      </c>
      <c r="S107" s="35">
        <f t="shared" si="328"/>
        <v>0.26</v>
      </c>
      <c r="T107" s="35">
        <f t="shared" si="328"/>
        <v>0</v>
      </c>
      <c r="U107" s="35">
        <f t="shared" si="328"/>
        <v>0.26</v>
      </c>
      <c r="V107" s="35">
        <f t="shared" si="328"/>
        <v>0.26</v>
      </c>
      <c r="W107" s="35">
        <f t="shared" si="328"/>
        <v>0</v>
      </c>
      <c r="X107" s="35">
        <f t="shared" si="328"/>
        <v>0.26</v>
      </c>
      <c r="Y107" s="35">
        <f t="shared" si="328"/>
        <v>0.27</v>
      </c>
      <c r="Z107" s="35">
        <f t="shared" si="328"/>
        <v>0</v>
      </c>
      <c r="AA107" s="35">
        <f t="shared" si="328"/>
        <v>0.27</v>
      </c>
      <c r="AB107" s="35">
        <f t="shared" si="328"/>
        <v>0.28000000000000003</v>
      </c>
      <c r="AC107" s="35">
        <f t="shared" si="328"/>
        <v>0</v>
      </c>
      <c r="AD107" s="35">
        <f t="shared" si="328"/>
        <v>0.28000000000000003</v>
      </c>
      <c r="AE107" s="35">
        <f t="shared" si="328"/>
        <v>0.28000000000000003</v>
      </c>
      <c r="AF107" s="35">
        <f t="shared" si="328"/>
        <v>0</v>
      </c>
      <c r="AG107" s="35">
        <f t="shared" si="328"/>
        <v>0.28000000000000003</v>
      </c>
      <c r="AH107" s="202">
        <f>(AG107-O107)/O107</f>
        <v>-0.1</v>
      </c>
      <c r="AI107" s="3041" t="s">
        <v>16</v>
      </c>
      <c r="AJ107" s="2591">
        <f>AJ100+AJ91+AJ93+AJ103+AJ106</f>
        <v>0.28000000000000003</v>
      </c>
      <c r="AK107" s="2591">
        <f t="shared" ref="AK107:AL107" si="329">AK100+AK91+AK93+AK103+AK106</f>
        <v>0</v>
      </c>
      <c r="AL107" s="2591">
        <f t="shared" si="329"/>
        <v>0.28000000000000003</v>
      </c>
      <c r="AN107" s="2646">
        <f t="shared" si="251"/>
        <v>193</v>
      </c>
      <c r="AO107" s="1624" t="e">
        <f>#REF!-O107</f>
        <v>#REF!</v>
      </c>
    </row>
    <row r="108" spans="1:41">
      <c r="A108" s="89" t="s">
        <v>35</v>
      </c>
    </row>
    <row r="109" spans="1:41">
      <c r="A109" s="1" t="s">
        <v>68</v>
      </c>
      <c r="E109" s="1" t="s">
        <v>36</v>
      </c>
      <c r="N109" s="1" t="s">
        <v>36</v>
      </c>
    </row>
    <row r="110" spans="1:41">
      <c r="A110" s="1" t="s">
        <v>69</v>
      </c>
      <c r="D110" s="1" t="s">
        <v>36</v>
      </c>
    </row>
    <row r="111" spans="1:41">
      <c r="A111" s="1" t="s">
        <v>378</v>
      </c>
    </row>
    <row r="112" spans="1:41">
      <c r="A112" s="1" t="s">
        <v>40</v>
      </c>
      <c r="AF112" s="2748" t="s">
        <v>36</v>
      </c>
      <c r="AJ112" s="22" t="s">
        <v>36</v>
      </c>
    </row>
    <row r="113" spans="1:10">
      <c r="A113" s="1" t="s">
        <v>267</v>
      </c>
    </row>
    <row r="114" spans="1:10">
      <c r="A114" s="1" t="s">
        <v>268</v>
      </c>
    </row>
    <row r="116" spans="1:10">
      <c r="J116" s="1" t="s">
        <v>36</v>
      </c>
    </row>
  </sheetData>
  <mergeCells count="80">
    <mergeCell ref="B37:C37"/>
    <mergeCell ref="A36:A37"/>
    <mergeCell ref="AB3:AD3"/>
    <mergeCell ref="AI2:AI4"/>
    <mergeCell ref="AH2:AH4"/>
    <mergeCell ref="A5:A8"/>
    <mergeCell ref="A9:A12"/>
    <mergeCell ref="D2:D3"/>
    <mergeCell ref="A2:A4"/>
    <mergeCell ref="AE3:AG3"/>
    <mergeCell ref="P2:AG2"/>
    <mergeCell ref="E2:J3"/>
    <mergeCell ref="M2:O2"/>
    <mergeCell ref="L2:L4"/>
    <mergeCell ref="B8:C8"/>
    <mergeCell ref="B12:C12"/>
    <mergeCell ref="B35:C35"/>
    <mergeCell ref="A13:A16"/>
    <mergeCell ref="B16:C16"/>
    <mergeCell ref="C2:C4"/>
    <mergeCell ref="A17:A34"/>
    <mergeCell ref="K2:K4"/>
    <mergeCell ref="B2:B4"/>
    <mergeCell ref="M3:O3"/>
    <mergeCell ref="P3:R3"/>
    <mergeCell ref="Y3:AA3"/>
    <mergeCell ref="S3:U3"/>
    <mergeCell ref="V3:X3"/>
    <mergeCell ref="A73:C73"/>
    <mergeCell ref="A74:C74"/>
    <mergeCell ref="A45:A56"/>
    <mergeCell ref="A72:C72"/>
    <mergeCell ref="B41:C41"/>
    <mergeCell ref="A38:A41"/>
    <mergeCell ref="B56:C56"/>
    <mergeCell ref="A57:A61"/>
    <mergeCell ref="B61:C61"/>
    <mergeCell ref="A62:A66"/>
    <mergeCell ref="B66:C66"/>
    <mergeCell ref="A67:A71"/>
    <mergeCell ref="B71:C71"/>
    <mergeCell ref="B44:C44"/>
    <mergeCell ref="A42:A44"/>
    <mergeCell ref="A107:C107"/>
    <mergeCell ref="A84:A86"/>
    <mergeCell ref="B84:B86"/>
    <mergeCell ref="C84:C86"/>
    <mergeCell ref="A104:A106"/>
    <mergeCell ref="B106:C106"/>
    <mergeCell ref="A92:A93"/>
    <mergeCell ref="B93:C93"/>
    <mergeCell ref="A87:A91"/>
    <mergeCell ref="D84:D85"/>
    <mergeCell ref="B100:C100"/>
    <mergeCell ref="B91:C91"/>
    <mergeCell ref="B103:C103"/>
    <mergeCell ref="A101:A103"/>
    <mergeCell ref="A94:A100"/>
    <mergeCell ref="AB85:AD85"/>
    <mergeCell ref="AE85:AG85"/>
    <mergeCell ref="AJ85:AL85"/>
    <mergeCell ref="E84:J85"/>
    <mergeCell ref="K84:K86"/>
    <mergeCell ref="L84:L86"/>
    <mergeCell ref="M84:O84"/>
    <mergeCell ref="P84:AG84"/>
    <mergeCell ref="M85:O85"/>
    <mergeCell ref="P85:R85"/>
    <mergeCell ref="S85:U85"/>
    <mergeCell ref="V85:X85"/>
    <mergeCell ref="Y85:AA85"/>
    <mergeCell ref="AN2:AN4"/>
    <mergeCell ref="AO2:AO4"/>
    <mergeCell ref="AN84:AN86"/>
    <mergeCell ref="AO84:AO86"/>
    <mergeCell ref="AH84:AH86"/>
    <mergeCell ref="AI84:AI86"/>
    <mergeCell ref="AJ84:AL84"/>
    <mergeCell ref="AJ2:AL2"/>
    <mergeCell ref="AJ3:AL3"/>
  </mergeCells>
  <pageMargins left="0.7" right="0.7" top="0.75" bottom="0.75" header="0.3" footer="0.3"/>
  <pageSetup paperSize="3" scale="48" pageOrder="overThenDown"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D4E5696D99DC4E9AFA5918DF7462FE" ma:contentTypeVersion="13" ma:contentTypeDescription="Create a new document." ma:contentTypeScope="" ma:versionID="fd23a89e1d58028c62fe26222d4b8d53">
  <xsd:schema xmlns:xsd="http://www.w3.org/2001/XMLSchema" xmlns:xs="http://www.w3.org/2001/XMLSchema" xmlns:p="http://schemas.microsoft.com/office/2006/metadata/properties" xmlns:ns2="17f6a3d9-f8ee-4e56-91c8-a9a8b8cf4352" xmlns:ns3="1aaa356f-be21-4b9b-aa5f-a6e34ce08549" targetNamespace="http://schemas.microsoft.com/office/2006/metadata/properties" ma:root="true" ma:fieldsID="c89493ecd2d0cd0d083825c622cd5698" ns2:_="" ns3:_="">
    <xsd:import namespace="17f6a3d9-f8ee-4e56-91c8-a9a8b8cf4352"/>
    <xsd:import namespace="1aaa356f-be21-4b9b-aa5f-a6e34ce0854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f6a3d9-f8ee-4e56-91c8-a9a8b8cf435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aa356f-be21-4b9b-aa5f-a6e34ce0854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9FCA94-33C2-47DD-A120-456276CD388E}"/>
</file>

<file path=customXml/itemProps2.xml><?xml version="1.0" encoding="utf-8"?>
<ds:datastoreItem xmlns:ds="http://schemas.openxmlformats.org/officeDocument/2006/customXml" ds:itemID="{A3B43E09-D8E6-4D46-B7E7-EEC0BC060E67}"/>
</file>

<file path=customXml/itemProps3.xml><?xml version="1.0" encoding="utf-8"?>
<ds:datastoreItem xmlns:ds="http://schemas.openxmlformats.org/officeDocument/2006/customXml" ds:itemID="{C3823C05-2B92-4C5F-A88E-2AB3D064C1FE}"/>
</file>

<file path=docProps/app.xml><?xml version="1.0" encoding="utf-8"?>
<Properties xmlns="http://schemas.openxmlformats.org/officeDocument/2006/extended-properties" xmlns:vt="http://schemas.openxmlformats.org/officeDocument/2006/docPropsVTypes">
  <Application>Microsoft Excel Online</Application>
  <Manager/>
  <Company>SJRWMD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tbader</dc:creator>
  <cp:keywords/>
  <dc:description/>
  <cp:lastModifiedBy>Rebecca May</cp:lastModifiedBy>
  <cp:revision/>
  <dcterms:created xsi:type="dcterms:W3CDTF">2010-01-15T15:19:41Z</dcterms:created>
  <dcterms:modified xsi:type="dcterms:W3CDTF">2021-11-03T14:53:34Z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0x010100FCD4E5696D99DC4E9AFA5918DF7462FE</vt:lpwstr>
  </property>
</Properties>
</file>