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28"/>
  <workbookPr defaultThemeVersion="124226"/>
  <mc:AlternateContent xmlns:mc="http://schemas.openxmlformats.org/markup-compatibility/2006">
    <mc:Choice Requires="x15">
      <x15ac:absPath xmlns:x15ac="http://schemas.microsoft.com/office/spreadsheetml/2010/11/ac" url="https://floridaswater.sharepoint.com/sites/nfrwsp/Shared Documents/Regional Water Supply Planning/2020 - 2045 NF Regional Water Supply Plan/Data/Projections &amp; Geodatabase/"/>
    </mc:Choice>
  </mc:AlternateContent>
  <xr:revisionPtr revIDLastSave="2304" documentId="8_{D846E3BE-0BC0-488A-BD16-BB0E2E45B3EC}" xr6:coauthVersionLast="47" xr6:coauthVersionMax="47" xr10:uidLastSave="{7803BA8E-0FAA-4D7E-8F37-64EAF322D558}"/>
  <bookViews>
    <workbookView xWindow="-120" yWindow="-120" windowWidth="29040" windowHeight="15840" tabRatio="808" activeTab="9" xr2:uid="{00000000-000D-0000-FFFF-FFFF00000000}"/>
  </bookViews>
  <sheets>
    <sheet name="Table 1" sheetId="3" r:id="rId1"/>
    <sheet name="Table 2" sheetId="4" r:id="rId2"/>
    <sheet name="Table 3" sheetId="6" r:id="rId3"/>
    <sheet name="Table 4" sheetId="7" r:id="rId4"/>
    <sheet name="Table 5" sheetId="18" r:id="rId5"/>
    <sheet name="Table 5a" sheetId="20" r:id="rId6"/>
    <sheet name="Table 6" sheetId="8" r:id="rId7"/>
    <sheet name="Table 6a" sheetId="24" r:id="rId8"/>
    <sheet name="Table 6b" sheetId="23" r:id="rId9"/>
    <sheet name="Table 6c" sheetId="22" r:id="rId10"/>
    <sheet name="Table 7" sheetId="11" r:id="rId11"/>
    <sheet name="Table 7a " sheetId="31" r:id="rId12"/>
    <sheet name="Table 7b" sheetId="30" r:id="rId13"/>
    <sheet name="Table 8" sheetId="12" r:id="rId14"/>
    <sheet name="Table 8a" sheetId="26" r:id="rId15"/>
    <sheet name="Table 9" sheetId="13" r:id="rId16"/>
    <sheet name="Table 9a" sheetId="28" r:id="rId17"/>
    <sheet name="Table 10" sheetId="14" r:id="rId18"/>
    <sheet name="Table 10a" sheetId="15" r:id="rId19"/>
    <sheet name="Table 10b" sheetId="29" r:id="rId20"/>
    <sheet name="Table 11" sheetId="9" r:id="rId21"/>
    <sheet name="Table 12" sheetId="32" r:id="rId22"/>
  </sheets>
  <definedNames>
    <definedName name="_xlnm._FilterDatabase" localSheetId="5" hidden="1">'Table 5a'!#REF!</definedName>
    <definedName name="_xlnm.Print_Titles" localSheetId="10">'Table 7'!$A:$A</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3" i="22" l="1"/>
  <c r="N73" i="22"/>
  <c r="M73" i="22"/>
  <c r="L73" i="22"/>
  <c r="K73" i="22"/>
  <c r="J73" i="22"/>
  <c r="I73" i="22"/>
  <c r="H73" i="22"/>
  <c r="G73" i="22"/>
  <c r="F73" i="22"/>
  <c r="AK22" i="7"/>
  <c r="AK20" i="7"/>
  <c r="AK14" i="7"/>
  <c r="AA22" i="6"/>
  <c r="AA20" i="6"/>
  <c r="AA14" i="6"/>
  <c r="W22" i="6"/>
  <c r="W20" i="6"/>
  <c r="W14" i="6"/>
  <c r="T22" i="6"/>
  <c r="T20" i="6"/>
  <c r="T14" i="6"/>
  <c r="Q22" i="6"/>
  <c r="Q20" i="6"/>
  <c r="Q14" i="6"/>
  <c r="N22" i="6"/>
  <c r="N20" i="6"/>
  <c r="N14" i="6"/>
  <c r="K22" i="6"/>
  <c r="H22" i="6"/>
  <c r="H20" i="6"/>
  <c r="K20" i="6"/>
  <c r="K14" i="6"/>
  <c r="H14" i="6"/>
  <c r="AA7" i="4"/>
  <c r="AA5" i="4"/>
  <c r="W7" i="4"/>
  <c r="W5" i="4"/>
  <c r="T7" i="4"/>
  <c r="T5" i="4"/>
  <c r="Q7" i="4"/>
  <c r="Q5" i="4"/>
  <c r="N7" i="4"/>
  <c r="N5" i="4"/>
  <c r="K7" i="4"/>
  <c r="K5" i="4"/>
  <c r="H7" i="4"/>
  <c r="H5" i="4"/>
  <c r="AA214" i="32"/>
  <c r="W214" i="32"/>
  <c r="T214" i="32"/>
  <c r="Q214" i="32"/>
  <c r="N214" i="32"/>
  <c r="K214" i="32"/>
  <c r="H214" i="32"/>
  <c r="AA183" i="32"/>
  <c r="W183" i="32"/>
  <c r="T183" i="32"/>
  <c r="Q183" i="32"/>
  <c r="N183" i="32"/>
  <c r="K183" i="32"/>
  <c r="H183" i="32"/>
  <c r="AA92" i="32"/>
  <c r="W92" i="32"/>
  <c r="T92" i="32"/>
  <c r="Q92" i="32"/>
  <c r="N92" i="32"/>
  <c r="K92" i="32"/>
  <c r="H92" i="32"/>
  <c r="AA40" i="9"/>
  <c r="AA39" i="9"/>
  <c r="AA38" i="9"/>
  <c r="AA37" i="9"/>
  <c r="AA36" i="9"/>
  <c r="AA35" i="9"/>
  <c r="U40" i="9"/>
  <c r="U39" i="9"/>
  <c r="U38" i="9"/>
  <c r="U37" i="9"/>
  <c r="U36" i="9"/>
  <c r="U35" i="9"/>
  <c r="R40" i="9"/>
  <c r="R39" i="9"/>
  <c r="R38" i="9"/>
  <c r="R37" i="9"/>
  <c r="R36" i="9"/>
  <c r="R35" i="9"/>
  <c r="O40" i="9"/>
  <c r="O39" i="9"/>
  <c r="O38" i="9"/>
  <c r="O37" i="9"/>
  <c r="O36" i="9"/>
  <c r="O35" i="9"/>
  <c r="L40" i="9"/>
  <c r="L39" i="9"/>
  <c r="L38" i="9"/>
  <c r="L37" i="9"/>
  <c r="L36" i="9"/>
  <c r="L35" i="9"/>
  <c r="I40" i="9"/>
  <c r="I39" i="9"/>
  <c r="I38" i="9"/>
  <c r="I37" i="9"/>
  <c r="I36" i="9"/>
  <c r="I35" i="9"/>
  <c r="F40" i="9"/>
  <c r="F39" i="9"/>
  <c r="F38" i="9"/>
  <c r="F37" i="9"/>
  <c r="F36" i="9"/>
  <c r="F35" i="9"/>
  <c r="AA23" i="9"/>
  <c r="AA22" i="9"/>
  <c r="AA21" i="9"/>
  <c r="AA20" i="9"/>
  <c r="AA19" i="9"/>
  <c r="AA18" i="9"/>
  <c r="AA17" i="9"/>
  <c r="AA16" i="9"/>
  <c r="AA15" i="9"/>
  <c r="AA14" i="9"/>
  <c r="AA13" i="9"/>
  <c r="AA11" i="9"/>
  <c r="AA10" i="9"/>
  <c r="AA8" i="9"/>
  <c r="AA7" i="9"/>
  <c r="AA5" i="9"/>
  <c r="AA4" i="9"/>
  <c r="U23" i="9"/>
  <c r="U22" i="9"/>
  <c r="U21" i="9"/>
  <c r="U20" i="9"/>
  <c r="U19" i="9"/>
  <c r="U18" i="9"/>
  <c r="U17" i="9"/>
  <c r="U16" i="9"/>
  <c r="U15" i="9"/>
  <c r="U14" i="9"/>
  <c r="U13" i="9"/>
  <c r="U11" i="9"/>
  <c r="U10" i="9"/>
  <c r="U8" i="9"/>
  <c r="U7" i="9"/>
  <c r="U5" i="9"/>
  <c r="U4" i="9"/>
  <c r="R23" i="9"/>
  <c r="R22" i="9"/>
  <c r="R21" i="9"/>
  <c r="R20" i="9"/>
  <c r="R19" i="9"/>
  <c r="R18" i="9"/>
  <c r="R17" i="9"/>
  <c r="R16" i="9"/>
  <c r="R15" i="9"/>
  <c r="R14" i="9"/>
  <c r="R13" i="9"/>
  <c r="R11" i="9"/>
  <c r="R10" i="9"/>
  <c r="R8" i="9"/>
  <c r="R7" i="9"/>
  <c r="R5" i="9"/>
  <c r="R4" i="9"/>
  <c r="O23" i="9"/>
  <c r="O22" i="9"/>
  <c r="O21" i="9"/>
  <c r="O20" i="9"/>
  <c r="O19" i="9"/>
  <c r="O18" i="9"/>
  <c r="O17" i="9"/>
  <c r="O16" i="9"/>
  <c r="O15" i="9"/>
  <c r="O14" i="9"/>
  <c r="O13" i="9"/>
  <c r="O11" i="9"/>
  <c r="O10" i="9"/>
  <c r="O8" i="9"/>
  <c r="O7" i="9"/>
  <c r="O5" i="9"/>
  <c r="O4" i="9"/>
  <c r="L23" i="9"/>
  <c r="L22" i="9"/>
  <c r="L21" i="9"/>
  <c r="L20" i="9"/>
  <c r="L19" i="9"/>
  <c r="L18" i="9"/>
  <c r="L17" i="9"/>
  <c r="L16" i="9"/>
  <c r="L15" i="9"/>
  <c r="L14" i="9"/>
  <c r="L13" i="9"/>
  <c r="L11" i="9"/>
  <c r="L10" i="9"/>
  <c r="L8" i="9"/>
  <c r="L7" i="9"/>
  <c r="L5" i="9"/>
  <c r="L4" i="9"/>
  <c r="F23" i="9"/>
  <c r="F22" i="9"/>
  <c r="F21" i="9"/>
  <c r="F20" i="9"/>
  <c r="F19" i="9"/>
  <c r="F18" i="9"/>
  <c r="F17" i="9"/>
  <c r="F16" i="9"/>
  <c r="F15" i="9"/>
  <c r="F14" i="9"/>
  <c r="F13" i="9"/>
  <c r="F11" i="9"/>
  <c r="F10" i="9"/>
  <c r="F8" i="9"/>
  <c r="F7" i="9"/>
  <c r="F5" i="9"/>
  <c r="F4" i="9"/>
  <c r="F12" i="9"/>
  <c r="F9" i="9"/>
  <c r="F6" i="9"/>
  <c r="I23" i="9"/>
  <c r="I22" i="9"/>
  <c r="I21" i="9"/>
  <c r="I20" i="9"/>
  <c r="I19" i="9"/>
  <c r="I18" i="9"/>
  <c r="I17" i="9"/>
  <c r="I16" i="9"/>
  <c r="I15" i="9"/>
  <c r="I14" i="9"/>
  <c r="I13" i="9"/>
  <c r="I11" i="9"/>
  <c r="I10" i="9"/>
  <c r="I8" i="9"/>
  <c r="I7" i="9"/>
  <c r="I5" i="9"/>
  <c r="I4" i="9"/>
  <c r="AO42" i="7"/>
  <c r="AO41" i="7"/>
  <c r="AO40" i="7"/>
  <c r="AO39" i="7"/>
  <c r="AO38" i="7"/>
  <c r="AO37" i="7"/>
  <c r="AO43" i="7" s="1"/>
  <c r="AJ42" i="7"/>
  <c r="AJ41" i="7"/>
  <c r="AJ40" i="7"/>
  <c r="AJ39" i="7"/>
  <c r="AJ38" i="7"/>
  <c r="AJ37" i="7"/>
  <c r="AJ43" i="7" s="1"/>
  <c r="AF42" i="7"/>
  <c r="AF41" i="7"/>
  <c r="AF40" i="7"/>
  <c r="AF39" i="7"/>
  <c r="AF38" i="7"/>
  <c r="AF37" i="7"/>
  <c r="AF43" i="7" s="1"/>
  <c r="AB42" i="7"/>
  <c r="AB41" i="7"/>
  <c r="AB40" i="7"/>
  <c r="AB39" i="7"/>
  <c r="AB38" i="7"/>
  <c r="AB37" i="7"/>
  <c r="AB43" i="7" s="1"/>
  <c r="X42" i="7"/>
  <c r="X41" i="7"/>
  <c r="X40" i="7"/>
  <c r="X39" i="7"/>
  <c r="X38" i="7"/>
  <c r="X37" i="7"/>
  <c r="X43" i="7" s="1"/>
  <c r="T42" i="7"/>
  <c r="T41" i="7"/>
  <c r="T40" i="7"/>
  <c r="T39" i="7"/>
  <c r="T38" i="7"/>
  <c r="T37" i="7"/>
  <c r="T43" i="7" s="1"/>
  <c r="P42" i="7"/>
  <c r="P41" i="7"/>
  <c r="P40" i="7"/>
  <c r="P39" i="7"/>
  <c r="P38" i="7"/>
  <c r="P37" i="7"/>
  <c r="P43" i="7" s="1"/>
  <c r="AO24" i="7"/>
  <c r="AO23" i="7"/>
  <c r="AO22" i="7"/>
  <c r="AO21" i="7"/>
  <c r="AO20" i="7"/>
  <c r="AO19" i="7"/>
  <c r="AO18" i="7"/>
  <c r="AO17" i="7"/>
  <c r="AO16" i="7"/>
  <c r="AO15" i="7"/>
  <c r="AO14" i="7"/>
  <c r="AO12" i="7"/>
  <c r="AO13" i="7" s="1"/>
  <c r="AO11" i="7"/>
  <c r="AO8" i="7"/>
  <c r="AO10" i="7" s="1"/>
  <c r="AO6" i="7"/>
  <c r="AO26" i="7" s="1"/>
  <c r="AO5" i="7"/>
  <c r="AO7" i="7" s="1"/>
  <c r="AJ24" i="7"/>
  <c r="AJ23" i="7"/>
  <c r="AJ22" i="7"/>
  <c r="AJ21" i="7"/>
  <c r="AJ20" i="7"/>
  <c r="AJ19" i="7"/>
  <c r="AJ18" i="7"/>
  <c r="AJ17" i="7"/>
  <c r="AJ16" i="7"/>
  <c r="AJ15" i="7"/>
  <c r="AJ14" i="7"/>
  <c r="AJ13" i="7"/>
  <c r="AJ12" i="7"/>
  <c r="AJ11" i="7"/>
  <c r="AJ8" i="7"/>
  <c r="AJ10" i="7" s="1"/>
  <c r="AJ6" i="7"/>
  <c r="AJ26" i="7" s="1"/>
  <c r="AJ5" i="7"/>
  <c r="AJ25" i="7" s="1"/>
  <c r="AF24" i="7"/>
  <c r="AF23" i="7"/>
  <c r="AF22" i="7"/>
  <c r="AF21" i="7"/>
  <c r="AF20" i="7"/>
  <c r="AF19" i="7"/>
  <c r="AF18" i="7"/>
  <c r="AF17" i="7"/>
  <c r="AF16" i="7"/>
  <c r="AF15" i="7"/>
  <c r="AF14" i="7"/>
  <c r="AF12" i="7"/>
  <c r="AF13" i="7" s="1"/>
  <c r="AF11" i="7"/>
  <c r="AF8" i="7"/>
  <c r="AF10" i="7" s="1"/>
  <c r="AF6" i="7"/>
  <c r="AF26" i="7" s="1"/>
  <c r="AF5" i="7"/>
  <c r="AF25" i="7" s="1"/>
  <c r="AF27" i="7" s="1"/>
  <c r="AB24" i="7"/>
  <c r="AB23" i="7"/>
  <c r="AB22" i="7"/>
  <c r="AB21" i="7"/>
  <c r="AB20" i="7"/>
  <c r="AB19" i="7"/>
  <c r="AB18" i="7"/>
  <c r="AB17" i="7"/>
  <c r="AB16" i="7"/>
  <c r="AB15" i="7"/>
  <c r="AB14" i="7"/>
  <c r="AB12" i="7"/>
  <c r="AB13" i="7" s="1"/>
  <c r="AB11" i="7"/>
  <c r="AB8" i="7"/>
  <c r="AB10" i="7" s="1"/>
  <c r="AB6" i="7"/>
  <c r="AB26" i="7" s="1"/>
  <c r="AB5" i="7"/>
  <c r="AB25" i="7" s="1"/>
  <c r="X24" i="7"/>
  <c r="X23" i="7"/>
  <c r="X22" i="7"/>
  <c r="X21" i="7"/>
  <c r="X20" i="7"/>
  <c r="X19" i="7"/>
  <c r="X18" i="7"/>
  <c r="X17" i="7"/>
  <c r="X16" i="7"/>
  <c r="X15" i="7"/>
  <c r="X14" i="7"/>
  <c r="X12" i="7"/>
  <c r="X13" i="7" s="1"/>
  <c r="X11" i="7"/>
  <c r="X8" i="7"/>
  <c r="X10" i="7" s="1"/>
  <c r="X6" i="7"/>
  <c r="X26" i="7" s="1"/>
  <c r="X5" i="7"/>
  <c r="X25" i="7" s="1"/>
  <c r="T24" i="7"/>
  <c r="T23" i="7"/>
  <c r="T22" i="7"/>
  <c r="T21" i="7"/>
  <c r="T20" i="7"/>
  <c r="T19" i="7"/>
  <c r="T18" i="7"/>
  <c r="T17" i="7"/>
  <c r="T16" i="7"/>
  <c r="T15" i="7"/>
  <c r="T14" i="7"/>
  <c r="T12" i="7"/>
  <c r="T13" i="7" s="1"/>
  <c r="T11" i="7"/>
  <c r="T8" i="7"/>
  <c r="T10" i="7" s="1"/>
  <c r="T6" i="7"/>
  <c r="T26" i="7" s="1"/>
  <c r="T5" i="7"/>
  <c r="T25" i="7" s="1"/>
  <c r="T27" i="7" s="1"/>
  <c r="P24" i="7"/>
  <c r="P23" i="7"/>
  <c r="P22" i="7"/>
  <c r="P21" i="7"/>
  <c r="P20" i="7"/>
  <c r="P19" i="7"/>
  <c r="P18" i="7"/>
  <c r="P17" i="7"/>
  <c r="P16" i="7"/>
  <c r="P15" i="7"/>
  <c r="P14" i="7"/>
  <c r="P12" i="7"/>
  <c r="P13" i="7" s="1"/>
  <c r="P11" i="7"/>
  <c r="P8" i="7"/>
  <c r="P10" i="7" s="1"/>
  <c r="P6" i="7"/>
  <c r="P26" i="7" s="1"/>
  <c r="P5" i="7"/>
  <c r="P25" i="7" s="1"/>
  <c r="P27" i="7" s="1"/>
  <c r="AR29" i="18"/>
  <c r="AS130" i="18"/>
  <c r="AS129" i="18"/>
  <c r="AS125" i="18"/>
  <c r="AS120" i="18"/>
  <c r="AS115" i="18"/>
  <c r="AS113" i="18"/>
  <c r="AS111" i="18"/>
  <c r="AS90" i="18"/>
  <c r="AS88" i="18"/>
  <c r="AS86" i="18"/>
  <c r="AS81" i="18"/>
  <c r="AR80" i="18"/>
  <c r="AR77" i="18"/>
  <c r="AS73" i="18"/>
  <c r="AS65" i="18"/>
  <c r="AS59" i="18"/>
  <c r="AS54" i="18"/>
  <c r="AS51" i="18"/>
  <c r="AS42" i="18"/>
  <c r="AS33" i="18"/>
  <c r="AS30" i="18"/>
  <c r="AS89" i="18" s="1"/>
  <c r="AS91" i="18" s="1"/>
  <c r="AS24" i="18"/>
  <c r="AS21" i="18"/>
  <c r="AS19" i="18"/>
  <c r="AS16" i="18"/>
  <c r="AS10" i="18"/>
  <c r="AM129" i="18"/>
  <c r="AM125" i="18"/>
  <c r="AM120" i="18"/>
  <c r="AM115" i="18"/>
  <c r="AM113" i="18"/>
  <c r="AM111" i="18"/>
  <c r="AI129" i="18"/>
  <c r="AI125" i="18"/>
  <c r="AI120" i="18"/>
  <c r="AI115" i="18"/>
  <c r="AI113" i="18"/>
  <c r="AI111" i="18"/>
  <c r="AE129" i="18"/>
  <c r="AE125" i="18"/>
  <c r="AE120" i="18"/>
  <c r="AE115" i="18"/>
  <c r="AE113" i="18"/>
  <c r="AE111" i="18"/>
  <c r="AA129" i="18"/>
  <c r="AA125" i="18"/>
  <c r="AA120" i="18"/>
  <c r="AA115" i="18"/>
  <c r="AA113" i="18"/>
  <c r="AA111" i="18"/>
  <c r="W129" i="18"/>
  <c r="W125" i="18"/>
  <c r="W120" i="18"/>
  <c r="W115" i="18"/>
  <c r="W113" i="18"/>
  <c r="W111" i="18"/>
  <c r="S129" i="18"/>
  <c r="S125" i="18"/>
  <c r="S120" i="18"/>
  <c r="S115" i="18"/>
  <c r="S113" i="18"/>
  <c r="S111" i="18"/>
  <c r="AM88" i="18"/>
  <c r="AI88" i="18"/>
  <c r="AM86" i="18"/>
  <c r="AI86" i="18"/>
  <c r="AM81" i="18"/>
  <c r="AI81" i="18"/>
  <c r="AM73" i="18"/>
  <c r="AI73" i="18"/>
  <c r="AM65" i="18"/>
  <c r="AI65" i="18"/>
  <c r="AM59" i="18"/>
  <c r="AI59" i="18"/>
  <c r="AM54" i="18"/>
  <c r="AI54" i="18"/>
  <c r="AM51" i="18"/>
  <c r="AI51" i="18"/>
  <c r="AM42" i="18"/>
  <c r="AI42" i="18"/>
  <c r="AM33" i="18"/>
  <c r="AI33" i="18"/>
  <c r="AI90" i="18" s="1"/>
  <c r="AM30" i="18"/>
  <c r="AI30" i="18"/>
  <c r="AM24" i="18"/>
  <c r="AI24" i="18"/>
  <c r="AM21" i="18"/>
  <c r="AI21" i="18"/>
  <c r="AM19" i="18"/>
  <c r="AI19" i="18"/>
  <c r="AM16" i="18"/>
  <c r="AM90" i="18" s="1"/>
  <c r="AI16" i="18"/>
  <c r="AM10" i="18"/>
  <c r="AI10" i="18"/>
  <c r="AE88" i="18"/>
  <c r="AE86" i="18"/>
  <c r="AE90" i="18" s="1"/>
  <c r="AE81" i="18"/>
  <c r="AE73" i="18"/>
  <c r="AE65" i="18"/>
  <c r="AE59" i="18"/>
  <c r="AE54" i="18"/>
  <c r="AE51" i="18"/>
  <c r="AE42" i="18"/>
  <c r="AE33" i="18"/>
  <c r="AE30" i="18"/>
  <c r="AE24" i="18"/>
  <c r="AE21" i="18"/>
  <c r="AE19" i="18"/>
  <c r="AE16" i="18"/>
  <c r="AE10" i="18"/>
  <c r="AA88" i="18"/>
  <c r="AA86" i="18"/>
  <c r="AA81" i="18"/>
  <c r="W88" i="18"/>
  <c r="W86" i="18"/>
  <c r="W81" i="18"/>
  <c r="AA73" i="18"/>
  <c r="AA65" i="18"/>
  <c r="AA59" i="18"/>
  <c r="AA54" i="18"/>
  <c r="AA51" i="18"/>
  <c r="AA42" i="18"/>
  <c r="AA33" i="18"/>
  <c r="AA30" i="18"/>
  <c r="AA24" i="18"/>
  <c r="AA90" i="18" s="1"/>
  <c r="AA21" i="18"/>
  <c r="AA19" i="18"/>
  <c r="AA16" i="18"/>
  <c r="AA10" i="18"/>
  <c r="W73" i="18"/>
  <c r="W65" i="18"/>
  <c r="W59" i="18"/>
  <c r="W54" i="18"/>
  <c r="W51" i="18"/>
  <c r="W42" i="18"/>
  <c r="W33" i="18"/>
  <c r="W30" i="18"/>
  <c r="W24" i="18"/>
  <c r="W21" i="18"/>
  <c r="W19" i="18"/>
  <c r="W16" i="18"/>
  <c r="W90" i="18" s="1"/>
  <c r="W10" i="18"/>
  <c r="S90" i="18"/>
  <c r="S88" i="18"/>
  <c r="S86" i="18"/>
  <c r="S81" i="18"/>
  <c r="S73" i="18"/>
  <c r="S65" i="18"/>
  <c r="S59" i="18"/>
  <c r="S54" i="18"/>
  <c r="S51" i="18"/>
  <c r="S42" i="18"/>
  <c r="S33" i="18"/>
  <c r="S30" i="18"/>
  <c r="S24" i="18"/>
  <c r="S21" i="18"/>
  <c r="S19" i="18"/>
  <c r="S16" i="18"/>
  <c r="S10" i="18"/>
  <c r="K44" i="23"/>
  <c r="J44" i="23"/>
  <c r="I44" i="23"/>
  <c r="H44" i="23"/>
  <c r="G44" i="23"/>
  <c r="F44" i="23"/>
  <c r="E44" i="23"/>
  <c r="D44" i="23"/>
  <c r="AG44" i="23"/>
  <c r="AD44" i="23"/>
  <c r="AA44" i="23"/>
  <c r="X44" i="23"/>
  <c r="U44" i="23"/>
  <c r="R44" i="23"/>
  <c r="O44" i="23"/>
  <c r="AO25" i="7" l="1"/>
  <c r="AO27" i="7" s="1"/>
  <c r="AJ27" i="7"/>
  <c r="AJ7" i="7"/>
  <c r="AF7" i="7"/>
  <c r="AB27" i="7"/>
  <c r="AB7" i="7"/>
  <c r="X27" i="7"/>
  <c r="X7" i="7"/>
  <c r="T7" i="7"/>
  <c r="P7" i="7"/>
  <c r="AA130" i="18"/>
  <c r="AM130" i="18"/>
  <c r="S89" i="18"/>
  <c r="S91" i="18" s="1"/>
  <c r="W89" i="18"/>
  <c r="W91" i="18" s="1"/>
  <c r="AE89" i="18"/>
  <c r="AE91" i="18" s="1"/>
  <c r="AE130" i="18"/>
  <c r="S130" i="18"/>
  <c r="W130" i="18"/>
  <c r="AI89" i="18"/>
  <c r="AI91" i="18" s="1"/>
  <c r="AI130" i="18"/>
  <c r="AA89" i="18"/>
  <c r="AA91" i="18" s="1"/>
  <c r="AM89" i="18"/>
  <c r="AM91" i="18" s="1"/>
  <c r="AN43" i="23"/>
  <c r="AI43" i="23"/>
  <c r="AL43" i="23"/>
  <c r="AJ43" i="23" s="1"/>
  <c r="AE43" i="23"/>
  <c r="AB43" i="23"/>
  <c r="Y43" i="23"/>
  <c r="V43" i="23"/>
  <c r="S43" i="23"/>
  <c r="P43" i="23"/>
  <c r="R42" i="23"/>
  <c r="M43" i="23"/>
  <c r="O43" i="23"/>
  <c r="D43" i="23"/>
  <c r="L42" i="22"/>
  <c r="M42" i="22"/>
  <c r="N42" i="22"/>
  <c r="O42" i="22"/>
  <c r="K42" i="22"/>
  <c r="G42" i="22"/>
  <c r="H42" i="22"/>
  <c r="I42" i="22"/>
  <c r="J42" i="22"/>
  <c r="F42" i="22"/>
  <c r="P15" i="24" l="1"/>
  <c r="N15" i="24" s="1"/>
  <c r="Q15" i="24"/>
  <c r="O33" i="23"/>
  <c r="M33" i="23" s="1"/>
  <c r="D33" i="23"/>
  <c r="P31" i="22"/>
  <c r="AI33" i="23" s="1"/>
  <c r="AG33" i="23" l="1"/>
  <c r="AL33" i="23" s="1"/>
  <c r="AJ33" i="23" s="1"/>
  <c r="X33" i="23"/>
  <c r="V33" i="23" s="1"/>
  <c r="U33" i="23"/>
  <c r="S33" i="23" s="1"/>
  <c r="R33" i="23"/>
  <c r="P33" i="23" s="1"/>
  <c r="L33" i="23"/>
  <c r="AN33" i="23"/>
  <c r="AH33" i="23"/>
  <c r="AE33" i="23"/>
  <c r="AA33" i="23"/>
  <c r="Y33" i="23" s="1"/>
  <c r="AD33" i="23"/>
  <c r="AB33" i="23" s="1"/>
  <c r="O89" i="23" l="1"/>
  <c r="M89" i="23" s="1"/>
  <c r="D89" i="23"/>
  <c r="L89" i="23" s="1"/>
  <c r="P85" i="22"/>
  <c r="AI89" i="23" s="1"/>
  <c r="AD89" i="23" s="1"/>
  <c r="AB89" i="23" s="1"/>
  <c r="AG89" i="23" l="1"/>
  <c r="AL89" i="23" s="1"/>
  <c r="AJ89" i="23" s="1"/>
  <c r="AA89" i="23"/>
  <c r="Y89" i="23" s="1"/>
  <c r="R89" i="23"/>
  <c r="P89" i="23" s="1"/>
  <c r="U89" i="23"/>
  <c r="S89" i="23" s="1"/>
  <c r="X89" i="23"/>
  <c r="V89" i="23" s="1"/>
  <c r="AH89" i="23" l="1"/>
  <c r="AE89" i="23"/>
  <c r="AR57" i="18" l="1"/>
  <c r="AP57" i="18" s="1"/>
  <c r="AO57" i="18"/>
  <c r="AJ57" i="18"/>
  <c r="AF57" i="18"/>
  <c r="AB57" i="18"/>
  <c r="X57" i="18"/>
  <c r="T57" i="18"/>
  <c r="P57" i="18"/>
  <c r="O57" i="18"/>
  <c r="AN57" i="18" s="1"/>
  <c r="G33" i="22"/>
  <c r="H33" i="22"/>
  <c r="I33" i="22"/>
  <c r="J33" i="22"/>
  <c r="K33" i="22"/>
  <c r="L33" i="22"/>
  <c r="M33" i="22"/>
  <c r="N33" i="22"/>
  <c r="O33" i="22"/>
  <c r="F33" i="22"/>
  <c r="N35" i="23"/>
  <c r="Q35" i="23"/>
  <c r="T35" i="23"/>
  <c r="W35" i="23"/>
  <c r="Z35" i="23"/>
  <c r="AC35" i="23"/>
  <c r="AF35" i="23"/>
  <c r="J35" i="23"/>
  <c r="I35" i="23"/>
  <c r="H35" i="23"/>
  <c r="G35" i="23"/>
  <c r="O34" i="23"/>
  <c r="M34" i="23" s="1"/>
  <c r="AK35" i="23"/>
  <c r="K35" i="23"/>
  <c r="F35" i="23"/>
  <c r="E35" i="23"/>
  <c r="D34" i="23"/>
  <c r="L34" i="23" s="1"/>
  <c r="P32" i="22"/>
  <c r="AI34" i="23" s="1"/>
  <c r="R34" i="23" s="1"/>
  <c r="P34" i="23" s="1"/>
  <c r="O28" i="23"/>
  <c r="M28" i="23" s="1"/>
  <c r="D28" i="23"/>
  <c r="L28" i="23" s="1"/>
  <c r="P26" i="22"/>
  <c r="AI28" i="23" s="1"/>
  <c r="X28" i="23" s="1"/>
  <c r="V28" i="23" s="1"/>
  <c r="P21" i="22"/>
  <c r="AI23" i="23" s="1"/>
  <c r="R23" i="23" s="1"/>
  <c r="P23" i="23" s="1"/>
  <c r="O23" i="23"/>
  <c r="M23" i="23" s="1"/>
  <c r="D23" i="23"/>
  <c r="L23" i="23" s="1"/>
  <c r="D22" i="23"/>
  <c r="L22" i="23" s="1"/>
  <c r="O22" i="23"/>
  <c r="M22" i="23" s="1"/>
  <c r="P20" i="22"/>
  <c r="AI22" i="23" s="1"/>
  <c r="X22" i="23" s="1"/>
  <c r="V22" i="23" s="1"/>
  <c r="AQ26" i="18"/>
  <c r="AR26" i="18"/>
  <c r="AO26" i="18"/>
  <c r="AN26" i="18"/>
  <c r="AJ26" i="18"/>
  <c r="AF26" i="18"/>
  <c r="AB26" i="18"/>
  <c r="X26" i="18"/>
  <c r="T26" i="18"/>
  <c r="P26" i="18"/>
  <c r="M26" i="18"/>
  <c r="AP26" i="18" l="1"/>
  <c r="M57" i="18"/>
  <c r="AG34" i="23"/>
  <c r="AD34" i="23"/>
  <c r="AB34" i="23" s="1"/>
  <c r="AA34" i="23"/>
  <c r="Y34" i="23" s="1"/>
  <c r="X34" i="23"/>
  <c r="V34" i="23" s="1"/>
  <c r="U34" i="23"/>
  <c r="S34" i="23" s="1"/>
  <c r="U28" i="23"/>
  <c r="S28" i="23" s="1"/>
  <c r="R28" i="23"/>
  <c r="P28" i="23" s="1"/>
  <c r="AG28" i="23"/>
  <c r="AA28" i="23"/>
  <c r="Y28" i="23" s="1"/>
  <c r="AD28" i="23"/>
  <c r="AB28" i="23" s="1"/>
  <c r="AA23" i="23"/>
  <c r="Y23" i="23" s="1"/>
  <c r="AD23" i="23"/>
  <c r="AB23" i="23" s="1"/>
  <c r="X23" i="23"/>
  <c r="V23" i="23" s="1"/>
  <c r="AG23" i="23"/>
  <c r="U23" i="23"/>
  <c r="S23" i="23" s="1"/>
  <c r="R22" i="23"/>
  <c r="P22" i="23" s="1"/>
  <c r="AG22" i="23"/>
  <c r="AE22" i="23" s="1"/>
  <c r="AD22" i="23"/>
  <c r="AB22" i="23" s="1"/>
  <c r="U22" i="23"/>
  <c r="S22" i="23" s="1"/>
  <c r="AA22" i="23"/>
  <c r="Y22" i="23" s="1"/>
  <c r="AE34" i="23" l="1"/>
  <c r="AL34" i="23"/>
  <c r="AJ34" i="23" s="1"/>
  <c r="AE28" i="23"/>
  <c r="AL28" i="23"/>
  <c r="AJ28" i="23" s="1"/>
  <c r="AL22" i="23"/>
  <c r="AJ22" i="23" s="1"/>
  <c r="AH22" i="23"/>
  <c r="AL23" i="23"/>
  <c r="AJ23" i="23" s="1"/>
  <c r="AH23" i="23"/>
  <c r="AE23" i="23"/>
  <c r="AA4" i="29" l="1"/>
  <c r="AB4" i="29"/>
  <c r="AC4" i="29"/>
  <c r="AD4" i="29"/>
  <c r="Z4" i="29"/>
  <c r="Z19" i="29" l="1"/>
  <c r="AA19" i="29"/>
  <c r="AB19" i="29"/>
  <c r="AC19" i="29"/>
  <c r="AD19" i="29"/>
  <c r="Y19" i="29"/>
  <c r="S19" i="29"/>
  <c r="T19" i="29"/>
  <c r="U19" i="29"/>
  <c r="V19" i="29"/>
  <c r="R19" i="29"/>
  <c r="J19" i="29"/>
  <c r="K19" i="29"/>
  <c r="L19" i="29"/>
  <c r="M19" i="29"/>
  <c r="I19" i="29"/>
  <c r="E19" i="29"/>
  <c r="F19" i="29"/>
  <c r="G19" i="29"/>
  <c r="H19" i="29"/>
  <c r="D19" i="29"/>
  <c r="Y6" i="14" l="1"/>
  <c r="C6" i="14"/>
  <c r="D6" i="15"/>
  <c r="E6" i="15"/>
  <c r="F6" i="15"/>
  <c r="Z6" i="15"/>
  <c r="W5" i="29"/>
  <c r="X5" i="29"/>
  <c r="P27" i="20"/>
  <c r="AC21" i="3"/>
  <c r="AC20" i="3"/>
  <c r="AC19" i="3"/>
  <c r="AC16" i="3"/>
  <c r="AC15" i="3"/>
  <c r="AC13" i="3"/>
  <c r="AH21" i="3"/>
  <c r="AH20" i="3"/>
  <c r="AH19" i="3"/>
  <c r="AH16" i="3"/>
  <c r="AH15" i="3"/>
  <c r="AH13" i="3"/>
  <c r="X21" i="3"/>
  <c r="X20" i="3"/>
  <c r="X19" i="3"/>
  <c r="X16" i="3"/>
  <c r="X15" i="3"/>
  <c r="X13" i="3"/>
  <c r="S21" i="3"/>
  <c r="S20" i="3"/>
  <c r="S19" i="3"/>
  <c r="S16" i="3"/>
  <c r="S15" i="3"/>
  <c r="S13" i="3"/>
  <c r="N21" i="3"/>
  <c r="N20" i="3"/>
  <c r="N19" i="3"/>
  <c r="N16" i="3"/>
  <c r="N15" i="3"/>
  <c r="N13" i="3"/>
  <c r="I26" i="3"/>
  <c r="I21" i="3"/>
  <c r="I20" i="3"/>
  <c r="I19" i="3"/>
  <c r="I16" i="3"/>
  <c r="I15" i="3"/>
  <c r="I13" i="3"/>
  <c r="D21" i="3"/>
  <c r="D20" i="3"/>
  <c r="D19" i="3"/>
  <c r="D16" i="3"/>
  <c r="D15" i="3"/>
  <c r="D13" i="3"/>
  <c r="AO5" i="29" l="1"/>
  <c r="AP5" i="29"/>
  <c r="AQ5" i="29"/>
  <c r="AN5" i="29"/>
  <c r="AR5" i="29"/>
  <c r="AS5" i="29"/>
  <c r="AJ5" i="29"/>
  <c r="AL5" i="29"/>
  <c r="AI5" i="29"/>
  <c r="AK5" i="29"/>
  <c r="AH5" i="29"/>
  <c r="AM5" i="29"/>
  <c r="D26" i="3"/>
  <c r="K6" i="24" l="1"/>
  <c r="U45" i="11" l="1"/>
  <c r="U22" i="11" l="1"/>
  <c r="U21" i="11"/>
  <c r="U20" i="11"/>
  <c r="U19" i="11"/>
  <c r="U17" i="11"/>
  <c r="U16" i="11"/>
  <c r="U14" i="11"/>
  <c r="U8" i="11"/>
  <c r="U10" i="11" s="1"/>
  <c r="U5" i="11"/>
  <c r="U25" i="11" s="1"/>
  <c r="R22" i="11"/>
  <c r="R21" i="11"/>
  <c r="R20" i="11"/>
  <c r="R19" i="11"/>
  <c r="R17" i="11"/>
  <c r="R16" i="11"/>
  <c r="R14" i="11"/>
  <c r="R8" i="11"/>
  <c r="R10" i="11" s="1"/>
  <c r="R5" i="11"/>
  <c r="R25" i="11" s="1"/>
  <c r="O22" i="11"/>
  <c r="O21" i="11"/>
  <c r="O20" i="11"/>
  <c r="O19" i="11"/>
  <c r="O17" i="11"/>
  <c r="O16" i="11"/>
  <c r="O14" i="11"/>
  <c r="O8" i="11"/>
  <c r="O10" i="11" s="1"/>
  <c r="O5" i="11"/>
  <c r="O25" i="11" s="1"/>
  <c r="L22" i="11"/>
  <c r="L21" i="11"/>
  <c r="L20" i="11"/>
  <c r="L19" i="11"/>
  <c r="L17" i="11"/>
  <c r="L16" i="11"/>
  <c r="L14" i="11"/>
  <c r="L8" i="11"/>
  <c r="L10" i="11" s="1"/>
  <c r="L5" i="11"/>
  <c r="L25" i="11" s="1"/>
  <c r="I22" i="11"/>
  <c r="I21" i="11"/>
  <c r="I20" i="11"/>
  <c r="I19" i="11"/>
  <c r="I17" i="11"/>
  <c r="I16" i="11"/>
  <c r="I14" i="11"/>
  <c r="I8" i="11"/>
  <c r="I10" i="11" s="1"/>
  <c r="I5" i="11"/>
  <c r="I25" i="11" s="1"/>
  <c r="F22" i="11"/>
  <c r="F21" i="11"/>
  <c r="F20" i="11"/>
  <c r="F19" i="11"/>
  <c r="F17" i="11"/>
  <c r="F16" i="11"/>
  <c r="F14" i="11"/>
  <c r="O92" i="23" l="1"/>
  <c r="C40" i="8"/>
  <c r="C18" i="8"/>
  <c r="C9" i="8"/>
  <c r="E40" i="8"/>
  <c r="F40" i="8"/>
  <c r="G40" i="8"/>
  <c r="H40" i="8"/>
  <c r="I40" i="8"/>
  <c r="D40" i="8"/>
  <c r="I18" i="8"/>
  <c r="H9" i="8" l="1"/>
  <c r="G9" i="8"/>
  <c r="F9" i="8"/>
  <c r="E9" i="8"/>
  <c r="D9" i="8"/>
  <c r="E18" i="8"/>
  <c r="F18" i="8"/>
  <c r="G18" i="8"/>
  <c r="H18" i="8"/>
  <c r="D18" i="8"/>
  <c r="R46" i="3"/>
  <c r="H46" i="3"/>
  <c r="AH45" i="3"/>
  <c r="AH44" i="3"/>
  <c r="AH42" i="3"/>
  <c r="AH40" i="3"/>
  <c r="AC45" i="3"/>
  <c r="AC44" i="3"/>
  <c r="AC42" i="3"/>
  <c r="AC40" i="3"/>
  <c r="X45" i="3"/>
  <c r="X44" i="3"/>
  <c r="X42" i="3"/>
  <c r="X40" i="3"/>
  <c r="S45" i="3"/>
  <c r="S44" i="3"/>
  <c r="S42" i="3"/>
  <c r="S40" i="3"/>
  <c r="N45" i="3"/>
  <c r="N44" i="3"/>
  <c r="N42" i="3"/>
  <c r="N40" i="3"/>
  <c r="I42" i="3"/>
  <c r="I45" i="3"/>
  <c r="I44" i="3"/>
  <c r="I40" i="3"/>
  <c r="I46" i="3" s="1"/>
  <c r="AH23" i="3"/>
  <c r="AH22" i="3"/>
  <c r="AH18" i="3"/>
  <c r="AH17" i="3"/>
  <c r="AH14" i="3"/>
  <c r="AC23" i="3"/>
  <c r="AC22" i="3"/>
  <c r="AC18" i="3"/>
  <c r="AC17" i="3"/>
  <c r="AC14" i="3"/>
  <c r="X23" i="3"/>
  <c r="X22" i="3"/>
  <c r="X18" i="3"/>
  <c r="X17" i="3"/>
  <c r="X14" i="3"/>
  <c r="S23" i="3"/>
  <c r="S22" i="3"/>
  <c r="S18" i="3"/>
  <c r="S17" i="3"/>
  <c r="S14" i="3"/>
  <c r="N23" i="3"/>
  <c r="N22" i="3"/>
  <c r="N18" i="3"/>
  <c r="N17" i="3"/>
  <c r="N14" i="3"/>
  <c r="I23" i="3"/>
  <c r="I22" i="3"/>
  <c r="I18" i="3"/>
  <c r="I17" i="3"/>
  <c r="I14" i="3"/>
  <c r="C46" i="3" l="1"/>
  <c r="D53" i="18"/>
  <c r="E120" i="18"/>
  <c r="O112" i="18" l="1"/>
  <c r="D112" i="18"/>
  <c r="E113" i="18"/>
  <c r="D94" i="23" l="1"/>
  <c r="D95" i="23"/>
  <c r="D96" i="23"/>
  <c r="D97" i="23"/>
  <c r="D98" i="23"/>
  <c r="D99" i="23"/>
  <c r="D92" i="23" l="1"/>
  <c r="D93" i="23" s="1"/>
  <c r="C39" i="8" s="1"/>
  <c r="AF93" i="23"/>
  <c r="K93" i="23"/>
  <c r="J93" i="23"/>
  <c r="I39" i="8" s="1"/>
  <c r="I93" i="23"/>
  <c r="H39" i="8" s="1"/>
  <c r="H93" i="23"/>
  <c r="G39" i="8" s="1"/>
  <c r="G93" i="23"/>
  <c r="F39" i="8" s="1"/>
  <c r="F93" i="23"/>
  <c r="E39" i="8" s="1"/>
  <c r="E93" i="23"/>
  <c r="D39" i="8" s="1"/>
  <c r="M92" i="23"/>
  <c r="P88" i="22"/>
  <c r="AI92" i="23" s="1"/>
  <c r="G89" i="22"/>
  <c r="H89" i="22"/>
  <c r="I89" i="22"/>
  <c r="J89" i="22"/>
  <c r="K89" i="22"/>
  <c r="L89" i="22"/>
  <c r="M89" i="22"/>
  <c r="N89" i="22"/>
  <c r="O89" i="22"/>
  <c r="F89" i="22"/>
  <c r="P108" i="20"/>
  <c r="P89" i="22" l="1"/>
  <c r="L93" i="23"/>
  <c r="AN92" i="23"/>
  <c r="O93" i="23"/>
  <c r="L92" i="23"/>
  <c r="AO92" i="23"/>
  <c r="AN93" i="23"/>
  <c r="K102" i="20"/>
  <c r="K38" i="26" s="1"/>
  <c r="L102" i="20"/>
  <c r="M102" i="20"/>
  <c r="N102" i="20"/>
  <c r="O102" i="20"/>
  <c r="R113" i="18"/>
  <c r="M38" i="26" l="1"/>
  <c r="N38" i="26"/>
  <c r="O38" i="26"/>
  <c r="AO93" i="23"/>
  <c r="M93" i="23"/>
  <c r="AH12" i="3"/>
  <c r="AC12" i="3"/>
  <c r="X12" i="3"/>
  <c r="S12" i="3"/>
  <c r="N12" i="3"/>
  <c r="I12" i="3"/>
  <c r="AH9" i="3"/>
  <c r="AC9" i="3"/>
  <c r="X9" i="3"/>
  <c r="S9" i="3"/>
  <c r="N9" i="3"/>
  <c r="I9" i="3"/>
  <c r="S46" i="3"/>
  <c r="AH46" i="3"/>
  <c r="AC46" i="3"/>
  <c r="X46" i="3"/>
  <c r="N46" i="3"/>
  <c r="D46" i="3"/>
  <c r="P5" i="24"/>
  <c r="E12" i="23" l="1"/>
  <c r="D12" i="8" s="1"/>
  <c r="E24" i="18"/>
  <c r="E111" i="18"/>
  <c r="F120" i="18"/>
  <c r="F100" i="23"/>
  <c r="E100" i="23"/>
  <c r="D41" i="8" l="1"/>
  <c r="E41" i="8"/>
  <c r="Z17" i="15"/>
  <c r="Z15" i="15"/>
  <c r="Z14" i="15"/>
  <c r="Z12" i="15"/>
  <c r="Z11" i="15"/>
  <c r="Z10" i="15"/>
  <c r="Z9" i="15"/>
  <c r="Z7" i="15"/>
  <c r="Z5" i="15"/>
  <c r="O94" i="23"/>
  <c r="O99" i="23"/>
  <c r="M99" i="23" s="1"/>
  <c r="O97" i="23"/>
  <c r="M97" i="23" s="1"/>
  <c r="O96" i="23"/>
  <c r="M96" i="23" s="1"/>
  <c r="P93" i="22"/>
  <c r="AI97" i="23" s="1"/>
  <c r="AG97" i="23" s="1"/>
  <c r="P92" i="22"/>
  <c r="AI96" i="23" s="1"/>
  <c r="AG96" i="23" s="1"/>
  <c r="L99" i="23"/>
  <c r="L94" i="23"/>
  <c r="L97" i="23"/>
  <c r="K100" i="23"/>
  <c r="J100" i="23"/>
  <c r="I100" i="23"/>
  <c r="H100" i="23"/>
  <c r="G100" i="23"/>
  <c r="L96" i="23"/>
  <c r="K81" i="20"/>
  <c r="F41" i="8" l="1"/>
  <c r="G41" i="8"/>
  <c r="H41" i="8"/>
  <c r="I41" i="8"/>
  <c r="AL96" i="23"/>
  <c r="AH96" i="23"/>
  <c r="AL97" i="23"/>
  <c r="AH97" i="23"/>
  <c r="AA96" i="23"/>
  <c r="Y96" i="23" s="1"/>
  <c r="AA97" i="23"/>
  <c r="Y97" i="23" s="1"/>
  <c r="M94" i="23"/>
  <c r="U96" i="23"/>
  <c r="S96" i="23" s="1"/>
  <c r="AE96" i="23"/>
  <c r="X96" i="23"/>
  <c r="V96" i="23" s="1"/>
  <c r="R97" i="23"/>
  <c r="P97" i="23" s="1"/>
  <c r="AD97" i="23"/>
  <c r="AE97" i="23"/>
  <c r="R96" i="23"/>
  <c r="P96" i="23" s="1"/>
  <c r="AD96" i="23"/>
  <c r="X97" i="23"/>
  <c r="V97" i="23" s="1"/>
  <c r="U97" i="23"/>
  <c r="S97" i="23" s="1"/>
  <c r="AJ96" i="23" l="1"/>
  <c r="AB97" i="23"/>
  <c r="AJ97" i="23"/>
  <c r="AB96" i="23"/>
  <c r="V142" i="32" l="1"/>
  <c r="S142" i="32"/>
  <c r="P142" i="32"/>
  <c r="M142" i="32"/>
  <c r="J142" i="32"/>
  <c r="G142" i="32"/>
  <c r="D142" i="32"/>
  <c r="V10" i="9"/>
  <c r="S10" i="9"/>
  <c r="P10" i="9"/>
  <c r="M10" i="9"/>
  <c r="J10" i="9"/>
  <c r="G10" i="9"/>
  <c r="D10" i="9"/>
  <c r="AF10" i="9" s="1"/>
  <c r="C8" i="9"/>
  <c r="AE8" i="9" s="1"/>
  <c r="V7" i="9"/>
  <c r="S7" i="9"/>
  <c r="P7" i="9"/>
  <c r="M7" i="9"/>
  <c r="J7" i="9"/>
  <c r="G7" i="9"/>
  <c r="D7" i="9"/>
  <c r="C25" i="26"/>
  <c r="S44" i="30"/>
  <c r="M40" i="30"/>
  <c r="M42" i="30"/>
  <c r="N42" i="30"/>
  <c r="R42" i="30" s="1"/>
  <c r="O42" i="30"/>
  <c r="M44" i="30"/>
  <c r="N44" i="30"/>
  <c r="O44" i="30"/>
  <c r="P44" i="30"/>
  <c r="R44" i="30"/>
  <c r="M39" i="30"/>
  <c r="K44" i="30"/>
  <c r="R25" i="30"/>
  <c r="P25" i="30"/>
  <c r="O25" i="30"/>
  <c r="S25" i="30" s="1"/>
  <c r="N25" i="30"/>
  <c r="M25" i="30"/>
  <c r="Q25" i="30" s="1"/>
  <c r="O24" i="30"/>
  <c r="N24" i="30"/>
  <c r="R24" i="30" s="1"/>
  <c r="M24" i="30"/>
  <c r="R22" i="30"/>
  <c r="P22" i="30"/>
  <c r="O22" i="30"/>
  <c r="S22" i="30" s="1"/>
  <c r="N22" i="30"/>
  <c r="M22" i="30"/>
  <c r="S21" i="30"/>
  <c r="Q21" i="30"/>
  <c r="P21" i="30"/>
  <c r="O21" i="30"/>
  <c r="N21" i="30"/>
  <c r="R21" i="30" s="1"/>
  <c r="M21" i="30"/>
  <c r="R20" i="30"/>
  <c r="P20" i="30"/>
  <c r="O20" i="30"/>
  <c r="S20" i="30" s="1"/>
  <c r="N20" i="30"/>
  <c r="M20" i="30"/>
  <c r="Q20" i="30" s="1"/>
  <c r="P19" i="30"/>
  <c r="O19" i="30"/>
  <c r="N19" i="30"/>
  <c r="R19" i="30" s="1"/>
  <c r="M19" i="30"/>
  <c r="O18" i="30"/>
  <c r="R17" i="30"/>
  <c r="P17" i="30"/>
  <c r="O17" i="30"/>
  <c r="N17" i="30"/>
  <c r="M17" i="30"/>
  <c r="S16" i="30"/>
  <c r="P16" i="30"/>
  <c r="O16" i="30"/>
  <c r="N16" i="30"/>
  <c r="R16" i="30" s="1"/>
  <c r="M16" i="30"/>
  <c r="M15" i="30"/>
  <c r="R14" i="30"/>
  <c r="P14" i="30"/>
  <c r="O14" i="30"/>
  <c r="N14" i="30"/>
  <c r="M14" i="30"/>
  <c r="M13" i="30"/>
  <c r="M12" i="30"/>
  <c r="P11" i="30"/>
  <c r="O11" i="30"/>
  <c r="N11" i="30"/>
  <c r="M11" i="30"/>
  <c r="S10" i="30"/>
  <c r="P10" i="30"/>
  <c r="O10" i="30"/>
  <c r="N10" i="30"/>
  <c r="R10" i="30" s="1"/>
  <c r="M10" i="30"/>
  <c r="P9" i="30"/>
  <c r="O9" i="30"/>
  <c r="N9" i="30"/>
  <c r="M9" i="30"/>
  <c r="S8" i="30"/>
  <c r="P8" i="30"/>
  <c r="O8" i="30"/>
  <c r="N8" i="30"/>
  <c r="R8" i="30" s="1"/>
  <c r="M8" i="30"/>
  <c r="R5" i="30"/>
  <c r="Q5" i="30"/>
  <c r="P5" i="30"/>
  <c r="O5" i="30"/>
  <c r="N5" i="30"/>
  <c r="M5" i="30"/>
  <c r="U280" i="31"/>
  <c r="U281" i="31"/>
  <c r="U282" i="31"/>
  <c r="U283" i="31"/>
  <c r="U284" i="31"/>
  <c r="U285" i="31"/>
  <c r="U286" i="31"/>
  <c r="U287" i="31"/>
  <c r="U288" i="31"/>
  <c r="U289" i="31"/>
  <c r="U290" i="31"/>
  <c r="U291" i="31"/>
  <c r="U292" i="31"/>
  <c r="U293" i="31"/>
  <c r="U294" i="31"/>
  <c r="U295" i="31"/>
  <c r="U296" i="31"/>
  <c r="U297" i="31"/>
  <c r="U298" i="31"/>
  <c r="U299" i="31"/>
  <c r="U300" i="31"/>
  <c r="U301" i="31"/>
  <c r="U302" i="31"/>
  <c r="U303" i="31"/>
  <c r="U304" i="31"/>
  <c r="U305" i="31"/>
  <c r="U306" i="31"/>
  <c r="U307" i="31"/>
  <c r="U308" i="31"/>
  <c r="U309" i="31"/>
  <c r="U310" i="31"/>
  <c r="U311" i="31"/>
  <c r="U312" i="31"/>
  <c r="U313" i="31"/>
  <c r="U314" i="31"/>
  <c r="U315" i="31"/>
  <c r="U316" i="31"/>
  <c r="U317" i="31"/>
  <c r="U318" i="31"/>
  <c r="U319" i="31"/>
  <c r="U320" i="31"/>
  <c r="U321" i="31"/>
  <c r="U322" i="31"/>
  <c r="U326" i="31"/>
  <c r="U327" i="31"/>
  <c r="U328" i="31"/>
  <c r="U329" i="31"/>
  <c r="U330" i="31"/>
  <c r="U331" i="31"/>
  <c r="U332" i="31"/>
  <c r="U333" i="31"/>
  <c r="U334" i="31"/>
  <c r="U335" i="31"/>
  <c r="U336" i="31"/>
  <c r="U337" i="31"/>
  <c r="U338" i="31"/>
  <c r="U339" i="31"/>
  <c r="U340" i="31"/>
  <c r="U341" i="31"/>
  <c r="U342" i="31"/>
  <c r="U343" i="31"/>
  <c r="U344" i="31"/>
  <c r="U345" i="31"/>
  <c r="U346" i="31"/>
  <c r="U347" i="31"/>
  <c r="U348" i="31"/>
  <c r="U279" i="31"/>
  <c r="U237" i="31"/>
  <c r="U238" i="31"/>
  <c r="U239" i="31"/>
  <c r="U240" i="31"/>
  <c r="U241" i="31"/>
  <c r="U242" i="31"/>
  <c r="U243" i="31"/>
  <c r="U244" i="31"/>
  <c r="U245" i="31"/>
  <c r="U246" i="31"/>
  <c r="U247" i="31"/>
  <c r="U248" i="31"/>
  <c r="U249" i="31"/>
  <c r="U250" i="31"/>
  <c r="U251" i="31"/>
  <c r="U252" i="31"/>
  <c r="U253" i="31"/>
  <c r="U254" i="31"/>
  <c r="U255" i="31"/>
  <c r="U256" i="31"/>
  <c r="U257" i="31"/>
  <c r="U236" i="31"/>
  <c r="U190" i="31"/>
  <c r="U191" i="31"/>
  <c r="U192" i="31"/>
  <c r="U193" i="31"/>
  <c r="U194" i="31"/>
  <c r="U195" i="31"/>
  <c r="U196" i="31"/>
  <c r="U197" i="31"/>
  <c r="U198" i="31"/>
  <c r="U199" i="31"/>
  <c r="U200" i="31"/>
  <c r="U201" i="31"/>
  <c r="U202" i="31"/>
  <c r="U203" i="31"/>
  <c r="U204" i="31"/>
  <c r="U205" i="31"/>
  <c r="U206" i="31"/>
  <c r="U207" i="31"/>
  <c r="U208" i="31"/>
  <c r="U209" i="31"/>
  <c r="U210" i="31"/>
  <c r="U211" i="31"/>
  <c r="U212" i="31"/>
  <c r="U213" i="31"/>
  <c r="U214" i="31"/>
  <c r="U215" i="31"/>
  <c r="U216" i="31"/>
  <c r="U217" i="31"/>
  <c r="U218" i="31"/>
  <c r="U219" i="31"/>
  <c r="U220" i="31"/>
  <c r="U221" i="31"/>
  <c r="U222" i="31"/>
  <c r="U223" i="31"/>
  <c r="U224" i="31"/>
  <c r="U225" i="31"/>
  <c r="U226" i="31"/>
  <c r="U227" i="31"/>
  <c r="U228" i="31"/>
  <c r="U229" i="31"/>
  <c r="U230" i="31"/>
  <c r="U231" i="31"/>
  <c r="U232" i="31"/>
  <c r="U189" i="31"/>
  <c r="U132" i="31"/>
  <c r="U133" i="31"/>
  <c r="U134" i="31"/>
  <c r="U135" i="31"/>
  <c r="U136" i="31"/>
  <c r="U137" i="31"/>
  <c r="U138" i="31"/>
  <c r="U139" i="31"/>
  <c r="U140" i="31"/>
  <c r="U141" i="31"/>
  <c r="U142" i="31"/>
  <c r="U143" i="31"/>
  <c r="U144" i="31"/>
  <c r="U145" i="31"/>
  <c r="U146" i="31"/>
  <c r="U147" i="31"/>
  <c r="U148" i="31"/>
  <c r="U149" i="31"/>
  <c r="U150" i="31"/>
  <c r="U151" i="31"/>
  <c r="U152" i="31"/>
  <c r="U153" i="31"/>
  <c r="U154" i="31"/>
  <c r="U155" i="31"/>
  <c r="U156" i="31"/>
  <c r="U157" i="31"/>
  <c r="U158" i="31"/>
  <c r="U159" i="31"/>
  <c r="U160" i="31"/>
  <c r="U161" i="31"/>
  <c r="U162" i="31"/>
  <c r="U163" i="31"/>
  <c r="U164" i="31"/>
  <c r="U165" i="31"/>
  <c r="U166" i="31"/>
  <c r="U167" i="31"/>
  <c r="U168" i="31"/>
  <c r="U169" i="31"/>
  <c r="U170" i="31"/>
  <c r="U171" i="31"/>
  <c r="U172" i="31"/>
  <c r="U173" i="31"/>
  <c r="U174" i="31"/>
  <c r="U175" i="31"/>
  <c r="U176" i="31"/>
  <c r="U177" i="31"/>
  <c r="U178" i="31"/>
  <c r="U179" i="31"/>
  <c r="U180" i="31"/>
  <c r="U181" i="31"/>
  <c r="U182" i="31"/>
  <c r="U183" i="31"/>
  <c r="U184" i="31"/>
  <c r="U185" i="31"/>
  <c r="U131" i="31"/>
  <c r="U74" i="31"/>
  <c r="V74" i="31"/>
  <c r="U75" i="31"/>
  <c r="V75" i="31"/>
  <c r="U76" i="31"/>
  <c r="V76" i="31"/>
  <c r="U77" i="31"/>
  <c r="V77" i="31"/>
  <c r="U78" i="31"/>
  <c r="V78" i="31"/>
  <c r="U79" i="31"/>
  <c r="V79" i="31"/>
  <c r="U80" i="31"/>
  <c r="V80" i="31"/>
  <c r="U81" i="31"/>
  <c r="V81" i="31"/>
  <c r="U82" i="31"/>
  <c r="V82" i="31"/>
  <c r="U83" i="31"/>
  <c r="U84" i="31"/>
  <c r="U85" i="31"/>
  <c r="U86" i="31"/>
  <c r="U87" i="31"/>
  <c r="U88" i="31"/>
  <c r="U89" i="31"/>
  <c r="U90" i="31"/>
  <c r="U91" i="31"/>
  <c r="U92" i="31"/>
  <c r="U93" i="31"/>
  <c r="U94" i="31"/>
  <c r="U95" i="31"/>
  <c r="U98" i="31"/>
  <c r="U99" i="31"/>
  <c r="U102" i="31"/>
  <c r="U103" i="31"/>
  <c r="U104" i="31"/>
  <c r="U105" i="31"/>
  <c r="U106" i="31"/>
  <c r="U107" i="31"/>
  <c r="U108" i="31"/>
  <c r="U109" i="31"/>
  <c r="U110" i="31"/>
  <c r="U111" i="31"/>
  <c r="U112" i="31"/>
  <c r="U113" i="31"/>
  <c r="U114" i="31"/>
  <c r="U115" i="31"/>
  <c r="U116" i="31"/>
  <c r="U117" i="31"/>
  <c r="U118" i="31"/>
  <c r="U119" i="31"/>
  <c r="U120" i="31"/>
  <c r="U121" i="31"/>
  <c r="U122" i="31"/>
  <c r="U123" i="31"/>
  <c r="U124" i="31"/>
  <c r="U125" i="31"/>
  <c r="U126" i="31"/>
  <c r="U127" i="31"/>
  <c r="V73" i="31"/>
  <c r="U73" i="31"/>
  <c r="U5" i="31"/>
  <c r="U6" i="31"/>
  <c r="U7" i="31"/>
  <c r="U8" i="31"/>
  <c r="U9" i="31"/>
  <c r="U10" i="31"/>
  <c r="U11" i="31"/>
  <c r="U12" i="31"/>
  <c r="U13" i="31"/>
  <c r="U14" i="31"/>
  <c r="U15" i="31"/>
  <c r="U16" i="31"/>
  <c r="U17" i="31"/>
  <c r="U18" i="31"/>
  <c r="U19" i="31"/>
  <c r="U20" i="31"/>
  <c r="U21" i="31"/>
  <c r="U22" i="31"/>
  <c r="U23" i="31"/>
  <c r="U24" i="31"/>
  <c r="U25" i="31"/>
  <c r="U37" i="31"/>
  <c r="U38" i="31"/>
  <c r="U39" i="31"/>
  <c r="U40" i="31"/>
  <c r="U41" i="31"/>
  <c r="U42" i="31"/>
  <c r="U43" i="31"/>
  <c r="U44" i="31"/>
  <c r="U45" i="31"/>
  <c r="U46" i="31"/>
  <c r="U47" i="31"/>
  <c r="U48" i="31"/>
  <c r="V48" i="31"/>
  <c r="U49" i="31"/>
  <c r="V49" i="31"/>
  <c r="U50" i="31"/>
  <c r="V50" i="31"/>
  <c r="U51" i="31"/>
  <c r="V51" i="31"/>
  <c r="U52" i="31"/>
  <c r="V52" i="31"/>
  <c r="U53" i="31"/>
  <c r="V53" i="31"/>
  <c r="U54" i="31"/>
  <c r="V54" i="31"/>
  <c r="U55" i="31"/>
  <c r="V55" i="31"/>
  <c r="U56" i="31"/>
  <c r="V56" i="31"/>
  <c r="U57" i="31"/>
  <c r="V57" i="31"/>
  <c r="U58" i="31"/>
  <c r="U59" i="31"/>
  <c r="U62" i="31"/>
  <c r="U63" i="31"/>
  <c r="U66" i="31"/>
  <c r="U67" i="31"/>
  <c r="U68" i="31"/>
  <c r="U69" i="31"/>
  <c r="H162" i="31"/>
  <c r="J162" i="31" s="1"/>
  <c r="L162" i="31" s="1"/>
  <c r="N162" i="31" s="1"/>
  <c r="U4" i="31"/>
  <c r="AN13" i="23"/>
  <c r="AL44" i="24"/>
  <c r="AL45" i="24"/>
  <c r="AL46" i="24"/>
  <c r="AL47" i="24"/>
  <c r="AL48" i="24"/>
  <c r="AL43" i="24"/>
  <c r="AL6" i="24"/>
  <c r="AL8" i="24"/>
  <c r="AM8" i="24"/>
  <c r="AL9" i="24"/>
  <c r="AL11" i="24"/>
  <c r="AM11" i="24"/>
  <c r="AL12" i="24"/>
  <c r="AL14" i="24"/>
  <c r="AM14" i="24"/>
  <c r="AL15" i="24"/>
  <c r="AL16" i="24"/>
  <c r="AM16" i="24"/>
  <c r="AL17" i="24"/>
  <c r="AM17" i="24"/>
  <c r="AL18" i="24"/>
  <c r="AL19" i="24"/>
  <c r="AL20" i="24"/>
  <c r="AM20" i="24"/>
  <c r="AL21" i="24"/>
  <c r="AM21" i="24"/>
  <c r="AL22" i="24"/>
  <c r="AM22" i="24"/>
  <c r="AL23" i="24"/>
  <c r="AL24" i="24"/>
  <c r="AL25" i="24"/>
  <c r="AM5" i="24"/>
  <c r="AL5" i="24"/>
  <c r="AF7" i="9" l="1"/>
  <c r="AL11" i="8"/>
  <c r="AK11" i="8"/>
  <c r="AL8" i="8"/>
  <c r="AK8" i="8"/>
  <c r="AK5" i="8"/>
  <c r="AU20" i="18"/>
  <c r="AU25" i="18"/>
  <c r="AU29" i="18"/>
  <c r="AU39" i="18"/>
  <c r="AV39" i="18"/>
  <c r="AU41" i="18"/>
  <c r="AU45" i="18"/>
  <c r="AU48" i="18"/>
  <c r="AV48" i="18"/>
  <c r="AU49" i="18"/>
  <c r="AV49" i="18"/>
  <c r="AU53" i="18"/>
  <c r="AU64" i="18"/>
  <c r="AU76" i="18"/>
  <c r="AU80" i="18"/>
  <c r="AU84" i="18"/>
  <c r="O79" i="18"/>
  <c r="O78" i="18"/>
  <c r="O77" i="18"/>
  <c r="AQ9" i="7" l="1"/>
  <c r="AS9" i="7"/>
  <c r="E17" i="15" l="1"/>
  <c r="E15" i="15"/>
  <c r="E14" i="15"/>
  <c r="E12" i="15"/>
  <c r="E11" i="15"/>
  <c r="E10" i="15"/>
  <c r="E9" i="15"/>
  <c r="E5" i="15"/>
  <c r="E7" i="15"/>
  <c r="W340" i="32" l="1"/>
  <c r="V340" i="32"/>
  <c r="Z340" i="32" s="1"/>
  <c r="U340" i="32"/>
  <c r="Y340" i="32" s="1"/>
  <c r="S340" i="32"/>
  <c r="R340" i="32"/>
  <c r="P340" i="32"/>
  <c r="O340" i="32"/>
  <c r="M340" i="32"/>
  <c r="L340" i="32"/>
  <c r="J340" i="32"/>
  <c r="I340" i="32"/>
  <c r="G340" i="32"/>
  <c r="F340" i="32"/>
  <c r="D340" i="32"/>
  <c r="D339" i="32"/>
  <c r="E338" i="32"/>
  <c r="E337" i="32"/>
  <c r="D337" i="32"/>
  <c r="C340" i="32"/>
  <c r="C338" i="32"/>
  <c r="C337" i="32"/>
  <c r="W325" i="32"/>
  <c r="V325" i="32"/>
  <c r="Z325" i="32" s="1"/>
  <c r="U325" i="32"/>
  <c r="S325" i="32"/>
  <c r="R325" i="32"/>
  <c r="P325" i="32"/>
  <c r="O325" i="32"/>
  <c r="M325" i="32"/>
  <c r="L325" i="32"/>
  <c r="J325" i="32"/>
  <c r="I325" i="32"/>
  <c r="G325" i="32"/>
  <c r="F325" i="32"/>
  <c r="D325" i="32"/>
  <c r="D324" i="32"/>
  <c r="E323" i="32"/>
  <c r="D323" i="32"/>
  <c r="D322" i="32"/>
  <c r="W310" i="32"/>
  <c r="V310" i="32"/>
  <c r="U310" i="32"/>
  <c r="S310" i="32"/>
  <c r="R310" i="32"/>
  <c r="P310" i="32"/>
  <c r="O310" i="32"/>
  <c r="M310" i="32"/>
  <c r="L310" i="32"/>
  <c r="J310" i="32"/>
  <c r="I310" i="32"/>
  <c r="G310" i="32"/>
  <c r="F310" i="32"/>
  <c r="D310" i="32"/>
  <c r="D309" i="32"/>
  <c r="E308" i="32"/>
  <c r="D308" i="32"/>
  <c r="D307" i="32"/>
  <c r="C325" i="32"/>
  <c r="C310" i="32"/>
  <c r="C323" i="32"/>
  <c r="C308" i="32"/>
  <c r="C322" i="32"/>
  <c r="C307" i="32"/>
  <c r="Z293" i="32"/>
  <c r="W295" i="32"/>
  <c r="V295" i="32"/>
  <c r="U295" i="32"/>
  <c r="S295" i="32"/>
  <c r="R295" i="32"/>
  <c r="P295" i="32"/>
  <c r="O295" i="32"/>
  <c r="M295" i="32"/>
  <c r="L295" i="32"/>
  <c r="J295" i="32"/>
  <c r="I295" i="32"/>
  <c r="G295" i="32"/>
  <c r="F295" i="32"/>
  <c r="D295" i="32"/>
  <c r="D294" i="32"/>
  <c r="V293" i="32"/>
  <c r="S293" i="32"/>
  <c r="P293" i="32"/>
  <c r="M293" i="32"/>
  <c r="J293" i="32"/>
  <c r="G293" i="32"/>
  <c r="F293" i="32"/>
  <c r="E293" i="32"/>
  <c r="D293" i="32"/>
  <c r="D292" i="32"/>
  <c r="W280" i="32"/>
  <c r="V280" i="32"/>
  <c r="Z280" i="32" s="1"/>
  <c r="U280" i="32"/>
  <c r="Y280" i="32" s="1"/>
  <c r="S280" i="32"/>
  <c r="R280" i="32"/>
  <c r="P280" i="32"/>
  <c r="O280" i="32"/>
  <c r="M280" i="32"/>
  <c r="L280" i="32"/>
  <c r="J280" i="32"/>
  <c r="I280" i="32"/>
  <c r="G280" i="32"/>
  <c r="F280" i="32"/>
  <c r="D280" i="32"/>
  <c r="D279" i="32"/>
  <c r="E278" i="32"/>
  <c r="D278" i="32"/>
  <c r="E277" i="32"/>
  <c r="D277" i="32"/>
  <c r="C295" i="32"/>
  <c r="C280" i="32"/>
  <c r="C293" i="32"/>
  <c r="C278" i="32"/>
  <c r="C292" i="32"/>
  <c r="C277" i="32"/>
  <c r="Z263" i="32"/>
  <c r="Z248" i="32"/>
  <c r="W265" i="32"/>
  <c r="V265" i="32"/>
  <c r="Z265" i="32" s="1"/>
  <c r="U265" i="32"/>
  <c r="Y265" i="32" s="1"/>
  <c r="S265" i="32"/>
  <c r="R265" i="32"/>
  <c r="P265" i="32"/>
  <c r="O265" i="32"/>
  <c r="M265" i="32"/>
  <c r="L265" i="32"/>
  <c r="J265" i="32"/>
  <c r="I265" i="32"/>
  <c r="G265" i="32"/>
  <c r="F265" i="32"/>
  <c r="D265" i="32"/>
  <c r="V264" i="32"/>
  <c r="Z264" i="32" s="1"/>
  <c r="S264" i="32"/>
  <c r="P264" i="32"/>
  <c r="M264" i="32"/>
  <c r="J264" i="32"/>
  <c r="G264" i="32"/>
  <c r="D264" i="32"/>
  <c r="V263" i="32"/>
  <c r="S263" i="32"/>
  <c r="P263" i="32"/>
  <c r="M263" i="32"/>
  <c r="J263" i="32"/>
  <c r="G263" i="32"/>
  <c r="F263" i="32"/>
  <c r="E262" i="32"/>
  <c r="D262" i="32"/>
  <c r="V250" i="32"/>
  <c r="Z250" i="32" s="1"/>
  <c r="U250" i="32"/>
  <c r="Y250" i="32" s="1"/>
  <c r="S250" i="32"/>
  <c r="R250" i="32"/>
  <c r="P250" i="32"/>
  <c r="O250" i="32"/>
  <c r="M250" i="32"/>
  <c r="L250" i="32"/>
  <c r="J250" i="32"/>
  <c r="I250" i="32"/>
  <c r="G250" i="32"/>
  <c r="F250" i="32"/>
  <c r="D250" i="32"/>
  <c r="D249" i="32"/>
  <c r="V248" i="32"/>
  <c r="S248" i="32"/>
  <c r="P248" i="32"/>
  <c r="M248" i="32"/>
  <c r="J248" i="32"/>
  <c r="G248" i="32"/>
  <c r="F248" i="32"/>
  <c r="D247" i="32"/>
  <c r="C265" i="32"/>
  <c r="C250" i="32"/>
  <c r="C263" i="32"/>
  <c r="C248" i="32"/>
  <c r="C262" i="32"/>
  <c r="C247" i="32"/>
  <c r="D234" i="32"/>
  <c r="E233" i="32"/>
  <c r="D233" i="32"/>
  <c r="D232" i="32"/>
  <c r="V219" i="32"/>
  <c r="Z219" i="32" s="1"/>
  <c r="U219" i="32"/>
  <c r="S219" i="32"/>
  <c r="R219" i="32"/>
  <c r="P219" i="32"/>
  <c r="O219" i="32"/>
  <c r="M219" i="32"/>
  <c r="L219" i="32"/>
  <c r="J219" i="32"/>
  <c r="I219" i="32"/>
  <c r="G219" i="32"/>
  <c r="F219" i="32"/>
  <c r="D219" i="32"/>
  <c r="D218" i="32"/>
  <c r="E217" i="32"/>
  <c r="D217" i="32"/>
  <c r="E216" i="32"/>
  <c r="D216" i="32"/>
  <c r="C219" i="32"/>
  <c r="C233" i="32"/>
  <c r="C217" i="32"/>
  <c r="C232" i="32"/>
  <c r="C216" i="32"/>
  <c r="E203" i="32"/>
  <c r="D203" i="32"/>
  <c r="E202" i="32"/>
  <c r="D202" i="32"/>
  <c r="E201" i="32"/>
  <c r="D201" i="32"/>
  <c r="V188" i="32"/>
  <c r="Z188" i="32" s="1"/>
  <c r="U188" i="32"/>
  <c r="S188" i="32"/>
  <c r="R188" i="32"/>
  <c r="P188" i="32"/>
  <c r="O188" i="32"/>
  <c r="M188" i="32"/>
  <c r="L188" i="32"/>
  <c r="J188" i="32"/>
  <c r="I188" i="32"/>
  <c r="G188" i="32"/>
  <c r="F188" i="32"/>
  <c r="D188" i="32"/>
  <c r="E187" i="32"/>
  <c r="D187" i="32"/>
  <c r="E185" i="32"/>
  <c r="D185" i="32"/>
  <c r="C188" i="32"/>
  <c r="C202" i="32"/>
  <c r="C186" i="32"/>
  <c r="C201" i="32"/>
  <c r="C185" i="32"/>
  <c r="Z171" i="32"/>
  <c r="Z156" i="32"/>
  <c r="V173" i="32"/>
  <c r="Z173" i="32" s="1"/>
  <c r="U173" i="32"/>
  <c r="S173" i="32"/>
  <c r="R173" i="32"/>
  <c r="P173" i="32"/>
  <c r="O173" i="32"/>
  <c r="M173" i="32"/>
  <c r="L173" i="32"/>
  <c r="J173" i="32"/>
  <c r="I173" i="32"/>
  <c r="G173" i="32"/>
  <c r="F173" i="32"/>
  <c r="D173" i="32"/>
  <c r="D172" i="32"/>
  <c r="V171" i="32"/>
  <c r="S171" i="32"/>
  <c r="P171" i="32"/>
  <c r="M171" i="32"/>
  <c r="J171" i="32"/>
  <c r="G171" i="32"/>
  <c r="F171" i="32"/>
  <c r="E170" i="32"/>
  <c r="D170" i="32"/>
  <c r="V158" i="32"/>
  <c r="Z158" i="32" s="1"/>
  <c r="U158" i="32"/>
  <c r="Y158" i="32" s="1"/>
  <c r="S158" i="32"/>
  <c r="R158" i="32"/>
  <c r="P158" i="32"/>
  <c r="O158" i="32"/>
  <c r="M158" i="32"/>
  <c r="L158" i="32"/>
  <c r="J158" i="32"/>
  <c r="I158" i="32"/>
  <c r="G158" i="32"/>
  <c r="F158" i="32"/>
  <c r="D158" i="32"/>
  <c r="D157" i="32"/>
  <c r="V156" i="32"/>
  <c r="S156" i="32"/>
  <c r="P156" i="32"/>
  <c r="M156" i="32"/>
  <c r="J156" i="32"/>
  <c r="G156" i="32"/>
  <c r="F156" i="32"/>
  <c r="E155" i="32"/>
  <c r="D155" i="32"/>
  <c r="C173" i="32"/>
  <c r="C158" i="32"/>
  <c r="C171" i="32"/>
  <c r="C156" i="32"/>
  <c r="C170" i="32"/>
  <c r="C155" i="32"/>
  <c r="V143" i="32"/>
  <c r="Z143" i="32" s="1"/>
  <c r="U143" i="32"/>
  <c r="Y143" i="32" s="1"/>
  <c r="S143" i="32"/>
  <c r="R143" i="32"/>
  <c r="P143" i="32"/>
  <c r="O143" i="32"/>
  <c r="M143" i="32"/>
  <c r="L143" i="32"/>
  <c r="J143" i="32"/>
  <c r="I143" i="32"/>
  <c r="G143" i="32"/>
  <c r="F143" i="32"/>
  <c r="D143" i="32"/>
  <c r="E141" i="32"/>
  <c r="D141" i="32"/>
  <c r="E140" i="32"/>
  <c r="D140" i="32"/>
  <c r="D127" i="32"/>
  <c r="E126" i="32"/>
  <c r="D126" i="32"/>
  <c r="E125" i="32"/>
  <c r="D125" i="32"/>
  <c r="C143" i="32"/>
  <c r="C141" i="32"/>
  <c r="C126" i="32"/>
  <c r="C140" i="32"/>
  <c r="C125" i="32"/>
  <c r="E110" i="32"/>
  <c r="D110" i="32"/>
  <c r="C110" i="32"/>
  <c r="E94" i="32"/>
  <c r="D94" i="32"/>
  <c r="C94" i="32"/>
  <c r="V113" i="32"/>
  <c r="Z113" i="32" s="1"/>
  <c r="U113" i="32"/>
  <c r="Y113" i="32" s="1"/>
  <c r="S113" i="32"/>
  <c r="R113" i="32"/>
  <c r="P113" i="32"/>
  <c r="O113" i="32"/>
  <c r="M113" i="32"/>
  <c r="L113" i="32"/>
  <c r="J113" i="32"/>
  <c r="I113" i="32"/>
  <c r="G113" i="32"/>
  <c r="F113" i="32"/>
  <c r="D113" i="32"/>
  <c r="D112" i="32"/>
  <c r="V97" i="32"/>
  <c r="Z97" i="32" s="1"/>
  <c r="U97" i="32"/>
  <c r="S97" i="32"/>
  <c r="R97" i="32"/>
  <c r="P97" i="32"/>
  <c r="O97" i="32"/>
  <c r="M97" i="32"/>
  <c r="L97" i="32"/>
  <c r="J97" i="32"/>
  <c r="I97" i="32"/>
  <c r="G97" i="32"/>
  <c r="F97" i="32"/>
  <c r="D97" i="32"/>
  <c r="D96" i="32"/>
  <c r="C113" i="32"/>
  <c r="C97" i="32"/>
  <c r="C95" i="32"/>
  <c r="C111" i="32"/>
  <c r="Z72" i="32"/>
  <c r="V79" i="32"/>
  <c r="Z79" i="32" s="1"/>
  <c r="U79" i="32"/>
  <c r="Y79" i="32" s="1"/>
  <c r="S79" i="32"/>
  <c r="R79" i="32"/>
  <c r="P79" i="32"/>
  <c r="O79" i="32"/>
  <c r="M79" i="32"/>
  <c r="L79" i="32"/>
  <c r="J79" i="32"/>
  <c r="I79" i="32"/>
  <c r="G79" i="32"/>
  <c r="F79" i="32"/>
  <c r="D79" i="32"/>
  <c r="V78" i="32"/>
  <c r="Z78" i="32" s="1"/>
  <c r="U78" i="32"/>
  <c r="Y78" i="32" s="1"/>
  <c r="S78" i="32"/>
  <c r="R78" i="32"/>
  <c r="P78" i="32"/>
  <c r="O78" i="32"/>
  <c r="M78" i="32"/>
  <c r="L78" i="32"/>
  <c r="J78" i="32"/>
  <c r="I78" i="32"/>
  <c r="G78" i="32"/>
  <c r="F78" i="32"/>
  <c r="D78" i="32"/>
  <c r="D76" i="32"/>
  <c r="V75" i="32"/>
  <c r="S75" i="32"/>
  <c r="P75" i="32"/>
  <c r="M75" i="32"/>
  <c r="J75" i="32"/>
  <c r="G75" i="32"/>
  <c r="D75" i="32"/>
  <c r="E73" i="32"/>
  <c r="D73" i="32"/>
  <c r="V72" i="32"/>
  <c r="S72" i="32"/>
  <c r="P72" i="32"/>
  <c r="M72" i="32"/>
  <c r="J72" i="32"/>
  <c r="G72" i="32"/>
  <c r="F72" i="32"/>
  <c r="E72" i="32"/>
  <c r="D72" i="32"/>
  <c r="D70" i="32"/>
  <c r="E69" i="32"/>
  <c r="D69" i="32"/>
  <c r="AA66" i="32"/>
  <c r="Z66" i="32"/>
  <c r="Y66" i="32"/>
  <c r="W66" i="32"/>
  <c r="V66" i="32"/>
  <c r="U66" i="32"/>
  <c r="T66" i="32"/>
  <c r="S66" i="32"/>
  <c r="R66" i="32"/>
  <c r="Q66" i="32"/>
  <c r="P66" i="32"/>
  <c r="O66" i="32"/>
  <c r="N66" i="32"/>
  <c r="M66" i="32"/>
  <c r="L66" i="32"/>
  <c r="K66" i="32"/>
  <c r="J66" i="32"/>
  <c r="I66" i="32"/>
  <c r="H66" i="32"/>
  <c r="G66" i="32"/>
  <c r="F66" i="32"/>
  <c r="E66" i="32"/>
  <c r="D66" i="32"/>
  <c r="C79" i="32"/>
  <c r="C73" i="32"/>
  <c r="C70" i="32"/>
  <c r="C78" i="32"/>
  <c r="C72" i="32"/>
  <c r="C69" i="32"/>
  <c r="C66" i="32"/>
  <c r="Z41" i="32"/>
  <c r="Z44" i="32"/>
  <c r="Z43" i="32"/>
  <c r="V50" i="32"/>
  <c r="Z50" i="32" s="1"/>
  <c r="U50" i="32"/>
  <c r="Y50" i="32" s="1"/>
  <c r="S50" i="32"/>
  <c r="R50" i="32"/>
  <c r="P50" i="32"/>
  <c r="O50" i="32"/>
  <c r="M50" i="32"/>
  <c r="L50" i="32"/>
  <c r="J50" i="32"/>
  <c r="I50" i="32"/>
  <c r="G50" i="32"/>
  <c r="F50" i="32"/>
  <c r="D50" i="32"/>
  <c r="V49" i="32"/>
  <c r="Z49" i="32" s="1"/>
  <c r="U49" i="32"/>
  <c r="Y49" i="32" s="1"/>
  <c r="S49" i="32"/>
  <c r="R49" i="32"/>
  <c r="P49" i="32"/>
  <c r="O49" i="32"/>
  <c r="M49" i="32"/>
  <c r="L49" i="32"/>
  <c r="J49" i="32"/>
  <c r="I49" i="32"/>
  <c r="G49" i="32"/>
  <c r="F49" i="32"/>
  <c r="D49" i="32"/>
  <c r="D47" i="32"/>
  <c r="D46" i="32"/>
  <c r="V44" i="32"/>
  <c r="S44" i="32"/>
  <c r="P44" i="32"/>
  <c r="M44" i="32"/>
  <c r="J44" i="32"/>
  <c r="G44" i="32"/>
  <c r="F44" i="32"/>
  <c r="E44" i="32"/>
  <c r="D44" i="32"/>
  <c r="V43" i="32"/>
  <c r="S43" i="32"/>
  <c r="P43" i="32"/>
  <c r="M43" i="32"/>
  <c r="J43" i="32"/>
  <c r="G43" i="32"/>
  <c r="F43" i="32"/>
  <c r="E43" i="32"/>
  <c r="D43" i="32"/>
  <c r="V41" i="32"/>
  <c r="S41" i="32"/>
  <c r="P41" i="32"/>
  <c r="M41" i="32"/>
  <c r="J41" i="32"/>
  <c r="G41" i="32"/>
  <c r="E41" i="32"/>
  <c r="D41" i="32"/>
  <c r="E40" i="32"/>
  <c r="D40" i="32"/>
  <c r="Z38" i="32"/>
  <c r="AA37" i="32"/>
  <c r="Z37" i="32"/>
  <c r="Y37" i="32"/>
  <c r="V38" i="32"/>
  <c r="S38" i="32"/>
  <c r="P38" i="32"/>
  <c r="M38" i="32"/>
  <c r="J38" i="32"/>
  <c r="G38" i="32"/>
  <c r="D38" i="32"/>
  <c r="W37" i="32"/>
  <c r="V37" i="32"/>
  <c r="U37" i="32"/>
  <c r="T37" i="32"/>
  <c r="S37" i="32"/>
  <c r="R37" i="32"/>
  <c r="Q37" i="32"/>
  <c r="P37" i="32"/>
  <c r="O37" i="32"/>
  <c r="N37" i="32"/>
  <c r="M37" i="32"/>
  <c r="L37" i="32"/>
  <c r="K37" i="32"/>
  <c r="J37" i="32"/>
  <c r="I37" i="32"/>
  <c r="H37" i="32"/>
  <c r="G37" i="32"/>
  <c r="F37" i="32"/>
  <c r="E37" i="32"/>
  <c r="D37" i="32"/>
  <c r="AA35" i="32"/>
  <c r="Z35" i="32"/>
  <c r="Y35" i="32"/>
  <c r="W35" i="32"/>
  <c r="V35" i="32"/>
  <c r="U35" i="32"/>
  <c r="T35" i="32"/>
  <c r="S35" i="32"/>
  <c r="R35" i="32"/>
  <c r="Q35" i="32"/>
  <c r="P35" i="32"/>
  <c r="O35" i="32"/>
  <c r="N35" i="32"/>
  <c r="M35" i="32"/>
  <c r="L35" i="32"/>
  <c r="K35" i="32"/>
  <c r="J35" i="32"/>
  <c r="I35" i="32"/>
  <c r="H35" i="32"/>
  <c r="G35" i="32"/>
  <c r="F35" i="32"/>
  <c r="E35" i="32"/>
  <c r="D35" i="32"/>
  <c r="C50" i="32"/>
  <c r="C44" i="32"/>
  <c r="C41" i="32"/>
  <c r="C35" i="32"/>
  <c r="C49" i="32"/>
  <c r="C43" i="32"/>
  <c r="C40" i="32"/>
  <c r="C37" i="32"/>
  <c r="AA340" i="32"/>
  <c r="Y325" i="32"/>
  <c r="AA310" i="32"/>
  <c r="Z310" i="32"/>
  <c r="Y310" i="32"/>
  <c r="Z295" i="32"/>
  <c r="Y295" i="32"/>
  <c r="AA280" i="32"/>
  <c r="AA265" i="32"/>
  <c r="Y219" i="32"/>
  <c r="Y188" i="32"/>
  <c r="Y173" i="32"/>
  <c r="Y97" i="32"/>
  <c r="Z75" i="32"/>
  <c r="D18" i="32"/>
  <c r="D17" i="32"/>
  <c r="E15" i="32"/>
  <c r="D15" i="32"/>
  <c r="E14" i="32"/>
  <c r="C15" i="32"/>
  <c r="C14" i="32"/>
  <c r="D12" i="32"/>
  <c r="E11" i="32"/>
  <c r="D11" i="32"/>
  <c r="C12" i="32"/>
  <c r="C11" i="32"/>
  <c r="AA8" i="32"/>
  <c r="Z8" i="32"/>
  <c r="Y8" i="32"/>
  <c r="W8" i="32"/>
  <c r="V8" i="32"/>
  <c r="U8" i="32"/>
  <c r="T8" i="32"/>
  <c r="S8" i="32"/>
  <c r="R8" i="32"/>
  <c r="Q8" i="32"/>
  <c r="P8" i="32"/>
  <c r="O8" i="32"/>
  <c r="N8" i="32"/>
  <c r="M8" i="32"/>
  <c r="L8" i="32"/>
  <c r="K8" i="32"/>
  <c r="J8" i="32"/>
  <c r="I8" i="32"/>
  <c r="H8" i="32"/>
  <c r="G8" i="32"/>
  <c r="F8" i="32"/>
  <c r="D8" i="32"/>
  <c r="AA325" i="32" l="1"/>
  <c r="AC37" i="32"/>
  <c r="AC66" i="32"/>
  <c r="AA295" i="32"/>
  <c r="AC35" i="32"/>
  <c r="Z80" i="32"/>
  <c r="Y80" i="32"/>
  <c r="V80" i="32"/>
  <c r="U80" i="32"/>
  <c r="S80" i="32"/>
  <c r="R80" i="32"/>
  <c r="P80" i="32"/>
  <c r="O80" i="32"/>
  <c r="M80" i="32"/>
  <c r="L80" i="32"/>
  <c r="J80" i="32"/>
  <c r="I80" i="32"/>
  <c r="G80" i="32"/>
  <c r="F80" i="32"/>
  <c r="D80" i="32"/>
  <c r="C80" i="32"/>
  <c r="D77" i="32"/>
  <c r="E74" i="32"/>
  <c r="D74" i="32"/>
  <c r="C74" i="32"/>
  <c r="D71" i="32"/>
  <c r="C71" i="32"/>
  <c r="X66" i="32"/>
  <c r="D53" i="32"/>
  <c r="Z51" i="32"/>
  <c r="Y51" i="32"/>
  <c r="V51" i="32"/>
  <c r="U51" i="32"/>
  <c r="S51" i="32"/>
  <c r="R51" i="32"/>
  <c r="P51" i="32"/>
  <c r="O51" i="32"/>
  <c r="M51" i="32"/>
  <c r="L51" i="32"/>
  <c r="J51" i="32"/>
  <c r="I51" i="32"/>
  <c r="G51" i="32"/>
  <c r="F51" i="32"/>
  <c r="D51" i="32"/>
  <c r="C51" i="32"/>
  <c r="D48" i="32"/>
  <c r="Z45" i="32"/>
  <c r="V45" i="32"/>
  <c r="S45" i="32"/>
  <c r="P45" i="32"/>
  <c r="M45" i="32"/>
  <c r="J45" i="32"/>
  <c r="G45" i="32"/>
  <c r="F45" i="32"/>
  <c r="E45" i="32"/>
  <c r="D45" i="32"/>
  <c r="C45" i="32"/>
  <c r="E42" i="32"/>
  <c r="D42" i="32"/>
  <c r="C42" i="32"/>
  <c r="Z39" i="32"/>
  <c r="V39" i="32"/>
  <c r="S39" i="32"/>
  <c r="P39" i="32"/>
  <c r="M39" i="32"/>
  <c r="J39" i="32"/>
  <c r="G39" i="32"/>
  <c r="D39" i="32"/>
  <c r="X37" i="32"/>
  <c r="D19" i="32" l="1"/>
  <c r="E16" i="32"/>
  <c r="C16" i="32"/>
  <c r="D13" i="32"/>
  <c r="C13" i="32"/>
  <c r="AC17" i="29" l="1"/>
  <c r="AB17" i="29"/>
  <c r="AA17" i="29"/>
  <c r="Z17" i="29"/>
  <c r="Y17" i="29"/>
  <c r="AD17" i="29" l="1"/>
  <c r="AD15" i="29"/>
  <c r="AD12" i="29"/>
  <c r="Y7" i="29" l="1"/>
  <c r="V7" i="29"/>
  <c r="U7" i="29"/>
  <c r="T7" i="29"/>
  <c r="S7" i="29"/>
  <c r="R7" i="29"/>
  <c r="AN16" i="29" l="1"/>
  <c r="AO16" i="29" s="1"/>
  <c r="AP16" i="29" s="1"/>
  <c r="AQ16" i="29" s="1"/>
  <c r="AR16" i="29" s="1"/>
  <c r="AS16" i="29" s="1"/>
  <c r="AI16" i="29"/>
  <c r="AJ16" i="29" s="1"/>
  <c r="AK16" i="29" s="1"/>
  <c r="AL16" i="29" s="1"/>
  <c r="AM16" i="29" s="1"/>
  <c r="AH16" i="29"/>
  <c r="AE13" i="14" l="1"/>
  <c r="AE10" i="14"/>
  <c r="W24" i="14"/>
  <c r="W22" i="14"/>
  <c r="W20" i="14"/>
  <c r="W19" i="14"/>
  <c r="W18" i="14"/>
  <c r="W17" i="14"/>
  <c r="W15" i="14"/>
  <c r="W14" i="14"/>
  <c r="W13" i="14"/>
  <c r="V13" i="14"/>
  <c r="U13" i="14"/>
  <c r="W12" i="14"/>
  <c r="W11" i="14"/>
  <c r="V10" i="14"/>
  <c r="U10" i="14"/>
  <c r="W9" i="14"/>
  <c r="W8" i="14"/>
  <c r="V17" i="15"/>
  <c r="V18" i="15" s="1"/>
  <c r="U23" i="14" s="1"/>
  <c r="U235" i="32" s="1"/>
  <c r="Y235" i="32" s="1"/>
  <c r="AM17" i="29"/>
  <c r="AD18" i="29"/>
  <c r="X14" i="29"/>
  <c r="AS14" i="29" s="1"/>
  <c r="AF15" i="15" s="1"/>
  <c r="W15" i="15" s="1"/>
  <c r="X13" i="29"/>
  <c r="AS13" i="29" s="1"/>
  <c r="X11" i="29"/>
  <c r="AN11" i="29" s="1"/>
  <c r="X10" i="29"/>
  <c r="AS10" i="29" s="1"/>
  <c r="AF11" i="15" s="1"/>
  <c r="X9" i="29"/>
  <c r="AS9" i="29" s="1"/>
  <c r="AF10" i="15" s="1"/>
  <c r="W10" i="15" s="1"/>
  <c r="X8" i="29"/>
  <c r="AS8" i="29" s="1"/>
  <c r="AF9" i="15" s="1"/>
  <c r="W9" i="15" s="1"/>
  <c r="W14" i="29"/>
  <c r="AM14" i="29" s="1"/>
  <c r="W13" i="29"/>
  <c r="AM13" i="29" s="1"/>
  <c r="V14" i="15" s="1"/>
  <c r="W11" i="29"/>
  <c r="AM11" i="29" s="1"/>
  <c r="V12" i="15" s="1"/>
  <c r="W10" i="29"/>
  <c r="AM10" i="29" s="1"/>
  <c r="V11" i="15" s="1"/>
  <c r="W9" i="29"/>
  <c r="AM9" i="29" s="1"/>
  <c r="V10" i="15" s="1"/>
  <c r="W8" i="29"/>
  <c r="AM8" i="29" s="1"/>
  <c r="E18" i="15"/>
  <c r="D17" i="15"/>
  <c r="F17" i="15" s="1"/>
  <c r="F18" i="15" s="1"/>
  <c r="D15" i="15"/>
  <c r="F15" i="15" s="1"/>
  <c r="D14" i="15"/>
  <c r="F14" i="15" s="1"/>
  <c r="F16" i="15" s="1"/>
  <c r="D12" i="15"/>
  <c r="F12" i="15" s="1"/>
  <c r="D11" i="15"/>
  <c r="F11" i="15" s="1"/>
  <c r="D10" i="15"/>
  <c r="F10" i="15" s="1"/>
  <c r="D9" i="15"/>
  <c r="F9" i="15" s="1"/>
  <c r="D7" i="15"/>
  <c r="F7" i="15" s="1"/>
  <c r="F20" i="15" s="1"/>
  <c r="D5" i="15"/>
  <c r="F5" i="15" s="1"/>
  <c r="AE44" i="14"/>
  <c r="AD44" i="14"/>
  <c r="AC44" i="14"/>
  <c r="AB44" i="14"/>
  <c r="AA44" i="14"/>
  <c r="Z44" i="14"/>
  <c r="Y44" i="14"/>
  <c r="D44" i="14"/>
  <c r="D40" i="4" s="1"/>
  <c r="F44" i="14"/>
  <c r="G44" i="14"/>
  <c r="I44" i="14"/>
  <c r="J44" i="14"/>
  <c r="L44" i="14"/>
  <c r="L40" i="4" s="1"/>
  <c r="M44" i="14"/>
  <c r="M40" i="4" s="1"/>
  <c r="O44" i="14"/>
  <c r="O40" i="4" s="1"/>
  <c r="P44" i="14"/>
  <c r="R44" i="14"/>
  <c r="S44" i="14"/>
  <c r="S40" i="4" s="1"/>
  <c r="U44" i="14"/>
  <c r="U40" i="4" s="1"/>
  <c r="Y40" i="4" s="1"/>
  <c r="V44" i="14"/>
  <c r="V40" i="4" s="1"/>
  <c r="Z40" i="4" s="1"/>
  <c r="W44" i="14"/>
  <c r="C44" i="14"/>
  <c r="C40" i="4" s="1"/>
  <c r="R40" i="4"/>
  <c r="P40" i="4"/>
  <c r="J40" i="4"/>
  <c r="I40" i="4"/>
  <c r="G40" i="4"/>
  <c r="F40" i="4"/>
  <c r="D37" i="4"/>
  <c r="C11" i="4"/>
  <c r="F13" i="15" l="1"/>
  <c r="F19" i="15" s="1"/>
  <c r="F21" i="15" s="1"/>
  <c r="F8" i="15"/>
  <c r="W49" i="32"/>
  <c r="W40" i="4"/>
  <c r="AA40" i="4" s="1"/>
  <c r="W78" i="32"/>
  <c r="W79" i="32"/>
  <c r="W50" i="32"/>
  <c r="W113" i="32"/>
  <c r="W143" i="32"/>
  <c r="W158" i="32"/>
  <c r="W173" i="32"/>
  <c r="W188" i="32"/>
  <c r="W219" i="32"/>
  <c r="W250" i="32"/>
  <c r="W97" i="32"/>
  <c r="AQ9" i="29"/>
  <c r="AO11" i="29"/>
  <c r="AS11" i="29"/>
  <c r="AF12" i="15" s="1"/>
  <c r="W12" i="15" s="1"/>
  <c r="X12" i="15" s="1"/>
  <c r="AH12" i="15" s="1"/>
  <c r="AD20" i="29"/>
  <c r="AN9" i="29"/>
  <c r="AP11" i="29"/>
  <c r="AO9" i="29"/>
  <c r="AQ11" i="29"/>
  <c r="AP9" i="29"/>
  <c r="AR11" i="29"/>
  <c r="AR9" i="29"/>
  <c r="AS17" i="29"/>
  <c r="AF17" i="15"/>
  <c r="AS15" i="29"/>
  <c r="AF14" i="15"/>
  <c r="AF16" i="15" s="1"/>
  <c r="AE21" i="14" s="1"/>
  <c r="AF13" i="15"/>
  <c r="AE16" i="14" s="1"/>
  <c r="AM15" i="29"/>
  <c r="V15" i="15"/>
  <c r="V16" i="15" s="1"/>
  <c r="U21" i="14" s="1"/>
  <c r="U204" i="32" s="1"/>
  <c r="Y204" i="32" s="1"/>
  <c r="E16" i="15"/>
  <c r="X10" i="15"/>
  <c r="AH10" i="15" s="1"/>
  <c r="AM12" i="29"/>
  <c r="V9" i="15"/>
  <c r="V13" i="15" s="1"/>
  <c r="U16" i="14" s="1"/>
  <c r="U128" i="32" s="1"/>
  <c r="Y128" i="32" s="1"/>
  <c r="W11" i="15"/>
  <c r="X11" i="15" s="1"/>
  <c r="AH11" i="15" s="1"/>
  <c r="W10" i="14"/>
  <c r="E13" i="15"/>
  <c r="E8" i="15"/>
  <c r="AS12" i="29"/>
  <c r="E20" i="15"/>
  <c r="AA173" i="32" l="1"/>
  <c r="AA50" i="32"/>
  <c r="AA188" i="32"/>
  <c r="AA113" i="32"/>
  <c r="AA97" i="32"/>
  <c r="AA158" i="32"/>
  <c r="AA250" i="32"/>
  <c r="AA143" i="32"/>
  <c r="AA79" i="32"/>
  <c r="AA219" i="32"/>
  <c r="AA49" i="32"/>
  <c r="AA51" i="32" s="1"/>
  <c r="W51" i="32"/>
  <c r="AA78" i="32"/>
  <c r="AA80" i="32" s="1"/>
  <c r="W80" i="32"/>
  <c r="AF18" i="15"/>
  <c r="AE23" i="14" s="1"/>
  <c r="W17" i="15"/>
  <c r="W14" i="15"/>
  <c r="X14" i="15" s="1"/>
  <c r="AH14" i="15" s="1"/>
  <c r="X15" i="15"/>
  <c r="AH15" i="15" s="1"/>
  <c r="E19" i="15"/>
  <c r="E21" i="15" s="1"/>
  <c r="X9" i="15"/>
  <c r="W13" i="15"/>
  <c r="V16" i="14" s="1"/>
  <c r="X13" i="15" l="1"/>
  <c r="AH13" i="15" s="1"/>
  <c r="AH9" i="15"/>
  <c r="W16" i="14"/>
  <c r="V128" i="32"/>
  <c r="Z128" i="32" s="1"/>
  <c r="X17" i="15"/>
  <c r="W18" i="15"/>
  <c r="V23" i="14" s="1"/>
  <c r="V235" i="32" s="1"/>
  <c r="Z235" i="32" s="1"/>
  <c r="W16" i="15"/>
  <c r="V21" i="14" s="1"/>
  <c r="V204" i="32" s="1"/>
  <c r="Z204" i="32" s="1"/>
  <c r="X16" i="15"/>
  <c r="AH16" i="15" s="1"/>
  <c r="G44" i="28"/>
  <c r="F44" i="28"/>
  <c r="E44" i="28"/>
  <c r="D44" i="28"/>
  <c r="C44" i="28"/>
  <c r="E43" i="13"/>
  <c r="E42" i="13"/>
  <c r="E41" i="13"/>
  <c r="E40" i="13"/>
  <c r="E39" i="13"/>
  <c r="E24" i="13"/>
  <c r="E23" i="13"/>
  <c r="E22" i="13"/>
  <c r="E218" i="32" s="1"/>
  <c r="C21" i="13"/>
  <c r="C203" i="32" s="1"/>
  <c r="C20" i="13"/>
  <c r="C187" i="32" s="1"/>
  <c r="E18" i="13"/>
  <c r="E17" i="13"/>
  <c r="E16" i="13"/>
  <c r="E15" i="13"/>
  <c r="E14" i="13"/>
  <c r="E12" i="13"/>
  <c r="E11" i="13"/>
  <c r="E9" i="13"/>
  <c r="E8" i="13"/>
  <c r="E6" i="13"/>
  <c r="E5" i="13"/>
  <c r="X18" i="15" l="1"/>
  <c r="AH18" i="15" s="1"/>
  <c r="AH17" i="15"/>
  <c r="C17" i="13"/>
  <c r="C142" i="32" s="1"/>
  <c r="E142" i="32"/>
  <c r="W128" i="32"/>
  <c r="C15" i="13"/>
  <c r="C112" i="32" s="1"/>
  <c r="E112" i="32"/>
  <c r="C5" i="13"/>
  <c r="C17" i="32" s="1"/>
  <c r="E17" i="32"/>
  <c r="C16" i="13"/>
  <c r="E127" i="32"/>
  <c r="C6" i="13"/>
  <c r="E18" i="32"/>
  <c r="C39" i="13"/>
  <c r="C264" i="32" s="1"/>
  <c r="E264" i="32"/>
  <c r="C14" i="13"/>
  <c r="C96" i="32" s="1"/>
  <c r="E96" i="32"/>
  <c r="C23" i="13"/>
  <c r="C234" i="32" s="1"/>
  <c r="E234" i="32"/>
  <c r="C22" i="13"/>
  <c r="C218" i="32" s="1"/>
  <c r="C24" i="13"/>
  <c r="C249" i="32" s="1"/>
  <c r="E249" i="32"/>
  <c r="C8" i="13"/>
  <c r="C46" i="32" s="1"/>
  <c r="E46" i="32"/>
  <c r="C18" i="13"/>
  <c r="C157" i="32" s="1"/>
  <c r="E157" i="32"/>
  <c r="C40" i="13"/>
  <c r="C279" i="32" s="1"/>
  <c r="E279" i="32"/>
  <c r="C41" i="13"/>
  <c r="C294" i="32" s="1"/>
  <c r="E294" i="32"/>
  <c r="C19" i="13"/>
  <c r="C172" i="32" s="1"/>
  <c r="E172" i="32"/>
  <c r="C11" i="13"/>
  <c r="C75" i="32" s="1"/>
  <c r="E75" i="32"/>
  <c r="C42" i="13"/>
  <c r="C309" i="32" s="1"/>
  <c r="E309" i="32"/>
  <c r="C44" i="13"/>
  <c r="C339" i="32" s="1"/>
  <c r="E339" i="32"/>
  <c r="C9" i="13"/>
  <c r="C47" i="32" s="1"/>
  <c r="E47" i="32"/>
  <c r="C12" i="13"/>
  <c r="C76" i="32" s="1"/>
  <c r="E76" i="32"/>
  <c r="C43" i="13"/>
  <c r="C324" i="32" s="1"/>
  <c r="E324" i="32"/>
  <c r="W23" i="14"/>
  <c r="W21" i="14"/>
  <c r="E19" i="32" l="1"/>
  <c r="AA128" i="32"/>
  <c r="W204" i="32"/>
  <c r="W235" i="32"/>
  <c r="C127" i="32"/>
  <c r="C26" i="13"/>
  <c r="C18" i="32"/>
  <c r="C19" i="32" s="1"/>
  <c r="E48" i="32"/>
  <c r="C77" i="32"/>
  <c r="C48" i="32"/>
  <c r="E77" i="32"/>
  <c r="G25" i="28"/>
  <c r="F25" i="28"/>
  <c r="E25" i="28"/>
  <c r="D25" i="28"/>
  <c r="C25" i="28"/>
  <c r="G24" i="28"/>
  <c r="F24" i="28"/>
  <c r="E24" i="28"/>
  <c r="D24" i="28"/>
  <c r="C24" i="28"/>
  <c r="AA204" i="32" l="1"/>
  <c r="AA235" i="32"/>
  <c r="O9" i="26" l="1"/>
  <c r="N9" i="26"/>
  <c r="M9" i="26"/>
  <c r="K9" i="26"/>
  <c r="AG26" i="3"/>
  <c r="AF10" i="3"/>
  <c r="AJ8" i="3"/>
  <c r="AE8" i="3"/>
  <c r="AF7" i="3"/>
  <c r="AF4" i="3"/>
  <c r="Z8" i="3"/>
  <c r="AA7" i="3"/>
  <c r="U8" i="3"/>
  <c r="P8" i="3"/>
  <c r="C26" i="3"/>
  <c r="K8" i="3"/>
  <c r="F8" i="3"/>
  <c r="E40" i="7"/>
  <c r="P43" i="3" s="1"/>
  <c r="D40" i="7"/>
  <c r="K43" i="3" s="1"/>
  <c r="D38" i="7"/>
  <c r="K41" i="3" s="1"/>
  <c r="D12" i="7"/>
  <c r="K11" i="3" s="1"/>
  <c r="AR49" i="18"/>
  <c r="AR48" i="18"/>
  <c r="AR39" i="18"/>
  <c r="AH41" i="8"/>
  <c r="Z306" i="32" s="1"/>
  <c r="AH40" i="8"/>
  <c r="Z291" i="32" s="1"/>
  <c r="AH39" i="8"/>
  <c r="Z276" i="32" s="1"/>
  <c r="AD41" i="8"/>
  <c r="V306" i="32" s="1"/>
  <c r="AA41" i="8"/>
  <c r="S306" i="32" s="1"/>
  <c r="X41" i="8"/>
  <c r="P306" i="32" s="1"/>
  <c r="U41" i="8"/>
  <c r="M306" i="32" s="1"/>
  <c r="R41" i="8"/>
  <c r="J306" i="32" s="1"/>
  <c r="O41" i="8"/>
  <c r="G306" i="32" s="1"/>
  <c r="L41" i="8"/>
  <c r="D306" i="32" s="1"/>
  <c r="AD40" i="8"/>
  <c r="V291" i="32" s="1"/>
  <c r="AA40" i="8"/>
  <c r="S291" i="32" s="1"/>
  <c r="X40" i="8"/>
  <c r="P291" i="32" s="1"/>
  <c r="U40" i="8"/>
  <c r="M291" i="32" s="1"/>
  <c r="R40" i="8"/>
  <c r="J291" i="32" s="1"/>
  <c r="O40" i="8"/>
  <c r="G291" i="32" s="1"/>
  <c r="M40" i="8"/>
  <c r="E291" i="32" s="1"/>
  <c r="L40" i="8"/>
  <c r="D291" i="32" s="1"/>
  <c r="AD39" i="8"/>
  <c r="V276" i="32" s="1"/>
  <c r="AA39" i="8"/>
  <c r="S276" i="32" s="1"/>
  <c r="X39" i="8"/>
  <c r="P276" i="32" s="1"/>
  <c r="U39" i="8"/>
  <c r="M276" i="32" s="1"/>
  <c r="R39" i="8"/>
  <c r="J276" i="32" s="1"/>
  <c r="O39" i="8"/>
  <c r="G276" i="32" s="1"/>
  <c r="M39" i="8"/>
  <c r="E276" i="32" s="1"/>
  <c r="L39" i="8"/>
  <c r="D276" i="32" s="1"/>
  <c r="K40" i="8"/>
  <c r="C291" i="32" s="1"/>
  <c r="AF42" i="3"/>
  <c r="AA42" i="3"/>
  <c r="V42" i="3"/>
  <c r="Q42" i="3"/>
  <c r="L42" i="3"/>
  <c r="AF41" i="3"/>
  <c r="AA41" i="3"/>
  <c r="V41" i="3"/>
  <c r="Q41" i="3"/>
  <c r="L41" i="3"/>
  <c r="G42" i="3"/>
  <c r="G41" i="3"/>
  <c r="AH21" i="8"/>
  <c r="Z200" i="32" s="1"/>
  <c r="AH20" i="8"/>
  <c r="Z184" i="32" s="1"/>
  <c r="AH18" i="8"/>
  <c r="Z154" i="32" s="1"/>
  <c r="AH17" i="8"/>
  <c r="Z139" i="32" s="1"/>
  <c r="AH16" i="8"/>
  <c r="Z124" i="32" s="1"/>
  <c r="AH14" i="8"/>
  <c r="Z93" i="32" s="1"/>
  <c r="AA21" i="8"/>
  <c r="S200" i="32" s="1"/>
  <c r="X21" i="8"/>
  <c r="P200" i="32" s="1"/>
  <c r="U21" i="8"/>
  <c r="M200" i="32" s="1"/>
  <c r="R21" i="8"/>
  <c r="J200" i="32" s="1"/>
  <c r="O21" i="8"/>
  <c r="G200" i="32" s="1"/>
  <c r="L21" i="8"/>
  <c r="D200" i="32" s="1"/>
  <c r="AA20" i="8"/>
  <c r="S184" i="32" s="1"/>
  <c r="X20" i="8"/>
  <c r="P184" i="32" s="1"/>
  <c r="U20" i="8"/>
  <c r="M184" i="32" s="1"/>
  <c r="R20" i="8"/>
  <c r="J184" i="32" s="1"/>
  <c r="O20" i="8"/>
  <c r="G184" i="32" s="1"/>
  <c r="L20" i="8"/>
  <c r="D184" i="32" s="1"/>
  <c r="AD18" i="8"/>
  <c r="V154" i="32" s="1"/>
  <c r="AA18" i="8"/>
  <c r="S154" i="32" s="1"/>
  <c r="X18" i="8"/>
  <c r="P154" i="32" s="1"/>
  <c r="U18" i="8"/>
  <c r="M154" i="32" s="1"/>
  <c r="R18" i="8"/>
  <c r="J154" i="32" s="1"/>
  <c r="O18" i="8"/>
  <c r="G154" i="32" s="1"/>
  <c r="M18" i="8"/>
  <c r="L18" i="8"/>
  <c r="D154" i="32" s="1"/>
  <c r="AA17" i="8"/>
  <c r="S139" i="32" s="1"/>
  <c r="X17" i="8"/>
  <c r="P139" i="32" s="1"/>
  <c r="U17" i="8"/>
  <c r="M139" i="32" s="1"/>
  <c r="R17" i="8"/>
  <c r="J139" i="32" s="1"/>
  <c r="O17" i="8"/>
  <c r="G139" i="32" s="1"/>
  <c r="L17" i="8"/>
  <c r="D139" i="32" s="1"/>
  <c r="AD16" i="8"/>
  <c r="V124" i="32" s="1"/>
  <c r="AA16" i="8"/>
  <c r="S124" i="32" s="1"/>
  <c r="X16" i="8"/>
  <c r="P124" i="32" s="1"/>
  <c r="U16" i="8"/>
  <c r="M124" i="32" s="1"/>
  <c r="R16" i="8"/>
  <c r="J124" i="32" s="1"/>
  <c r="O16" i="8"/>
  <c r="G124" i="32" s="1"/>
  <c r="M16" i="8"/>
  <c r="L16" i="8"/>
  <c r="D124" i="32" s="1"/>
  <c r="AA14" i="8"/>
  <c r="S93" i="32" s="1"/>
  <c r="X14" i="8"/>
  <c r="P93" i="32" s="1"/>
  <c r="U14" i="8"/>
  <c r="M93" i="32" s="1"/>
  <c r="R14" i="8"/>
  <c r="J93" i="32" s="1"/>
  <c r="O14" i="8"/>
  <c r="G93" i="32" s="1"/>
  <c r="L14" i="8"/>
  <c r="D93" i="32" s="1"/>
  <c r="K16" i="8"/>
  <c r="C124" i="32" s="1"/>
  <c r="AK17" i="3"/>
  <c r="AF17" i="3"/>
  <c r="AA17" i="3"/>
  <c r="V17" i="3"/>
  <c r="Q17" i="3"/>
  <c r="L17" i="3"/>
  <c r="I16" i="8"/>
  <c r="H16" i="8"/>
  <c r="AF15" i="3" s="1"/>
  <c r="G16" i="8"/>
  <c r="AA15" i="3" s="1"/>
  <c r="F16" i="8"/>
  <c r="V15" i="3" s="1"/>
  <c r="E16" i="8"/>
  <c r="Q15" i="3" s="1"/>
  <c r="D16" i="8"/>
  <c r="L15" i="3" s="1"/>
  <c r="G17" i="3"/>
  <c r="AH12" i="8"/>
  <c r="Z67" i="32" s="1"/>
  <c r="Z68" i="32" s="1"/>
  <c r="AH11" i="8"/>
  <c r="AD12" i="8"/>
  <c r="V67" i="32" s="1"/>
  <c r="V68" i="32" s="1"/>
  <c r="AA12" i="8"/>
  <c r="S67" i="32" s="1"/>
  <c r="S68" i="32" s="1"/>
  <c r="X12" i="8"/>
  <c r="P67" i="32" s="1"/>
  <c r="P68" i="32" s="1"/>
  <c r="U12" i="8"/>
  <c r="M67" i="32" s="1"/>
  <c r="M68" i="32" s="1"/>
  <c r="R12" i="8"/>
  <c r="J67" i="32" s="1"/>
  <c r="J68" i="32" s="1"/>
  <c r="O12" i="8"/>
  <c r="G67" i="32" s="1"/>
  <c r="G68" i="32" s="1"/>
  <c r="L12" i="8"/>
  <c r="D67" i="32" s="1"/>
  <c r="AD11" i="8"/>
  <c r="AA11" i="8"/>
  <c r="X11" i="8"/>
  <c r="U11" i="8"/>
  <c r="R11" i="8"/>
  <c r="O11" i="8"/>
  <c r="M11" i="8"/>
  <c r="L11" i="8"/>
  <c r="K11" i="8"/>
  <c r="L11" i="3"/>
  <c r="I11" i="8"/>
  <c r="AK10" i="3" s="1"/>
  <c r="H11" i="8"/>
  <c r="G11" i="8"/>
  <c r="AA10" i="3" s="1"/>
  <c r="F11" i="8"/>
  <c r="V10" i="3" s="1"/>
  <c r="E11" i="8"/>
  <c r="Q10" i="3" s="1"/>
  <c r="D11" i="8"/>
  <c r="L10" i="3" s="1"/>
  <c r="C11" i="8"/>
  <c r="G10" i="3" s="1"/>
  <c r="AD10" i="8"/>
  <c r="AH9" i="8"/>
  <c r="AH8" i="8"/>
  <c r="AD9" i="8"/>
  <c r="AA9" i="8"/>
  <c r="X9" i="8"/>
  <c r="U9" i="8"/>
  <c r="R9" i="8"/>
  <c r="O9" i="8"/>
  <c r="M9" i="8"/>
  <c r="L9" i="8"/>
  <c r="AD8" i="8"/>
  <c r="AA8" i="8"/>
  <c r="X8" i="8"/>
  <c r="U8" i="8"/>
  <c r="R8" i="8"/>
  <c r="O8" i="8"/>
  <c r="M8" i="8"/>
  <c r="L8" i="8"/>
  <c r="K8" i="8"/>
  <c r="AK8" i="3"/>
  <c r="AF8" i="3"/>
  <c r="AA8" i="3"/>
  <c r="V8" i="3"/>
  <c r="Q8" i="3"/>
  <c r="L8" i="3"/>
  <c r="I8" i="8"/>
  <c r="AK7" i="3" s="1"/>
  <c r="H8" i="8"/>
  <c r="G8" i="8"/>
  <c r="F8" i="8"/>
  <c r="V7" i="3" s="1"/>
  <c r="E8" i="8"/>
  <c r="Q7" i="3" s="1"/>
  <c r="D8" i="8"/>
  <c r="L7" i="3" s="1"/>
  <c r="AK9" i="8"/>
  <c r="C8" i="8"/>
  <c r="G7" i="3" s="1"/>
  <c r="AH6" i="8"/>
  <c r="Z9" i="32" s="1"/>
  <c r="Z10" i="32" s="1"/>
  <c r="AH5" i="8"/>
  <c r="AA6" i="8"/>
  <c r="S9" i="32" s="1"/>
  <c r="S10" i="32" s="1"/>
  <c r="X6" i="8"/>
  <c r="P9" i="32" s="1"/>
  <c r="P10" i="32" s="1"/>
  <c r="U6" i="8"/>
  <c r="M9" i="32" s="1"/>
  <c r="M10" i="32" s="1"/>
  <c r="R6" i="8"/>
  <c r="J9" i="32" s="1"/>
  <c r="J10" i="32" s="1"/>
  <c r="O6" i="8"/>
  <c r="G9" i="32" s="1"/>
  <c r="G10" i="32" s="1"/>
  <c r="L6" i="8"/>
  <c r="D9" i="32" s="1"/>
  <c r="D10" i="32" s="1"/>
  <c r="AD5" i="8"/>
  <c r="AA5" i="8"/>
  <c r="X5" i="8"/>
  <c r="U5" i="8"/>
  <c r="R5" i="8"/>
  <c r="O5" i="8"/>
  <c r="M5" i="8"/>
  <c r="L5" i="8"/>
  <c r="I5" i="8"/>
  <c r="AK4" i="3" s="1"/>
  <c r="H5" i="8"/>
  <c r="G5" i="8"/>
  <c r="AA4" i="3" s="1"/>
  <c r="F5" i="8"/>
  <c r="V4" i="3" s="1"/>
  <c r="E5" i="8"/>
  <c r="Q4" i="3" s="1"/>
  <c r="D5" i="8"/>
  <c r="L4" i="3" s="1"/>
  <c r="C5" i="8"/>
  <c r="G4" i="3" s="1"/>
  <c r="J41" i="3" l="1"/>
  <c r="R38" i="26" s="1"/>
  <c r="D8" i="9"/>
  <c r="E8" i="9" s="1"/>
  <c r="E38" i="32"/>
  <c r="E39" i="32" s="1"/>
  <c r="T8" i="3"/>
  <c r="T8" i="26" s="1"/>
  <c r="O8" i="3"/>
  <c r="S8" i="26" s="1"/>
  <c r="AD8" i="3"/>
  <c r="V8" i="26" s="1"/>
  <c r="S8" i="28" s="1"/>
  <c r="L9" i="3"/>
  <c r="Y8" i="3"/>
  <c r="U8" i="26" s="1"/>
  <c r="AA8" i="26" s="1"/>
  <c r="Q9" i="3"/>
  <c r="J8" i="3"/>
  <c r="R8" i="26" s="1"/>
  <c r="G8" i="3"/>
  <c r="E8" i="3" s="1"/>
  <c r="AK40" i="8"/>
  <c r="AK39" i="8"/>
  <c r="AK18" i="8"/>
  <c r="AK42" i="3"/>
  <c r="AO42" i="3" s="1"/>
  <c r="AD13" i="8"/>
  <c r="D17" i="9"/>
  <c r="E154" i="32"/>
  <c r="AK41" i="3"/>
  <c r="AO41" i="3" s="1"/>
  <c r="D15" i="9"/>
  <c r="E124" i="32"/>
  <c r="D68" i="32"/>
  <c r="AK15" i="3"/>
  <c r="D4" i="9"/>
  <c r="AL5" i="8"/>
  <c r="E8" i="32"/>
  <c r="AS4" i="3"/>
  <c r="AO4" i="3"/>
  <c r="AK9" i="3"/>
  <c r="AS7" i="3"/>
  <c r="AO7" i="3"/>
  <c r="AR8" i="3"/>
  <c r="AS10" i="3"/>
  <c r="AO10" i="3"/>
  <c r="AI8" i="3"/>
  <c r="L12" i="3"/>
  <c r="AO17" i="3"/>
  <c r="AS17" i="3"/>
  <c r="J11" i="3"/>
  <c r="AE48" i="24"/>
  <c r="AJ48" i="24" s="1"/>
  <c r="AE47" i="24"/>
  <c r="AJ47" i="24" s="1"/>
  <c r="AE46" i="24"/>
  <c r="AE45" i="24"/>
  <c r="AE44" i="24"/>
  <c r="AJ44" i="24" s="1"/>
  <c r="AI39" i="8" s="1"/>
  <c r="AA276" i="32" s="1"/>
  <c r="AE43" i="24"/>
  <c r="AJ43" i="24" s="1"/>
  <c r="AI49" i="24"/>
  <c r="AD49" i="24"/>
  <c r="AA49" i="24"/>
  <c r="X49" i="24"/>
  <c r="U49" i="24"/>
  <c r="R49" i="24"/>
  <c r="O49" i="24"/>
  <c r="M49" i="24"/>
  <c r="L49" i="24"/>
  <c r="I49" i="24"/>
  <c r="H49" i="24"/>
  <c r="G49" i="24"/>
  <c r="F49" i="24"/>
  <c r="E49" i="24"/>
  <c r="D49" i="24"/>
  <c r="C49" i="24"/>
  <c r="AC43" i="24" l="1"/>
  <c r="J49" i="24"/>
  <c r="Z8" i="26"/>
  <c r="AB8" i="26"/>
  <c r="Y8" i="26"/>
  <c r="AF43" i="24"/>
  <c r="AM43" i="24"/>
  <c r="AC45" i="24"/>
  <c r="AC40" i="8" s="1"/>
  <c r="U291" i="32" s="1"/>
  <c r="AM45" i="24"/>
  <c r="AE40" i="8"/>
  <c r="AF46" i="24"/>
  <c r="AM46" i="24"/>
  <c r="AC47" i="24"/>
  <c r="AM47" i="24"/>
  <c r="AJ45" i="24"/>
  <c r="AI40" i="8" s="1"/>
  <c r="AA291" i="32" s="1"/>
  <c r="AC44" i="24"/>
  <c r="AC39" i="8" s="1"/>
  <c r="U276" i="32" s="1"/>
  <c r="AM44" i="24"/>
  <c r="AE39" i="8"/>
  <c r="AJ46" i="24"/>
  <c r="AL49" i="24"/>
  <c r="AC48" i="24"/>
  <c r="AM48" i="24"/>
  <c r="L8" i="26"/>
  <c r="P8" i="26" s="1"/>
  <c r="Q8" i="26"/>
  <c r="X8" i="26" s="1"/>
  <c r="AO8" i="3"/>
  <c r="AS8" i="3"/>
  <c r="AS41" i="3"/>
  <c r="AS42" i="3"/>
  <c r="AC8" i="32"/>
  <c r="X8" i="32"/>
  <c r="AQ8" i="3"/>
  <c r="W8" i="26"/>
  <c r="R11" i="26"/>
  <c r="AF47" i="24"/>
  <c r="AC46" i="24"/>
  <c r="AF44" i="24"/>
  <c r="AF45" i="24"/>
  <c r="AF48" i="24"/>
  <c r="AE49" i="24"/>
  <c r="AC49" i="24" l="1"/>
  <c r="W276" i="32"/>
  <c r="V36" i="9"/>
  <c r="AL39" i="8"/>
  <c r="AL40" i="8"/>
  <c r="W291" i="32"/>
  <c r="V37" i="9"/>
  <c r="AJ49" i="24"/>
  <c r="AF49" i="24"/>
  <c r="AM49" i="24"/>
  <c r="T8" i="28"/>
  <c r="AC8" i="26"/>
  <c r="Z8" i="28" s="1"/>
  <c r="I10" i="8"/>
  <c r="AD13" i="24"/>
  <c r="AD10" i="24"/>
  <c r="AE6" i="24"/>
  <c r="AD7" i="24"/>
  <c r="AE24" i="24"/>
  <c r="AE23" i="24"/>
  <c r="AE19" i="24"/>
  <c r="AE18" i="24"/>
  <c r="AE15" i="24"/>
  <c r="AE12" i="24"/>
  <c r="AE9" i="24"/>
  <c r="AI26" i="24"/>
  <c r="AI25" i="24"/>
  <c r="AI27" i="24" s="1"/>
  <c r="AD26" i="24"/>
  <c r="AA26" i="24"/>
  <c r="X26" i="24"/>
  <c r="U26" i="24"/>
  <c r="R26" i="24"/>
  <c r="O26" i="24"/>
  <c r="M26" i="24"/>
  <c r="L26" i="24"/>
  <c r="AD25" i="24"/>
  <c r="AA25" i="24"/>
  <c r="X25" i="24"/>
  <c r="X27" i="24" s="1"/>
  <c r="U25" i="24"/>
  <c r="U27" i="24" s="1"/>
  <c r="R25" i="24"/>
  <c r="O25" i="24"/>
  <c r="O27" i="24" s="1"/>
  <c r="M25" i="24"/>
  <c r="AM25" i="24" s="1"/>
  <c r="L25" i="24"/>
  <c r="L27" i="24" s="1"/>
  <c r="AC291" i="32" l="1"/>
  <c r="X291" i="32"/>
  <c r="AC276" i="32"/>
  <c r="X276" i="32"/>
  <c r="AC23" i="24"/>
  <c r="AM23" i="24"/>
  <c r="AJ23" i="24"/>
  <c r="AC18" i="24"/>
  <c r="AC18" i="8" s="1"/>
  <c r="U154" i="32" s="1"/>
  <c r="AM18" i="24"/>
  <c r="AE18" i="8"/>
  <c r="AJ18" i="24"/>
  <c r="AI18" i="8" s="1"/>
  <c r="AA154" i="32" s="1"/>
  <c r="AC19" i="24"/>
  <c r="AM19" i="24"/>
  <c r="AJ19" i="24"/>
  <c r="AC15" i="24"/>
  <c r="AM15" i="24"/>
  <c r="AJ15" i="24"/>
  <c r="AC12" i="24"/>
  <c r="AM12" i="24"/>
  <c r="AJ12" i="24"/>
  <c r="AC24" i="24"/>
  <c r="AM24" i="24"/>
  <c r="AJ24" i="24"/>
  <c r="AC9" i="24"/>
  <c r="AC9" i="8" s="1"/>
  <c r="U38" i="32" s="1"/>
  <c r="U39" i="32" s="1"/>
  <c r="AM9" i="24"/>
  <c r="AE9" i="8"/>
  <c r="AJ9" i="24"/>
  <c r="AI9" i="8" s="1"/>
  <c r="AA38" i="32" s="1"/>
  <c r="AA39" i="32" s="1"/>
  <c r="AC6" i="24"/>
  <c r="AM6" i="24"/>
  <c r="AJ6" i="24"/>
  <c r="M27" i="24"/>
  <c r="R27" i="24"/>
  <c r="AA27" i="24"/>
  <c r="AD27" i="24"/>
  <c r="AE26" i="24"/>
  <c r="AM26" i="24" s="1"/>
  <c r="AC26" i="24" l="1"/>
  <c r="W154" i="32"/>
  <c r="AL18" i="8"/>
  <c r="V17" i="9"/>
  <c r="AF17" i="9" s="1"/>
  <c r="V8" i="9"/>
  <c r="AL9" i="8"/>
  <c r="W38" i="32"/>
  <c r="AF26" i="24"/>
  <c r="AF24" i="24"/>
  <c r="AF23" i="24"/>
  <c r="AF19" i="24"/>
  <c r="AF18" i="24"/>
  <c r="AF15" i="24"/>
  <c r="AF12" i="24"/>
  <c r="AF9" i="24"/>
  <c r="AF6" i="24"/>
  <c r="I26" i="24"/>
  <c r="H26" i="24"/>
  <c r="G26" i="24"/>
  <c r="F26" i="24"/>
  <c r="E26" i="24"/>
  <c r="D26" i="24"/>
  <c r="C26" i="24"/>
  <c r="C25" i="24"/>
  <c r="J21" i="20"/>
  <c r="I21" i="20"/>
  <c r="H21" i="20"/>
  <c r="G21" i="20"/>
  <c r="F21" i="20"/>
  <c r="AC154" i="32" l="1"/>
  <c r="X154" i="32"/>
  <c r="AL26" i="24"/>
  <c r="AC38" i="32"/>
  <c r="X38" i="32"/>
  <c r="W39" i="32"/>
  <c r="AF8" i="9"/>
  <c r="W8" i="9"/>
  <c r="AG8" i="9" s="1"/>
  <c r="J30" i="18"/>
  <c r="I14" i="7" s="1"/>
  <c r="AJ13" i="3" s="1"/>
  <c r="O76" i="18"/>
  <c r="M21" i="18"/>
  <c r="J11" i="7" s="1"/>
  <c r="C63" i="32" s="1"/>
  <c r="C81" i="32" s="1"/>
  <c r="AC39" i="32" l="1"/>
  <c r="X39" i="32"/>
  <c r="D87" i="18"/>
  <c r="AU87" i="18" s="1"/>
  <c r="D79" i="18"/>
  <c r="AU79" i="18" s="1"/>
  <c r="D78" i="18"/>
  <c r="AU78" i="18" s="1"/>
  <c r="D77" i="18"/>
  <c r="AU77" i="18" s="1"/>
  <c r="O21" i="20"/>
  <c r="N21" i="20"/>
  <c r="M21" i="20"/>
  <c r="L21" i="20"/>
  <c r="K21" i="20"/>
  <c r="AK106" i="23" l="1"/>
  <c r="AH43" i="8" s="1"/>
  <c r="Z336" i="32" s="1"/>
  <c r="O105" i="23"/>
  <c r="M105" i="23" s="1"/>
  <c r="O104" i="23"/>
  <c r="AF106" i="23"/>
  <c r="AD43" i="8" s="1"/>
  <c r="V336" i="32" s="1"/>
  <c r="AC106" i="23"/>
  <c r="AA43" i="8" s="1"/>
  <c r="S336" i="32" s="1"/>
  <c r="Z106" i="23"/>
  <c r="X43" i="8" s="1"/>
  <c r="P336" i="32" s="1"/>
  <c r="W106" i="23"/>
  <c r="U43" i="8" s="1"/>
  <c r="M336" i="32" s="1"/>
  <c r="T106" i="23"/>
  <c r="R43" i="8" s="1"/>
  <c r="J336" i="32" s="1"/>
  <c r="Q106" i="23"/>
  <c r="O43" i="8" s="1"/>
  <c r="G336" i="32" s="1"/>
  <c r="N106" i="23"/>
  <c r="L43" i="8" s="1"/>
  <c r="D336" i="32" s="1"/>
  <c r="K106" i="23"/>
  <c r="J106" i="23"/>
  <c r="I106" i="23"/>
  <c r="H106" i="23"/>
  <c r="G106" i="23"/>
  <c r="F106" i="23"/>
  <c r="E106" i="23"/>
  <c r="G43" i="8" l="1"/>
  <c r="AA45" i="3" s="1"/>
  <c r="E43" i="8"/>
  <c r="Q45" i="3" s="1"/>
  <c r="I43" i="8"/>
  <c r="AK45" i="3" s="1"/>
  <c r="H43" i="8"/>
  <c r="AF45" i="3" s="1"/>
  <c r="F43" i="8"/>
  <c r="V45" i="3" s="1"/>
  <c r="D43" i="8"/>
  <c r="L45" i="3" s="1"/>
  <c r="O106" i="23"/>
  <c r="M43" i="8" s="1"/>
  <c r="E336" i="32" s="1"/>
  <c r="M104" i="23"/>
  <c r="M106" i="23" s="1"/>
  <c r="K43" i="8" s="1"/>
  <c r="C336" i="32" s="1"/>
  <c r="D105" i="23"/>
  <c r="D104" i="23"/>
  <c r="O102" i="22"/>
  <c r="N102" i="22"/>
  <c r="M102" i="22"/>
  <c r="L102" i="22"/>
  <c r="K102" i="22"/>
  <c r="J102" i="22"/>
  <c r="I102" i="22"/>
  <c r="H102" i="22"/>
  <c r="G102" i="22"/>
  <c r="F102" i="22"/>
  <c r="P101" i="22"/>
  <c r="AI105" i="23" s="1"/>
  <c r="AG105" i="23" s="1"/>
  <c r="P100" i="22"/>
  <c r="AI104" i="23" s="1"/>
  <c r="AG104" i="23" s="1"/>
  <c r="AL104" i="23" s="1"/>
  <c r="AK71" i="23"/>
  <c r="AH24" i="8" s="1"/>
  <c r="Z246" i="32" s="1"/>
  <c r="AK66" i="23"/>
  <c r="AH23" i="8" s="1"/>
  <c r="Z231" i="32" s="1"/>
  <c r="O70" i="23"/>
  <c r="O69" i="23"/>
  <c r="M69" i="23" s="1"/>
  <c r="O68" i="23"/>
  <c r="M68" i="23" s="1"/>
  <c r="O67" i="23"/>
  <c r="O65" i="23"/>
  <c r="M65" i="23" s="1"/>
  <c r="O64" i="23"/>
  <c r="O63" i="23"/>
  <c r="M63" i="23" s="1"/>
  <c r="O62" i="23"/>
  <c r="AF71" i="23"/>
  <c r="AD24" i="8" s="1"/>
  <c r="V246" i="32" s="1"/>
  <c r="AC71" i="23"/>
  <c r="AA24" i="8" s="1"/>
  <c r="S246" i="32" s="1"/>
  <c r="Z71" i="23"/>
  <c r="X24" i="8" s="1"/>
  <c r="P246" i="32" s="1"/>
  <c r="W71" i="23"/>
  <c r="U24" i="8" s="1"/>
  <c r="M246" i="32" s="1"/>
  <c r="T71" i="23"/>
  <c r="R24" i="8" s="1"/>
  <c r="J246" i="32" s="1"/>
  <c r="Q71" i="23"/>
  <c r="O24" i="8" s="1"/>
  <c r="G246" i="32" s="1"/>
  <c r="N71" i="23"/>
  <c r="L24" i="8" s="1"/>
  <c r="D246" i="32" s="1"/>
  <c r="AF66" i="23"/>
  <c r="AD23" i="8" s="1"/>
  <c r="V231" i="32" s="1"/>
  <c r="AC66" i="23"/>
  <c r="AA23" i="8" s="1"/>
  <c r="S231" i="32" s="1"/>
  <c r="Z66" i="23"/>
  <c r="X23" i="8" s="1"/>
  <c r="P231" i="32" s="1"/>
  <c r="W66" i="23"/>
  <c r="U23" i="8" s="1"/>
  <c r="M231" i="32" s="1"/>
  <c r="T66" i="23"/>
  <c r="R23" i="8" s="1"/>
  <c r="J231" i="32" s="1"/>
  <c r="Q66" i="23"/>
  <c r="O23" i="8" s="1"/>
  <c r="G231" i="32" s="1"/>
  <c r="N66" i="23"/>
  <c r="L23" i="8" s="1"/>
  <c r="D231" i="32" s="1"/>
  <c r="K71" i="23"/>
  <c r="J71" i="23"/>
  <c r="I71" i="23"/>
  <c r="H71" i="23"/>
  <c r="G71" i="23"/>
  <c r="F71" i="23"/>
  <c r="E71" i="23"/>
  <c r="K66" i="23"/>
  <c r="J66" i="23"/>
  <c r="I66" i="23"/>
  <c r="H66" i="23"/>
  <c r="G66" i="23"/>
  <c r="F66" i="23"/>
  <c r="E66" i="23"/>
  <c r="D70" i="23"/>
  <c r="D69" i="23"/>
  <c r="D68" i="23"/>
  <c r="D67" i="23"/>
  <c r="AN67" i="23" s="1"/>
  <c r="D65" i="23"/>
  <c r="D64" i="23"/>
  <c r="D63" i="23"/>
  <c r="D62" i="23"/>
  <c r="J71" i="22"/>
  <c r="I71" i="22"/>
  <c r="H71" i="22"/>
  <c r="G71" i="22"/>
  <c r="F71" i="22"/>
  <c r="J66" i="22"/>
  <c r="I66" i="22"/>
  <c r="H66" i="22"/>
  <c r="G66" i="22"/>
  <c r="F66" i="22"/>
  <c r="P70" i="22"/>
  <c r="AI70" i="23" s="1"/>
  <c r="AG70" i="23" s="1"/>
  <c r="AL70" i="23" s="1"/>
  <c r="P69" i="22"/>
  <c r="AI69" i="23" s="1"/>
  <c r="AG69" i="23" s="1"/>
  <c r="AL69" i="23" s="1"/>
  <c r="P68" i="22"/>
  <c r="AI68" i="23" s="1"/>
  <c r="AG68" i="23" s="1"/>
  <c r="P67" i="22"/>
  <c r="AI67" i="23" s="1"/>
  <c r="AG67" i="23" s="1"/>
  <c r="AL67" i="23" s="1"/>
  <c r="P65" i="22"/>
  <c r="AI65" i="23" s="1"/>
  <c r="AG65" i="23" s="1"/>
  <c r="P64" i="22"/>
  <c r="AI64" i="23" s="1"/>
  <c r="AG64" i="23" s="1"/>
  <c r="P63" i="22"/>
  <c r="AI63" i="23" s="1"/>
  <c r="AG63" i="23" s="1"/>
  <c r="AL63" i="23" s="1"/>
  <c r="P62" i="22"/>
  <c r="AI62" i="23" s="1"/>
  <c r="AG62" i="23" s="1"/>
  <c r="L71" i="22"/>
  <c r="M71" i="22"/>
  <c r="M23" i="26" s="1"/>
  <c r="N71" i="22"/>
  <c r="N23" i="26" s="1"/>
  <c r="O71" i="22"/>
  <c r="O23" i="26" s="1"/>
  <c r="K71" i="22"/>
  <c r="K23" i="26" s="1"/>
  <c r="L66" i="22"/>
  <c r="M66" i="22"/>
  <c r="N66" i="22"/>
  <c r="O66" i="22"/>
  <c r="K66" i="22"/>
  <c r="K22" i="26" s="1"/>
  <c r="O102" i="23"/>
  <c r="M102" i="23" s="1"/>
  <c r="O101" i="23"/>
  <c r="M101" i="23" s="1"/>
  <c r="AK103" i="23"/>
  <c r="AH42" i="8" s="1"/>
  <c r="Z321" i="32" s="1"/>
  <c r="AF103" i="23"/>
  <c r="AD42" i="8" s="1"/>
  <c r="V321" i="32" s="1"/>
  <c r="AC103" i="23"/>
  <c r="AA42" i="8" s="1"/>
  <c r="S321" i="32" s="1"/>
  <c r="Z103" i="23"/>
  <c r="X42" i="8" s="1"/>
  <c r="P321" i="32" s="1"/>
  <c r="W103" i="23"/>
  <c r="U42" i="8" s="1"/>
  <c r="M321" i="32" s="1"/>
  <c r="T103" i="23"/>
  <c r="R42" i="8" s="1"/>
  <c r="J321" i="32" s="1"/>
  <c r="Q103" i="23"/>
  <c r="O42" i="8" s="1"/>
  <c r="G321" i="32" s="1"/>
  <c r="N103" i="23"/>
  <c r="L42" i="8" s="1"/>
  <c r="D321" i="32" s="1"/>
  <c r="K103" i="23"/>
  <c r="J103" i="23"/>
  <c r="I103" i="23"/>
  <c r="H103" i="23"/>
  <c r="G103" i="23"/>
  <c r="F103" i="23"/>
  <c r="E103" i="23"/>
  <c r="D102" i="23"/>
  <c r="D101" i="23"/>
  <c r="O99" i="22"/>
  <c r="N99" i="22"/>
  <c r="M99" i="22"/>
  <c r="L99" i="22"/>
  <c r="K99" i="22"/>
  <c r="J99" i="22"/>
  <c r="I99" i="22"/>
  <c r="H99" i="22"/>
  <c r="G99" i="22"/>
  <c r="F99" i="22"/>
  <c r="P98" i="22"/>
  <c r="P97" i="22"/>
  <c r="AI102" i="23" s="1"/>
  <c r="AG102" i="23" s="1"/>
  <c r="AL102" i="23" s="1"/>
  <c r="D24" i="8" l="1"/>
  <c r="L23" i="3" s="1"/>
  <c r="I23" i="8"/>
  <c r="AK22" i="3" s="1"/>
  <c r="E24" i="8"/>
  <c r="Q23" i="3" s="1"/>
  <c r="F24" i="8"/>
  <c r="V23" i="3" s="1"/>
  <c r="G23" i="8"/>
  <c r="AA22" i="3" s="1"/>
  <c r="G24" i="8"/>
  <c r="AA23" i="3" s="1"/>
  <c r="H23" i="8"/>
  <c r="AF22" i="3" s="1"/>
  <c r="H24" i="8"/>
  <c r="AF23" i="3" s="1"/>
  <c r="I24" i="8"/>
  <c r="AK23" i="3" s="1"/>
  <c r="F42" i="8"/>
  <c r="V44" i="3" s="1"/>
  <c r="E42" i="8"/>
  <c r="Q44" i="3" s="1"/>
  <c r="G42" i="8"/>
  <c r="AA44" i="3" s="1"/>
  <c r="H42" i="8"/>
  <c r="AF44" i="3" s="1"/>
  <c r="D42" i="8"/>
  <c r="L44" i="3" s="1"/>
  <c r="I42" i="8"/>
  <c r="AK44" i="3" s="1"/>
  <c r="D23" i="8"/>
  <c r="L22" i="3" s="1"/>
  <c r="F23" i="8"/>
  <c r="V22" i="3" s="1"/>
  <c r="E23" i="8"/>
  <c r="Q22" i="3" s="1"/>
  <c r="AL62" i="23"/>
  <c r="AH62" i="23"/>
  <c r="AL64" i="23"/>
  <c r="AH64" i="23"/>
  <c r="AL65" i="23"/>
  <c r="AH65" i="23"/>
  <c r="AL68" i="23"/>
  <c r="AH68" i="23"/>
  <c r="AL105" i="23"/>
  <c r="AH105" i="23"/>
  <c r="AD63" i="23"/>
  <c r="AB63" i="23" s="1"/>
  <c r="AD64" i="23"/>
  <c r="AB64" i="23" s="1"/>
  <c r="AE70" i="23"/>
  <c r="X104" i="23"/>
  <c r="V104" i="23" s="1"/>
  <c r="X105" i="23"/>
  <c r="V105" i="23" s="1"/>
  <c r="AI106" i="23"/>
  <c r="R104" i="23"/>
  <c r="P104" i="23" s="1"/>
  <c r="AD105" i="23"/>
  <c r="AB105" i="23" s="1"/>
  <c r="U104" i="23"/>
  <c r="S104" i="23" s="1"/>
  <c r="U105" i="23"/>
  <c r="S105" i="23" s="1"/>
  <c r="AE105" i="23"/>
  <c r="AD104" i="23"/>
  <c r="AB104" i="23" s="1"/>
  <c r="R105" i="23"/>
  <c r="P105" i="23" s="1"/>
  <c r="AA104" i="23"/>
  <c r="Y104" i="23" s="1"/>
  <c r="AA105" i="23"/>
  <c r="Y105" i="23" s="1"/>
  <c r="AE104" i="23"/>
  <c r="AE106" i="23" s="1"/>
  <c r="AC43" i="8" s="1"/>
  <c r="U336" i="32" s="1"/>
  <c r="L70" i="23"/>
  <c r="AN70" i="23"/>
  <c r="L102" i="23"/>
  <c r="AN102" i="23"/>
  <c r="L65" i="23"/>
  <c r="AN65" i="23"/>
  <c r="L105" i="23"/>
  <c r="AN105" i="23"/>
  <c r="L101" i="23"/>
  <c r="AN101" i="23"/>
  <c r="L64" i="23"/>
  <c r="AN64" i="23"/>
  <c r="L68" i="23"/>
  <c r="AN68" i="23"/>
  <c r="AO102" i="23"/>
  <c r="L69" i="23"/>
  <c r="AN69" i="23"/>
  <c r="L104" i="23"/>
  <c r="AN104" i="23"/>
  <c r="D106" i="23"/>
  <c r="C43" i="8" s="1"/>
  <c r="J43" i="8" s="1"/>
  <c r="AO104" i="23"/>
  <c r="L62" i="23"/>
  <c r="AN62" i="23"/>
  <c r="L63" i="23"/>
  <c r="AN63" i="23"/>
  <c r="O71" i="23"/>
  <c r="M24" i="8" s="1"/>
  <c r="P102" i="22"/>
  <c r="U67" i="23"/>
  <c r="S67" i="23" s="1"/>
  <c r="D71" i="23"/>
  <c r="C24" i="8" s="1"/>
  <c r="M67" i="23"/>
  <c r="AA69" i="23"/>
  <c r="Y69" i="23" s="1"/>
  <c r="X69" i="23"/>
  <c r="V69" i="23" s="1"/>
  <c r="U70" i="23"/>
  <c r="S70" i="23" s="1"/>
  <c r="R70" i="23"/>
  <c r="P70" i="23" s="1"/>
  <c r="R67" i="23"/>
  <c r="P67" i="23" s="1"/>
  <c r="AE67" i="23"/>
  <c r="R65" i="23"/>
  <c r="P65" i="23" s="1"/>
  <c r="AE65" i="23"/>
  <c r="U65" i="23"/>
  <c r="S65" i="23" s="1"/>
  <c r="AD65" i="23"/>
  <c r="AA65" i="23"/>
  <c r="Y65" i="23" s="1"/>
  <c r="X65" i="23"/>
  <c r="V65" i="23" s="1"/>
  <c r="AA68" i="23"/>
  <c r="Y68" i="23" s="1"/>
  <c r="X68" i="23"/>
  <c r="V68" i="23" s="1"/>
  <c r="U68" i="23"/>
  <c r="S68" i="23" s="1"/>
  <c r="AE68" i="23"/>
  <c r="R68" i="23"/>
  <c r="AD68" i="23"/>
  <c r="X62" i="23"/>
  <c r="V62" i="23" s="1"/>
  <c r="R62" i="23"/>
  <c r="U62" i="23"/>
  <c r="S62" i="23" s="1"/>
  <c r="AD62" i="23"/>
  <c r="AA62" i="23"/>
  <c r="Y62" i="23" s="1"/>
  <c r="R63" i="23"/>
  <c r="P63" i="23" s="1"/>
  <c r="AE63" i="23"/>
  <c r="L67" i="23"/>
  <c r="U63" i="23"/>
  <c r="S63" i="23" s="1"/>
  <c r="AE64" i="23"/>
  <c r="X67" i="23"/>
  <c r="V67" i="23" s="1"/>
  <c r="AD69" i="23"/>
  <c r="X70" i="23"/>
  <c r="R64" i="23"/>
  <c r="P64" i="23" s="1"/>
  <c r="AA64" i="23"/>
  <c r="Y64" i="23" s="1"/>
  <c r="X63" i="23"/>
  <c r="U64" i="23"/>
  <c r="S64" i="23" s="1"/>
  <c r="AA67" i="23"/>
  <c r="R69" i="23"/>
  <c r="P69" i="23" s="1"/>
  <c r="AE69" i="23"/>
  <c r="AA70" i="23"/>
  <c r="Y70" i="23" s="1"/>
  <c r="AA63" i="23"/>
  <c r="Y63" i="23" s="1"/>
  <c r="AD70" i="23"/>
  <c r="D66" i="23"/>
  <c r="C23" i="8" s="1"/>
  <c r="X64" i="23"/>
  <c r="V64" i="23" s="1"/>
  <c r="AD67" i="23"/>
  <c r="U69" i="23"/>
  <c r="S69" i="23" s="1"/>
  <c r="M70" i="23"/>
  <c r="M64" i="23"/>
  <c r="O66" i="23"/>
  <c r="M23" i="8" s="1"/>
  <c r="M62" i="23"/>
  <c r="M103" i="23"/>
  <c r="K42" i="8" s="1"/>
  <c r="C321" i="32" s="1"/>
  <c r="P71" i="22"/>
  <c r="P66" i="22"/>
  <c r="AE102" i="23"/>
  <c r="D103" i="23"/>
  <c r="C42" i="8" s="1"/>
  <c r="R102" i="23"/>
  <c r="P102" i="23" s="1"/>
  <c r="X102" i="23"/>
  <c r="V102" i="23" s="1"/>
  <c r="AA102" i="23"/>
  <c r="Y102" i="23" s="1"/>
  <c r="AD102" i="23"/>
  <c r="U102" i="23"/>
  <c r="S102" i="23" s="1"/>
  <c r="O103" i="23"/>
  <c r="M42" i="8" s="1"/>
  <c r="E321" i="32" s="1"/>
  <c r="P99" i="22"/>
  <c r="M71" i="23" l="1"/>
  <c r="Y106" i="23"/>
  <c r="AA106" i="23"/>
  <c r="R106" i="23"/>
  <c r="P106" i="23"/>
  <c r="AD106" i="23"/>
  <c r="X106" i="23"/>
  <c r="V106" i="23"/>
  <c r="AG106" i="23"/>
  <c r="AJ105" i="23"/>
  <c r="AO106" i="23"/>
  <c r="AO105" i="23"/>
  <c r="U106" i="23"/>
  <c r="S106" i="23"/>
  <c r="E246" i="32"/>
  <c r="D23" i="9"/>
  <c r="E231" i="32"/>
  <c r="D22" i="9"/>
  <c r="AN106" i="23"/>
  <c r="L106" i="23"/>
  <c r="AO62" i="23"/>
  <c r="AN103" i="23"/>
  <c r="L103" i="23"/>
  <c r="AO68" i="23"/>
  <c r="AJ68" i="23"/>
  <c r="AO65" i="23"/>
  <c r="AJ65" i="23"/>
  <c r="L71" i="23"/>
  <c r="AN71" i="23"/>
  <c r="AO64" i="23"/>
  <c r="AJ64" i="23"/>
  <c r="AO67" i="23"/>
  <c r="AO69" i="23"/>
  <c r="AJ69" i="23"/>
  <c r="L66" i="23"/>
  <c r="AN66" i="23"/>
  <c r="AO63" i="23"/>
  <c r="AJ63" i="23"/>
  <c r="AO70" i="23"/>
  <c r="AJ70" i="23"/>
  <c r="AB106" i="23"/>
  <c r="AJ104" i="23"/>
  <c r="AL106" i="23"/>
  <c r="AI43" i="8" s="1"/>
  <c r="AA336" i="32" s="1"/>
  <c r="AG71" i="23"/>
  <c r="U71" i="23"/>
  <c r="S66" i="23"/>
  <c r="S71" i="23"/>
  <c r="AE71" i="23"/>
  <c r="AC24" i="8" s="1"/>
  <c r="AB70" i="23"/>
  <c r="AB68" i="23"/>
  <c r="X66" i="23"/>
  <c r="V63" i="23"/>
  <c r="V66" i="23" s="1"/>
  <c r="Y66" i="23"/>
  <c r="R71" i="23"/>
  <c r="P68" i="23"/>
  <c r="P71" i="23" s="1"/>
  <c r="AB65" i="23"/>
  <c r="U66" i="23"/>
  <c r="M66" i="23"/>
  <c r="AA66" i="23"/>
  <c r="AB62" i="23"/>
  <c r="AD66" i="23"/>
  <c r="X71" i="23"/>
  <c r="V70" i="23"/>
  <c r="V71" i="23" s="1"/>
  <c r="AB67" i="23"/>
  <c r="AD71" i="23"/>
  <c r="AB69" i="23"/>
  <c r="P62" i="23"/>
  <c r="P66" i="23" s="1"/>
  <c r="R66" i="23"/>
  <c r="AA71" i="23"/>
  <c r="Y67" i="23"/>
  <c r="Y71" i="23" s="1"/>
  <c r="AG66" i="23"/>
  <c r="AE62" i="23"/>
  <c r="AE66" i="23" s="1"/>
  <c r="AC23" i="8" s="1"/>
  <c r="AJ102" i="23"/>
  <c r="AB102" i="23"/>
  <c r="AJ106" i="23" l="1"/>
  <c r="AE23" i="8"/>
  <c r="V22" i="9" s="1"/>
  <c r="AF22" i="9" s="1"/>
  <c r="AH66" i="23"/>
  <c r="AE24" i="8"/>
  <c r="V23" i="9" s="1"/>
  <c r="AF23" i="9" s="1"/>
  <c r="AH71" i="23"/>
  <c r="AE43" i="8"/>
  <c r="AH106" i="23"/>
  <c r="AO66" i="23"/>
  <c r="AK43" i="8"/>
  <c r="G45" i="3"/>
  <c r="AO71" i="23"/>
  <c r="U231" i="32"/>
  <c r="U246" i="32"/>
  <c r="AK42" i="8"/>
  <c r="G44" i="3"/>
  <c r="AL23" i="8"/>
  <c r="AK23" i="8"/>
  <c r="G22" i="3"/>
  <c r="AK24" i="8"/>
  <c r="G23" i="3"/>
  <c r="AB66" i="23"/>
  <c r="AL71" i="23"/>
  <c r="AI24" i="8" s="1"/>
  <c r="AA246" i="32" s="1"/>
  <c r="AJ67" i="23"/>
  <c r="AJ71" i="23" s="1"/>
  <c r="AL66" i="23"/>
  <c r="AI23" i="8" s="1"/>
  <c r="AA231" i="32" s="1"/>
  <c r="AJ62" i="23"/>
  <c r="AJ66" i="23" s="1"/>
  <c r="AB71" i="23"/>
  <c r="W231" i="32" l="1"/>
  <c r="AC231" i="32" s="1"/>
  <c r="AL24" i="8"/>
  <c r="W246" i="32"/>
  <c r="AC246" i="32" s="1"/>
  <c r="AL43" i="8"/>
  <c r="W336" i="32"/>
  <c r="V40" i="9"/>
  <c r="AO23" i="3"/>
  <c r="AS23" i="3"/>
  <c r="AO44" i="3"/>
  <c r="AS44" i="3"/>
  <c r="AS22" i="3"/>
  <c r="AO22" i="3"/>
  <c r="AO45" i="3"/>
  <c r="AS45" i="3"/>
  <c r="O96" i="22"/>
  <c r="N96" i="22"/>
  <c r="M96" i="22"/>
  <c r="L96" i="22"/>
  <c r="K96" i="22"/>
  <c r="J96" i="22"/>
  <c r="I96" i="22"/>
  <c r="H96" i="22"/>
  <c r="G96" i="22"/>
  <c r="F96" i="22"/>
  <c r="P95" i="22"/>
  <c r="AI99" i="23" s="1"/>
  <c r="P90" i="22"/>
  <c r="X231" i="32" l="1"/>
  <c r="X246" i="32"/>
  <c r="AI94" i="23"/>
  <c r="AG94" i="23" s="1"/>
  <c r="X94" i="23"/>
  <c r="V94" i="23" s="1"/>
  <c r="AG99" i="23"/>
  <c r="AD99" i="23"/>
  <c r="AB99" i="23" s="1"/>
  <c r="AA99" i="23"/>
  <c r="Y99" i="23" s="1"/>
  <c r="R99" i="23"/>
  <c r="P99" i="23" s="1"/>
  <c r="U99" i="23"/>
  <c r="S99" i="23" s="1"/>
  <c r="X99" i="23"/>
  <c r="V99" i="23" s="1"/>
  <c r="AC336" i="32"/>
  <c r="X336" i="32"/>
  <c r="O40" i="23"/>
  <c r="M40" i="23" s="1"/>
  <c r="O39" i="23"/>
  <c r="O38" i="23"/>
  <c r="M38" i="23" s="1"/>
  <c r="AK41" i="23"/>
  <c r="AH19" i="8" s="1"/>
  <c r="Z169" i="32" s="1"/>
  <c r="AF41" i="23"/>
  <c r="AD19" i="8" s="1"/>
  <c r="V169" i="32" s="1"/>
  <c r="AC41" i="23"/>
  <c r="AA19" i="8" s="1"/>
  <c r="S169" i="32" s="1"/>
  <c r="Z41" i="23"/>
  <c r="X19" i="8" s="1"/>
  <c r="P169" i="32" s="1"/>
  <c r="W41" i="23"/>
  <c r="U19" i="8" s="1"/>
  <c r="M169" i="32" s="1"/>
  <c r="T41" i="23"/>
  <c r="R19" i="8" s="1"/>
  <c r="J169" i="32" s="1"/>
  <c r="Q41" i="23"/>
  <c r="O19" i="8" s="1"/>
  <c r="G169" i="32" s="1"/>
  <c r="N41" i="23"/>
  <c r="L19" i="8" s="1"/>
  <c r="D169" i="32" s="1"/>
  <c r="K41" i="23"/>
  <c r="J41" i="23"/>
  <c r="I41" i="23"/>
  <c r="H41" i="23"/>
  <c r="G41" i="23"/>
  <c r="F41" i="23"/>
  <c r="E41" i="23"/>
  <c r="D40" i="23"/>
  <c r="D39" i="23"/>
  <c r="D38" i="23"/>
  <c r="AN38" i="23" s="1"/>
  <c r="O39" i="22"/>
  <c r="N39" i="22"/>
  <c r="M39" i="22"/>
  <c r="L39" i="22"/>
  <c r="K39" i="22"/>
  <c r="J39" i="22"/>
  <c r="I39" i="22"/>
  <c r="H39" i="22"/>
  <c r="G39" i="22"/>
  <c r="F39" i="22"/>
  <c r="P38" i="22"/>
  <c r="P37" i="22"/>
  <c r="P36" i="22"/>
  <c r="U94" i="23" l="1"/>
  <c r="S94" i="23" s="1"/>
  <c r="AA94" i="23"/>
  <c r="Y94" i="23" s="1"/>
  <c r="AD94" i="23"/>
  <c r="AB94" i="23" s="1"/>
  <c r="R94" i="23"/>
  <c r="P94" i="23" s="1"/>
  <c r="F19" i="8"/>
  <c r="V18" i="3" s="1"/>
  <c r="G19" i="8"/>
  <c r="AA18" i="3" s="1"/>
  <c r="E19" i="8"/>
  <c r="Q18" i="3" s="1"/>
  <c r="I19" i="8"/>
  <c r="AK18" i="3" s="1"/>
  <c r="H19" i="8"/>
  <c r="AF18" i="3" s="1"/>
  <c r="D19" i="8"/>
  <c r="L18" i="3" s="1"/>
  <c r="AI38" i="23"/>
  <c r="AG38" i="23" s="1"/>
  <c r="AH38" i="23" s="1"/>
  <c r="AI40" i="23"/>
  <c r="AG40" i="23" s="1"/>
  <c r="AH40" i="23" s="1"/>
  <c r="AI39" i="23"/>
  <c r="AG39" i="23" s="1"/>
  <c r="AL39" i="23" s="1"/>
  <c r="AD92" i="23"/>
  <c r="R92" i="23"/>
  <c r="AA92" i="23"/>
  <c r="AG92" i="23"/>
  <c r="U92" i="23"/>
  <c r="X92" i="23"/>
  <c r="AL99" i="23"/>
  <c r="AJ99" i="23" s="1"/>
  <c r="AH99" i="23"/>
  <c r="AE99" i="23"/>
  <c r="AL94" i="23"/>
  <c r="AJ94" i="23" s="1"/>
  <c r="AH94" i="23"/>
  <c r="AE94" i="23"/>
  <c r="AO39" i="23"/>
  <c r="L39" i="23"/>
  <c r="AN39" i="23"/>
  <c r="L40" i="23"/>
  <c r="AN40" i="23"/>
  <c r="D41" i="23"/>
  <c r="C19" i="8" s="1"/>
  <c r="L38" i="23"/>
  <c r="M39" i="23"/>
  <c r="M41" i="23" s="1"/>
  <c r="O41" i="23"/>
  <c r="M19" i="8" s="1"/>
  <c r="P39" i="22"/>
  <c r="AA38" i="23" l="1"/>
  <c r="X38" i="23"/>
  <c r="AL38" i="23"/>
  <c r="AA39" i="23"/>
  <c r="Y39" i="23" s="1"/>
  <c r="AE40" i="23"/>
  <c r="U39" i="23"/>
  <c r="S39" i="23" s="1"/>
  <c r="AD40" i="23"/>
  <c r="AB40" i="23" s="1"/>
  <c r="AL40" i="23"/>
  <c r="AJ40" i="23" s="1"/>
  <c r="AD39" i="23"/>
  <c r="AB39" i="23" s="1"/>
  <c r="X40" i="23"/>
  <c r="V40" i="23" s="1"/>
  <c r="R40" i="23"/>
  <c r="P40" i="23" s="1"/>
  <c r="X39" i="23"/>
  <c r="V39" i="23" s="1"/>
  <c r="AD38" i="23"/>
  <c r="AD41" i="23" s="1"/>
  <c r="R38" i="23"/>
  <c r="P38" i="23" s="1"/>
  <c r="U38" i="23"/>
  <c r="S38" i="23" s="1"/>
  <c r="R39" i="23"/>
  <c r="P39" i="23" s="1"/>
  <c r="AE39" i="23"/>
  <c r="U40" i="23"/>
  <c r="S40" i="23" s="1"/>
  <c r="AA40" i="23"/>
  <c r="Y40" i="23" s="1"/>
  <c r="AE92" i="23"/>
  <c r="AG93" i="23"/>
  <c r="AL92" i="23"/>
  <c r="AJ92" i="23" s="1"/>
  <c r="AH92" i="23"/>
  <c r="Y92" i="23"/>
  <c r="AA93" i="23"/>
  <c r="Y93" i="23" s="1"/>
  <c r="X93" i="23"/>
  <c r="V93" i="23" s="1"/>
  <c r="V92" i="23"/>
  <c r="R93" i="23"/>
  <c r="P93" i="23" s="1"/>
  <c r="P92" i="23"/>
  <c r="S92" i="23"/>
  <c r="U93" i="23"/>
  <c r="S93" i="23" s="1"/>
  <c r="AD93" i="23"/>
  <c r="AB93" i="23" s="1"/>
  <c r="AB92" i="23"/>
  <c r="E169" i="32"/>
  <c r="D18" i="9"/>
  <c r="AO38" i="23"/>
  <c r="AO40" i="23"/>
  <c r="L41" i="23"/>
  <c r="AN41" i="23"/>
  <c r="AJ39" i="23"/>
  <c r="Y38" i="23"/>
  <c r="Y41" i="23" s="1"/>
  <c r="AA41" i="23"/>
  <c r="AG41" i="23"/>
  <c r="AE38" i="23"/>
  <c r="AO41" i="23"/>
  <c r="V38" i="23"/>
  <c r="AB38" i="23" l="1"/>
  <c r="S41" i="23"/>
  <c r="U41" i="23"/>
  <c r="P41" i="23"/>
  <c r="R41" i="23"/>
  <c r="V41" i="23"/>
  <c r="X41" i="23"/>
  <c r="AE41" i="23"/>
  <c r="AC19" i="8" s="1"/>
  <c r="U169" i="32" s="1"/>
  <c r="AL93" i="23"/>
  <c r="AJ93" i="23" s="1"/>
  <c r="AH93" i="23"/>
  <c r="AE93" i="23"/>
  <c r="AE19" i="8"/>
  <c r="V18" i="9" s="1"/>
  <c r="AF18" i="9" s="1"/>
  <c r="AH41" i="23"/>
  <c r="AK19" i="8"/>
  <c r="G18" i="3"/>
  <c r="AB41" i="23"/>
  <c r="AJ38" i="23"/>
  <c r="AJ41" i="23" s="1"/>
  <c r="AL41" i="23"/>
  <c r="AI19" i="8" s="1"/>
  <c r="AA169" i="32" s="1"/>
  <c r="W169" i="32" l="1"/>
  <c r="AC169" i="32" s="1"/>
  <c r="AL19" i="8"/>
  <c r="AS18" i="3"/>
  <c r="AO18" i="3"/>
  <c r="AK91" i="23"/>
  <c r="AK107" i="23" s="1"/>
  <c r="AF91" i="23"/>
  <c r="AF107" i="23" s="1"/>
  <c r="AC91" i="23"/>
  <c r="AC107" i="23" s="1"/>
  <c r="Z91" i="23"/>
  <c r="Z107" i="23" s="1"/>
  <c r="W91" i="23"/>
  <c r="W107" i="23" s="1"/>
  <c r="T91" i="23"/>
  <c r="T107" i="23" s="1"/>
  <c r="Q91" i="23"/>
  <c r="Q107" i="23" s="1"/>
  <c r="N91" i="23"/>
  <c r="N107" i="23" s="1"/>
  <c r="K91" i="23"/>
  <c r="K107" i="23" s="1"/>
  <c r="J91" i="23"/>
  <c r="I91" i="23"/>
  <c r="H91" i="23"/>
  <c r="G91" i="23"/>
  <c r="F91" i="23"/>
  <c r="E91" i="23"/>
  <c r="D90" i="23"/>
  <c r="D88" i="23"/>
  <c r="D87" i="23"/>
  <c r="O90" i="23"/>
  <c r="M90" i="23" s="1"/>
  <c r="O88" i="23"/>
  <c r="M88" i="23" s="1"/>
  <c r="O87" i="23"/>
  <c r="O87" i="22"/>
  <c r="N87" i="22"/>
  <c r="M87" i="22"/>
  <c r="L87" i="22"/>
  <c r="L103" i="22" s="1"/>
  <c r="K87" i="22"/>
  <c r="J87" i="22"/>
  <c r="J103" i="22" s="1"/>
  <c r="I87" i="22"/>
  <c r="I103" i="22" s="1"/>
  <c r="H87" i="22"/>
  <c r="H103" i="22" s="1"/>
  <c r="G87" i="22"/>
  <c r="G103" i="22" s="1"/>
  <c r="F87" i="22"/>
  <c r="F103" i="22" s="1"/>
  <c r="P86" i="22"/>
  <c r="AI90" i="23" s="1"/>
  <c r="AG90" i="23" s="1"/>
  <c r="P84" i="22"/>
  <c r="AI88" i="23" s="1"/>
  <c r="AG88" i="23" s="1"/>
  <c r="P83" i="22"/>
  <c r="AI87" i="23" s="1"/>
  <c r="AG87" i="23" s="1"/>
  <c r="O19" i="23"/>
  <c r="M19" i="23" s="1"/>
  <c r="O18" i="23"/>
  <c r="O17" i="23"/>
  <c r="O32" i="23"/>
  <c r="M32" i="23" s="1"/>
  <c r="O31" i="23"/>
  <c r="O30" i="23"/>
  <c r="M30" i="23" s="1"/>
  <c r="O29" i="23"/>
  <c r="O27" i="23"/>
  <c r="M27" i="23" s="1"/>
  <c r="O26" i="23"/>
  <c r="M26" i="23" s="1"/>
  <c r="O25" i="23"/>
  <c r="M25" i="23" s="1"/>
  <c r="O24" i="23"/>
  <c r="M24" i="23" s="1"/>
  <c r="O21" i="23"/>
  <c r="AD15" i="8"/>
  <c r="V109" i="32" s="1"/>
  <c r="AK14" i="3"/>
  <c r="D19" i="23"/>
  <c r="D18" i="23"/>
  <c r="D17" i="23"/>
  <c r="D32" i="23"/>
  <c r="D31" i="23"/>
  <c r="D30" i="23"/>
  <c r="D29" i="23"/>
  <c r="D27" i="23"/>
  <c r="D26" i="23"/>
  <c r="D25" i="23"/>
  <c r="D24" i="23"/>
  <c r="D21" i="23"/>
  <c r="P17" i="22"/>
  <c r="P16" i="22"/>
  <c r="P15" i="22"/>
  <c r="P30" i="22"/>
  <c r="P29" i="22"/>
  <c r="P28" i="22"/>
  <c r="P27" i="22"/>
  <c r="P25" i="22"/>
  <c r="P24" i="22"/>
  <c r="P23" i="22"/>
  <c r="P22" i="22"/>
  <c r="P19" i="22"/>
  <c r="O10" i="23"/>
  <c r="M10" i="23" s="1"/>
  <c r="D10" i="23"/>
  <c r="P8" i="22"/>
  <c r="M103" i="22" l="1"/>
  <c r="K103" i="22"/>
  <c r="N103" i="22"/>
  <c r="O103" i="22"/>
  <c r="G38" i="8"/>
  <c r="AA40" i="3" s="1"/>
  <c r="H107" i="23"/>
  <c r="M17" i="23"/>
  <c r="H38" i="8"/>
  <c r="AF40" i="3" s="1"/>
  <c r="I107" i="23"/>
  <c r="D38" i="8"/>
  <c r="L40" i="3" s="1"/>
  <c r="E107" i="23"/>
  <c r="E38" i="8"/>
  <c r="Q40" i="3" s="1"/>
  <c r="F107" i="23"/>
  <c r="I38" i="8"/>
  <c r="AK40" i="3" s="1"/>
  <c r="J107" i="23"/>
  <c r="F38" i="8"/>
  <c r="V40" i="3" s="1"/>
  <c r="G107" i="23"/>
  <c r="H15" i="8"/>
  <c r="AF14" i="3" s="1"/>
  <c r="E15" i="8"/>
  <c r="Q14" i="3" s="1"/>
  <c r="F15" i="8"/>
  <c r="V14" i="3" s="1"/>
  <c r="G15" i="8"/>
  <c r="AA14" i="3" s="1"/>
  <c r="D15" i="8"/>
  <c r="L14" i="3" s="1"/>
  <c r="AI24" i="23"/>
  <c r="AG24" i="23" s="1"/>
  <c r="AL24" i="23" s="1"/>
  <c r="AI25" i="23"/>
  <c r="AG25" i="23" s="1"/>
  <c r="AL25" i="23" s="1"/>
  <c r="AI27" i="23"/>
  <c r="AG27" i="23" s="1"/>
  <c r="AL27" i="23" s="1"/>
  <c r="AI30" i="23"/>
  <c r="AG30" i="23" s="1"/>
  <c r="AL30" i="23" s="1"/>
  <c r="AI31" i="23"/>
  <c r="AG31" i="23" s="1"/>
  <c r="AL31" i="23" s="1"/>
  <c r="AI21" i="23"/>
  <c r="AG21" i="23" s="1"/>
  <c r="AL21" i="23" s="1"/>
  <c r="AI32" i="23"/>
  <c r="AG32" i="23" s="1"/>
  <c r="AL32" i="23" s="1"/>
  <c r="AI26" i="23"/>
  <c r="AG26" i="23" s="1"/>
  <c r="AE26" i="23" s="1"/>
  <c r="AI17" i="23"/>
  <c r="AG17" i="23" s="1"/>
  <c r="AI18" i="23"/>
  <c r="AG18" i="23" s="1"/>
  <c r="AE18" i="23" s="1"/>
  <c r="AI10" i="23"/>
  <c r="AG10" i="23" s="1"/>
  <c r="AL10" i="23" s="1"/>
  <c r="AI29" i="23"/>
  <c r="AG29" i="23" s="1"/>
  <c r="AH29" i="23" s="1"/>
  <c r="AI19" i="23"/>
  <c r="AG19" i="23" s="1"/>
  <c r="AH19" i="23" s="1"/>
  <c r="X169" i="32"/>
  <c r="AL87" i="23"/>
  <c r="AH87" i="23"/>
  <c r="AL88" i="23"/>
  <c r="AH88" i="23"/>
  <c r="AL90" i="23"/>
  <c r="AH90" i="23"/>
  <c r="L15" i="8"/>
  <c r="D109" i="32" s="1"/>
  <c r="N73" i="23"/>
  <c r="O15" i="8"/>
  <c r="G109" i="32" s="1"/>
  <c r="Q73" i="23"/>
  <c r="R15" i="8"/>
  <c r="J109" i="32" s="1"/>
  <c r="T73" i="23"/>
  <c r="U15" i="8"/>
  <c r="M109" i="32" s="1"/>
  <c r="W73" i="23"/>
  <c r="X15" i="8"/>
  <c r="P109" i="32" s="1"/>
  <c r="Z73" i="23"/>
  <c r="AA15" i="8"/>
  <c r="S109" i="32" s="1"/>
  <c r="AC73" i="23"/>
  <c r="AH15" i="8"/>
  <c r="Z109" i="32" s="1"/>
  <c r="AK73" i="23"/>
  <c r="L38" i="8"/>
  <c r="D261" i="32" s="1"/>
  <c r="O38" i="8"/>
  <c r="G261" i="32" s="1"/>
  <c r="R38" i="8"/>
  <c r="J261" i="32" s="1"/>
  <c r="U38" i="8"/>
  <c r="M261" i="32" s="1"/>
  <c r="X38" i="8"/>
  <c r="P261" i="32" s="1"/>
  <c r="AA38" i="8"/>
  <c r="S261" i="32" s="1"/>
  <c r="AD38" i="8"/>
  <c r="AH38" i="8"/>
  <c r="Z261" i="32" s="1"/>
  <c r="L30" i="23"/>
  <c r="AN30" i="23"/>
  <c r="L31" i="23"/>
  <c r="AN31" i="23"/>
  <c r="L21" i="23"/>
  <c r="AN21" i="23"/>
  <c r="L32" i="23"/>
  <c r="AN32" i="23"/>
  <c r="AN87" i="23"/>
  <c r="L87" i="23"/>
  <c r="L24" i="23"/>
  <c r="AN24" i="23"/>
  <c r="L17" i="23"/>
  <c r="AN17" i="23"/>
  <c r="AN88" i="23"/>
  <c r="L88" i="23"/>
  <c r="L25" i="23"/>
  <c r="AN25" i="23"/>
  <c r="L18" i="23"/>
  <c r="AN18" i="23"/>
  <c r="L90" i="23"/>
  <c r="AN90" i="23"/>
  <c r="L10" i="23"/>
  <c r="AN10" i="23"/>
  <c r="L26" i="23"/>
  <c r="AN26" i="23"/>
  <c r="L19" i="23"/>
  <c r="AN19" i="23"/>
  <c r="L29" i="23"/>
  <c r="AN29" i="23"/>
  <c r="L27" i="23"/>
  <c r="AN27" i="23"/>
  <c r="O91" i="23"/>
  <c r="M38" i="8" s="1"/>
  <c r="E261" i="32" s="1"/>
  <c r="AD88" i="23"/>
  <c r="AE88" i="23"/>
  <c r="U88" i="23"/>
  <c r="S88" i="23" s="1"/>
  <c r="AA90" i="23"/>
  <c r="Y90" i="23" s="1"/>
  <c r="R90" i="23"/>
  <c r="P90" i="23" s="1"/>
  <c r="U90" i="23"/>
  <c r="S90" i="23" s="1"/>
  <c r="AE90" i="23"/>
  <c r="AD90" i="23"/>
  <c r="AD87" i="23"/>
  <c r="X87" i="23"/>
  <c r="M87" i="23"/>
  <c r="M91" i="23" s="1"/>
  <c r="D91" i="23"/>
  <c r="C38" i="8" s="1"/>
  <c r="AA87" i="23"/>
  <c r="X88" i="23"/>
  <c r="V88" i="23" s="1"/>
  <c r="AA88" i="23"/>
  <c r="Y88" i="23" s="1"/>
  <c r="U87" i="23"/>
  <c r="X90" i="23"/>
  <c r="V90" i="23" s="1"/>
  <c r="R87" i="23"/>
  <c r="R88" i="23"/>
  <c r="P88" i="23" s="1"/>
  <c r="P87" i="22"/>
  <c r="M18" i="23"/>
  <c r="M29" i="23"/>
  <c r="M31" i="23"/>
  <c r="M21" i="23"/>
  <c r="U32" i="23" l="1"/>
  <c r="S32" i="23" s="1"/>
  <c r="AA32" i="23"/>
  <c r="Y32" i="23" s="1"/>
  <c r="AD32" i="23"/>
  <c r="AB32" i="23" s="1"/>
  <c r="AA17" i="23"/>
  <c r="P103" i="22"/>
  <c r="AA30" i="23"/>
  <c r="Y30" i="23" s="1"/>
  <c r="R30" i="23"/>
  <c r="P30" i="23" s="1"/>
  <c r="AE30" i="23"/>
  <c r="U30" i="23"/>
  <c r="S30" i="23" s="1"/>
  <c r="X31" i="23"/>
  <c r="V31" i="23" s="1"/>
  <c r="U31" i="23"/>
  <c r="S31" i="23" s="1"/>
  <c r="AE31" i="23"/>
  <c r="AD31" i="23"/>
  <c r="AB31" i="23" s="1"/>
  <c r="R31" i="23"/>
  <c r="P31" i="23" s="1"/>
  <c r="R21" i="23"/>
  <c r="P21" i="23" s="1"/>
  <c r="AA21" i="23"/>
  <c r="Y21" i="23" s="1"/>
  <c r="U21" i="23"/>
  <c r="S21" i="23" s="1"/>
  <c r="X21" i="23"/>
  <c r="V21" i="23" s="1"/>
  <c r="X30" i="23"/>
  <c r="V30" i="23" s="1"/>
  <c r="AD30" i="23"/>
  <c r="AB30" i="23" s="1"/>
  <c r="AA19" i="23"/>
  <c r="Y19" i="23" s="1"/>
  <c r="AE19" i="23"/>
  <c r="U19" i="23"/>
  <c r="S19" i="23" s="1"/>
  <c r="X19" i="23"/>
  <c r="V19" i="23" s="1"/>
  <c r="R19" i="23"/>
  <c r="P19" i="23" s="1"/>
  <c r="AE17" i="23"/>
  <c r="X29" i="23"/>
  <c r="V29" i="23" s="1"/>
  <c r="R10" i="23"/>
  <c r="P10" i="23" s="1"/>
  <c r="AA10" i="23"/>
  <c r="Y10" i="23" s="1"/>
  <c r="Y17" i="23"/>
  <c r="AL19" i="23"/>
  <c r="AJ19" i="23" s="1"/>
  <c r="X10" i="23"/>
  <c r="V10" i="23" s="1"/>
  <c r="AE10" i="23"/>
  <c r="U10" i="23"/>
  <c r="S10" i="23" s="1"/>
  <c r="AL29" i="23"/>
  <c r="AJ29" i="23" s="1"/>
  <c r="AD24" i="23"/>
  <c r="AB24" i="23" s="1"/>
  <c r="AE24" i="23"/>
  <c r="AE29" i="23"/>
  <c r="AA29" i="23"/>
  <c r="Y29" i="23" s="1"/>
  <c r="AD29" i="23"/>
  <c r="AB29" i="23" s="1"/>
  <c r="R29" i="23"/>
  <c r="P29" i="23" s="1"/>
  <c r="U29" i="23"/>
  <c r="S29" i="23" s="1"/>
  <c r="R27" i="23"/>
  <c r="P27" i="23" s="1"/>
  <c r="U27" i="23"/>
  <c r="S27" i="23" s="1"/>
  <c r="X27" i="23"/>
  <c r="V27" i="23" s="1"/>
  <c r="AA27" i="23"/>
  <c r="Y27" i="23" s="1"/>
  <c r="AD27" i="23"/>
  <c r="AB27" i="23" s="1"/>
  <c r="AE27" i="23"/>
  <c r="AA24" i="23"/>
  <c r="Y24" i="23" s="1"/>
  <c r="AL17" i="23"/>
  <c r="AH26" i="23"/>
  <c r="U17" i="23"/>
  <c r="X17" i="23"/>
  <c r="R17" i="23"/>
  <c r="U26" i="23"/>
  <c r="S26" i="23" s="1"/>
  <c r="U24" i="23"/>
  <c r="S24" i="23" s="1"/>
  <c r="AH17" i="23"/>
  <c r="AL18" i="23"/>
  <c r="AJ18" i="23" s="1"/>
  <c r="U25" i="23"/>
  <c r="S25" i="23" s="1"/>
  <c r="AH24" i="23"/>
  <c r="AE25" i="23"/>
  <c r="AD25" i="23"/>
  <c r="AB25" i="23" s="1"/>
  <c r="AD17" i="23"/>
  <c r="X24" i="23"/>
  <c r="V24" i="23" s="1"/>
  <c r="AD18" i="23"/>
  <c r="AB18" i="23" s="1"/>
  <c r="R24" i="23"/>
  <c r="P24" i="23" s="1"/>
  <c r="R18" i="23"/>
  <c r="P18" i="23" s="1"/>
  <c r="AA18" i="23"/>
  <c r="Y18" i="23" s="1"/>
  <c r="X18" i="23"/>
  <c r="V18" i="23" s="1"/>
  <c r="R25" i="23"/>
  <c r="P25" i="23" s="1"/>
  <c r="AA25" i="23"/>
  <c r="Y25" i="23" s="1"/>
  <c r="U18" i="23"/>
  <c r="S18" i="23" s="1"/>
  <c r="X25" i="23"/>
  <c r="V25" i="23" s="1"/>
  <c r="AH18" i="23"/>
  <c r="X26" i="23"/>
  <c r="V26" i="23" s="1"/>
  <c r="AD26" i="23"/>
  <c r="AB26" i="23" s="1"/>
  <c r="X32" i="23"/>
  <c r="V32" i="23" s="1"/>
  <c r="AL26" i="23"/>
  <c r="AJ26" i="23" s="1"/>
  <c r="R32" i="23"/>
  <c r="P32" i="23" s="1"/>
  <c r="AA26" i="23"/>
  <c r="Y26" i="23" s="1"/>
  <c r="R26" i="23"/>
  <c r="P26" i="23" s="1"/>
  <c r="AD19" i="23"/>
  <c r="AB19" i="23" s="1"/>
  <c r="AE32" i="23"/>
  <c r="AA31" i="23"/>
  <c r="Y31" i="23" s="1"/>
  <c r="AD21" i="23"/>
  <c r="AB21" i="23" s="1"/>
  <c r="AH27" i="23"/>
  <c r="AE21" i="23"/>
  <c r="AD10" i="23"/>
  <c r="AB10" i="23" s="1"/>
  <c r="V261" i="32"/>
  <c r="AD44" i="8"/>
  <c r="V36" i="4" s="1"/>
  <c r="AO90" i="23"/>
  <c r="AO87" i="23"/>
  <c r="AJ87" i="23"/>
  <c r="AO30" i="23"/>
  <c r="AJ30" i="23"/>
  <c r="AO32" i="23"/>
  <c r="AJ32" i="23"/>
  <c r="AO21" i="23"/>
  <c r="AJ21" i="23"/>
  <c r="AO88" i="23"/>
  <c r="AJ88" i="23"/>
  <c r="AO27" i="23"/>
  <c r="AJ27" i="23"/>
  <c r="AO26" i="23"/>
  <c r="AO17" i="23"/>
  <c r="AO25" i="23"/>
  <c r="AJ25" i="23"/>
  <c r="AO10" i="23"/>
  <c r="AJ10" i="23"/>
  <c r="AO19" i="23"/>
  <c r="AO31" i="23"/>
  <c r="AJ31" i="23"/>
  <c r="L91" i="23"/>
  <c r="AN91" i="23"/>
  <c r="AO18" i="23"/>
  <c r="AO24" i="23"/>
  <c r="AJ24" i="23"/>
  <c r="AO29" i="23"/>
  <c r="AB87" i="23"/>
  <c r="AB88" i="23"/>
  <c r="S87" i="23"/>
  <c r="S91" i="23" s="1"/>
  <c r="U91" i="23"/>
  <c r="AE87" i="23"/>
  <c r="AE91" i="23" s="1"/>
  <c r="AC38" i="8" s="1"/>
  <c r="AG91" i="23"/>
  <c r="V87" i="23"/>
  <c r="V91" i="23" s="1"/>
  <c r="X91" i="23"/>
  <c r="Y87" i="23"/>
  <c r="Y91" i="23" s="1"/>
  <c r="AA91" i="23"/>
  <c r="P87" i="23"/>
  <c r="P91" i="23" s="1"/>
  <c r="R91" i="23"/>
  <c r="AD91" i="23"/>
  <c r="AJ90" i="23"/>
  <c r="AB90" i="23"/>
  <c r="K8" i="23"/>
  <c r="J8" i="23"/>
  <c r="I6" i="8" s="1"/>
  <c r="I8" i="23"/>
  <c r="H6" i="8" s="1"/>
  <c r="H8" i="23"/>
  <c r="G6" i="8" s="1"/>
  <c r="G8" i="23"/>
  <c r="F6" i="8" s="1"/>
  <c r="F8" i="23"/>
  <c r="E6" i="8" s="1"/>
  <c r="E8" i="23"/>
  <c r="D6" i="8" s="1"/>
  <c r="O6" i="22"/>
  <c r="N6" i="22"/>
  <c r="M6" i="22"/>
  <c r="L6" i="22"/>
  <c r="K6" i="22"/>
  <c r="J6" i="22"/>
  <c r="I6" i="22"/>
  <c r="H6" i="22"/>
  <c r="G6" i="22"/>
  <c r="F6" i="22"/>
  <c r="O5" i="23"/>
  <c r="M5" i="23" s="1"/>
  <c r="O6" i="23"/>
  <c r="M6" i="23" s="1"/>
  <c r="D6" i="23"/>
  <c r="D5" i="23"/>
  <c r="P4" i="22"/>
  <c r="P3" i="22"/>
  <c r="V17" i="23" l="1"/>
  <c r="S17" i="23"/>
  <c r="P17" i="23"/>
  <c r="AJ17" i="23"/>
  <c r="AB17" i="23"/>
  <c r="AI5" i="23"/>
  <c r="U5" i="23" s="1"/>
  <c r="AI6" i="23"/>
  <c r="AG6" i="23" s="1"/>
  <c r="AL6" i="23" s="1"/>
  <c r="AE38" i="8"/>
  <c r="W261" i="32" s="1"/>
  <c r="AC261" i="32" s="1"/>
  <c r="AH91" i="23"/>
  <c r="L5" i="3"/>
  <c r="E73" i="23"/>
  <c r="Q5" i="3"/>
  <c r="V5" i="3"/>
  <c r="AA5" i="3"/>
  <c r="AF5" i="3"/>
  <c r="AO91" i="23"/>
  <c r="AK38" i="8"/>
  <c r="G40" i="3"/>
  <c r="L5" i="23"/>
  <c r="AN5" i="23"/>
  <c r="L6" i="23"/>
  <c r="AN6" i="23"/>
  <c r="U261" i="32"/>
  <c r="AB91" i="23"/>
  <c r="AL91" i="23"/>
  <c r="AI38" i="8" s="1"/>
  <c r="AA261" i="32" s="1"/>
  <c r="AJ91" i="23"/>
  <c r="AJ49" i="18"/>
  <c r="AJ39" i="18"/>
  <c r="O128" i="18"/>
  <c r="O127" i="18"/>
  <c r="O126" i="18"/>
  <c r="O124" i="18"/>
  <c r="O123" i="18"/>
  <c r="O122" i="18"/>
  <c r="O121" i="18"/>
  <c r="O119" i="18"/>
  <c r="O118" i="18"/>
  <c r="O117" i="18"/>
  <c r="O116" i="18"/>
  <c r="O114" i="18"/>
  <c r="O115" i="18" s="1"/>
  <c r="L39" i="7" s="1"/>
  <c r="E290" i="32" s="1"/>
  <c r="O113" i="18"/>
  <c r="L38" i="7" s="1"/>
  <c r="E275" i="32" s="1"/>
  <c r="O110" i="18"/>
  <c r="M110" i="18" s="1"/>
  <c r="O109" i="18"/>
  <c r="M109" i="18" s="1"/>
  <c r="O108" i="18"/>
  <c r="O107" i="18"/>
  <c r="AQ22" i="18"/>
  <c r="AQ15" i="18"/>
  <c r="AQ129" i="18"/>
  <c r="AM42" i="7" s="1"/>
  <c r="Z335" i="32" s="1"/>
  <c r="AK129" i="18"/>
  <c r="AH42" i="7" s="1"/>
  <c r="V335" i="32" s="1"/>
  <c r="AG129" i="18"/>
  <c r="AD42" i="7" s="1"/>
  <c r="S335" i="32" s="1"/>
  <c r="AC129" i="18"/>
  <c r="Z42" i="7" s="1"/>
  <c r="P335" i="32" s="1"/>
  <c r="Y129" i="18"/>
  <c r="V42" i="7" s="1"/>
  <c r="M335" i="32" s="1"/>
  <c r="U129" i="18"/>
  <c r="R42" i="7" s="1"/>
  <c r="J335" i="32" s="1"/>
  <c r="Q129" i="18"/>
  <c r="N42" i="7" s="1"/>
  <c r="G335" i="32" s="1"/>
  <c r="N129" i="18"/>
  <c r="K42" i="7" s="1"/>
  <c r="D335" i="32" s="1"/>
  <c r="AQ125" i="18"/>
  <c r="AM41" i="7" s="1"/>
  <c r="Z320" i="32" s="1"/>
  <c r="AK125" i="18"/>
  <c r="AH41" i="7" s="1"/>
  <c r="V320" i="32" s="1"/>
  <c r="AG125" i="18"/>
  <c r="AD41" i="7" s="1"/>
  <c r="S320" i="32" s="1"/>
  <c r="AC125" i="18"/>
  <c r="Z41" i="7" s="1"/>
  <c r="P320" i="32" s="1"/>
  <c r="Y125" i="18"/>
  <c r="V41" i="7" s="1"/>
  <c r="M320" i="32" s="1"/>
  <c r="U125" i="18"/>
  <c r="R41" i="7" s="1"/>
  <c r="J320" i="32" s="1"/>
  <c r="Q125" i="18"/>
  <c r="N41" i="7" s="1"/>
  <c r="G320" i="32" s="1"/>
  <c r="N125" i="18"/>
  <c r="K41" i="7" s="1"/>
  <c r="D320" i="32" s="1"/>
  <c r="D326" i="32" s="1"/>
  <c r="AQ120" i="18"/>
  <c r="AM40" i="7" s="1"/>
  <c r="Z305" i="32" s="1"/>
  <c r="AK120" i="18"/>
  <c r="AH40" i="7" s="1"/>
  <c r="V305" i="32" s="1"/>
  <c r="AG120" i="18"/>
  <c r="AD40" i="7" s="1"/>
  <c r="S305" i="32" s="1"/>
  <c r="AC120" i="18"/>
  <c r="Z40" i="7" s="1"/>
  <c r="P305" i="32" s="1"/>
  <c r="Y120" i="18"/>
  <c r="V40" i="7" s="1"/>
  <c r="M305" i="32" s="1"/>
  <c r="U120" i="18"/>
  <c r="R40" i="7" s="1"/>
  <c r="J305" i="32" s="1"/>
  <c r="Q120" i="18"/>
  <c r="N40" i="7" s="1"/>
  <c r="G305" i="32" s="1"/>
  <c r="N120" i="18"/>
  <c r="K40" i="7" s="1"/>
  <c r="D305" i="32" s="1"/>
  <c r="D311" i="32" s="1"/>
  <c r="AK115" i="18"/>
  <c r="AH39" i="7" s="1"/>
  <c r="V290" i="32" s="1"/>
  <c r="AG115" i="18"/>
  <c r="AD39" i="7" s="1"/>
  <c r="S290" i="32" s="1"/>
  <c r="AC115" i="18"/>
  <c r="Z39" i="7" s="1"/>
  <c r="P290" i="32" s="1"/>
  <c r="Y115" i="18"/>
  <c r="V39" i="7" s="1"/>
  <c r="M290" i="32" s="1"/>
  <c r="U115" i="18"/>
  <c r="R39" i="7" s="1"/>
  <c r="J290" i="32" s="1"/>
  <c r="Q115" i="18"/>
  <c r="N39" i="7" s="1"/>
  <c r="G290" i="32" s="1"/>
  <c r="N115" i="18"/>
  <c r="K39" i="7" s="1"/>
  <c r="D290" i="32" s="1"/>
  <c r="D296" i="32" s="1"/>
  <c r="AK113" i="18"/>
  <c r="AH38" i="7" s="1"/>
  <c r="V275" i="32" s="1"/>
  <c r="AG113" i="18"/>
  <c r="AD38" i="7" s="1"/>
  <c r="S275" i="32" s="1"/>
  <c r="AC113" i="18"/>
  <c r="Z38" i="7" s="1"/>
  <c r="P275" i="32" s="1"/>
  <c r="Y113" i="18"/>
  <c r="V38" i="7" s="1"/>
  <c r="M275" i="32" s="1"/>
  <c r="U113" i="18"/>
  <c r="R38" i="7" s="1"/>
  <c r="J275" i="32" s="1"/>
  <c r="Q113" i="18"/>
  <c r="N38" i="7" s="1"/>
  <c r="G275" i="32" s="1"/>
  <c r="N113" i="18"/>
  <c r="K38" i="7" s="1"/>
  <c r="D275" i="32" s="1"/>
  <c r="D281" i="32" s="1"/>
  <c r="AK111" i="18"/>
  <c r="AH37" i="7" s="1"/>
  <c r="AG111" i="18"/>
  <c r="AD37" i="7" s="1"/>
  <c r="AC111" i="18"/>
  <c r="Z37" i="7" s="1"/>
  <c r="Y111" i="18"/>
  <c r="V37" i="7" s="1"/>
  <c r="U111" i="18"/>
  <c r="R37" i="7" s="1"/>
  <c r="Q111" i="18"/>
  <c r="N37" i="7" s="1"/>
  <c r="N111" i="18"/>
  <c r="K37" i="7" s="1"/>
  <c r="J120" i="18"/>
  <c r="I40" i="7" s="1"/>
  <c r="AJ43" i="3" s="1"/>
  <c r="I120" i="18"/>
  <c r="H40" i="7" s="1"/>
  <c r="AE43" i="3" s="1"/>
  <c r="H120" i="18"/>
  <c r="G40" i="7" s="1"/>
  <c r="Z43" i="3" s="1"/>
  <c r="G120" i="18"/>
  <c r="F40" i="7" s="1"/>
  <c r="U43" i="3" s="1"/>
  <c r="K129" i="18"/>
  <c r="K120" i="18"/>
  <c r="J113" i="18"/>
  <c r="I38" i="7" s="1"/>
  <c r="AJ41" i="3" s="1"/>
  <c r="AI41" i="3" s="1"/>
  <c r="W38" i="26" s="1"/>
  <c r="AQ88" i="18"/>
  <c r="AM24" i="7" s="1"/>
  <c r="Z245" i="32" s="1"/>
  <c r="AK88" i="18"/>
  <c r="AH24" i="7" s="1"/>
  <c r="V245" i="32" s="1"/>
  <c r="AG88" i="18"/>
  <c r="AD24" i="7" s="1"/>
  <c r="S245" i="32" s="1"/>
  <c r="AC88" i="18"/>
  <c r="Z24" i="7" s="1"/>
  <c r="P245" i="32" s="1"/>
  <c r="Y88" i="18"/>
  <c r="V24" i="7" s="1"/>
  <c r="M245" i="32" s="1"/>
  <c r="U88" i="18"/>
  <c r="R24" i="7" s="1"/>
  <c r="J245" i="32" s="1"/>
  <c r="Q88" i="18"/>
  <c r="N24" i="7" s="1"/>
  <c r="G245" i="32" s="1"/>
  <c r="AQ86" i="18"/>
  <c r="AM23" i="7" s="1"/>
  <c r="Z230" i="32" s="1"/>
  <c r="AK86" i="18"/>
  <c r="AH23" i="7" s="1"/>
  <c r="V230" i="32" s="1"/>
  <c r="AG86" i="18"/>
  <c r="AD23" i="7" s="1"/>
  <c r="S230" i="32" s="1"/>
  <c r="AC86" i="18"/>
  <c r="Z23" i="7" s="1"/>
  <c r="P230" i="32" s="1"/>
  <c r="Y86" i="18"/>
  <c r="V23" i="7" s="1"/>
  <c r="M230" i="32" s="1"/>
  <c r="U86" i="18"/>
  <c r="R23" i="7" s="1"/>
  <c r="J230" i="32" s="1"/>
  <c r="Q86" i="18"/>
  <c r="N23" i="7" s="1"/>
  <c r="G230" i="32" s="1"/>
  <c r="AK81" i="18"/>
  <c r="AH22" i="7" s="1"/>
  <c r="V214" i="32" s="1"/>
  <c r="AG81" i="18"/>
  <c r="AD22" i="7" s="1"/>
  <c r="S214" i="32" s="1"/>
  <c r="AC81" i="18"/>
  <c r="Z22" i="7" s="1"/>
  <c r="P214" i="32" s="1"/>
  <c r="Y81" i="18"/>
  <c r="V22" i="7" s="1"/>
  <c r="M214" i="32" s="1"/>
  <c r="U81" i="18"/>
  <c r="R22" i="7" s="1"/>
  <c r="J214" i="32" s="1"/>
  <c r="Q81" i="18"/>
  <c r="N22" i="7" s="1"/>
  <c r="G214" i="32" s="1"/>
  <c r="AK73" i="18"/>
  <c r="AH21" i="7" s="1"/>
  <c r="V199" i="32" s="1"/>
  <c r="AG73" i="18"/>
  <c r="AD21" i="7" s="1"/>
  <c r="S199" i="32" s="1"/>
  <c r="AC73" i="18"/>
  <c r="Z21" i="7" s="1"/>
  <c r="P199" i="32" s="1"/>
  <c r="Y73" i="18"/>
  <c r="V21" i="7" s="1"/>
  <c r="M199" i="32" s="1"/>
  <c r="U73" i="18"/>
  <c r="R21" i="7" s="1"/>
  <c r="J199" i="32" s="1"/>
  <c r="Q73" i="18"/>
  <c r="N21" i="7" s="1"/>
  <c r="G199" i="32" s="1"/>
  <c r="AK65" i="18"/>
  <c r="AH20" i="7" s="1"/>
  <c r="V183" i="32" s="1"/>
  <c r="AG65" i="18"/>
  <c r="AD20" i="7" s="1"/>
  <c r="S183" i="32" s="1"/>
  <c r="AC65" i="18"/>
  <c r="Z20" i="7" s="1"/>
  <c r="P183" i="32" s="1"/>
  <c r="Y65" i="18"/>
  <c r="V20" i="7" s="1"/>
  <c r="M183" i="32" s="1"/>
  <c r="U65" i="18"/>
  <c r="R20" i="7" s="1"/>
  <c r="J183" i="32" s="1"/>
  <c r="Q65" i="18"/>
  <c r="N20" i="7" s="1"/>
  <c r="G183" i="32" s="1"/>
  <c r="AQ59" i="18"/>
  <c r="AM19" i="7" s="1"/>
  <c r="Z168" i="32" s="1"/>
  <c r="AK59" i="18"/>
  <c r="AH19" i="7" s="1"/>
  <c r="V168" i="32" s="1"/>
  <c r="AG59" i="18"/>
  <c r="AD19" i="7" s="1"/>
  <c r="S168" i="32" s="1"/>
  <c r="AC59" i="18"/>
  <c r="Z19" i="7" s="1"/>
  <c r="P168" i="32" s="1"/>
  <c r="Y59" i="18"/>
  <c r="V19" i="7" s="1"/>
  <c r="M168" i="32" s="1"/>
  <c r="U59" i="18"/>
  <c r="R19" i="7" s="1"/>
  <c r="J168" i="32" s="1"/>
  <c r="Q59" i="18"/>
  <c r="N19" i="7" s="1"/>
  <c r="G168" i="32" s="1"/>
  <c r="AQ54" i="18"/>
  <c r="AM18" i="7" s="1"/>
  <c r="Z153" i="32" s="1"/>
  <c r="AK54" i="18"/>
  <c r="AH18" i="7" s="1"/>
  <c r="V153" i="32" s="1"/>
  <c r="AG54" i="18"/>
  <c r="AD18" i="7" s="1"/>
  <c r="S153" i="32" s="1"/>
  <c r="AC54" i="18"/>
  <c r="Z18" i="7" s="1"/>
  <c r="P153" i="32" s="1"/>
  <c r="Y54" i="18"/>
  <c r="V18" i="7" s="1"/>
  <c r="M153" i="32" s="1"/>
  <c r="U54" i="18"/>
  <c r="R18" i="7" s="1"/>
  <c r="J153" i="32" s="1"/>
  <c r="Q54" i="18"/>
  <c r="N18" i="7" s="1"/>
  <c r="G153" i="32" s="1"/>
  <c r="AK51" i="18"/>
  <c r="AH17" i="7" s="1"/>
  <c r="V138" i="32" s="1"/>
  <c r="AG51" i="18"/>
  <c r="AD17" i="7" s="1"/>
  <c r="S138" i="32" s="1"/>
  <c r="AC51" i="18"/>
  <c r="Z17" i="7" s="1"/>
  <c r="P138" i="32" s="1"/>
  <c r="Y51" i="18"/>
  <c r="V17" i="7" s="1"/>
  <c r="M138" i="32" s="1"/>
  <c r="U51" i="18"/>
  <c r="R17" i="7" s="1"/>
  <c r="J138" i="32" s="1"/>
  <c r="Q51" i="18"/>
  <c r="N17" i="7" s="1"/>
  <c r="G138" i="32" s="1"/>
  <c r="AK42" i="18"/>
  <c r="AH16" i="7" s="1"/>
  <c r="V123" i="32" s="1"/>
  <c r="AG42" i="18"/>
  <c r="AD16" i="7" s="1"/>
  <c r="S123" i="32" s="1"/>
  <c r="AC42" i="18"/>
  <c r="Z16" i="7" s="1"/>
  <c r="P123" i="32" s="1"/>
  <c r="Y42" i="18"/>
  <c r="V16" i="7" s="1"/>
  <c r="M123" i="32" s="1"/>
  <c r="U42" i="18"/>
  <c r="R16" i="7" s="1"/>
  <c r="J123" i="32" s="1"/>
  <c r="Q42" i="18"/>
  <c r="N16" i="7" s="1"/>
  <c r="G123" i="32" s="1"/>
  <c r="AQ33" i="18"/>
  <c r="AM15" i="7" s="1"/>
  <c r="Z108" i="32" s="1"/>
  <c r="AK33" i="18"/>
  <c r="AH15" i="7" s="1"/>
  <c r="V108" i="32" s="1"/>
  <c r="AG33" i="18"/>
  <c r="AD15" i="7" s="1"/>
  <c r="S108" i="32" s="1"/>
  <c r="AC33" i="18"/>
  <c r="Z15" i="7" s="1"/>
  <c r="P108" i="32" s="1"/>
  <c r="Y33" i="18"/>
  <c r="V15" i="7" s="1"/>
  <c r="M108" i="32" s="1"/>
  <c r="U33" i="18"/>
  <c r="R15" i="7" s="1"/>
  <c r="J108" i="32" s="1"/>
  <c r="Q33" i="18"/>
  <c r="N15" i="7" s="1"/>
  <c r="G108" i="32" s="1"/>
  <c r="AK30" i="18"/>
  <c r="AH14" i="7" s="1"/>
  <c r="V92" i="32" s="1"/>
  <c r="AG30" i="18"/>
  <c r="AD14" i="7" s="1"/>
  <c r="S92" i="32" s="1"/>
  <c r="AC30" i="18"/>
  <c r="Z14" i="7" s="1"/>
  <c r="P92" i="32" s="1"/>
  <c r="Y30" i="18"/>
  <c r="V14" i="7" s="1"/>
  <c r="M92" i="32" s="1"/>
  <c r="U30" i="18"/>
  <c r="R14" i="7" s="1"/>
  <c r="J92" i="32" s="1"/>
  <c r="Q30" i="18"/>
  <c r="N14" i="7" s="1"/>
  <c r="G92" i="32" s="1"/>
  <c r="AK24" i="18"/>
  <c r="AH12" i="7" s="1"/>
  <c r="V64" i="32" s="1"/>
  <c r="AG24" i="18"/>
  <c r="AD12" i="7" s="1"/>
  <c r="S64" i="32" s="1"/>
  <c r="AC24" i="18"/>
  <c r="Z12" i="7" s="1"/>
  <c r="P64" i="32" s="1"/>
  <c r="Y24" i="18"/>
  <c r="V12" i="7" s="1"/>
  <c r="M64" i="32" s="1"/>
  <c r="U24" i="18"/>
  <c r="R12" i="7" s="1"/>
  <c r="J64" i="32" s="1"/>
  <c r="Q24" i="18"/>
  <c r="N12" i="7" s="1"/>
  <c r="G64" i="32" s="1"/>
  <c r="AK21" i="18"/>
  <c r="AH11" i="7" s="1"/>
  <c r="AG21" i="18"/>
  <c r="AD11" i="7" s="1"/>
  <c r="AC21" i="18"/>
  <c r="Z11" i="7" s="1"/>
  <c r="Y21" i="18"/>
  <c r="V11" i="7" s="1"/>
  <c r="U21" i="18"/>
  <c r="R11" i="7" s="1"/>
  <c r="Q21" i="18"/>
  <c r="N11" i="7" s="1"/>
  <c r="AK19" i="18"/>
  <c r="AH8" i="7" s="1"/>
  <c r="AG19" i="18"/>
  <c r="AD8" i="7" s="1"/>
  <c r="AC19" i="18"/>
  <c r="Z8" i="7" s="1"/>
  <c r="Y19" i="18"/>
  <c r="V8" i="7" s="1"/>
  <c r="U19" i="18"/>
  <c r="R8" i="7" s="1"/>
  <c r="Q19" i="18"/>
  <c r="N8" i="7" s="1"/>
  <c r="D63" i="18"/>
  <c r="AU63" i="18" s="1"/>
  <c r="J19" i="18"/>
  <c r="I8" i="7" s="1"/>
  <c r="J21" i="18"/>
  <c r="J33" i="18"/>
  <c r="I15" i="7" s="1"/>
  <c r="AJ14" i="3" s="1"/>
  <c r="AI14" i="3" s="1"/>
  <c r="W14" i="26" s="1"/>
  <c r="J42" i="18"/>
  <c r="I16" i="7" s="1"/>
  <c r="AJ15" i="3" s="1"/>
  <c r="J51" i="18"/>
  <c r="I17" i="7" s="1"/>
  <c r="AJ16" i="3" s="1"/>
  <c r="J81" i="18"/>
  <c r="I22" i="7" s="1"/>
  <c r="AJ21" i="3" s="1"/>
  <c r="J73" i="18"/>
  <c r="I21" i="7" s="1"/>
  <c r="AJ20" i="3" s="1"/>
  <c r="J65" i="18"/>
  <c r="I20" i="7" s="1"/>
  <c r="AJ19" i="3" s="1"/>
  <c r="J88" i="18"/>
  <c r="I24" i="7" s="1"/>
  <c r="AJ23" i="3" s="1"/>
  <c r="AI23" i="3" s="1"/>
  <c r="W23" i="26" s="1"/>
  <c r="AK16" i="18"/>
  <c r="AH6" i="7" s="1"/>
  <c r="AG16" i="18"/>
  <c r="AD6" i="7" s="1"/>
  <c r="AC16" i="18"/>
  <c r="Z6" i="7" s="1"/>
  <c r="Y16" i="18"/>
  <c r="V6" i="7" s="1"/>
  <c r="U16" i="18"/>
  <c r="R6" i="7" s="1"/>
  <c r="Q16" i="18"/>
  <c r="N6" i="7" s="1"/>
  <c r="AK10" i="18"/>
  <c r="AG10" i="18"/>
  <c r="AC10" i="18"/>
  <c r="Z5" i="7" s="1"/>
  <c r="Y10" i="18"/>
  <c r="V5" i="7" s="1"/>
  <c r="U10" i="18"/>
  <c r="R5" i="7" s="1"/>
  <c r="Q10" i="18"/>
  <c r="N5" i="7" s="1"/>
  <c r="N86" i="18"/>
  <c r="K23" i="7" s="1"/>
  <c r="D230" i="32" s="1"/>
  <c r="N73" i="18"/>
  <c r="K21" i="7" s="1"/>
  <c r="D199" i="32" s="1"/>
  <c r="N59" i="18"/>
  <c r="K19" i="7" s="1"/>
  <c r="D168" i="32" s="1"/>
  <c r="N54" i="18"/>
  <c r="K18" i="7" s="1"/>
  <c r="D153" i="32" s="1"/>
  <c r="N24" i="18"/>
  <c r="K12" i="7" s="1"/>
  <c r="N16" i="18"/>
  <c r="K6" i="7" s="1"/>
  <c r="D6" i="32" s="1"/>
  <c r="O87" i="18"/>
  <c r="O88" i="18" s="1"/>
  <c r="L24" i="7" s="1"/>
  <c r="O85" i="18"/>
  <c r="M85" i="18" s="1"/>
  <c r="O84" i="18"/>
  <c r="M84" i="18" s="1"/>
  <c r="O83" i="18"/>
  <c r="O82" i="18"/>
  <c r="O75" i="18"/>
  <c r="O74" i="18"/>
  <c r="O72" i="18"/>
  <c r="O71" i="18"/>
  <c r="O70" i="18"/>
  <c r="O69" i="18"/>
  <c r="O68" i="18"/>
  <c r="O67" i="18"/>
  <c r="O66" i="18"/>
  <c r="O64" i="18"/>
  <c r="O63" i="18"/>
  <c r="O62" i="18"/>
  <c r="O61" i="18"/>
  <c r="O60" i="18"/>
  <c r="O58" i="18"/>
  <c r="O56" i="18"/>
  <c r="M56" i="18" s="1"/>
  <c r="O55" i="18"/>
  <c r="M55" i="18" s="1"/>
  <c r="O52" i="18"/>
  <c r="O50" i="18"/>
  <c r="O47" i="18"/>
  <c r="O46" i="18"/>
  <c r="O45" i="18"/>
  <c r="O44" i="18"/>
  <c r="O43" i="18"/>
  <c r="O40" i="18"/>
  <c r="O38" i="18"/>
  <c r="O37" i="18"/>
  <c r="O36" i="18"/>
  <c r="O35" i="18"/>
  <c r="O34" i="18"/>
  <c r="O32" i="18"/>
  <c r="O31" i="18"/>
  <c r="O28" i="18"/>
  <c r="O27" i="18"/>
  <c r="O23" i="18"/>
  <c r="O22" i="18"/>
  <c r="O18" i="18"/>
  <c r="O17" i="18"/>
  <c r="O15" i="18"/>
  <c r="O14" i="18"/>
  <c r="O13" i="18"/>
  <c r="O12" i="18"/>
  <c r="O11" i="18"/>
  <c r="O9" i="18"/>
  <c r="O8" i="18"/>
  <c r="O7" i="18"/>
  <c r="O6" i="18"/>
  <c r="O5" i="18"/>
  <c r="O21" i="18"/>
  <c r="L11" i="7" s="1"/>
  <c r="O50" i="23"/>
  <c r="M50" i="23" s="1"/>
  <c r="AE6" i="23" l="1"/>
  <c r="R6" i="23"/>
  <c r="P6" i="23" s="1"/>
  <c r="AL38" i="8"/>
  <c r="U6" i="23"/>
  <c r="S6" i="23" s="1"/>
  <c r="AD6" i="23"/>
  <c r="AD5" i="23"/>
  <c r="AB5" i="23" s="1"/>
  <c r="X5" i="23"/>
  <c r="V5" i="23" s="1"/>
  <c r="X6" i="23"/>
  <c r="V6" i="23" s="1"/>
  <c r="AA5" i="23"/>
  <c r="Y5" i="23" s="1"/>
  <c r="AA6" i="23"/>
  <c r="Y6" i="23" s="1"/>
  <c r="AG5" i="23"/>
  <c r="AE5" i="23" s="1"/>
  <c r="R5" i="23"/>
  <c r="P5" i="23" s="1"/>
  <c r="R7" i="7"/>
  <c r="J5" i="32"/>
  <c r="R25" i="7"/>
  <c r="D64" i="32"/>
  <c r="D82" i="32" s="1"/>
  <c r="Z7" i="7"/>
  <c r="P5" i="32"/>
  <c r="Z25" i="7"/>
  <c r="AH26" i="7"/>
  <c r="V6" i="4" s="1"/>
  <c r="V6" i="32"/>
  <c r="I11" i="7"/>
  <c r="AH10" i="7"/>
  <c r="V34" i="32"/>
  <c r="V36" i="32" s="1"/>
  <c r="AD43" i="7"/>
  <c r="S35" i="4" s="1"/>
  <c r="S260" i="32"/>
  <c r="AD13" i="7"/>
  <c r="S63" i="32"/>
  <c r="S65" i="32" s="1"/>
  <c r="R43" i="7"/>
  <c r="J35" i="4" s="1"/>
  <c r="J260" i="32"/>
  <c r="Z10" i="7"/>
  <c r="P34" i="32"/>
  <c r="P36" i="32" s="1"/>
  <c r="AD26" i="7"/>
  <c r="S6" i="4" s="1"/>
  <c r="S6" i="32"/>
  <c r="Z43" i="7"/>
  <c r="P35" i="4" s="1"/>
  <c r="P260" i="32"/>
  <c r="AG89" i="18"/>
  <c r="AD5" i="7"/>
  <c r="N13" i="7"/>
  <c r="G63" i="32"/>
  <c r="G65" i="32" s="1"/>
  <c r="AH43" i="7"/>
  <c r="V35" i="4" s="1"/>
  <c r="V260" i="32"/>
  <c r="V26" i="7"/>
  <c r="M6" i="4" s="1"/>
  <c r="M6" i="32"/>
  <c r="Z26" i="7"/>
  <c r="P6" i="4" s="1"/>
  <c r="P6" i="32"/>
  <c r="AK89" i="18"/>
  <c r="AH5" i="7"/>
  <c r="R13" i="7"/>
  <c r="J63" i="32"/>
  <c r="J65" i="32" s="1"/>
  <c r="N25" i="7"/>
  <c r="G5" i="32"/>
  <c r="N7" i="7"/>
  <c r="S34" i="32"/>
  <c r="S36" i="32" s="1"/>
  <c r="AD10" i="7"/>
  <c r="N26" i="7"/>
  <c r="G6" i="4" s="1"/>
  <c r="G6" i="32"/>
  <c r="N10" i="7"/>
  <c r="G34" i="32"/>
  <c r="G36" i="32" s="1"/>
  <c r="V13" i="7"/>
  <c r="M63" i="32"/>
  <c r="M65" i="32" s="1"/>
  <c r="K43" i="7"/>
  <c r="D35" i="4" s="1"/>
  <c r="D260" i="32"/>
  <c r="V25" i="7"/>
  <c r="M34" i="32"/>
  <c r="M36" i="32" s="1"/>
  <c r="V10" i="7"/>
  <c r="AH13" i="7"/>
  <c r="V63" i="32"/>
  <c r="V65" i="32" s="1"/>
  <c r="V43" i="7"/>
  <c r="M35" i="4" s="1"/>
  <c r="M260" i="32"/>
  <c r="V7" i="7"/>
  <c r="M5" i="32"/>
  <c r="C10" i="9"/>
  <c r="E10" i="9" s="1"/>
  <c r="E63" i="32"/>
  <c r="R26" i="7"/>
  <c r="J6" i="4" s="1"/>
  <c r="J6" i="32"/>
  <c r="J34" i="32"/>
  <c r="J36" i="32" s="1"/>
  <c r="R10" i="7"/>
  <c r="Z13" i="7"/>
  <c r="P63" i="32"/>
  <c r="P65" i="32" s="1"/>
  <c r="T39" i="28"/>
  <c r="N43" i="7"/>
  <c r="G35" i="4" s="1"/>
  <c r="G260" i="32"/>
  <c r="T23" i="28"/>
  <c r="T14" i="28"/>
  <c r="V35" i="9"/>
  <c r="O19" i="18"/>
  <c r="L8" i="7" s="1"/>
  <c r="L10" i="7" s="1"/>
  <c r="C23" i="9"/>
  <c r="E23" i="9" s="1"/>
  <c r="E245" i="32"/>
  <c r="O125" i="18"/>
  <c r="L41" i="7" s="1"/>
  <c r="E320" i="32" s="1"/>
  <c r="AK5" i="3"/>
  <c r="I7" i="8"/>
  <c r="Q6" i="3"/>
  <c r="L25" i="3"/>
  <c r="L6" i="3"/>
  <c r="AI15" i="3"/>
  <c r="AO40" i="3"/>
  <c r="AS40" i="3"/>
  <c r="AO6" i="23"/>
  <c r="AJ6" i="23"/>
  <c r="X261" i="32"/>
  <c r="AO5" i="23"/>
  <c r="AJ7" i="3"/>
  <c r="I10" i="7"/>
  <c r="Q89" i="18"/>
  <c r="U89" i="18"/>
  <c r="Y89" i="18"/>
  <c r="AC89" i="18"/>
  <c r="O111" i="18"/>
  <c r="L37" i="7" s="1"/>
  <c r="E260" i="32" s="1"/>
  <c r="AG130" i="18"/>
  <c r="O129" i="18"/>
  <c r="L42" i="7" s="1"/>
  <c r="E335" i="32" s="1"/>
  <c r="AJ48" i="18"/>
  <c r="S5" i="23"/>
  <c r="AB6" i="23"/>
  <c r="Q130" i="18"/>
  <c r="O16" i="18"/>
  <c r="L6" i="7" s="1"/>
  <c r="E6" i="32" s="1"/>
  <c r="M119" i="18"/>
  <c r="U130" i="18"/>
  <c r="AK130" i="18"/>
  <c r="M22" i="18"/>
  <c r="O120" i="18"/>
  <c r="L40" i="7" s="1"/>
  <c r="E305" i="32" s="1"/>
  <c r="Y130" i="18"/>
  <c r="M15" i="18"/>
  <c r="AC130" i="18"/>
  <c r="N130" i="18"/>
  <c r="M126" i="18"/>
  <c r="M123" i="18"/>
  <c r="AK90" i="18"/>
  <c r="O33" i="18"/>
  <c r="L15" i="7" s="1"/>
  <c r="O86" i="18"/>
  <c r="L23" i="7" s="1"/>
  <c r="O81" i="18"/>
  <c r="O73" i="18"/>
  <c r="L21" i="7" s="1"/>
  <c r="O65" i="18"/>
  <c r="L20" i="7" s="1"/>
  <c r="O59" i="18"/>
  <c r="L19" i="7" s="1"/>
  <c r="O51" i="18"/>
  <c r="L17" i="7" s="1"/>
  <c r="O42" i="18"/>
  <c r="L16" i="7" s="1"/>
  <c r="O30" i="18"/>
  <c r="L14" i="7" s="1"/>
  <c r="O24" i="18"/>
  <c r="L12" i="7" s="1"/>
  <c r="O10" i="18"/>
  <c r="L5" i="7" s="1"/>
  <c r="AH5" i="23" l="1"/>
  <c r="AL5" i="23"/>
  <c r="M7" i="32"/>
  <c r="P7" i="32"/>
  <c r="Z27" i="7"/>
  <c r="P7" i="4" s="1"/>
  <c r="P5" i="4"/>
  <c r="V27" i="7"/>
  <c r="M7" i="4" s="1"/>
  <c r="M5" i="4"/>
  <c r="AD7" i="7"/>
  <c r="S5" i="32"/>
  <c r="S7" i="32" s="1"/>
  <c r="AD25" i="7"/>
  <c r="AJ10" i="3"/>
  <c r="R27" i="7"/>
  <c r="J7" i="4" s="1"/>
  <c r="J5" i="4"/>
  <c r="G7" i="32"/>
  <c r="J7" i="32"/>
  <c r="AH25" i="7"/>
  <c r="V5" i="32"/>
  <c r="V7" i="32" s="1"/>
  <c r="AH7" i="7"/>
  <c r="N27" i="7"/>
  <c r="G7" i="4" s="1"/>
  <c r="G5" i="4"/>
  <c r="E34" i="32"/>
  <c r="E36" i="32" s="1"/>
  <c r="C7" i="9"/>
  <c r="E7" i="9" s="1"/>
  <c r="E5" i="32"/>
  <c r="E7" i="32" s="1"/>
  <c r="L7" i="7"/>
  <c r="C11" i="9"/>
  <c r="E64" i="32"/>
  <c r="E65" i="32" s="1"/>
  <c r="L13" i="7"/>
  <c r="C13" i="9"/>
  <c r="E92" i="32"/>
  <c r="C15" i="9"/>
  <c r="E15" i="9" s="1"/>
  <c r="E123" i="32"/>
  <c r="C16" i="9"/>
  <c r="E138" i="32"/>
  <c r="C18" i="9"/>
  <c r="E18" i="9" s="1"/>
  <c r="E168" i="32"/>
  <c r="C19" i="9"/>
  <c r="E183" i="32"/>
  <c r="C20" i="9"/>
  <c r="E199" i="32"/>
  <c r="C22" i="9"/>
  <c r="E22" i="9" s="1"/>
  <c r="E230" i="32"/>
  <c r="C14" i="9"/>
  <c r="E108" i="32"/>
  <c r="AK6" i="3"/>
  <c r="L43" i="7"/>
  <c r="E35" i="4" s="1"/>
  <c r="W15" i="26"/>
  <c r="T15" i="28" s="1"/>
  <c r="L22" i="7"/>
  <c r="C21" i="9" s="1"/>
  <c r="O89" i="18"/>
  <c r="AI7" i="3"/>
  <c r="AJ9" i="3"/>
  <c r="O130" i="18"/>
  <c r="AJ5" i="23"/>
  <c r="AK91" i="18"/>
  <c r="D51" i="23"/>
  <c r="AN51" i="23" s="1"/>
  <c r="D50" i="23"/>
  <c r="AD27" i="7" l="1"/>
  <c r="S7" i="4" s="1"/>
  <c r="S5" i="4"/>
  <c r="V5" i="4"/>
  <c r="AH27" i="7"/>
  <c r="V7" i="4" s="1"/>
  <c r="AI10" i="3"/>
  <c r="L50" i="23"/>
  <c r="AN50" i="23"/>
  <c r="E214" i="32"/>
  <c r="L25" i="7"/>
  <c r="AI9" i="3"/>
  <c r="W7" i="26"/>
  <c r="L80" i="18"/>
  <c r="L76" i="18"/>
  <c r="L49" i="18"/>
  <c r="L48" i="18"/>
  <c r="L41" i="18"/>
  <c r="L39" i="18"/>
  <c r="L29" i="18"/>
  <c r="L20" i="18"/>
  <c r="D127" i="18"/>
  <c r="D128" i="18"/>
  <c r="D126" i="18"/>
  <c r="D122" i="18"/>
  <c r="D123" i="18"/>
  <c r="D124" i="18"/>
  <c r="D121" i="18"/>
  <c r="D117" i="18"/>
  <c r="D118" i="18"/>
  <c r="D119" i="18"/>
  <c r="D116" i="18"/>
  <c r="D114" i="18"/>
  <c r="D108" i="18"/>
  <c r="D109" i="18"/>
  <c r="D110" i="18"/>
  <c r="D107" i="18"/>
  <c r="D85" i="18"/>
  <c r="L84" i="18"/>
  <c r="D83" i="18"/>
  <c r="D82" i="18"/>
  <c r="L78" i="18"/>
  <c r="L79" i="18"/>
  <c r="L77" i="18"/>
  <c r="D75" i="18"/>
  <c r="D74" i="18"/>
  <c r="D72" i="18"/>
  <c r="D71" i="18"/>
  <c r="D70" i="18"/>
  <c r="D69" i="18"/>
  <c r="D68" i="18"/>
  <c r="D67" i="18"/>
  <c r="D66" i="18"/>
  <c r="D61" i="18"/>
  <c r="D62" i="18"/>
  <c r="L63" i="18"/>
  <c r="L64" i="18"/>
  <c r="D60" i="18"/>
  <c r="D56" i="18"/>
  <c r="D58" i="18"/>
  <c r="D55" i="18"/>
  <c r="L53" i="18"/>
  <c r="D52" i="18"/>
  <c r="D50" i="18"/>
  <c r="D47" i="18"/>
  <c r="D46" i="18"/>
  <c r="L45" i="18"/>
  <c r="D44" i="18"/>
  <c r="D43" i="18"/>
  <c r="D40" i="18"/>
  <c r="D38" i="18"/>
  <c r="D37" i="18"/>
  <c r="D36" i="18"/>
  <c r="D35" i="18"/>
  <c r="D34" i="18"/>
  <c r="D32" i="18"/>
  <c r="D31" i="18"/>
  <c r="D28" i="18"/>
  <c r="D27" i="18"/>
  <c r="L27" i="18" s="1"/>
  <c r="L25" i="18"/>
  <c r="D23" i="18"/>
  <c r="D22" i="18"/>
  <c r="D18" i="18"/>
  <c r="D17" i="18"/>
  <c r="D15" i="18"/>
  <c r="D14" i="18"/>
  <c r="D13" i="18"/>
  <c r="D12" i="18"/>
  <c r="D11" i="18"/>
  <c r="D9" i="18"/>
  <c r="D8" i="18"/>
  <c r="D7" i="18"/>
  <c r="D6" i="18"/>
  <c r="D5" i="18"/>
  <c r="J129" i="18"/>
  <c r="I42" i="7" s="1"/>
  <c r="AJ45" i="3" s="1"/>
  <c r="AI45" i="3" s="1"/>
  <c r="W42" i="26" s="1"/>
  <c r="I129" i="18"/>
  <c r="H42" i="7" s="1"/>
  <c r="AE45" i="3" s="1"/>
  <c r="AD45" i="3" s="1"/>
  <c r="V42" i="26" s="1"/>
  <c r="H129" i="18"/>
  <c r="G42" i="7" s="1"/>
  <c r="Z45" i="3" s="1"/>
  <c r="Y45" i="3" s="1"/>
  <c r="U42" i="26" s="1"/>
  <c r="G129" i="18"/>
  <c r="F42" i="7" s="1"/>
  <c r="U45" i="3" s="1"/>
  <c r="T45" i="3" s="1"/>
  <c r="T42" i="26" s="1"/>
  <c r="F129" i="18"/>
  <c r="E42" i="7" s="1"/>
  <c r="P45" i="3" s="1"/>
  <c r="O45" i="3" s="1"/>
  <c r="S42" i="26" s="1"/>
  <c r="E129" i="18"/>
  <c r="D42" i="7" s="1"/>
  <c r="K45" i="3" s="1"/>
  <c r="K111" i="18"/>
  <c r="J111" i="18"/>
  <c r="I111" i="18"/>
  <c r="H37" i="7" s="1"/>
  <c r="H111" i="18"/>
  <c r="G37" i="7" s="1"/>
  <c r="G111" i="18"/>
  <c r="F37" i="7" s="1"/>
  <c r="F111" i="18"/>
  <c r="E37" i="7" s="1"/>
  <c r="D37" i="7"/>
  <c r="K86" i="18"/>
  <c r="J86" i="18"/>
  <c r="I23" i="7" s="1"/>
  <c r="AJ22" i="3" s="1"/>
  <c r="AI22" i="3" s="1"/>
  <c r="W22" i="26" s="1"/>
  <c r="T22" i="28" s="1"/>
  <c r="I86" i="18"/>
  <c r="H23" i="7" s="1"/>
  <c r="AE22" i="3" s="1"/>
  <c r="AD22" i="3" s="1"/>
  <c r="V22" i="26" s="1"/>
  <c r="H86" i="18"/>
  <c r="G23" i="7" s="1"/>
  <c r="Z22" i="3" s="1"/>
  <c r="Y22" i="3" s="1"/>
  <c r="U22" i="26" s="1"/>
  <c r="G86" i="18"/>
  <c r="F23" i="7" s="1"/>
  <c r="U22" i="3" s="1"/>
  <c r="T22" i="3" s="1"/>
  <c r="T22" i="26" s="1"/>
  <c r="F86" i="18"/>
  <c r="E23" i="7" s="1"/>
  <c r="P22" i="3" s="1"/>
  <c r="O22" i="3" s="1"/>
  <c r="S22" i="26" s="1"/>
  <c r="E86" i="18"/>
  <c r="D23" i="7" s="1"/>
  <c r="K22" i="3" s="1"/>
  <c r="J22" i="3" s="1"/>
  <c r="R22" i="26" s="1"/>
  <c r="K59" i="18"/>
  <c r="J59" i="18"/>
  <c r="I19" i="7" s="1"/>
  <c r="AJ18" i="3" s="1"/>
  <c r="AI18" i="3" s="1"/>
  <c r="W18" i="26" s="1"/>
  <c r="I59" i="18"/>
  <c r="H19" i="7" s="1"/>
  <c r="AE18" i="3" s="1"/>
  <c r="AD18" i="3" s="1"/>
  <c r="V18" i="26" s="1"/>
  <c r="H59" i="18"/>
  <c r="G19" i="7" s="1"/>
  <c r="Z18" i="3" s="1"/>
  <c r="Y18" i="3" s="1"/>
  <c r="U18" i="26" s="1"/>
  <c r="G59" i="18"/>
  <c r="F19" i="7" s="1"/>
  <c r="U18" i="3" s="1"/>
  <c r="T18" i="3" s="1"/>
  <c r="T18" i="26" s="1"/>
  <c r="F59" i="18"/>
  <c r="E19" i="7" s="1"/>
  <c r="P18" i="3" s="1"/>
  <c r="O18" i="3" s="1"/>
  <c r="S18" i="26" s="1"/>
  <c r="E59" i="18"/>
  <c r="D19" i="7" s="1"/>
  <c r="K18" i="3" s="1"/>
  <c r="J18" i="3" s="1"/>
  <c r="R18" i="26" s="1"/>
  <c r="K54" i="18"/>
  <c r="J54" i="18"/>
  <c r="I18" i="7" s="1"/>
  <c r="I54" i="18"/>
  <c r="H18" i="7" s="1"/>
  <c r="H54" i="18"/>
  <c r="G18" i="7" s="1"/>
  <c r="G54" i="18"/>
  <c r="F18" i="7" s="1"/>
  <c r="F54" i="18"/>
  <c r="E18" i="7" s="1"/>
  <c r="E54" i="18"/>
  <c r="D18" i="7" s="1"/>
  <c r="K24" i="18"/>
  <c r="J24" i="18"/>
  <c r="I12" i="7" s="1"/>
  <c r="I24" i="18"/>
  <c r="H12" i="7" s="1"/>
  <c r="H24" i="18"/>
  <c r="G12" i="7" s="1"/>
  <c r="G24" i="18"/>
  <c r="F12" i="7" s="1"/>
  <c r="F24" i="18"/>
  <c r="E12" i="7" s="1"/>
  <c r="K16" i="18"/>
  <c r="J16" i="18"/>
  <c r="I6" i="7" s="1"/>
  <c r="AJ5" i="3" s="1"/>
  <c r="AI5" i="3" s="1"/>
  <c r="W5" i="26" s="1"/>
  <c r="T5" i="28" s="1"/>
  <c r="I16" i="18"/>
  <c r="H6" i="7" s="1"/>
  <c r="AE5" i="3" s="1"/>
  <c r="AD5" i="3" s="1"/>
  <c r="V5" i="26" s="1"/>
  <c r="H16" i="18"/>
  <c r="G6" i="7" s="1"/>
  <c r="Z5" i="3" s="1"/>
  <c r="Y5" i="3" s="1"/>
  <c r="U5" i="26" s="1"/>
  <c r="G16" i="18"/>
  <c r="F6" i="7" s="1"/>
  <c r="U5" i="3" s="1"/>
  <c r="T5" i="3" s="1"/>
  <c r="T5" i="26" s="1"/>
  <c r="F16" i="18"/>
  <c r="E6" i="7" s="1"/>
  <c r="P5" i="3" s="1"/>
  <c r="O5" i="3" s="1"/>
  <c r="S5" i="26" s="1"/>
  <c r="E16" i="18"/>
  <c r="D6" i="7" s="1"/>
  <c r="K5" i="3" s="1"/>
  <c r="J5" i="3" s="1"/>
  <c r="R5" i="26" s="1"/>
  <c r="W10" i="26" l="1"/>
  <c r="J45" i="3"/>
  <c r="R42" i="26" s="1"/>
  <c r="Y42" i="26" s="1"/>
  <c r="T43" i="28"/>
  <c r="AC42" i="26"/>
  <c r="Z43" i="28" s="1"/>
  <c r="Z42" i="26"/>
  <c r="AA42" i="26"/>
  <c r="AB42" i="26"/>
  <c r="S43" i="28"/>
  <c r="Y18" i="26"/>
  <c r="Z18" i="26"/>
  <c r="AA18" i="26"/>
  <c r="AB18" i="26"/>
  <c r="S18" i="28"/>
  <c r="T18" i="28"/>
  <c r="AC18" i="26"/>
  <c r="Z18" i="28" s="1"/>
  <c r="AE11" i="3"/>
  <c r="P11" i="3"/>
  <c r="AJ11" i="3"/>
  <c r="AJ12" i="3" s="1"/>
  <c r="I13" i="7"/>
  <c r="U11" i="3"/>
  <c r="Z11" i="3"/>
  <c r="Y5" i="26"/>
  <c r="Z5" i="26"/>
  <c r="AC5" i="26"/>
  <c r="Z5" i="28" s="1"/>
  <c r="S5" i="28"/>
  <c r="AB5" i="26"/>
  <c r="AA5" i="26"/>
  <c r="L5" i="18"/>
  <c r="AU5" i="18"/>
  <c r="L6" i="18"/>
  <c r="AU6" i="18"/>
  <c r="L7" i="18"/>
  <c r="AU7" i="18"/>
  <c r="L8" i="18"/>
  <c r="AU8" i="18"/>
  <c r="L9" i="18"/>
  <c r="AU9" i="18"/>
  <c r="L11" i="18"/>
  <c r="AU11" i="18"/>
  <c r="L12" i="18"/>
  <c r="AU12" i="18"/>
  <c r="L13" i="18"/>
  <c r="AU13" i="18"/>
  <c r="L14" i="18"/>
  <c r="AU14" i="18"/>
  <c r="L15" i="18"/>
  <c r="AU15" i="18"/>
  <c r="L17" i="18"/>
  <c r="AU17" i="18"/>
  <c r="L18" i="18"/>
  <c r="AU18" i="18"/>
  <c r="L22" i="18"/>
  <c r="AU22" i="18"/>
  <c r="L23" i="18"/>
  <c r="AU23" i="18"/>
  <c r="AU27" i="18"/>
  <c r="D30" i="18"/>
  <c r="AU30" i="18" s="1"/>
  <c r="L28" i="18"/>
  <c r="AU28" i="18"/>
  <c r="L31" i="18"/>
  <c r="AU31" i="18"/>
  <c r="L32" i="18"/>
  <c r="AU32" i="18"/>
  <c r="L34" i="18"/>
  <c r="AU34" i="18"/>
  <c r="L35" i="18"/>
  <c r="AU35" i="18"/>
  <c r="L36" i="18"/>
  <c r="AU36" i="18"/>
  <c r="L37" i="18"/>
  <c r="AU37" i="18"/>
  <c r="L38" i="18"/>
  <c r="AU38" i="18"/>
  <c r="L40" i="18"/>
  <c r="AU40" i="18"/>
  <c r="L43" i="18"/>
  <c r="AU43" i="18"/>
  <c r="L44" i="18"/>
  <c r="AU44" i="18"/>
  <c r="L46" i="18"/>
  <c r="AU46" i="18"/>
  <c r="L47" i="18"/>
  <c r="AU47" i="18"/>
  <c r="L50" i="18"/>
  <c r="AU50" i="18"/>
  <c r="L52" i="18"/>
  <c r="AU52" i="18"/>
  <c r="L55" i="18"/>
  <c r="AU55" i="18"/>
  <c r="L58" i="18"/>
  <c r="AU58" i="18"/>
  <c r="L56" i="18"/>
  <c r="AU56" i="18"/>
  <c r="L60" i="18"/>
  <c r="AU60" i="18"/>
  <c r="L62" i="18"/>
  <c r="AU62" i="18"/>
  <c r="L61" i="18"/>
  <c r="AU61" i="18"/>
  <c r="L66" i="18"/>
  <c r="AU66" i="18"/>
  <c r="L67" i="18"/>
  <c r="AU67" i="18"/>
  <c r="L68" i="18"/>
  <c r="AU68" i="18"/>
  <c r="L69" i="18"/>
  <c r="AU69" i="18"/>
  <c r="L70" i="18"/>
  <c r="AU70" i="18"/>
  <c r="L71" i="18"/>
  <c r="AU71" i="18"/>
  <c r="L72" i="18"/>
  <c r="AU72" i="18"/>
  <c r="L74" i="18"/>
  <c r="AU74" i="18"/>
  <c r="L75" i="18"/>
  <c r="AU75" i="18"/>
  <c r="L82" i="18"/>
  <c r="AU82" i="18"/>
  <c r="L83" i="18"/>
  <c r="AU83" i="18"/>
  <c r="L85" i="18"/>
  <c r="AU85" i="18"/>
  <c r="L107" i="18"/>
  <c r="AU107" i="18"/>
  <c r="L110" i="18"/>
  <c r="AU110" i="18"/>
  <c r="L109" i="18"/>
  <c r="AU109" i="18"/>
  <c r="L108" i="18"/>
  <c r="AU108" i="18"/>
  <c r="L112" i="18"/>
  <c r="AU112" i="18"/>
  <c r="L114" i="18"/>
  <c r="AU114" i="18"/>
  <c r="L116" i="18"/>
  <c r="AU116" i="18"/>
  <c r="L119" i="18"/>
  <c r="AU119" i="18"/>
  <c r="L118" i="18"/>
  <c r="AU118" i="18"/>
  <c r="L117" i="18"/>
  <c r="AU117" i="18"/>
  <c r="L121" i="18"/>
  <c r="AU121" i="18"/>
  <c r="L124" i="18"/>
  <c r="AU124" i="18"/>
  <c r="L123" i="18"/>
  <c r="AU123" i="18"/>
  <c r="L122" i="18"/>
  <c r="AU122" i="18"/>
  <c r="L126" i="18"/>
  <c r="AU126" i="18"/>
  <c r="L128" i="18"/>
  <c r="AU128" i="18"/>
  <c r="L127" i="18"/>
  <c r="AU127" i="18"/>
  <c r="P40" i="3"/>
  <c r="O40" i="3" s="1"/>
  <c r="S37" i="26" s="1"/>
  <c r="I37" i="7"/>
  <c r="K40" i="3"/>
  <c r="U40" i="3"/>
  <c r="T40" i="3" s="1"/>
  <c r="T37" i="26" s="1"/>
  <c r="AE40" i="3"/>
  <c r="AD40" i="3" s="1"/>
  <c r="V37" i="26" s="1"/>
  <c r="Z40" i="3"/>
  <c r="Y40" i="3" s="1"/>
  <c r="U37" i="26" s="1"/>
  <c r="AB22" i="26"/>
  <c r="AC22" i="26"/>
  <c r="Z22" i="28" s="1"/>
  <c r="S22" i="28"/>
  <c r="AA22" i="26"/>
  <c r="Z22" i="26"/>
  <c r="Y22" i="26"/>
  <c r="I26" i="7"/>
  <c r="AJ17" i="3"/>
  <c r="AE17" i="3"/>
  <c r="AD17" i="3" s="1"/>
  <c r="V17" i="26" s="1"/>
  <c r="Z17" i="3"/>
  <c r="Y17" i="3" s="1"/>
  <c r="U17" i="26" s="1"/>
  <c r="U17" i="3"/>
  <c r="T17" i="3" s="1"/>
  <c r="T17" i="26" s="1"/>
  <c r="P17" i="3"/>
  <c r="K17" i="3"/>
  <c r="E5" i="4"/>
  <c r="T7" i="28"/>
  <c r="W9" i="26"/>
  <c r="T9" i="28" s="1"/>
  <c r="J90" i="18"/>
  <c r="D129" i="18"/>
  <c r="D24" i="18"/>
  <c r="J115" i="18"/>
  <c r="I39" i="7" s="1"/>
  <c r="AJ42" i="3" s="1"/>
  <c r="AI42" i="3" s="1"/>
  <c r="W39" i="26" s="1"/>
  <c r="J125" i="18"/>
  <c r="I41" i="7" s="1"/>
  <c r="AJ44" i="3" s="1"/>
  <c r="AI44" i="3" s="1"/>
  <c r="W41" i="26" s="1"/>
  <c r="AA37" i="26" l="1"/>
  <c r="T42" i="28"/>
  <c r="T40" i="28"/>
  <c r="T10" i="28"/>
  <c r="J40" i="3"/>
  <c r="R37" i="26" s="1"/>
  <c r="Y37" i="26" s="1"/>
  <c r="Z37" i="26"/>
  <c r="L125" i="18"/>
  <c r="L24" i="18"/>
  <c r="AU24" i="18"/>
  <c r="C12" i="7"/>
  <c r="L129" i="18"/>
  <c r="AU129" i="18"/>
  <c r="C42" i="7"/>
  <c r="I43" i="7"/>
  <c r="AJ40" i="3"/>
  <c r="S38" i="28"/>
  <c r="AB37" i="26"/>
  <c r="AI17" i="3"/>
  <c r="AJ25" i="3"/>
  <c r="S17" i="28"/>
  <c r="AB17" i="26"/>
  <c r="AA17" i="26"/>
  <c r="O17" i="3"/>
  <c r="J17" i="3"/>
  <c r="J130" i="18"/>
  <c r="J10" i="18"/>
  <c r="K12" i="23"/>
  <c r="K73" i="23" s="1"/>
  <c r="J12" i="23"/>
  <c r="I12" i="23"/>
  <c r="H12" i="8" s="1"/>
  <c r="H12" i="23"/>
  <c r="G12" i="8" s="1"/>
  <c r="G12" i="23"/>
  <c r="F12" i="8" s="1"/>
  <c r="F12" i="23"/>
  <c r="E12" i="8" s="1"/>
  <c r="O53" i="18"/>
  <c r="AQ42" i="7" l="1"/>
  <c r="AR42" i="7" s="1"/>
  <c r="F45" i="3"/>
  <c r="AQ12" i="7"/>
  <c r="AR12" i="7" s="1"/>
  <c r="F11" i="3"/>
  <c r="Q11" i="3"/>
  <c r="F73" i="23"/>
  <c r="V11" i="3"/>
  <c r="T11" i="3" s="1"/>
  <c r="G73" i="23"/>
  <c r="AA11" i="3"/>
  <c r="Y11" i="3" s="1"/>
  <c r="H73" i="23"/>
  <c r="AF11" i="3"/>
  <c r="AD11" i="3" s="1"/>
  <c r="I73" i="23"/>
  <c r="J73" i="23"/>
  <c r="AI40" i="3"/>
  <c r="W17" i="26"/>
  <c r="S17" i="26"/>
  <c r="R17" i="26"/>
  <c r="J89" i="18"/>
  <c r="I5" i="7"/>
  <c r="M53" i="18"/>
  <c r="O54" i="18"/>
  <c r="AF56" i="23"/>
  <c r="AD21" i="8" s="1"/>
  <c r="V200" i="32" s="1"/>
  <c r="AF44" i="23"/>
  <c r="AD20" i="8" s="1"/>
  <c r="V184" i="32" s="1"/>
  <c r="AF37" i="23"/>
  <c r="AD17" i="8" s="1"/>
  <c r="V139" i="32" s="1"/>
  <c r="AF16" i="23"/>
  <c r="AD14" i="8" s="1"/>
  <c r="AF8" i="23"/>
  <c r="AK61" i="23"/>
  <c r="AF61" i="23"/>
  <c r="AD22" i="8" s="1"/>
  <c r="V215" i="32" s="1"/>
  <c r="AC61" i="23"/>
  <c r="Z61" i="23"/>
  <c r="W61" i="23"/>
  <c r="T61" i="23"/>
  <c r="Q61" i="23"/>
  <c r="N61" i="23"/>
  <c r="AR11" i="3" l="1"/>
  <c r="AN11" i="3"/>
  <c r="AN45" i="3"/>
  <c r="AR45" i="3"/>
  <c r="E45" i="3"/>
  <c r="N72" i="23"/>
  <c r="L22" i="8"/>
  <c r="D215" i="32" s="1"/>
  <c r="Q72" i="23"/>
  <c r="O22" i="8"/>
  <c r="G215" i="32" s="1"/>
  <c r="T72" i="23"/>
  <c r="R22" i="8"/>
  <c r="J215" i="32" s="1"/>
  <c r="W72" i="23"/>
  <c r="U22" i="8"/>
  <c r="M215" i="32" s="1"/>
  <c r="Z72" i="23"/>
  <c r="X22" i="8"/>
  <c r="P215" i="32" s="1"/>
  <c r="AC72" i="23"/>
  <c r="AA22" i="8"/>
  <c r="S215" i="32" s="1"/>
  <c r="AK72" i="23"/>
  <c r="AH22" i="8"/>
  <c r="Z215" i="32" s="1"/>
  <c r="AD6" i="8"/>
  <c r="AF73" i="23"/>
  <c r="V93" i="32"/>
  <c r="AD25" i="8"/>
  <c r="AK11" i="3"/>
  <c r="I13" i="8"/>
  <c r="I26" i="8"/>
  <c r="V11" i="26"/>
  <c r="U11" i="26"/>
  <c r="T11" i="26"/>
  <c r="O11" i="3"/>
  <c r="Q12" i="3"/>
  <c r="Q25" i="3"/>
  <c r="W37" i="26"/>
  <c r="AK43" i="3"/>
  <c r="AI43" i="3" s="1"/>
  <c r="W40" i="26" s="1"/>
  <c r="I44" i="8"/>
  <c r="T17" i="28"/>
  <c r="AC17" i="26"/>
  <c r="Z17" i="26"/>
  <c r="Y17" i="26"/>
  <c r="I7" i="7"/>
  <c r="AJ4" i="3"/>
  <c r="I25" i="7"/>
  <c r="I27" i="7" s="1"/>
  <c r="O90" i="18"/>
  <c r="O91" i="18" s="1"/>
  <c r="L18" i="7"/>
  <c r="J91" i="18"/>
  <c r="AF72" i="23"/>
  <c r="L26" i="7" l="1"/>
  <c r="E6" i="4" s="1"/>
  <c r="C17" i="9"/>
  <c r="E17" i="9" s="1"/>
  <c r="E153" i="32"/>
  <c r="AQ45" i="3"/>
  <c r="L42" i="26"/>
  <c r="Q42" i="26"/>
  <c r="X42" i="26" s="1"/>
  <c r="AL45" i="3"/>
  <c r="S11" i="26"/>
  <c r="Z11" i="26" s="1"/>
  <c r="AA11" i="26"/>
  <c r="AB11" i="26"/>
  <c r="S11" i="28"/>
  <c r="AI11" i="3"/>
  <c r="AK12" i="3"/>
  <c r="AK25" i="3"/>
  <c r="V8" i="4"/>
  <c r="V9" i="32"/>
  <c r="V10" i="32" s="1"/>
  <c r="AD7" i="8"/>
  <c r="AD26" i="8"/>
  <c r="T38" i="28"/>
  <c r="AC37" i="26"/>
  <c r="Z38" i="28" s="1"/>
  <c r="T41" i="28"/>
  <c r="W43" i="26"/>
  <c r="Z17" i="28"/>
  <c r="AI4" i="3"/>
  <c r="AJ24" i="3"/>
  <c r="AJ6" i="3"/>
  <c r="L27" i="7"/>
  <c r="AF74" i="23"/>
  <c r="T44" i="28" l="1"/>
  <c r="V9" i="4"/>
  <c r="AD27" i="8"/>
  <c r="V10" i="4" s="1"/>
  <c r="W11" i="26"/>
  <c r="AI12" i="3"/>
  <c r="AI25" i="3"/>
  <c r="Y11" i="26"/>
  <c r="AJ26" i="3"/>
  <c r="E7" i="4"/>
  <c r="AI6" i="3"/>
  <c r="AH6" i="3" s="1"/>
  <c r="AH26" i="3" s="1"/>
  <c r="W4" i="26"/>
  <c r="O98" i="23"/>
  <c r="O95" i="23"/>
  <c r="J56" i="23"/>
  <c r="I21" i="8" s="1"/>
  <c r="AK20" i="3" s="1"/>
  <c r="AI20" i="3" s="1"/>
  <c r="W20" i="26" s="1"/>
  <c r="T20" i="28" s="1"/>
  <c r="I20" i="8"/>
  <c r="AK19" i="3" s="1"/>
  <c r="AI19" i="3" s="1"/>
  <c r="W19" i="26" s="1"/>
  <c r="T19" i="28" s="1"/>
  <c r="J37" i="23"/>
  <c r="I17" i="8" s="1"/>
  <c r="AK16" i="3" s="1"/>
  <c r="AI16" i="3" s="1"/>
  <c r="W16" i="26" s="1"/>
  <c r="T16" i="28" s="1"/>
  <c r="J16" i="23"/>
  <c r="I14" i="8" s="1"/>
  <c r="AK13" i="3" s="1"/>
  <c r="AI13" i="3" s="1"/>
  <c r="W13" i="26" s="1"/>
  <c r="T13" i="28" s="1"/>
  <c r="J61" i="23"/>
  <c r="I22" i="8" s="1"/>
  <c r="O60" i="23"/>
  <c r="O59" i="23"/>
  <c r="O58" i="23"/>
  <c r="O57" i="23"/>
  <c r="O55" i="23"/>
  <c r="O54" i="23"/>
  <c r="O53" i="23"/>
  <c r="O52" i="23"/>
  <c r="O51" i="23"/>
  <c r="O49" i="23"/>
  <c r="O48" i="23"/>
  <c r="O47" i="23"/>
  <c r="O46" i="23"/>
  <c r="O45" i="23"/>
  <c r="O42" i="23"/>
  <c r="O36" i="23"/>
  <c r="O20" i="23"/>
  <c r="O15" i="23"/>
  <c r="O14" i="23"/>
  <c r="O13" i="23"/>
  <c r="O11" i="23"/>
  <c r="O9" i="23"/>
  <c r="O7" i="23"/>
  <c r="O8" i="23" s="1"/>
  <c r="M6" i="8" s="1"/>
  <c r="E9" i="32" s="1"/>
  <c r="E10" i="32" s="1"/>
  <c r="O35" i="23" l="1"/>
  <c r="M15" i="8" s="1"/>
  <c r="O100" i="23"/>
  <c r="O107" i="23" s="1"/>
  <c r="T11" i="28"/>
  <c r="AC11" i="26"/>
  <c r="W12" i="26"/>
  <c r="T12" i="28" s="1"/>
  <c r="W25" i="26"/>
  <c r="T25" i="28" s="1"/>
  <c r="T4" i="28"/>
  <c r="W6" i="26"/>
  <c r="T6" i="28" s="1"/>
  <c r="AK21" i="3"/>
  <c r="I25" i="8"/>
  <c r="I27" i="8" s="1"/>
  <c r="O12" i="23"/>
  <c r="O61" i="23"/>
  <c r="M22" i="8" s="1"/>
  <c r="J72" i="23"/>
  <c r="E109" i="32" l="1"/>
  <c r="D14" i="9"/>
  <c r="E14" i="9" s="1"/>
  <c r="Z11" i="28"/>
  <c r="E215" i="32"/>
  <c r="D21" i="9"/>
  <c r="AK24" i="3"/>
  <c r="AK26" i="3" s="1"/>
  <c r="AI21" i="3"/>
  <c r="O73" i="23"/>
  <c r="M12" i="8"/>
  <c r="J74" i="23"/>
  <c r="D60" i="23"/>
  <c r="D59" i="23"/>
  <c r="D58" i="23"/>
  <c r="D57" i="23"/>
  <c r="D55" i="23"/>
  <c r="D54" i="23"/>
  <c r="D53" i="23"/>
  <c r="D52" i="23"/>
  <c r="L51" i="23"/>
  <c r="D49" i="23"/>
  <c r="D48" i="23"/>
  <c r="D47" i="23"/>
  <c r="D46" i="23"/>
  <c r="D45" i="23"/>
  <c r="D42" i="23"/>
  <c r="D100" i="23"/>
  <c r="D36" i="23"/>
  <c r="D20" i="23"/>
  <c r="D14" i="23"/>
  <c r="D15" i="23"/>
  <c r="L13" i="23"/>
  <c r="D11" i="23"/>
  <c r="D9" i="23"/>
  <c r="AN9" i="23" s="1"/>
  <c r="D7" i="23"/>
  <c r="AN7" i="23" s="1"/>
  <c r="M9" i="23"/>
  <c r="I25" i="24"/>
  <c r="I27" i="24" s="1"/>
  <c r="H25" i="24"/>
  <c r="H27" i="24" s="1"/>
  <c r="G25" i="24"/>
  <c r="G27" i="24" s="1"/>
  <c r="F25" i="24"/>
  <c r="F27" i="24" s="1"/>
  <c r="E25" i="24"/>
  <c r="E27" i="24" s="1"/>
  <c r="D25" i="24"/>
  <c r="D27" i="24" s="1"/>
  <c r="I13" i="24"/>
  <c r="I10" i="24"/>
  <c r="I7" i="24"/>
  <c r="C13" i="24"/>
  <c r="C10" i="24"/>
  <c r="C7" i="24"/>
  <c r="J24" i="24"/>
  <c r="J48" i="24"/>
  <c r="J23" i="24"/>
  <c r="J22" i="24"/>
  <c r="J21" i="24"/>
  <c r="J20" i="24"/>
  <c r="J47" i="24"/>
  <c r="J46" i="24"/>
  <c r="J45" i="24"/>
  <c r="J44" i="24"/>
  <c r="J19" i="24"/>
  <c r="J18" i="24"/>
  <c r="J17" i="24"/>
  <c r="J16" i="24"/>
  <c r="J43" i="24"/>
  <c r="J15" i="24"/>
  <c r="J14" i="24"/>
  <c r="J12" i="24"/>
  <c r="J11" i="24"/>
  <c r="J9" i="24"/>
  <c r="J8" i="24"/>
  <c r="J6" i="24"/>
  <c r="J5" i="24"/>
  <c r="O10" i="22"/>
  <c r="N10" i="22"/>
  <c r="M10" i="22"/>
  <c r="L10" i="22"/>
  <c r="K10" i="22"/>
  <c r="J10" i="22"/>
  <c r="I10" i="22"/>
  <c r="H10" i="22"/>
  <c r="G10" i="22"/>
  <c r="F10" i="22"/>
  <c r="P7" i="22"/>
  <c r="O118" i="20"/>
  <c r="O42" i="26" s="1"/>
  <c r="N118" i="20"/>
  <c r="N42" i="26" s="1"/>
  <c r="M118" i="20"/>
  <c r="M42" i="26" s="1"/>
  <c r="L118" i="20"/>
  <c r="K118" i="20"/>
  <c r="K42" i="26" s="1"/>
  <c r="J118" i="20"/>
  <c r="I118" i="20"/>
  <c r="H118" i="20"/>
  <c r="G118" i="20"/>
  <c r="F118" i="20"/>
  <c r="P115" i="20"/>
  <c r="AO126" i="18" s="1"/>
  <c r="P112" i="20"/>
  <c r="AO123" i="18" s="1"/>
  <c r="P98" i="20"/>
  <c r="AO109" i="18" s="1"/>
  <c r="P19" i="20"/>
  <c r="AO22" i="18" s="1"/>
  <c r="O15" i="20"/>
  <c r="N15" i="20"/>
  <c r="M15" i="20"/>
  <c r="L15" i="20"/>
  <c r="K15" i="20"/>
  <c r="J15" i="20"/>
  <c r="I15" i="20"/>
  <c r="H15" i="20"/>
  <c r="G15" i="20"/>
  <c r="F15" i="20"/>
  <c r="P14" i="20"/>
  <c r="AO15" i="18" s="1"/>
  <c r="O81" i="20"/>
  <c r="O22" i="26" s="1"/>
  <c r="N81" i="20"/>
  <c r="N22" i="26" s="1"/>
  <c r="M81" i="20"/>
  <c r="M22" i="26" s="1"/>
  <c r="L81" i="20"/>
  <c r="J81" i="20"/>
  <c r="I81" i="20"/>
  <c r="H81" i="20"/>
  <c r="G81" i="20"/>
  <c r="F81" i="20"/>
  <c r="P79" i="20"/>
  <c r="AO84" i="18" s="1"/>
  <c r="P80" i="20"/>
  <c r="AO85" i="18" s="1"/>
  <c r="O109" i="20"/>
  <c r="O40" i="26" s="1"/>
  <c r="N109" i="20"/>
  <c r="N40" i="26" s="1"/>
  <c r="M109" i="20"/>
  <c r="M40" i="26" s="1"/>
  <c r="L109" i="20"/>
  <c r="K109" i="20"/>
  <c r="K40" i="26" s="1"/>
  <c r="J109" i="20"/>
  <c r="I109" i="20"/>
  <c r="H109" i="20"/>
  <c r="G109" i="20"/>
  <c r="F109" i="20"/>
  <c r="P51" i="20"/>
  <c r="AO58" i="18" s="1"/>
  <c r="AL58" i="18" s="1"/>
  <c r="P48" i="20"/>
  <c r="AO55" i="18" s="1"/>
  <c r="P46" i="20"/>
  <c r="AO53" i="18" s="1"/>
  <c r="O47" i="20"/>
  <c r="O17" i="26" s="1"/>
  <c r="N47" i="20"/>
  <c r="N17" i="26" s="1"/>
  <c r="M47" i="20"/>
  <c r="M17" i="26" s="1"/>
  <c r="L47" i="20"/>
  <c r="K47" i="20"/>
  <c r="K17" i="26" s="1"/>
  <c r="J47" i="20"/>
  <c r="I47" i="20"/>
  <c r="H47" i="20"/>
  <c r="G47" i="20"/>
  <c r="F47" i="20"/>
  <c r="O100" i="20"/>
  <c r="N100" i="20"/>
  <c r="M100" i="20"/>
  <c r="L100" i="20"/>
  <c r="K100" i="20"/>
  <c r="J100" i="20"/>
  <c r="I100" i="20"/>
  <c r="H100" i="20"/>
  <c r="G100" i="20"/>
  <c r="F100" i="20"/>
  <c r="P99" i="20"/>
  <c r="AO110" i="18" s="1"/>
  <c r="O5" i="26" l="1"/>
  <c r="O6" i="26" s="1"/>
  <c r="O37" i="26"/>
  <c r="N37" i="26"/>
  <c r="K5" i="26"/>
  <c r="K6" i="26" s="1"/>
  <c r="M5" i="26"/>
  <c r="M6" i="26" s="1"/>
  <c r="M37" i="26"/>
  <c r="K37" i="26"/>
  <c r="N5" i="26"/>
  <c r="N6" i="26" s="1"/>
  <c r="O11" i="26"/>
  <c r="M11" i="26"/>
  <c r="M12" i="26" s="1"/>
  <c r="K11" i="26"/>
  <c r="K12" i="26" s="1"/>
  <c r="N11" i="26"/>
  <c r="N12" i="26" s="1"/>
  <c r="AN20" i="23"/>
  <c r="D35" i="23"/>
  <c r="C15" i="8" s="1"/>
  <c r="AI9" i="23"/>
  <c r="AG9" i="23" s="1"/>
  <c r="AH9" i="23" s="1"/>
  <c r="D107" i="23"/>
  <c r="C41" i="8"/>
  <c r="AL13" i="24"/>
  <c r="AL10" i="24"/>
  <c r="AL7" i="24"/>
  <c r="O12" i="26"/>
  <c r="P42" i="26"/>
  <c r="AV58" i="18"/>
  <c r="AR58" i="18"/>
  <c r="E67" i="32"/>
  <c r="E68" i="32" s="1"/>
  <c r="D11" i="9"/>
  <c r="E11" i="9" s="1"/>
  <c r="E21" i="9"/>
  <c r="AN95" i="23"/>
  <c r="L95" i="23"/>
  <c r="L60" i="23"/>
  <c r="AN60" i="23"/>
  <c r="AN98" i="23"/>
  <c r="L98" i="23"/>
  <c r="L52" i="23"/>
  <c r="AN52" i="23"/>
  <c r="L59" i="23"/>
  <c r="AN59" i="23"/>
  <c r="L11" i="23"/>
  <c r="AN11" i="23"/>
  <c r="L45" i="23"/>
  <c r="AN45" i="23"/>
  <c r="L54" i="23"/>
  <c r="AN54" i="23"/>
  <c r="L15" i="23"/>
  <c r="AN15" i="23"/>
  <c r="L46" i="23"/>
  <c r="AN46" i="23"/>
  <c r="L55" i="23"/>
  <c r="AN55" i="23"/>
  <c r="L49" i="23"/>
  <c r="AN49" i="23"/>
  <c r="L42" i="23"/>
  <c r="AN42" i="23"/>
  <c r="L14" i="23"/>
  <c r="AN14" i="23"/>
  <c r="L47" i="23"/>
  <c r="AN47" i="23"/>
  <c r="L57" i="23"/>
  <c r="AN57" i="23"/>
  <c r="L36" i="23"/>
  <c r="AN36" i="23"/>
  <c r="L53" i="23"/>
  <c r="AN53" i="23"/>
  <c r="L48" i="23"/>
  <c r="AN48" i="23"/>
  <c r="L58" i="23"/>
  <c r="AN58" i="23"/>
  <c r="J13" i="24"/>
  <c r="W21" i="26"/>
  <c r="AI24" i="3"/>
  <c r="AI26" i="3" s="1"/>
  <c r="AL110" i="18"/>
  <c r="V110" i="18"/>
  <c r="T110" i="18" s="1"/>
  <c r="R110" i="18"/>
  <c r="P110" i="18" s="1"/>
  <c r="Z110" i="18"/>
  <c r="X110" i="18" s="1"/>
  <c r="AD110" i="18"/>
  <c r="AB110" i="18" s="1"/>
  <c r="AH110" i="18"/>
  <c r="AL119" i="18"/>
  <c r="R119" i="18"/>
  <c r="P119" i="18" s="1"/>
  <c r="AD119" i="18"/>
  <c r="AB119" i="18" s="1"/>
  <c r="AH119" i="18"/>
  <c r="V119" i="18"/>
  <c r="T119" i="18" s="1"/>
  <c r="Z119" i="18"/>
  <c r="X119" i="18" s="1"/>
  <c r="V22" i="18"/>
  <c r="T22" i="18" s="1"/>
  <c r="Z22" i="18"/>
  <c r="X22" i="18" s="1"/>
  <c r="AH22" i="18"/>
  <c r="AD22" i="18"/>
  <c r="AB22" i="18" s="1"/>
  <c r="AL22" i="18"/>
  <c r="R22" i="18"/>
  <c r="P22" i="18" s="1"/>
  <c r="AH85" i="18"/>
  <c r="R85" i="18"/>
  <c r="P85" i="18" s="1"/>
  <c r="AD85" i="18"/>
  <c r="AB85" i="18" s="1"/>
  <c r="V85" i="18"/>
  <c r="T85" i="18" s="1"/>
  <c r="Z85" i="18"/>
  <c r="X85" i="18" s="1"/>
  <c r="AL85" i="18"/>
  <c r="AH109" i="18"/>
  <c r="AL109" i="18"/>
  <c r="V109" i="18"/>
  <c r="T109" i="18" s="1"/>
  <c r="R109" i="18"/>
  <c r="P109" i="18" s="1"/>
  <c r="AD109" i="18"/>
  <c r="AB109" i="18" s="1"/>
  <c r="Z109" i="18"/>
  <c r="X109" i="18" s="1"/>
  <c r="V123" i="18"/>
  <c r="T123" i="18" s="1"/>
  <c r="AL123" i="18"/>
  <c r="Z123" i="18"/>
  <c r="X123" i="18" s="1"/>
  <c r="AH123" i="18"/>
  <c r="R123" i="18"/>
  <c r="P123" i="18" s="1"/>
  <c r="AD123" i="18"/>
  <c r="AB123" i="18" s="1"/>
  <c r="AH126" i="18"/>
  <c r="R126" i="18"/>
  <c r="P126" i="18" s="1"/>
  <c r="V126" i="18"/>
  <c r="T126" i="18" s="1"/>
  <c r="AD126" i="18"/>
  <c r="AB126" i="18" s="1"/>
  <c r="Z126" i="18"/>
  <c r="X126" i="18" s="1"/>
  <c r="AL126" i="18"/>
  <c r="Z55" i="18"/>
  <c r="X55" i="18" s="1"/>
  <c r="V55" i="18"/>
  <c r="T55" i="18" s="1"/>
  <c r="AH55" i="18"/>
  <c r="AD55" i="18"/>
  <c r="AB55" i="18" s="1"/>
  <c r="AL55" i="18"/>
  <c r="R55" i="18"/>
  <c r="P55" i="18" s="1"/>
  <c r="AJ58" i="18"/>
  <c r="AN58" i="18"/>
  <c r="Z15" i="18"/>
  <c r="X15" i="18" s="1"/>
  <c r="AD15" i="18"/>
  <c r="AB15" i="18" s="1"/>
  <c r="V15" i="18"/>
  <c r="T15" i="18" s="1"/>
  <c r="R15" i="18"/>
  <c r="P15" i="18" s="1"/>
  <c r="AL15" i="18"/>
  <c r="AH15" i="18"/>
  <c r="AH84" i="18"/>
  <c r="Z84" i="18"/>
  <c r="X84" i="18" s="1"/>
  <c r="AD84" i="18"/>
  <c r="AB84" i="18" s="1"/>
  <c r="V84" i="18"/>
  <c r="T84" i="18" s="1"/>
  <c r="R84" i="18"/>
  <c r="P84" i="18" s="1"/>
  <c r="AL84" i="18"/>
  <c r="AD53" i="18"/>
  <c r="AB53" i="18" s="1"/>
  <c r="Z53" i="18"/>
  <c r="X53" i="18" s="1"/>
  <c r="AH53" i="18"/>
  <c r="AL53" i="18"/>
  <c r="V53" i="18"/>
  <c r="T53" i="18" s="1"/>
  <c r="R53" i="18"/>
  <c r="P53" i="18" s="1"/>
  <c r="L20" i="23"/>
  <c r="L7" i="23"/>
  <c r="D8" i="23"/>
  <c r="C6" i="8" s="1"/>
  <c r="L9" i="23"/>
  <c r="D12" i="23"/>
  <c r="C12" i="8" s="1"/>
  <c r="AA9" i="23"/>
  <c r="X9" i="23"/>
  <c r="U9" i="23"/>
  <c r="J10" i="24"/>
  <c r="J7" i="24"/>
  <c r="AE9" i="23" l="1"/>
  <c r="R9" i="23"/>
  <c r="AL9" i="23"/>
  <c r="AR119" i="18"/>
  <c r="AV119" i="18"/>
  <c r="AV15" i="18"/>
  <c r="AR15" i="18"/>
  <c r="AP15" i="18" s="1"/>
  <c r="AV55" i="18"/>
  <c r="AR55" i="18"/>
  <c r="AP55" i="18" s="1"/>
  <c r="AV126" i="18"/>
  <c r="AR126" i="18"/>
  <c r="AP126" i="18" s="1"/>
  <c r="AV123" i="18"/>
  <c r="AR123" i="18"/>
  <c r="AP123" i="18" s="1"/>
  <c r="AV109" i="18"/>
  <c r="AR109" i="18"/>
  <c r="AP109" i="18" s="1"/>
  <c r="AV22" i="18"/>
  <c r="AR22" i="18"/>
  <c r="AP22" i="18" s="1"/>
  <c r="AR110" i="18"/>
  <c r="AP110" i="18" s="1"/>
  <c r="AV110" i="18"/>
  <c r="AV85" i="18"/>
  <c r="AR85" i="18"/>
  <c r="AP85" i="18" s="1"/>
  <c r="AV84" i="18"/>
  <c r="AR84" i="18"/>
  <c r="AP84" i="18" s="1"/>
  <c r="AR53" i="18"/>
  <c r="AP53" i="18" s="1"/>
  <c r="AV53" i="18"/>
  <c r="AN8" i="23"/>
  <c r="D73" i="23"/>
  <c r="AN73" i="23" s="1"/>
  <c r="AO9" i="23"/>
  <c r="AN35" i="23"/>
  <c r="AN12" i="23"/>
  <c r="T21" i="28"/>
  <c r="W24" i="26"/>
  <c r="AJ109" i="18"/>
  <c r="AN109" i="18"/>
  <c r="AF15" i="18"/>
  <c r="AN123" i="18"/>
  <c r="AJ123" i="18"/>
  <c r="AF109" i="18"/>
  <c r="AF119" i="18"/>
  <c r="AP119" i="18"/>
  <c r="AJ15" i="18"/>
  <c r="AN15" i="18"/>
  <c r="AN55" i="18"/>
  <c r="AJ55" i="18"/>
  <c r="AJ85" i="18"/>
  <c r="AN85" i="18"/>
  <c r="AN22" i="18"/>
  <c r="AJ22" i="18"/>
  <c r="AJ110" i="18"/>
  <c r="AF55" i="18"/>
  <c r="AF126" i="18"/>
  <c r="AF22" i="18"/>
  <c r="AJ119" i="18"/>
  <c r="AN119" i="18"/>
  <c r="AF110" i="18"/>
  <c r="AJ126" i="18"/>
  <c r="AN126" i="18"/>
  <c r="AF123" i="18"/>
  <c r="AF85" i="18"/>
  <c r="AF84" i="18"/>
  <c r="AJ84" i="18"/>
  <c r="AN84" i="18"/>
  <c r="AJ53" i="18"/>
  <c r="AF53" i="18"/>
  <c r="P9" i="23"/>
  <c r="S9" i="23"/>
  <c r="V9" i="23"/>
  <c r="Y9" i="23"/>
  <c r="AD9" i="23"/>
  <c r="C45" i="13"/>
  <c r="C39" i="4" s="1"/>
  <c r="C25" i="13"/>
  <c r="AK15" i="8" l="1"/>
  <c r="G14" i="3"/>
  <c r="AK12" i="8"/>
  <c r="G11" i="3"/>
  <c r="AK6" i="8"/>
  <c r="G5" i="3"/>
  <c r="W26" i="26"/>
  <c r="T26" i="28" s="1"/>
  <c r="T24" i="28"/>
  <c r="AJ9" i="23"/>
  <c r="AB9" i="23"/>
  <c r="E44" i="12"/>
  <c r="E43" i="12"/>
  <c r="E42" i="12"/>
  <c r="E41" i="12"/>
  <c r="E40" i="12"/>
  <c r="E39" i="12"/>
  <c r="E263" i="32" s="1"/>
  <c r="E24" i="12"/>
  <c r="E23" i="12"/>
  <c r="D23" i="12" s="1"/>
  <c r="E22" i="12"/>
  <c r="D22" i="12" s="1"/>
  <c r="E21" i="12"/>
  <c r="D21" i="12" s="1"/>
  <c r="E20" i="12"/>
  <c r="E19" i="12"/>
  <c r="E18" i="12"/>
  <c r="E17" i="12"/>
  <c r="D17" i="12" s="1"/>
  <c r="E16" i="12"/>
  <c r="D16" i="12" s="1"/>
  <c r="E15" i="12"/>
  <c r="E14" i="12"/>
  <c r="E12" i="12"/>
  <c r="D12" i="12" s="1"/>
  <c r="E11" i="12"/>
  <c r="D11" i="12" s="1"/>
  <c r="E9" i="12"/>
  <c r="D9" i="12" s="1"/>
  <c r="E8" i="12"/>
  <c r="D8" i="12" s="1"/>
  <c r="E6" i="12"/>
  <c r="D6" i="12" s="1"/>
  <c r="E5" i="12"/>
  <c r="D5" i="12" s="1"/>
  <c r="D14" i="32" s="1"/>
  <c r="D16" i="32" s="1"/>
  <c r="D43" i="26"/>
  <c r="E43" i="26"/>
  <c r="F43" i="26"/>
  <c r="G43" i="26"/>
  <c r="C43" i="26"/>
  <c r="I43" i="26" s="1"/>
  <c r="I42" i="26"/>
  <c r="I41" i="26"/>
  <c r="I40" i="26"/>
  <c r="I39" i="26"/>
  <c r="I38" i="26"/>
  <c r="I37" i="26"/>
  <c r="I23" i="26"/>
  <c r="I22" i="26"/>
  <c r="I21" i="26"/>
  <c r="I20" i="26"/>
  <c r="I18" i="26"/>
  <c r="I17" i="26"/>
  <c r="I16" i="26"/>
  <c r="I15" i="26"/>
  <c r="I14" i="26"/>
  <c r="I13" i="26"/>
  <c r="I11" i="26"/>
  <c r="I5" i="26"/>
  <c r="I4" i="26"/>
  <c r="H10" i="26"/>
  <c r="D24" i="12" l="1"/>
  <c r="D248" i="32" s="1"/>
  <c r="E248" i="32"/>
  <c r="D19" i="12"/>
  <c r="D171" i="32" s="1"/>
  <c r="D174" i="32" s="1"/>
  <c r="E171" i="32"/>
  <c r="D18" i="12"/>
  <c r="D156" i="32" s="1"/>
  <c r="D159" i="32" s="1"/>
  <c r="E156" i="32"/>
  <c r="D15" i="12"/>
  <c r="D111" i="32" s="1"/>
  <c r="E111" i="32"/>
  <c r="D20" i="12"/>
  <c r="D186" i="32" s="1"/>
  <c r="E186" i="32"/>
  <c r="D14" i="12"/>
  <c r="D95" i="32" s="1"/>
  <c r="E95" i="32"/>
  <c r="AO5" i="3"/>
  <c r="AS5" i="3"/>
  <c r="AS11" i="3"/>
  <c r="AO11" i="3"/>
  <c r="E11" i="3"/>
  <c r="AO14" i="3"/>
  <c r="AS14" i="3"/>
  <c r="H43" i="26"/>
  <c r="J43" i="26" s="1"/>
  <c r="V10" i="12"/>
  <c r="D41" i="12"/>
  <c r="G25" i="26"/>
  <c r="F25" i="26"/>
  <c r="E25" i="26"/>
  <c r="D25" i="26"/>
  <c r="G24" i="26"/>
  <c r="F24" i="26"/>
  <c r="E24" i="26"/>
  <c r="I24" i="26" s="1"/>
  <c r="D24" i="26"/>
  <c r="I25" i="26"/>
  <c r="C24" i="26"/>
  <c r="C26" i="12"/>
  <c r="C25" i="12"/>
  <c r="C45" i="12"/>
  <c r="C38" i="4" s="1"/>
  <c r="AQ11" i="3" l="1"/>
  <c r="L11" i="26"/>
  <c r="Q11" i="26"/>
  <c r="D39" i="12"/>
  <c r="D263" i="32" s="1"/>
  <c r="D266" i="32" s="1"/>
  <c r="D40" i="12"/>
  <c r="Q47" i="31"/>
  <c r="X11" i="26" l="1"/>
  <c r="P11" i="26"/>
  <c r="F9" i="30" l="1"/>
  <c r="I26" i="30"/>
  <c r="H26" i="30"/>
  <c r="G26" i="30"/>
  <c r="I25" i="30"/>
  <c r="H25" i="30"/>
  <c r="G25" i="30"/>
  <c r="I27" i="30" l="1"/>
  <c r="H27" i="30"/>
  <c r="G27" i="30"/>
  <c r="D300" i="31"/>
  <c r="D289" i="31"/>
  <c r="D174" i="31"/>
  <c r="D163" i="31"/>
  <c r="D152" i="31"/>
  <c r="D58" i="31"/>
  <c r="V58" i="31" s="1"/>
  <c r="D47" i="31"/>
  <c r="AE45" i="11"/>
  <c r="AE44" i="11"/>
  <c r="AE43" i="11"/>
  <c r="AE42" i="11"/>
  <c r="AE41" i="11"/>
  <c r="AE40" i="11"/>
  <c r="AE24" i="11"/>
  <c r="AE23" i="11"/>
  <c r="AE22" i="11"/>
  <c r="AE21" i="11"/>
  <c r="AE20" i="11"/>
  <c r="AE19" i="11"/>
  <c r="AE18" i="11"/>
  <c r="AE17" i="11"/>
  <c r="AE16" i="11"/>
  <c r="AE15" i="11"/>
  <c r="AE14" i="11"/>
  <c r="AE12" i="11"/>
  <c r="AE11" i="11"/>
  <c r="AE9" i="11"/>
  <c r="AE8" i="11"/>
  <c r="AE6" i="11"/>
  <c r="AE5" i="11"/>
  <c r="W45" i="11"/>
  <c r="W44" i="11"/>
  <c r="W43" i="11"/>
  <c r="W24" i="11"/>
  <c r="W23" i="11"/>
  <c r="W22" i="11"/>
  <c r="W21" i="11"/>
  <c r="W20" i="11"/>
  <c r="W19" i="11"/>
  <c r="W17" i="11"/>
  <c r="W16" i="11"/>
  <c r="W14" i="11"/>
  <c r="W12" i="11"/>
  <c r="W11" i="11"/>
  <c r="W9" i="11"/>
  <c r="W8" i="11"/>
  <c r="W6" i="11"/>
  <c r="W5" i="11"/>
  <c r="E45" i="11"/>
  <c r="D347" i="31" s="1"/>
  <c r="V347" i="31" s="1"/>
  <c r="E44" i="11"/>
  <c r="E43" i="11"/>
  <c r="E42" i="11"/>
  <c r="E41" i="11"/>
  <c r="E40" i="11"/>
  <c r="E24" i="11"/>
  <c r="E23" i="11"/>
  <c r="E22" i="11"/>
  <c r="D210" i="31" s="1"/>
  <c r="V210" i="31" s="1"/>
  <c r="E21" i="11"/>
  <c r="D199" i="31" s="1"/>
  <c r="E20" i="11"/>
  <c r="D185" i="31" s="1"/>
  <c r="V185" i="31" s="1"/>
  <c r="E19" i="11"/>
  <c r="E18" i="11"/>
  <c r="E17" i="11"/>
  <c r="E16" i="11"/>
  <c r="D141" i="31" s="1"/>
  <c r="V141" i="31" s="1"/>
  <c r="E15" i="11"/>
  <c r="D127" i="31" s="1"/>
  <c r="E14" i="11"/>
  <c r="D116" i="31" s="1"/>
  <c r="V116" i="31" s="1"/>
  <c r="E12" i="11"/>
  <c r="E11" i="11"/>
  <c r="D83" i="31" s="1"/>
  <c r="V83" i="31" s="1"/>
  <c r="E9" i="11"/>
  <c r="E8" i="11"/>
  <c r="U125" i="32" s="1"/>
  <c r="E6" i="11"/>
  <c r="E5" i="11"/>
  <c r="D14" i="31" s="1"/>
  <c r="V14" i="31" s="1"/>
  <c r="D336" i="31" l="1"/>
  <c r="U44" i="11"/>
  <c r="E322" i="32"/>
  <c r="D322" i="31"/>
  <c r="V322" i="31" s="1"/>
  <c r="U43" i="11"/>
  <c r="E307" i="32"/>
  <c r="E292" i="32"/>
  <c r="D311" i="31"/>
  <c r="D232" i="31"/>
  <c r="V232" i="31" s="1"/>
  <c r="U24" i="11"/>
  <c r="R24" i="11"/>
  <c r="O24" i="11"/>
  <c r="L24" i="11"/>
  <c r="I24" i="11"/>
  <c r="F24" i="11"/>
  <c r="E247" i="32"/>
  <c r="AC247" i="32" s="1"/>
  <c r="D221" i="31"/>
  <c r="V221" i="31" s="1"/>
  <c r="U23" i="11"/>
  <c r="R23" i="11"/>
  <c r="O23" i="11"/>
  <c r="L23" i="11"/>
  <c r="I23" i="11"/>
  <c r="F23" i="11"/>
  <c r="E232" i="32"/>
  <c r="D94" i="31"/>
  <c r="U12" i="11"/>
  <c r="U13" i="11" s="1"/>
  <c r="R12" i="11"/>
  <c r="R13" i="11" s="1"/>
  <c r="O12" i="11"/>
  <c r="O13" i="11" s="1"/>
  <c r="L12" i="11"/>
  <c r="L13" i="11" s="1"/>
  <c r="I12" i="11"/>
  <c r="I13" i="11" s="1"/>
  <c r="F12" i="11"/>
  <c r="E70" i="32"/>
  <c r="U6" i="11"/>
  <c r="R6" i="11"/>
  <c r="O6" i="11"/>
  <c r="L6" i="11"/>
  <c r="I6" i="11"/>
  <c r="E12" i="32"/>
  <c r="D25" i="31"/>
  <c r="AK20" i="11"/>
  <c r="W185" i="32"/>
  <c r="AK43" i="11"/>
  <c r="W307" i="32"/>
  <c r="X307" i="32" s="1"/>
  <c r="AK12" i="11"/>
  <c r="W70" i="32"/>
  <c r="AK21" i="11"/>
  <c r="W201" i="32"/>
  <c r="AK44" i="11"/>
  <c r="W322" i="32"/>
  <c r="D329" i="31"/>
  <c r="V329" i="31" s="1"/>
  <c r="V336" i="31"/>
  <c r="AK45" i="11"/>
  <c r="W337" i="32"/>
  <c r="D18" i="31"/>
  <c r="V18" i="31" s="1"/>
  <c r="V25" i="31"/>
  <c r="AK23" i="11"/>
  <c r="W232" i="32"/>
  <c r="X232" i="32" s="1"/>
  <c r="D44" i="31"/>
  <c r="V47" i="31"/>
  <c r="D38" i="31"/>
  <c r="D192" i="31"/>
  <c r="V192" i="31" s="1"/>
  <c r="V199" i="31"/>
  <c r="AK14" i="11"/>
  <c r="W94" i="32"/>
  <c r="AK5" i="11"/>
  <c r="W11" i="32"/>
  <c r="AC11" i="32" s="1"/>
  <c r="AK16" i="11"/>
  <c r="W125" i="32"/>
  <c r="AK24" i="11"/>
  <c r="W247" i="32"/>
  <c r="D145" i="31"/>
  <c r="V145" i="31" s="1"/>
  <c r="V152" i="31"/>
  <c r="AK11" i="11"/>
  <c r="W69" i="32"/>
  <c r="AC69" i="32" s="1"/>
  <c r="U12" i="32"/>
  <c r="AK6" i="11"/>
  <c r="W12" i="32"/>
  <c r="X12" i="32" s="1"/>
  <c r="U40" i="32"/>
  <c r="AK8" i="11"/>
  <c r="W40" i="32"/>
  <c r="AC40" i="32" s="1"/>
  <c r="D87" i="31"/>
  <c r="V87" i="31" s="1"/>
  <c r="V94" i="31"/>
  <c r="AK22" i="11"/>
  <c r="W216" i="32"/>
  <c r="U140" i="32"/>
  <c r="AK17" i="11"/>
  <c r="W140" i="32"/>
  <c r="AK9" i="11"/>
  <c r="W41" i="32"/>
  <c r="AC41" i="32" s="1"/>
  <c r="AK19" i="11"/>
  <c r="W170" i="32"/>
  <c r="AE13" i="11"/>
  <c r="D171" i="31"/>
  <c r="V171" i="31" s="1"/>
  <c r="V174" i="31"/>
  <c r="D218" i="31"/>
  <c r="V218" i="31" s="1"/>
  <c r="D220" i="31"/>
  <c r="D212" i="31"/>
  <c r="V212" i="31" s="1"/>
  <c r="D209" i="31"/>
  <c r="D202" i="31"/>
  <c r="V202" i="31" s="1"/>
  <c r="D227" i="31"/>
  <c r="V227" i="31" s="1"/>
  <c r="D230" i="31"/>
  <c r="V230" i="31" s="1"/>
  <c r="D115" i="31"/>
  <c r="D108" i="31"/>
  <c r="V108" i="31" s="1"/>
  <c r="D136" i="31"/>
  <c r="V136" i="31" s="1"/>
  <c r="D139" i="31"/>
  <c r="V139" i="31" s="1"/>
  <c r="D346" i="31"/>
  <c r="D339" i="31"/>
  <c r="V339" i="31" s="1"/>
  <c r="D9" i="31"/>
  <c r="V9" i="31" s="1"/>
  <c r="D11" i="31"/>
  <c r="V11" i="31" s="1"/>
  <c r="D180" i="31"/>
  <c r="V180" i="31" s="1"/>
  <c r="D176" i="31"/>
  <c r="V176" i="31" s="1"/>
  <c r="D181" i="31"/>
  <c r="V181" i="31" s="1"/>
  <c r="D317" i="31"/>
  <c r="V317" i="31" s="1"/>
  <c r="D313" i="31"/>
  <c r="V313" i="31" s="1"/>
  <c r="D318" i="31"/>
  <c r="V318" i="31" s="1"/>
  <c r="U170" i="32"/>
  <c r="D45" i="31"/>
  <c r="U185" i="32"/>
  <c r="U70" i="32"/>
  <c r="U94" i="32"/>
  <c r="U232" i="32"/>
  <c r="D40" i="31"/>
  <c r="U201" i="32"/>
  <c r="U11" i="32"/>
  <c r="U247" i="32"/>
  <c r="D19" i="31"/>
  <c r="V19" i="31" s="1"/>
  <c r="D147" i="31"/>
  <c r="V147" i="31" s="1"/>
  <c r="D164" i="31"/>
  <c r="V164" i="31" s="1"/>
  <c r="D20" i="31"/>
  <c r="V20" i="31" s="1"/>
  <c r="D41" i="31"/>
  <c r="D148" i="31"/>
  <c r="V148" i="31" s="1"/>
  <c r="D165" i="31"/>
  <c r="V165" i="31" s="1"/>
  <c r="D177" i="31"/>
  <c r="V177" i="31" s="1"/>
  <c r="D219" i="31"/>
  <c r="V219" i="31" s="1"/>
  <c r="D314" i="31"/>
  <c r="V314" i="31" s="1"/>
  <c r="D22" i="31"/>
  <c r="D46" i="31"/>
  <c r="D131" i="31"/>
  <c r="V131" i="31" s="1"/>
  <c r="D167" i="31"/>
  <c r="V167" i="31" s="1"/>
  <c r="D182" i="31"/>
  <c r="V182" i="31" s="1"/>
  <c r="D222" i="31"/>
  <c r="V222" i="31" s="1"/>
  <c r="D319" i="31"/>
  <c r="V319" i="31" s="1"/>
  <c r="D166" i="31"/>
  <c r="V166" i="31" s="1"/>
  <c r="D4" i="31"/>
  <c r="V4" i="31" s="1"/>
  <c r="D137" i="31"/>
  <c r="V137" i="31" s="1"/>
  <c r="D168" i="31"/>
  <c r="V168" i="31" s="1"/>
  <c r="D183" i="31"/>
  <c r="V183" i="31" s="1"/>
  <c r="D228" i="31"/>
  <c r="V228" i="31" s="1"/>
  <c r="D320" i="31"/>
  <c r="V320" i="31" s="1"/>
  <c r="D21" i="31"/>
  <c r="V21" i="31" s="1"/>
  <c r="D149" i="31"/>
  <c r="V149" i="31" s="1"/>
  <c r="D31" i="31"/>
  <c r="V31" i="31" s="1"/>
  <c r="D10" i="31"/>
  <c r="D37" i="31"/>
  <c r="D138" i="31"/>
  <c r="V138" i="31" s="1"/>
  <c r="D172" i="31"/>
  <c r="V172" i="31" s="1"/>
  <c r="D184" i="31"/>
  <c r="D229" i="31"/>
  <c r="V229" i="31" s="1"/>
  <c r="D321" i="31"/>
  <c r="D173" i="31"/>
  <c r="D12" i="31"/>
  <c r="V12" i="31" s="1"/>
  <c r="D39" i="31"/>
  <c r="D146" i="31"/>
  <c r="V146" i="31" s="1"/>
  <c r="D175" i="31"/>
  <c r="V175" i="31" s="1"/>
  <c r="D211" i="31"/>
  <c r="V211" i="31" s="1"/>
  <c r="D312" i="31"/>
  <c r="V312" i="31" s="1"/>
  <c r="D193" i="31"/>
  <c r="V193" i="31" s="1"/>
  <c r="D203" i="31"/>
  <c r="V203" i="31" s="1"/>
  <c r="D331" i="31"/>
  <c r="V331" i="31" s="1"/>
  <c r="D110" i="31"/>
  <c r="V110" i="31" s="1"/>
  <c r="D204" i="31"/>
  <c r="V204" i="31" s="1"/>
  <c r="D90" i="31"/>
  <c r="V90" i="31" s="1"/>
  <c r="D213" i="31"/>
  <c r="V213" i="31" s="1"/>
  <c r="D341" i="31"/>
  <c r="V341" i="31" s="1"/>
  <c r="D111" i="31"/>
  <c r="V111" i="31" s="1"/>
  <c r="D140" i="31"/>
  <c r="D214" i="31"/>
  <c r="V214" i="31" s="1"/>
  <c r="D231" i="31"/>
  <c r="D342" i="31"/>
  <c r="V342" i="31" s="1"/>
  <c r="D6" i="31"/>
  <c r="V6" i="31" s="1"/>
  <c r="D23" i="31"/>
  <c r="D84" i="31"/>
  <c r="V84" i="31" s="1"/>
  <c r="D189" i="31"/>
  <c r="V189" i="31" s="1"/>
  <c r="D215" i="31"/>
  <c r="V215" i="31" s="1"/>
  <c r="D334" i="31"/>
  <c r="V334" i="31" s="1"/>
  <c r="D7" i="31"/>
  <c r="D16" i="31"/>
  <c r="V16" i="31" s="1"/>
  <c r="D24" i="31"/>
  <c r="D42" i="31"/>
  <c r="D85" i="31"/>
  <c r="V85" i="31" s="1"/>
  <c r="D93" i="31"/>
  <c r="D113" i="31"/>
  <c r="V113" i="31" s="1"/>
  <c r="D134" i="31"/>
  <c r="V134" i="31" s="1"/>
  <c r="D143" i="31"/>
  <c r="V143" i="31" s="1"/>
  <c r="D151" i="31"/>
  <c r="D169" i="31"/>
  <c r="V169" i="31" s="1"/>
  <c r="D178" i="31"/>
  <c r="V178" i="31" s="1"/>
  <c r="D190" i="31"/>
  <c r="V190" i="31" s="1"/>
  <c r="D198" i="31"/>
  <c r="D207" i="31"/>
  <c r="V207" i="31" s="1"/>
  <c r="D216" i="31"/>
  <c r="V216" i="31" s="1"/>
  <c r="D225" i="31"/>
  <c r="V225" i="31" s="1"/>
  <c r="D315" i="31"/>
  <c r="V315" i="31" s="1"/>
  <c r="D327" i="31"/>
  <c r="V327" i="31" s="1"/>
  <c r="D335" i="31"/>
  <c r="D344" i="31"/>
  <c r="V344" i="31" s="1"/>
  <c r="D88" i="31"/>
  <c r="V88" i="31" s="1"/>
  <c r="D330" i="31"/>
  <c r="V330" i="31" s="1"/>
  <c r="D89" i="31"/>
  <c r="V89" i="31" s="1"/>
  <c r="D194" i="31"/>
  <c r="V194" i="31" s="1"/>
  <c r="D340" i="31"/>
  <c r="V340" i="31" s="1"/>
  <c r="D13" i="31"/>
  <c r="V13" i="31" s="1"/>
  <c r="D205" i="31"/>
  <c r="V205" i="31" s="1"/>
  <c r="D333" i="31"/>
  <c r="V333" i="31" s="1"/>
  <c r="D15" i="31"/>
  <c r="D112" i="31"/>
  <c r="V112" i="31" s="1"/>
  <c r="D133" i="31"/>
  <c r="V133" i="31" s="1"/>
  <c r="D150" i="31"/>
  <c r="V150" i="31" s="1"/>
  <c r="D206" i="31"/>
  <c r="V206" i="31" s="1"/>
  <c r="D343" i="31"/>
  <c r="V343" i="31" s="1"/>
  <c r="D8" i="31"/>
  <c r="V8" i="31" s="1"/>
  <c r="D17" i="31"/>
  <c r="V17" i="31" s="1"/>
  <c r="D43" i="31"/>
  <c r="D86" i="31"/>
  <c r="V86" i="31" s="1"/>
  <c r="D106" i="31"/>
  <c r="V106" i="31" s="1"/>
  <c r="D114" i="31"/>
  <c r="V114" i="31" s="1"/>
  <c r="D135" i="31"/>
  <c r="V135" i="31" s="1"/>
  <c r="D144" i="31"/>
  <c r="V144" i="31" s="1"/>
  <c r="D170" i="31"/>
  <c r="V170" i="31" s="1"/>
  <c r="D179" i="31"/>
  <c r="V179" i="31" s="1"/>
  <c r="D191" i="31"/>
  <c r="V191" i="31" s="1"/>
  <c r="D200" i="31"/>
  <c r="V200" i="31" s="1"/>
  <c r="D208" i="31"/>
  <c r="V208" i="31" s="1"/>
  <c r="D217" i="31"/>
  <c r="V217" i="31" s="1"/>
  <c r="D226" i="31"/>
  <c r="V226" i="31" s="1"/>
  <c r="D316" i="31"/>
  <c r="V316" i="31" s="1"/>
  <c r="D328" i="31"/>
  <c r="V328" i="31" s="1"/>
  <c r="D337" i="31"/>
  <c r="V337" i="31" s="1"/>
  <c r="D345" i="31"/>
  <c r="V345" i="31" s="1"/>
  <c r="D109" i="31"/>
  <c r="V109" i="31" s="1"/>
  <c r="D195" i="31"/>
  <c r="V195" i="31" s="1"/>
  <c r="D332" i="31"/>
  <c r="V332" i="31" s="1"/>
  <c r="D5" i="31"/>
  <c r="V5" i="31" s="1"/>
  <c r="D91" i="31"/>
  <c r="V91" i="31" s="1"/>
  <c r="D132" i="31"/>
  <c r="V132" i="31" s="1"/>
  <c r="D196" i="31"/>
  <c r="V196" i="31" s="1"/>
  <c r="D223" i="31"/>
  <c r="V223" i="31" s="1"/>
  <c r="D92" i="31"/>
  <c r="V92" i="31" s="1"/>
  <c r="D142" i="31"/>
  <c r="V142" i="31" s="1"/>
  <c r="D197" i="31"/>
  <c r="V197" i="31" s="1"/>
  <c r="D224" i="31"/>
  <c r="V224" i="31" s="1"/>
  <c r="D326" i="31"/>
  <c r="V326" i="31" s="1"/>
  <c r="D107" i="31"/>
  <c r="V107" i="31" s="1"/>
  <c r="D201" i="31"/>
  <c r="V201" i="31" s="1"/>
  <c r="D338" i="31"/>
  <c r="V338" i="31" s="1"/>
  <c r="AE10" i="11"/>
  <c r="AE7" i="11"/>
  <c r="V19" i="11"/>
  <c r="V170" i="32" s="1"/>
  <c r="V20" i="11"/>
  <c r="V185" i="32" s="1"/>
  <c r="V6" i="11"/>
  <c r="V12" i="32" s="1"/>
  <c r="V23" i="11"/>
  <c r="V232" i="32" s="1"/>
  <c r="V21" i="11"/>
  <c r="V201" i="32" s="1"/>
  <c r="W13" i="11"/>
  <c r="V11" i="11"/>
  <c r="W7" i="11"/>
  <c r="W10" i="11"/>
  <c r="AK10" i="11" s="1"/>
  <c r="V16" i="11"/>
  <c r="V125" i="32" s="1"/>
  <c r="U13" i="32" l="1"/>
  <c r="X322" i="32"/>
  <c r="X94" i="32"/>
  <c r="AC94" i="32"/>
  <c r="X185" i="32"/>
  <c r="AC185" i="32"/>
  <c r="AC232" i="32"/>
  <c r="X140" i="32"/>
  <c r="AC140" i="32"/>
  <c r="X70" i="32"/>
  <c r="X247" i="32"/>
  <c r="AC307" i="32"/>
  <c r="X337" i="32"/>
  <c r="AC337" i="32"/>
  <c r="X216" i="32"/>
  <c r="AC216" i="32"/>
  <c r="X125" i="32"/>
  <c r="AC125" i="32"/>
  <c r="X201" i="32"/>
  <c r="AC201" i="32"/>
  <c r="AC322" i="32"/>
  <c r="X170" i="32"/>
  <c r="AC170" i="32"/>
  <c r="AC70" i="32"/>
  <c r="E71" i="32"/>
  <c r="AC71" i="32" s="1"/>
  <c r="AC12" i="32"/>
  <c r="E13" i="32"/>
  <c r="AC13" i="32" s="1"/>
  <c r="I7" i="11"/>
  <c r="L7" i="11"/>
  <c r="O7" i="11"/>
  <c r="R7" i="11"/>
  <c r="U7" i="11"/>
  <c r="V12" i="11"/>
  <c r="V70" i="32" s="1"/>
  <c r="V5" i="11"/>
  <c r="V11" i="32" s="1"/>
  <c r="V13" i="32" s="1"/>
  <c r="V17" i="11"/>
  <c r="V140" i="32" s="1"/>
  <c r="W71" i="32"/>
  <c r="V24" i="11"/>
  <c r="V247" i="32" s="1"/>
  <c r="V69" i="32"/>
  <c r="V11" i="6"/>
  <c r="V14" i="11"/>
  <c r="V94" i="32" s="1"/>
  <c r="V44" i="11"/>
  <c r="V322" i="32" s="1"/>
  <c r="U322" i="32"/>
  <c r="D64" i="31"/>
  <c r="V64" i="31" s="1"/>
  <c r="V42" i="31"/>
  <c r="F19" i="30"/>
  <c r="V173" i="31"/>
  <c r="D33" i="31"/>
  <c r="V33" i="31" s="1"/>
  <c r="V22" i="31"/>
  <c r="V45" i="11"/>
  <c r="V337" i="32" s="1"/>
  <c r="U337" i="32"/>
  <c r="F17" i="30"/>
  <c r="V151" i="31"/>
  <c r="F6" i="30"/>
  <c r="P6" i="30" s="1"/>
  <c r="V24" i="31"/>
  <c r="D34" i="31"/>
  <c r="V34" i="31" s="1"/>
  <c r="V23" i="31"/>
  <c r="F8" i="30"/>
  <c r="V46" i="31"/>
  <c r="F14" i="30"/>
  <c r="V115" i="31"/>
  <c r="D29" i="31"/>
  <c r="V29" i="31" s="1"/>
  <c r="V7" i="31"/>
  <c r="F42" i="30"/>
  <c r="V321" i="31"/>
  <c r="D63" i="31"/>
  <c r="V63" i="31" s="1"/>
  <c r="V41" i="31"/>
  <c r="D60" i="31"/>
  <c r="V60" i="31" s="1"/>
  <c r="V38" i="31"/>
  <c r="F44" i="30"/>
  <c r="V346" i="31"/>
  <c r="D32" i="31"/>
  <c r="V32" i="31" s="1"/>
  <c r="V10" i="31"/>
  <c r="D65" i="31"/>
  <c r="V65" i="31" s="1"/>
  <c r="V43" i="31"/>
  <c r="F24" i="30"/>
  <c r="P24" i="30" s="1"/>
  <c r="V231" i="31"/>
  <c r="X40" i="32"/>
  <c r="W42" i="32"/>
  <c r="D59" i="31"/>
  <c r="V59" i="31" s="1"/>
  <c r="V37" i="31"/>
  <c r="V22" i="11"/>
  <c r="V216" i="32" s="1"/>
  <c r="U216" i="32"/>
  <c r="F43" i="30"/>
  <c r="V335" i="31"/>
  <c r="V43" i="11"/>
  <c r="V307" i="32" s="1"/>
  <c r="U307" i="32"/>
  <c r="F21" i="30"/>
  <c r="V198" i="31"/>
  <c r="F22" i="30"/>
  <c r="V209" i="31"/>
  <c r="D66" i="31"/>
  <c r="V66" i="31" s="1"/>
  <c r="V44" i="31"/>
  <c r="D26" i="31"/>
  <c r="V26" i="31" s="1"/>
  <c r="V15" i="31"/>
  <c r="F12" i="30"/>
  <c r="P12" i="30" s="1"/>
  <c r="V93" i="31"/>
  <c r="F16" i="30"/>
  <c r="V140" i="31"/>
  <c r="D62" i="31"/>
  <c r="V62" i="31" s="1"/>
  <c r="V40" i="31"/>
  <c r="U69" i="32"/>
  <c r="U71" i="32" s="1"/>
  <c r="W13" i="32"/>
  <c r="X11" i="32"/>
  <c r="D61" i="31"/>
  <c r="V61" i="31" s="1"/>
  <c r="V39" i="31"/>
  <c r="F20" i="30"/>
  <c r="V184" i="31"/>
  <c r="U41" i="32"/>
  <c r="U42" i="32" s="1"/>
  <c r="D67" i="31"/>
  <c r="V67" i="31" s="1"/>
  <c r="V45" i="31"/>
  <c r="F23" i="30"/>
  <c r="P23" i="30" s="1"/>
  <c r="V220" i="31"/>
  <c r="D35" i="31"/>
  <c r="V35" i="31" s="1"/>
  <c r="F5" i="30"/>
  <c r="D30" i="31"/>
  <c r="V30" i="31" s="1"/>
  <c r="D28" i="31"/>
  <c r="V28" i="31" s="1"/>
  <c r="D27" i="31"/>
  <c r="V27" i="31" s="1"/>
  <c r="V13" i="11"/>
  <c r="V7" i="11"/>
  <c r="V8" i="11"/>
  <c r="J44" i="30"/>
  <c r="J43" i="30"/>
  <c r="J42" i="30"/>
  <c r="J41" i="30"/>
  <c r="J40" i="30"/>
  <c r="J39" i="30"/>
  <c r="J24" i="30"/>
  <c r="K24" i="30" s="1"/>
  <c r="J23" i="30"/>
  <c r="J22" i="30"/>
  <c r="K22" i="30" s="1"/>
  <c r="J21" i="30"/>
  <c r="J20" i="30"/>
  <c r="K20" i="30" s="1"/>
  <c r="J19" i="30"/>
  <c r="J18" i="30"/>
  <c r="J17" i="30"/>
  <c r="J16" i="30"/>
  <c r="J15" i="30"/>
  <c r="J14" i="30"/>
  <c r="K14" i="30" s="1"/>
  <c r="J12" i="30"/>
  <c r="K12" i="30" s="1"/>
  <c r="J11" i="30"/>
  <c r="J9" i="30"/>
  <c r="J8" i="30"/>
  <c r="J6" i="30"/>
  <c r="K6" i="30" s="1"/>
  <c r="J5" i="30"/>
  <c r="K5" i="30" s="1"/>
  <c r="G45" i="30"/>
  <c r="I45" i="30"/>
  <c r="X42" i="32" l="1"/>
  <c r="AC42" i="32"/>
  <c r="X13" i="32"/>
  <c r="X71" i="32"/>
  <c r="P43" i="30"/>
  <c r="K43" i="30"/>
  <c r="P42" i="30"/>
  <c r="K42" i="30"/>
  <c r="K23" i="30"/>
  <c r="K21" i="30"/>
  <c r="D17" i="30"/>
  <c r="K17" i="30"/>
  <c r="K8" i="30"/>
  <c r="K16" i="30"/>
  <c r="K19" i="30"/>
  <c r="F7" i="30"/>
  <c r="P7" i="30" s="1"/>
  <c r="E21" i="30"/>
  <c r="D21" i="30"/>
  <c r="C21" i="30"/>
  <c r="E16" i="30"/>
  <c r="D16" i="30"/>
  <c r="D43" i="30"/>
  <c r="N43" i="30" s="1"/>
  <c r="R43" i="30" s="1"/>
  <c r="C43" i="30"/>
  <c r="M43" i="30" s="1"/>
  <c r="Q43" i="30" s="1"/>
  <c r="E43" i="30"/>
  <c r="O43" i="30" s="1"/>
  <c r="S43" i="30" s="1"/>
  <c r="J13" i="30"/>
  <c r="D20" i="30"/>
  <c r="C20" i="30"/>
  <c r="E20" i="30"/>
  <c r="D12" i="30"/>
  <c r="N12" i="30" s="1"/>
  <c r="R12" i="30" s="1"/>
  <c r="E12" i="30"/>
  <c r="O12" i="30" s="1"/>
  <c r="S12" i="30" s="1"/>
  <c r="E22" i="30"/>
  <c r="D22" i="30"/>
  <c r="D44" i="30"/>
  <c r="E44" i="30"/>
  <c r="D23" i="30"/>
  <c r="N23" i="30" s="1"/>
  <c r="R23" i="30" s="1"/>
  <c r="E23" i="30"/>
  <c r="O23" i="30" s="1"/>
  <c r="S23" i="30" s="1"/>
  <c r="C23" i="30"/>
  <c r="M23" i="30" s="1"/>
  <c r="Q23" i="30" s="1"/>
  <c r="V10" i="11"/>
  <c r="V40" i="32"/>
  <c r="C5" i="30"/>
  <c r="E5" i="30"/>
  <c r="D5" i="30"/>
  <c r="J7" i="30"/>
  <c r="J25" i="30"/>
  <c r="E6" i="30"/>
  <c r="O6" i="30" s="1"/>
  <c r="S6" i="30" s="1"/>
  <c r="D6" i="30"/>
  <c r="N6" i="30" s="1"/>
  <c r="R6" i="30" s="1"/>
  <c r="C6" i="30"/>
  <c r="M6" i="30" s="1"/>
  <c r="Q6" i="30" s="1"/>
  <c r="J26" i="30"/>
  <c r="D8" i="30"/>
  <c r="E8" i="30"/>
  <c r="J10" i="30"/>
  <c r="V81" i="32"/>
  <c r="V71" i="32"/>
  <c r="J45" i="30"/>
  <c r="K7" i="30" l="1"/>
  <c r="D25" i="30"/>
  <c r="E25" i="30"/>
  <c r="C25" i="30"/>
  <c r="V42" i="32"/>
  <c r="J27" i="30"/>
  <c r="S255" i="31"/>
  <c r="S254" i="31"/>
  <c r="S253" i="31"/>
  <c r="S252" i="31"/>
  <c r="S251" i="31"/>
  <c r="S250" i="31"/>
  <c r="S249" i="31"/>
  <c r="S248" i="31"/>
  <c r="S247" i="31"/>
  <c r="P256" i="31"/>
  <c r="O256" i="31"/>
  <c r="M256" i="31"/>
  <c r="K256" i="31"/>
  <c r="I256" i="31"/>
  <c r="G256" i="31"/>
  <c r="F256" i="31"/>
  <c r="E256" i="31"/>
  <c r="C256" i="31"/>
  <c r="P255" i="31"/>
  <c r="O255" i="31"/>
  <c r="N255" i="31"/>
  <c r="M255" i="31"/>
  <c r="L255" i="31"/>
  <c r="K255" i="31"/>
  <c r="J255" i="31"/>
  <c r="I255" i="31"/>
  <c r="H255" i="31"/>
  <c r="G255" i="31"/>
  <c r="F255" i="31"/>
  <c r="E255" i="31"/>
  <c r="C255" i="31"/>
  <c r="P254" i="31"/>
  <c r="O254" i="31"/>
  <c r="N254" i="31"/>
  <c r="M254" i="31"/>
  <c r="L254" i="31"/>
  <c r="K254" i="31"/>
  <c r="J254" i="31"/>
  <c r="I254" i="31"/>
  <c r="H254" i="31"/>
  <c r="G254" i="31"/>
  <c r="F254" i="31"/>
  <c r="E254" i="31"/>
  <c r="C254" i="31"/>
  <c r="P253" i="31"/>
  <c r="O253" i="31"/>
  <c r="N253" i="31"/>
  <c r="M253" i="31"/>
  <c r="L253" i="31"/>
  <c r="K253" i="31"/>
  <c r="J253" i="31"/>
  <c r="I253" i="31"/>
  <c r="H253" i="31"/>
  <c r="G253" i="31"/>
  <c r="F253" i="31"/>
  <c r="E253" i="31"/>
  <c r="C253" i="31"/>
  <c r="P252" i="31"/>
  <c r="O252" i="31"/>
  <c r="N252" i="31"/>
  <c r="M252" i="31"/>
  <c r="L252" i="31"/>
  <c r="K252" i="31"/>
  <c r="J252" i="31"/>
  <c r="I252" i="31"/>
  <c r="H252" i="31"/>
  <c r="G252" i="31"/>
  <c r="F252" i="31"/>
  <c r="E252" i="31"/>
  <c r="C252" i="31"/>
  <c r="P251" i="31"/>
  <c r="O251" i="31"/>
  <c r="N251" i="31"/>
  <c r="M251" i="31"/>
  <c r="L251" i="31"/>
  <c r="K251" i="31"/>
  <c r="J251" i="31"/>
  <c r="I251" i="31"/>
  <c r="H251" i="31"/>
  <c r="G251" i="31"/>
  <c r="F251" i="31"/>
  <c r="E251" i="31"/>
  <c r="C251" i="31"/>
  <c r="P250" i="31"/>
  <c r="O250" i="31"/>
  <c r="N250" i="31"/>
  <c r="M250" i="31"/>
  <c r="L250" i="31"/>
  <c r="K250" i="31"/>
  <c r="J250" i="31"/>
  <c r="I250" i="31"/>
  <c r="H250" i="31"/>
  <c r="G250" i="31"/>
  <c r="F250" i="31"/>
  <c r="E250" i="31"/>
  <c r="C250" i="31"/>
  <c r="P249" i="31"/>
  <c r="O249" i="31"/>
  <c r="N249" i="31"/>
  <c r="M249" i="31"/>
  <c r="L249" i="31"/>
  <c r="K249" i="31"/>
  <c r="J249" i="31"/>
  <c r="I249" i="31"/>
  <c r="H249" i="31"/>
  <c r="G249" i="31"/>
  <c r="F249" i="31"/>
  <c r="E249" i="31"/>
  <c r="C249" i="31"/>
  <c r="P248" i="31"/>
  <c r="O248" i="31"/>
  <c r="N248" i="31"/>
  <c r="M248" i="31"/>
  <c r="L248" i="31"/>
  <c r="K248" i="31"/>
  <c r="J248" i="31"/>
  <c r="I248" i="31"/>
  <c r="H248" i="31"/>
  <c r="G248" i="31"/>
  <c r="F248" i="31"/>
  <c r="E248" i="31"/>
  <c r="C248" i="31"/>
  <c r="P247" i="31"/>
  <c r="O247" i="31"/>
  <c r="N247" i="31"/>
  <c r="M247" i="31"/>
  <c r="L247" i="31"/>
  <c r="K247" i="31"/>
  <c r="J247" i="31"/>
  <c r="I247" i="31"/>
  <c r="H247" i="31"/>
  <c r="G247" i="31"/>
  <c r="F247" i="31"/>
  <c r="E247" i="31"/>
  <c r="C247" i="31"/>
  <c r="H321" i="31" l="1"/>
  <c r="P257" i="31" l="1"/>
  <c r="O257" i="31"/>
  <c r="F185" i="31"/>
  <c r="S356" i="31" l="1"/>
  <c r="S355" i="31"/>
  <c r="S354" i="31"/>
  <c r="S353" i="31"/>
  <c r="S352" i="31"/>
  <c r="S351" i="31"/>
  <c r="S350" i="31"/>
  <c r="S349" i="31"/>
  <c r="S348" i="31"/>
  <c r="P357" i="31"/>
  <c r="O357" i="31"/>
  <c r="U357" i="31" s="1"/>
  <c r="M357" i="31"/>
  <c r="K357" i="31"/>
  <c r="I357" i="31"/>
  <c r="G357" i="31"/>
  <c r="F357" i="31"/>
  <c r="E357" i="31"/>
  <c r="P356" i="31"/>
  <c r="O356" i="31"/>
  <c r="N356" i="31"/>
  <c r="M356" i="31"/>
  <c r="L356" i="31"/>
  <c r="K356" i="31"/>
  <c r="J356" i="31"/>
  <c r="I356" i="31"/>
  <c r="H356" i="31"/>
  <c r="G356" i="31"/>
  <c r="F356" i="31"/>
  <c r="E356" i="31"/>
  <c r="P355" i="31"/>
  <c r="O355" i="31"/>
  <c r="N355" i="31"/>
  <c r="M355" i="31"/>
  <c r="L355" i="31"/>
  <c r="K355" i="31"/>
  <c r="J355" i="31"/>
  <c r="I355" i="31"/>
  <c r="H355" i="31"/>
  <c r="G355" i="31"/>
  <c r="F355" i="31"/>
  <c r="E355" i="31"/>
  <c r="P354" i="31"/>
  <c r="O354" i="31"/>
  <c r="N354" i="31"/>
  <c r="M354" i="31"/>
  <c r="L354" i="31"/>
  <c r="K354" i="31"/>
  <c r="J354" i="31"/>
  <c r="I354" i="31"/>
  <c r="H354" i="31"/>
  <c r="G354" i="31"/>
  <c r="F354" i="31"/>
  <c r="E354" i="31"/>
  <c r="P353" i="31"/>
  <c r="O353" i="31"/>
  <c r="N353" i="31"/>
  <c r="M353" i="31"/>
  <c r="L353" i="31"/>
  <c r="K353" i="31"/>
  <c r="J353" i="31"/>
  <c r="I353" i="31"/>
  <c r="H353" i="31"/>
  <c r="G353" i="31"/>
  <c r="F353" i="31"/>
  <c r="E353" i="31"/>
  <c r="P352" i="31"/>
  <c r="O352" i="31"/>
  <c r="N352" i="31"/>
  <c r="M352" i="31"/>
  <c r="L352" i="31"/>
  <c r="K352" i="31"/>
  <c r="J352" i="31"/>
  <c r="I352" i="31"/>
  <c r="H352" i="31"/>
  <c r="G352" i="31"/>
  <c r="F352" i="31"/>
  <c r="E352" i="31"/>
  <c r="P351" i="31"/>
  <c r="O351" i="31"/>
  <c r="N351" i="31"/>
  <c r="M351" i="31"/>
  <c r="L351" i="31"/>
  <c r="K351" i="31"/>
  <c r="J351" i="31"/>
  <c r="I351" i="31"/>
  <c r="H351" i="31"/>
  <c r="G351" i="31"/>
  <c r="F351" i="31"/>
  <c r="E351" i="31"/>
  <c r="P350" i="31"/>
  <c r="O350" i="31"/>
  <c r="N350" i="31"/>
  <c r="M350" i="31"/>
  <c r="L350" i="31"/>
  <c r="K350" i="31"/>
  <c r="J350" i="31"/>
  <c r="I350" i="31"/>
  <c r="H350" i="31"/>
  <c r="G350" i="31"/>
  <c r="F350" i="31"/>
  <c r="E350" i="31"/>
  <c r="P349" i="31"/>
  <c r="O349" i="31"/>
  <c r="U349" i="31" s="1"/>
  <c r="N349" i="31"/>
  <c r="M349" i="31"/>
  <c r="L349" i="31"/>
  <c r="K349" i="31"/>
  <c r="J349" i="31"/>
  <c r="I349" i="31"/>
  <c r="H349" i="31"/>
  <c r="G349" i="31"/>
  <c r="F349" i="31"/>
  <c r="E349" i="31"/>
  <c r="P348" i="31"/>
  <c r="O348" i="31"/>
  <c r="N348" i="31"/>
  <c r="M348" i="31"/>
  <c r="L348" i="31"/>
  <c r="K348" i="31"/>
  <c r="J348" i="31"/>
  <c r="I348" i="31"/>
  <c r="H348" i="31"/>
  <c r="G348" i="31"/>
  <c r="F348" i="31"/>
  <c r="E348" i="31"/>
  <c r="C349" i="31"/>
  <c r="C350" i="31"/>
  <c r="C351" i="31"/>
  <c r="C352" i="31"/>
  <c r="C353" i="31"/>
  <c r="C354" i="31"/>
  <c r="C355" i="31"/>
  <c r="C356" i="31"/>
  <c r="C357" i="31"/>
  <c r="C348" i="31"/>
  <c r="P347" i="31"/>
  <c r="O347" i="31"/>
  <c r="P336" i="31"/>
  <c r="O336" i="31"/>
  <c r="P322" i="31"/>
  <c r="O322" i="31"/>
  <c r="P311" i="31"/>
  <c r="O311" i="31"/>
  <c r="P300" i="31"/>
  <c r="O300" i="31"/>
  <c r="P289" i="31"/>
  <c r="O289" i="31"/>
  <c r="R343" i="31"/>
  <c r="Q343" i="31"/>
  <c r="R342" i="31"/>
  <c r="Q342" i="31"/>
  <c r="R337" i="31"/>
  <c r="R332" i="31"/>
  <c r="Q332" i="31"/>
  <c r="R331" i="31"/>
  <c r="Q331" i="31"/>
  <c r="R330" i="31"/>
  <c r="Q330" i="31"/>
  <c r="R329" i="31"/>
  <c r="Q329" i="31"/>
  <c r="R327" i="31"/>
  <c r="Q327" i="31"/>
  <c r="R326" i="31"/>
  <c r="R318" i="31"/>
  <c r="Q318" i="31"/>
  <c r="R317" i="31"/>
  <c r="Q317" i="31"/>
  <c r="R316" i="31"/>
  <c r="Q316" i="31"/>
  <c r="R315" i="31"/>
  <c r="Q315" i="31"/>
  <c r="R313" i="31"/>
  <c r="Q307" i="31"/>
  <c r="Q306" i="31"/>
  <c r="Q305" i="31"/>
  <c r="Q304" i="31"/>
  <c r="Q297" i="31"/>
  <c r="Q296" i="31"/>
  <c r="Q295" i="31"/>
  <c r="Q294" i="31"/>
  <c r="Q293" i="31"/>
  <c r="Q291" i="31"/>
  <c r="Q286" i="31"/>
  <c r="Q285" i="31"/>
  <c r="Q284" i="31"/>
  <c r="Q283" i="31"/>
  <c r="Q282" i="31"/>
  <c r="Q254" i="31"/>
  <c r="Q253" i="31"/>
  <c r="Q252" i="31"/>
  <c r="Q251" i="31"/>
  <c r="Q250" i="31"/>
  <c r="Q249" i="31"/>
  <c r="Q248" i="31"/>
  <c r="P232" i="31"/>
  <c r="O232" i="31"/>
  <c r="P221" i="31"/>
  <c r="O221" i="31"/>
  <c r="P210" i="31"/>
  <c r="O210" i="31"/>
  <c r="P199" i="31"/>
  <c r="O199" i="31"/>
  <c r="Q229" i="31"/>
  <c r="R228" i="31"/>
  <c r="Q228" i="31"/>
  <c r="R227" i="31"/>
  <c r="Q227" i="31"/>
  <c r="Q226" i="31"/>
  <c r="R225" i="31"/>
  <c r="Q225" i="31"/>
  <c r="R223" i="31"/>
  <c r="Q223" i="31"/>
  <c r="R218" i="31"/>
  <c r="Q218" i="31"/>
  <c r="R217" i="31"/>
  <c r="Q217" i="31"/>
  <c r="R216" i="31"/>
  <c r="Q216" i="31"/>
  <c r="R215" i="31"/>
  <c r="Q215" i="31"/>
  <c r="R214" i="31"/>
  <c r="Q214" i="31"/>
  <c r="R213" i="31"/>
  <c r="Q213" i="31"/>
  <c r="R212" i="31"/>
  <c r="Q212" i="31"/>
  <c r="R207" i="31"/>
  <c r="Q207" i="31"/>
  <c r="R206" i="31"/>
  <c r="Q206" i="31"/>
  <c r="R205" i="31"/>
  <c r="Q205" i="31"/>
  <c r="R204" i="31"/>
  <c r="Q204" i="31"/>
  <c r="R203" i="31"/>
  <c r="Q203" i="31"/>
  <c r="R202" i="31"/>
  <c r="Q202" i="31"/>
  <c r="R196" i="31"/>
  <c r="Q196" i="31"/>
  <c r="R195" i="31"/>
  <c r="Q195" i="31"/>
  <c r="R194" i="31"/>
  <c r="Q194" i="31"/>
  <c r="R193" i="31"/>
  <c r="Q193" i="31"/>
  <c r="R192" i="31"/>
  <c r="Q192" i="31"/>
  <c r="R191" i="31"/>
  <c r="Q191" i="31"/>
  <c r="R190" i="31"/>
  <c r="Q190" i="31"/>
  <c r="R189" i="31"/>
  <c r="Q189" i="31"/>
  <c r="P185" i="31"/>
  <c r="O185" i="31"/>
  <c r="P174" i="31"/>
  <c r="O174" i="31"/>
  <c r="P163" i="31"/>
  <c r="O163" i="31"/>
  <c r="P152" i="31"/>
  <c r="O152" i="31"/>
  <c r="P141" i="31"/>
  <c r="O141" i="31"/>
  <c r="R180" i="31"/>
  <c r="Q180" i="31"/>
  <c r="R179" i="31"/>
  <c r="Q179" i="31"/>
  <c r="R178" i="31"/>
  <c r="Q178" i="31"/>
  <c r="R176" i="31"/>
  <c r="Q176" i="31"/>
  <c r="R170" i="31"/>
  <c r="Q170" i="31"/>
  <c r="R169" i="31"/>
  <c r="Q169" i="31"/>
  <c r="R168" i="31"/>
  <c r="Q168" i="31"/>
  <c r="R167" i="31"/>
  <c r="Q167" i="31"/>
  <c r="R166" i="31"/>
  <c r="Q166" i="31"/>
  <c r="R165" i="31"/>
  <c r="Q159" i="31"/>
  <c r="Q158" i="31"/>
  <c r="Q157" i="31"/>
  <c r="Q156" i="31"/>
  <c r="Q154" i="31"/>
  <c r="R149" i="31"/>
  <c r="Q149" i="31"/>
  <c r="R148" i="31"/>
  <c r="Q148" i="31"/>
  <c r="R147" i="31"/>
  <c r="Q147" i="31"/>
  <c r="R146" i="31"/>
  <c r="Q146" i="31"/>
  <c r="R145" i="31"/>
  <c r="Q145" i="31"/>
  <c r="R144" i="31"/>
  <c r="Q144" i="31"/>
  <c r="R143" i="31"/>
  <c r="Q143" i="31"/>
  <c r="R138" i="31"/>
  <c r="Q138" i="31"/>
  <c r="R136" i="31"/>
  <c r="Q136" i="31"/>
  <c r="R135" i="31"/>
  <c r="Q135" i="31"/>
  <c r="Q132" i="31"/>
  <c r="P127" i="31"/>
  <c r="O127" i="31"/>
  <c r="Q123" i="31"/>
  <c r="Q122" i="31"/>
  <c r="Q121" i="31"/>
  <c r="Q120" i="31"/>
  <c r="Q118" i="31"/>
  <c r="R112" i="31"/>
  <c r="Q112" i="31"/>
  <c r="R111" i="31"/>
  <c r="Q111" i="31"/>
  <c r="R90" i="31"/>
  <c r="Q90" i="31"/>
  <c r="Q89" i="31"/>
  <c r="R88" i="31"/>
  <c r="Q88" i="31"/>
  <c r="R87" i="31"/>
  <c r="Q87" i="31"/>
  <c r="R85" i="31"/>
  <c r="Q85" i="31"/>
  <c r="P116" i="31"/>
  <c r="O116" i="31"/>
  <c r="P94" i="31"/>
  <c r="O94" i="31"/>
  <c r="O83" i="31"/>
  <c r="P104" i="31"/>
  <c r="O104" i="31"/>
  <c r="P103" i="31"/>
  <c r="O103" i="31"/>
  <c r="P102" i="31"/>
  <c r="O102" i="31"/>
  <c r="P101" i="31"/>
  <c r="O101" i="31"/>
  <c r="P100" i="31"/>
  <c r="O100" i="31"/>
  <c r="P99" i="31"/>
  <c r="O99" i="31"/>
  <c r="P98" i="31"/>
  <c r="O98" i="31"/>
  <c r="P97" i="31"/>
  <c r="O97" i="31"/>
  <c r="P96" i="31"/>
  <c r="O96" i="31"/>
  <c r="P95" i="31"/>
  <c r="O95" i="31"/>
  <c r="P35" i="31"/>
  <c r="O35" i="31"/>
  <c r="P34" i="31"/>
  <c r="O34" i="31"/>
  <c r="P33" i="31"/>
  <c r="O33" i="31"/>
  <c r="P32" i="31"/>
  <c r="O32" i="31"/>
  <c r="P31" i="31"/>
  <c r="O31" i="31"/>
  <c r="P30" i="31"/>
  <c r="O30" i="31"/>
  <c r="P29" i="31"/>
  <c r="O29" i="31"/>
  <c r="P28" i="31"/>
  <c r="O28" i="31"/>
  <c r="P27" i="31"/>
  <c r="O27" i="31"/>
  <c r="P26" i="31"/>
  <c r="O26" i="31"/>
  <c r="P68" i="31"/>
  <c r="O68" i="31"/>
  <c r="P67" i="31"/>
  <c r="O67" i="31"/>
  <c r="P66" i="31"/>
  <c r="O66" i="31"/>
  <c r="P65" i="31"/>
  <c r="O65" i="31"/>
  <c r="P64" i="31"/>
  <c r="O64" i="31"/>
  <c r="P63" i="31"/>
  <c r="O63" i="31"/>
  <c r="P62" i="31"/>
  <c r="O62" i="31"/>
  <c r="P61" i="31"/>
  <c r="O61" i="31"/>
  <c r="P60" i="31"/>
  <c r="O60" i="31"/>
  <c r="P59" i="31"/>
  <c r="O59" i="31"/>
  <c r="P47" i="31"/>
  <c r="P69" i="31" s="1"/>
  <c r="O47" i="31"/>
  <c r="O69" i="31" s="1"/>
  <c r="P25" i="31"/>
  <c r="O25" i="31"/>
  <c r="P14" i="31"/>
  <c r="O14" i="31"/>
  <c r="R43" i="31"/>
  <c r="Q43" i="31"/>
  <c r="R42" i="31"/>
  <c r="Q42" i="31"/>
  <c r="R41" i="31"/>
  <c r="Q41" i="31"/>
  <c r="R40" i="31"/>
  <c r="Q40" i="31"/>
  <c r="R38" i="31"/>
  <c r="Q38" i="31"/>
  <c r="R21" i="31"/>
  <c r="Q21" i="31"/>
  <c r="R20" i="31"/>
  <c r="Q20" i="31"/>
  <c r="R19" i="31"/>
  <c r="Q19" i="31"/>
  <c r="R18" i="31"/>
  <c r="Q18" i="31"/>
  <c r="R16" i="31"/>
  <c r="Q16" i="31"/>
  <c r="R10" i="31"/>
  <c r="Q10" i="31"/>
  <c r="R9" i="31"/>
  <c r="Q9" i="31"/>
  <c r="R8" i="31"/>
  <c r="Q8" i="31"/>
  <c r="R7" i="31"/>
  <c r="Q7" i="31"/>
  <c r="R5" i="31"/>
  <c r="Q5" i="31"/>
  <c r="S244" i="31"/>
  <c r="S243" i="31"/>
  <c r="S242" i="31"/>
  <c r="S241" i="31"/>
  <c r="S240" i="31"/>
  <c r="S239" i="31"/>
  <c r="S238" i="31"/>
  <c r="S237" i="31"/>
  <c r="S236" i="31"/>
  <c r="P245" i="31"/>
  <c r="O245" i="31"/>
  <c r="M245" i="31"/>
  <c r="K245" i="31"/>
  <c r="I245" i="31"/>
  <c r="G245" i="31"/>
  <c r="E245" i="31"/>
  <c r="P244" i="31"/>
  <c r="O244" i="31"/>
  <c r="N244" i="31"/>
  <c r="M244" i="31"/>
  <c r="L244" i="31"/>
  <c r="K244" i="31"/>
  <c r="J244" i="31"/>
  <c r="I244" i="31"/>
  <c r="H244" i="31"/>
  <c r="G244" i="31"/>
  <c r="F244" i="31"/>
  <c r="E244" i="31"/>
  <c r="D244" i="31"/>
  <c r="V244" i="31" s="1"/>
  <c r="P243" i="31"/>
  <c r="O243" i="31"/>
  <c r="O265" i="31" s="1"/>
  <c r="N243" i="31"/>
  <c r="M243" i="31"/>
  <c r="L243" i="31"/>
  <c r="K243" i="31"/>
  <c r="J243" i="31"/>
  <c r="I243" i="31"/>
  <c r="H243" i="31"/>
  <c r="G243" i="31"/>
  <c r="F243" i="31"/>
  <c r="E243" i="31"/>
  <c r="D243" i="31"/>
  <c r="V243" i="31" s="1"/>
  <c r="P242" i="31"/>
  <c r="P264" i="31" s="1"/>
  <c r="O242" i="31"/>
  <c r="N242" i="31"/>
  <c r="M242" i="31"/>
  <c r="L242" i="31"/>
  <c r="K242" i="31"/>
  <c r="J242" i="31"/>
  <c r="I242" i="31"/>
  <c r="H242" i="31"/>
  <c r="G242" i="31"/>
  <c r="F242" i="31"/>
  <c r="E242" i="31"/>
  <c r="D242" i="31"/>
  <c r="V242" i="31" s="1"/>
  <c r="P241" i="31"/>
  <c r="O241" i="31"/>
  <c r="N241" i="31"/>
  <c r="M241" i="31"/>
  <c r="L241" i="31"/>
  <c r="K241" i="31"/>
  <c r="J241" i="31"/>
  <c r="I241" i="31"/>
  <c r="H241" i="31"/>
  <c r="G241" i="31"/>
  <c r="F241" i="31"/>
  <c r="E241" i="31"/>
  <c r="D241" i="31"/>
  <c r="V241" i="31" s="1"/>
  <c r="P240" i="31"/>
  <c r="P262" i="31" s="1"/>
  <c r="O240" i="31"/>
  <c r="N240" i="31"/>
  <c r="M240" i="31"/>
  <c r="L240" i="31"/>
  <c r="K240" i="31"/>
  <c r="J240" i="31"/>
  <c r="I240" i="31"/>
  <c r="H240" i="31"/>
  <c r="G240" i="31"/>
  <c r="F240" i="31"/>
  <c r="E240" i="31"/>
  <c r="D240" i="31"/>
  <c r="V240" i="31" s="1"/>
  <c r="P239" i="31"/>
  <c r="O239" i="31"/>
  <c r="O261" i="31" s="1"/>
  <c r="N239" i="31"/>
  <c r="M239" i="31"/>
  <c r="L239" i="31"/>
  <c r="K239" i="31"/>
  <c r="J239" i="31"/>
  <c r="I239" i="31"/>
  <c r="H239" i="31"/>
  <c r="G239" i="31"/>
  <c r="F239" i="31"/>
  <c r="E239" i="31"/>
  <c r="D239" i="31"/>
  <c r="V239" i="31" s="1"/>
  <c r="P238" i="31"/>
  <c r="O238" i="31"/>
  <c r="N238" i="31"/>
  <c r="M238" i="31"/>
  <c r="L238" i="31"/>
  <c r="K238" i="31"/>
  <c r="J238" i="31"/>
  <c r="I238" i="31"/>
  <c r="H238" i="31"/>
  <c r="G238" i="31"/>
  <c r="F238" i="31"/>
  <c r="E238" i="31"/>
  <c r="D238" i="31"/>
  <c r="V238" i="31" s="1"/>
  <c r="P237" i="31"/>
  <c r="R237" i="31" s="1"/>
  <c r="O237" i="31"/>
  <c r="O259" i="31" s="1"/>
  <c r="N237" i="31"/>
  <c r="M237" i="31"/>
  <c r="L237" i="31"/>
  <c r="K237" i="31"/>
  <c r="J237" i="31"/>
  <c r="I237" i="31"/>
  <c r="H237" i="31"/>
  <c r="G237" i="31"/>
  <c r="F237" i="31"/>
  <c r="E237" i="31"/>
  <c r="D237" i="31"/>
  <c r="V237" i="31" s="1"/>
  <c r="P236" i="31"/>
  <c r="P258" i="31" s="1"/>
  <c r="O236" i="31"/>
  <c r="O258" i="31" s="1"/>
  <c r="N236" i="31"/>
  <c r="M236" i="31"/>
  <c r="L236" i="31"/>
  <c r="K236" i="31"/>
  <c r="J236" i="31"/>
  <c r="I236" i="31"/>
  <c r="H236" i="31"/>
  <c r="G236" i="31"/>
  <c r="F236" i="31"/>
  <c r="E236" i="31"/>
  <c r="D236" i="31"/>
  <c r="V236" i="31" s="1"/>
  <c r="C245" i="31"/>
  <c r="C244" i="31"/>
  <c r="C243" i="31"/>
  <c r="C242" i="31"/>
  <c r="C241" i="31"/>
  <c r="C240" i="31"/>
  <c r="C239" i="31"/>
  <c r="C238" i="31"/>
  <c r="C237" i="31"/>
  <c r="C236" i="31"/>
  <c r="W42" i="11" l="1"/>
  <c r="V311" i="31"/>
  <c r="W41" i="11"/>
  <c r="V300" i="31"/>
  <c r="W40" i="11"/>
  <c r="V289" i="31"/>
  <c r="W18" i="11"/>
  <c r="V163" i="31"/>
  <c r="W15" i="11"/>
  <c r="V127" i="31"/>
  <c r="Q355" i="31"/>
  <c r="U355" i="31"/>
  <c r="U352" i="31"/>
  <c r="U354" i="31"/>
  <c r="U351" i="31"/>
  <c r="U356" i="31"/>
  <c r="U353" i="31"/>
  <c r="U350" i="31"/>
  <c r="Q238" i="31"/>
  <c r="Q354" i="31"/>
  <c r="Q353" i="31"/>
  <c r="Q352" i="31"/>
  <c r="Q351" i="31"/>
  <c r="Q349" i="31"/>
  <c r="Q240" i="31"/>
  <c r="Q242" i="31"/>
  <c r="Q241" i="31"/>
  <c r="R239" i="31"/>
  <c r="R241" i="31"/>
  <c r="R238" i="31"/>
  <c r="R243" i="31"/>
  <c r="O358" i="31"/>
  <c r="P358" i="31"/>
  <c r="P263" i="31"/>
  <c r="R242" i="31"/>
  <c r="R240" i="31"/>
  <c r="P266" i="31"/>
  <c r="O266" i="31"/>
  <c r="Q243" i="31"/>
  <c r="O262" i="31"/>
  <c r="Q239" i="31"/>
  <c r="P260" i="31"/>
  <c r="P265" i="31"/>
  <c r="P259" i="31"/>
  <c r="P261" i="31"/>
  <c r="P267" i="31"/>
  <c r="O263" i="31"/>
  <c r="O267" i="31"/>
  <c r="O260" i="31"/>
  <c r="O264" i="31"/>
  <c r="Q237" i="31"/>
  <c r="R236" i="31"/>
  <c r="O36" i="31"/>
  <c r="Q236" i="31"/>
  <c r="P36" i="31"/>
  <c r="M246" i="31"/>
  <c r="E246" i="31"/>
  <c r="O246" i="31"/>
  <c r="G246" i="31"/>
  <c r="I246" i="31"/>
  <c r="K246" i="31"/>
  <c r="O105" i="31"/>
  <c r="P105" i="31"/>
  <c r="P246" i="31"/>
  <c r="U42" i="11" l="1"/>
  <c r="U292" i="32" s="1"/>
  <c r="AK42" i="11"/>
  <c r="W292" i="32"/>
  <c r="V42" i="11"/>
  <c r="V292" i="32" s="1"/>
  <c r="U41" i="11"/>
  <c r="U277" i="32" s="1"/>
  <c r="AK41" i="11"/>
  <c r="W277" i="32"/>
  <c r="V41" i="11"/>
  <c r="V277" i="32" s="1"/>
  <c r="U40" i="11"/>
  <c r="U262" i="32" s="1"/>
  <c r="AK40" i="11"/>
  <c r="W262" i="32"/>
  <c r="V40" i="11"/>
  <c r="U18" i="11"/>
  <c r="U155" i="32" s="1"/>
  <c r="AK18" i="11"/>
  <c r="W155" i="32"/>
  <c r="V18" i="11"/>
  <c r="V155" i="32" s="1"/>
  <c r="U15" i="11"/>
  <c r="AK15" i="11"/>
  <c r="W110" i="32"/>
  <c r="V15" i="11"/>
  <c r="V110" i="32" s="1"/>
  <c r="P268" i="31"/>
  <c r="O268" i="31"/>
  <c r="AE46" i="11"/>
  <c r="U46" i="11"/>
  <c r="U37" i="4" s="1"/>
  <c r="V46" i="11"/>
  <c r="V37" i="4" s="1"/>
  <c r="W46" i="11"/>
  <c r="C46" i="11"/>
  <c r="C37" i="4" s="1"/>
  <c r="AE26" i="11"/>
  <c r="AE25" i="11"/>
  <c r="W26" i="11"/>
  <c r="V26" i="11"/>
  <c r="V12" i="4" s="1"/>
  <c r="W25" i="11"/>
  <c r="V25" i="11"/>
  <c r="V11" i="4" s="1"/>
  <c r="U11" i="4"/>
  <c r="C26" i="11"/>
  <c r="C12" i="4" s="1"/>
  <c r="C25" i="11"/>
  <c r="X292" i="32" l="1"/>
  <c r="AC292" i="32"/>
  <c r="X277" i="32"/>
  <c r="AC277" i="32"/>
  <c r="V262" i="32"/>
  <c r="V266" i="32" s="1"/>
  <c r="V37" i="6"/>
  <c r="X262" i="32"/>
  <c r="AC262" i="32"/>
  <c r="X155" i="32"/>
  <c r="AC155" i="32"/>
  <c r="X110" i="32"/>
  <c r="AC110" i="32"/>
  <c r="U110" i="32"/>
  <c r="U26" i="11"/>
  <c r="W37" i="4"/>
  <c r="W12" i="4"/>
  <c r="W11" i="4"/>
  <c r="W27" i="11"/>
  <c r="AE27" i="11"/>
  <c r="V27" i="11"/>
  <c r="V13" i="4" s="1"/>
  <c r="AG46" i="3"/>
  <c r="AI46" i="3"/>
  <c r="AJ46" i="3"/>
  <c r="AK46" i="3"/>
  <c r="U27" i="11" l="1"/>
  <c r="U13" i="4" s="1"/>
  <c r="U12" i="4"/>
  <c r="W13" i="4"/>
  <c r="E13" i="30"/>
  <c r="O13" i="30" s="1"/>
  <c r="S13" i="30" s="1"/>
  <c r="D13" i="30"/>
  <c r="N13" i="30" s="1"/>
  <c r="R13" i="30" s="1"/>
  <c r="C13" i="30"/>
  <c r="C10" i="30"/>
  <c r="D10" i="30"/>
  <c r="E10" i="30"/>
  <c r="E7" i="30"/>
  <c r="O7" i="30" s="1"/>
  <c r="S7" i="30" s="1"/>
  <c r="D7" i="30"/>
  <c r="N7" i="30" s="1"/>
  <c r="R7" i="30" s="1"/>
  <c r="C7" i="30"/>
  <c r="M7" i="30" s="1"/>
  <c r="Q7" i="30" s="1"/>
  <c r="J59" i="22" l="1"/>
  <c r="I54" i="22"/>
  <c r="J54" i="22"/>
  <c r="J35" i="22"/>
  <c r="J14" i="22"/>
  <c r="O35" i="22"/>
  <c r="O54" i="22"/>
  <c r="N54" i="22"/>
  <c r="M54" i="22"/>
  <c r="L54" i="22"/>
  <c r="K54" i="22"/>
  <c r="AQ66" i="18"/>
  <c r="M66" i="18"/>
  <c r="K73" i="18"/>
  <c r="P62" i="20"/>
  <c r="AO66" i="18" s="1"/>
  <c r="O69" i="20"/>
  <c r="N69" i="20"/>
  <c r="M69" i="20"/>
  <c r="L69" i="20"/>
  <c r="K69" i="20"/>
  <c r="J69" i="20"/>
  <c r="I69" i="20"/>
  <c r="H69" i="20"/>
  <c r="G69" i="20"/>
  <c r="F69" i="20"/>
  <c r="O59" i="22"/>
  <c r="O14" i="22"/>
  <c r="P58" i="22"/>
  <c r="P57" i="22"/>
  <c r="P56" i="22"/>
  <c r="P55" i="22"/>
  <c r="P53" i="22"/>
  <c r="P52" i="22"/>
  <c r="P51" i="22"/>
  <c r="P50" i="22"/>
  <c r="P49" i="22"/>
  <c r="AI51" i="23" s="1"/>
  <c r="AG51" i="23" s="1"/>
  <c r="P48" i="22"/>
  <c r="AI50" i="23" s="1"/>
  <c r="AG50" i="23" s="1"/>
  <c r="P47" i="22"/>
  <c r="P46" i="22"/>
  <c r="P45" i="22"/>
  <c r="P44" i="22"/>
  <c r="P43" i="22"/>
  <c r="P40" i="22"/>
  <c r="P94" i="22"/>
  <c r="P91" i="22"/>
  <c r="P34" i="22"/>
  <c r="P18" i="22"/>
  <c r="P13" i="22"/>
  <c r="P12" i="22"/>
  <c r="P11" i="22"/>
  <c r="P9" i="22"/>
  <c r="P5" i="22"/>
  <c r="J83" i="20"/>
  <c r="J114" i="20"/>
  <c r="J104" i="20"/>
  <c r="J119" i="20" s="1"/>
  <c r="J52" i="20"/>
  <c r="J29" i="20"/>
  <c r="O83" i="20"/>
  <c r="O114" i="20"/>
  <c r="O104" i="20"/>
  <c r="O52" i="20"/>
  <c r="O18" i="26" s="1"/>
  <c r="O29" i="20"/>
  <c r="O14" i="26" s="1"/>
  <c r="O41" i="26" l="1"/>
  <c r="L42" i="28" s="1"/>
  <c r="O39" i="26"/>
  <c r="O119" i="20"/>
  <c r="AL50" i="23"/>
  <c r="AH50" i="23"/>
  <c r="AL51" i="23"/>
  <c r="AH51" i="23"/>
  <c r="O85" i="20"/>
  <c r="AL66" i="18"/>
  <c r="U50" i="23"/>
  <c r="S50" i="23" s="1"/>
  <c r="AD50" i="23"/>
  <c r="R50" i="23"/>
  <c r="P50" i="23" s="1"/>
  <c r="AA50" i="23"/>
  <c r="Y50" i="23" s="1"/>
  <c r="X50" i="23"/>
  <c r="V50" i="23" s="1"/>
  <c r="AE50" i="23"/>
  <c r="AE51" i="23"/>
  <c r="J85" i="20"/>
  <c r="O72" i="22"/>
  <c r="O74" i="22" s="1"/>
  <c r="J72" i="22"/>
  <c r="J74" i="22" s="1"/>
  <c r="J76" i="20"/>
  <c r="J61" i="20"/>
  <c r="J44" i="20"/>
  <c r="J37" i="20"/>
  <c r="J26" i="20"/>
  <c r="J18" i="20"/>
  <c r="J9" i="20"/>
  <c r="O76" i="20"/>
  <c r="O61" i="20"/>
  <c r="O44" i="20"/>
  <c r="O37" i="20"/>
  <c r="O26" i="20"/>
  <c r="O18" i="20"/>
  <c r="O9" i="20"/>
  <c r="P82" i="20"/>
  <c r="AO87" i="18" s="1"/>
  <c r="AL87" i="18" s="1"/>
  <c r="P117" i="20"/>
  <c r="AO128" i="18" s="1"/>
  <c r="AL128" i="18" s="1"/>
  <c r="P116" i="20"/>
  <c r="AO127" i="18" s="1"/>
  <c r="AL127" i="18" s="1"/>
  <c r="P78" i="20"/>
  <c r="AO83" i="18" s="1"/>
  <c r="AL83" i="18" s="1"/>
  <c r="P77" i="20"/>
  <c r="AO82" i="18" s="1"/>
  <c r="AL82" i="18" s="1"/>
  <c r="P75" i="20"/>
  <c r="P74" i="20"/>
  <c r="AO79" i="18" s="1"/>
  <c r="P73" i="20"/>
  <c r="AO78" i="18" s="1"/>
  <c r="P72" i="20"/>
  <c r="P71" i="20"/>
  <c r="AO75" i="18" s="1"/>
  <c r="P70" i="20"/>
  <c r="AO74" i="18" s="1"/>
  <c r="P68" i="20"/>
  <c r="AO72" i="18" s="1"/>
  <c r="P67" i="20"/>
  <c r="AO71" i="18" s="1"/>
  <c r="P66" i="20"/>
  <c r="AO70" i="18" s="1"/>
  <c r="P65" i="20"/>
  <c r="AO69" i="18" s="1"/>
  <c r="P64" i="20"/>
  <c r="AO68" i="18" s="1"/>
  <c r="P63" i="20"/>
  <c r="AO67" i="18" s="1"/>
  <c r="P60" i="20"/>
  <c r="AO64" i="18" s="1"/>
  <c r="P59" i="20"/>
  <c r="AO63" i="18" s="1"/>
  <c r="P58" i="20"/>
  <c r="AO62" i="18" s="1"/>
  <c r="P57" i="20"/>
  <c r="AO61" i="18" s="1"/>
  <c r="P56" i="20"/>
  <c r="AO60" i="18" s="1"/>
  <c r="P113" i="20"/>
  <c r="AO124" i="18" s="1"/>
  <c r="AL124" i="18" s="1"/>
  <c r="P111" i="20"/>
  <c r="AO122" i="18" s="1"/>
  <c r="AL122" i="18" s="1"/>
  <c r="P110" i="20"/>
  <c r="AO121" i="18" s="1"/>
  <c r="AL121" i="18" s="1"/>
  <c r="P107" i="20"/>
  <c r="AO118" i="18" s="1"/>
  <c r="AL118" i="18" s="1"/>
  <c r="P106" i="20"/>
  <c r="AO117" i="18" s="1"/>
  <c r="AL117" i="18" s="1"/>
  <c r="P105" i="20"/>
  <c r="AO116" i="18" s="1"/>
  <c r="AL116" i="18" s="1"/>
  <c r="P103" i="20"/>
  <c r="AO114" i="18" s="1"/>
  <c r="AL114" i="18" s="1"/>
  <c r="P49" i="20"/>
  <c r="AO56" i="18" s="1"/>
  <c r="P45" i="20"/>
  <c r="AO52" i="18" s="1"/>
  <c r="AL52" i="18" s="1"/>
  <c r="P43" i="20"/>
  <c r="P42" i="20"/>
  <c r="AO47" i="18" s="1"/>
  <c r="P41" i="20"/>
  <c r="AO46" i="18" s="1"/>
  <c r="P40" i="20"/>
  <c r="AO45" i="18" s="1"/>
  <c r="P39" i="20"/>
  <c r="AO44" i="18" s="1"/>
  <c r="P38" i="20"/>
  <c r="AO43" i="18" s="1"/>
  <c r="P36" i="20"/>
  <c r="P35" i="20"/>
  <c r="AO40" i="18" s="1"/>
  <c r="P34" i="20"/>
  <c r="AO38" i="18" s="1"/>
  <c r="P33" i="20"/>
  <c r="AO37" i="18" s="1"/>
  <c r="P32" i="20"/>
  <c r="AO36" i="18" s="1"/>
  <c r="P31" i="20"/>
  <c r="AO35" i="18" s="1"/>
  <c r="P30" i="20"/>
  <c r="AO34" i="18" s="1"/>
  <c r="P97" i="20"/>
  <c r="AO108" i="18" s="1"/>
  <c r="AL108" i="18" s="1"/>
  <c r="P96" i="20"/>
  <c r="AO107" i="18" s="1"/>
  <c r="AL107" i="18" s="1"/>
  <c r="P28" i="20"/>
  <c r="AO31" i="18"/>
  <c r="AL31" i="18" s="1"/>
  <c r="P25" i="20"/>
  <c r="P24" i="20"/>
  <c r="P22" i="20"/>
  <c r="P20" i="20"/>
  <c r="P17" i="20"/>
  <c r="P16" i="20"/>
  <c r="P13" i="20"/>
  <c r="P12" i="20"/>
  <c r="P11" i="20"/>
  <c r="P10" i="20"/>
  <c r="P8" i="20"/>
  <c r="P7" i="20"/>
  <c r="P6" i="20"/>
  <c r="P5" i="20"/>
  <c r="P4" i="20"/>
  <c r="H23" i="26"/>
  <c r="J23" i="26" s="1"/>
  <c r="H39" i="26"/>
  <c r="J39" i="26" s="1"/>
  <c r="H18" i="26"/>
  <c r="J18" i="26" s="1"/>
  <c r="H17" i="26"/>
  <c r="J17" i="26" s="1"/>
  <c r="H37" i="26"/>
  <c r="J37" i="26" s="1"/>
  <c r="H21" i="26"/>
  <c r="H20" i="26"/>
  <c r="H19" i="26"/>
  <c r="H16" i="26"/>
  <c r="H15" i="26"/>
  <c r="H13" i="26"/>
  <c r="H7" i="26"/>
  <c r="H4" i="26"/>
  <c r="AL64" i="18" l="1"/>
  <c r="AH64" i="18"/>
  <c r="AD64" i="18"/>
  <c r="AO8" i="18"/>
  <c r="AO6" i="18"/>
  <c r="AO12" i="18"/>
  <c r="AL12" i="18" s="1"/>
  <c r="AV12" i="18" s="1"/>
  <c r="AO32" i="18"/>
  <c r="AL32" i="18" s="1"/>
  <c r="AV32" i="18" s="1"/>
  <c r="AO14" i="18"/>
  <c r="AL14" i="18" s="1"/>
  <c r="AV14" i="18" s="1"/>
  <c r="AO27" i="18"/>
  <c r="AO5" i="18"/>
  <c r="AO7" i="18"/>
  <c r="AL7" i="18" s="1"/>
  <c r="AO11" i="18"/>
  <c r="AL11" i="18" s="1"/>
  <c r="AR11" i="18" s="1"/>
  <c r="AO17" i="18"/>
  <c r="AO13" i="18"/>
  <c r="AL13" i="18" s="1"/>
  <c r="AR13" i="18" s="1"/>
  <c r="AO18" i="18"/>
  <c r="AO19" i="18" s="1"/>
  <c r="AO28" i="18"/>
  <c r="AL28" i="18" s="1"/>
  <c r="AO23" i="18"/>
  <c r="AL23" i="18" s="1"/>
  <c r="AJ23" i="18" s="1"/>
  <c r="AO9" i="18"/>
  <c r="AL9" i="18" s="1"/>
  <c r="AV31" i="18"/>
  <c r="AR31" i="18"/>
  <c r="AV107" i="18"/>
  <c r="AR107" i="18"/>
  <c r="AV108" i="18"/>
  <c r="AR108" i="18"/>
  <c r="AD45" i="18"/>
  <c r="Z45" i="18"/>
  <c r="AV52" i="18"/>
  <c r="AR52" i="18"/>
  <c r="AV112" i="18"/>
  <c r="AR112" i="18"/>
  <c r="AV114" i="18"/>
  <c r="AR114" i="18"/>
  <c r="AV116" i="18"/>
  <c r="AR116" i="18"/>
  <c r="AV118" i="18"/>
  <c r="AR118" i="18"/>
  <c r="AV121" i="18"/>
  <c r="AR121" i="18"/>
  <c r="AV122" i="18"/>
  <c r="AR122" i="18"/>
  <c r="AV124" i="18"/>
  <c r="AR124" i="18"/>
  <c r="AV82" i="18"/>
  <c r="AR82" i="18"/>
  <c r="AV83" i="18"/>
  <c r="AR83" i="18"/>
  <c r="AV127" i="18"/>
  <c r="AR127" i="18"/>
  <c r="AV128" i="18"/>
  <c r="AR128" i="18"/>
  <c r="AV66" i="18"/>
  <c r="AR66" i="18"/>
  <c r="AV117" i="18"/>
  <c r="AR117" i="18"/>
  <c r="AV87" i="18"/>
  <c r="AR87" i="18"/>
  <c r="AO51" i="23"/>
  <c r="AO50" i="23"/>
  <c r="AJ50" i="23"/>
  <c r="AJ12" i="18"/>
  <c r="AN12" i="18"/>
  <c r="AJ118" i="18"/>
  <c r="AN118" i="18"/>
  <c r="AN128" i="18"/>
  <c r="AJ128" i="18"/>
  <c r="AN31" i="18"/>
  <c r="AJ31" i="18"/>
  <c r="AJ121" i="18"/>
  <c r="AN121" i="18"/>
  <c r="AL125" i="18"/>
  <c r="AO77" i="18"/>
  <c r="AO76" i="18"/>
  <c r="AJ87" i="18"/>
  <c r="AN87" i="18"/>
  <c r="AL88" i="18"/>
  <c r="AJ14" i="18"/>
  <c r="AN14" i="18"/>
  <c r="AJ32" i="18"/>
  <c r="AN32" i="18"/>
  <c r="AJ52" i="18"/>
  <c r="AN52" i="18"/>
  <c r="AL54" i="18"/>
  <c r="AN122" i="18"/>
  <c r="AJ122" i="18"/>
  <c r="AJ107" i="18"/>
  <c r="AN107" i="18"/>
  <c r="AL111" i="18"/>
  <c r="AO80" i="18"/>
  <c r="AO29" i="18"/>
  <c r="AO41" i="18"/>
  <c r="AL41" i="18" s="1"/>
  <c r="R56" i="18"/>
  <c r="P56" i="18" s="1"/>
  <c r="V56" i="18"/>
  <c r="T56" i="18" s="1"/>
  <c r="AL56" i="18"/>
  <c r="AH56" i="18"/>
  <c r="AD56" i="18"/>
  <c r="AB56" i="18" s="1"/>
  <c r="Z56" i="18"/>
  <c r="X56" i="18" s="1"/>
  <c r="AJ124" i="18"/>
  <c r="AN124" i="18"/>
  <c r="AJ108" i="18"/>
  <c r="AN108" i="18"/>
  <c r="AJ112" i="18"/>
  <c r="AJ113" i="18" s="1"/>
  <c r="AG38" i="7" s="1"/>
  <c r="U275" i="32" s="1"/>
  <c r="AL113" i="18"/>
  <c r="AJ114" i="18"/>
  <c r="AJ115" i="18" s="1"/>
  <c r="AG39" i="7" s="1"/>
  <c r="U290" i="32" s="1"/>
  <c r="AN114" i="18"/>
  <c r="AL115" i="18"/>
  <c r="AJ82" i="18"/>
  <c r="AN82" i="18"/>
  <c r="AL86" i="18"/>
  <c r="AL45" i="18"/>
  <c r="AH45" i="18"/>
  <c r="AJ116" i="18"/>
  <c r="AN116" i="18"/>
  <c r="AL120" i="18"/>
  <c r="AV120" i="18" s="1"/>
  <c r="AJ83" i="18"/>
  <c r="AN83" i="18"/>
  <c r="AJ117" i="18"/>
  <c r="AN117" i="18"/>
  <c r="AJ127" i="18"/>
  <c r="AN127" i="18"/>
  <c r="AL129" i="18"/>
  <c r="R45" i="18"/>
  <c r="V45" i="18"/>
  <c r="AO25" i="18"/>
  <c r="AL25" i="18" s="1"/>
  <c r="AO20" i="18"/>
  <c r="AL79" i="18"/>
  <c r="AL78" i="18"/>
  <c r="AL75" i="18"/>
  <c r="AL74" i="18"/>
  <c r="AJ66" i="18"/>
  <c r="AN66" i="18"/>
  <c r="AL72" i="18"/>
  <c r="AL71" i="18"/>
  <c r="AL70" i="18"/>
  <c r="AL69" i="18"/>
  <c r="AL68" i="18"/>
  <c r="AL67" i="18"/>
  <c r="AL63" i="18"/>
  <c r="AL62" i="18"/>
  <c r="AL61" i="18"/>
  <c r="AL60" i="18"/>
  <c r="AL50" i="18"/>
  <c r="AL47" i="18"/>
  <c r="AL46" i="18"/>
  <c r="AL44" i="18"/>
  <c r="AL43" i="18"/>
  <c r="AL40" i="18"/>
  <c r="AL38" i="18"/>
  <c r="AL37" i="18"/>
  <c r="AL36" i="18"/>
  <c r="AL35" i="18"/>
  <c r="AL34" i="18"/>
  <c r="AL27" i="18"/>
  <c r="O84" i="20"/>
  <c r="O86" i="20" s="1"/>
  <c r="AL17" i="18"/>
  <c r="AL8" i="18"/>
  <c r="AL5" i="18"/>
  <c r="AL6" i="18"/>
  <c r="AB50" i="23"/>
  <c r="J84" i="20"/>
  <c r="H24" i="26"/>
  <c r="AD9" i="11"/>
  <c r="AC9" i="11"/>
  <c r="AB9" i="11"/>
  <c r="AA9" i="11"/>
  <c r="Z9" i="11"/>
  <c r="Y9" i="11"/>
  <c r="AL9" i="11" s="1"/>
  <c r="S83" i="31"/>
  <c r="AI11" i="11" s="1"/>
  <c r="N83" i="31"/>
  <c r="T11" i="11" s="1"/>
  <c r="M83" i="31"/>
  <c r="AD11" i="11" s="1"/>
  <c r="L83" i="31"/>
  <c r="Q11" i="11" s="1"/>
  <c r="K83" i="31"/>
  <c r="AC11" i="11" s="1"/>
  <c r="J83" i="31"/>
  <c r="N11" i="11" s="1"/>
  <c r="I83" i="31"/>
  <c r="AB11" i="11" s="1"/>
  <c r="H83" i="31"/>
  <c r="K11" i="11" s="1"/>
  <c r="G83" i="31"/>
  <c r="AA11" i="11" s="1"/>
  <c r="E83" i="31"/>
  <c r="Z11" i="11" s="1"/>
  <c r="C83" i="31"/>
  <c r="E28" i="31"/>
  <c r="F28" i="31"/>
  <c r="I28" i="31"/>
  <c r="J28" i="31"/>
  <c r="E101" i="31"/>
  <c r="F101" i="31"/>
  <c r="G101" i="31"/>
  <c r="H101" i="31"/>
  <c r="I101" i="31"/>
  <c r="J101" i="31"/>
  <c r="K101" i="31"/>
  <c r="L101" i="31"/>
  <c r="M101" i="31"/>
  <c r="N101" i="31"/>
  <c r="S101" i="31"/>
  <c r="E97" i="31"/>
  <c r="F97" i="31"/>
  <c r="G97" i="31"/>
  <c r="H97" i="31"/>
  <c r="I97" i="31"/>
  <c r="J97" i="31"/>
  <c r="K97" i="31"/>
  <c r="L97" i="31"/>
  <c r="M97" i="31"/>
  <c r="N97" i="31"/>
  <c r="S97" i="31"/>
  <c r="E65" i="31"/>
  <c r="F65" i="31"/>
  <c r="G65" i="31"/>
  <c r="H65" i="31"/>
  <c r="I65" i="31"/>
  <c r="J65" i="31"/>
  <c r="K65" i="31"/>
  <c r="L65" i="31"/>
  <c r="M65" i="31"/>
  <c r="N65" i="31"/>
  <c r="S65" i="31"/>
  <c r="E61" i="31"/>
  <c r="F61" i="31"/>
  <c r="G61" i="31"/>
  <c r="H61" i="31"/>
  <c r="I61" i="31"/>
  <c r="J61" i="31"/>
  <c r="K61" i="31"/>
  <c r="L61" i="31"/>
  <c r="M61" i="31"/>
  <c r="N61" i="31"/>
  <c r="S61" i="31"/>
  <c r="F32" i="31"/>
  <c r="G32" i="31"/>
  <c r="H32" i="31"/>
  <c r="J32" i="31"/>
  <c r="K32" i="31"/>
  <c r="L32" i="31"/>
  <c r="N32" i="31"/>
  <c r="S32" i="31"/>
  <c r="G28" i="31"/>
  <c r="H28" i="31"/>
  <c r="K28" i="31"/>
  <c r="L28" i="31"/>
  <c r="S28" i="31"/>
  <c r="C97" i="31"/>
  <c r="U97" i="31" s="1"/>
  <c r="D97" i="31"/>
  <c r="V97" i="31" s="1"/>
  <c r="C101" i="31"/>
  <c r="D101" i="31"/>
  <c r="C65" i="31"/>
  <c r="R65" i="31"/>
  <c r="C61" i="31"/>
  <c r="U61" i="31" s="1"/>
  <c r="C32" i="31"/>
  <c r="R32" i="31"/>
  <c r="C28" i="31"/>
  <c r="U28" i="31" s="1"/>
  <c r="AL18" i="18" l="1"/>
  <c r="AL29" i="18"/>
  <c r="AV29" i="18" s="1"/>
  <c r="AD29" i="18"/>
  <c r="AH29" i="18"/>
  <c r="Z29" i="18"/>
  <c r="V29" i="18"/>
  <c r="R29" i="18"/>
  <c r="AL80" i="18"/>
  <c r="AD80" i="18"/>
  <c r="AH80" i="18"/>
  <c r="Z80" i="18"/>
  <c r="V80" i="18"/>
  <c r="R80" i="18"/>
  <c r="AH77" i="18"/>
  <c r="AL77" i="18"/>
  <c r="AV11" i="18"/>
  <c r="Z77" i="18"/>
  <c r="AD77" i="18"/>
  <c r="V77" i="18"/>
  <c r="T77" i="18" s="1"/>
  <c r="AN11" i="18"/>
  <c r="AJ11" i="18"/>
  <c r="AR32" i="18"/>
  <c r="AL16" i="18"/>
  <c r="AV16" i="18" s="1"/>
  <c r="AL33" i="18"/>
  <c r="AL24" i="18"/>
  <c r="AV24" i="18" s="1"/>
  <c r="AN23" i="18"/>
  <c r="AN13" i="18"/>
  <c r="AJ13" i="18"/>
  <c r="AV13" i="18"/>
  <c r="AR23" i="18"/>
  <c r="AV23" i="18"/>
  <c r="AR14" i="18"/>
  <c r="AR12" i="18"/>
  <c r="AR50" i="18"/>
  <c r="AV50" i="18"/>
  <c r="AJ129" i="18"/>
  <c r="AG42" i="7" s="1"/>
  <c r="U335" i="32" s="1"/>
  <c r="AR6" i="18"/>
  <c r="AV6" i="18"/>
  <c r="AR5" i="18"/>
  <c r="AV5" i="18"/>
  <c r="AR7" i="18"/>
  <c r="AV7" i="18"/>
  <c r="AR8" i="18"/>
  <c r="AV8" i="18"/>
  <c r="AR9" i="18"/>
  <c r="AV9" i="18"/>
  <c r="AR17" i="18"/>
  <c r="AV17" i="18"/>
  <c r="AR18" i="18"/>
  <c r="AV18" i="18"/>
  <c r="AR27" i="18"/>
  <c r="AV27" i="18"/>
  <c r="AR28" i="18"/>
  <c r="AV28" i="18"/>
  <c r="AR34" i="18"/>
  <c r="AV34" i="18"/>
  <c r="AR35" i="18"/>
  <c r="AV35" i="18"/>
  <c r="AR36" i="18"/>
  <c r="AV36" i="18"/>
  <c r="AR37" i="18"/>
  <c r="AV37" i="18"/>
  <c r="AR38" i="18"/>
  <c r="AV38" i="18"/>
  <c r="AR40" i="18"/>
  <c r="AV40" i="18"/>
  <c r="AR43" i="18"/>
  <c r="AV43" i="18"/>
  <c r="AR44" i="18"/>
  <c r="AV44" i="18"/>
  <c r="AR46" i="18"/>
  <c r="AV46" i="18"/>
  <c r="AV47" i="18"/>
  <c r="AR47" i="18"/>
  <c r="AV60" i="18"/>
  <c r="AR60" i="18"/>
  <c r="AV61" i="18"/>
  <c r="AR61" i="18"/>
  <c r="AV62" i="18"/>
  <c r="AR62" i="18"/>
  <c r="AV63" i="18"/>
  <c r="AR63" i="18"/>
  <c r="AV64" i="18"/>
  <c r="AV67" i="18"/>
  <c r="AR67" i="18"/>
  <c r="AR68" i="18"/>
  <c r="AV68" i="18"/>
  <c r="AV69" i="18"/>
  <c r="AR69" i="18"/>
  <c r="AV70" i="18"/>
  <c r="AR70" i="18"/>
  <c r="AR71" i="18"/>
  <c r="AV71" i="18"/>
  <c r="AV72" i="18"/>
  <c r="AR72" i="18"/>
  <c r="AR74" i="18"/>
  <c r="AV74" i="18"/>
  <c r="AR75" i="18"/>
  <c r="AV75" i="18"/>
  <c r="AR78" i="18"/>
  <c r="AV78" i="18"/>
  <c r="AR79" i="18"/>
  <c r="AV79" i="18"/>
  <c r="AR25" i="18"/>
  <c r="AV25" i="18"/>
  <c r="AN129" i="18"/>
  <c r="AV129" i="18"/>
  <c r="AI42" i="7"/>
  <c r="AV45" i="18"/>
  <c r="AR45" i="18"/>
  <c r="AN115" i="18"/>
  <c r="AV115" i="18"/>
  <c r="AI39" i="7"/>
  <c r="AI12" i="7"/>
  <c r="AV113" i="18"/>
  <c r="AI38" i="7"/>
  <c r="AV56" i="18"/>
  <c r="AR56" i="18"/>
  <c r="AP56" i="18" s="1"/>
  <c r="AR41" i="18"/>
  <c r="AV41" i="18"/>
  <c r="AV80" i="18"/>
  <c r="AN80" i="18"/>
  <c r="AL76" i="18"/>
  <c r="AH76" i="18"/>
  <c r="AD76" i="18"/>
  <c r="Z76" i="18"/>
  <c r="V76" i="18"/>
  <c r="R76" i="18"/>
  <c r="AN125" i="18"/>
  <c r="AV125" i="18"/>
  <c r="AI41" i="7"/>
  <c r="AV33" i="18"/>
  <c r="AI15" i="7"/>
  <c r="AI37" i="7"/>
  <c r="AV111" i="18"/>
  <c r="AV88" i="18"/>
  <c r="AI24" i="7"/>
  <c r="AV86" i="18"/>
  <c r="AI23" i="7"/>
  <c r="AI18" i="7"/>
  <c r="AV54" i="18"/>
  <c r="R69" i="32"/>
  <c r="T69" i="32"/>
  <c r="Q101" i="31"/>
  <c r="U101" i="31"/>
  <c r="Q32" i="31"/>
  <c r="U32" i="31"/>
  <c r="I69" i="32"/>
  <c r="K69" i="32"/>
  <c r="Y69" i="32"/>
  <c r="AA69" i="32"/>
  <c r="L69" i="32"/>
  <c r="N69" i="32"/>
  <c r="Q65" i="31"/>
  <c r="U65" i="31"/>
  <c r="R101" i="31"/>
  <c r="V101" i="31"/>
  <c r="O69" i="32"/>
  <c r="Q69" i="32"/>
  <c r="AJ29" i="18"/>
  <c r="AN120" i="18"/>
  <c r="AI40" i="7"/>
  <c r="AJ111" i="18"/>
  <c r="AG37" i="7" s="1"/>
  <c r="U260" i="32" s="1"/>
  <c r="AJ86" i="18"/>
  <c r="AG23" i="7" s="1"/>
  <c r="U230" i="32" s="1"/>
  <c r="AN86" i="18"/>
  <c r="AJ80" i="18"/>
  <c r="AN111" i="18"/>
  <c r="AL130" i="18"/>
  <c r="AF56" i="18"/>
  <c r="AJ56" i="18"/>
  <c r="AN56" i="18"/>
  <c r="AL59" i="18"/>
  <c r="AJ125" i="18"/>
  <c r="AG41" i="7" s="1"/>
  <c r="U320" i="32" s="1"/>
  <c r="AJ120" i="18"/>
  <c r="AG40" i="7" s="1"/>
  <c r="U305" i="32" s="1"/>
  <c r="AJ88" i="18"/>
  <c r="AG24" i="7" s="1"/>
  <c r="U245" i="32" s="1"/>
  <c r="AN88" i="18"/>
  <c r="AJ16" i="18"/>
  <c r="AG6" i="7" s="1"/>
  <c r="U6" i="32" s="1"/>
  <c r="AN16" i="18"/>
  <c r="AJ24" i="18"/>
  <c r="AG12" i="7" s="1"/>
  <c r="U64" i="32" s="1"/>
  <c r="AN24" i="18"/>
  <c r="AJ41" i="18"/>
  <c r="AN41" i="18"/>
  <c r="AJ54" i="18"/>
  <c r="AG18" i="7" s="1"/>
  <c r="U153" i="32" s="1"/>
  <c r="AN54" i="18"/>
  <c r="AN33" i="18"/>
  <c r="AJ33" i="18"/>
  <c r="AG15" i="7" s="1"/>
  <c r="U108" i="32" s="1"/>
  <c r="AL20" i="18"/>
  <c r="AV20" i="18" s="1"/>
  <c r="AJ79" i="18"/>
  <c r="AN79" i="18"/>
  <c r="AJ78" i="18"/>
  <c r="AN78" i="18"/>
  <c r="AJ75" i="18"/>
  <c r="AN75" i="18"/>
  <c r="AJ74" i="18"/>
  <c r="AN74" i="18"/>
  <c r="AL73" i="18"/>
  <c r="AV73" i="18" s="1"/>
  <c r="AJ72" i="18"/>
  <c r="AN72" i="18"/>
  <c r="AJ71" i="18"/>
  <c r="AN71" i="18"/>
  <c r="AJ70" i="18"/>
  <c r="AN70" i="18"/>
  <c r="AJ69" i="18"/>
  <c r="AN69" i="18"/>
  <c r="AJ68" i="18"/>
  <c r="AN68" i="18"/>
  <c r="AJ67" i="18"/>
  <c r="AN67" i="18"/>
  <c r="AJ64" i="18"/>
  <c r="AN64" i="18"/>
  <c r="AJ63" i="18"/>
  <c r="AN63" i="18"/>
  <c r="AN62" i="18"/>
  <c r="AJ62" i="18"/>
  <c r="AJ61" i="18"/>
  <c r="AN61" i="18"/>
  <c r="AL65" i="18"/>
  <c r="AJ60" i="18"/>
  <c r="AN60" i="18"/>
  <c r="AJ45" i="18"/>
  <c r="AN45" i="18"/>
  <c r="AJ50" i="18"/>
  <c r="AN50" i="18"/>
  <c r="AJ47" i="18"/>
  <c r="AN47" i="18"/>
  <c r="AN46" i="18"/>
  <c r="AJ46" i="18"/>
  <c r="AJ44" i="18"/>
  <c r="AN44" i="18"/>
  <c r="AL51" i="18"/>
  <c r="AJ43" i="18"/>
  <c r="AN43" i="18"/>
  <c r="AJ40" i="18"/>
  <c r="AN40" i="18"/>
  <c r="AJ38" i="18"/>
  <c r="AN38" i="18"/>
  <c r="AJ37" i="18"/>
  <c r="AN37" i="18"/>
  <c r="AJ36" i="18"/>
  <c r="AN36" i="18"/>
  <c r="AJ35" i="18"/>
  <c r="AN35" i="18"/>
  <c r="AJ34" i="18"/>
  <c r="AL42" i="18"/>
  <c r="AN34" i="18"/>
  <c r="AJ25" i="18"/>
  <c r="AL30" i="18"/>
  <c r="AN25" i="18"/>
  <c r="AJ28" i="18"/>
  <c r="AN28" i="18"/>
  <c r="AJ27" i="18"/>
  <c r="AN27" i="18"/>
  <c r="AJ18" i="18"/>
  <c r="AN18" i="18"/>
  <c r="AJ17" i="18"/>
  <c r="AL19" i="18"/>
  <c r="AN17" i="18"/>
  <c r="AJ9" i="18"/>
  <c r="AN9" i="18"/>
  <c r="AJ8" i="18"/>
  <c r="AN8" i="18"/>
  <c r="AJ7" i="18"/>
  <c r="AN7" i="18"/>
  <c r="AJ5" i="18"/>
  <c r="AL10" i="18"/>
  <c r="AN5" i="18"/>
  <c r="AJ6" i="18"/>
  <c r="AN6" i="18"/>
  <c r="Y11" i="11"/>
  <c r="AL11" i="11" s="1"/>
  <c r="J264" i="31"/>
  <c r="F264" i="31"/>
  <c r="S264" i="31"/>
  <c r="K264" i="31"/>
  <c r="G264" i="31"/>
  <c r="M32" i="31"/>
  <c r="I32" i="31"/>
  <c r="E32" i="31"/>
  <c r="L264" i="31"/>
  <c r="H264" i="31"/>
  <c r="I264" i="31"/>
  <c r="E264" i="31"/>
  <c r="I260" i="31"/>
  <c r="E260" i="31"/>
  <c r="M28" i="31"/>
  <c r="S260" i="31"/>
  <c r="K260" i="31"/>
  <c r="G260" i="31"/>
  <c r="J260" i="31"/>
  <c r="F260" i="31"/>
  <c r="N28" i="31"/>
  <c r="L260" i="31"/>
  <c r="H260" i="31"/>
  <c r="C264" i="31"/>
  <c r="C260" i="31"/>
  <c r="AN77" i="18" l="1"/>
  <c r="AV77" i="18"/>
  <c r="AJ77" i="18"/>
  <c r="AL81" i="18"/>
  <c r="AI6" i="7"/>
  <c r="AI43" i="7"/>
  <c r="AS43" i="7" s="1"/>
  <c r="AI5" i="7"/>
  <c r="AI7" i="7" s="1"/>
  <c r="AS7" i="7" s="1"/>
  <c r="AV10" i="18"/>
  <c r="AI8" i="7"/>
  <c r="AI10" i="7" s="1"/>
  <c r="AS10" i="7" s="1"/>
  <c r="AV19" i="18"/>
  <c r="AI14" i="7"/>
  <c r="AV30" i="18"/>
  <c r="AI16" i="7"/>
  <c r="AV42" i="18"/>
  <c r="AI17" i="7"/>
  <c r="AV51" i="18"/>
  <c r="AI20" i="7"/>
  <c r="AV65" i="18"/>
  <c r="AI22" i="7"/>
  <c r="AV81" i="18"/>
  <c r="AL90" i="18"/>
  <c r="AV90" i="18" s="1"/>
  <c r="AV59" i="18"/>
  <c r="AI19" i="7"/>
  <c r="AI26" i="7" s="1"/>
  <c r="AS26" i="7" s="1"/>
  <c r="AE14" i="9"/>
  <c r="AS15" i="7"/>
  <c r="W108" i="32"/>
  <c r="AS41" i="7"/>
  <c r="W320" i="32"/>
  <c r="AV76" i="18"/>
  <c r="AR76" i="18"/>
  <c r="AS38" i="7"/>
  <c r="W275" i="32"/>
  <c r="AE11" i="9"/>
  <c r="AS12" i="7"/>
  <c r="W64" i="32"/>
  <c r="AS39" i="7"/>
  <c r="W290" i="32"/>
  <c r="AS6" i="7"/>
  <c r="W6" i="32"/>
  <c r="AS42" i="7"/>
  <c r="W335" i="32"/>
  <c r="AS37" i="7"/>
  <c r="W260" i="32"/>
  <c r="AN130" i="18"/>
  <c r="AV130" i="18"/>
  <c r="AS40" i="7"/>
  <c r="W305" i="32"/>
  <c r="AS24" i="7"/>
  <c r="W245" i="32"/>
  <c r="AS23" i="7"/>
  <c r="W230" i="32"/>
  <c r="AS18" i="7"/>
  <c r="W153" i="32"/>
  <c r="Q260" i="31"/>
  <c r="U260" i="31"/>
  <c r="Q264" i="31"/>
  <c r="U264" i="31"/>
  <c r="AJ73" i="18"/>
  <c r="AG21" i="7" s="1"/>
  <c r="U199" i="32" s="1"/>
  <c r="AI21" i="7"/>
  <c r="AN20" i="18"/>
  <c r="AR20" i="18"/>
  <c r="AG43" i="7"/>
  <c r="U35" i="4" s="1"/>
  <c r="W35" i="9"/>
  <c r="W35" i="4"/>
  <c r="AC35" i="4" s="1"/>
  <c r="AK43" i="7"/>
  <c r="AJ130" i="18"/>
  <c r="AN76" i="18"/>
  <c r="AJ76" i="18"/>
  <c r="AJ59" i="18"/>
  <c r="AG19" i="7" s="1"/>
  <c r="AN59" i="18"/>
  <c r="AL21" i="18"/>
  <c r="AV21" i="18" s="1"/>
  <c r="AJ20" i="18"/>
  <c r="AN73" i="18"/>
  <c r="AJ81" i="18"/>
  <c r="AG22" i="7" s="1"/>
  <c r="U214" i="32" s="1"/>
  <c r="AN81" i="18"/>
  <c r="AJ65" i="18"/>
  <c r="AG20" i="7" s="1"/>
  <c r="U183" i="32" s="1"/>
  <c r="AN65" i="18"/>
  <c r="AJ51" i="18"/>
  <c r="AG17" i="7" s="1"/>
  <c r="U138" i="32" s="1"/>
  <c r="AN51" i="18"/>
  <c r="AJ42" i="18"/>
  <c r="AG16" i="7" s="1"/>
  <c r="U123" i="32" s="1"/>
  <c r="AN42" i="18"/>
  <c r="AJ30" i="18"/>
  <c r="AG14" i="7" s="1"/>
  <c r="U92" i="32" s="1"/>
  <c r="AN30" i="18"/>
  <c r="AJ19" i="18"/>
  <c r="AG8" i="7" s="1"/>
  <c r="U34" i="32" s="1"/>
  <c r="U36" i="32" s="1"/>
  <c r="AN19" i="18"/>
  <c r="AJ10" i="18"/>
  <c r="AG5" i="7" s="1"/>
  <c r="U5" i="32" s="1"/>
  <c r="U7" i="32" s="1"/>
  <c r="AN10" i="18"/>
  <c r="M260" i="31"/>
  <c r="N264" i="31"/>
  <c r="M264" i="31"/>
  <c r="N260" i="31"/>
  <c r="AJ90" i="18" l="1"/>
  <c r="U41" i="9"/>
  <c r="AN90" i="18"/>
  <c r="U168" i="32"/>
  <c r="AG26" i="7"/>
  <c r="U6" i="4" s="1"/>
  <c r="AE20" i="9"/>
  <c r="AS21" i="7"/>
  <c r="W199" i="32"/>
  <c r="W40" i="9"/>
  <c r="AC335" i="32"/>
  <c r="X335" i="32"/>
  <c r="AC6" i="32"/>
  <c r="X6" i="32"/>
  <c r="W37" i="9"/>
  <c r="AC290" i="32"/>
  <c r="X290" i="32"/>
  <c r="AC64" i="32"/>
  <c r="X64" i="32"/>
  <c r="W36" i="9"/>
  <c r="AC275" i="32"/>
  <c r="AC320" i="32"/>
  <c r="X320" i="32"/>
  <c r="AC108" i="32"/>
  <c r="X108" i="32"/>
  <c r="U25" i="9"/>
  <c r="AS19" i="7"/>
  <c r="W168" i="32"/>
  <c r="AE21" i="9"/>
  <c r="AS22" i="7"/>
  <c r="AE19" i="9"/>
  <c r="AS20" i="7"/>
  <c r="AE16" i="9"/>
  <c r="AS17" i="7"/>
  <c r="W138" i="32"/>
  <c r="AE15" i="9"/>
  <c r="AS16" i="7"/>
  <c r="W123" i="32"/>
  <c r="AE13" i="9"/>
  <c r="AS14" i="7"/>
  <c r="U9" i="9"/>
  <c r="AS8" i="7"/>
  <c r="W34" i="32"/>
  <c r="U6" i="9"/>
  <c r="AS5" i="7"/>
  <c r="W5" i="32"/>
  <c r="AC260" i="32"/>
  <c r="X260" i="32"/>
  <c r="AC305" i="32"/>
  <c r="X305" i="32"/>
  <c r="AC245" i="32"/>
  <c r="X245" i="32"/>
  <c r="W23" i="9"/>
  <c r="AG23" i="9" s="1"/>
  <c r="AE23" i="9"/>
  <c r="AC230" i="32"/>
  <c r="X230" i="32"/>
  <c r="W6" i="4"/>
  <c r="AC6" i="4" s="1"/>
  <c r="AE22" i="9"/>
  <c r="W22" i="9"/>
  <c r="AG22" i="9" s="1"/>
  <c r="AC153" i="32"/>
  <c r="X153" i="32"/>
  <c r="AE17" i="9"/>
  <c r="W17" i="9"/>
  <c r="AG17" i="9" s="1"/>
  <c r="AN21" i="18"/>
  <c r="AI11" i="7"/>
  <c r="AG10" i="7"/>
  <c r="AG7" i="7"/>
  <c r="X35" i="4"/>
  <c r="AL89" i="18"/>
  <c r="AJ21" i="18"/>
  <c r="H93" i="31"/>
  <c r="J93" i="31" s="1"/>
  <c r="L93" i="31" s="1"/>
  <c r="N93" i="31" s="1"/>
  <c r="F82" i="31"/>
  <c r="F83" i="31" s="1"/>
  <c r="H11" i="11" s="1"/>
  <c r="H46" i="31"/>
  <c r="J46" i="31" s="1"/>
  <c r="L46" i="31" s="1"/>
  <c r="N46" i="31" s="1"/>
  <c r="AN89" i="18" l="1"/>
  <c r="AV89" i="18"/>
  <c r="AS11" i="7"/>
  <c r="W63" i="32"/>
  <c r="AC5" i="32"/>
  <c r="W7" i="32"/>
  <c r="X5" i="32"/>
  <c r="AC34" i="32"/>
  <c r="W36" i="32"/>
  <c r="X34" i="32"/>
  <c r="W7" i="9"/>
  <c r="AG7" i="9" s="1"/>
  <c r="AE7" i="9"/>
  <c r="AC92" i="32"/>
  <c r="X92" i="32"/>
  <c r="AC123" i="32"/>
  <c r="X123" i="32"/>
  <c r="AC138" i="32"/>
  <c r="X138" i="32"/>
  <c r="AC183" i="32"/>
  <c r="X183" i="32"/>
  <c r="AC214" i="32"/>
  <c r="X214" i="32"/>
  <c r="AC168" i="32"/>
  <c r="X168" i="32"/>
  <c r="AE18" i="9"/>
  <c r="W18" i="9"/>
  <c r="AG18" i="9" s="1"/>
  <c r="AC199" i="32"/>
  <c r="X199" i="32"/>
  <c r="X6" i="4"/>
  <c r="F69" i="32"/>
  <c r="H69" i="32"/>
  <c r="AJ89" i="18"/>
  <c r="AG11" i="7"/>
  <c r="U63" i="32" s="1"/>
  <c r="U65" i="32" s="1"/>
  <c r="AI13" i="7"/>
  <c r="AS13" i="7" s="1"/>
  <c r="AI25" i="7"/>
  <c r="AS25" i="7" s="1"/>
  <c r="AL91" i="18"/>
  <c r="F245" i="31"/>
  <c r="F246" i="31" s="1"/>
  <c r="F58" i="31"/>
  <c r="H9" i="11" s="1"/>
  <c r="H57" i="31"/>
  <c r="I13" i="30"/>
  <c r="G13" i="30"/>
  <c r="I10" i="30"/>
  <c r="G10" i="30"/>
  <c r="I7" i="30"/>
  <c r="G7" i="30"/>
  <c r="AC36" i="32" l="1"/>
  <c r="X36" i="32"/>
  <c r="AC7" i="32"/>
  <c r="X7" i="32"/>
  <c r="AC63" i="32"/>
  <c r="W65" i="32"/>
  <c r="X63" i="32"/>
  <c r="W10" i="9"/>
  <c r="AG10" i="9" s="1"/>
  <c r="AE10" i="9"/>
  <c r="AJ91" i="18"/>
  <c r="AV91" i="18"/>
  <c r="U24" i="9"/>
  <c r="U26" i="9" s="1"/>
  <c r="F41" i="32"/>
  <c r="H41" i="32"/>
  <c r="AI27" i="7"/>
  <c r="AG13" i="7"/>
  <c r="AG25" i="7"/>
  <c r="U12" i="9"/>
  <c r="AN91" i="18"/>
  <c r="H45" i="30"/>
  <c r="H13" i="30"/>
  <c r="H58" i="31"/>
  <c r="K9" i="11" s="1"/>
  <c r="J57" i="31"/>
  <c r="H10" i="30"/>
  <c r="H7" i="30"/>
  <c r="X5" i="4" l="1"/>
  <c r="AC5" i="4"/>
  <c r="AC65" i="32"/>
  <c r="X65" i="32"/>
  <c r="AS27" i="7"/>
  <c r="I41" i="32"/>
  <c r="K41" i="32"/>
  <c r="U5" i="4"/>
  <c r="AG27" i="7"/>
  <c r="U7" i="4" s="1"/>
  <c r="J58" i="31"/>
  <c r="N9" i="11" s="1"/>
  <c r="L57" i="31"/>
  <c r="L87" i="18"/>
  <c r="D125" i="18"/>
  <c r="D59" i="18"/>
  <c r="D54" i="18"/>
  <c r="AI7" i="23"/>
  <c r="AG7" i="23" s="1"/>
  <c r="L59" i="18" l="1"/>
  <c r="AU59" i="18"/>
  <c r="C19" i="7"/>
  <c r="AU125" i="18"/>
  <c r="C41" i="7"/>
  <c r="AL7" i="23"/>
  <c r="AH7" i="23"/>
  <c r="X7" i="4"/>
  <c r="AC7" i="4"/>
  <c r="L54" i="18"/>
  <c r="AU54" i="18"/>
  <c r="C18" i="7"/>
  <c r="L41" i="32"/>
  <c r="N41" i="32"/>
  <c r="AG8" i="23"/>
  <c r="D111" i="18"/>
  <c r="D120" i="18"/>
  <c r="D86" i="18"/>
  <c r="D16" i="18"/>
  <c r="N57" i="31"/>
  <c r="L58" i="31"/>
  <c r="D73" i="18"/>
  <c r="AU73" i="18" s="1"/>
  <c r="K267" i="31"/>
  <c r="I267" i="31"/>
  <c r="G267" i="31"/>
  <c r="C267" i="31"/>
  <c r="U267" i="31" s="1"/>
  <c r="M232" i="31"/>
  <c r="AD24" i="11" s="1"/>
  <c r="G347" i="31"/>
  <c r="AA45" i="11" s="1"/>
  <c r="G221" i="31"/>
  <c r="G311" i="31"/>
  <c r="AA42" i="11" s="1"/>
  <c r="K300" i="31"/>
  <c r="K347" i="31"/>
  <c r="AC45" i="11" s="1"/>
  <c r="E199" i="31"/>
  <c r="G199" i="31"/>
  <c r="I199" i="31"/>
  <c r="K199" i="31"/>
  <c r="M199" i="31"/>
  <c r="E232" i="31"/>
  <c r="E210" i="31"/>
  <c r="I232" i="31"/>
  <c r="C311" i="31"/>
  <c r="E347" i="31"/>
  <c r="Z45" i="11" s="1"/>
  <c r="M210" i="31"/>
  <c r="M322" i="31"/>
  <c r="I347" i="31"/>
  <c r="AB45" i="11" s="1"/>
  <c r="M347" i="31"/>
  <c r="M336" i="31"/>
  <c r="I185" i="31"/>
  <c r="I210" i="31"/>
  <c r="K221" i="31"/>
  <c r="G232" i="31"/>
  <c r="K232" i="31"/>
  <c r="I174" i="31"/>
  <c r="E336" i="31"/>
  <c r="Z44" i="11" s="1"/>
  <c r="G336" i="31"/>
  <c r="AA44" i="11" s="1"/>
  <c r="I336" i="31"/>
  <c r="AB44" i="11" s="1"/>
  <c r="K336" i="31"/>
  <c r="AC44" i="11" s="1"/>
  <c r="E185" i="31"/>
  <c r="M185" i="31"/>
  <c r="G210" i="31"/>
  <c r="K210" i="31"/>
  <c r="G300" i="31"/>
  <c r="K311" i="31"/>
  <c r="AC42" i="11" s="1"/>
  <c r="E322" i="31"/>
  <c r="Z43" i="11" s="1"/>
  <c r="G322" i="31"/>
  <c r="AA43" i="11" s="1"/>
  <c r="I322" i="31"/>
  <c r="AB43" i="11" s="1"/>
  <c r="K322" i="31"/>
  <c r="AC43" i="11" s="1"/>
  <c r="M174" i="31"/>
  <c r="E174" i="31"/>
  <c r="E300" i="31"/>
  <c r="I300" i="31"/>
  <c r="M300" i="31"/>
  <c r="E311" i="31"/>
  <c r="Z42" i="11" s="1"/>
  <c r="I311" i="31"/>
  <c r="AB42" i="11" s="1"/>
  <c r="M311" i="31"/>
  <c r="K174" i="31"/>
  <c r="G174" i="31"/>
  <c r="E163" i="31"/>
  <c r="G163" i="31"/>
  <c r="I163" i="31"/>
  <c r="K163" i="31"/>
  <c r="M163" i="31"/>
  <c r="AD18" i="11" s="1"/>
  <c r="G185" i="31"/>
  <c r="AA20" i="11" s="1"/>
  <c r="K185" i="31"/>
  <c r="AC20" i="11" s="1"/>
  <c r="C221" i="31"/>
  <c r="Q221" i="31" s="1"/>
  <c r="E221" i="31"/>
  <c r="I221" i="31"/>
  <c r="M221" i="31"/>
  <c r="AD23" i="11" s="1"/>
  <c r="C163" i="31"/>
  <c r="Q163" i="31" s="1"/>
  <c r="C232" i="31"/>
  <c r="C347" i="31"/>
  <c r="C210" i="31"/>
  <c r="Q210" i="31" s="1"/>
  <c r="C199" i="31"/>
  <c r="Q199" i="31" s="1"/>
  <c r="C185" i="31"/>
  <c r="Q185" i="31" s="1"/>
  <c r="C336" i="31"/>
  <c r="C322" i="31"/>
  <c r="C300" i="31"/>
  <c r="C174" i="31"/>
  <c r="L16" i="18" l="1"/>
  <c r="AU16" i="18"/>
  <c r="C6" i="7"/>
  <c r="L120" i="18"/>
  <c r="AU120" i="18"/>
  <c r="C40" i="7"/>
  <c r="C37" i="7"/>
  <c r="AU111" i="18"/>
  <c r="AQ41" i="7"/>
  <c r="AR41" i="7" s="1"/>
  <c r="F44" i="3"/>
  <c r="AQ19" i="7"/>
  <c r="AR19" i="7" s="1"/>
  <c r="F18" i="3"/>
  <c r="AE6" i="8"/>
  <c r="V5" i="9" s="1"/>
  <c r="AH8" i="23"/>
  <c r="L86" i="18"/>
  <c r="AU86" i="18"/>
  <c r="C23" i="7"/>
  <c r="AQ18" i="7"/>
  <c r="AR18" i="7" s="1"/>
  <c r="F17" i="3"/>
  <c r="AO8" i="23"/>
  <c r="AO7" i="23"/>
  <c r="L73" i="18"/>
  <c r="C21" i="7"/>
  <c r="L111" i="18"/>
  <c r="AE7" i="23"/>
  <c r="Y45" i="11"/>
  <c r="Q347" i="31"/>
  <c r="Y44" i="11"/>
  <c r="Q336" i="31"/>
  <c r="Y42" i="11"/>
  <c r="Q311" i="31"/>
  <c r="Y24" i="11"/>
  <c r="Q232" i="31"/>
  <c r="Y19" i="11"/>
  <c r="Q174" i="31"/>
  <c r="Y43" i="11"/>
  <c r="Q322" i="31"/>
  <c r="Y41" i="11"/>
  <c r="Q300" i="31"/>
  <c r="AC41" i="11"/>
  <c r="AB41" i="11"/>
  <c r="AA41" i="11"/>
  <c r="Z41" i="11"/>
  <c r="AD44" i="11"/>
  <c r="AA24" i="11"/>
  <c r="AB20" i="11"/>
  <c r="AD45" i="11"/>
  <c r="AB24" i="11"/>
  <c r="AB21" i="11"/>
  <c r="Z23" i="11"/>
  <c r="Y23" i="11"/>
  <c r="AB18" i="11"/>
  <c r="AC24" i="11"/>
  <c r="Y18" i="11"/>
  <c r="AC22" i="11"/>
  <c r="AD20" i="11"/>
  <c r="AB19" i="11"/>
  <c r="Z22" i="11"/>
  <c r="Z24" i="11"/>
  <c r="AA21" i="11"/>
  <c r="AD42" i="11"/>
  <c r="AD19" i="11"/>
  <c r="AC23" i="11"/>
  <c r="AD22" i="11"/>
  <c r="AC21" i="11"/>
  <c r="AA18" i="11"/>
  <c r="Y21" i="11"/>
  <c r="Z18" i="11"/>
  <c r="AA19" i="11"/>
  <c r="Y20" i="11"/>
  <c r="Y22" i="11"/>
  <c r="AB23" i="11"/>
  <c r="AC18" i="11"/>
  <c r="AC19" i="11"/>
  <c r="AD41" i="11"/>
  <c r="Z19" i="11"/>
  <c r="AA22" i="11"/>
  <c r="Z20" i="11"/>
  <c r="AB22" i="11"/>
  <c r="AD43" i="11"/>
  <c r="AD21" i="11"/>
  <c r="Z21" i="11"/>
  <c r="AA23" i="11"/>
  <c r="N58" i="31"/>
  <c r="S57" i="31"/>
  <c r="Q9" i="11"/>
  <c r="M267" i="31"/>
  <c r="W9" i="32" l="1"/>
  <c r="AC9" i="32" s="1"/>
  <c r="AL6" i="8"/>
  <c r="F20" i="3"/>
  <c r="AR20" i="3" s="1"/>
  <c r="AQ21" i="7"/>
  <c r="AR21" i="7" s="1"/>
  <c r="AN18" i="3"/>
  <c r="AR18" i="3"/>
  <c r="E18" i="3"/>
  <c r="AR44" i="3"/>
  <c r="AN44" i="3"/>
  <c r="E44" i="3"/>
  <c r="F40" i="3"/>
  <c r="AQ37" i="7"/>
  <c r="AR37" i="7" s="1"/>
  <c r="AQ40" i="7"/>
  <c r="AR40" i="7" s="1"/>
  <c r="F43" i="3"/>
  <c r="AQ6" i="7"/>
  <c r="AR6" i="7" s="1"/>
  <c r="F5" i="3"/>
  <c r="AQ23" i="7"/>
  <c r="AR23" i="7" s="1"/>
  <c r="F22" i="3"/>
  <c r="E17" i="3"/>
  <c r="AR17" i="3"/>
  <c r="AN17" i="3"/>
  <c r="AN20" i="3"/>
  <c r="W5" i="9"/>
  <c r="AF43" i="11"/>
  <c r="AL43" i="11"/>
  <c r="AF44" i="11"/>
  <c r="AL44" i="11"/>
  <c r="AF21" i="11"/>
  <c r="AL21" i="11"/>
  <c r="AF23" i="11"/>
  <c r="AL23" i="11"/>
  <c r="AF19" i="11"/>
  <c r="AL19" i="11"/>
  <c r="AF45" i="11"/>
  <c r="AL45" i="11"/>
  <c r="AF24" i="11"/>
  <c r="AL24" i="11"/>
  <c r="AF22" i="11"/>
  <c r="AL22" i="11"/>
  <c r="O41" i="32"/>
  <c r="Q41" i="32"/>
  <c r="AF20" i="11"/>
  <c r="AL20" i="11"/>
  <c r="AF18" i="11"/>
  <c r="AL18" i="11"/>
  <c r="AF41" i="11"/>
  <c r="AL41" i="11"/>
  <c r="AF42" i="11"/>
  <c r="AL42" i="11"/>
  <c r="AE8" i="23"/>
  <c r="AC6" i="8" s="1"/>
  <c r="U9" i="32" s="1"/>
  <c r="U10" i="32" s="1"/>
  <c r="S58" i="31"/>
  <c r="T9" i="11"/>
  <c r="E152" i="31"/>
  <c r="Z17" i="11" s="1"/>
  <c r="G152" i="31"/>
  <c r="AA17" i="11" s="1"/>
  <c r="I152" i="31"/>
  <c r="AB17" i="11" s="1"/>
  <c r="K152" i="31"/>
  <c r="AC17" i="11" s="1"/>
  <c r="M152" i="31"/>
  <c r="C152" i="31"/>
  <c r="M116" i="31"/>
  <c r="K116" i="31"/>
  <c r="AC14" i="11" s="1"/>
  <c r="I116" i="31"/>
  <c r="AB14" i="11" s="1"/>
  <c r="G116" i="31"/>
  <c r="AA14" i="11" s="1"/>
  <c r="E116" i="31"/>
  <c r="Z14" i="11" s="1"/>
  <c r="S98" i="31"/>
  <c r="M99" i="31"/>
  <c r="K99" i="31"/>
  <c r="I99" i="31"/>
  <c r="G99" i="31"/>
  <c r="E99" i="31"/>
  <c r="M98" i="31"/>
  <c r="K98" i="31"/>
  <c r="I98" i="31"/>
  <c r="G98" i="31"/>
  <c r="E98" i="31"/>
  <c r="S99" i="31"/>
  <c r="S100" i="31"/>
  <c r="S102" i="31"/>
  <c r="S95" i="31"/>
  <c r="D99" i="31"/>
  <c r="F99" i="31"/>
  <c r="H99" i="31"/>
  <c r="J99" i="31"/>
  <c r="L99" i="31"/>
  <c r="N99" i="31"/>
  <c r="C100" i="31"/>
  <c r="D100" i="31"/>
  <c r="V100" i="31" s="1"/>
  <c r="E100" i="31"/>
  <c r="F100" i="31"/>
  <c r="G100" i="31"/>
  <c r="H100" i="31"/>
  <c r="I100" i="31"/>
  <c r="J100" i="31"/>
  <c r="K100" i="31"/>
  <c r="L100" i="31"/>
  <c r="M100" i="31"/>
  <c r="N100" i="31"/>
  <c r="C102" i="31"/>
  <c r="D102" i="31"/>
  <c r="V102" i="31" s="1"/>
  <c r="E102" i="31"/>
  <c r="F102" i="31"/>
  <c r="G102" i="31"/>
  <c r="H102" i="31"/>
  <c r="I102" i="31"/>
  <c r="J102" i="31"/>
  <c r="K102" i="31"/>
  <c r="L102" i="31"/>
  <c r="M102" i="31"/>
  <c r="N102" i="31"/>
  <c r="C104" i="31"/>
  <c r="E104" i="31"/>
  <c r="G104" i="31"/>
  <c r="I104" i="31"/>
  <c r="K104" i="31"/>
  <c r="M104" i="31"/>
  <c r="D95" i="31"/>
  <c r="V95" i="31" s="1"/>
  <c r="E95" i="31"/>
  <c r="F95" i="31"/>
  <c r="G95" i="31"/>
  <c r="H95" i="31"/>
  <c r="I95" i="31"/>
  <c r="J95" i="31"/>
  <c r="K95" i="31"/>
  <c r="L95" i="31"/>
  <c r="M95" i="31"/>
  <c r="N95" i="31"/>
  <c r="C95" i="31"/>
  <c r="R64" i="31"/>
  <c r="F64" i="31"/>
  <c r="H64" i="31"/>
  <c r="E62" i="31"/>
  <c r="G62" i="31"/>
  <c r="I62" i="31"/>
  <c r="K62" i="31"/>
  <c r="M62" i="31"/>
  <c r="R63" i="31"/>
  <c r="F63" i="31"/>
  <c r="H63" i="31"/>
  <c r="M68" i="31"/>
  <c r="K68" i="31"/>
  <c r="I68" i="31"/>
  <c r="G68" i="31"/>
  <c r="E68" i="31"/>
  <c r="C68" i="31"/>
  <c r="S66" i="31"/>
  <c r="N66" i="31"/>
  <c r="M66" i="31"/>
  <c r="L66" i="31"/>
  <c r="K66" i="31"/>
  <c r="J66" i="31"/>
  <c r="I66" i="31"/>
  <c r="H66" i="31"/>
  <c r="G66" i="31"/>
  <c r="F66" i="31"/>
  <c r="E66" i="31"/>
  <c r="C66" i="31"/>
  <c r="S60" i="31"/>
  <c r="N60" i="31"/>
  <c r="M60" i="31"/>
  <c r="L60" i="31"/>
  <c r="K60" i="31"/>
  <c r="J60" i="31"/>
  <c r="I60" i="31"/>
  <c r="H60" i="31"/>
  <c r="G60" i="31"/>
  <c r="F60" i="31"/>
  <c r="E60" i="31"/>
  <c r="R60" i="31"/>
  <c r="C60" i="31"/>
  <c r="S59" i="31"/>
  <c r="N59" i="31"/>
  <c r="M59" i="31"/>
  <c r="L59" i="31"/>
  <c r="K59" i="31"/>
  <c r="J59" i="31"/>
  <c r="I59" i="31"/>
  <c r="H59" i="31"/>
  <c r="G59" i="31"/>
  <c r="F59" i="31"/>
  <c r="E59" i="31"/>
  <c r="C59" i="31"/>
  <c r="M35" i="31"/>
  <c r="K35" i="31"/>
  <c r="I35" i="31"/>
  <c r="G35" i="31"/>
  <c r="E35" i="31"/>
  <c r="C35" i="31"/>
  <c r="U35" i="31" s="1"/>
  <c r="R321" i="31"/>
  <c r="R335" i="31"/>
  <c r="R184" i="31"/>
  <c r="R198" i="31"/>
  <c r="R220" i="31"/>
  <c r="R346" i="31"/>
  <c r="R231" i="31"/>
  <c r="AH11" i="11"/>
  <c r="Z69" i="32" s="1"/>
  <c r="S11" i="11"/>
  <c r="S69" i="32" s="1"/>
  <c r="P11" i="11"/>
  <c r="P69" i="32" s="1"/>
  <c r="M11" i="11"/>
  <c r="M69" i="32" s="1"/>
  <c r="J11" i="11"/>
  <c r="J69" i="32" s="1"/>
  <c r="G11" i="11"/>
  <c r="G69" i="32" s="1"/>
  <c r="X9" i="32" l="1"/>
  <c r="W10" i="32"/>
  <c r="AC10" i="32" s="1"/>
  <c r="AN5" i="3"/>
  <c r="AR5" i="3"/>
  <c r="E5" i="3"/>
  <c r="AR43" i="3"/>
  <c r="AN43" i="3"/>
  <c r="E40" i="3"/>
  <c r="AN40" i="3"/>
  <c r="AR40" i="3"/>
  <c r="AQ44" i="3"/>
  <c r="L41" i="26"/>
  <c r="I42" i="28" s="1"/>
  <c r="Q41" i="26"/>
  <c r="AL44" i="3"/>
  <c r="AQ18" i="3"/>
  <c r="L18" i="26"/>
  <c r="Q18" i="26"/>
  <c r="X18" i="26" s="1"/>
  <c r="X10" i="32"/>
  <c r="AN22" i="3"/>
  <c r="AR22" i="3"/>
  <c r="E22" i="3"/>
  <c r="L17" i="26"/>
  <c r="P17" i="26" s="1"/>
  <c r="Q17" i="26"/>
  <c r="X17" i="26" s="1"/>
  <c r="AQ17" i="3"/>
  <c r="G81" i="32"/>
  <c r="J81" i="32"/>
  <c r="M81" i="32"/>
  <c r="P81" i="32"/>
  <c r="Q60" i="31"/>
  <c r="U60" i="31"/>
  <c r="R99" i="31"/>
  <c r="V99" i="31"/>
  <c r="R41" i="32"/>
  <c r="T41" i="32"/>
  <c r="S81" i="32"/>
  <c r="Q100" i="31"/>
  <c r="U100" i="31"/>
  <c r="Y17" i="11"/>
  <c r="Q152" i="31"/>
  <c r="R174" i="31"/>
  <c r="R173" i="31"/>
  <c r="R13" i="31"/>
  <c r="AD17" i="11"/>
  <c r="AI9" i="11"/>
  <c r="R151" i="31"/>
  <c r="R115" i="31"/>
  <c r="AD14" i="11"/>
  <c r="R140" i="31"/>
  <c r="H288" i="31"/>
  <c r="J96" i="31"/>
  <c r="R232" i="31"/>
  <c r="R163" i="31"/>
  <c r="R221" i="31"/>
  <c r="S96" i="31"/>
  <c r="G103" i="31"/>
  <c r="G47" i="31"/>
  <c r="K103" i="31"/>
  <c r="M103" i="31"/>
  <c r="I103" i="31"/>
  <c r="E103" i="31"/>
  <c r="N96" i="31"/>
  <c r="F96" i="31"/>
  <c r="S103" i="31"/>
  <c r="C96" i="31"/>
  <c r="E96" i="31"/>
  <c r="G96" i="31"/>
  <c r="I96" i="31"/>
  <c r="K96" i="31"/>
  <c r="M96" i="31"/>
  <c r="D103" i="31"/>
  <c r="V103" i="31" s="1"/>
  <c r="F103" i="31"/>
  <c r="H103" i="31"/>
  <c r="J103" i="31"/>
  <c r="L103" i="31"/>
  <c r="N103" i="31"/>
  <c r="E127" i="31"/>
  <c r="G127" i="31"/>
  <c r="I127" i="31"/>
  <c r="K127" i="31"/>
  <c r="M127" i="31"/>
  <c r="C103" i="31"/>
  <c r="C98" i="31"/>
  <c r="Q98" i="31" s="1"/>
  <c r="L96" i="31"/>
  <c r="H96" i="31"/>
  <c r="D96" i="31"/>
  <c r="M63" i="31"/>
  <c r="K47" i="31"/>
  <c r="I63" i="31"/>
  <c r="G63" i="31"/>
  <c r="E63" i="31"/>
  <c r="N62" i="31"/>
  <c r="L62" i="31"/>
  <c r="J62" i="31"/>
  <c r="H62" i="31"/>
  <c r="F62" i="31"/>
  <c r="R62" i="31"/>
  <c r="M64" i="31"/>
  <c r="K64" i="31"/>
  <c r="I64" i="31"/>
  <c r="G64" i="31"/>
  <c r="E64" i="31"/>
  <c r="N67" i="31"/>
  <c r="L67" i="31"/>
  <c r="J67" i="31"/>
  <c r="H67" i="31"/>
  <c r="F67" i="31"/>
  <c r="S62" i="31"/>
  <c r="S64" i="31"/>
  <c r="H140" i="31"/>
  <c r="N63" i="31"/>
  <c r="L63" i="31"/>
  <c r="J63" i="31"/>
  <c r="N64" i="31"/>
  <c r="L64" i="31"/>
  <c r="J64" i="31"/>
  <c r="M67" i="31"/>
  <c r="K67" i="31"/>
  <c r="I67" i="31"/>
  <c r="G67" i="31"/>
  <c r="E67" i="31"/>
  <c r="S63" i="31"/>
  <c r="S67" i="31"/>
  <c r="F116" i="31"/>
  <c r="H14" i="11" s="1"/>
  <c r="E33" i="31"/>
  <c r="E265" i="31"/>
  <c r="G33" i="31"/>
  <c r="G265" i="31"/>
  <c r="I33" i="31"/>
  <c r="I265" i="31"/>
  <c r="K33" i="31"/>
  <c r="K265" i="31"/>
  <c r="S33" i="31"/>
  <c r="S265" i="31"/>
  <c r="C62" i="31"/>
  <c r="Q62" i="31" s="1"/>
  <c r="C64" i="31"/>
  <c r="D98" i="31"/>
  <c r="F98" i="31"/>
  <c r="H98" i="31"/>
  <c r="J98" i="31"/>
  <c r="L98" i="31"/>
  <c r="N98" i="31"/>
  <c r="C33" i="31"/>
  <c r="U33" i="31" s="1"/>
  <c r="F33" i="31"/>
  <c r="F265" i="31"/>
  <c r="H33" i="31"/>
  <c r="H265" i="31"/>
  <c r="J33" i="31"/>
  <c r="J265" i="31"/>
  <c r="L33" i="31"/>
  <c r="L265" i="31"/>
  <c r="N33" i="31"/>
  <c r="E25" i="31"/>
  <c r="G25" i="31"/>
  <c r="I25" i="31"/>
  <c r="K25" i="31"/>
  <c r="M25" i="31"/>
  <c r="C63" i="31"/>
  <c r="Q63" i="31" s="1"/>
  <c r="C67" i="31"/>
  <c r="R27" i="31"/>
  <c r="F27" i="31"/>
  <c r="H27" i="31"/>
  <c r="J27" i="31"/>
  <c r="L27" i="31"/>
  <c r="N27" i="31"/>
  <c r="R30" i="31"/>
  <c r="F30" i="31"/>
  <c r="H30" i="31"/>
  <c r="J30" i="31"/>
  <c r="L30" i="31"/>
  <c r="N30" i="31"/>
  <c r="S34" i="31"/>
  <c r="I289" i="31"/>
  <c r="C30" i="31"/>
  <c r="C34" i="31"/>
  <c r="U34" i="31" s="1"/>
  <c r="F26" i="31"/>
  <c r="H26" i="31"/>
  <c r="L26" i="31"/>
  <c r="N26" i="31"/>
  <c r="F29" i="31"/>
  <c r="H29" i="31"/>
  <c r="L29" i="31"/>
  <c r="N29" i="31"/>
  <c r="F31" i="31"/>
  <c r="H31" i="31"/>
  <c r="L31" i="31"/>
  <c r="N31" i="31"/>
  <c r="F34" i="31"/>
  <c r="H34" i="31"/>
  <c r="L34" i="31"/>
  <c r="N34" i="31"/>
  <c r="S27" i="31"/>
  <c r="S30" i="31"/>
  <c r="R127" i="31"/>
  <c r="C29" i="31"/>
  <c r="E27" i="31"/>
  <c r="G27" i="31"/>
  <c r="I27" i="31"/>
  <c r="K27" i="31"/>
  <c r="R29" i="31"/>
  <c r="E30" i="31"/>
  <c r="G30" i="31"/>
  <c r="I30" i="31"/>
  <c r="K30" i="31"/>
  <c r="R31" i="31"/>
  <c r="M289" i="31"/>
  <c r="M358" i="31" s="1"/>
  <c r="M141" i="31"/>
  <c r="K63" i="31"/>
  <c r="E289" i="31"/>
  <c r="K289" i="31"/>
  <c r="K26" i="31"/>
  <c r="E29" i="31"/>
  <c r="G29" i="31"/>
  <c r="I29" i="31"/>
  <c r="K29" i="31"/>
  <c r="E31" i="31"/>
  <c r="G31" i="31"/>
  <c r="I31" i="31"/>
  <c r="K31" i="31"/>
  <c r="M47" i="31"/>
  <c r="G289" i="31"/>
  <c r="E141" i="31"/>
  <c r="Z16" i="11" s="1"/>
  <c r="G141" i="31"/>
  <c r="AA16" i="11" s="1"/>
  <c r="I141" i="31"/>
  <c r="AB16" i="11" s="1"/>
  <c r="K141" i="31"/>
  <c r="AC16" i="11" s="1"/>
  <c r="J26" i="31"/>
  <c r="J31" i="31"/>
  <c r="J34" i="31"/>
  <c r="M29" i="31"/>
  <c r="I47" i="31"/>
  <c r="E47" i="31"/>
  <c r="E14" i="31"/>
  <c r="G14" i="31"/>
  <c r="AA5" i="11" s="1"/>
  <c r="I14" i="31"/>
  <c r="M14" i="31"/>
  <c r="E34" i="31"/>
  <c r="G34" i="31"/>
  <c r="I34" i="31"/>
  <c r="K34" i="31"/>
  <c r="M34" i="31"/>
  <c r="S29" i="31"/>
  <c r="S31" i="31"/>
  <c r="C99" i="31"/>
  <c r="Q99" i="31" s="1"/>
  <c r="C127" i="31"/>
  <c r="Q127" i="31" s="1"/>
  <c r="E94" i="31"/>
  <c r="Z12" i="11" s="1"/>
  <c r="G94" i="31"/>
  <c r="AA12" i="11" s="1"/>
  <c r="I94" i="31"/>
  <c r="AB12" i="11" s="1"/>
  <c r="K94" i="31"/>
  <c r="AC12" i="11" s="1"/>
  <c r="M94" i="31"/>
  <c r="C141" i="31"/>
  <c r="C289" i="31"/>
  <c r="F289" i="31"/>
  <c r="C116" i="31"/>
  <c r="K14" i="31"/>
  <c r="G26" i="31"/>
  <c r="I26" i="31"/>
  <c r="M26" i="31"/>
  <c r="M27" i="31"/>
  <c r="M30" i="31"/>
  <c r="M31" i="31"/>
  <c r="M33" i="31"/>
  <c r="S26" i="31"/>
  <c r="C27" i="31"/>
  <c r="C47" i="31"/>
  <c r="C94" i="31"/>
  <c r="C26" i="31"/>
  <c r="C31" i="31"/>
  <c r="C25" i="31"/>
  <c r="E26" i="31"/>
  <c r="J29" i="31"/>
  <c r="C14" i="31"/>
  <c r="R93" i="31"/>
  <c r="M17" i="29"/>
  <c r="D282" i="31" l="1"/>
  <c r="D284" i="31"/>
  <c r="D285" i="31"/>
  <c r="D286" i="31"/>
  <c r="D283" i="31"/>
  <c r="D280" i="31"/>
  <c r="D288" i="31"/>
  <c r="D279" i="31"/>
  <c r="D287" i="31"/>
  <c r="D281" i="31"/>
  <c r="N42" i="28"/>
  <c r="Q37" i="26"/>
  <c r="X37" i="26" s="1"/>
  <c r="L37" i="26"/>
  <c r="P37" i="26" s="1"/>
  <c r="AQ40" i="3"/>
  <c r="AL40" i="3"/>
  <c r="AQ5" i="3"/>
  <c r="Q5" i="26"/>
  <c r="X5" i="26" s="1"/>
  <c r="L5" i="26"/>
  <c r="P5" i="26" s="1"/>
  <c r="AQ22" i="3"/>
  <c r="Q22" i="26"/>
  <c r="X22" i="26" s="1"/>
  <c r="L22" i="26"/>
  <c r="P22" i="26" s="1"/>
  <c r="R98" i="31"/>
  <c r="V98" i="31"/>
  <c r="Q96" i="31"/>
  <c r="U96" i="31"/>
  <c r="Q26" i="31"/>
  <c r="U26" i="31"/>
  <c r="Q64" i="31"/>
  <c r="U64" i="31"/>
  <c r="AF17" i="11"/>
  <c r="AL17" i="11"/>
  <c r="Q30" i="31"/>
  <c r="U30" i="31"/>
  <c r="R96" i="31"/>
  <c r="V96" i="31"/>
  <c r="Y41" i="32"/>
  <c r="AA41" i="32"/>
  <c r="Q27" i="31"/>
  <c r="U27" i="31"/>
  <c r="F94" i="32"/>
  <c r="H94" i="32"/>
  <c r="Q31" i="31"/>
  <c r="U31" i="31"/>
  <c r="Q29" i="31"/>
  <c r="U29" i="31"/>
  <c r="Y40" i="11"/>
  <c r="Q289" i="31"/>
  <c r="C358" i="31"/>
  <c r="Y16" i="11"/>
  <c r="Q141" i="31"/>
  <c r="X20" i="11"/>
  <c r="R185" i="31"/>
  <c r="X44" i="11"/>
  <c r="R336" i="31"/>
  <c r="X42" i="11"/>
  <c r="R311" i="31"/>
  <c r="R288" i="31"/>
  <c r="X45" i="11"/>
  <c r="R347" i="31"/>
  <c r="R24" i="31"/>
  <c r="X41" i="11"/>
  <c r="R300" i="31"/>
  <c r="X43" i="11"/>
  <c r="R322" i="31"/>
  <c r="R209" i="31"/>
  <c r="X21" i="11"/>
  <c r="R199" i="31"/>
  <c r="Z40" i="11"/>
  <c r="Z46" i="11" s="1"/>
  <c r="E358" i="31"/>
  <c r="AA40" i="11"/>
  <c r="AA46" i="11" s="1"/>
  <c r="G358" i="31"/>
  <c r="AC40" i="11"/>
  <c r="AC46" i="11" s="1"/>
  <c r="K358" i="31"/>
  <c r="AB40" i="11"/>
  <c r="AB46" i="11" s="1"/>
  <c r="I358" i="31"/>
  <c r="J288" i="31"/>
  <c r="J289" i="31" s="1"/>
  <c r="H40" i="11"/>
  <c r="H262" i="32" s="1"/>
  <c r="Y5" i="11"/>
  <c r="Q14" i="31"/>
  <c r="X5" i="11"/>
  <c r="R14" i="31"/>
  <c r="Y6" i="11"/>
  <c r="Q25" i="31"/>
  <c r="Y14" i="11"/>
  <c r="Q116" i="31"/>
  <c r="Y8" i="11"/>
  <c r="Y12" i="11"/>
  <c r="Q94" i="31"/>
  <c r="R35" i="31"/>
  <c r="H258" i="31"/>
  <c r="AC5" i="11"/>
  <c r="AD40" i="11"/>
  <c r="AD46" i="11" s="1"/>
  <c r="R25" i="31"/>
  <c r="AB15" i="11"/>
  <c r="Z8" i="11"/>
  <c r="Z6" i="11"/>
  <c r="AC6" i="11"/>
  <c r="AA6" i="11"/>
  <c r="AC8" i="11"/>
  <c r="AA8" i="11"/>
  <c r="AA25" i="11" s="1"/>
  <c r="Z5" i="11"/>
  <c r="AD8" i="11"/>
  <c r="AD15" i="11"/>
  <c r="Z15" i="11"/>
  <c r="AD12" i="11"/>
  <c r="AD5" i="11"/>
  <c r="AD6" i="11"/>
  <c r="AB6" i="11"/>
  <c r="H289" i="31"/>
  <c r="Y15" i="11"/>
  <c r="AB5" i="11"/>
  <c r="AB8" i="11"/>
  <c r="AD16" i="11"/>
  <c r="AC15" i="11"/>
  <c r="AA15" i="11"/>
  <c r="X24" i="11"/>
  <c r="X23" i="11"/>
  <c r="X19" i="11"/>
  <c r="X18" i="11"/>
  <c r="X15" i="11"/>
  <c r="M265" i="31"/>
  <c r="H198" i="31"/>
  <c r="F199" i="31"/>
  <c r="H21" i="11" s="1"/>
  <c r="H335" i="31"/>
  <c r="F336" i="31"/>
  <c r="H44" i="11" s="1"/>
  <c r="F232" i="31"/>
  <c r="H24" i="11" s="1"/>
  <c r="H231" i="31"/>
  <c r="H184" i="31"/>
  <c r="H20" i="11"/>
  <c r="F311" i="31"/>
  <c r="H310" i="31"/>
  <c r="F221" i="31"/>
  <c r="H23" i="11" s="1"/>
  <c r="H220" i="31"/>
  <c r="S163" i="31"/>
  <c r="F322" i="31"/>
  <c r="H43" i="11" s="1"/>
  <c r="H307" i="32" s="1"/>
  <c r="F300" i="31"/>
  <c r="H299" i="31"/>
  <c r="H126" i="31"/>
  <c r="F127" i="31"/>
  <c r="F174" i="31"/>
  <c r="H19" i="11" s="1"/>
  <c r="H173" i="31"/>
  <c r="F347" i="31"/>
  <c r="H45" i="11" s="1"/>
  <c r="H346" i="31"/>
  <c r="F163" i="31"/>
  <c r="F210" i="31"/>
  <c r="H22" i="11" s="1"/>
  <c r="H209" i="31"/>
  <c r="F258" i="31"/>
  <c r="S261" i="31"/>
  <c r="S258" i="31"/>
  <c r="M259" i="31"/>
  <c r="S263" i="31"/>
  <c r="H24" i="31"/>
  <c r="J262" i="31"/>
  <c r="F262" i="31"/>
  <c r="M261" i="31"/>
  <c r="I261" i="31"/>
  <c r="E261" i="31"/>
  <c r="L259" i="31"/>
  <c r="H259" i="31"/>
  <c r="C259" i="31"/>
  <c r="F152" i="31"/>
  <c r="H17" i="11" s="1"/>
  <c r="H115" i="31"/>
  <c r="F25" i="31"/>
  <c r="H6" i="11" s="1"/>
  <c r="H12" i="32" s="1"/>
  <c r="L262" i="31"/>
  <c r="H262" i="31"/>
  <c r="K261" i="31"/>
  <c r="G261" i="31"/>
  <c r="N259" i="31"/>
  <c r="J259" i="31"/>
  <c r="F259" i="31"/>
  <c r="F141" i="31"/>
  <c r="H16" i="11" s="1"/>
  <c r="G69" i="31"/>
  <c r="J140" i="31"/>
  <c r="M266" i="31"/>
  <c r="K266" i="31"/>
  <c r="I266" i="31"/>
  <c r="G266" i="31"/>
  <c r="E266" i="31"/>
  <c r="G36" i="31"/>
  <c r="M263" i="31"/>
  <c r="K263" i="31"/>
  <c r="I263" i="31"/>
  <c r="G263" i="31"/>
  <c r="E263" i="31"/>
  <c r="H261" i="31"/>
  <c r="S266" i="31"/>
  <c r="N261" i="31"/>
  <c r="J261" i="31"/>
  <c r="N262" i="31"/>
  <c r="L261" i="31"/>
  <c r="F261" i="31"/>
  <c r="N266" i="31"/>
  <c r="N263" i="31"/>
  <c r="N258" i="31"/>
  <c r="L258" i="31"/>
  <c r="J258" i="31"/>
  <c r="K257" i="31"/>
  <c r="I257" i="31"/>
  <c r="G257" i="31"/>
  <c r="E257" i="31"/>
  <c r="S262" i="31"/>
  <c r="S259" i="31"/>
  <c r="L266" i="31"/>
  <c r="J266" i="31"/>
  <c r="H266" i="31"/>
  <c r="F266" i="31"/>
  <c r="L263" i="31"/>
  <c r="J263" i="31"/>
  <c r="H263" i="31"/>
  <c r="F263" i="31"/>
  <c r="M262" i="31"/>
  <c r="K262" i="31"/>
  <c r="I262" i="31"/>
  <c r="G262" i="31"/>
  <c r="E262" i="31"/>
  <c r="K259" i="31"/>
  <c r="I259" i="31"/>
  <c r="G259" i="31"/>
  <c r="E259" i="31"/>
  <c r="C105" i="31"/>
  <c r="Q105" i="31" s="1"/>
  <c r="K105" i="31"/>
  <c r="G105" i="31"/>
  <c r="M105" i="31"/>
  <c r="I105" i="31"/>
  <c r="E105" i="31"/>
  <c r="K36" i="31"/>
  <c r="I36" i="31"/>
  <c r="E36" i="31"/>
  <c r="I69" i="31"/>
  <c r="K69" i="31"/>
  <c r="H141" i="31"/>
  <c r="K16" i="11" s="1"/>
  <c r="M36" i="31"/>
  <c r="E69" i="31"/>
  <c r="M69" i="31"/>
  <c r="H151" i="31"/>
  <c r="H13" i="31"/>
  <c r="M257" i="31"/>
  <c r="N265" i="31"/>
  <c r="C263" i="31"/>
  <c r="C265" i="31"/>
  <c r="C246" i="31"/>
  <c r="Q246" i="31" s="1"/>
  <c r="C258" i="31"/>
  <c r="C257" i="31"/>
  <c r="Q257" i="31" s="1"/>
  <c r="C261" i="31"/>
  <c r="C266" i="31"/>
  <c r="U266" i="31" s="1"/>
  <c r="C262" i="31"/>
  <c r="M258" i="31"/>
  <c r="K258" i="31"/>
  <c r="I258" i="31"/>
  <c r="G258" i="31"/>
  <c r="E258" i="31"/>
  <c r="F14" i="31"/>
  <c r="H5" i="11" s="1"/>
  <c r="H11" i="32" s="1"/>
  <c r="H13" i="32" s="1"/>
  <c r="F35" i="31"/>
  <c r="C36" i="31"/>
  <c r="C69" i="31"/>
  <c r="Q69" i="31" s="1"/>
  <c r="H42" i="11" l="1"/>
  <c r="D308" i="31"/>
  <c r="V308" i="31" s="1"/>
  <c r="D301" i="31"/>
  <c r="V301" i="31" s="1"/>
  <c r="D302" i="31"/>
  <c r="D304" i="31"/>
  <c r="D305" i="31"/>
  <c r="D303" i="31"/>
  <c r="V303" i="31" s="1"/>
  <c r="D309" i="31"/>
  <c r="V309" i="31" s="1"/>
  <c r="D310" i="31"/>
  <c r="D306" i="31"/>
  <c r="D307" i="31"/>
  <c r="H41" i="11"/>
  <c r="H277" i="32" s="1"/>
  <c r="D299" i="31"/>
  <c r="D295" i="31"/>
  <c r="D292" i="31"/>
  <c r="V292" i="31" s="1"/>
  <c r="D293" i="31"/>
  <c r="D294" i="31"/>
  <c r="D296" i="31"/>
  <c r="D297" i="31"/>
  <c r="V297" i="31" s="1"/>
  <c r="D290" i="31"/>
  <c r="V290" i="31" s="1"/>
  <c r="D298" i="31"/>
  <c r="V298" i="31" s="1"/>
  <c r="D291" i="31"/>
  <c r="V281" i="31"/>
  <c r="D350" i="31"/>
  <c r="V350" i="31" s="1"/>
  <c r="V287" i="31"/>
  <c r="D356" i="31"/>
  <c r="V356" i="31" s="1"/>
  <c r="V279" i="31"/>
  <c r="D348" i="31"/>
  <c r="F39" i="30"/>
  <c r="V288" i="31"/>
  <c r="V280" i="31"/>
  <c r="D349" i="31"/>
  <c r="V283" i="31"/>
  <c r="D352" i="31"/>
  <c r="R283" i="31"/>
  <c r="V286" i="31"/>
  <c r="D355" i="31"/>
  <c r="R286" i="31"/>
  <c r="V285" i="31"/>
  <c r="D354" i="31"/>
  <c r="R285" i="31"/>
  <c r="V284" i="31"/>
  <c r="D353" i="31"/>
  <c r="R284" i="31"/>
  <c r="V282" i="31"/>
  <c r="D351" i="31"/>
  <c r="R282" i="31"/>
  <c r="H15" i="11"/>
  <c r="F15" i="11" s="1"/>
  <c r="D124" i="31"/>
  <c r="V124" i="31" s="1"/>
  <c r="D126" i="31"/>
  <c r="D118" i="31"/>
  <c r="D125" i="31"/>
  <c r="V125" i="31" s="1"/>
  <c r="D117" i="31"/>
  <c r="V117" i="31" s="1"/>
  <c r="D121" i="31"/>
  <c r="D122" i="31"/>
  <c r="D119" i="31"/>
  <c r="D120" i="31"/>
  <c r="D123" i="31"/>
  <c r="AF14" i="11"/>
  <c r="AL14" i="11"/>
  <c r="F125" i="32"/>
  <c r="H125" i="32"/>
  <c r="F110" i="32"/>
  <c r="H110" i="32"/>
  <c r="F201" i="32"/>
  <c r="H201" i="32"/>
  <c r="Q258" i="31"/>
  <c r="U258" i="31"/>
  <c r="F42" i="11"/>
  <c r="F292" i="32" s="1"/>
  <c r="H292" i="32"/>
  <c r="AF6" i="11"/>
  <c r="AL6" i="11"/>
  <c r="F140" i="32"/>
  <c r="H140" i="32"/>
  <c r="F216" i="32"/>
  <c r="H216" i="32"/>
  <c r="F185" i="32"/>
  <c r="H185" i="32"/>
  <c r="F170" i="32"/>
  <c r="H170" i="32"/>
  <c r="Q265" i="31"/>
  <c r="U265" i="31"/>
  <c r="Q259" i="31"/>
  <c r="U259" i="31"/>
  <c r="AF16" i="11"/>
  <c r="AL16" i="11"/>
  <c r="Q261" i="31"/>
  <c r="U261" i="31"/>
  <c r="F232" i="32"/>
  <c r="H232" i="32"/>
  <c r="I125" i="32"/>
  <c r="K125" i="32"/>
  <c r="AF12" i="11"/>
  <c r="AL12" i="11"/>
  <c r="Q358" i="31"/>
  <c r="U358" i="31"/>
  <c r="Q263" i="31"/>
  <c r="U263" i="31"/>
  <c r="Q36" i="31"/>
  <c r="U36" i="31"/>
  <c r="Q262" i="31"/>
  <c r="U262" i="31"/>
  <c r="F45" i="11"/>
  <c r="F337" i="32" s="1"/>
  <c r="H337" i="32"/>
  <c r="F247" i="32"/>
  <c r="H247" i="32"/>
  <c r="AF15" i="11"/>
  <c r="AL15" i="11"/>
  <c r="AF8" i="11"/>
  <c r="AL8" i="11"/>
  <c r="AF5" i="11"/>
  <c r="AL5" i="11"/>
  <c r="F44" i="11"/>
  <c r="F322" i="32" s="1"/>
  <c r="H322" i="32"/>
  <c r="Y46" i="11"/>
  <c r="AL40" i="11"/>
  <c r="H18" i="11"/>
  <c r="F18" i="11" s="1"/>
  <c r="D158" i="31"/>
  <c r="V158" i="31" s="1"/>
  <c r="D162" i="31"/>
  <c r="V162" i="31" s="1"/>
  <c r="D159" i="31"/>
  <c r="V159" i="31" s="1"/>
  <c r="D154" i="31"/>
  <c r="V154" i="31" s="1"/>
  <c r="D153" i="31"/>
  <c r="D155" i="31"/>
  <c r="D161" i="31"/>
  <c r="D157" i="31"/>
  <c r="V157" i="31" s="1"/>
  <c r="D156" i="31"/>
  <c r="V156" i="31" s="1"/>
  <c r="D160" i="31"/>
  <c r="AF40" i="11"/>
  <c r="F43" i="11"/>
  <c r="F40" i="11"/>
  <c r="F262" i="32" s="1"/>
  <c r="D358" i="31"/>
  <c r="R289" i="31"/>
  <c r="X16" i="11"/>
  <c r="R141" i="31"/>
  <c r="X22" i="11"/>
  <c r="R210" i="31"/>
  <c r="F41" i="11"/>
  <c r="X17" i="11"/>
  <c r="R152" i="31"/>
  <c r="H357" i="31"/>
  <c r="F358" i="31"/>
  <c r="N40" i="11"/>
  <c r="L288" i="31"/>
  <c r="K40" i="11"/>
  <c r="Y25" i="11"/>
  <c r="AL25" i="11" s="1"/>
  <c r="X14" i="11"/>
  <c r="R116" i="31"/>
  <c r="H14" i="31"/>
  <c r="K5" i="11" s="1"/>
  <c r="H245" i="31"/>
  <c r="H246" i="31" s="1"/>
  <c r="AB26" i="11"/>
  <c r="Z25" i="11"/>
  <c r="AB25" i="11"/>
  <c r="X6" i="11"/>
  <c r="AC25" i="11"/>
  <c r="AD26" i="11"/>
  <c r="AC26" i="11"/>
  <c r="AA7" i="11"/>
  <c r="AA26" i="11"/>
  <c r="AA27" i="11" s="1"/>
  <c r="AD25" i="11"/>
  <c r="Y26" i="11"/>
  <c r="AL26" i="11" s="1"/>
  <c r="Z26" i="11"/>
  <c r="H46" i="11"/>
  <c r="H37" i="4" s="1"/>
  <c r="AD7" i="11"/>
  <c r="G24" i="11"/>
  <c r="G247" i="32" s="1"/>
  <c r="Z7" i="11"/>
  <c r="AC7" i="11"/>
  <c r="G23" i="11"/>
  <c r="G232" i="32" s="1"/>
  <c r="D36" i="31"/>
  <c r="AB7" i="11"/>
  <c r="G15" i="11"/>
  <c r="G110" i="32" s="1"/>
  <c r="G19" i="11"/>
  <c r="G170" i="32" s="1"/>
  <c r="F5" i="11"/>
  <c r="F11" i="32" s="1"/>
  <c r="AI18" i="11"/>
  <c r="AA155" i="32" s="1"/>
  <c r="H127" i="31"/>
  <c r="K15" i="11" s="1"/>
  <c r="I15" i="11" s="1"/>
  <c r="J126" i="31"/>
  <c r="J209" i="31"/>
  <c r="H210" i="31"/>
  <c r="K22" i="11" s="1"/>
  <c r="H311" i="31"/>
  <c r="K42" i="11" s="1"/>
  <c r="K292" i="32" s="1"/>
  <c r="J310" i="31"/>
  <c r="J173" i="31"/>
  <c r="H174" i="31"/>
  <c r="K19" i="11" s="1"/>
  <c r="J299" i="31"/>
  <c r="H300" i="31"/>
  <c r="K41" i="11" s="1"/>
  <c r="K277" i="32" s="1"/>
  <c r="H185" i="31"/>
  <c r="K20" i="11" s="1"/>
  <c r="J184" i="31"/>
  <c r="J198" i="31"/>
  <c r="H199" i="31"/>
  <c r="K21" i="11" s="1"/>
  <c r="J346" i="31"/>
  <c r="H347" i="31"/>
  <c r="K45" i="11" s="1"/>
  <c r="K337" i="32" s="1"/>
  <c r="R94" i="31"/>
  <c r="H232" i="31"/>
  <c r="K24" i="11" s="1"/>
  <c r="J231" i="31"/>
  <c r="H322" i="31"/>
  <c r="K43" i="11" s="1"/>
  <c r="J321" i="31"/>
  <c r="J220" i="31"/>
  <c r="H221" i="31"/>
  <c r="K23" i="11" s="1"/>
  <c r="J335" i="31"/>
  <c r="H336" i="31"/>
  <c r="K44" i="11" s="1"/>
  <c r="K322" i="32" s="1"/>
  <c r="H25" i="31"/>
  <c r="K6" i="11" s="1"/>
  <c r="J24" i="31"/>
  <c r="H116" i="31"/>
  <c r="K14" i="11" s="1"/>
  <c r="J115" i="31"/>
  <c r="H35" i="31"/>
  <c r="J141" i="31"/>
  <c r="N16" i="11" s="1"/>
  <c r="L140" i="31"/>
  <c r="I268" i="31"/>
  <c r="G268" i="31"/>
  <c r="K268" i="31"/>
  <c r="J151" i="31"/>
  <c r="H152" i="31"/>
  <c r="K17" i="11" s="1"/>
  <c r="F36" i="31"/>
  <c r="M268" i="31"/>
  <c r="J13" i="31"/>
  <c r="C268" i="31"/>
  <c r="G45" i="11"/>
  <c r="G337" i="32" s="1"/>
  <c r="G21" i="11"/>
  <c r="G201" i="32" s="1"/>
  <c r="G20" i="11"/>
  <c r="G185" i="32" s="1"/>
  <c r="G44" i="11"/>
  <c r="G322" i="32" s="1"/>
  <c r="G42" i="11"/>
  <c r="G292" i="32" s="1"/>
  <c r="AD13" i="11"/>
  <c r="AC13" i="11"/>
  <c r="AB13" i="11"/>
  <c r="AA13" i="11"/>
  <c r="Z13" i="11"/>
  <c r="AD10" i="11"/>
  <c r="AC10" i="11"/>
  <c r="AB10" i="11"/>
  <c r="AA10" i="11"/>
  <c r="Z10" i="11"/>
  <c r="Y13" i="11"/>
  <c r="Y10" i="11"/>
  <c r="H7" i="11"/>
  <c r="Y7" i="11"/>
  <c r="V307" i="31" l="1"/>
  <c r="R307" i="31"/>
  <c r="V306" i="31"/>
  <c r="R306" i="31"/>
  <c r="F41" i="30"/>
  <c r="V310" i="31"/>
  <c r="R310" i="31"/>
  <c r="V305" i="31"/>
  <c r="R305" i="31"/>
  <c r="V304" i="31"/>
  <c r="R304" i="31"/>
  <c r="V302" i="31"/>
  <c r="R302" i="31"/>
  <c r="V291" i="31"/>
  <c r="R291" i="31"/>
  <c r="V296" i="31"/>
  <c r="R296" i="31"/>
  <c r="V294" i="31"/>
  <c r="R294" i="31"/>
  <c r="V293" i="31"/>
  <c r="R293" i="31"/>
  <c r="V295" i="31"/>
  <c r="R295" i="31"/>
  <c r="F40" i="30"/>
  <c r="V299" i="31"/>
  <c r="R299" i="31"/>
  <c r="D357" i="31"/>
  <c r="V351" i="31"/>
  <c r="R351" i="31"/>
  <c r="V353" i="31"/>
  <c r="R353" i="31"/>
  <c r="V354" i="31"/>
  <c r="R354" i="31"/>
  <c r="V355" i="31"/>
  <c r="R355" i="31"/>
  <c r="R352" i="31"/>
  <c r="V352" i="31"/>
  <c r="V349" i="31"/>
  <c r="R349" i="31"/>
  <c r="P39" i="30"/>
  <c r="K39" i="30"/>
  <c r="E39" i="30"/>
  <c r="D39" i="30"/>
  <c r="F45" i="30"/>
  <c r="V348" i="31"/>
  <c r="R348" i="31"/>
  <c r="V123" i="31"/>
  <c r="R123" i="31"/>
  <c r="V120" i="31"/>
  <c r="R120" i="31"/>
  <c r="V119" i="31"/>
  <c r="R119" i="31"/>
  <c r="V122" i="31"/>
  <c r="R122" i="31"/>
  <c r="V121" i="31"/>
  <c r="R121" i="31"/>
  <c r="V118" i="31"/>
  <c r="R118" i="31"/>
  <c r="F15" i="30"/>
  <c r="V126" i="31"/>
  <c r="R126" i="31"/>
  <c r="I247" i="32"/>
  <c r="K247" i="32"/>
  <c r="D254" i="31"/>
  <c r="V254" i="31" s="1"/>
  <c r="V160" i="31"/>
  <c r="I185" i="32"/>
  <c r="K185" i="32"/>
  <c r="I110" i="32"/>
  <c r="K110" i="32"/>
  <c r="L40" i="11"/>
  <c r="N262" i="32"/>
  <c r="AF13" i="11"/>
  <c r="AL13" i="11"/>
  <c r="I170" i="32"/>
  <c r="K170" i="32"/>
  <c r="Q268" i="31"/>
  <c r="U268" i="31"/>
  <c r="L125" i="32"/>
  <c r="N125" i="32"/>
  <c r="I232" i="32"/>
  <c r="K232" i="32"/>
  <c r="I11" i="32"/>
  <c r="K11" i="32"/>
  <c r="D255" i="31"/>
  <c r="V161" i="31"/>
  <c r="I12" i="32"/>
  <c r="K12" i="32"/>
  <c r="I201" i="32"/>
  <c r="K201" i="32"/>
  <c r="R358" i="31"/>
  <c r="V358" i="31"/>
  <c r="D249" i="31"/>
  <c r="V249" i="31" s="1"/>
  <c r="V155" i="31"/>
  <c r="AF46" i="11"/>
  <c r="AL46" i="11"/>
  <c r="AF10" i="11"/>
  <c r="AL10" i="11"/>
  <c r="I140" i="32"/>
  <c r="K140" i="32"/>
  <c r="D247" i="31"/>
  <c r="V153" i="31"/>
  <c r="R36" i="31"/>
  <c r="V36" i="31"/>
  <c r="I40" i="11"/>
  <c r="K262" i="32"/>
  <c r="AF7" i="11"/>
  <c r="AL7" i="11"/>
  <c r="I94" i="32"/>
  <c r="K94" i="32"/>
  <c r="I43" i="11"/>
  <c r="I307" i="32" s="1"/>
  <c r="K307" i="32"/>
  <c r="I216" i="32"/>
  <c r="K216" i="32"/>
  <c r="G41" i="11"/>
  <c r="G277" i="32" s="1"/>
  <c r="F277" i="32"/>
  <c r="G43" i="11"/>
  <c r="G307" i="32" s="1"/>
  <c r="F307" i="32"/>
  <c r="D248" i="31"/>
  <c r="V248" i="31" s="1"/>
  <c r="R154" i="31"/>
  <c r="D253" i="31"/>
  <c r="V253" i="31" s="1"/>
  <c r="R159" i="31"/>
  <c r="R254" i="31"/>
  <c r="F18" i="30"/>
  <c r="R162" i="31"/>
  <c r="D250" i="31"/>
  <c r="V250" i="31" s="1"/>
  <c r="R156" i="31"/>
  <c r="D252" i="31"/>
  <c r="V252" i="31" s="1"/>
  <c r="R158" i="31"/>
  <c r="D251" i="31"/>
  <c r="V251" i="31" s="1"/>
  <c r="R157" i="31"/>
  <c r="H155" i="32"/>
  <c r="G14" i="11"/>
  <c r="G94" i="32" s="1"/>
  <c r="F6" i="11"/>
  <c r="F46" i="11"/>
  <c r="F37" i="4" s="1"/>
  <c r="G40" i="11"/>
  <c r="J16" i="11"/>
  <c r="J125" i="32" s="1"/>
  <c r="G22" i="11"/>
  <c r="G216" i="32" s="1"/>
  <c r="M16" i="11"/>
  <c r="M125" i="32" s="1"/>
  <c r="G17" i="11"/>
  <c r="G140" i="32" s="1"/>
  <c r="X40" i="11"/>
  <c r="E46" i="11"/>
  <c r="G16" i="11"/>
  <c r="G125" i="32" s="1"/>
  <c r="J357" i="31"/>
  <c r="H358" i="31"/>
  <c r="N288" i="31"/>
  <c r="L289" i="31"/>
  <c r="Y27" i="11"/>
  <c r="AL27" i="11" s="1"/>
  <c r="Z27" i="11"/>
  <c r="J245" i="31"/>
  <c r="J246" i="31" s="1"/>
  <c r="AB27" i="11"/>
  <c r="AC27" i="11"/>
  <c r="AD27" i="11"/>
  <c r="K46" i="11"/>
  <c r="K37" i="4" s="1"/>
  <c r="D46" i="11"/>
  <c r="J43" i="11"/>
  <c r="J307" i="32" s="1"/>
  <c r="I45" i="11"/>
  <c r="I44" i="11"/>
  <c r="J21" i="11"/>
  <c r="J201" i="32" s="1"/>
  <c r="J22" i="11"/>
  <c r="J216" i="32" s="1"/>
  <c r="AG18" i="11"/>
  <c r="I41" i="11"/>
  <c r="I42" i="11"/>
  <c r="J15" i="11"/>
  <c r="J110" i="32" s="1"/>
  <c r="J23" i="11"/>
  <c r="J232" i="32" s="1"/>
  <c r="J24" i="11"/>
  <c r="J247" i="32" s="1"/>
  <c r="J116" i="31"/>
  <c r="N14" i="11" s="1"/>
  <c r="L115" i="31"/>
  <c r="N115" i="31" s="1"/>
  <c r="J127" i="31"/>
  <c r="N15" i="11" s="1"/>
  <c r="L15" i="11" s="1"/>
  <c r="L126" i="31"/>
  <c r="J35" i="31"/>
  <c r="L335" i="31"/>
  <c r="J336" i="31"/>
  <c r="L220" i="31"/>
  <c r="J221" i="31"/>
  <c r="N23" i="11" s="1"/>
  <c r="D105" i="31"/>
  <c r="N68" i="31"/>
  <c r="N47" i="31"/>
  <c r="T8" i="11" s="1"/>
  <c r="T40" i="32" s="1"/>
  <c r="T42" i="32" s="1"/>
  <c r="L184" i="31"/>
  <c r="J185" i="31"/>
  <c r="L173" i="31"/>
  <c r="J174" i="31"/>
  <c r="N19" i="11" s="1"/>
  <c r="H94" i="31"/>
  <c r="K12" i="11" s="1"/>
  <c r="K70" i="32" s="1"/>
  <c r="K71" i="32" s="1"/>
  <c r="H104" i="31"/>
  <c r="S104" i="31"/>
  <c r="S94" i="31"/>
  <c r="AI12" i="11" s="1"/>
  <c r="AA70" i="32" s="1"/>
  <c r="AA71" i="32" s="1"/>
  <c r="L47" i="31"/>
  <c r="Q8" i="11" s="1"/>
  <c r="L68" i="31"/>
  <c r="J47" i="31"/>
  <c r="N8" i="11" s="1"/>
  <c r="J68" i="31"/>
  <c r="J347" i="31"/>
  <c r="L346" i="31"/>
  <c r="J210" i="31"/>
  <c r="L209" i="31"/>
  <c r="L321" i="31"/>
  <c r="J322" i="31"/>
  <c r="J232" i="31"/>
  <c r="N24" i="11" s="1"/>
  <c r="L231" i="31"/>
  <c r="L104" i="31"/>
  <c r="L94" i="31"/>
  <c r="Q12" i="11" s="1"/>
  <c r="Q70" i="32" s="1"/>
  <c r="Q71" i="32" s="1"/>
  <c r="F68" i="31"/>
  <c r="F47" i="31"/>
  <c r="H47" i="31"/>
  <c r="K8" i="11" s="1"/>
  <c r="H68" i="31"/>
  <c r="J199" i="31"/>
  <c r="L198" i="31"/>
  <c r="J94" i="31"/>
  <c r="N12" i="11" s="1"/>
  <c r="N70" i="32" s="1"/>
  <c r="N71" i="32" s="1"/>
  <c r="J104" i="31"/>
  <c r="F94" i="31"/>
  <c r="F104" i="31"/>
  <c r="F257" i="31"/>
  <c r="N94" i="31"/>
  <c r="T12" i="11" s="1"/>
  <c r="T70" i="32" s="1"/>
  <c r="T71" i="32" s="1"/>
  <c r="N104" i="31"/>
  <c r="J300" i="31"/>
  <c r="L299" i="31"/>
  <c r="L310" i="31"/>
  <c r="J311" i="31"/>
  <c r="J25" i="31"/>
  <c r="N6" i="11" s="1"/>
  <c r="L24" i="31"/>
  <c r="H36" i="31"/>
  <c r="N140" i="31"/>
  <c r="L141" i="31"/>
  <c r="L151" i="31"/>
  <c r="J152" i="31"/>
  <c r="L13" i="31"/>
  <c r="J14" i="31"/>
  <c r="N5" i="11" s="1"/>
  <c r="AF26" i="11"/>
  <c r="P41" i="30" l="1"/>
  <c r="K41" i="30"/>
  <c r="C41" i="30"/>
  <c r="E41" i="30"/>
  <c r="O41" i="30" s="1"/>
  <c r="S41" i="30" s="1"/>
  <c r="D41" i="30"/>
  <c r="N41" i="30" s="1"/>
  <c r="R41" i="30" s="1"/>
  <c r="R357" i="31"/>
  <c r="V357" i="31"/>
  <c r="P40" i="30"/>
  <c r="K40" i="30"/>
  <c r="D40" i="30"/>
  <c r="N40" i="30" s="1"/>
  <c r="R40" i="30" s="1"/>
  <c r="E40" i="30"/>
  <c r="O40" i="30" s="1"/>
  <c r="S40" i="30" s="1"/>
  <c r="P45" i="30"/>
  <c r="K45" i="30"/>
  <c r="N39" i="30"/>
  <c r="R39" i="30" s="1"/>
  <c r="D45" i="30"/>
  <c r="N45" i="30" s="1"/>
  <c r="R45" i="30" s="1"/>
  <c r="O39" i="30"/>
  <c r="S39" i="30" s="1"/>
  <c r="E45" i="30"/>
  <c r="O45" i="30" s="1"/>
  <c r="S45" i="30" s="1"/>
  <c r="K18" i="30"/>
  <c r="P18" i="30"/>
  <c r="P15" i="30"/>
  <c r="K15" i="30"/>
  <c r="E15" i="30"/>
  <c r="D15" i="30"/>
  <c r="N15" i="30" s="1"/>
  <c r="R15" i="30" s="1"/>
  <c r="X46" i="11"/>
  <c r="E37" i="4"/>
  <c r="AK46" i="11"/>
  <c r="J20" i="11"/>
  <c r="J185" i="32" s="1"/>
  <c r="J19" i="11"/>
  <c r="J170" i="32" s="1"/>
  <c r="D260" i="31"/>
  <c r="I13" i="32"/>
  <c r="G46" i="11"/>
  <c r="G37" i="4" s="1"/>
  <c r="G262" i="32"/>
  <c r="G266" i="32" s="1"/>
  <c r="D266" i="31"/>
  <c r="V266" i="31" s="1"/>
  <c r="V255" i="31"/>
  <c r="L12" i="32"/>
  <c r="N12" i="32"/>
  <c r="J44" i="11"/>
  <c r="J322" i="32" s="1"/>
  <c r="I322" i="32"/>
  <c r="D258" i="31"/>
  <c r="V247" i="31"/>
  <c r="K40" i="32"/>
  <c r="K42" i="32" s="1"/>
  <c r="Q40" i="32"/>
  <c r="Q42" i="32" s="1"/>
  <c r="K13" i="32"/>
  <c r="L110" i="32"/>
  <c r="N110" i="32"/>
  <c r="J42" i="11"/>
  <c r="J292" i="32" s="1"/>
  <c r="I292" i="32"/>
  <c r="J17" i="11"/>
  <c r="J140" i="32" s="1"/>
  <c r="J45" i="11"/>
  <c r="J337" i="32" s="1"/>
  <c r="I337" i="32"/>
  <c r="R105" i="31"/>
  <c r="V105" i="31"/>
  <c r="J41" i="11"/>
  <c r="J277" i="32" s="1"/>
  <c r="I277" i="32"/>
  <c r="J40" i="11"/>
  <c r="J262" i="32" s="1"/>
  <c r="J266" i="32" s="1"/>
  <c r="I262" i="32"/>
  <c r="L11" i="32"/>
  <c r="N11" i="32"/>
  <c r="N13" i="32" s="1"/>
  <c r="L94" i="32"/>
  <c r="N94" i="32"/>
  <c r="L232" i="32"/>
  <c r="N232" i="32"/>
  <c r="AH18" i="11"/>
  <c r="Z155" i="32" s="1"/>
  <c r="Y155" i="32"/>
  <c r="R249" i="31"/>
  <c r="G6" i="11"/>
  <c r="G12" i="32" s="1"/>
  <c r="F12" i="32"/>
  <c r="F13" i="32" s="1"/>
  <c r="R260" i="31"/>
  <c r="V260" i="31"/>
  <c r="L170" i="32"/>
  <c r="N170" i="32"/>
  <c r="L247" i="32"/>
  <c r="N247" i="32"/>
  <c r="N40" i="32"/>
  <c r="N42" i="32" s="1"/>
  <c r="J14" i="11"/>
  <c r="J94" i="32" s="1"/>
  <c r="D265" i="31"/>
  <c r="M40" i="11"/>
  <c r="M262" i="32" s="1"/>
  <c r="M266" i="32" s="1"/>
  <c r="L262" i="32"/>
  <c r="L256" i="31"/>
  <c r="L163" i="31"/>
  <c r="Q18" i="11" s="1"/>
  <c r="O18" i="11" s="1"/>
  <c r="F155" i="32"/>
  <c r="G18" i="11"/>
  <c r="G155" i="32" s="1"/>
  <c r="N163" i="31"/>
  <c r="T18" i="11" s="1"/>
  <c r="R18" i="11" s="1"/>
  <c r="R253" i="31"/>
  <c r="D264" i="31"/>
  <c r="H256" i="31"/>
  <c r="H257" i="31" s="1"/>
  <c r="H163" i="31"/>
  <c r="K18" i="11" s="1"/>
  <c r="R251" i="31"/>
  <c r="D262" i="31"/>
  <c r="J256" i="31"/>
  <c r="J257" i="31" s="1"/>
  <c r="J163" i="31"/>
  <c r="N18" i="11" s="1"/>
  <c r="L18" i="11" s="1"/>
  <c r="L26" i="11" s="1"/>
  <c r="L27" i="11" s="1"/>
  <c r="R248" i="31"/>
  <c r="D259" i="31"/>
  <c r="R250" i="31"/>
  <c r="D261" i="31"/>
  <c r="R252" i="31"/>
  <c r="D263" i="31"/>
  <c r="C18" i="30"/>
  <c r="D18" i="30"/>
  <c r="T10" i="11"/>
  <c r="Q13" i="11"/>
  <c r="N13" i="11"/>
  <c r="T13" i="11"/>
  <c r="J358" i="31"/>
  <c r="L357" i="31"/>
  <c r="Q40" i="11"/>
  <c r="Q262" i="32" s="1"/>
  <c r="S288" i="31"/>
  <c r="N289" i="31"/>
  <c r="L245" i="31"/>
  <c r="L246" i="31" s="1"/>
  <c r="K10" i="11"/>
  <c r="K25" i="11"/>
  <c r="K11" i="4" s="1"/>
  <c r="X12" i="11"/>
  <c r="E26" i="11"/>
  <c r="I46" i="11"/>
  <c r="I37" i="4" s="1"/>
  <c r="L127" i="31"/>
  <c r="Q15" i="11" s="1"/>
  <c r="O15" i="11" s="1"/>
  <c r="O26" i="11" s="1"/>
  <c r="O27" i="11" s="1"/>
  <c r="AG12" i="11"/>
  <c r="D26" i="11"/>
  <c r="D12" i="4" s="1"/>
  <c r="Q10" i="11"/>
  <c r="N10" i="11"/>
  <c r="K13" i="11"/>
  <c r="AI13" i="11"/>
  <c r="G5" i="11"/>
  <c r="G11" i="32" s="1"/>
  <c r="G13" i="32" s="1"/>
  <c r="J5" i="11"/>
  <c r="J11" i="32" s="1"/>
  <c r="N20" i="11"/>
  <c r="N41" i="11"/>
  <c r="N277" i="32" s="1"/>
  <c r="H12" i="11"/>
  <c r="N21" i="11"/>
  <c r="N43" i="11"/>
  <c r="N307" i="32" s="1"/>
  <c r="N45" i="11"/>
  <c r="N337" i="32" s="1"/>
  <c r="N44" i="11"/>
  <c r="N322" i="32" s="1"/>
  <c r="L116" i="31"/>
  <c r="Q16" i="11"/>
  <c r="H8" i="11"/>
  <c r="H40" i="32" s="1"/>
  <c r="H42" i="32" s="1"/>
  <c r="N22" i="11"/>
  <c r="N17" i="11"/>
  <c r="N42" i="11"/>
  <c r="N292" i="32" s="1"/>
  <c r="M15" i="11"/>
  <c r="M110" i="32" s="1"/>
  <c r="J6" i="11"/>
  <c r="J12" i="32" s="1"/>
  <c r="K7" i="11"/>
  <c r="N126" i="31"/>
  <c r="J105" i="31"/>
  <c r="L210" i="31"/>
  <c r="N209" i="31"/>
  <c r="S105" i="31"/>
  <c r="L336" i="31"/>
  <c r="N335" i="31"/>
  <c r="H69" i="31"/>
  <c r="L105" i="31"/>
  <c r="N346" i="31"/>
  <c r="L347" i="31"/>
  <c r="J69" i="31"/>
  <c r="L174" i="31"/>
  <c r="Q19" i="11" s="1"/>
  <c r="N173" i="31"/>
  <c r="L300" i="31"/>
  <c r="N299" i="31"/>
  <c r="N198" i="31"/>
  <c r="L199" i="31"/>
  <c r="F69" i="31"/>
  <c r="L69" i="31"/>
  <c r="N69" i="31"/>
  <c r="N220" i="31"/>
  <c r="L221" i="31"/>
  <c r="Q23" i="11" s="1"/>
  <c r="F105" i="31"/>
  <c r="N310" i="31"/>
  <c r="L311" i="31"/>
  <c r="N105" i="31"/>
  <c r="F267" i="31"/>
  <c r="F268" i="31" s="1"/>
  <c r="N231" i="31"/>
  <c r="L232" i="31"/>
  <c r="Q24" i="11" s="1"/>
  <c r="N321" i="31"/>
  <c r="L322" i="31"/>
  <c r="H105" i="31"/>
  <c r="L185" i="31"/>
  <c r="N184" i="31"/>
  <c r="L35" i="31"/>
  <c r="L25" i="31"/>
  <c r="Q6" i="11" s="1"/>
  <c r="N24" i="31"/>
  <c r="L257" i="31"/>
  <c r="S140" i="31"/>
  <c r="N141" i="31"/>
  <c r="T16" i="11" s="1"/>
  <c r="J36" i="31"/>
  <c r="N151" i="31"/>
  <c r="L152" i="31"/>
  <c r="N13" i="31"/>
  <c r="L14" i="31"/>
  <c r="Q5" i="11" s="1"/>
  <c r="F7" i="11"/>
  <c r="S115" i="31"/>
  <c r="N116" i="31"/>
  <c r="T14" i="11" s="1"/>
  <c r="M41" i="30" l="1"/>
  <c r="Q41" i="30" s="1"/>
  <c r="C45" i="30"/>
  <c r="M45" i="30" s="1"/>
  <c r="Q45" i="30" s="1"/>
  <c r="D26" i="30"/>
  <c r="N18" i="30"/>
  <c r="R18" i="30" s="1"/>
  <c r="C26" i="30"/>
  <c r="M18" i="30"/>
  <c r="Q18" i="30" s="1"/>
  <c r="K26" i="11"/>
  <c r="K12" i="4" s="1"/>
  <c r="I18" i="11"/>
  <c r="I26" i="11" s="1"/>
  <c r="I27" i="11" s="1"/>
  <c r="N127" i="31"/>
  <c r="T15" i="11" s="1"/>
  <c r="R15" i="11" s="1"/>
  <c r="R26" i="11" s="1"/>
  <c r="R27" i="11" s="1"/>
  <c r="N256" i="31"/>
  <c r="O15" i="30"/>
  <c r="S15" i="30" s="1"/>
  <c r="E26" i="30"/>
  <c r="AC37" i="4"/>
  <c r="X37" i="4"/>
  <c r="D27" i="30"/>
  <c r="N27" i="30" s="1"/>
  <c r="R27" i="30" s="1"/>
  <c r="N26" i="30"/>
  <c r="R26" i="30" s="1"/>
  <c r="C27" i="30"/>
  <c r="M27" i="30" s="1"/>
  <c r="Q27" i="30" s="1"/>
  <c r="M26" i="30"/>
  <c r="Q26" i="30" s="1"/>
  <c r="M19" i="11"/>
  <c r="M170" i="32" s="1"/>
  <c r="L13" i="32"/>
  <c r="M24" i="11"/>
  <c r="M247" i="32" s="1"/>
  <c r="R262" i="31"/>
  <c r="V262" i="31"/>
  <c r="O70" i="32"/>
  <c r="O71" i="32" s="1"/>
  <c r="R94" i="32"/>
  <c r="T94" i="32"/>
  <c r="M23" i="11"/>
  <c r="M232" i="32" s="1"/>
  <c r="L140" i="32"/>
  <c r="N140" i="32"/>
  <c r="L201" i="32"/>
  <c r="N201" i="32"/>
  <c r="R40" i="32"/>
  <c r="R42" i="32" s="1"/>
  <c r="O40" i="32"/>
  <c r="O42" i="32" s="1"/>
  <c r="R125" i="32"/>
  <c r="T125" i="32"/>
  <c r="R110" i="32"/>
  <c r="T110" i="32"/>
  <c r="R261" i="31"/>
  <c r="V261" i="31"/>
  <c r="O232" i="32"/>
  <c r="Q232" i="32"/>
  <c r="L216" i="32"/>
  <c r="N216" i="32"/>
  <c r="F70" i="32"/>
  <c r="F71" i="32" s="1"/>
  <c r="H70" i="32"/>
  <c r="H71" i="32" s="1"/>
  <c r="R70" i="32"/>
  <c r="R71" i="32" s="1"/>
  <c r="R259" i="31"/>
  <c r="V259" i="31"/>
  <c r="R264" i="31"/>
  <c r="V264" i="31"/>
  <c r="R263" i="31"/>
  <c r="V263" i="31"/>
  <c r="O11" i="32"/>
  <c r="Q11" i="32"/>
  <c r="O247" i="32"/>
  <c r="Q247" i="32"/>
  <c r="M14" i="11"/>
  <c r="M94" i="32" s="1"/>
  <c r="I40" i="32"/>
  <c r="I42" i="32" s="1"/>
  <c r="X26" i="11"/>
  <c r="E12" i="4"/>
  <c r="AK26" i="11"/>
  <c r="L40" i="32"/>
  <c r="L42" i="32" s="1"/>
  <c r="J46" i="11"/>
  <c r="J37" i="4" s="1"/>
  <c r="O12" i="32"/>
  <c r="Q12" i="32"/>
  <c r="O170" i="32"/>
  <c r="Q170" i="32"/>
  <c r="O125" i="32"/>
  <c r="Q125" i="32"/>
  <c r="L185" i="32"/>
  <c r="N185" i="32"/>
  <c r="AG13" i="11"/>
  <c r="Y70" i="32"/>
  <c r="Y71" i="32" s="1"/>
  <c r="I70" i="32"/>
  <c r="I71" i="32" s="1"/>
  <c r="R265" i="31"/>
  <c r="V265" i="31"/>
  <c r="J13" i="32"/>
  <c r="O110" i="32"/>
  <c r="Q110" i="32"/>
  <c r="L70" i="32"/>
  <c r="L71" i="32" s="1"/>
  <c r="R258" i="31"/>
  <c r="V258" i="31"/>
  <c r="N155" i="32"/>
  <c r="L12" i="4"/>
  <c r="T155" i="32"/>
  <c r="N26" i="11"/>
  <c r="N12" i="4" s="1"/>
  <c r="I155" i="32"/>
  <c r="K155" i="32"/>
  <c r="Q155" i="32"/>
  <c r="K27" i="11"/>
  <c r="K13" i="4" s="1"/>
  <c r="L358" i="31"/>
  <c r="N357" i="31"/>
  <c r="S289" i="31"/>
  <c r="O40" i="11"/>
  <c r="T40" i="11"/>
  <c r="T262" i="32" s="1"/>
  <c r="N245" i="31"/>
  <c r="N246" i="31" s="1"/>
  <c r="H13" i="11"/>
  <c r="H26" i="11"/>
  <c r="H12" i="4" s="1"/>
  <c r="N25" i="11"/>
  <c r="N11" i="4" s="1"/>
  <c r="H10" i="11"/>
  <c r="H25" i="11"/>
  <c r="H11" i="4" s="1"/>
  <c r="N46" i="11"/>
  <c r="N37" i="4" s="1"/>
  <c r="Q26" i="11"/>
  <c r="Q12" i="4" s="1"/>
  <c r="AH12" i="11"/>
  <c r="J12" i="11"/>
  <c r="AF27" i="11"/>
  <c r="AF25" i="11"/>
  <c r="P15" i="11"/>
  <c r="P110" i="32" s="1"/>
  <c r="M12" i="11"/>
  <c r="P12" i="11"/>
  <c r="S12" i="11"/>
  <c r="L43" i="11"/>
  <c r="L45" i="11"/>
  <c r="L44" i="11"/>
  <c r="L42" i="11"/>
  <c r="L41" i="11"/>
  <c r="L277" i="32" s="1"/>
  <c r="G7" i="11"/>
  <c r="J7" i="11"/>
  <c r="Q22" i="11"/>
  <c r="Q20" i="11"/>
  <c r="Q41" i="11"/>
  <c r="Q277" i="32" s="1"/>
  <c r="Q17" i="11"/>
  <c r="Q43" i="11"/>
  <c r="Q307" i="32" s="1"/>
  <c r="Q42" i="11"/>
  <c r="Q21" i="11"/>
  <c r="Q45" i="11"/>
  <c r="Q337" i="32" s="1"/>
  <c r="Q44" i="11"/>
  <c r="Q322" i="32" s="1"/>
  <c r="Q14" i="11"/>
  <c r="S15" i="11"/>
  <c r="S110" i="32" s="1"/>
  <c r="N7" i="11"/>
  <c r="S14" i="11"/>
  <c r="S94" i="32" s="1"/>
  <c r="H267" i="31"/>
  <c r="H268" i="31" s="1"/>
  <c r="S126" i="31"/>
  <c r="S256" i="31" s="1"/>
  <c r="S24" i="31"/>
  <c r="S231" i="31"/>
  <c r="N232" i="31"/>
  <c r="T24" i="11" s="1"/>
  <c r="N174" i="31"/>
  <c r="T19" i="11" s="1"/>
  <c r="S173" i="31"/>
  <c r="S310" i="31"/>
  <c r="S311" i="31" s="1"/>
  <c r="N311" i="31"/>
  <c r="T42" i="11" s="1"/>
  <c r="N336" i="31"/>
  <c r="T44" i="11" s="1"/>
  <c r="S335" i="31"/>
  <c r="S336" i="31" s="1"/>
  <c r="N25" i="31"/>
  <c r="T6" i="11" s="1"/>
  <c r="S184" i="31"/>
  <c r="N185" i="31"/>
  <c r="T20" i="11" s="1"/>
  <c r="N322" i="31"/>
  <c r="T43" i="11" s="1"/>
  <c r="S321" i="31"/>
  <c r="S322" i="31" s="1"/>
  <c r="S198" i="31"/>
  <c r="N199" i="31"/>
  <c r="T21" i="11" s="1"/>
  <c r="N300" i="31"/>
  <c r="T41" i="11" s="1"/>
  <c r="T277" i="32" s="1"/>
  <c r="S299" i="31"/>
  <c r="S300" i="31" s="1"/>
  <c r="S209" i="31"/>
  <c r="N210" i="31"/>
  <c r="T22" i="11" s="1"/>
  <c r="N221" i="31"/>
  <c r="T23" i="11" s="1"/>
  <c r="S220" i="31"/>
  <c r="N347" i="31"/>
  <c r="T45" i="11" s="1"/>
  <c r="S346" i="31"/>
  <c r="S347" i="31" s="1"/>
  <c r="N35" i="31"/>
  <c r="L36" i="31"/>
  <c r="S141" i="31"/>
  <c r="AI16" i="11" s="1"/>
  <c r="S116" i="31"/>
  <c r="S151" i="31"/>
  <c r="N152" i="31"/>
  <c r="T17" i="11" s="1"/>
  <c r="N14" i="31"/>
  <c r="T5" i="11" s="1"/>
  <c r="S13" i="31"/>
  <c r="E27" i="30" l="1"/>
  <c r="O27" i="30" s="1"/>
  <c r="S27" i="30" s="1"/>
  <c r="O26" i="30"/>
  <c r="S26" i="30" s="1"/>
  <c r="O13" i="32"/>
  <c r="M21" i="11"/>
  <c r="M201" i="32" s="1"/>
  <c r="F26" i="11"/>
  <c r="F12" i="4" s="1"/>
  <c r="Q13" i="32"/>
  <c r="O12" i="4"/>
  <c r="P19" i="11"/>
  <c r="P170" i="32" s="1"/>
  <c r="P16" i="11"/>
  <c r="P125" i="32" s="1"/>
  <c r="R201" i="32"/>
  <c r="T201" i="32"/>
  <c r="R45" i="11"/>
  <c r="R337" i="32" s="1"/>
  <c r="T337" i="32"/>
  <c r="O94" i="32"/>
  <c r="Q94" i="32"/>
  <c r="P13" i="11"/>
  <c r="P70" i="32"/>
  <c r="P71" i="32" s="1"/>
  <c r="O216" i="32"/>
  <c r="Q216" i="32"/>
  <c r="M22" i="11"/>
  <c r="M216" i="32" s="1"/>
  <c r="M13" i="11"/>
  <c r="M70" i="32"/>
  <c r="M71" i="32" s="1"/>
  <c r="P40" i="11"/>
  <c r="P262" i="32" s="1"/>
  <c r="P266" i="32" s="1"/>
  <c r="O262" i="32"/>
  <c r="S16" i="11"/>
  <c r="S125" i="32" s="1"/>
  <c r="R11" i="32"/>
  <c r="T11" i="32"/>
  <c r="R232" i="32"/>
  <c r="T232" i="32"/>
  <c r="P23" i="11"/>
  <c r="P232" i="32" s="1"/>
  <c r="M45" i="11"/>
  <c r="M337" i="32" s="1"/>
  <c r="L337" i="32"/>
  <c r="AC12" i="4"/>
  <c r="X12" i="4"/>
  <c r="O140" i="32"/>
  <c r="Q140" i="32"/>
  <c r="AH13" i="11"/>
  <c r="Z70" i="32"/>
  <c r="Z71" i="32" s="1"/>
  <c r="R44" i="11"/>
  <c r="R322" i="32" s="1"/>
  <c r="T322" i="32"/>
  <c r="M42" i="11"/>
  <c r="M292" i="32" s="1"/>
  <c r="L292" i="32"/>
  <c r="R42" i="11"/>
  <c r="R292" i="32" s="1"/>
  <c r="T292" i="32"/>
  <c r="M44" i="11"/>
  <c r="M322" i="32" s="1"/>
  <c r="L322" i="32"/>
  <c r="R140" i="32"/>
  <c r="T140" i="32"/>
  <c r="R43" i="11"/>
  <c r="R307" i="32" s="1"/>
  <c r="T307" i="32"/>
  <c r="R216" i="32"/>
  <c r="T216" i="32"/>
  <c r="R185" i="32"/>
  <c r="T185" i="32"/>
  <c r="R170" i="32"/>
  <c r="T170" i="32"/>
  <c r="P24" i="11"/>
  <c r="P247" i="32" s="1"/>
  <c r="O201" i="32"/>
  <c r="Q201" i="32"/>
  <c r="AG16" i="11"/>
  <c r="Y125" i="32" s="1"/>
  <c r="AA125" i="32"/>
  <c r="R247" i="32"/>
  <c r="T247" i="32"/>
  <c r="O42" i="11"/>
  <c r="O292" i="32" s="1"/>
  <c r="Q292" i="32"/>
  <c r="M17" i="11"/>
  <c r="M140" i="32" s="1"/>
  <c r="M20" i="11"/>
  <c r="M185" i="32" s="1"/>
  <c r="S13" i="11"/>
  <c r="S70" i="32"/>
  <c r="S71" i="32" s="1"/>
  <c r="O185" i="32"/>
  <c r="Q185" i="32"/>
  <c r="R12" i="32"/>
  <c r="T12" i="32"/>
  <c r="M43" i="11"/>
  <c r="M307" i="32" s="1"/>
  <c r="L307" i="32"/>
  <c r="J13" i="11"/>
  <c r="J70" i="32"/>
  <c r="J71" i="32" s="1"/>
  <c r="N27" i="11"/>
  <c r="N13" i="4" s="1"/>
  <c r="J18" i="11"/>
  <c r="J155" i="32" s="1"/>
  <c r="S18" i="11"/>
  <c r="S155" i="32" s="1"/>
  <c r="R155" i="32"/>
  <c r="I12" i="4"/>
  <c r="P18" i="11"/>
  <c r="P155" i="32" s="1"/>
  <c r="O155" i="32"/>
  <c r="M18" i="11"/>
  <c r="M155" i="32" s="1"/>
  <c r="L155" i="32"/>
  <c r="N358" i="31"/>
  <c r="S357" i="31"/>
  <c r="AI40" i="11"/>
  <c r="AA262" i="32" s="1"/>
  <c r="S358" i="31"/>
  <c r="R40" i="11"/>
  <c r="H27" i="11"/>
  <c r="H13" i="4" s="1"/>
  <c r="Q46" i="11"/>
  <c r="Q37" i="4" s="1"/>
  <c r="T25" i="11"/>
  <c r="T11" i="4" s="1"/>
  <c r="M41" i="11"/>
  <c r="L46" i="11"/>
  <c r="L37" i="4" s="1"/>
  <c r="R41" i="11"/>
  <c r="R277" i="32" s="1"/>
  <c r="T46" i="11"/>
  <c r="T37" i="4" s="1"/>
  <c r="T26" i="11"/>
  <c r="T12" i="4" s="1"/>
  <c r="Q25" i="11"/>
  <c r="P20" i="11"/>
  <c r="P185" i="32" s="1"/>
  <c r="O43" i="11"/>
  <c r="O45" i="11"/>
  <c r="O44" i="11"/>
  <c r="O41" i="11"/>
  <c r="O277" i="32" s="1"/>
  <c r="P17" i="11"/>
  <c r="P140" i="32" s="1"/>
  <c r="S127" i="31"/>
  <c r="AI15" i="11" s="1"/>
  <c r="AI42" i="11"/>
  <c r="AA292" i="32" s="1"/>
  <c r="AI45" i="11"/>
  <c r="AA337" i="32" s="1"/>
  <c r="AI41" i="11"/>
  <c r="AA277" i="32" s="1"/>
  <c r="AI43" i="11"/>
  <c r="AA307" i="32" s="1"/>
  <c r="F13" i="11"/>
  <c r="G12" i="11"/>
  <c r="AI44" i="11"/>
  <c r="AA322" i="32" s="1"/>
  <c r="AI14" i="11"/>
  <c r="AA94" i="32" s="1"/>
  <c r="M5" i="11"/>
  <c r="M11" i="32" s="1"/>
  <c r="S22" i="11"/>
  <c r="S216" i="32" s="1"/>
  <c r="M6" i="11"/>
  <c r="M12" i="32" s="1"/>
  <c r="N257" i="31"/>
  <c r="T7" i="11"/>
  <c r="Q7" i="11"/>
  <c r="S42" i="11"/>
  <c r="S292" i="32" s="1"/>
  <c r="P5" i="11"/>
  <c r="P11" i="32" s="1"/>
  <c r="J267" i="31"/>
  <c r="J268" i="31" s="1"/>
  <c r="S25" i="31"/>
  <c r="AI6" i="11" s="1"/>
  <c r="AA12" i="32" s="1"/>
  <c r="S257" i="31"/>
  <c r="S210" i="31"/>
  <c r="S221" i="31"/>
  <c r="AI23" i="11" s="1"/>
  <c r="S199" i="31"/>
  <c r="S185" i="31"/>
  <c r="S174" i="31"/>
  <c r="AI19" i="11" s="1"/>
  <c r="S232" i="31"/>
  <c r="AI24" i="11" s="1"/>
  <c r="S35" i="31"/>
  <c r="N36" i="31"/>
  <c r="S152" i="31"/>
  <c r="S14" i="31"/>
  <c r="AI5" i="11" s="1"/>
  <c r="AA11" i="32" s="1"/>
  <c r="S21" i="11" l="1"/>
  <c r="S201" i="32" s="1"/>
  <c r="P22" i="11"/>
  <c r="P216" i="32" s="1"/>
  <c r="P21" i="11"/>
  <c r="P201" i="32" s="1"/>
  <c r="AA13" i="32"/>
  <c r="P14" i="11"/>
  <c r="P94" i="32" s="1"/>
  <c r="S23" i="11"/>
  <c r="S232" i="32" s="1"/>
  <c r="S24" i="11"/>
  <c r="S247" i="32" s="1"/>
  <c r="S45" i="11"/>
  <c r="S337" i="32" s="1"/>
  <c r="AH16" i="11"/>
  <c r="Z125" i="32" s="1"/>
  <c r="AG23" i="11"/>
  <c r="Y232" i="32" s="1"/>
  <c r="AA232" i="32"/>
  <c r="G26" i="11"/>
  <c r="G12" i="4" s="1"/>
  <c r="G70" i="32"/>
  <c r="G71" i="32" s="1"/>
  <c r="S17" i="11"/>
  <c r="S140" i="32" s="1"/>
  <c r="P42" i="11"/>
  <c r="P292" i="32" s="1"/>
  <c r="Q27" i="11"/>
  <c r="Q13" i="4" s="1"/>
  <c r="Q11" i="4"/>
  <c r="AG24" i="11"/>
  <c r="Y247" i="32" s="1"/>
  <c r="AA247" i="32"/>
  <c r="M13" i="32"/>
  <c r="P45" i="11"/>
  <c r="P337" i="32" s="1"/>
  <c r="O337" i="32"/>
  <c r="R12" i="4"/>
  <c r="S40" i="11"/>
  <c r="S262" i="32" s="1"/>
  <c r="S266" i="32" s="1"/>
  <c r="R262" i="32"/>
  <c r="AG19" i="11"/>
  <c r="Y170" i="32" s="1"/>
  <c r="AA170" i="32"/>
  <c r="S19" i="11"/>
  <c r="S170" i="32" s="1"/>
  <c r="P43" i="11"/>
  <c r="P307" i="32" s="1"/>
  <c r="O307" i="32"/>
  <c r="T13" i="32"/>
  <c r="AG15" i="11"/>
  <c r="Y110" i="32" s="1"/>
  <c r="AA110" i="32"/>
  <c r="M46" i="11"/>
  <c r="M37" i="4" s="1"/>
  <c r="M277" i="32"/>
  <c r="S43" i="11"/>
  <c r="S307" i="32" s="1"/>
  <c r="P44" i="11"/>
  <c r="P322" i="32" s="1"/>
  <c r="O322" i="32"/>
  <c r="S20" i="11"/>
  <c r="S185" i="32" s="1"/>
  <c r="S44" i="11"/>
  <c r="S322" i="32" s="1"/>
  <c r="R13" i="32"/>
  <c r="J26" i="11"/>
  <c r="J12" i="4" s="1"/>
  <c r="M26" i="11"/>
  <c r="M12" i="4" s="1"/>
  <c r="R46" i="11"/>
  <c r="R37" i="4" s="1"/>
  <c r="AG40" i="11"/>
  <c r="S41" i="11"/>
  <c r="AI46" i="11"/>
  <c r="AA37" i="4" s="1"/>
  <c r="S6" i="11"/>
  <c r="T27" i="11"/>
  <c r="T13" i="4" s="1"/>
  <c r="AG5" i="11"/>
  <c r="AG6" i="11"/>
  <c r="AI26" i="11"/>
  <c r="AA12" i="4" s="1"/>
  <c r="P41" i="11"/>
  <c r="O46" i="11"/>
  <c r="O37" i="4" s="1"/>
  <c r="AG41" i="11"/>
  <c r="Y277" i="32" s="1"/>
  <c r="AG44" i="11"/>
  <c r="AH15" i="11"/>
  <c r="Z110" i="32" s="1"/>
  <c r="AG45" i="11"/>
  <c r="AG43" i="11"/>
  <c r="AG14" i="11"/>
  <c r="AG42" i="11"/>
  <c r="AI22" i="11"/>
  <c r="AA216" i="32" s="1"/>
  <c r="G13" i="11"/>
  <c r="AI17" i="11"/>
  <c r="AA140" i="32" s="1"/>
  <c r="AI20" i="11"/>
  <c r="AA185" i="32" s="1"/>
  <c r="AI21" i="11"/>
  <c r="AA201" i="32" s="1"/>
  <c r="AH24" i="11"/>
  <c r="Z247" i="32" s="1"/>
  <c r="M7" i="11"/>
  <c r="AI7" i="11"/>
  <c r="AH23" i="11"/>
  <c r="Z232" i="32" s="1"/>
  <c r="S5" i="11"/>
  <c r="S11" i="32" s="1"/>
  <c r="P6" i="11"/>
  <c r="L267" i="31"/>
  <c r="L268" i="31" s="1"/>
  <c r="S36" i="31"/>
  <c r="AH19" i="11" l="1"/>
  <c r="Z170" i="32" s="1"/>
  <c r="P46" i="11"/>
  <c r="P37" i="4" s="1"/>
  <c r="P277" i="32"/>
  <c r="AH43" i="11"/>
  <c r="Z307" i="32" s="1"/>
  <c r="Y307" i="32"/>
  <c r="AG26" i="11"/>
  <c r="Y12" i="4" s="1"/>
  <c r="Y12" i="32"/>
  <c r="AH40" i="11"/>
  <c r="Z262" i="32" s="1"/>
  <c r="Y262" i="32"/>
  <c r="AH5" i="11"/>
  <c r="Z11" i="32" s="1"/>
  <c r="Y11" i="32"/>
  <c r="AH14" i="11"/>
  <c r="Z94" i="32" s="1"/>
  <c r="Y94" i="32"/>
  <c r="P26" i="11"/>
  <c r="P12" i="4" s="1"/>
  <c r="P12" i="32"/>
  <c r="P13" i="32" s="1"/>
  <c r="AH42" i="11"/>
  <c r="Z292" i="32" s="1"/>
  <c r="Y292" i="32"/>
  <c r="AH45" i="11"/>
  <c r="Z337" i="32" s="1"/>
  <c r="Y337" i="32"/>
  <c r="AH44" i="11"/>
  <c r="Z322" i="32" s="1"/>
  <c r="Y322" i="32"/>
  <c r="S26" i="11"/>
  <c r="S12" i="4" s="1"/>
  <c r="S12" i="32"/>
  <c r="S13" i="32" s="1"/>
  <c r="S46" i="11"/>
  <c r="S37" i="4" s="1"/>
  <c r="S277" i="32"/>
  <c r="AH41" i="11"/>
  <c r="AG46" i="11"/>
  <c r="Y37" i="4" s="1"/>
  <c r="AG20" i="11"/>
  <c r="AG17" i="11"/>
  <c r="AG22" i="11"/>
  <c r="AG21" i="11"/>
  <c r="S7" i="11"/>
  <c r="P7" i="11"/>
  <c r="N267" i="31"/>
  <c r="H8" i="26"/>
  <c r="AH17" i="11" l="1"/>
  <c r="Z140" i="32" s="1"/>
  <c r="Y140" i="32"/>
  <c r="AH46" i="11"/>
  <c r="Z37" i="4" s="1"/>
  <c r="Z277" i="32"/>
  <c r="AH20" i="11"/>
  <c r="Z185" i="32" s="1"/>
  <c r="Y185" i="32"/>
  <c r="Y13" i="32"/>
  <c r="AH21" i="11"/>
  <c r="Z201" i="32" s="1"/>
  <c r="Y201" i="32"/>
  <c r="AH22" i="11"/>
  <c r="Z216" i="32" s="1"/>
  <c r="Y216" i="32"/>
  <c r="AH6" i="11"/>
  <c r="AG7" i="11"/>
  <c r="H14" i="26"/>
  <c r="H22" i="26"/>
  <c r="N268" i="31"/>
  <c r="H5" i="26"/>
  <c r="H40" i="26"/>
  <c r="H41" i="26"/>
  <c r="AH26" i="11" l="1"/>
  <c r="Z12" i="4" s="1"/>
  <c r="Z12" i="32"/>
  <c r="Z13" i="32" s="1"/>
  <c r="AH7" i="11"/>
  <c r="H38" i="26"/>
  <c r="J38" i="26" s="1"/>
  <c r="H42" i="26"/>
  <c r="H11" i="26"/>
  <c r="H25" i="26" s="1"/>
  <c r="I61" i="20"/>
  <c r="AH32" i="18" l="1"/>
  <c r="AD32" i="18"/>
  <c r="Z32" i="18"/>
  <c r="V32" i="18"/>
  <c r="R32" i="18"/>
  <c r="AD13" i="14"/>
  <c r="AC13" i="14"/>
  <c r="AB13" i="14"/>
  <c r="AA13" i="14"/>
  <c r="Z13" i="14"/>
  <c r="AD10" i="14"/>
  <c r="AC10" i="14"/>
  <c r="AB10" i="14"/>
  <c r="AA10" i="14"/>
  <c r="Z10" i="14"/>
  <c r="Y13" i="14"/>
  <c r="T24" i="14"/>
  <c r="T250" i="32" s="1"/>
  <c r="T43" i="14"/>
  <c r="T340" i="32" s="1"/>
  <c r="T22" i="14"/>
  <c r="T219" i="32" s="1"/>
  <c r="T20" i="14"/>
  <c r="T188" i="32" s="1"/>
  <c r="T42" i="14"/>
  <c r="T325" i="32" s="1"/>
  <c r="T41" i="14"/>
  <c r="T310" i="32" s="1"/>
  <c r="T40" i="14"/>
  <c r="T295" i="32" s="1"/>
  <c r="T39" i="14"/>
  <c r="T280" i="32" s="1"/>
  <c r="T19" i="14"/>
  <c r="T173" i="32" s="1"/>
  <c r="T18" i="14"/>
  <c r="T158" i="32" s="1"/>
  <c r="T17" i="14"/>
  <c r="T143" i="32" s="1"/>
  <c r="T38" i="14"/>
  <c r="T15" i="14"/>
  <c r="T113" i="32" s="1"/>
  <c r="T14" i="14"/>
  <c r="T97" i="32" s="1"/>
  <c r="T12" i="14"/>
  <c r="T79" i="32" s="1"/>
  <c r="T11" i="14"/>
  <c r="T78" i="32" s="1"/>
  <c r="T80" i="32" s="1"/>
  <c r="T9" i="14"/>
  <c r="T50" i="32" s="1"/>
  <c r="T8" i="14"/>
  <c r="T49" i="32" s="1"/>
  <c r="T51" i="32" s="1"/>
  <c r="Q24" i="14"/>
  <c r="Q250" i="32" s="1"/>
  <c r="Q43" i="14"/>
  <c r="Q340" i="32" s="1"/>
  <c r="Q22" i="14"/>
  <c r="Q219" i="32" s="1"/>
  <c r="Q20" i="14"/>
  <c r="Q188" i="32" s="1"/>
  <c r="Q42" i="14"/>
  <c r="Q325" i="32" s="1"/>
  <c r="Q41" i="14"/>
  <c r="Q310" i="32" s="1"/>
  <c r="Q40" i="14"/>
  <c r="Q295" i="32" s="1"/>
  <c r="Q39" i="14"/>
  <c r="Q280" i="32" s="1"/>
  <c r="Q19" i="14"/>
  <c r="Q173" i="32" s="1"/>
  <c r="Q18" i="14"/>
  <c r="Q158" i="32" s="1"/>
  <c r="Q17" i="14"/>
  <c r="Q143" i="32" s="1"/>
  <c r="Q38" i="14"/>
  <c r="Q15" i="14"/>
  <c r="Q113" i="32" s="1"/>
  <c r="Q14" i="14"/>
  <c r="Q97" i="32" s="1"/>
  <c r="Q12" i="14"/>
  <c r="Q79" i="32" s="1"/>
  <c r="Q11" i="14"/>
  <c r="Q78" i="32" s="1"/>
  <c r="Q80" i="32" s="1"/>
  <c r="Q9" i="14"/>
  <c r="Q50" i="32" s="1"/>
  <c r="Q8" i="14"/>
  <c r="Q49" i="32" s="1"/>
  <c r="Q51" i="32" s="1"/>
  <c r="N24" i="14"/>
  <c r="N250" i="32" s="1"/>
  <c r="N43" i="14"/>
  <c r="N340" i="32" s="1"/>
  <c r="N22" i="14"/>
  <c r="N219" i="32" s="1"/>
  <c r="N20" i="14"/>
  <c r="N188" i="32" s="1"/>
  <c r="N42" i="14"/>
  <c r="N325" i="32" s="1"/>
  <c r="N41" i="14"/>
  <c r="N310" i="32" s="1"/>
  <c r="N40" i="14"/>
  <c r="N295" i="32" s="1"/>
  <c r="N39" i="14"/>
  <c r="N280" i="32" s="1"/>
  <c r="N19" i="14"/>
  <c r="N173" i="32" s="1"/>
  <c r="N18" i="14"/>
  <c r="N158" i="32" s="1"/>
  <c r="N17" i="14"/>
  <c r="N143" i="32" s="1"/>
  <c r="N38" i="14"/>
  <c r="N15" i="14"/>
  <c r="N113" i="32" s="1"/>
  <c r="N14" i="14"/>
  <c r="N97" i="32" s="1"/>
  <c r="N12" i="14"/>
  <c r="N79" i="32" s="1"/>
  <c r="N11" i="14"/>
  <c r="N78" i="32" s="1"/>
  <c r="N80" i="32" s="1"/>
  <c r="N9" i="14"/>
  <c r="N50" i="32" s="1"/>
  <c r="N8" i="14"/>
  <c r="N49" i="32" s="1"/>
  <c r="K24" i="14"/>
  <c r="K250" i="32" s="1"/>
  <c r="K43" i="14"/>
  <c r="K340" i="32" s="1"/>
  <c r="K22" i="14"/>
  <c r="K219" i="32" s="1"/>
  <c r="K20" i="14"/>
  <c r="K188" i="32" s="1"/>
  <c r="K42" i="14"/>
  <c r="K325" i="32" s="1"/>
  <c r="K41" i="14"/>
  <c r="K310" i="32" s="1"/>
  <c r="K40" i="14"/>
  <c r="K295" i="32" s="1"/>
  <c r="K39" i="14"/>
  <c r="K280" i="32" s="1"/>
  <c r="K19" i="14"/>
  <c r="K173" i="32" s="1"/>
  <c r="K18" i="14"/>
  <c r="K158" i="32" s="1"/>
  <c r="K17" i="14"/>
  <c r="K143" i="32" s="1"/>
  <c r="K38" i="14"/>
  <c r="K15" i="14"/>
  <c r="K113" i="32" s="1"/>
  <c r="K14" i="14"/>
  <c r="K97" i="32" s="1"/>
  <c r="K12" i="14"/>
  <c r="K79" i="32" s="1"/>
  <c r="K11" i="14"/>
  <c r="K78" i="32" s="1"/>
  <c r="K9" i="14"/>
  <c r="K50" i="32" s="1"/>
  <c r="K8" i="14"/>
  <c r="H24" i="14"/>
  <c r="H250" i="32" s="1"/>
  <c r="H43" i="14"/>
  <c r="H340" i="32" s="1"/>
  <c r="H22" i="14"/>
  <c r="H219" i="32" s="1"/>
  <c r="H20" i="14"/>
  <c r="H188" i="32" s="1"/>
  <c r="H42" i="14"/>
  <c r="H325" i="32" s="1"/>
  <c r="H41" i="14"/>
  <c r="H310" i="32" s="1"/>
  <c r="H40" i="14"/>
  <c r="H295" i="32" s="1"/>
  <c r="H39" i="14"/>
  <c r="H280" i="32" s="1"/>
  <c r="H19" i="14"/>
  <c r="H173" i="32" s="1"/>
  <c r="H18" i="14"/>
  <c r="H158" i="32" s="1"/>
  <c r="H17" i="14"/>
  <c r="H143" i="32" s="1"/>
  <c r="H38" i="14"/>
  <c r="H15" i="14"/>
  <c r="H113" i="32" s="1"/>
  <c r="H14" i="14"/>
  <c r="H97" i="32" s="1"/>
  <c r="H12" i="14"/>
  <c r="H79" i="32" s="1"/>
  <c r="H11" i="14"/>
  <c r="H78" i="32" s="1"/>
  <c r="H80" i="32" s="1"/>
  <c r="H9" i="14"/>
  <c r="H50" i="32" s="1"/>
  <c r="H8" i="14"/>
  <c r="H49" i="32" s="1"/>
  <c r="H51" i="32" s="1"/>
  <c r="E24" i="14"/>
  <c r="E43" i="14"/>
  <c r="E22" i="14"/>
  <c r="E20" i="14"/>
  <c r="E42" i="14"/>
  <c r="E41" i="14"/>
  <c r="E40" i="14"/>
  <c r="E39" i="14"/>
  <c r="E19" i="14"/>
  <c r="E18" i="14"/>
  <c r="E17" i="14"/>
  <c r="E38" i="14"/>
  <c r="E15" i="14"/>
  <c r="E14" i="14"/>
  <c r="E12" i="14"/>
  <c r="E11" i="14"/>
  <c r="E9" i="14"/>
  <c r="E8" i="14"/>
  <c r="S13" i="14"/>
  <c r="R13" i="14"/>
  <c r="S10" i="14"/>
  <c r="R10" i="14"/>
  <c r="P13" i="14"/>
  <c r="O13" i="14"/>
  <c r="P10" i="14"/>
  <c r="O10" i="14"/>
  <c r="M13" i="14"/>
  <c r="L13" i="14"/>
  <c r="M10" i="14"/>
  <c r="L10" i="14"/>
  <c r="J13" i="14"/>
  <c r="I13" i="14"/>
  <c r="J10" i="14"/>
  <c r="I10" i="14"/>
  <c r="G13" i="14"/>
  <c r="F13" i="14"/>
  <c r="G10" i="14"/>
  <c r="F10" i="14"/>
  <c r="D13" i="14"/>
  <c r="D10" i="14"/>
  <c r="Y5" i="14"/>
  <c r="C21" i="32"/>
  <c r="C5" i="14"/>
  <c r="C20" i="32" s="1"/>
  <c r="AG42" i="14" l="1"/>
  <c r="E325" i="32"/>
  <c r="AC325" i="32" s="1"/>
  <c r="N265" i="32"/>
  <c r="N44" i="14"/>
  <c r="N40" i="4" s="1"/>
  <c r="AG38" i="14"/>
  <c r="E265" i="32"/>
  <c r="E44" i="14"/>
  <c r="K80" i="32"/>
  <c r="N51" i="32"/>
  <c r="Q265" i="32"/>
  <c r="Q44" i="14"/>
  <c r="Q40" i="4" s="1"/>
  <c r="K10" i="14"/>
  <c r="K49" i="32"/>
  <c r="K51" i="32" s="1"/>
  <c r="E49" i="32"/>
  <c r="AC49" i="32" s="1"/>
  <c r="AG8" i="14"/>
  <c r="AG43" i="14"/>
  <c r="E340" i="32"/>
  <c r="H265" i="32"/>
  <c r="H44" i="14"/>
  <c r="H40" i="4" s="1"/>
  <c r="T265" i="32"/>
  <c r="T44" i="14"/>
  <c r="T40" i="4" s="1"/>
  <c r="E50" i="32"/>
  <c r="AG9" i="14"/>
  <c r="AG41" i="14"/>
  <c r="E310" i="32"/>
  <c r="AC310" i="32" s="1"/>
  <c r="AG39" i="14"/>
  <c r="E280" i="32"/>
  <c r="K265" i="32"/>
  <c r="K44" i="14"/>
  <c r="K40" i="4" s="1"/>
  <c r="E78" i="32"/>
  <c r="AC78" i="32" s="1"/>
  <c r="AG11" i="14"/>
  <c r="E79" i="32"/>
  <c r="AG12" i="14"/>
  <c r="AG40" i="14"/>
  <c r="E295" i="32"/>
  <c r="E97" i="32"/>
  <c r="AC97" i="32" s="1"/>
  <c r="AG14" i="14"/>
  <c r="E113" i="32"/>
  <c r="AG15" i="14"/>
  <c r="E188" i="32"/>
  <c r="AC188" i="32" s="1"/>
  <c r="AG20" i="14"/>
  <c r="E143" i="32"/>
  <c r="AC143" i="32" s="1"/>
  <c r="AG17" i="14"/>
  <c r="E219" i="32"/>
  <c r="AG22" i="14"/>
  <c r="E158" i="32"/>
  <c r="AG18" i="14"/>
  <c r="E173" i="32"/>
  <c r="AG19" i="14"/>
  <c r="E250" i="32"/>
  <c r="AG24" i="14"/>
  <c r="C22" i="32"/>
  <c r="N13" i="14"/>
  <c r="H13" i="14"/>
  <c r="T13" i="14"/>
  <c r="H10" i="14"/>
  <c r="N10" i="14"/>
  <c r="T10" i="14"/>
  <c r="K13" i="14"/>
  <c r="Q10" i="14"/>
  <c r="Q13" i="14"/>
  <c r="S12" i="29"/>
  <c r="T12" i="29"/>
  <c r="U12" i="29"/>
  <c r="V12" i="29"/>
  <c r="R12" i="29"/>
  <c r="Z12" i="29"/>
  <c r="AA12" i="29"/>
  <c r="AB12" i="29"/>
  <c r="AC12" i="29"/>
  <c r="Y12" i="29"/>
  <c r="S17" i="29"/>
  <c r="T17" i="29"/>
  <c r="U17" i="29"/>
  <c r="V17" i="29"/>
  <c r="R17" i="29"/>
  <c r="AE12" i="15"/>
  <c r="T12" i="15" s="1"/>
  <c r="AD12" i="15"/>
  <c r="Q12" i="15" s="1"/>
  <c r="AC12" i="15"/>
  <c r="N12" i="15" s="1"/>
  <c r="AB12" i="15"/>
  <c r="K12" i="15" s="1"/>
  <c r="AA12" i="15"/>
  <c r="H12" i="15" s="1"/>
  <c r="AE10" i="15"/>
  <c r="T10" i="15" s="1"/>
  <c r="AD10" i="15"/>
  <c r="Q10" i="15" s="1"/>
  <c r="AC10" i="15"/>
  <c r="N10" i="15" s="1"/>
  <c r="AB10" i="15"/>
  <c r="K10" i="15" s="1"/>
  <c r="AA10" i="15"/>
  <c r="H10" i="15" s="1"/>
  <c r="D6" i="14"/>
  <c r="D21" i="32" s="1"/>
  <c r="D5" i="14"/>
  <c r="D20" i="32" s="1"/>
  <c r="Z15" i="29"/>
  <c r="AA15" i="29"/>
  <c r="AB15" i="29"/>
  <c r="AC15" i="29"/>
  <c r="Y15" i="29"/>
  <c r="S15" i="29"/>
  <c r="T15" i="29"/>
  <c r="U15" i="29"/>
  <c r="V15" i="29"/>
  <c r="R15" i="29"/>
  <c r="E174" i="32" l="1"/>
  <c r="AC173" i="32"/>
  <c r="E159" i="32"/>
  <c r="AC158" i="32"/>
  <c r="E266" i="32"/>
  <c r="AC265" i="32"/>
  <c r="E281" i="32"/>
  <c r="AC280" i="32"/>
  <c r="E82" i="32"/>
  <c r="AC79" i="32"/>
  <c r="E53" i="32"/>
  <c r="AC50" i="32"/>
  <c r="E296" i="32"/>
  <c r="AC295" i="32"/>
  <c r="E114" i="32"/>
  <c r="AC113" i="32"/>
  <c r="E251" i="32"/>
  <c r="AC250" i="32"/>
  <c r="E341" i="32"/>
  <c r="AC340" i="32"/>
  <c r="E220" i="32"/>
  <c r="AC219" i="32"/>
  <c r="E40" i="4"/>
  <c r="AC40" i="4" s="1"/>
  <c r="AG44" i="14"/>
  <c r="E80" i="32"/>
  <c r="AC80" i="32" s="1"/>
  <c r="E81" i="32"/>
  <c r="E83" i="32" s="1"/>
  <c r="E51" i="32"/>
  <c r="AC51" i="32" s="1"/>
  <c r="E52" i="32"/>
  <c r="E54" i="32" s="1"/>
  <c r="D22" i="32"/>
  <c r="D24" i="32"/>
  <c r="E6" i="14"/>
  <c r="E21" i="32" s="1"/>
  <c r="E5" i="14"/>
  <c r="E20" i="32" s="1"/>
  <c r="D7" i="14"/>
  <c r="AP13" i="29"/>
  <c r="AO14" i="29"/>
  <c r="AL13" i="29"/>
  <c r="S14" i="15" s="1"/>
  <c r="AL14" i="29"/>
  <c r="S15" i="15" s="1"/>
  <c r="AK11" i="29"/>
  <c r="AH11" i="29"/>
  <c r="AJ11" i="29"/>
  <c r="AL11" i="29"/>
  <c r="AI11" i="29"/>
  <c r="AI17" i="29"/>
  <c r="AI14" i="29"/>
  <c r="AI13" i="29"/>
  <c r="J14" i="15" s="1"/>
  <c r="AJ13" i="29"/>
  <c r="AK14" i="29"/>
  <c r="M17" i="15"/>
  <c r="AQ14" i="29"/>
  <c r="AD15" i="15" s="1"/>
  <c r="Q15" i="15" s="1"/>
  <c r="AQ13" i="29"/>
  <c r="AR13" i="29"/>
  <c r="AH14" i="29"/>
  <c r="G15" i="15" s="1"/>
  <c r="AH13" i="29"/>
  <c r="AK13" i="29"/>
  <c r="AJ14" i="29"/>
  <c r="AP14" i="29"/>
  <c r="AR14" i="29"/>
  <c r="AN13" i="29"/>
  <c r="AO13" i="29"/>
  <c r="AN14" i="29"/>
  <c r="E23" i="32" l="1"/>
  <c r="E22" i="32"/>
  <c r="E24" i="32"/>
  <c r="E5" i="6"/>
  <c r="AP17" i="29"/>
  <c r="AC17" i="15"/>
  <c r="N17" i="15" s="1"/>
  <c r="O17" i="15" s="1"/>
  <c r="AJ15" i="29"/>
  <c r="P17" i="15"/>
  <c r="AJ17" i="29"/>
  <c r="J17" i="15"/>
  <c r="AK17" i="29"/>
  <c r="AE15" i="15"/>
  <c r="T15" i="15" s="1"/>
  <c r="U15" i="15" s="1"/>
  <c r="AC14" i="15"/>
  <c r="N14" i="15" s="1"/>
  <c r="P15" i="15"/>
  <c r="R15" i="15" s="1"/>
  <c r="J15" i="15"/>
  <c r="AB15" i="15"/>
  <c r="K15" i="15" s="1"/>
  <c r="AA15" i="15"/>
  <c r="H15" i="15" s="1"/>
  <c r="I15" i="15" s="1"/>
  <c r="AC15" i="15"/>
  <c r="N15" i="15" s="1"/>
  <c r="M15" i="15"/>
  <c r="M14" i="15"/>
  <c r="AI15" i="29"/>
  <c r="M12" i="15"/>
  <c r="O12" i="15" s="1"/>
  <c r="P12" i="15"/>
  <c r="R12" i="15" s="1"/>
  <c r="J12" i="15"/>
  <c r="L12" i="15" s="1"/>
  <c r="S12" i="15"/>
  <c r="U12" i="15" s="1"/>
  <c r="G12" i="15"/>
  <c r="I12" i="15" s="1"/>
  <c r="AI9" i="29"/>
  <c r="J10" i="15" s="1"/>
  <c r="L10" i="15" s="1"/>
  <c r="AK9" i="29"/>
  <c r="AH9" i="29"/>
  <c r="AJ9" i="29"/>
  <c r="AL9" i="29"/>
  <c r="AP10" i="29"/>
  <c r="AR10" i="29"/>
  <c r="AQ10" i="29"/>
  <c r="AD11" i="15" s="1"/>
  <c r="Q11" i="15" s="1"/>
  <c r="AI8" i="29"/>
  <c r="J9" i="15" s="1"/>
  <c r="AK8" i="29"/>
  <c r="P9" i="15" s="1"/>
  <c r="AJ8" i="29"/>
  <c r="AL8" i="29"/>
  <c r="S9" i="15" s="1"/>
  <c r="AH8" i="29"/>
  <c r="G9" i="15" s="1"/>
  <c r="AI10" i="29"/>
  <c r="AK10" i="29"/>
  <c r="P11" i="15" s="1"/>
  <c r="AJ10" i="29"/>
  <c r="M11" i="15" s="1"/>
  <c r="AL10" i="29"/>
  <c r="S11" i="15" s="1"/>
  <c r="AH10" i="29"/>
  <c r="AO8" i="29"/>
  <c r="AQ8" i="29"/>
  <c r="AP8" i="29"/>
  <c r="AR8" i="29"/>
  <c r="AP15" i="29"/>
  <c r="S17" i="15"/>
  <c r="AL17" i="29"/>
  <c r="P14" i="15"/>
  <c r="AK15" i="29"/>
  <c r="AO17" i="29"/>
  <c r="AB17" i="15"/>
  <c r="K17" i="15" s="1"/>
  <c r="AN17" i="29"/>
  <c r="AA17" i="15"/>
  <c r="H17" i="15" s="1"/>
  <c r="AD14" i="15"/>
  <c r="Q14" i="15" s="1"/>
  <c r="AQ15" i="29"/>
  <c r="AL15" i="29"/>
  <c r="AE17" i="15"/>
  <c r="T17" i="15" s="1"/>
  <c r="AR17" i="29"/>
  <c r="AH17" i="29"/>
  <c r="G17" i="15"/>
  <c r="AR15" i="29"/>
  <c r="AE14" i="15"/>
  <c r="T14" i="15" s="1"/>
  <c r="U14" i="15" s="1"/>
  <c r="G14" i="15"/>
  <c r="AH15" i="29"/>
  <c r="AQ17" i="29"/>
  <c r="AD17" i="15"/>
  <c r="Q17" i="15" s="1"/>
  <c r="AB14" i="15"/>
  <c r="K14" i="15" s="1"/>
  <c r="L14" i="15" s="1"/>
  <c r="AO15" i="29"/>
  <c r="AN15" i="29"/>
  <c r="AA14" i="15"/>
  <c r="H14" i="15" s="1"/>
  <c r="AN10" i="29"/>
  <c r="AO10" i="29"/>
  <c r="AN8" i="29"/>
  <c r="E25" i="32" l="1"/>
  <c r="O15" i="15"/>
  <c r="AC9" i="15"/>
  <c r="N9" i="15" s="1"/>
  <c r="R17" i="15"/>
  <c r="O14" i="15"/>
  <c r="L17" i="15"/>
  <c r="AE9" i="15"/>
  <c r="T9" i="15" s="1"/>
  <c r="U9" i="15" s="1"/>
  <c r="AD9" i="15"/>
  <c r="Q9" i="15" s="1"/>
  <c r="R9" i="15" s="1"/>
  <c r="L15" i="15"/>
  <c r="AE11" i="15"/>
  <c r="T11" i="15" s="1"/>
  <c r="U11" i="15" s="1"/>
  <c r="S10" i="15"/>
  <c r="U10" i="15" s="1"/>
  <c r="G10" i="15"/>
  <c r="I10" i="15" s="1"/>
  <c r="I17" i="15"/>
  <c r="P10" i="15"/>
  <c r="R10" i="15" s="1"/>
  <c r="G11" i="15"/>
  <c r="AR12" i="29"/>
  <c r="AQ12" i="29"/>
  <c r="J11" i="15"/>
  <c r="AC11" i="15"/>
  <c r="N11" i="15" s="1"/>
  <c r="O11" i="15" s="1"/>
  <c r="M10" i="15"/>
  <c r="O10" i="15" s="1"/>
  <c r="AB11" i="15"/>
  <c r="K11" i="15" s="1"/>
  <c r="AA11" i="15"/>
  <c r="H11" i="15" s="1"/>
  <c r="AP12" i="29"/>
  <c r="AH12" i="29"/>
  <c r="AL12" i="29"/>
  <c r="AK12" i="29"/>
  <c r="AA9" i="15"/>
  <c r="H9" i="15" s="1"/>
  <c r="I9" i="15" s="1"/>
  <c r="AN12" i="29"/>
  <c r="AB9" i="15"/>
  <c r="K9" i="15" s="1"/>
  <c r="L9" i="15" s="1"/>
  <c r="AO12" i="29"/>
  <c r="M9" i="15"/>
  <c r="AJ12" i="29"/>
  <c r="AI12" i="29"/>
  <c r="R11" i="15"/>
  <c r="I14" i="15"/>
  <c r="R14" i="15"/>
  <c r="U17" i="15"/>
  <c r="O9" i="15" l="1"/>
  <c r="L11" i="15"/>
  <c r="I11" i="15"/>
  <c r="AA13" i="15"/>
  <c r="AB13" i="15"/>
  <c r="AC13" i="15"/>
  <c r="AA16" i="15"/>
  <c r="AB16" i="15"/>
  <c r="AC16" i="15"/>
  <c r="AA18" i="15"/>
  <c r="AB18" i="15"/>
  <c r="AC18" i="15"/>
  <c r="AA23" i="14" l="1"/>
  <c r="AB21" i="14"/>
  <c r="Z21" i="14"/>
  <c r="AA16" i="14"/>
  <c r="AB23" i="14"/>
  <c r="Z23" i="14"/>
  <c r="AA21" i="14"/>
  <c r="AB16" i="14"/>
  <c r="Z16" i="14"/>
  <c r="U18" i="15"/>
  <c r="T18" i="15"/>
  <c r="S18" i="15"/>
  <c r="R18" i="15"/>
  <c r="Q18" i="15"/>
  <c r="P18" i="15"/>
  <c r="O18" i="15"/>
  <c r="N18" i="15"/>
  <c r="M18" i="15"/>
  <c r="L18" i="15"/>
  <c r="K18" i="15"/>
  <c r="J18" i="15"/>
  <c r="I18" i="15"/>
  <c r="H18" i="15"/>
  <c r="G18" i="15"/>
  <c r="U16" i="15"/>
  <c r="T16" i="15"/>
  <c r="S16" i="15"/>
  <c r="R16" i="15"/>
  <c r="Q16" i="15"/>
  <c r="P16" i="15"/>
  <c r="O16" i="15"/>
  <c r="N16" i="15"/>
  <c r="M16" i="15"/>
  <c r="L16" i="15"/>
  <c r="K16" i="15"/>
  <c r="J16" i="15"/>
  <c r="I16" i="15"/>
  <c r="H16" i="15"/>
  <c r="G16" i="15"/>
  <c r="U13" i="15"/>
  <c r="T13" i="15"/>
  <c r="S13" i="15"/>
  <c r="R13" i="15"/>
  <c r="Q13" i="15"/>
  <c r="P13" i="15"/>
  <c r="O13" i="15"/>
  <c r="N13" i="15"/>
  <c r="M13" i="15"/>
  <c r="L13" i="15"/>
  <c r="K13" i="15"/>
  <c r="J13" i="15"/>
  <c r="I13" i="15"/>
  <c r="H13" i="15"/>
  <c r="G13" i="15"/>
  <c r="D17" i="29"/>
  <c r="E17" i="29"/>
  <c r="F17" i="29"/>
  <c r="G17" i="29"/>
  <c r="I17" i="29"/>
  <c r="J17" i="29"/>
  <c r="K17" i="29"/>
  <c r="L17" i="29"/>
  <c r="D15" i="29"/>
  <c r="E15" i="29"/>
  <c r="F15" i="29"/>
  <c r="G15" i="29"/>
  <c r="I15" i="29"/>
  <c r="J15" i="29"/>
  <c r="K15" i="29"/>
  <c r="L15" i="29"/>
  <c r="D12" i="29"/>
  <c r="E12" i="29"/>
  <c r="E18" i="29" s="1"/>
  <c r="E20" i="29" s="1"/>
  <c r="F12" i="29"/>
  <c r="F18" i="29" s="1"/>
  <c r="F20" i="29" s="1"/>
  <c r="G12" i="29"/>
  <c r="I12" i="29"/>
  <c r="I18" i="29" s="1"/>
  <c r="I20" i="29" s="1"/>
  <c r="J12" i="29"/>
  <c r="J18" i="29" s="1"/>
  <c r="J20" i="29" s="1"/>
  <c r="K12" i="29"/>
  <c r="L12" i="29"/>
  <c r="I7" i="29"/>
  <c r="J7" i="29"/>
  <c r="K7" i="29"/>
  <c r="L7" i="29"/>
  <c r="G7" i="29"/>
  <c r="F7" i="29"/>
  <c r="E7" i="29"/>
  <c r="D7" i="29"/>
  <c r="M15" i="29"/>
  <c r="M12" i="29"/>
  <c r="M7" i="29"/>
  <c r="H15" i="29"/>
  <c r="H12" i="29"/>
  <c r="H7" i="29"/>
  <c r="AE18" i="15"/>
  <c r="AD23" i="14" s="1"/>
  <c r="AD18" i="15"/>
  <c r="AC23" i="14" s="1"/>
  <c r="Z18" i="15"/>
  <c r="D23" i="14"/>
  <c r="D18" i="15"/>
  <c r="C23" i="14" s="1"/>
  <c r="D18" i="29" l="1"/>
  <c r="C26" i="14"/>
  <c r="C235" i="32"/>
  <c r="D26" i="14"/>
  <c r="D235" i="32"/>
  <c r="D236" i="32" s="1"/>
  <c r="X7" i="29"/>
  <c r="Y23" i="14"/>
  <c r="Y26" i="14" s="1"/>
  <c r="Z20" i="15"/>
  <c r="L18" i="29"/>
  <c r="L20" i="29" s="1"/>
  <c r="X15" i="29"/>
  <c r="K18" i="29"/>
  <c r="K20" i="29" s="1"/>
  <c r="X12" i="29"/>
  <c r="H18" i="29"/>
  <c r="H20" i="29" s="1"/>
  <c r="W15" i="29"/>
  <c r="G18" i="29"/>
  <c r="G20" i="29" s="1"/>
  <c r="W12" i="29"/>
  <c r="W7" i="29"/>
  <c r="Y17" i="15"/>
  <c r="M18" i="29"/>
  <c r="M20" i="29" s="1"/>
  <c r="F16" i="14"/>
  <c r="F128" i="32" s="1"/>
  <c r="J16" i="14"/>
  <c r="J128" i="32" s="1"/>
  <c r="L16" i="14"/>
  <c r="L128" i="32" s="1"/>
  <c r="P16" i="14"/>
  <c r="P128" i="32" s="1"/>
  <c r="R16" i="14"/>
  <c r="R128" i="32" s="1"/>
  <c r="G21" i="14"/>
  <c r="G204" i="32" s="1"/>
  <c r="I21" i="14"/>
  <c r="I204" i="32" s="1"/>
  <c r="M21" i="14"/>
  <c r="M204" i="32" s="1"/>
  <c r="O21" i="14"/>
  <c r="O204" i="32" s="1"/>
  <c r="S21" i="14"/>
  <c r="S204" i="32" s="1"/>
  <c r="F23" i="14"/>
  <c r="F235" i="32" s="1"/>
  <c r="J23" i="14"/>
  <c r="J235" i="32" s="1"/>
  <c r="L23" i="14"/>
  <c r="L235" i="32" s="1"/>
  <c r="P23" i="14"/>
  <c r="P235" i="32" s="1"/>
  <c r="R23" i="14"/>
  <c r="R235" i="32" s="1"/>
  <c r="E23" i="14"/>
  <c r="G16" i="14"/>
  <c r="G128" i="32" s="1"/>
  <c r="I16" i="14"/>
  <c r="I128" i="32" s="1"/>
  <c r="M16" i="14"/>
  <c r="M128" i="32" s="1"/>
  <c r="O16" i="14"/>
  <c r="O128" i="32" s="1"/>
  <c r="S16" i="14"/>
  <c r="S128" i="32" s="1"/>
  <c r="F21" i="14"/>
  <c r="F204" i="32" s="1"/>
  <c r="J21" i="14"/>
  <c r="J204" i="32" s="1"/>
  <c r="L21" i="14"/>
  <c r="L204" i="32" s="1"/>
  <c r="P21" i="14"/>
  <c r="P204" i="32" s="1"/>
  <c r="R21" i="14"/>
  <c r="R204" i="32" s="1"/>
  <c r="G23" i="14"/>
  <c r="G235" i="32" s="1"/>
  <c r="I23" i="14"/>
  <c r="I235" i="32" s="1"/>
  <c r="M23" i="14"/>
  <c r="M235" i="32" s="1"/>
  <c r="O23" i="14"/>
  <c r="O235" i="32" s="1"/>
  <c r="S23" i="14"/>
  <c r="S235" i="32" s="1"/>
  <c r="R18" i="29"/>
  <c r="T18" i="29"/>
  <c r="S18" i="29"/>
  <c r="D20" i="15"/>
  <c r="D20" i="29"/>
  <c r="D8" i="15"/>
  <c r="Z8" i="15"/>
  <c r="AE16" i="15"/>
  <c r="AD21" i="14" s="1"/>
  <c r="AD16" i="15"/>
  <c r="AC21" i="14" s="1"/>
  <c r="Z16" i="15"/>
  <c r="Y21" i="14" s="1"/>
  <c r="AE13" i="15"/>
  <c r="AD16" i="14" s="1"/>
  <c r="AD13" i="15"/>
  <c r="AC16" i="14" s="1"/>
  <c r="Z13" i="15"/>
  <c r="D16" i="15"/>
  <c r="D13" i="15"/>
  <c r="Y15" i="15"/>
  <c r="Y12" i="15"/>
  <c r="Y11" i="15"/>
  <c r="Y10" i="15"/>
  <c r="Y9" i="15"/>
  <c r="E235" i="32" l="1"/>
  <c r="AC235" i="32" s="1"/>
  <c r="AG23" i="14"/>
  <c r="X235" i="32"/>
  <c r="E236" i="32"/>
  <c r="D19" i="15"/>
  <c r="S20" i="29"/>
  <c r="T20" i="29"/>
  <c r="Y16" i="14"/>
  <c r="Y25" i="14" s="1"/>
  <c r="Y27" i="14" s="1"/>
  <c r="Z19" i="15"/>
  <c r="Z21" i="15" s="1"/>
  <c r="Y18" i="29"/>
  <c r="V18" i="29"/>
  <c r="V20" i="29" s="1"/>
  <c r="W6" i="29"/>
  <c r="X6" i="29"/>
  <c r="AN6" i="29" s="1"/>
  <c r="U18" i="29"/>
  <c r="X4" i="29"/>
  <c r="W4" i="29"/>
  <c r="Y18" i="15"/>
  <c r="X23" i="14"/>
  <c r="E26" i="14"/>
  <c r="AB18" i="29"/>
  <c r="AC18" i="29"/>
  <c r="AA18" i="29"/>
  <c r="Q16" i="14"/>
  <c r="Q128" i="32" s="1"/>
  <c r="K16" i="14"/>
  <c r="K128" i="32" s="1"/>
  <c r="Q23" i="14"/>
  <c r="Q235" i="32" s="1"/>
  <c r="K23" i="14"/>
  <c r="K235" i="32" s="1"/>
  <c r="T21" i="14"/>
  <c r="T204" i="32" s="1"/>
  <c r="N21" i="14"/>
  <c r="N204" i="32" s="1"/>
  <c r="H21" i="14"/>
  <c r="H204" i="32" s="1"/>
  <c r="D16" i="14"/>
  <c r="D128" i="32" s="1"/>
  <c r="D21" i="14"/>
  <c r="D204" i="32" s="1"/>
  <c r="D205" i="32" s="1"/>
  <c r="C16" i="14"/>
  <c r="C128" i="32" s="1"/>
  <c r="C21" i="14"/>
  <c r="C204" i="32" s="1"/>
  <c r="T23" i="14"/>
  <c r="T235" i="32" s="1"/>
  <c r="N23" i="14"/>
  <c r="N235" i="32" s="1"/>
  <c r="H23" i="14"/>
  <c r="H235" i="32" s="1"/>
  <c r="Q21" i="14"/>
  <c r="Q204" i="32" s="1"/>
  <c r="K21" i="14"/>
  <c r="K204" i="32" s="1"/>
  <c r="T16" i="14"/>
  <c r="T128" i="32" s="1"/>
  <c r="N16" i="14"/>
  <c r="N128" i="32" s="1"/>
  <c r="H16" i="14"/>
  <c r="H128" i="32" s="1"/>
  <c r="Y16" i="15"/>
  <c r="Y13" i="15"/>
  <c r="E12" i="28"/>
  <c r="F12" i="28"/>
  <c r="D12" i="28"/>
  <c r="E9" i="28"/>
  <c r="F9" i="28"/>
  <c r="D9" i="28"/>
  <c r="E6" i="28"/>
  <c r="F6" i="28"/>
  <c r="D6" i="28"/>
  <c r="C6" i="28"/>
  <c r="C12" i="28"/>
  <c r="C9" i="28"/>
  <c r="G12" i="28"/>
  <c r="G9" i="28"/>
  <c r="G6" i="28"/>
  <c r="H6" i="28"/>
  <c r="J6" i="28"/>
  <c r="K6" i="28"/>
  <c r="H9" i="28"/>
  <c r="J9" i="28"/>
  <c r="K9" i="28"/>
  <c r="H12" i="28"/>
  <c r="J12" i="28"/>
  <c r="K12" i="28"/>
  <c r="H13" i="28"/>
  <c r="J13" i="28"/>
  <c r="K13" i="28"/>
  <c r="H38" i="28"/>
  <c r="I38" i="28"/>
  <c r="J38" i="28"/>
  <c r="K38" i="28"/>
  <c r="H15" i="28"/>
  <c r="J15" i="28"/>
  <c r="K15" i="28"/>
  <c r="H16" i="28"/>
  <c r="J16" i="28"/>
  <c r="K16" i="28"/>
  <c r="H17" i="28"/>
  <c r="I17" i="28"/>
  <c r="J17" i="28"/>
  <c r="K17" i="28"/>
  <c r="I18" i="28"/>
  <c r="H19" i="28"/>
  <c r="J19" i="28"/>
  <c r="K19" i="28"/>
  <c r="H20" i="28"/>
  <c r="J20" i="28"/>
  <c r="K20" i="28"/>
  <c r="H21" i="28"/>
  <c r="J21" i="28"/>
  <c r="K21" i="28"/>
  <c r="H22" i="28"/>
  <c r="I22" i="28"/>
  <c r="J22" i="28"/>
  <c r="K22" i="28"/>
  <c r="H43" i="28"/>
  <c r="I43" i="28"/>
  <c r="J43" i="28"/>
  <c r="K43" i="28"/>
  <c r="H23" i="28"/>
  <c r="J23" i="28"/>
  <c r="K23" i="28"/>
  <c r="AN4" i="29" l="1"/>
  <c r="AM6" i="29"/>
  <c r="AL6" i="29"/>
  <c r="AK6" i="29"/>
  <c r="AJ6" i="29"/>
  <c r="AI6" i="29"/>
  <c r="AH6" i="29"/>
  <c r="AL4" i="29"/>
  <c r="AH4" i="29"/>
  <c r="AH18" i="29" s="1"/>
  <c r="AK4" i="29"/>
  <c r="AM4" i="29"/>
  <c r="AM18" i="29" s="1"/>
  <c r="AJ4" i="29"/>
  <c r="AI4" i="29"/>
  <c r="AA20" i="29"/>
  <c r="AC20" i="29"/>
  <c r="AB20" i="29"/>
  <c r="AS6" i="29"/>
  <c r="AP6" i="29"/>
  <c r="AR6" i="29"/>
  <c r="AQ6" i="29"/>
  <c r="X19" i="29"/>
  <c r="W19" i="29"/>
  <c r="AS4" i="29"/>
  <c r="AR4" i="29"/>
  <c r="AQ4" i="29"/>
  <c r="AP4" i="29"/>
  <c r="U20" i="29"/>
  <c r="X18" i="29"/>
  <c r="W18" i="29"/>
  <c r="C25" i="14"/>
  <c r="D25" i="14"/>
  <c r="D27" i="14" s="1"/>
  <c r="E45" i="13"/>
  <c r="E39" i="4" s="1"/>
  <c r="E26" i="13"/>
  <c r="E18" i="4" s="1"/>
  <c r="E25" i="13"/>
  <c r="E17" i="4" s="1"/>
  <c r="R20" i="29"/>
  <c r="E21" i="14"/>
  <c r="AG21" i="14" s="1"/>
  <c r="E16" i="14"/>
  <c r="D21" i="15"/>
  <c r="Z18" i="29"/>
  <c r="F26" i="28"/>
  <c r="E26" i="28"/>
  <c r="D26" i="28"/>
  <c r="C26" i="28"/>
  <c r="G26" i="28"/>
  <c r="V5" i="15" l="1"/>
  <c r="U5" i="14" s="1"/>
  <c r="AI19" i="29"/>
  <c r="J6" i="15"/>
  <c r="AK19" i="29"/>
  <c r="P6" i="15"/>
  <c r="AH19" i="29"/>
  <c r="AH20" i="29" s="1"/>
  <c r="G6" i="15"/>
  <c r="AB6" i="15"/>
  <c r="AS19" i="29"/>
  <c r="AF6" i="15"/>
  <c r="AR19" i="29"/>
  <c r="AE6" i="15"/>
  <c r="AL19" i="29"/>
  <c r="S6" i="15"/>
  <c r="AJ19" i="29"/>
  <c r="M6" i="15"/>
  <c r="AQ19" i="29"/>
  <c r="AD6" i="15"/>
  <c r="AN19" i="29"/>
  <c r="AA6" i="15"/>
  <c r="AP19" i="29"/>
  <c r="AC6" i="15"/>
  <c r="AM19" i="29"/>
  <c r="AM20" i="29" s="1"/>
  <c r="V6" i="15"/>
  <c r="V7" i="15"/>
  <c r="AM7" i="29"/>
  <c r="V19" i="15"/>
  <c r="E128" i="32"/>
  <c r="AC128" i="32" s="1"/>
  <c r="AG16" i="14"/>
  <c r="U25" i="14"/>
  <c r="U20" i="4" s="1"/>
  <c r="Y20" i="4" s="1"/>
  <c r="U20" i="32"/>
  <c r="X21" i="14"/>
  <c r="E204" i="32"/>
  <c r="AC204" i="32" s="1"/>
  <c r="AO4" i="29"/>
  <c r="Z20" i="29"/>
  <c r="AO6" i="29"/>
  <c r="AO19" i="29" s="1"/>
  <c r="AE5" i="15"/>
  <c r="AR7" i="29"/>
  <c r="AR18" i="29"/>
  <c r="AS7" i="29"/>
  <c r="AF5" i="15"/>
  <c r="AS18" i="29"/>
  <c r="AA7" i="15"/>
  <c r="AA5" i="15"/>
  <c r="AN7" i="29"/>
  <c r="AN18" i="29"/>
  <c r="AD7" i="15"/>
  <c r="AE7" i="15"/>
  <c r="AC7" i="15"/>
  <c r="AC5" i="15"/>
  <c r="AP7" i="29"/>
  <c r="AP18" i="29"/>
  <c r="AF7" i="15"/>
  <c r="AD5" i="15"/>
  <c r="AQ7" i="29"/>
  <c r="AQ18" i="29"/>
  <c r="AB7" i="15"/>
  <c r="X20" i="29"/>
  <c r="W20" i="29"/>
  <c r="X16" i="14"/>
  <c r="E25" i="14"/>
  <c r="E27" i="14" s="1"/>
  <c r="E27" i="13"/>
  <c r="E19" i="4" s="1"/>
  <c r="D25" i="13"/>
  <c r="D17" i="4" s="1"/>
  <c r="D45" i="13"/>
  <c r="D39" i="4" s="1"/>
  <c r="G7" i="15"/>
  <c r="G20" i="15" s="1"/>
  <c r="AH7" i="29"/>
  <c r="Y20" i="29"/>
  <c r="G5" i="15"/>
  <c r="V8" i="15" l="1"/>
  <c r="U6" i="14"/>
  <c r="F6" i="14"/>
  <c r="F21" i="32" s="1"/>
  <c r="W6" i="15"/>
  <c r="X6" i="15" s="1"/>
  <c r="Y6" i="15" s="1"/>
  <c r="AE6" i="14"/>
  <c r="K6" i="15"/>
  <c r="L6" i="15" s="1"/>
  <c r="AA6" i="14"/>
  <c r="AA26" i="14" s="1"/>
  <c r="H6" i="15"/>
  <c r="I6" i="15" s="1"/>
  <c r="Z6" i="14"/>
  <c r="Z26" i="14" s="1"/>
  <c r="T6" i="15"/>
  <c r="U6" i="15" s="1"/>
  <c r="AD6" i="14"/>
  <c r="AD26" i="14" s="1"/>
  <c r="Q6" i="15"/>
  <c r="R6" i="15" s="1"/>
  <c r="AC6" i="14"/>
  <c r="AC26" i="14" s="1"/>
  <c r="N6" i="15"/>
  <c r="O6" i="15" s="1"/>
  <c r="AB6" i="14"/>
  <c r="AB26" i="14" s="1"/>
  <c r="V20" i="15"/>
  <c r="V21" i="15" s="1"/>
  <c r="X128" i="32"/>
  <c r="E129" i="32"/>
  <c r="Y20" i="32"/>
  <c r="X204" i="32"/>
  <c r="AP20" i="29"/>
  <c r="AO7" i="29"/>
  <c r="AB5" i="15"/>
  <c r="K5" i="15" s="1"/>
  <c r="AO18" i="29"/>
  <c r="AO20" i="29" s="1"/>
  <c r="AN20" i="29"/>
  <c r="W7" i="15"/>
  <c r="AE26" i="14"/>
  <c r="AF20" i="15"/>
  <c r="AE5" i="14"/>
  <c r="W5" i="15"/>
  <c r="AF8" i="15"/>
  <c r="AF19" i="15"/>
  <c r="Z5" i="14"/>
  <c r="AA19" i="15"/>
  <c r="H5" i="15"/>
  <c r="AA8" i="15"/>
  <c r="AQ20" i="29"/>
  <c r="AC20" i="15"/>
  <c r="N7" i="15"/>
  <c r="AE20" i="15"/>
  <c r="T7" i="15"/>
  <c r="AA20" i="15"/>
  <c r="H7" i="15"/>
  <c r="AR20" i="29"/>
  <c r="G19" i="15"/>
  <c r="G21" i="15" s="1"/>
  <c r="AB20" i="15"/>
  <c r="K7" i="15"/>
  <c r="J5" i="15"/>
  <c r="AI18" i="29"/>
  <c r="AI20" i="29" s="1"/>
  <c r="AC19" i="15"/>
  <c r="N5" i="15"/>
  <c r="AB5" i="14"/>
  <c r="AC8" i="15"/>
  <c r="AD19" i="15"/>
  <c r="AC5" i="14"/>
  <c r="Q5" i="15"/>
  <c r="AD8" i="15"/>
  <c r="AD20" i="15"/>
  <c r="Q7" i="15"/>
  <c r="AS20" i="29"/>
  <c r="AE19" i="15"/>
  <c r="T5" i="15"/>
  <c r="AD5" i="14"/>
  <c r="AE8" i="15"/>
  <c r="J7" i="15"/>
  <c r="I6" i="14" s="1"/>
  <c r="AE11" i="24"/>
  <c r="G8" i="15"/>
  <c r="F5" i="14"/>
  <c r="AI7" i="29"/>
  <c r="AK18" i="29"/>
  <c r="M7" i="15"/>
  <c r="L6" i="14" s="1"/>
  <c r="AB19" i="15" l="1"/>
  <c r="AB21" i="15" s="1"/>
  <c r="U21" i="32"/>
  <c r="U7" i="14"/>
  <c r="U26" i="14"/>
  <c r="F25" i="14"/>
  <c r="F20" i="32"/>
  <c r="AE11" i="8"/>
  <c r="AJ11" i="24"/>
  <c r="AI11" i="8" s="1"/>
  <c r="AB8" i="15"/>
  <c r="AA5" i="14"/>
  <c r="AA7" i="14" s="1"/>
  <c r="AC21" i="15"/>
  <c r="AE21" i="15"/>
  <c r="AD21" i="15"/>
  <c r="AF21" i="15"/>
  <c r="P5" i="14"/>
  <c r="P20" i="32" s="1"/>
  <c r="Q19" i="15"/>
  <c r="Q8" i="15"/>
  <c r="G6" i="14"/>
  <c r="H20" i="15"/>
  <c r="S5" i="14"/>
  <c r="S20" i="32" s="1"/>
  <c r="T19" i="15"/>
  <c r="T8" i="15"/>
  <c r="AC7" i="14"/>
  <c r="AC25" i="14"/>
  <c r="AC27" i="14" s="1"/>
  <c r="J6" i="14"/>
  <c r="K20" i="15"/>
  <c r="G5" i="14"/>
  <c r="H19" i="15"/>
  <c r="H8" i="15"/>
  <c r="M20" i="15"/>
  <c r="I7" i="15"/>
  <c r="I20" i="15" s="1"/>
  <c r="S6" i="14"/>
  <c r="T20" i="15"/>
  <c r="AA21" i="15"/>
  <c r="X5" i="15"/>
  <c r="AH5" i="15" s="1"/>
  <c r="W8" i="15"/>
  <c r="V5" i="14"/>
  <c r="V20" i="32" s="1"/>
  <c r="W19" i="15"/>
  <c r="I5" i="14"/>
  <c r="I20" i="32" s="1"/>
  <c r="J19" i="15"/>
  <c r="L5" i="15"/>
  <c r="L19" i="15" s="1"/>
  <c r="AB7" i="14"/>
  <c r="AB25" i="14"/>
  <c r="AB27" i="14" s="1"/>
  <c r="AE7" i="14"/>
  <c r="AE25" i="14"/>
  <c r="AE27" i="14" s="1"/>
  <c r="AD7" i="14"/>
  <c r="AD25" i="14"/>
  <c r="AD27" i="14" s="1"/>
  <c r="Z7" i="14"/>
  <c r="Z25" i="14"/>
  <c r="Z27" i="14" s="1"/>
  <c r="P6" i="14"/>
  <c r="Q20" i="15"/>
  <c r="M5" i="14"/>
  <c r="M20" i="32" s="1"/>
  <c r="N19" i="15"/>
  <c r="N8" i="15"/>
  <c r="I5" i="15"/>
  <c r="I19" i="15" s="1"/>
  <c r="J20" i="15"/>
  <c r="M6" i="14"/>
  <c r="N20" i="15"/>
  <c r="AJ7" i="29"/>
  <c r="AJ18" i="29"/>
  <c r="AJ20" i="29" s="1"/>
  <c r="J5" i="14"/>
  <c r="J20" i="32" s="1"/>
  <c r="K19" i="15"/>
  <c r="K8" i="15"/>
  <c r="X7" i="15"/>
  <c r="AH7" i="15" s="1"/>
  <c r="V6" i="14"/>
  <c r="V21" i="32" s="1"/>
  <c r="Z21" i="32" s="1"/>
  <c r="W20" i="15"/>
  <c r="F26" i="14"/>
  <c r="AC11" i="24"/>
  <c r="AE13" i="24"/>
  <c r="AF11" i="24"/>
  <c r="AE22" i="24"/>
  <c r="AJ22" i="24" s="1"/>
  <c r="AE21" i="24"/>
  <c r="AJ21" i="24" s="1"/>
  <c r="AE14" i="24"/>
  <c r="L7" i="15"/>
  <c r="J8" i="15"/>
  <c r="AK20" i="29"/>
  <c r="AE17" i="24"/>
  <c r="F7" i="14"/>
  <c r="M5" i="15"/>
  <c r="M19" i="15" s="1"/>
  <c r="O7" i="15"/>
  <c r="O20" i="15" s="1"/>
  <c r="P5" i="15"/>
  <c r="AL18" i="29"/>
  <c r="U21" i="4" l="1"/>
  <c r="Y21" i="4" s="1"/>
  <c r="Y22" i="4" s="1"/>
  <c r="U27" i="14"/>
  <c r="U22" i="4" s="1"/>
  <c r="Y21" i="32"/>
  <c r="Y22" i="32" s="1"/>
  <c r="U22" i="32"/>
  <c r="F27" i="14"/>
  <c r="AA25" i="14"/>
  <c r="AA27" i="14" s="1"/>
  <c r="S26" i="14"/>
  <c r="S21" i="32"/>
  <c r="S22" i="32" s="1"/>
  <c r="J26" i="14"/>
  <c r="J21" i="32"/>
  <c r="J22" i="32" s="1"/>
  <c r="Z20" i="32"/>
  <c r="Z22" i="32" s="1"/>
  <c r="V22" i="32"/>
  <c r="M26" i="14"/>
  <c r="M21" i="32"/>
  <c r="M22" i="32" s="1"/>
  <c r="P26" i="14"/>
  <c r="P21" i="32"/>
  <c r="P22" i="32" s="1"/>
  <c r="H21" i="15"/>
  <c r="H5" i="14"/>
  <c r="H25" i="14" s="1"/>
  <c r="G20" i="32"/>
  <c r="G26" i="14"/>
  <c r="G21" i="32"/>
  <c r="L26" i="14"/>
  <c r="L21" i="32"/>
  <c r="I26" i="14"/>
  <c r="I21" i="32"/>
  <c r="I22" i="32" s="1"/>
  <c r="F22" i="32"/>
  <c r="AJ17" i="24"/>
  <c r="AJ14" i="24"/>
  <c r="AC13" i="24"/>
  <c r="AC11" i="8"/>
  <c r="I8" i="15"/>
  <c r="M21" i="15"/>
  <c r="H6" i="14"/>
  <c r="I7" i="14"/>
  <c r="Q21" i="15"/>
  <c r="K6" i="14"/>
  <c r="N6" i="14"/>
  <c r="W5" i="14"/>
  <c r="V7" i="14"/>
  <c r="V25" i="14"/>
  <c r="X20" i="15"/>
  <c r="Y7" i="15"/>
  <c r="T21" i="15"/>
  <c r="L8" i="15"/>
  <c r="L20" i="15"/>
  <c r="L21" i="15" s="1"/>
  <c r="X8" i="15"/>
  <c r="X19" i="15"/>
  <c r="AH19" i="15" s="1"/>
  <c r="Y5" i="15"/>
  <c r="S7" i="14"/>
  <c r="S25" i="14"/>
  <c r="O5" i="14"/>
  <c r="P19" i="15"/>
  <c r="V26" i="14"/>
  <c r="V21" i="4" s="1"/>
  <c r="Z21" i="4" s="1"/>
  <c r="W6" i="14"/>
  <c r="M7" i="14"/>
  <c r="M25" i="14"/>
  <c r="K21" i="15"/>
  <c r="G7" i="14"/>
  <c r="G25" i="14"/>
  <c r="G27" i="14" s="1"/>
  <c r="J7" i="14"/>
  <c r="J25" i="14"/>
  <c r="J27" i="14" s="1"/>
  <c r="I21" i="15"/>
  <c r="J21" i="15"/>
  <c r="I25" i="14"/>
  <c r="I27" i="14" s="1"/>
  <c r="K5" i="14"/>
  <c r="N21" i="15"/>
  <c r="W21" i="15"/>
  <c r="P7" i="14"/>
  <c r="P25" i="14"/>
  <c r="AC14" i="24"/>
  <c r="AF14" i="24"/>
  <c r="AC21" i="24"/>
  <c r="AF21" i="24"/>
  <c r="AC22" i="24"/>
  <c r="AF22" i="24"/>
  <c r="AC17" i="24"/>
  <c r="AF17" i="24"/>
  <c r="AE16" i="24"/>
  <c r="AE5" i="24"/>
  <c r="AK7" i="29"/>
  <c r="P7" i="15"/>
  <c r="O6" i="14" s="1"/>
  <c r="AL20" i="29"/>
  <c r="AE20" i="24"/>
  <c r="AE8" i="24"/>
  <c r="O5" i="15"/>
  <c r="O19" i="15" s="1"/>
  <c r="O21" i="15" s="1"/>
  <c r="L5" i="14"/>
  <c r="M8" i="15"/>
  <c r="S5" i="15"/>
  <c r="R5" i="15"/>
  <c r="R19" i="15" s="1"/>
  <c r="P27" i="14" l="1"/>
  <c r="S27" i="14"/>
  <c r="Y8" i="15"/>
  <c r="AH8" i="15"/>
  <c r="Y20" i="15"/>
  <c r="AH20" i="15"/>
  <c r="M27" i="14"/>
  <c r="W21" i="32"/>
  <c r="AG6" i="14"/>
  <c r="W20" i="32"/>
  <c r="AG5" i="14"/>
  <c r="H20" i="32"/>
  <c r="G22" i="32"/>
  <c r="AA21" i="32"/>
  <c r="N26" i="14"/>
  <c r="N21" i="32"/>
  <c r="K26" i="14"/>
  <c r="K21" i="32"/>
  <c r="O25" i="14"/>
  <c r="O20" i="32"/>
  <c r="L25" i="14"/>
  <c r="L27" i="14" s="1"/>
  <c r="L20" i="32"/>
  <c r="K25" i="14"/>
  <c r="K20" i="32"/>
  <c r="H26" i="14"/>
  <c r="H27" i="14" s="1"/>
  <c r="H21" i="32"/>
  <c r="AJ20" i="24"/>
  <c r="AE16" i="8"/>
  <c r="AJ16" i="24"/>
  <c r="AI16" i="8" s="1"/>
  <c r="AA124" i="32" s="1"/>
  <c r="AE8" i="8"/>
  <c r="AJ8" i="24"/>
  <c r="AI8" i="8" s="1"/>
  <c r="AE5" i="8"/>
  <c r="AJ5" i="24"/>
  <c r="AI5" i="8" s="1"/>
  <c r="H7" i="14"/>
  <c r="Q5" i="14"/>
  <c r="K7" i="14"/>
  <c r="V27" i="14"/>
  <c r="V22" i="4" s="1"/>
  <c r="V20" i="4"/>
  <c r="Z20" i="4" s="1"/>
  <c r="Z22" i="4" s="1"/>
  <c r="R5" i="14"/>
  <c r="S19" i="15"/>
  <c r="P20" i="15"/>
  <c r="P21" i="15" s="1"/>
  <c r="X21" i="15"/>
  <c r="Y19" i="15"/>
  <c r="W26" i="14"/>
  <c r="X6" i="14"/>
  <c r="W7" i="14"/>
  <c r="W25" i="14"/>
  <c r="AG25" i="14" s="1"/>
  <c r="X5" i="14"/>
  <c r="AC5" i="24"/>
  <c r="AC5" i="8" s="1"/>
  <c r="AC7" i="8" s="1"/>
  <c r="AE7" i="24"/>
  <c r="AE25" i="24"/>
  <c r="AF5" i="24"/>
  <c r="AC20" i="24"/>
  <c r="AF20" i="24"/>
  <c r="AC8" i="24"/>
  <c r="AE10" i="24"/>
  <c r="AF8" i="24"/>
  <c r="AC16" i="24"/>
  <c r="AC16" i="8" s="1"/>
  <c r="U124" i="32" s="1"/>
  <c r="AF16" i="24"/>
  <c r="S7" i="15"/>
  <c r="R6" i="14" s="1"/>
  <c r="P8" i="15"/>
  <c r="R7" i="15"/>
  <c r="R20" i="15" s="1"/>
  <c r="R21" i="15" s="1"/>
  <c r="AL7" i="29"/>
  <c r="O8" i="15"/>
  <c r="L7" i="14"/>
  <c r="N5" i="14"/>
  <c r="U5" i="15"/>
  <c r="U19" i="15" s="1"/>
  <c r="M13" i="24"/>
  <c r="M10" i="24"/>
  <c r="M7" i="24"/>
  <c r="X21" i="32" l="1"/>
  <c r="AC21" i="32"/>
  <c r="AA20" i="32"/>
  <c r="AA22" i="32" s="1"/>
  <c r="AC20" i="32"/>
  <c r="AM10" i="24"/>
  <c r="AF13" i="24"/>
  <c r="AM13" i="24"/>
  <c r="AM7" i="24"/>
  <c r="Y21" i="15"/>
  <c r="AH21" i="15"/>
  <c r="V15" i="9"/>
  <c r="AL16" i="8"/>
  <c r="W124" i="32"/>
  <c r="H22" i="32"/>
  <c r="K27" i="14"/>
  <c r="X20" i="32"/>
  <c r="W22" i="32"/>
  <c r="W21" i="4"/>
  <c r="AA21" i="4" s="1"/>
  <c r="AG26" i="14"/>
  <c r="R25" i="14"/>
  <c r="R20" i="32"/>
  <c r="Q25" i="14"/>
  <c r="Q20" i="32"/>
  <c r="L22" i="32"/>
  <c r="Q6" i="14"/>
  <c r="Q7" i="14" s="1"/>
  <c r="O21" i="32"/>
  <c r="N25" i="14"/>
  <c r="N27" i="14" s="1"/>
  <c r="N20" i="32"/>
  <c r="K22" i="32"/>
  <c r="AC10" i="24"/>
  <c r="AC8" i="8"/>
  <c r="AC10" i="8" s="1"/>
  <c r="AE10" i="8"/>
  <c r="V4" i="9"/>
  <c r="AF4" i="9" s="1"/>
  <c r="AE7" i="8"/>
  <c r="O7" i="14"/>
  <c r="W20" i="4"/>
  <c r="AA20" i="4" s="1"/>
  <c r="W27" i="14"/>
  <c r="S20" i="15"/>
  <c r="S21" i="15" s="1"/>
  <c r="T5" i="14"/>
  <c r="O26" i="14"/>
  <c r="O27" i="14" s="1"/>
  <c r="AF10" i="24"/>
  <c r="AF7" i="24"/>
  <c r="AE27" i="24"/>
  <c r="AF25" i="24"/>
  <c r="AC25" i="24"/>
  <c r="AC27" i="24" s="1"/>
  <c r="AC7" i="24"/>
  <c r="N7" i="14"/>
  <c r="U7" i="15"/>
  <c r="U20" i="15" s="1"/>
  <c r="U21" i="15" s="1"/>
  <c r="S8" i="15"/>
  <c r="R8" i="15"/>
  <c r="X22" i="32" l="1"/>
  <c r="AC22" i="32"/>
  <c r="AF27" i="24"/>
  <c r="AM27" i="24"/>
  <c r="AC124" i="32"/>
  <c r="X124" i="32"/>
  <c r="W15" i="9"/>
  <c r="AG15" i="9" s="1"/>
  <c r="AF15" i="9"/>
  <c r="AA22" i="4"/>
  <c r="W22" i="4"/>
  <c r="AG27" i="14"/>
  <c r="T25" i="14"/>
  <c r="T20" i="32"/>
  <c r="Q26" i="14"/>
  <c r="Q27" i="14" s="1"/>
  <c r="Q21" i="32"/>
  <c r="Q22" i="32" s="1"/>
  <c r="R26" i="14"/>
  <c r="R27" i="14" s="1"/>
  <c r="R21" i="32"/>
  <c r="R22" i="32" s="1"/>
  <c r="N22" i="32"/>
  <c r="O22" i="32"/>
  <c r="V9" i="9"/>
  <c r="V6" i="9"/>
  <c r="W4" i="9"/>
  <c r="T6" i="14"/>
  <c r="R7" i="14"/>
  <c r="U8" i="15"/>
  <c r="W6" i="9" l="1"/>
  <c r="W9" i="9"/>
  <c r="T26" i="14"/>
  <c r="T27" i="14" s="1"/>
  <c r="T21" i="32"/>
  <c r="T7" i="14"/>
  <c r="Z10" i="12"/>
  <c r="S10" i="12"/>
  <c r="P10" i="12"/>
  <c r="M10" i="12"/>
  <c r="J10" i="12"/>
  <c r="H41" i="28"/>
  <c r="H7" i="28"/>
  <c r="H10" i="28"/>
  <c r="N24" i="26"/>
  <c r="T22" i="32" l="1"/>
  <c r="M24" i="26"/>
  <c r="H4" i="28"/>
  <c r="K24" i="26"/>
  <c r="G26" i="26"/>
  <c r="D26" i="26"/>
  <c r="E26" i="26"/>
  <c r="K7" i="28"/>
  <c r="J24" i="26"/>
  <c r="K4" i="28"/>
  <c r="K10" i="28"/>
  <c r="K41" i="28"/>
  <c r="F26" i="26"/>
  <c r="J7" i="28"/>
  <c r="J4" i="28"/>
  <c r="J10" i="28"/>
  <c r="J41" i="28"/>
  <c r="H5" i="28"/>
  <c r="J5" i="28"/>
  <c r="K8" i="28"/>
  <c r="I8" i="28"/>
  <c r="K11" i="28"/>
  <c r="I11" i="28"/>
  <c r="K5" i="28"/>
  <c r="I5" i="28"/>
  <c r="H8" i="28"/>
  <c r="J8" i="28"/>
  <c r="H11" i="28"/>
  <c r="J11" i="28"/>
  <c r="K24" i="28"/>
  <c r="J24" i="28"/>
  <c r="C26" i="26"/>
  <c r="I26" i="26"/>
  <c r="J21" i="26"/>
  <c r="J19" i="26"/>
  <c r="J13" i="26"/>
  <c r="J4" i="26"/>
  <c r="D12" i="26"/>
  <c r="E12" i="26"/>
  <c r="F12" i="26"/>
  <c r="I12" i="26" s="1"/>
  <c r="G12" i="26"/>
  <c r="D9" i="26"/>
  <c r="E9" i="26"/>
  <c r="F9" i="26"/>
  <c r="G9" i="26"/>
  <c r="C12" i="26"/>
  <c r="C9" i="26"/>
  <c r="D6" i="26"/>
  <c r="E6" i="26"/>
  <c r="F6" i="26"/>
  <c r="G6" i="26"/>
  <c r="C6" i="26"/>
  <c r="I6" i="26" s="1"/>
  <c r="J5" i="26"/>
  <c r="J11" i="26"/>
  <c r="J14" i="26"/>
  <c r="J40" i="26"/>
  <c r="J41" i="26"/>
  <c r="J20" i="26"/>
  <c r="J22" i="26"/>
  <c r="J42" i="26"/>
  <c r="S21" i="4"/>
  <c r="P21" i="4"/>
  <c r="M21" i="4"/>
  <c r="J21" i="4"/>
  <c r="G21" i="4"/>
  <c r="D21" i="4"/>
  <c r="Y10" i="14"/>
  <c r="Y7" i="14"/>
  <c r="E13" i="14"/>
  <c r="AG13" i="14" s="1"/>
  <c r="E10" i="14"/>
  <c r="AG10" i="14" s="1"/>
  <c r="E7" i="14"/>
  <c r="C13" i="14"/>
  <c r="C10" i="14"/>
  <c r="C7" i="14"/>
  <c r="S20" i="4"/>
  <c r="M20" i="4"/>
  <c r="G20" i="4"/>
  <c r="C17" i="4"/>
  <c r="E13" i="13"/>
  <c r="D13" i="13"/>
  <c r="E10" i="13"/>
  <c r="D10" i="13"/>
  <c r="E7" i="13"/>
  <c r="C13" i="13"/>
  <c r="C10" i="13"/>
  <c r="C15" i="4"/>
  <c r="C14" i="4"/>
  <c r="C13" i="12"/>
  <c r="C10" i="12"/>
  <c r="C7" i="12"/>
  <c r="E13" i="11"/>
  <c r="D13" i="11"/>
  <c r="E7" i="11"/>
  <c r="D7" i="11"/>
  <c r="C13" i="11"/>
  <c r="C10" i="11"/>
  <c r="C7" i="11"/>
  <c r="X13" i="11" l="1"/>
  <c r="AK13" i="11"/>
  <c r="X7" i="14"/>
  <c r="AG7" i="14"/>
  <c r="X7" i="11"/>
  <c r="AK7" i="11"/>
  <c r="E25" i="12"/>
  <c r="E26" i="12"/>
  <c r="E45" i="12"/>
  <c r="E38" i="4" s="1"/>
  <c r="H6" i="26"/>
  <c r="H9" i="26"/>
  <c r="H26" i="26"/>
  <c r="J26" i="26" s="1"/>
  <c r="H12" i="26"/>
  <c r="C27" i="11"/>
  <c r="C13" i="4" s="1"/>
  <c r="E10" i="12"/>
  <c r="E7" i="12"/>
  <c r="H24" i="28"/>
  <c r="H20" i="4"/>
  <c r="T20" i="4"/>
  <c r="I20" i="4"/>
  <c r="K20" i="4"/>
  <c r="I21" i="4"/>
  <c r="K21" i="4"/>
  <c r="O21" i="4"/>
  <c r="Q21" i="4"/>
  <c r="C20" i="4"/>
  <c r="O20" i="4"/>
  <c r="Q20" i="4"/>
  <c r="C21" i="4"/>
  <c r="F21" i="4"/>
  <c r="H21" i="4"/>
  <c r="L21" i="4"/>
  <c r="N21" i="4"/>
  <c r="R21" i="4"/>
  <c r="T21" i="4"/>
  <c r="N20" i="4"/>
  <c r="D22" i="4"/>
  <c r="D20" i="4"/>
  <c r="F20" i="4"/>
  <c r="J22" i="4"/>
  <c r="J20" i="4"/>
  <c r="L20" i="4"/>
  <c r="P22" i="4"/>
  <c r="P20" i="4"/>
  <c r="R20" i="4"/>
  <c r="E13" i="12"/>
  <c r="J25" i="26"/>
  <c r="D43" i="12"/>
  <c r="D44" i="12"/>
  <c r="D338" i="32" s="1"/>
  <c r="D341" i="32" s="1"/>
  <c r="D42" i="12"/>
  <c r="J16" i="26"/>
  <c r="J15" i="26"/>
  <c r="G22" i="4"/>
  <c r="M22" i="4"/>
  <c r="S22" i="4"/>
  <c r="C27" i="14"/>
  <c r="C27" i="12"/>
  <c r="C16" i="4" s="1"/>
  <c r="AF24" i="8"/>
  <c r="AF19" i="8"/>
  <c r="AF18" i="8"/>
  <c r="AF16" i="8"/>
  <c r="AF9" i="8"/>
  <c r="AF5" i="8"/>
  <c r="K24" i="24"/>
  <c r="K24" i="8" s="1"/>
  <c r="C246" i="32" s="1"/>
  <c r="K48" i="24"/>
  <c r="K23" i="24"/>
  <c r="K23" i="8" s="1"/>
  <c r="C231" i="32" s="1"/>
  <c r="K22" i="24"/>
  <c r="K21" i="24"/>
  <c r="K20" i="24"/>
  <c r="K47" i="24"/>
  <c r="K46" i="24"/>
  <c r="K45" i="24"/>
  <c r="K44" i="24"/>
  <c r="K19" i="24"/>
  <c r="K19" i="8" s="1"/>
  <c r="C169" i="32" s="1"/>
  <c r="K18" i="24"/>
  <c r="K18" i="8" s="1"/>
  <c r="C154" i="32" s="1"/>
  <c r="K17" i="24"/>
  <c r="K16" i="24"/>
  <c r="K43" i="24"/>
  <c r="K38" i="8" s="1"/>
  <c r="C261" i="32" s="1"/>
  <c r="K15" i="24"/>
  <c r="K14" i="24"/>
  <c r="K13" i="24"/>
  <c r="K12" i="24"/>
  <c r="K11" i="24"/>
  <c r="K10" i="24"/>
  <c r="K9" i="24"/>
  <c r="K9" i="8" s="1"/>
  <c r="C38" i="32" s="1"/>
  <c r="K8" i="24"/>
  <c r="K7" i="24"/>
  <c r="AB46" i="3"/>
  <c r="W46" i="3"/>
  <c r="M46" i="3"/>
  <c r="R11" i="28"/>
  <c r="Q11" i="28"/>
  <c r="P11" i="28"/>
  <c r="O11" i="28"/>
  <c r="AL8" i="3"/>
  <c r="AL5" i="3"/>
  <c r="C39" i="32" l="1"/>
  <c r="C53" i="32"/>
  <c r="K39" i="8"/>
  <c r="C276" i="32" s="1"/>
  <c r="K49" i="24"/>
  <c r="E21" i="4"/>
  <c r="X26" i="14"/>
  <c r="E20" i="4"/>
  <c r="X25" i="14"/>
  <c r="K26" i="24"/>
  <c r="D36" i="9"/>
  <c r="AF39" i="8"/>
  <c r="D37" i="9"/>
  <c r="AF40" i="8"/>
  <c r="D39" i="9"/>
  <c r="D35" i="9"/>
  <c r="AF38" i="8"/>
  <c r="AH25" i="8"/>
  <c r="Z8" i="4" s="1"/>
  <c r="L25" i="8"/>
  <c r="D8" i="4" s="1"/>
  <c r="Y10" i="9"/>
  <c r="AF11" i="8"/>
  <c r="Y7" i="9"/>
  <c r="AF8" i="8"/>
  <c r="O25" i="8"/>
  <c r="G8" i="4" s="1"/>
  <c r="R25" i="8"/>
  <c r="J8" i="4" s="1"/>
  <c r="U25" i="8"/>
  <c r="M8" i="4" s="1"/>
  <c r="X25" i="8"/>
  <c r="P8" i="4" s="1"/>
  <c r="AA25" i="8"/>
  <c r="S8" i="4" s="1"/>
  <c r="D25" i="12"/>
  <c r="D14" i="4" s="1"/>
  <c r="D26" i="12"/>
  <c r="E27" i="12"/>
  <c r="D45" i="12"/>
  <c r="D38" i="4" s="1"/>
  <c r="E15" i="4"/>
  <c r="M26" i="3"/>
  <c r="W26" i="3"/>
  <c r="AB26" i="3"/>
  <c r="H26" i="3"/>
  <c r="R26" i="3"/>
  <c r="D7" i="12"/>
  <c r="D13" i="12"/>
  <c r="J12" i="26"/>
  <c r="J6" i="26"/>
  <c r="AH7" i="8"/>
  <c r="D10" i="12"/>
  <c r="R8" i="28"/>
  <c r="Q8" i="28"/>
  <c r="P8" i="28"/>
  <c r="O8" i="28"/>
  <c r="D9" i="6"/>
  <c r="N11" i="28"/>
  <c r="E9" i="6"/>
  <c r="Y8" i="9"/>
  <c r="E14" i="4"/>
  <c r="I22" i="4"/>
  <c r="K22" i="4"/>
  <c r="C22" i="4"/>
  <c r="O22" i="4"/>
  <c r="Q22" i="4"/>
  <c r="R22" i="4"/>
  <c r="T22" i="4"/>
  <c r="L22" i="4"/>
  <c r="N22" i="4"/>
  <c r="F22" i="4"/>
  <c r="H22" i="4"/>
  <c r="Y15" i="9"/>
  <c r="Y17" i="9"/>
  <c r="Y18" i="9"/>
  <c r="Y23" i="9"/>
  <c r="G9" i="3"/>
  <c r="AH13" i="8"/>
  <c r="AH10" i="8"/>
  <c r="F10" i="12"/>
  <c r="J9" i="8"/>
  <c r="J38" i="8"/>
  <c r="J39" i="8"/>
  <c r="J5" i="8"/>
  <c r="J8" i="8"/>
  <c r="G10" i="12"/>
  <c r="L7" i="8"/>
  <c r="R7" i="8"/>
  <c r="X7" i="8"/>
  <c r="L10" i="8"/>
  <c r="R10" i="8"/>
  <c r="X10" i="8"/>
  <c r="L13" i="8"/>
  <c r="R13" i="8"/>
  <c r="X13" i="8"/>
  <c r="M10" i="8"/>
  <c r="O10" i="8"/>
  <c r="U10" i="8"/>
  <c r="AA10" i="8"/>
  <c r="O13" i="8"/>
  <c r="U13" i="8"/>
  <c r="AA13" i="8"/>
  <c r="O7" i="8"/>
  <c r="U7" i="8"/>
  <c r="AA7" i="8"/>
  <c r="AL11" i="3"/>
  <c r="AF10" i="8" l="1"/>
  <c r="AL10" i="8"/>
  <c r="Y37" i="9"/>
  <c r="AF37" i="9"/>
  <c r="Y36" i="9"/>
  <c r="AF36" i="9"/>
  <c r="Y35" i="9"/>
  <c r="AF35" i="9"/>
  <c r="AO9" i="3"/>
  <c r="AS9" i="3"/>
  <c r="X20" i="4"/>
  <c r="AC20" i="4"/>
  <c r="X21" i="4"/>
  <c r="AC21" i="4"/>
  <c r="E22" i="4"/>
  <c r="X27" i="14"/>
  <c r="C10" i="8"/>
  <c r="N5" i="28"/>
  <c r="Q5" i="28"/>
  <c r="O5" i="28"/>
  <c r="P5" i="28"/>
  <c r="R5" i="28"/>
  <c r="D27" i="12"/>
  <c r="D16" i="4" s="1"/>
  <c r="E16" i="4"/>
  <c r="Y8" i="28"/>
  <c r="W8" i="28"/>
  <c r="X8" i="28"/>
  <c r="V8" i="28"/>
  <c r="N8" i="28"/>
  <c r="AB9" i="24"/>
  <c r="AB9" i="8" s="1"/>
  <c r="Y9" i="24"/>
  <c r="Y9" i="8" s="1"/>
  <c r="V9" i="24"/>
  <c r="V9" i="8" s="1"/>
  <c r="S9" i="24"/>
  <c r="S9" i="8" s="1"/>
  <c r="P9" i="24"/>
  <c r="P9" i="8" s="1"/>
  <c r="D15" i="4"/>
  <c r="W11" i="28"/>
  <c r="X11" i="28"/>
  <c r="V11" i="28"/>
  <c r="C9" i="6"/>
  <c r="Z8" i="9"/>
  <c r="D9" i="9"/>
  <c r="Y11" i="28"/>
  <c r="K10" i="8"/>
  <c r="Y9" i="9" l="1"/>
  <c r="AF9" i="9"/>
  <c r="M8" i="9"/>
  <c r="N8" i="9" s="1"/>
  <c r="N38" i="32"/>
  <c r="N39" i="32" s="1"/>
  <c r="P8" i="9"/>
  <c r="Q8" i="9" s="1"/>
  <c r="Q38" i="32"/>
  <c r="Q39" i="32" s="1"/>
  <c r="J8" i="9"/>
  <c r="K8" i="9" s="1"/>
  <c r="K38" i="32"/>
  <c r="K39" i="32" s="1"/>
  <c r="G8" i="9"/>
  <c r="H8" i="9" s="1"/>
  <c r="H38" i="32"/>
  <c r="H39" i="32" s="1"/>
  <c r="S8" i="9"/>
  <c r="T8" i="9" s="1"/>
  <c r="T38" i="32"/>
  <c r="T39" i="32" s="1"/>
  <c r="J10" i="8"/>
  <c r="AK10" i="8"/>
  <c r="X22" i="4"/>
  <c r="AC22" i="4"/>
  <c r="Y5" i="28"/>
  <c r="W5" i="28"/>
  <c r="Z9" i="24"/>
  <c r="Z9" i="8" s="1"/>
  <c r="R38" i="32" s="1"/>
  <c r="R39" i="32" s="1"/>
  <c r="W9" i="24"/>
  <c r="W9" i="8" s="1"/>
  <c r="O38" i="32" s="1"/>
  <c r="O39" i="32" s="1"/>
  <c r="T9" i="24"/>
  <c r="T9" i="8" s="1"/>
  <c r="L38" i="32" s="1"/>
  <c r="L39" i="32" s="1"/>
  <c r="Q9" i="24"/>
  <c r="Q9" i="8" s="1"/>
  <c r="I38" i="32" s="1"/>
  <c r="I39" i="32" s="1"/>
  <c r="N9" i="24"/>
  <c r="N9" i="8" s="1"/>
  <c r="F38" i="32" s="1"/>
  <c r="F39" i="32" s="1"/>
  <c r="V5" i="28"/>
  <c r="X5" i="28"/>
  <c r="AH9" i="24" l="1"/>
  <c r="AG9" i="8" s="1"/>
  <c r="Y38" i="32" s="1"/>
  <c r="Y39" i="32" s="1"/>
  <c r="M7" i="23"/>
  <c r="AI95" i="23"/>
  <c r="AG95" i="23" s="1"/>
  <c r="AI98" i="23"/>
  <c r="AG98" i="23" s="1"/>
  <c r="N59" i="22"/>
  <c r="I59" i="22"/>
  <c r="N35" i="22"/>
  <c r="N14" i="22"/>
  <c r="I35" i="22"/>
  <c r="I14" i="22"/>
  <c r="AH44" i="8"/>
  <c r="Z36" i="4" s="1"/>
  <c r="AA44" i="8"/>
  <c r="S36" i="4" s="1"/>
  <c r="X44" i="8"/>
  <c r="P36" i="4" s="1"/>
  <c r="U44" i="8"/>
  <c r="M36" i="4" s="1"/>
  <c r="R44" i="8"/>
  <c r="J36" i="4" s="1"/>
  <c r="O44" i="8"/>
  <c r="G36" i="4" s="1"/>
  <c r="L44" i="8"/>
  <c r="D36" i="4" s="1"/>
  <c r="D41" i="4" s="1"/>
  <c r="AC74" i="23"/>
  <c r="Z74" i="23"/>
  <c r="W74" i="23"/>
  <c r="T74" i="23"/>
  <c r="Q74" i="23"/>
  <c r="N74" i="23"/>
  <c r="K56" i="23"/>
  <c r="K61" i="23"/>
  <c r="K16" i="23"/>
  <c r="K37" i="23"/>
  <c r="AL98" i="23" l="1"/>
  <c r="AH98" i="23"/>
  <c r="AL95" i="23"/>
  <c r="AH95" i="23"/>
  <c r="D40" i="9"/>
  <c r="AF43" i="8"/>
  <c r="AE98" i="23"/>
  <c r="AG100" i="23"/>
  <c r="AK74" i="23"/>
  <c r="K72" i="23"/>
  <c r="I72" i="22"/>
  <c r="I74" i="22" s="1"/>
  <c r="N72" i="22"/>
  <c r="N74" i="22" s="1"/>
  <c r="P33" i="22"/>
  <c r="P96" i="22"/>
  <c r="AI101" i="23" s="1"/>
  <c r="AG101" i="23" s="1"/>
  <c r="P6" i="22"/>
  <c r="P10" i="22"/>
  <c r="AI52" i="23"/>
  <c r="AG52" i="23" s="1"/>
  <c r="AI60" i="23"/>
  <c r="AG60" i="23" s="1"/>
  <c r="AI58" i="23"/>
  <c r="AG58" i="23" s="1"/>
  <c r="AI55" i="23"/>
  <c r="AG55" i="23" s="1"/>
  <c r="AI53" i="23"/>
  <c r="AG53" i="23" s="1"/>
  <c r="AI48" i="23"/>
  <c r="AG48" i="23" s="1"/>
  <c r="AI46" i="23"/>
  <c r="AG46" i="23" s="1"/>
  <c r="AI42" i="23"/>
  <c r="AG42" i="23" s="1"/>
  <c r="AI36" i="23"/>
  <c r="AG36" i="23" s="1"/>
  <c r="AI14" i="23"/>
  <c r="AG14" i="23" s="1"/>
  <c r="AI11" i="23"/>
  <c r="AG11" i="23" s="1"/>
  <c r="AI59" i="23"/>
  <c r="AG59" i="23" s="1"/>
  <c r="AI57" i="23"/>
  <c r="AG57" i="23" s="1"/>
  <c r="AI54" i="23"/>
  <c r="AG54" i="23" s="1"/>
  <c r="AI49" i="23"/>
  <c r="AG49" i="23" s="1"/>
  <c r="AI47" i="23"/>
  <c r="AG47" i="23" s="1"/>
  <c r="AI45" i="23"/>
  <c r="AG45" i="23" s="1"/>
  <c r="AI15" i="23"/>
  <c r="AG15" i="23" s="1"/>
  <c r="AI13" i="23"/>
  <c r="AG13" i="23" s="1"/>
  <c r="AI20" i="23"/>
  <c r="AG20" i="23" s="1"/>
  <c r="AG35" i="23" s="1"/>
  <c r="AH35" i="23" s="1"/>
  <c r="AB8" i="9"/>
  <c r="AA26" i="8"/>
  <c r="AI8" i="26"/>
  <c r="AF23" i="8"/>
  <c r="L35" i="23"/>
  <c r="M95" i="23"/>
  <c r="M11" i="23"/>
  <c r="L12" i="23"/>
  <c r="M20" i="23"/>
  <c r="M98" i="23"/>
  <c r="M35" i="23" l="1"/>
  <c r="K15" i="8" s="1"/>
  <c r="C109" i="32" s="1"/>
  <c r="AH100" i="23"/>
  <c r="AL20" i="23"/>
  <c r="AL35" i="23" s="1"/>
  <c r="AH20" i="23"/>
  <c r="AL13" i="23"/>
  <c r="AH13" i="23"/>
  <c r="AL15" i="23"/>
  <c r="AH15" i="23"/>
  <c r="AL45" i="23"/>
  <c r="AH45" i="23"/>
  <c r="AL47" i="23"/>
  <c r="AH47" i="23"/>
  <c r="AL49" i="23"/>
  <c r="AH49" i="23"/>
  <c r="AL54" i="23"/>
  <c r="AH54" i="23"/>
  <c r="AL57" i="23"/>
  <c r="AH57" i="23"/>
  <c r="AL59" i="23"/>
  <c r="AH59" i="23"/>
  <c r="AL11" i="23"/>
  <c r="AH11" i="23"/>
  <c r="AL14" i="23"/>
  <c r="AH14" i="23"/>
  <c r="AL36" i="23"/>
  <c r="AH36" i="23"/>
  <c r="AL42" i="23"/>
  <c r="AH42" i="23"/>
  <c r="AL46" i="23"/>
  <c r="AH46" i="23"/>
  <c r="AL48" i="23"/>
  <c r="AH48" i="23"/>
  <c r="AL53" i="23"/>
  <c r="AH53" i="23"/>
  <c r="AL55" i="23"/>
  <c r="AH55" i="23"/>
  <c r="AL58" i="23"/>
  <c r="AH58" i="23"/>
  <c r="AL60" i="23"/>
  <c r="AH60" i="23"/>
  <c r="AL52" i="23"/>
  <c r="AH52" i="23"/>
  <c r="AL101" i="23"/>
  <c r="AH101" i="23"/>
  <c r="AA27" i="8"/>
  <c r="S10" i="4" s="1"/>
  <c r="S9" i="4"/>
  <c r="Y40" i="9"/>
  <c r="AF40" i="9"/>
  <c r="AO95" i="23"/>
  <c r="AO98" i="23"/>
  <c r="M41" i="8"/>
  <c r="AN100" i="23"/>
  <c r="L100" i="23"/>
  <c r="J41" i="8"/>
  <c r="AH26" i="8"/>
  <c r="U26" i="8"/>
  <c r="R26" i="8"/>
  <c r="L26" i="8"/>
  <c r="X26" i="8"/>
  <c r="O26" i="8"/>
  <c r="AD101" i="23"/>
  <c r="AA101" i="23"/>
  <c r="X101" i="23"/>
  <c r="U101" i="23"/>
  <c r="R101" i="23"/>
  <c r="AE95" i="23"/>
  <c r="AE53" i="23"/>
  <c r="AE59" i="23"/>
  <c r="AE55" i="23"/>
  <c r="AO11" i="23"/>
  <c r="AE15" i="23"/>
  <c r="AE14" i="23"/>
  <c r="AE60" i="23"/>
  <c r="AE47" i="23"/>
  <c r="AE52" i="23"/>
  <c r="AE49" i="23"/>
  <c r="AE46" i="23"/>
  <c r="AE58" i="23"/>
  <c r="AE54" i="23"/>
  <c r="AE48" i="23"/>
  <c r="M8" i="23"/>
  <c r="K6" i="8" s="1"/>
  <c r="C9" i="32" s="1"/>
  <c r="L8" i="23"/>
  <c r="L73" i="23"/>
  <c r="P73" i="22"/>
  <c r="L8" i="28"/>
  <c r="M8" i="28" s="1"/>
  <c r="AF8" i="28" s="1"/>
  <c r="R13" i="23"/>
  <c r="U13" i="23"/>
  <c r="X13" i="23"/>
  <c r="AA13" i="23"/>
  <c r="AD13" i="23"/>
  <c r="AD15" i="23"/>
  <c r="R15" i="23"/>
  <c r="X15" i="23"/>
  <c r="U15" i="23"/>
  <c r="AA15" i="23"/>
  <c r="AD45" i="23"/>
  <c r="X45" i="23"/>
  <c r="R45" i="23"/>
  <c r="U45" i="23"/>
  <c r="AA45" i="23"/>
  <c r="AD57" i="23"/>
  <c r="X57" i="23"/>
  <c r="R57" i="23"/>
  <c r="AA57" i="23"/>
  <c r="U57" i="23"/>
  <c r="AA59" i="23"/>
  <c r="U59" i="23"/>
  <c r="AD59" i="23"/>
  <c r="X59" i="23"/>
  <c r="R36" i="23"/>
  <c r="U36" i="23"/>
  <c r="X36" i="23"/>
  <c r="AA36" i="23"/>
  <c r="AD36" i="23"/>
  <c r="AD55" i="23"/>
  <c r="X55" i="23"/>
  <c r="R55" i="23"/>
  <c r="AA55" i="23"/>
  <c r="U55" i="23"/>
  <c r="AA58" i="23"/>
  <c r="U58" i="23"/>
  <c r="AD58" i="23"/>
  <c r="R58" i="23"/>
  <c r="X58" i="23"/>
  <c r="AD60" i="23"/>
  <c r="X60" i="23"/>
  <c r="R60" i="23"/>
  <c r="U60" i="23"/>
  <c r="AA60" i="23"/>
  <c r="AC8" i="9"/>
  <c r="Y22" i="9"/>
  <c r="U8" i="28"/>
  <c r="AF6" i="8"/>
  <c r="M12" i="23"/>
  <c r="K12" i="8" s="1"/>
  <c r="C67" i="32" s="1"/>
  <c r="M100" i="23"/>
  <c r="M107" i="23" s="1"/>
  <c r="K74" i="23"/>
  <c r="AE15" i="8" l="1"/>
  <c r="AL100" i="23"/>
  <c r="AH27" i="8"/>
  <c r="Z10" i="4" s="1"/>
  <c r="Z9" i="4"/>
  <c r="O27" i="8"/>
  <c r="G10" i="4" s="1"/>
  <c r="G9" i="4"/>
  <c r="X27" i="8"/>
  <c r="P10" i="4" s="1"/>
  <c r="P9" i="4"/>
  <c r="L27" i="8"/>
  <c r="D10" i="4" s="1"/>
  <c r="D9" i="4"/>
  <c r="R27" i="8"/>
  <c r="J10" i="4" s="1"/>
  <c r="J9" i="4"/>
  <c r="U27" i="8"/>
  <c r="M10" i="4" s="1"/>
  <c r="M9" i="4"/>
  <c r="AO45" i="23"/>
  <c r="AO101" i="23"/>
  <c r="K41" i="8"/>
  <c r="K44" i="8" s="1"/>
  <c r="C36" i="4" s="1"/>
  <c r="AO58" i="23"/>
  <c r="AO42" i="23"/>
  <c r="AO53" i="23"/>
  <c r="C68" i="32"/>
  <c r="AO46" i="23"/>
  <c r="AO47" i="23"/>
  <c r="AO55" i="23"/>
  <c r="E326" i="32"/>
  <c r="E306" i="32"/>
  <c r="E311" i="32" s="1"/>
  <c r="AO60" i="23"/>
  <c r="AO57" i="23"/>
  <c r="AO48" i="23"/>
  <c r="AO49" i="23"/>
  <c r="AO100" i="23"/>
  <c r="AO13" i="23"/>
  <c r="AO14" i="23"/>
  <c r="AO59" i="23"/>
  <c r="AN107" i="23"/>
  <c r="L107" i="23"/>
  <c r="AO54" i="23"/>
  <c r="AO35" i="23"/>
  <c r="AO20" i="23"/>
  <c r="AE41" i="8"/>
  <c r="AF41" i="8" s="1"/>
  <c r="AK41" i="8"/>
  <c r="G43" i="3"/>
  <c r="E43" i="3" s="1"/>
  <c r="AO52" i="23"/>
  <c r="AO36" i="23"/>
  <c r="AO15" i="23"/>
  <c r="AL15" i="8"/>
  <c r="W109" i="32"/>
  <c r="AC109" i="32" s="1"/>
  <c r="D38" i="9"/>
  <c r="M44" i="8"/>
  <c r="J6" i="8"/>
  <c r="D5" i="9"/>
  <c r="M26" i="8"/>
  <c r="E9" i="4" s="1"/>
  <c r="AO103" i="23"/>
  <c r="P101" i="23"/>
  <c r="P103" i="23" s="1"/>
  <c r="R103" i="23"/>
  <c r="M73" i="23"/>
  <c r="S101" i="23"/>
  <c r="S103" i="23" s="1"/>
  <c r="U103" i="23"/>
  <c r="X103" i="23"/>
  <c r="V101" i="23"/>
  <c r="V103" i="23" s="1"/>
  <c r="AG103" i="23"/>
  <c r="AG107" i="23" s="1"/>
  <c r="AE101" i="23"/>
  <c r="AE103" i="23" s="1"/>
  <c r="AC42" i="8" s="1"/>
  <c r="U321" i="32" s="1"/>
  <c r="Y101" i="23"/>
  <c r="Y103" i="23" s="1"/>
  <c r="AA103" i="23"/>
  <c r="AB101" i="23"/>
  <c r="AB103" i="23" s="1"/>
  <c r="AD103" i="23"/>
  <c r="AE100" i="23"/>
  <c r="AE13" i="23"/>
  <c r="AG16" i="23"/>
  <c r="X61" i="23"/>
  <c r="AE20" i="23"/>
  <c r="AE42" i="23"/>
  <c r="AE11" i="23"/>
  <c r="AG12" i="23"/>
  <c r="AH12" i="23" s="1"/>
  <c r="AE36" i="23"/>
  <c r="AG37" i="23"/>
  <c r="AE45" i="23"/>
  <c r="AG56" i="23"/>
  <c r="U61" i="23"/>
  <c r="AE57" i="23"/>
  <c r="AE61" i="23" s="1"/>
  <c r="AC22" i="8" s="1"/>
  <c r="U215" i="32" s="1"/>
  <c r="AG61" i="23"/>
  <c r="AD61" i="23"/>
  <c r="AA61" i="23"/>
  <c r="AO61" i="23"/>
  <c r="G6" i="3"/>
  <c r="AE8" i="26"/>
  <c r="AF8" i="26"/>
  <c r="AD8" i="26"/>
  <c r="H9" i="12" s="1"/>
  <c r="H44" i="32" s="1"/>
  <c r="AH8" i="26"/>
  <c r="AG8" i="26"/>
  <c r="AE8" i="28"/>
  <c r="AC8" i="28"/>
  <c r="AD8" i="28"/>
  <c r="AA8" i="28"/>
  <c r="AB8" i="28"/>
  <c r="M13" i="8"/>
  <c r="C7" i="8"/>
  <c r="M7" i="8"/>
  <c r="K33" i="18"/>
  <c r="K113" i="18"/>
  <c r="K125" i="18"/>
  <c r="AE35" i="23" l="1"/>
  <c r="AC15" i="8" s="1"/>
  <c r="U109" i="32" s="1"/>
  <c r="AE107" i="23"/>
  <c r="AE22" i="8"/>
  <c r="V21" i="9" s="1"/>
  <c r="W21" i="9" s="1"/>
  <c r="AG21" i="9" s="1"/>
  <c r="AH61" i="23"/>
  <c r="AL56" i="23"/>
  <c r="AL37" i="23"/>
  <c r="AL44" i="23"/>
  <c r="AL16" i="23"/>
  <c r="AE42" i="8"/>
  <c r="W321" i="32" s="1"/>
  <c r="AC321" i="32" s="1"/>
  <c r="AH103" i="23"/>
  <c r="V14" i="9"/>
  <c r="Y14" i="9" s="1"/>
  <c r="AF15" i="8"/>
  <c r="Y5" i="9"/>
  <c r="AF5" i="9"/>
  <c r="AH107" i="23"/>
  <c r="AS6" i="3"/>
  <c r="AO6" i="3"/>
  <c r="AE44" i="23"/>
  <c r="AC20" i="8" s="1"/>
  <c r="U184" i="32" s="1"/>
  <c r="AE20" i="8"/>
  <c r="V19" i="9" s="1"/>
  <c r="AL41" i="8"/>
  <c r="W306" i="32"/>
  <c r="AC306" i="32" s="1"/>
  <c r="V38" i="9"/>
  <c r="E36" i="4"/>
  <c r="AE37" i="23"/>
  <c r="AC17" i="8" s="1"/>
  <c r="U139" i="32" s="1"/>
  <c r="AE17" i="8"/>
  <c r="V16" i="9" s="1"/>
  <c r="AC41" i="8"/>
  <c r="D41" i="9"/>
  <c r="AF7" i="8"/>
  <c r="AL7" i="8"/>
  <c r="AO73" i="23"/>
  <c r="AO12" i="23"/>
  <c r="AE16" i="23"/>
  <c r="AC14" i="8" s="1"/>
  <c r="U93" i="32" s="1"/>
  <c r="AE14" i="8"/>
  <c r="V13" i="9" s="1"/>
  <c r="W13" i="9" s="1"/>
  <c r="X109" i="32"/>
  <c r="AO43" i="3"/>
  <c r="AS43" i="3"/>
  <c r="J7" i="8"/>
  <c r="AK7" i="8"/>
  <c r="C306" i="32"/>
  <c r="AO107" i="23"/>
  <c r="AE56" i="23"/>
  <c r="AC21" i="8" s="1"/>
  <c r="U200" i="32" s="1"/>
  <c r="AE21" i="8"/>
  <c r="V20" i="9" s="1"/>
  <c r="W20" i="9" s="1"/>
  <c r="AG73" i="23"/>
  <c r="AH73" i="23" s="1"/>
  <c r="AE12" i="8"/>
  <c r="V11" i="9" s="1"/>
  <c r="D25" i="9"/>
  <c r="K26" i="8"/>
  <c r="C9" i="4" s="1"/>
  <c r="AJ101" i="23"/>
  <c r="AJ103" i="23" s="1"/>
  <c r="AL103" i="23"/>
  <c r="AI42" i="8" s="1"/>
  <c r="AA321" i="32" s="1"/>
  <c r="AG72" i="23"/>
  <c r="AE12" i="23"/>
  <c r="D6" i="9"/>
  <c r="D12" i="9"/>
  <c r="K9" i="12"/>
  <c r="K44" i="32" s="1"/>
  <c r="H9" i="13"/>
  <c r="K13" i="8"/>
  <c r="K88" i="18"/>
  <c r="K90" i="18" s="1"/>
  <c r="K115" i="18"/>
  <c r="K81" i="18"/>
  <c r="K65" i="18"/>
  <c r="K51" i="18"/>
  <c r="K42" i="18"/>
  <c r="K30" i="18"/>
  <c r="W215" i="32" l="1"/>
  <c r="AC215" i="32" s="1"/>
  <c r="AL22" i="8"/>
  <c r="AL107" i="23"/>
  <c r="AF21" i="9"/>
  <c r="AL42" i="8"/>
  <c r="AF42" i="8"/>
  <c r="AE44" i="8"/>
  <c r="AL44" i="8" s="1"/>
  <c r="V39" i="9"/>
  <c r="AF39" i="9" s="1"/>
  <c r="W14" i="9"/>
  <c r="AG14" i="9" s="1"/>
  <c r="AF14" i="9"/>
  <c r="Y38" i="9"/>
  <c r="AF38" i="9"/>
  <c r="W16" i="9"/>
  <c r="W19" i="9"/>
  <c r="W11" i="9"/>
  <c r="AG11" i="9" s="1"/>
  <c r="AF11" i="9"/>
  <c r="Y6" i="9"/>
  <c r="AF6" i="9"/>
  <c r="H9" i="6"/>
  <c r="H47" i="32"/>
  <c r="H53" i="32" s="1"/>
  <c r="AQ43" i="3"/>
  <c r="L40" i="26"/>
  <c r="Q40" i="26"/>
  <c r="AL43" i="3"/>
  <c r="W184" i="32"/>
  <c r="W93" i="32"/>
  <c r="W38" i="9"/>
  <c r="W200" i="32"/>
  <c r="W139" i="32"/>
  <c r="X306" i="32"/>
  <c r="X215" i="32"/>
  <c r="U306" i="32"/>
  <c r="AC44" i="8"/>
  <c r="U36" i="4" s="1"/>
  <c r="X321" i="32"/>
  <c r="AL12" i="8"/>
  <c r="W67" i="32"/>
  <c r="AC67" i="32" s="1"/>
  <c r="E41" i="4"/>
  <c r="AE72" i="23"/>
  <c r="AE25" i="8"/>
  <c r="AC25" i="8"/>
  <c r="U8" i="4" s="1"/>
  <c r="AE73" i="23"/>
  <c r="AC12" i="8"/>
  <c r="U67" i="32" s="1"/>
  <c r="Y11" i="9"/>
  <c r="AE13" i="8"/>
  <c r="AE26" i="8"/>
  <c r="AL26" i="8" s="1"/>
  <c r="AF12" i="8"/>
  <c r="AG74" i="23"/>
  <c r="G9" i="13"/>
  <c r="K9" i="13"/>
  <c r="N9" i="12"/>
  <c r="N44" i="32" s="1"/>
  <c r="I9" i="12"/>
  <c r="I44" i="32" s="1"/>
  <c r="K21" i="18"/>
  <c r="K19" i="18"/>
  <c r="K10" i="18"/>
  <c r="Y39" i="9" l="1"/>
  <c r="AF44" i="8"/>
  <c r="W36" i="4"/>
  <c r="AC36" i="4" s="1"/>
  <c r="W39" i="9"/>
  <c r="V41" i="9"/>
  <c r="AF41" i="9" s="1"/>
  <c r="G9" i="6"/>
  <c r="G47" i="32"/>
  <c r="G53" i="32" s="1"/>
  <c r="K9" i="6"/>
  <c r="K47" i="32"/>
  <c r="K53" i="32" s="1"/>
  <c r="AE74" i="23"/>
  <c r="U68" i="32"/>
  <c r="W41" i="9"/>
  <c r="W8" i="4"/>
  <c r="P40" i="26"/>
  <c r="I41" i="28"/>
  <c r="AF13" i="8"/>
  <c r="AL13" i="8"/>
  <c r="W68" i="32"/>
  <c r="X67" i="32"/>
  <c r="V24" i="9"/>
  <c r="V25" i="9"/>
  <c r="V12" i="9"/>
  <c r="W9" i="4"/>
  <c r="AC9" i="4" s="1"/>
  <c r="AE27" i="8"/>
  <c r="AF26" i="8"/>
  <c r="AC13" i="8"/>
  <c r="AC26" i="8"/>
  <c r="K89" i="18"/>
  <c r="K91" i="18" s="1"/>
  <c r="F9" i="13"/>
  <c r="F47" i="32" s="1"/>
  <c r="F53" i="32" s="1"/>
  <c r="L9" i="12"/>
  <c r="L44" i="32" s="1"/>
  <c r="Q9" i="12"/>
  <c r="Q44" i="32" s="1"/>
  <c r="N9" i="13"/>
  <c r="J9" i="13"/>
  <c r="D115" i="18"/>
  <c r="M87" i="18"/>
  <c r="M128" i="18"/>
  <c r="M127" i="18"/>
  <c r="M83" i="18"/>
  <c r="M82" i="18"/>
  <c r="AK24" i="7"/>
  <c r="N88" i="18"/>
  <c r="K24" i="7" s="1"/>
  <c r="D245" i="32" s="1"/>
  <c r="D251" i="32" s="1"/>
  <c r="AK42" i="7"/>
  <c r="D42" i="6"/>
  <c r="AK23" i="7"/>
  <c r="I88" i="18"/>
  <c r="H24" i="7" s="1"/>
  <c r="AE23" i="3" s="1"/>
  <c r="AD23" i="3" s="1"/>
  <c r="V23" i="26" s="1"/>
  <c r="H88" i="18"/>
  <c r="G24" i="7" s="1"/>
  <c r="Z23" i="3" s="1"/>
  <c r="Y23" i="3" s="1"/>
  <c r="U23" i="26" s="1"/>
  <c r="G88" i="18"/>
  <c r="F24" i="7" s="1"/>
  <c r="U23" i="3" s="1"/>
  <c r="T23" i="3" s="1"/>
  <c r="T23" i="26" s="1"/>
  <c r="F88" i="18"/>
  <c r="E24" i="7" s="1"/>
  <c r="P23" i="3" s="1"/>
  <c r="O23" i="3" s="1"/>
  <c r="S23" i="26" s="1"/>
  <c r="E88" i="18"/>
  <c r="D24" i="7" s="1"/>
  <c r="K23" i="3" s="1"/>
  <c r="J23" i="3" s="1"/>
  <c r="R23" i="26" s="1"/>
  <c r="AK41" i="7"/>
  <c r="D41" i="6"/>
  <c r="AK40" i="7"/>
  <c r="D40" i="6"/>
  <c r="M124" i="18"/>
  <c r="M122" i="18"/>
  <c r="M121" i="18"/>
  <c r="M118" i="18"/>
  <c r="M117" i="18"/>
  <c r="M116" i="18"/>
  <c r="M114" i="18"/>
  <c r="M115" i="18" s="1"/>
  <c r="J39" i="7" s="1"/>
  <c r="C290" i="32" s="1"/>
  <c r="C296" i="32" s="1"/>
  <c r="M112" i="18"/>
  <c r="M113" i="18" s="1"/>
  <c r="J38" i="7" s="1"/>
  <c r="C275" i="32" s="1"/>
  <c r="C281" i="32" s="1"/>
  <c r="AQ115" i="18"/>
  <c r="AM39" i="7" s="1"/>
  <c r="Z290" i="32" s="1"/>
  <c r="AQ113" i="18"/>
  <c r="AM38" i="7" s="1"/>
  <c r="Z275" i="32" s="1"/>
  <c r="AK39" i="7"/>
  <c r="D39" i="6"/>
  <c r="D38" i="6"/>
  <c r="I115" i="18"/>
  <c r="H39" i="7" s="1"/>
  <c r="AE42" i="3" s="1"/>
  <c r="AD42" i="3" s="1"/>
  <c r="V39" i="26" s="1"/>
  <c r="H115" i="18"/>
  <c r="G39" i="7" s="1"/>
  <c r="Z42" i="3" s="1"/>
  <c r="Y42" i="3" s="1"/>
  <c r="U39" i="26" s="1"/>
  <c r="G115" i="18"/>
  <c r="F39" i="7" s="1"/>
  <c r="U42" i="3" s="1"/>
  <c r="T42" i="3" s="1"/>
  <c r="T39" i="26" s="1"/>
  <c r="F115" i="18"/>
  <c r="E39" i="7" s="1"/>
  <c r="P42" i="3" s="1"/>
  <c r="O42" i="3" s="1"/>
  <c r="S39" i="26" s="1"/>
  <c r="M58" i="18"/>
  <c r="M52" i="18"/>
  <c r="AK18" i="7"/>
  <c r="AQ111" i="18"/>
  <c r="AM37" i="7" s="1"/>
  <c r="S37" i="6"/>
  <c r="P37" i="6"/>
  <c r="M37" i="6"/>
  <c r="J37" i="6"/>
  <c r="G37" i="6"/>
  <c r="AK37" i="7"/>
  <c r="D37" i="6"/>
  <c r="N33" i="18"/>
  <c r="K15" i="7" s="1"/>
  <c r="AF32" i="18"/>
  <c r="AB32" i="18"/>
  <c r="X32" i="18"/>
  <c r="T32" i="18"/>
  <c r="P32" i="18"/>
  <c r="M108" i="18"/>
  <c r="M107" i="18"/>
  <c r="M32" i="18"/>
  <c r="M31" i="18"/>
  <c r="M23" i="18"/>
  <c r="M14" i="18"/>
  <c r="M13" i="18"/>
  <c r="M12" i="18"/>
  <c r="M11" i="18"/>
  <c r="AQ23" i="18"/>
  <c r="AQ24" i="18" s="1"/>
  <c r="AM12" i="7" s="1"/>
  <c r="Z64" i="32" s="1"/>
  <c r="AQ14" i="18"/>
  <c r="AQ13" i="18"/>
  <c r="AQ12" i="18"/>
  <c r="AQ11" i="18"/>
  <c r="AK12" i="7"/>
  <c r="N76" i="20"/>
  <c r="I76" i="20"/>
  <c r="N61" i="20"/>
  <c r="N44" i="20"/>
  <c r="N37" i="20"/>
  <c r="I44" i="20"/>
  <c r="I37" i="20"/>
  <c r="N26" i="20"/>
  <c r="I26" i="20"/>
  <c r="K83" i="20"/>
  <c r="L83" i="20"/>
  <c r="M83" i="20"/>
  <c r="N83" i="20"/>
  <c r="F83" i="20"/>
  <c r="G83" i="20"/>
  <c r="H83" i="20"/>
  <c r="I83" i="20"/>
  <c r="K114" i="20"/>
  <c r="K41" i="26" s="1"/>
  <c r="L114" i="20"/>
  <c r="M114" i="20"/>
  <c r="N114" i="20"/>
  <c r="F114" i="20"/>
  <c r="G114" i="20"/>
  <c r="H114" i="20"/>
  <c r="I114" i="20"/>
  <c r="K104" i="20"/>
  <c r="L104" i="20"/>
  <c r="M104" i="20"/>
  <c r="N104" i="20"/>
  <c r="F104" i="20"/>
  <c r="G104" i="20"/>
  <c r="H104" i="20"/>
  <c r="I104" i="20"/>
  <c r="K52" i="20"/>
  <c r="K18" i="26" s="1"/>
  <c r="L52" i="20"/>
  <c r="M52" i="20"/>
  <c r="N52" i="20"/>
  <c r="F52" i="20"/>
  <c r="G52" i="20"/>
  <c r="I52" i="20"/>
  <c r="K29" i="20"/>
  <c r="K14" i="26" s="1"/>
  <c r="L29" i="20"/>
  <c r="M29" i="20"/>
  <c r="M14" i="26" s="1"/>
  <c r="N29" i="20"/>
  <c r="N14" i="26" s="1"/>
  <c r="F29" i="20"/>
  <c r="G29" i="20"/>
  <c r="H29" i="20"/>
  <c r="I29" i="20"/>
  <c r="N18" i="20"/>
  <c r="I18" i="20"/>
  <c r="N9" i="20"/>
  <c r="I9" i="20"/>
  <c r="H14" i="22"/>
  <c r="H35" i="22"/>
  <c r="H54" i="22"/>
  <c r="H59" i="22"/>
  <c r="H9" i="20"/>
  <c r="H18" i="20"/>
  <c r="H26" i="20"/>
  <c r="H37" i="20"/>
  <c r="H44" i="20"/>
  <c r="H61" i="20"/>
  <c r="H76" i="20"/>
  <c r="M9" i="20"/>
  <c r="M18" i="20"/>
  <c r="M26" i="20"/>
  <c r="M37" i="20"/>
  <c r="M44" i="20"/>
  <c r="M61" i="20"/>
  <c r="M76" i="20"/>
  <c r="N41" i="26" l="1"/>
  <c r="K42" i="28" s="1"/>
  <c r="K39" i="26"/>
  <c r="H40" i="28" s="1"/>
  <c r="K119" i="20"/>
  <c r="G119" i="20"/>
  <c r="I119" i="20"/>
  <c r="N39" i="26"/>
  <c r="K40" i="28" s="1"/>
  <c r="N119" i="20"/>
  <c r="H119" i="20"/>
  <c r="M39" i="26"/>
  <c r="J40" i="28" s="1"/>
  <c r="M119" i="20"/>
  <c r="M41" i="26"/>
  <c r="J42" i="28" s="1"/>
  <c r="F119" i="20"/>
  <c r="L119" i="20"/>
  <c r="N18" i="26"/>
  <c r="K18" i="28" s="1"/>
  <c r="M18" i="26"/>
  <c r="J18" i="28" s="1"/>
  <c r="AA39" i="26"/>
  <c r="Z39" i="26"/>
  <c r="S40" i="28"/>
  <c r="AB39" i="26"/>
  <c r="AC39" i="26"/>
  <c r="Z40" i="28" s="1"/>
  <c r="D108" i="32"/>
  <c r="D114" i="32" s="1"/>
  <c r="K26" i="7"/>
  <c r="D6" i="4" s="1"/>
  <c r="AM43" i="7"/>
  <c r="Z35" i="4" s="1"/>
  <c r="Z260" i="32"/>
  <c r="Z266" i="32" s="1"/>
  <c r="Y23" i="26"/>
  <c r="Z23" i="26"/>
  <c r="AA23" i="26"/>
  <c r="S23" i="28"/>
  <c r="AB23" i="26"/>
  <c r="AC23" i="26"/>
  <c r="Z23" i="28" s="1"/>
  <c r="X36" i="4"/>
  <c r="Y41" i="9"/>
  <c r="L85" i="20"/>
  <c r="N85" i="20"/>
  <c r="J14" i="28"/>
  <c r="H14" i="28"/>
  <c r="K25" i="26"/>
  <c r="H18" i="28"/>
  <c r="K43" i="26"/>
  <c r="H39" i="28"/>
  <c r="H42" i="28"/>
  <c r="P41" i="26"/>
  <c r="L115" i="18"/>
  <c r="AU115" i="18"/>
  <c r="C39" i="7"/>
  <c r="X68" i="32"/>
  <c r="AC68" i="32"/>
  <c r="Y12" i="9"/>
  <c r="AF12" i="9"/>
  <c r="Y25" i="9"/>
  <c r="AF25" i="9"/>
  <c r="W24" i="9"/>
  <c r="J9" i="6"/>
  <c r="J47" i="32"/>
  <c r="J53" i="32" s="1"/>
  <c r="N9" i="6"/>
  <c r="N47" i="32"/>
  <c r="N53" i="32" s="1"/>
  <c r="W10" i="4"/>
  <c r="X9" i="4"/>
  <c r="U9" i="4"/>
  <c r="AC27" i="8"/>
  <c r="U10" i="4" s="1"/>
  <c r="V26" i="9"/>
  <c r="W12" i="9"/>
  <c r="W25" i="9"/>
  <c r="D43" i="6"/>
  <c r="K85" i="20"/>
  <c r="M85" i="20"/>
  <c r="M129" i="18"/>
  <c r="J42" i="7" s="1"/>
  <c r="C335" i="32" s="1"/>
  <c r="C341" i="32" s="1"/>
  <c r="M84" i="20"/>
  <c r="N84" i="20"/>
  <c r="Z37" i="6"/>
  <c r="AQ130" i="18"/>
  <c r="M125" i="18"/>
  <c r="J41" i="7" s="1"/>
  <c r="C320" i="32" s="1"/>
  <c r="C326" i="32" s="1"/>
  <c r="M120" i="18"/>
  <c r="J40" i="7" s="1"/>
  <c r="C305" i="32" s="1"/>
  <c r="C311" i="32" s="1"/>
  <c r="M111" i="18"/>
  <c r="J37" i="7" s="1"/>
  <c r="C260" i="32" s="1"/>
  <c r="C266" i="32" s="1"/>
  <c r="AC90" i="18"/>
  <c r="Q90" i="18"/>
  <c r="AG90" i="18"/>
  <c r="U90" i="18"/>
  <c r="Y90" i="18"/>
  <c r="AQ16" i="18"/>
  <c r="I85" i="20"/>
  <c r="G85" i="20"/>
  <c r="F85" i="20"/>
  <c r="I84" i="20"/>
  <c r="H84" i="20"/>
  <c r="H72" i="22"/>
  <c r="H74" i="22" s="1"/>
  <c r="P104" i="20"/>
  <c r="P83" i="20"/>
  <c r="P118" i="20"/>
  <c r="P81" i="20"/>
  <c r="P114" i="20"/>
  <c r="P109" i="20"/>
  <c r="P47" i="20"/>
  <c r="P69" i="20"/>
  <c r="P100" i="20"/>
  <c r="P15" i="20"/>
  <c r="P21" i="20"/>
  <c r="AH128" i="18"/>
  <c r="R128" i="18"/>
  <c r="AD128" i="18"/>
  <c r="V128" i="18"/>
  <c r="Z128" i="18"/>
  <c r="AD114" i="18"/>
  <c r="AD115" i="18" s="1"/>
  <c r="AA39" i="7" s="1"/>
  <c r="Q290" i="32" s="1"/>
  <c r="V114" i="18"/>
  <c r="V115" i="18" s="1"/>
  <c r="S39" i="7" s="1"/>
  <c r="K290" i="32" s="1"/>
  <c r="AH114" i="18"/>
  <c r="AH115" i="18" s="1"/>
  <c r="AE39" i="7" s="1"/>
  <c r="T290" i="32" s="1"/>
  <c r="Z114" i="18"/>
  <c r="Z115" i="18" s="1"/>
  <c r="W39" i="7" s="1"/>
  <c r="N290" i="32" s="1"/>
  <c r="E18" i="6"/>
  <c r="X17" i="9"/>
  <c r="E38" i="6"/>
  <c r="C36" i="9"/>
  <c r="E39" i="6"/>
  <c r="C37" i="9"/>
  <c r="D24" i="6"/>
  <c r="E12" i="6"/>
  <c r="X11" i="9"/>
  <c r="E37" i="6"/>
  <c r="C35" i="9"/>
  <c r="AE35" i="9" s="1"/>
  <c r="E40" i="6"/>
  <c r="C38" i="9"/>
  <c r="E41" i="6"/>
  <c r="C39" i="9"/>
  <c r="E23" i="6"/>
  <c r="X22" i="9"/>
  <c r="E42" i="6"/>
  <c r="C40" i="9"/>
  <c r="E24" i="6"/>
  <c r="X23" i="9"/>
  <c r="F9" i="6"/>
  <c r="D33" i="18"/>
  <c r="I9" i="13"/>
  <c r="I47" i="32" s="1"/>
  <c r="I53" i="32" s="1"/>
  <c r="Q9" i="13"/>
  <c r="M9" i="13"/>
  <c r="O9" i="12"/>
  <c r="O44" i="32" s="1"/>
  <c r="T9" i="12"/>
  <c r="D15" i="6"/>
  <c r="AK6" i="7"/>
  <c r="AK19" i="7"/>
  <c r="AK15" i="7"/>
  <c r="M88" i="18"/>
  <c r="J24" i="7" s="1"/>
  <c r="C245" i="32" s="1"/>
  <c r="C251" i="32" s="1"/>
  <c r="D88" i="18"/>
  <c r="AP32" i="18"/>
  <c r="M59" i="18"/>
  <c r="J19" i="7" s="1"/>
  <c r="C168" i="32" s="1"/>
  <c r="C174" i="32" s="1"/>
  <c r="M86" i="18"/>
  <c r="J23" i="7" s="1"/>
  <c r="C230" i="32" s="1"/>
  <c r="C236" i="32" s="1"/>
  <c r="C39" i="6"/>
  <c r="C38" i="6"/>
  <c r="N90" i="18"/>
  <c r="M54" i="18"/>
  <c r="J18" i="7" s="1"/>
  <c r="M33" i="18"/>
  <c r="J15" i="7" s="1"/>
  <c r="C108" i="32" s="1"/>
  <c r="C114" i="32" s="1"/>
  <c r="M24" i="18"/>
  <c r="J12" i="7" s="1"/>
  <c r="C64" i="32" s="1"/>
  <c r="D113" i="18"/>
  <c r="M16" i="18"/>
  <c r="J6" i="7" s="1"/>
  <c r="C6" i="32" s="1"/>
  <c r="C24" i="32" s="1"/>
  <c r="AL18" i="3"/>
  <c r="AL17" i="3"/>
  <c r="P18" i="26" l="1"/>
  <c r="M25" i="26"/>
  <c r="M42" i="28"/>
  <c r="AQ90" i="18"/>
  <c r="AM6" i="7"/>
  <c r="C40" i="6"/>
  <c r="C42" i="6"/>
  <c r="C41" i="6"/>
  <c r="AU113" i="18"/>
  <c r="C38" i="7"/>
  <c r="C65" i="32"/>
  <c r="C82" i="32"/>
  <c r="C83" i="32" s="1"/>
  <c r="J26" i="7"/>
  <c r="C6" i="4" s="1"/>
  <c r="C153" i="32"/>
  <c r="C159" i="32" s="1"/>
  <c r="L88" i="18"/>
  <c r="AU88" i="18"/>
  <c r="C24" i="7"/>
  <c r="L33" i="18"/>
  <c r="AU33" i="18"/>
  <c r="C15" i="7"/>
  <c r="X40" i="9"/>
  <c r="AE40" i="9"/>
  <c r="X39" i="9"/>
  <c r="AE39" i="9"/>
  <c r="X37" i="9"/>
  <c r="AE37" i="9"/>
  <c r="AE36" i="9"/>
  <c r="AQ39" i="7"/>
  <c r="AR39" i="7" s="1"/>
  <c r="F42" i="3"/>
  <c r="H44" i="28"/>
  <c r="M43" i="26"/>
  <c r="J39" i="28"/>
  <c r="J44" i="28" s="1"/>
  <c r="N43" i="26"/>
  <c r="K39" i="28"/>
  <c r="K44" i="28" s="1"/>
  <c r="H25" i="28"/>
  <c r="K26" i="26"/>
  <c r="H26" i="28" s="1"/>
  <c r="J25" i="28"/>
  <c r="M26" i="26"/>
  <c r="J26" i="28" s="1"/>
  <c r="K14" i="28"/>
  <c r="N25" i="26"/>
  <c r="J43" i="7"/>
  <c r="C35" i="4" s="1"/>
  <c r="C41" i="4" s="1"/>
  <c r="X38" i="9"/>
  <c r="AE38" i="9"/>
  <c r="C41" i="9"/>
  <c r="X35" i="9"/>
  <c r="W26" i="9"/>
  <c r="M9" i="6"/>
  <c r="M47" i="32"/>
  <c r="M53" i="32" s="1"/>
  <c r="Q9" i="6"/>
  <c r="Q47" i="32"/>
  <c r="Q53" i="32" s="1"/>
  <c r="T44" i="32"/>
  <c r="W9" i="12"/>
  <c r="AC9" i="12" s="1"/>
  <c r="L30" i="18"/>
  <c r="C14" i="7"/>
  <c r="C37" i="6"/>
  <c r="E39" i="9"/>
  <c r="E38" i="9"/>
  <c r="E36" i="9"/>
  <c r="E40" i="9"/>
  <c r="E35" i="9"/>
  <c r="E43" i="6"/>
  <c r="M130" i="18"/>
  <c r="U91" i="18"/>
  <c r="AG91" i="18"/>
  <c r="Q91" i="18"/>
  <c r="Y91" i="18"/>
  <c r="AC91" i="18"/>
  <c r="L113" i="18"/>
  <c r="D130" i="18"/>
  <c r="D90" i="18"/>
  <c r="Z47" i="18"/>
  <c r="AD47" i="18"/>
  <c r="R47" i="18"/>
  <c r="V47" i="18"/>
  <c r="AH47" i="18"/>
  <c r="V61" i="18"/>
  <c r="AD61" i="18"/>
  <c r="R61" i="18"/>
  <c r="Z61" i="18"/>
  <c r="AH61" i="18"/>
  <c r="R63" i="18"/>
  <c r="Z63" i="18"/>
  <c r="AD63" i="18"/>
  <c r="AH63" i="18"/>
  <c r="V63" i="18"/>
  <c r="Z87" i="18"/>
  <c r="Z88" i="18" s="1"/>
  <c r="AH87" i="18"/>
  <c r="AH88" i="18" s="1"/>
  <c r="AD87" i="18"/>
  <c r="AD88" i="18" s="1"/>
  <c r="V87" i="18"/>
  <c r="V88" i="18" s="1"/>
  <c r="R87" i="18"/>
  <c r="R88" i="18" s="1"/>
  <c r="AD52" i="18"/>
  <c r="AD54" i="18" s="1"/>
  <c r="V52" i="18"/>
  <c r="V54" i="18" s="1"/>
  <c r="Z52" i="18"/>
  <c r="Z54" i="18" s="1"/>
  <c r="AH52" i="18"/>
  <c r="AH54" i="18" s="1"/>
  <c r="R52" i="18"/>
  <c r="R54" i="18" s="1"/>
  <c r="V82" i="18"/>
  <c r="R82" i="18"/>
  <c r="AH82" i="18"/>
  <c r="Z82" i="18"/>
  <c r="AD82" i="18"/>
  <c r="R7" i="18"/>
  <c r="AH7" i="18"/>
  <c r="AD7" i="18"/>
  <c r="Z7" i="18"/>
  <c r="V7" i="18"/>
  <c r="AD37" i="18"/>
  <c r="R37" i="18"/>
  <c r="V37" i="18"/>
  <c r="Z37" i="18"/>
  <c r="AH37" i="18"/>
  <c r="AH83" i="18"/>
  <c r="AD27" i="18"/>
  <c r="V27" i="18"/>
  <c r="Z27" i="18"/>
  <c r="AH27" i="18"/>
  <c r="Z36" i="18"/>
  <c r="AD36" i="18"/>
  <c r="R36" i="18"/>
  <c r="V36" i="18"/>
  <c r="AH36" i="18"/>
  <c r="R38" i="18"/>
  <c r="V38" i="18"/>
  <c r="AH38" i="18"/>
  <c r="Z38" i="18"/>
  <c r="AD38" i="18"/>
  <c r="V50" i="18"/>
  <c r="Z50" i="18"/>
  <c r="AH50" i="18"/>
  <c r="AD50" i="18"/>
  <c r="AH60" i="18"/>
  <c r="Z75" i="18"/>
  <c r="AD75" i="18"/>
  <c r="V75" i="18"/>
  <c r="AH75" i="18"/>
  <c r="E15" i="6"/>
  <c r="X14" i="9"/>
  <c r="E19" i="6"/>
  <c r="X18" i="9"/>
  <c r="E6" i="6"/>
  <c r="C5" i="9"/>
  <c r="D23" i="6"/>
  <c r="D19" i="6"/>
  <c r="D18" i="6"/>
  <c r="D12" i="6"/>
  <c r="Z22" i="9"/>
  <c r="E37" i="9"/>
  <c r="Z17" i="9"/>
  <c r="Z23" i="9"/>
  <c r="Z11" i="9"/>
  <c r="I9" i="6"/>
  <c r="T9" i="13"/>
  <c r="P9" i="13"/>
  <c r="R9" i="12"/>
  <c r="R44" i="32" s="1"/>
  <c r="L9" i="13"/>
  <c r="L47" i="32" s="1"/>
  <c r="L53" i="32" s="1"/>
  <c r="X114" i="18"/>
  <c r="X115" i="18" s="1"/>
  <c r="U39" i="7" s="1"/>
  <c r="L290" i="32" s="1"/>
  <c r="AF114" i="18"/>
  <c r="AF115" i="18" s="1"/>
  <c r="AC39" i="7" s="1"/>
  <c r="R290" i="32" s="1"/>
  <c r="T114" i="18"/>
  <c r="T115" i="18" s="1"/>
  <c r="Q39" i="7" s="1"/>
  <c r="I290" i="32" s="1"/>
  <c r="AB114" i="18"/>
  <c r="AB115" i="18" s="1"/>
  <c r="Y39" i="7" s="1"/>
  <c r="O290" i="32" s="1"/>
  <c r="N38" i="28"/>
  <c r="P38" i="28"/>
  <c r="R38" i="28"/>
  <c r="P17" i="28"/>
  <c r="R17" i="28"/>
  <c r="O18" i="28"/>
  <c r="Q18" i="28"/>
  <c r="P40" i="28"/>
  <c r="R40" i="28"/>
  <c r="P22" i="28"/>
  <c r="R22" i="28"/>
  <c r="O43" i="28"/>
  <c r="Q43" i="28"/>
  <c r="P23" i="28"/>
  <c r="R23" i="28"/>
  <c r="O38" i="28"/>
  <c r="O17" i="28"/>
  <c r="Q17" i="28"/>
  <c r="P18" i="28"/>
  <c r="R18" i="28"/>
  <c r="O39" i="28"/>
  <c r="N41" i="28"/>
  <c r="O22" i="28"/>
  <c r="Q22" i="28"/>
  <c r="N43" i="28"/>
  <c r="O23" i="28"/>
  <c r="Q23" i="28"/>
  <c r="AL22" i="3"/>
  <c r="M90" i="18"/>
  <c r="N86" i="20"/>
  <c r="M86" i="20"/>
  <c r="AM26" i="7" l="1"/>
  <c r="Z6" i="4" s="1"/>
  <c r="Z6" i="32"/>
  <c r="C43" i="6"/>
  <c r="X5" i="9"/>
  <c r="AE5" i="9"/>
  <c r="L130" i="18"/>
  <c r="AU130" i="18"/>
  <c r="F13" i="3"/>
  <c r="AR13" i="3" s="1"/>
  <c r="AQ14" i="7"/>
  <c r="AR14" i="7" s="1"/>
  <c r="K25" i="28"/>
  <c r="N26" i="26"/>
  <c r="K26" i="28" s="1"/>
  <c r="E42" i="3"/>
  <c r="AN42" i="3"/>
  <c r="AR42" i="3"/>
  <c r="AQ15" i="7"/>
  <c r="AR15" i="7" s="1"/>
  <c r="F14" i="3"/>
  <c r="E14" i="3" s="1"/>
  <c r="C26" i="7"/>
  <c r="AQ26" i="7" s="1"/>
  <c r="AR26" i="7" s="1"/>
  <c r="AQ24" i="7"/>
  <c r="AR24" i="7" s="1"/>
  <c r="F23" i="3"/>
  <c r="AQ38" i="7"/>
  <c r="AR38" i="7" s="1"/>
  <c r="F41" i="3"/>
  <c r="E41" i="3" s="1"/>
  <c r="C43" i="7"/>
  <c r="AQ43" i="7" s="1"/>
  <c r="AR43" i="7" s="1"/>
  <c r="Z37" i="9"/>
  <c r="AG37" i="9"/>
  <c r="Z40" i="9"/>
  <c r="AG40" i="9"/>
  <c r="Z36" i="9"/>
  <c r="AG36" i="9"/>
  <c r="Z39" i="9"/>
  <c r="AG39" i="9"/>
  <c r="Z35" i="9"/>
  <c r="AG35" i="9"/>
  <c r="X41" i="9"/>
  <c r="AE41" i="9"/>
  <c r="Z38" i="9"/>
  <c r="AG38" i="9"/>
  <c r="AB88" i="18"/>
  <c r="Y24" i="7" s="1"/>
  <c r="O245" i="32" s="1"/>
  <c r="AA24" i="7"/>
  <c r="AF88" i="18"/>
  <c r="AC24" i="7" s="1"/>
  <c r="R245" i="32" s="1"/>
  <c r="AE24" i="7"/>
  <c r="X88" i="18"/>
  <c r="U24" i="7" s="1"/>
  <c r="L245" i="32" s="1"/>
  <c r="W24" i="7"/>
  <c r="P88" i="18"/>
  <c r="M24" i="7" s="1"/>
  <c r="F245" i="32" s="1"/>
  <c r="O24" i="7"/>
  <c r="T88" i="18"/>
  <c r="Q24" i="7" s="1"/>
  <c r="I245" i="32" s="1"/>
  <c r="S24" i="7"/>
  <c r="L90" i="18"/>
  <c r="AU90" i="18"/>
  <c r="P9" i="6"/>
  <c r="P47" i="32"/>
  <c r="P53" i="32" s="1"/>
  <c r="T9" i="6"/>
  <c r="T47" i="32"/>
  <c r="T53" i="32" s="1"/>
  <c r="W9" i="13"/>
  <c r="U9" i="12"/>
  <c r="W44" i="32"/>
  <c r="AC44" i="32" s="1"/>
  <c r="AA9" i="12"/>
  <c r="AA44" i="32" s="1"/>
  <c r="E41" i="9"/>
  <c r="AF54" i="18"/>
  <c r="AC18" i="7" s="1"/>
  <c r="AE18" i="7"/>
  <c r="X54" i="18"/>
  <c r="U18" i="7" s="1"/>
  <c r="W18" i="7"/>
  <c r="AB54" i="18"/>
  <c r="Y18" i="7" s="1"/>
  <c r="AA18" i="7"/>
  <c r="T54" i="18"/>
  <c r="Q18" i="7" s="1"/>
  <c r="S18" i="7"/>
  <c r="P54" i="18"/>
  <c r="M18" i="7" s="1"/>
  <c r="O18" i="7"/>
  <c r="C25" i="9"/>
  <c r="E26" i="6"/>
  <c r="E24" i="4"/>
  <c r="AK26" i="7"/>
  <c r="AH86" i="18"/>
  <c r="Y43" i="28"/>
  <c r="R43" i="28"/>
  <c r="W43" i="28"/>
  <c r="P43" i="28"/>
  <c r="X40" i="28"/>
  <c r="Q40" i="28"/>
  <c r="N18" i="28"/>
  <c r="N17" i="28"/>
  <c r="X38" i="28"/>
  <c r="Q38" i="28"/>
  <c r="N22" i="28"/>
  <c r="Z14" i="9"/>
  <c r="C19" i="6"/>
  <c r="C24" i="6"/>
  <c r="C23" i="6"/>
  <c r="C18" i="6"/>
  <c r="C15" i="6"/>
  <c r="C12" i="6"/>
  <c r="E5" i="9"/>
  <c r="Z18" i="9"/>
  <c r="L9" i="6"/>
  <c r="S9" i="13"/>
  <c r="S47" i="32" s="1"/>
  <c r="S53" i="32" s="1"/>
  <c r="O9" i="13"/>
  <c r="O47" i="32" s="1"/>
  <c r="O53" i="32" s="1"/>
  <c r="P52" i="18"/>
  <c r="AR54" i="18"/>
  <c r="AF52" i="18"/>
  <c r="T87" i="18"/>
  <c r="AB87" i="18"/>
  <c r="AR88" i="18"/>
  <c r="AF87" i="18"/>
  <c r="AB52" i="18"/>
  <c r="X52" i="18"/>
  <c r="T52" i="18"/>
  <c r="X87" i="18"/>
  <c r="P87" i="18"/>
  <c r="AP114" i="18"/>
  <c r="AP115" i="18" s="1"/>
  <c r="AL39" i="7" s="1"/>
  <c r="Y290" i="32" s="1"/>
  <c r="AR115" i="18"/>
  <c r="AN39" i="7" s="1"/>
  <c r="AA290" i="32" s="1"/>
  <c r="AF82" i="18"/>
  <c r="AB82" i="18"/>
  <c r="X82" i="18"/>
  <c r="P82" i="18"/>
  <c r="T82" i="18"/>
  <c r="X43" i="28"/>
  <c r="V43" i="28"/>
  <c r="Y38" i="28"/>
  <c r="W38" i="28"/>
  <c r="V38" i="28"/>
  <c r="Y40" i="28"/>
  <c r="W40" i="28"/>
  <c r="E46" i="3" l="1"/>
  <c r="AN13" i="3"/>
  <c r="F46" i="3"/>
  <c r="AA9" i="6"/>
  <c r="AN41" i="3"/>
  <c r="AR41" i="3"/>
  <c r="AN23" i="3"/>
  <c r="AR23" i="3"/>
  <c r="E23" i="3"/>
  <c r="AR14" i="3"/>
  <c r="AN14" i="3"/>
  <c r="Q39" i="26"/>
  <c r="L39" i="26"/>
  <c r="AL42" i="3"/>
  <c r="AQ42" i="3"/>
  <c r="Y9" i="12"/>
  <c r="Y44" i="32" s="1"/>
  <c r="Z5" i="9"/>
  <c r="AG5" i="9"/>
  <c r="Z41" i="9"/>
  <c r="AG41" i="9"/>
  <c r="H245" i="32"/>
  <c r="N245" i="32"/>
  <c r="T245" i="32"/>
  <c r="AP88" i="18"/>
  <c r="AL24" i="7" s="1"/>
  <c r="Y245" i="32" s="1"/>
  <c r="AN24" i="7"/>
  <c r="AA245" i="32" s="1"/>
  <c r="K245" i="32"/>
  <c r="Q245" i="32"/>
  <c r="AF86" i="18"/>
  <c r="AC23" i="7" s="1"/>
  <c r="R230" i="32" s="1"/>
  <c r="AE23" i="7"/>
  <c r="R153" i="32"/>
  <c r="T153" i="32"/>
  <c r="Q153" i="32"/>
  <c r="O153" i="32"/>
  <c r="N153" i="32"/>
  <c r="L153" i="32"/>
  <c r="K153" i="32"/>
  <c r="I153" i="32"/>
  <c r="F153" i="32"/>
  <c r="H153" i="32"/>
  <c r="AN46" i="3"/>
  <c r="AR46" i="3"/>
  <c r="X25" i="9"/>
  <c r="AE25" i="9"/>
  <c r="Z9" i="13"/>
  <c r="W47" i="32"/>
  <c r="AC47" i="32" s="1"/>
  <c r="V9" i="13"/>
  <c r="X9" i="13"/>
  <c r="W9" i="6"/>
  <c r="AC9" i="6" s="1"/>
  <c r="U44" i="32"/>
  <c r="AP54" i="18"/>
  <c r="AL18" i="7" s="1"/>
  <c r="AN18" i="7"/>
  <c r="E25" i="9"/>
  <c r="AI37" i="26"/>
  <c r="O43" i="26"/>
  <c r="AH107" i="18"/>
  <c r="L38" i="28"/>
  <c r="U38" i="28"/>
  <c r="V17" i="28"/>
  <c r="Y18" i="28"/>
  <c r="X22" i="28"/>
  <c r="X23" i="28"/>
  <c r="V18" i="28"/>
  <c r="Y22" i="28"/>
  <c r="W23" i="28"/>
  <c r="W18" i="28"/>
  <c r="Y17" i="28"/>
  <c r="X18" i="28"/>
  <c r="W22" i="28"/>
  <c r="Y23" i="28"/>
  <c r="W17" i="28"/>
  <c r="X17" i="28"/>
  <c r="V22" i="28"/>
  <c r="V23" i="28"/>
  <c r="Z9" i="6"/>
  <c r="S9" i="6"/>
  <c r="O9" i="6"/>
  <c r="R9" i="13"/>
  <c r="R47" i="32" s="1"/>
  <c r="R53" i="32" s="1"/>
  <c r="AP87" i="18"/>
  <c r="AP52" i="18"/>
  <c r="AH108" i="18"/>
  <c r="AI42" i="26"/>
  <c r="AP82" i="18"/>
  <c r="P39" i="26" l="1"/>
  <c r="I40" i="28"/>
  <c r="N40" i="28"/>
  <c r="AQ14" i="3"/>
  <c r="L14" i="26"/>
  <c r="Q14" i="26"/>
  <c r="AL14" i="3"/>
  <c r="E25" i="3"/>
  <c r="AQ23" i="3"/>
  <c r="Q23" i="26"/>
  <c r="L23" i="26"/>
  <c r="AL23" i="3"/>
  <c r="Q38" i="26"/>
  <c r="L38" i="26"/>
  <c r="AL41" i="3"/>
  <c r="AQ41" i="3"/>
  <c r="T230" i="32"/>
  <c r="AA153" i="32"/>
  <c r="Y153" i="32"/>
  <c r="W53" i="32"/>
  <c r="Z25" i="9"/>
  <c r="AG25" i="9"/>
  <c r="X9" i="6"/>
  <c r="U9" i="13"/>
  <c r="V47" i="32"/>
  <c r="V9" i="6"/>
  <c r="AA47" i="32"/>
  <c r="AA53" i="32" s="1"/>
  <c r="X47" i="32"/>
  <c r="M38" i="28"/>
  <c r="AE37" i="26"/>
  <c r="AH111" i="18"/>
  <c r="AE37" i="7" s="1"/>
  <c r="T260" i="32" s="1"/>
  <c r="AP107" i="18"/>
  <c r="AF107" i="18"/>
  <c r="J24" i="8"/>
  <c r="AG37" i="26"/>
  <c r="AD37" i="26"/>
  <c r="AF37" i="26"/>
  <c r="AH37" i="26"/>
  <c r="L39" i="28"/>
  <c r="V108" i="18"/>
  <c r="T108" i="18" s="1"/>
  <c r="V107" i="18"/>
  <c r="Z107" i="18"/>
  <c r="Z108" i="18"/>
  <c r="X108" i="18" s="1"/>
  <c r="R108" i="18"/>
  <c r="P108" i="18" s="1"/>
  <c r="AD108" i="18"/>
  <c r="AB108" i="18" s="1"/>
  <c r="R107" i="18"/>
  <c r="AD107" i="18"/>
  <c r="F25" i="3"/>
  <c r="R9" i="6"/>
  <c r="G46" i="3"/>
  <c r="J42" i="8"/>
  <c r="Y9" i="6"/>
  <c r="U43" i="28"/>
  <c r="L43" i="28"/>
  <c r="M43" i="28" s="1"/>
  <c r="AF43" i="28" s="1"/>
  <c r="L41" i="28"/>
  <c r="M41" i="28" s="1"/>
  <c r="AH113" i="18"/>
  <c r="AE38" i="7" s="1"/>
  <c r="T275" i="32" s="1"/>
  <c r="Z113" i="18"/>
  <c r="W38" i="7" s="1"/>
  <c r="N275" i="32" s="1"/>
  <c r="AD113" i="18"/>
  <c r="AA38" i="7" s="1"/>
  <c r="Q275" i="32" s="1"/>
  <c r="V113" i="18"/>
  <c r="S38" i="7" s="1"/>
  <c r="K275" i="32" s="1"/>
  <c r="O38" i="7"/>
  <c r="H275" i="32" s="1"/>
  <c r="AH118" i="18"/>
  <c r="AH116" i="18"/>
  <c r="AD98" i="23"/>
  <c r="AH117" i="18"/>
  <c r="AA95" i="23"/>
  <c r="AD95" i="23"/>
  <c r="X95" i="23"/>
  <c r="U95" i="23"/>
  <c r="R95" i="23"/>
  <c r="AD127" i="18"/>
  <c r="AD129" i="18" s="1"/>
  <c r="AA42" i="7" s="1"/>
  <c r="Q335" i="32" s="1"/>
  <c r="V127" i="18"/>
  <c r="V129" i="18" s="1"/>
  <c r="S42" i="7" s="1"/>
  <c r="K335" i="32" s="1"/>
  <c r="AH127" i="18"/>
  <c r="AH129" i="18" s="1"/>
  <c r="AE42" i="7" s="1"/>
  <c r="T335" i="32" s="1"/>
  <c r="Z127" i="18"/>
  <c r="Z129" i="18" s="1"/>
  <c r="W42" i="7" s="1"/>
  <c r="N335" i="32" s="1"/>
  <c r="R127" i="18"/>
  <c r="R129" i="18" s="1"/>
  <c r="O42" i="7" s="1"/>
  <c r="H335" i="32" s="1"/>
  <c r="AB128" i="18"/>
  <c r="T128" i="18"/>
  <c r="P128" i="18"/>
  <c r="X128" i="18"/>
  <c r="AG42" i="26"/>
  <c r="AH42" i="26"/>
  <c r="AE42" i="26"/>
  <c r="AF42" i="26"/>
  <c r="AD100" i="23" l="1"/>
  <c r="AD107" i="23" s="1"/>
  <c r="AL46" i="3"/>
  <c r="AQ46" i="3"/>
  <c r="P38" i="26"/>
  <c r="I39" i="28"/>
  <c r="L43" i="26"/>
  <c r="X38" i="26"/>
  <c r="U39" i="28" s="1"/>
  <c r="Q43" i="26"/>
  <c r="N39" i="28"/>
  <c r="N44" i="28" s="1"/>
  <c r="P23" i="26"/>
  <c r="AI23" i="26" s="1"/>
  <c r="I23" i="28"/>
  <c r="X23" i="26"/>
  <c r="N23" i="28"/>
  <c r="AL25" i="3"/>
  <c r="AQ25" i="3"/>
  <c r="N14" i="28"/>
  <c r="Q25" i="26"/>
  <c r="N25" i="28" s="1"/>
  <c r="P14" i="26"/>
  <c r="I14" i="28"/>
  <c r="L25" i="26"/>
  <c r="I25" i="28" s="1"/>
  <c r="AN25" i="3"/>
  <c r="AR25" i="3"/>
  <c r="X53" i="32"/>
  <c r="AC53" i="32"/>
  <c r="Z47" i="32"/>
  <c r="Z53" i="32" s="1"/>
  <c r="V53" i="32"/>
  <c r="U47" i="32"/>
  <c r="U9" i="6"/>
  <c r="AS46" i="3"/>
  <c r="AO46" i="3"/>
  <c r="AC38" i="28"/>
  <c r="AF38" i="28"/>
  <c r="H39" i="12"/>
  <c r="T107" i="18"/>
  <c r="T111" i="18" s="1"/>
  <c r="Q37" i="7" s="1"/>
  <c r="I260" i="32" s="1"/>
  <c r="V111" i="18"/>
  <c r="S37" i="7" s="1"/>
  <c r="K260" i="32" s="1"/>
  <c r="AB107" i="18"/>
  <c r="AB111" i="18" s="1"/>
  <c r="Y37" i="7" s="1"/>
  <c r="O260" i="32" s="1"/>
  <c r="AD111" i="18"/>
  <c r="AA37" i="7" s="1"/>
  <c r="Q260" i="32" s="1"/>
  <c r="P107" i="18"/>
  <c r="P111" i="18" s="1"/>
  <c r="M37" i="7" s="1"/>
  <c r="F260" i="32" s="1"/>
  <c r="R111" i="18"/>
  <c r="O37" i="7" s="1"/>
  <c r="H260" i="32" s="1"/>
  <c r="AH120" i="18"/>
  <c r="AE40" i="7" s="1"/>
  <c r="X107" i="18"/>
  <c r="X111" i="18" s="1"/>
  <c r="U37" i="7" s="1"/>
  <c r="L260" i="32" s="1"/>
  <c r="Z111" i="18"/>
  <c r="W37" i="7" s="1"/>
  <c r="N260" i="32" s="1"/>
  <c r="AE38" i="28"/>
  <c r="AB38" i="28"/>
  <c r="AA38" i="28"/>
  <c r="AD38" i="28"/>
  <c r="AD42" i="26"/>
  <c r="H44" i="12" s="1"/>
  <c r="X98" i="23"/>
  <c r="U98" i="23"/>
  <c r="R98" i="23"/>
  <c r="AA98" i="23"/>
  <c r="Z117" i="18"/>
  <c r="X117" i="18" s="1"/>
  <c r="V117" i="18"/>
  <c r="T117" i="18" s="1"/>
  <c r="Z116" i="18"/>
  <c r="R116" i="18"/>
  <c r="AD116" i="18"/>
  <c r="V118" i="18"/>
  <c r="T118" i="18" s="1"/>
  <c r="R117" i="18"/>
  <c r="P117" i="18" s="1"/>
  <c r="AD117" i="18"/>
  <c r="AB117" i="18" s="1"/>
  <c r="V116" i="18"/>
  <c r="Z118" i="18"/>
  <c r="X118" i="18" s="1"/>
  <c r="R118" i="18"/>
  <c r="P118" i="18" s="1"/>
  <c r="AD118" i="18"/>
  <c r="AB118" i="18" s="1"/>
  <c r="J15" i="8"/>
  <c r="J40" i="8"/>
  <c r="AI39" i="26"/>
  <c r="R114" i="18"/>
  <c r="R115" i="18" s="1"/>
  <c r="O39" i="7" s="1"/>
  <c r="H290" i="32" s="1"/>
  <c r="AD43" i="28"/>
  <c r="AC43" i="28"/>
  <c r="AB43" i="28"/>
  <c r="AA43" i="28"/>
  <c r="H44" i="13" s="1"/>
  <c r="H339" i="32" s="1"/>
  <c r="AE43" i="28"/>
  <c r="AF108" i="18"/>
  <c r="AF111" i="18" s="1"/>
  <c r="AC37" i="7" s="1"/>
  <c r="R260" i="32" s="1"/>
  <c r="AP108" i="18"/>
  <c r="AP111" i="18" s="1"/>
  <c r="AL37" i="7" s="1"/>
  <c r="Y260" i="32" s="1"/>
  <c r="F113" i="18"/>
  <c r="E38" i="7" s="1"/>
  <c r="G113" i="18"/>
  <c r="F38" i="7" s="1"/>
  <c r="H113" i="18"/>
  <c r="G38" i="7" s="1"/>
  <c r="I113" i="18"/>
  <c r="H38" i="7" s="1"/>
  <c r="AI22" i="26"/>
  <c r="P41" i="3" l="1"/>
  <c r="O41" i="3" s="1"/>
  <c r="S38" i="26" s="1"/>
  <c r="AE41" i="3"/>
  <c r="AD41" i="3" s="1"/>
  <c r="V38" i="26" s="1"/>
  <c r="U41" i="3"/>
  <c r="T41" i="3" s="1"/>
  <c r="T38" i="26" s="1"/>
  <c r="Z41" i="3"/>
  <c r="Y41" i="3" s="1"/>
  <c r="U38" i="26" s="1"/>
  <c r="AD38" i="26"/>
  <c r="H40" i="12" s="1"/>
  <c r="H278" i="32" s="1"/>
  <c r="I44" i="28"/>
  <c r="M39" i="28"/>
  <c r="Y98" i="23"/>
  <c r="AA100" i="23"/>
  <c r="AA107" i="23" s="1"/>
  <c r="P98" i="23"/>
  <c r="R100" i="23"/>
  <c r="R107" i="23" s="1"/>
  <c r="S98" i="23"/>
  <c r="U100" i="23"/>
  <c r="U107" i="23" s="1"/>
  <c r="V98" i="23"/>
  <c r="X100" i="23"/>
  <c r="X107" i="23" s="1"/>
  <c r="AF43" i="3"/>
  <c r="AD43" i="3" s="1"/>
  <c r="AA43" i="3"/>
  <c r="Y43" i="3" s="1"/>
  <c r="V43" i="3"/>
  <c r="T43" i="3" s="1"/>
  <c r="Q43" i="3"/>
  <c r="O43" i="3" s="1"/>
  <c r="L43" i="3"/>
  <c r="J43" i="3" s="1"/>
  <c r="T305" i="32"/>
  <c r="Y47" i="32"/>
  <c r="Y53" i="32" s="1"/>
  <c r="U53" i="32"/>
  <c r="K39" i="12"/>
  <c r="I39" i="12" s="1"/>
  <c r="I263" i="32" s="1"/>
  <c r="H263" i="32"/>
  <c r="K44" i="12"/>
  <c r="K338" i="32" s="1"/>
  <c r="H338" i="32"/>
  <c r="H39" i="13"/>
  <c r="J12" i="8"/>
  <c r="C44" i="8"/>
  <c r="AB116" i="18"/>
  <c r="AB120" i="18" s="1"/>
  <c r="Y40" i="7" s="1"/>
  <c r="AD120" i="18"/>
  <c r="AA40" i="7" s="1"/>
  <c r="X116" i="18"/>
  <c r="X120" i="18" s="1"/>
  <c r="U40" i="7" s="1"/>
  <c r="Z120" i="18"/>
  <c r="W40" i="7" s="1"/>
  <c r="N305" i="32" s="1"/>
  <c r="P116" i="18"/>
  <c r="P120" i="18" s="1"/>
  <c r="M40" i="7" s="1"/>
  <c r="R120" i="18"/>
  <c r="O40" i="7" s="1"/>
  <c r="T116" i="18"/>
  <c r="T120" i="18" s="1"/>
  <c r="Q40" i="7" s="1"/>
  <c r="V120" i="18"/>
  <c r="S40" i="7" s="1"/>
  <c r="G25" i="3"/>
  <c r="AD23" i="26"/>
  <c r="L23" i="28"/>
  <c r="M23" i="28" s="1"/>
  <c r="AF23" i="28" s="1"/>
  <c r="AI11" i="26"/>
  <c r="J23" i="8"/>
  <c r="G44" i="12"/>
  <c r="L22" i="28"/>
  <c r="M22" i="28" s="1"/>
  <c r="AF22" i="28" s="1"/>
  <c r="E115" i="18"/>
  <c r="D39" i="7" s="1"/>
  <c r="AH122" i="18"/>
  <c r="AH124" i="18"/>
  <c r="AI18" i="26"/>
  <c r="J19" i="8"/>
  <c r="AI17" i="26"/>
  <c r="J18" i="8"/>
  <c r="J26" i="24"/>
  <c r="L40" i="28"/>
  <c r="AH121" i="18"/>
  <c r="L14" i="28"/>
  <c r="M14" i="28" s="1"/>
  <c r="G44" i="13"/>
  <c r="K44" i="13"/>
  <c r="K339" i="32" s="1"/>
  <c r="AF112" i="18"/>
  <c r="AF113" i="18" s="1"/>
  <c r="AC38" i="7" s="1"/>
  <c r="R275" i="32" s="1"/>
  <c r="AB112" i="18"/>
  <c r="AB113" i="18" s="1"/>
  <c r="Y38" i="7" s="1"/>
  <c r="O275" i="32" s="1"/>
  <c r="P112" i="18"/>
  <c r="P113" i="18" s="1"/>
  <c r="M38" i="7" s="1"/>
  <c r="F275" i="32" s="1"/>
  <c r="X112" i="18"/>
  <c r="X113" i="18" s="1"/>
  <c r="U38" i="7" s="1"/>
  <c r="L275" i="32" s="1"/>
  <c r="T112" i="18"/>
  <c r="T113" i="18" s="1"/>
  <c r="Q38" i="7" s="1"/>
  <c r="I275" i="32" s="1"/>
  <c r="AR111" i="18"/>
  <c r="AN37" i="7" s="1"/>
  <c r="AA260" i="32" s="1"/>
  <c r="AP117" i="18"/>
  <c r="AF117" i="18"/>
  <c r="AP118" i="18"/>
  <c r="AF118" i="18"/>
  <c r="AF116" i="18"/>
  <c r="AB95" i="23"/>
  <c r="S95" i="23"/>
  <c r="AJ98" i="23"/>
  <c r="AB98" i="23"/>
  <c r="Y95" i="23"/>
  <c r="V95" i="23"/>
  <c r="P95" i="23"/>
  <c r="T127" i="18"/>
  <c r="T129" i="18" s="1"/>
  <c r="Q42" i="7" s="1"/>
  <c r="I335" i="32" s="1"/>
  <c r="X127" i="18"/>
  <c r="X129" i="18" s="1"/>
  <c r="U42" i="7" s="1"/>
  <c r="L335" i="32" s="1"/>
  <c r="AB127" i="18"/>
  <c r="AB129" i="18" s="1"/>
  <c r="Y42" i="7" s="1"/>
  <c r="O335" i="32" s="1"/>
  <c r="AF127" i="18"/>
  <c r="P127" i="18"/>
  <c r="P129" i="18" s="1"/>
  <c r="M42" i="7" s="1"/>
  <c r="F335" i="32" s="1"/>
  <c r="AP128" i="18"/>
  <c r="AF128" i="18"/>
  <c r="Z83" i="18"/>
  <c r="Z86" i="18" s="1"/>
  <c r="R83" i="18"/>
  <c r="R86" i="18" s="1"/>
  <c r="AD83" i="18"/>
  <c r="AD86" i="18" s="1"/>
  <c r="V83" i="18"/>
  <c r="V86" i="18" s="1"/>
  <c r="AG23" i="26"/>
  <c r="AF23" i="26"/>
  <c r="AE23" i="26"/>
  <c r="AH23" i="26"/>
  <c r="AA38" i="26" l="1"/>
  <c r="R39" i="28"/>
  <c r="K42" i="3"/>
  <c r="J42" i="3" s="1"/>
  <c r="R39" i="26" s="1"/>
  <c r="S39" i="28"/>
  <c r="AB38" i="26"/>
  <c r="AC38" i="26"/>
  <c r="Z38" i="26"/>
  <c r="Q39" i="28"/>
  <c r="Y38" i="26"/>
  <c r="P39" i="28"/>
  <c r="AA39" i="28"/>
  <c r="H40" i="13" s="1"/>
  <c r="V40" i="26"/>
  <c r="U40" i="26"/>
  <c r="T40" i="26"/>
  <c r="S40" i="26"/>
  <c r="R40" i="26"/>
  <c r="Q305" i="32"/>
  <c r="O305" i="32"/>
  <c r="K305" i="32"/>
  <c r="I305" i="32"/>
  <c r="H305" i="32"/>
  <c r="F305" i="32"/>
  <c r="L305" i="32"/>
  <c r="AB86" i="18"/>
  <c r="Y23" i="7" s="1"/>
  <c r="AA23" i="7"/>
  <c r="X86" i="18"/>
  <c r="U23" i="7" s="1"/>
  <c r="W23" i="7"/>
  <c r="T86" i="18"/>
  <c r="Q23" i="7" s="1"/>
  <c r="S23" i="7"/>
  <c r="P86" i="18"/>
  <c r="M23" i="7" s="1"/>
  <c r="O23" i="7"/>
  <c r="N44" i="12"/>
  <c r="N338" i="32" s="1"/>
  <c r="J44" i="12"/>
  <c r="J338" i="32" s="1"/>
  <c r="J44" i="8"/>
  <c r="AK44" i="8"/>
  <c r="F44" i="13"/>
  <c r="F339" i="32" s="1"/>
  <c r="G339" i="32"/>
  <c r="F44" i="12"/>
  <c r="F338" i="32" s="1"/>
  <c r="G338" i="32"/>
  <c r="AS25" i="3"/>
  <c r="AO25" i="3"/>
  <c r="K39" i="13"/>
  <c r="K264" i="32" s="1"/>
  <c r="H264" i="32"/>
  <c r="N39" i="12"/>
  <c r="K263" i="32"/>
  <c r="F39" i="13"/>
  <c r="F264" i="32" s="1"/>
  <c r="M40" i="28"/>
  <c r="AF40" i="28" s="1"/>
  <c r="L44" i="28"/>
  <c r="M44" i="28" s="1"/>
  <c r="C26" i="8"/>
  <c r="AH125" i="18"/>
  <c r="AP116" i="18"/>
  <c r="AP120" i="18" s="1"/>
  <c r="AL40" i="7" s="1"/>
  <c r="AR120" i="18"/>
  <c r="AN40" i="7" s="1"/>
  <c r="AP127" i="18"/>
  <c r="AP129" i="18" s="1"/>
  <c r="AL42" i="7" s="1"/>
  <c r="Y335" i="32" s="1"/>
  <c r="AR129" i="18"/>
  <c r="AN42" i="7" s="1"/>
  <c r="AA335" i="32" s="1"/>
  <c r="AF120" i="18"/>
  <c r="AC40" i="7" s="1"/>
  <c r="AF129" i="18"/>
  <c r="AC42" i="7" s="1"/>
  <c r="R335" i="32" s="1"/>
  <c r="Y100" i="23"/>
  <c r="Y107" i="23" s="1"/>
  <c r="S100" i="23"/>
  <c r="S107" i="23" s="1"/>
  <c r="P100" i="23"/>
  <c r="P107" i="23" s="1"/>
  <c r="V100" i="23"/>
  <c r="V107" i="23" s="1"/>
  <c r="G40" i="12"/>
  <c r="G278" i="32" s="1"/>
  <c r="O25" i="26"/>
  <c r="AB23" i="28"/>
  <c r="U23" i="28"/>
  <c r="R31" i="18"/>
  <c r="R33" i="18" s="1"/>
  <c r="Z31" i="18"/>
  <c r="Z33" i="18" s="1"/>
  <c r="V31" i="18"/>
  <c r="V33" i="18" s="1"/>
  <c r="AH31" i="18"/>
  <c r="AH33" i="18" s="1"/>
  <c r="AD31" i="18"/>
  <c r="AD33" i="18" s="1"/>
  <c r="X20" i="23"/>
  <c r="X35" i="23" s="1"/>
  <c r="AA20" i="23"/>
  <c r="AA35" i="23" s="1"/>
  <c r="AD20" i="23"/>
  <c r="AD35" i="23" s="1"/>
  <c r="R20" i="23"/>
  <c r="R35" i="23" s="1"/>
  <c r="U20" i="23"/>
  <c r="U35" i="23" s="1"/>
  <c r="L11" i="28"/>
  <c r="M11" i="28" s="1"/>
  <c r="AF11" i="28" s="1"/>
  <c r="R121" i="18"/>
  <c r="AD121" i="18"/>
  <c r="V121" i="18"/>
  <c r="R124" i="18"/>
  <c r="P124" i="18" s="1"/>
  <c r="AD124" i="18"/>
  <c r="AB124" i="18" s="1"/>
  <c r="V124" i="18"/>
  <c r="T124" i="18" s="1"/>
  <c r="Z122" i="18"/>
  <c r="X122" i="18" s="1"/>
  <c r="AD122" i="18"/>
  <c r="AB122" i="18" s="1"/>
  <c r="Z121" i="18"/>
  <c r="Z124" i="18"/>
  <c r="X124" i="18" s="1"/>
  <c r="V122" i="18"/>
  <c r="T122" i="18" s="1"/>
  <c r="R122" i="18"/>
  <c r="P122" i="18" s="1"/>
  <c r="L17" i="28"/>
  <c r="M17" i="28" s="1"/>
  <c r="AF17" i="28" s="1"/>
  <c r="L18" i="28"/>
  <c r="M18" i="28" s="1"/>
  <c r="AF18" i="28" s="1"/>
  <c r="I125" i="18"/>
  <c r="G125" i="18"/>
  <c r="H125" i="18"/>
  <c r="P114" i="18"/>
  <c r="P115" i="18" s="1"/>
  <c r="M39" i="7" s="1"/>
  <c r="G42" i="6"/>
  <c r="AG39" i="26"/>
  <c r="AH39" i="26"/>
  <c r="AF39" i="26"/>
  <c r="V58" i="18"/>
  <c r="V59" i="18" s="1"/>
  <c r="AH58" i="18"/>
  <c r="AH59" i="18" s="1"/>
  <c r="AD58" i="18"/>
  <c r="AD59" i="18" s="1"/>
  <c r="R58" i="18"/>
  <c r="R59" i="18" s="1"/>
  <c r="Z58" i="18"/>
  <c r="Z59" i="18" s="1"/>
  <c r="F125" i="18"/>
  <c r="E125" i="18"/>
  <c r="U22" i="28"/>
  <c r="L5" i="28"/>
  <c r="M5" i="28" s="1"/>
  <c r="AF5" i="28" s="1"/>
  <c r="J44" i="13"/>
  <c r="N44" i="13"/>
  <c r="N339" i="32" s="1"/>
  <c r="AE22" i="28"/>
  <c r="AD22" i="28"/>
  <c r="AC22" i="28"/>
  <c r="AB22" i="28"/>
  <c r="AP112" i="18"/>
  <c r="AP113" i="18" s="1"/>
  <c r="AL38" i="7" s="1"/>
  <c r="Y275" i="32" s="1"/>
  <c r="AR113" i="18"/>
  <c r="AN38" i="7" s="1"/>
  <c r="AA275" i="32" s="1"/>
  <c r="AH13" i="18"/>
  <c r="Z13" i="18"/>
  <c r="AD13" i="18"/>
  <c r="V13" i="18"/>
  <c r="R13" i="18"/>
  <c r="AH11" i="18"/>
  <c r="Z11" i="18"/>
  <c r="AD11" i="18"/>
  <c r="V11" i="18"/>
  <c r="R11" i="18"/>
  <c r="AH12" i="18"/>
  <c r="Z12" i="18"/>
  <c r="R12" i="18"/>
  <c r="AD12" i="18"/>
  <c r="V12" i="18"/>
  <c r="AH14" i="18"/>
  <c r="Z14" i="18"/>
  <c r="R14" i="18"/>
  <c r="AD14" i="18"/>
  <c r="V14" i="18"/>
  <c r="AJ95" i="23"/>
  <c r="AB100" i="23"/>
  <c r="AB107" i="23" s="1"/>
  <c r="AD7" i="23"/>
  <c r="AD8" i="23" s="1"/>
  <c r="X7" i="23"/>
  <c r="X8" i="23" s="1"/>
  <c r="R7" i="23"/>
  <c r="R8" i="23" s="1"/>
  <c r="AA7" i="23"/>
  <c r="AA8" i="23" s="1"/>
  <c r="U7" i="23"/>
  <c r="U8" i="23" s="1"/>
  <c r="AE22" i="26"/>
  <c r="AD22" i="26"/>
  <c r="AH22" i="26"/>
  <c r="AG22" i="26"/>
  <c r="AF22" i="26"/>
  <c r="H24" i="12"/>
  <c r="H248" i="32" s="1"/>
  <c r="Z39" i="28" l="1"/>
  <c r="AF39" i="28" s="1"/>
  <c r="AI38" i="26"/>
  <c r="Y39" i="28"/>
  <c r="AE39" i="28" s="1"/>
  <c r="AH38" i="26"/>
  <c r="F130" i="18"/>
  <c r="E41" i="7"/>
  <c r="Y39" i="26"/>
  <c r="O40" i="28"/>
  <c r="X39" i="26"/>
  <c r="H130" i="18"/>
  <c r="G41" i="7"/>
  <c r="V39" i="28"/>
  <c r="AB39" i="28" s="1"/>
  <c r="K40" i="13" s="1"/>
  <c r="AE38" i="26"/>
  <c r="K40" i="12" s="1"/>
  <c r="K278" i="32" s="1"/>
  <c r="E130" i="18"/>
  <c r="D41" i="7"/>
  <c r="G130" i="18"/>
  <c r="F41" i="7"/>
  <c r="I130" i="18"/>
  <c r="H41" i="7"/>
  <c r="W39" i="28"/>
  <c r="AC39" i="28" s="1"/>
  <c r="AF38" i="26"/>
  <c r="X39" i="28"/>
  <c r="AD39" i="28" s="1"/>
  <c r="AG38" i="26"/>
  <c r="Q44" i="12"/>
  <c r="Q338" i="32" s="1"/>
  <c r="N39" i="13"/>
  <c r="N264" i="32" s="1"/>
  <c r="I44" i="12"/>
  <c r="I338" i="32" s="1"/>
  <c r="M44" i="12"/>
  <c r="M338" i="32" s="1"/>
  <c r="X59" i="18"/>
  <c r="U19" i="7" s="1"/>
  <c r="L168" i="32" s="1"/>
  <c r="W19" i="7"/>
  <c r="P59" i="18"/>
  <c r="M19" i="7" s="1"/>
  <c r="F168" i="32" s="1"/>
  <c r="O19" i="7"/>
  <c r="AB59" i="18"/>
  <c r="Y19" i="7" s="1"/>
  <c r="O168" i="32" s="1"/>
  <c r="AA19" i="7"/>
  <c r="AF59" i="18"/>
  <c r="AC19" i="7" s="1"/>
  <c r="R168" i="32" s="1"/>
  <c r="AE19" i="7"/>
  <c r="T59" i="18"/>
  <c r="Q19" i="7" s="1"/>
  <c r="I168" i="32" s="1"/>
  <c r="S19" i="7"/>
  <c r="F290" i="32"/>
  <c r="AB33" i="18"/>
  <c r="Y15" i="7" s="1"/>
  <c r="O108" i="32" s="1"/>
  <c r="AA15" i="7"/>
  <c r="AF33" i="18"/>
  <c r="AC15" i="7" s="1"/>
  <c r="R108" i="32" s="1"/>
  <c r="AE15" i="7"/>
  <c r="T33" i="18"/>
  <c r="Q15" i="7" s="1"/>
  <c r="I108" i="32" s="1"/>
  <c r="S15" i="7"/>
  <c r="X33" i="18"/>
  <c r="U15" i="7" s="1"/>
  <c r="L108" i="32" s="1"/>
  <c r="W15" i="7"/>
  <c r="P33" i="18"/>
  <c r="M15" i="7" s="1"/>
  <c r="F108" i="32" s="1"/>
  <c r="O15" i="7"/>
  <c r="AH130" i="18"/>
  <c r="AE41" i="7"/>
  <c r="G40" i="13"/>
  <c r="G38" i="6" s="1"/>
  <c r="H279" i="32"/>
  <c r="S41" i="28"/>
  <c r="AC40" i="26"/>
  <c r="AB40" i="26"/>
  <c r="R41" i="28"/>
  <c r="AA40" i="26"/>
  <c r="Q41" i="28"/>
  <c r="Z40" i="26"/>
  <c r="P41" i="28"/>
  <c r="Y40" i="26"/>
  <c r="X40" i="26"/>
  <c r="O41" i="28"/>
  <c r="I39" i="13"/>
  <c r="I264" i="32" s="1"/>
  <c r="AE40" i="28"/>
  <c r="AC40" i="28"/>
  <c r="AD40" i="28"/>
  <c r="R305" i="32"/>
  <c r="AA305" i="32"/>
  <c r="Y305" i="32"/>
  <c r="Q230" i="32"/>
  <c r="O230" i="32"/>
  <c r="N230" i="32"/>
  <c r="L230" i="32"/>
  <c r="K230" i="32"/>
  <c r="I230" i="32"/>
  <c r="H230" i="32"/>
  <c r="F230" i="32"/>
  <c r="G341" i="32"/>
  <c r="N263" i="32"/>
  <c r="L39" i="12"/>
  <c r="L263" i="32" s="1"/>
  <c r="Q39" i="12"/>
  <c r="I44" i="13"/>
  <c r="I339" i="32" s="1"/>
  <c r="J339" i="32"/>
  <c r="J341" i="32" s="1"/>
  <c r="J26" i="8"/>
  <c r="AK26" i="8"/>
  <c r="AI41" i="8"/>
  <c r="AE5" i="26"/>
  <c r="AI5" i="26"/>
  <c r="AB121" i="18"/>
  <c r="AB125" i="18" s="1"/>
  <c r="AD125" i="18"/>
  <c r="X121" i="18"/>
  <c r="X125" i="18" s="1"/>
  <c r="Z125" i="18"/>
  <c r="P121" i="18"/>
  <c r="P125" i="18" s="1"/>
  <c r="R125" i="18"/>
  <c r="T121" i="18"/>
  <c r="T125" i="18" s="1"/>
  <c r="V125" i="18"/>
  <c r="AH16" i="18"/>
  <c r="R16" i="18"/>
  <c r="O6" i="7" s="1"/>
  <c r="V16" i="18"/>
  <c r="S6" i="7" s="1"/>
  <c r="AD16" i="18"/>
  <c r="AA6" i="7" s="1"/>
  <c r="Z16" i="18"/>
  <c r="W6" i="7" s="1"/>
  <c r="AJ100" i="23"/>
  <c r="AJ107" i="23" s="1"/>
  <c r="U5" i="28"/>
  <c r="F40" i="12"/>
  <c r="F278" i="32" s="1"/>
  <c r="J40" i="12"/>
  <c r="AE23" i="28"/>
  <c r="AD23" i="28"/>
  <c r="AC23" i="28"/>
  <c r="AA23" i="28"/>
  <c r="H24" i="13" s="1"/>
  <c r="E33" i="18"/>
  <c r="D15" i="7" s="1"/>
  <c r="H33" i="18"/>
  <c r="G15" i="7" s="1"/>
  <c r="G33" i="18"/>
  <c r="F15" i="7" s="1"/>
  <c r="I33" i="18"/>
  <c r="H15" i="7" s="1"/>
  <c r="F33" i="18"/>
  <c r="E15" i="7" s="1"/>
  <c r="X11" i="23"/>
  <c r="X12" i="23" s="1"/>
  <c r="AE11" i="26"/>
  <c r="AF11" i="26"/>
  <c r="AG11" i="26"/>
  <c r="AH11" i="26"/>
  <c r="AD11" i="26"/>
  <c r="R23" i="18"/>
  <c r="R24" i="18" s="1"/>
  <c r="AD11" i="23"/>
  <c r="AD12" i="23" s="1"/>
  <c r="U11" i="28"/>
  <c r="Z23" i="18"/>
  <c r="Z24" i="18" s="1"/>
  <c r="AD23" i="18"/>
  <c r="AD24" i="18" s="1"/>
  <c r="R11" i="23"/>
  <c r="R12" i="23" s="1"/>
  <c r="V23" i="18"/>
  <c r="V24" i="18" s="1"/>
  <c r="U11" i="23"/>
  <c r="U12" i="23" s="1"/>
  <c r="AA11" i="23"/>
  <c r="AA12" i="23" s="1"/>
  <c r="AH23" i="18"/>
  <c r="AH24" i="18" s="1"/>
  <c r="AD5" i="26"/>
  <c r="AG5" i="26"/>
  <c r="L25" i="28"/>
  <c r="M25" i="28" s="1"/>
  <c r="AH5" i="26"/>
  <c r="AF5" i="26"/>
  <c r="AA22" i="28"/>
  <c r="S20" i="23"/>
  <c r="S35" i="23" s="1"/>
  <c r="AB31" i="18"/>
  <c r="AF121" i="18"/>
  <c r="AF124" i="18"/>
  <c r="AP124" i="18"/>
  <c r="Y20" i="23"/>
  <c r="Y35" i="23" s="1"/>
  <c r="AI15" i="8"/>
  <c r="AA109" i="32" s="1"/>
  <c r="AB20" i="23"/>
  <c r="AB35" i="23" s="1"/>
  <c r="V20" i="23"/>
  <c r="V35" i="23" s="1"/>
  <c r="U18" i="28"/>
  <c r="AF17" i="26"/>
  <c r="AG17" i="26"/>
  <c r="AE17" i="26"/>
  <c r="AD17" i="26"/>
  <c r="AH17" i="26"/>
  <c r="AP122" i="18"/>
  <c r="AF122" i="18"/>
  <c r="P20" i="23"/>
  <c r="P35" i="23" s="1"/>
  <c r="T31" i="18"/>
  <c r="X31" i="18"/>
  <c r="AF31" i="18"/>
  <c r="AR33" i="18"/>
  <c r="P31" i="18"/>
  <c r="AE18" i="26"/>
  <c r="AH18" i="26"/>
  <c r="AF18" i="26"/>
  <c r="AD18" i="26"/>
  <c r="AG18" i="26"/>
  <c r="U17" i="28"/>
  <c r="J42" i="6"/>
  <c r="Q44" i="13"/>
  <c r="Q339" i="32" s="1"/>
  <c r="M44" i="13"/>
  <c r="X83" i="18"/>
  <c r="AB83" i="18"/>
  <c r="AF83" i="18"/>
  <c r="AR86" i="18"/>
  <c r="P83" i="18"/>
  <c r="T83" i="18"/>
  <c r="K24" i="12"/>
  <c r="K248" i="32" s="1"/>
  <c r="H23" i="12"/>
  <c r="H233" i="32" s="1"/>
  <c r="L39" i="13" l="1"/>
  <c r="L264" i="32" s="1"/>
  <c r="N40" i="12"/>
  <c r="N278" i="32" s="1"/>
  <c r="K44" i="3"/>
  <c r="D43" i="7"/>
  <c r="V40" i="28"/>
  <c r="AB40" i="28" s="1"/>
  <c r="AE39" i="26"/>
  <c r="P44" i="3"/>
  <c r="E43" i="7"/>
  <c r="AE44" i="3"/>
  <c r="H43" i="7"/>
  <c r="Z44" i="3"/>
  <c r="G43" i="7"/>
  <c r="T44" i="12"/>
  <c r="W44" i="12" s="1"/>
  <c r="P44" i="12"/>
  <c r="P338" i="32" s="1"/>
  <c r="U44" i="3"/>
  <c r="F43" i="7"/>
  <c r="U40" i="28"/>
  <c r="AA40" i="28" s="1"/>
  <c r="H41" i="13" s="1"/>
  <c r="H294" i="32" s="1"/>
  <c r="AD39" i="26"/>
  <c r="H41" i="12" s="1"/>
  <c r="H293" i="32" s="1"/>
  <c r="K14" i="3"/>
  <c r="D26" i="7"/>
  <c r="AE14" i="3"/>
  <c r="AD14" i="3" s="1"/>
  <c r="H26" i="7"/>
  <c r="U14" i="3"/>
  <c r="T14" i="3" s="1"/>
  <c r="F26" i="7"/>
  <c r="P14" i="3"/>
  <c r="E26" i="7"/>
  <c r="Z14" i="3"/>
  <c r="Y14" i="3" s="1"/>
  <c r="G26" i="7"/>
  <c r="Q39" i="13"/>
  <c r="Q264" i="32" s="1"/>
  <c r="L44" i="12"/>
  <c r="L338" i="32" s="1"/>
  <c r="AP33" i="18"/>
  <c r="AL15" i="7" s="1"/>
  <c r="Y108" i="32" s="1"/>
  <c r="AN15" i="7"/>
  <c r="AA108" i="32" s="1"/>
  <c r="AF24" i="18"/>
  <c r="AC12" i="7" s="1"/>
  <c r="R64" i="32" s="1"/>
  <c r="AE12" i="7"/>
  <c r="T24" i="18"/>
  <c r="Q12" i="7" s="1"/>
  <c r="I64" i="32" s="1"/>
  <c r="S12" i="7"/>
  <c r="S26" i="7" s="1"/>
  <c r="K6" i="4" s="1"/>
  <c r="AB24" i="18"/>
  <c r="Y12" i="7" s="1"/>
  <c r="O64" i="32" s="1"/>
  <c r="AA12" i="7"/>
  <c r="AA26" i="7" s="1"/>
  <c r="Q6" i="4" s="1"/>
  <c r="X24" i="18"/>
  <c r="U12" i="7" s="1"/>
  <c r="L64" i="32" s="1"/>
  <c r="W12" i="7"/>
  <c r="W26" i="7" s="1"/>
  <c r="N6" i="4" s="1"/>
  <c r="P24" i="18"/>
  <c r="M12" i="7" s="1"/>
  <c r="F64" i="32" s="1"/>
  <c r="O12" i="7"/>
  <c r="O26" i="7" s="1"/>
  <c r="H6" i="4" s="1"/>
  <c r="N6" i="32"/>
  <c r="Q6" i="32"/>
  <c r="K6" i="32"/>
  <c r="H6" i="32"/>
  <c r="AF16" i="18"/>
  <c r="AC6" i="7" s="1"/>
  <c r="AE6" i="7"/>
  <c r="V130" i="18"/>
  <c r="S41" i="7"/>
  <c r="T130" i="18"/>
  <c r="Q41" i="7"/>
  <c r="R130" i="18"/>
  <c r="O41" i="7"/>
  <c r="P130" i="18"/>
  <c r="M41" i="7"/>
  <c r="Z130" i="18"/>
  <c r="W41" i="7"/>
  <c r="X130" i="18"/>
  <c r="U41" i="7"/>
  <c r="AD130" i="18"/>
  <c r="AA41" i="7"/>
  <c r="AB130" i="18"/>
  <c r="Y41" i="7"/>
  <c r="K279" i="32"/>
  <c r="J40" i="13"/>
  <c r="J38" i="6" s="1"/>
  <c r="N40" i="13"/>
  <c r="G279" i="32"/>
  <c r="G281" i="32" s="1"/>
  <c r="F40" i="13"/>
  <c r="F279" i="32" s="1"/>
  <c r="T320" i="32"/>
  <c r="AE43" i="7"/>
  <c r="T35" i="4" s="1"/>
  <c r="H108" i="32"/>
  <c r="N108" i="32"/>
  <c r="K108" i="32"/>
  <c r="T108" i="32"/>
  <c r="Q108" i="32"/>
  <c r="K168" i="32"/>
  <c r="T168" i="32"/>
  <c r="Q168" i="32"/>
  <c r="H168" i="32"/>
  <c r="N168" i="32"/>
  <c r="Z41" i="28"/>
  <c r="AI40" i="26"/>
  <c r="Y41" i="28"/>
  <c r="AH40" i="26"/>
  <c r="X41" i="28"/>
  <c r="AG40" i="26"/>
  <c r="W41" i="28"/>
  <c r="AF40" i="26"/>
  <c r="U41" i="28"/>
  <c r="AD40" i="26"/>
  <c r="V41" i="28"/>
  <c r="AE40" i="26"/>
  <c r="AP86" i="18"/>
  <c r="AL23" i="7" s="1"/>
  <c r="AN23" i="7"/>
  <c r="Q263" i="32"/>
  <c r="O39" i="12"/>
  <c r="O263" i="32" s="1"/>
  <c r="T39" i="12"/>
  <c r="K24" i="13"/>
  <c r="K249" i="32" s="1"/>
  <c r="H249" i="32"/>
  <c r="AA306" i="32"/>
  <c r="L44" i="13"/>
  <c r="L339" i="32" s="1"/>
  <c r="M339" i="32"/>
  <c r="M341" i="32" s="1"/>
  <c r="I40" i="12"/>
  <c r="I278" i="32" s="1"/>
  <c r="J278" i="32"/>
  <c r="P12" i="23"/>
  <c r="V12" i="23"/>
  <c r="AB12" i="23"/>
  <c r="Y12" i="23"/>
  <c r="S12" i="23"/>
  <c r="AA73" i="23"/>
  <c r="AD73" i="23"/>
  <c r="X73" i="23"/>
  <c r="U73" i="23"/>
  <c r="R73" i="23"/>
  <c r="AF125" i="18"/>
  <c r="AP121" i="18"/>
  <c r="AP125" i="18" s="1"/>
  <c r="AR125" i="18"/>
  <c r="AH90" i="18"/>
  <c r="AF90" i="18" s="1"/>
  <c r="AB16" i="18"/>
  <c r="Y6" i="7" s="1"/>
  <c r="AD90" i="18"/>
  <c r="T16" i="18"/>
  <c r="Q6" i="7" s="1"/>
  <c r="V90" i="18"/>
  <c r="P16" i="18"/>
  <c r="M6" i="7" s="1"/>
  <c r="R90" i="18"/>
  <c r="X16" i="18"/>
  <c r="U6" i="7" s="1"/>
  <c r="Z90" i="18"/>
  <c r="E90" i="18"/>
  <c r="F90" i="18"/>
  <c r="I90" i="18"/>
  <c r="G90" i="18"/>
  <c r="H90" i="18"/>
  <c r="M40" i="12"/>
  <c r="Q40" i="12"/>
  <c r="Q278" i="32" s="1"/>
  <c r="H6" i="12"/>
  <c r="G24" i="13"/>
  <c r="H23" i="13"/>
  <c r="AC11" i="28"/>
  <c r="AE11" i="28"/>
  <c r="AB11" i="28"/>
  <c r="AD11" i="28"/>
  <c r="AA11" i="28"/>
  <c r="AB11" i="23"/>
  <c r="H12" i="12"/>
  <c r="H73" i="32" s="1"/>
  <c r="V11" i="23"/>
  <c r="AR24" i="18"/>
  <c r="AF23" i="18"/>
  <c r="P11" i="23"/>
  <c r="P23" i="18"/>
  <c r="Y11" i="23"/>
  <c r="T23" i="18"/>
  <c r="AB23" i="18"/>
  <c r="S11" i="23"/>
  <c r="X23" i="18"/>
  <c r="AJ20" i="23"/>
  <c r="AJ35" i="23" s="1"/>
  <c r="AF58" i="18"/>
  <c r="AR59" i="18"/>
  <c r="P58" i="18"/>
  <c r="M42" i="6"/>
  <c r="AE17" i="28"/>
  <c r="AC17" i="28"/>
  <c r="AA17" i="28"/>
  <c r="AD17" i="28"/>
  <c r="AB17" i="28"/>
  <c r="AD18" i="28"/>
  <c r="AB18" i="28"/>
  <c r="AE18" i="28"/>
  <c r="AC18" i="28"/>
  <c r="AA18" i="28"/>
  <c r="H19" i="12"/>
  <c r="H171" i="32" s="1"/>
  <c r="AP31" i="18"/>
  <c r="H44" i="8"/>
  <c r="T58" i="18"/>
  <c r="AB58" i="18"/>
  <c r="X58" i="18"/>
  <c r="H18" i="12"/>
  <c r="H156" i="32" s="1"/>
  <c r="L46" i="3"/>
  <c r="T44" i="13"/>
  <c r="P44" i="13"/>
  <c r="AE5" i="28"/>
  <c r="AC5" i="28"/>
  <c r="AD5" i="28"/>
  <c r="AA5" i="28"/>
  <c r="AB5" i="28"/>
  <c r="AF13" i="18"/>
  <c r="AB13" i="18"/>
  <c r="P13" i="18"/>
  <c r="X11" i="18"/>
  <c r="T11" i="18"/>
  <c r="AB6" i="24"/>
  <c r="AB6" i="8" s="1"/>
  <c r="P7" i="23"/>
  <c r="V7" i="23"/>
  <c r="AF12" i="18"/>
  <c r="P12" i="18"/>
  <c r="T12" i="18"/>
  <c r="X14" i="18"/>
  <c r="AB14" i="18"/>
  <c r="AL8" i="23"/>
  <c r="AI6" i="8" s="1"/>
  <c r="AA9" i="32" s="1"/>
  <c r="AB7" i="23"/>
  <c r="S7" i="23"/>
  <c r="X13" i="18"/>
  <c r="T13" i="18"/>
  <c r="AF11" i="18"/>
  <c r="AB11" i="18"/>
  <c r="P11" i="18"/>
  <c r="X12" i="18"/>
  <c r="AB12" i="18"/>
  <c r="AF14" i="18"/>
  <c r="P14" i="18"/>
  <c r="T14" i="18"/>
  <c r="Y7" i="23"/>
  <c r="AP83" i="18"/>
  <c r="I24" i="12"/>
  <c r="I248" i="32" s="1"/>
  <c r="N24" i="12"/>
  <c r="N248" i="32" s="1"/>
  <c r="K23" i="12"/>
  <c r="K233" i="32" s="1"/>
  <c r="G23" i="12"/>
  <c r="G233" i="32" s="1"/>
  <c r="E37" i="23"/>
  <c r="F37" i="23"/>
  <c r="E17" i="8" s="1"/>
  <c r="Q16" i="3" s="1"/>
  <c r="G37" i="23"/>
  <c r="F17" i="8" s="1"/>
  <c r="V16" i="3" s="1"/>
  <c r="H37" i="23"/>
  <c r="G17" i="8" s="1"/>
  <c r="AA16" i="3" s="1"/>
  <c r="I37" i="23"/>
  <c r="H17" i="8" s="1"/>
  <c r="AF16" i="3" s="1"/>
  <c r="D37" i="23"/>
  <c r="D16" i="23"/>
  <c r="D17" i="8" l="1"/>
  <c r="L16" i="3" s="1"/>
  <c r="S44" i="12"/>
  <c r="S338" i="32" s="1"/>
  <c r="T338" i="32"/>
  <c r="K41" i="12"/>
  <c r="K41" i="13"/>
  <c r="K294" i="32" s="1"/>
  <c r="G41" i="13"/>
  <c r="G294" i="32" s="1"/>
  <c r="G296" i="32" s="1"/>
  <c r="O44" i="3"/>
  <c r="P46" i="3"/>
  <c r="O44" i="12"/>
  <c r="O338" i="32" s="1"/>
  <c r="Y44" i="3"/>
  <c r="Z46" i="3"/>
  <c r="T44" i="3"/>
  <c r="U46" i="3"/>
  <c r="AD44" i="3"/>
  <c r="AE46" i="3"/>
  <c r="J44" i="3"/>
  <c r="K46" i="3"/>
  <c r="O39" i="13"/>
  <c r="O264" i="32" s="1"/>
  <c r="T39" i="13"/>
  <c r="W39" i="13" s="1"/>
  <c r="Z39" i="13" s="1"/>
  <c r="T14" i="26"/>
  <c r="T25" i="3"/>
  <c r="O14" i="3"/>
  <c r="P25" i="3"/>
  <c r="V14" i="26"/>
  <c r="AD25" i="3"/>
  <c r="U14" i="26"/>
  <c r="Y25" i="3"/>
  <c r="J14" i="3"/>
  <c r="K25" i="3"/>
  <c r="T9" i="32"/>
  <c r="T10" i="32" s="1"/>
  <c r="S5" i="9"/>
  <c r="AP59" i="18"/>
  <c r="AL19" i="7" s="1"/>
  <c r="Y168" i="32" s="1"/>
  <c r="AN19" i="7"/>
  <c r="AA168" i="32" s="1"/>
  <c r="AP24" i="18"/>
  <c r="AL12" i="7" s="1"/>
  <c r="Y64" i="32" s="1"/>
  <c r="AN12" i="7"/>
  <c r="AA64" i="32" s="1"/>
  <c r="L6" i="32"/>
  <c r="U26" i="7"/>
  <c r="L6" i="4" s="1"/>
  <c r="F6" i="32"/>
  <c r="M26" i="7"/>
  <c r="F6" i="4" s="1"/>
  <c r="I6" i="32"/>
  <c r="Q26" i="7"/>
  <c r="I6" i="4" s="1"/>
  <c r="O6" i="32"/>
  <c r="Y26" i="7"/>
  <c r="O6" i="4" s="1"/>
  <c r="AR130" i="18"/>
  <c r="AN41" i="7"/>
  <c r="AP130" i="18"/>
  <c r="AL41" i="7"/>
  <c r="AF130" i="18"/>
  <c r="AC41" i="7"/>
  <c r="N279" i="32"/>
  <c r="M40" i="13"/>
  <c r="M38" i="6" s="1"/>
  <c r="Q40" i="13"/>
  <c r="J279" i="32"/>
  <c r="J281" i="32" s="1"/>
  <c r="I40" i="13"/>
  <c r="I279" i="32" s="1"/>
  <c r="O320" i="32"/>
  <c r="Y43" i="7"/>
  <c r="O35" i="4" s="1"/>
  <c r="Q320" i="32"/>
  <c r="AA43" i="7"/>
  <c r="Q35" i="4" s="1"/>
  <c r="L320" i="32"/>
  <c r="U43" i="7"/>
  <c r="L35" i="4" s="1"/>
  <c r="N320" i="32"/>
  <c r="W43" i="7"/>
  <c r="N35" i="4" s="1"/>
  <c r="F320" i="32"/>
  <c r="M43" i="7"/>
  <c r="F35" i="4" s="1"/>
  <c r="H320" i="32"/>
  <c r="O43" i="7"/>
  <c r="H35" i="4" s="1"/>
  <c r="I320" i="32"/>
  <c r="Q43" i="7"/>
  <c r="I35" i="4" s="1"/>
  <c r="K320" i="32"/>
  <c r="S43" i="7"/>
  <c r="K35" i="4" s="1"/>
  <c r="T6" i="32"/>
  <c r="AE26" i="7"/>
  <c r="T6" i="4" s="1"/>
  <c r="R6" i="32"/>
  <c r="AC26" i="7"/>
  <c r="R6" i="4" s="1"/>
  <c r="H64" i="32"/>
  <c r="N64" i="32"/>
  <c r="Q64" i="32"/>
  <c r="K64" i="32"/>
  <c r="T64" i="32"/>
  <c r="J41" i="13"/>
  <c r="J39" i="6" s="1"/>
  <c r="N41" i="13"/>
  <c r="N294" i="32" s="1"/>
  <c r="AF41" i="28"/>
  <c r="AE41" i="28"/>
  <c r="AD41" i="28"/>
  <c r="AC41" i="28"/>
  <c r="AB41" i="28"/>
  <c r="H42" i="12"/>
  <c r="AA41" i="28"/>
  <c r="AA230" i="32"/>
  <c r="Y230" i="32"/>
  <c r="W338" i="32"/>
  <c r="AC338" i="32" s="1"/>
  <c r="AC44" i="12"/>
  <c r="N24" i="13"/>
  <c r="N249" i="32" s="1"/>
  <c r="J24" i="13"/>
  <c r="J24" i="6" s="1"/>
  <c r="K23" i="13"/>
  <c r="K234" i="32" s="1"/>
  <c r="H234" i="32"/>
  <c r="AN16" i="23"/>
  <c r="C14" i="8"/>
  <c r="G24" i="6"/>
  <c r="G249" i="32"/>
  <c r="G251" i="32" s="1"/>
  <c r="AA44" i="12"/>
  <c r="N41" i="12"/>
  <c r="N293" i="32" s="1"/>
  <c r="K293" i="32"/>
  <c r="R39" i="12"/>
  <c r="R263" i="32" s="1"/>
  <c r="T263" i="32"/>
  <c r="W39" i="12"/>
  <c r="AC39" i="12" s="1"/>
  <c r="O44" i="13"/>
  <c r="O339" i="32" s="1"/>
  <c r="P339" i="32"/>
  <c r="P341" i="32" s="1"/>
  <c r="AA10" i="32"/>
  <c r="T339" i="32"/>
  <c r="W44" i="13"/>
  <c r="Z44" i="13" s="1"/>
  <c r="L37" i="23"/>
  <c r="AN37" i="23"/>
  <c r="C17" i="8"/>
  <c r="J17" i="8" s="1"/>
  <c r="V44" i="12"/>
  <c r="G6" i="12"/>
  <c r="G15" i="32" s="1"/>
  <c r="H15" i="32"/>
  <c r="X44" i="12"/>
  <c r="L40" i="12"/>
  <c r="L278" i="32" s="1"/>
  <c r="M278" i="32"/>
  <c r="I41" i="12"/>
  <c r="I293" i="32" s="1"/>
  <c r="AA46" i="3"/>
  <c r="G44" i="8"/>
  <c r="Q46" i="3"/>
  <c r="E44" i="8"/>
  <c r="V46" i="3"/>
  <c r="F44" i="8"/>
  <c r="D44" i="8"/>
  <c r="T90" i="18"/>
  <c r="P90" i="18"/>
  <c r="X90" i="18"/>
  <c r="AB90" i="18"/>
  <c r="AR16" i="18"/>
  <c r="AN6" i="7" s="1"/>
  <c r="L16" i="23"/>
  <c r="K6" i="12"/>
  <c r="T40" i="12"/>
  <c r="P40" i="12"/>
  <c r="Z25" i="3"/>
  <c r="AE25" i="3"/>
  <c r="U25" i="3"/>
  <c r="F24" i="13"/>
  <c r="F249" i="32" s="1"/>
  <c r="G23" i="13"/>
  <c r="G234" i="32" s="1"/>
  <c r="G236" i="32" s="1"/>
  <c r="P12" i="24"/>
  <c r="P12" i="8" s="1"/>
  <c r="H67" i="32" s="1"/>
  <c r="H68" i="32" s="1"/>
  <c r="AB12" i="24"/>
  <c r="AB12" i="8" s="1"/>
  <c r="T67" i="32" s="1"/>
  <c r="T68" i="32" s="1"/>
  <c r="S12" i="24"/>
  <c r="S12" i="8" s="1"/>
  <c r="K67" i="32" s="1"/>
  <c r="K68" i="32" s="1"/>
  <c r="K12" i="12"/>
  <c r="K73" i="32" s="1"/>
  <c r="G12" i="12"/>
  <c r="V12" i="24"/>
  <c r="V12" i="8" s="1"/>
  <c r="N67" i="32" s="1"/>
  <c r="N68" i="32" s="1"/>
  <c r="Y12" i="24"/>
  <c r="Y12" i="8" s="1"/>
  <c r="Q67" i="32" s="1"/>
  <c r="Q68" i="32" s="1"/>
  <c r="AP23" i="18"/>
  <c r="AL12" i="23"/>
  <c r="AJ11" i="23"/>
  <c r="H12" i="13"/>
  <c r="H76" i="32" s="1"/>
  <c r="Y6" i="24"/>
  <c r="Y6" i="8" s="1"/>
  <c r="V6" i="24"/>
  <c r="V6" i="8" s="1"/>
  <c r="S6" i="24"/>
  <c r="S6" i="8" s="1"/>
  <c r="P6" i="24"/>
  <c r="P6" i="8" s="1"/>
  <c r="R44" i="12"/>
  <c r="R338" i="32" s="1"/>
  <c r="K19" i="12"/>
  <c r="K171" i="32" s="1"/>
  <c r="H19" i="13"/>
  <c r="H172" i="32" s="1"/>
  <c r="AP58" i="18"/>
  <c r="O41" i="9"/>
  <c r="L41" i="9"/>
  <c r="R41" i="9"/>
  <c r="I41" i="9"/>
  <c r="K18" i="12"/>
  <c r="K156" i="32" s="1"/>
  <c r="AF46" i="3"/>
  <c r="H18" i="13"/>
  <c r="H157" i="32" s="1"/>
  <c r="F41" i="9"/>
  <c r="P42" i="6"/>
  <c r="H6" i="13"/>
  <c r="H18" i="32" s="1"/>
  <c r="S44" i="13"/>
  <c r="AP11" i="18"/>
  <c r="AJ7" i="23"/>
  <c r="V8" i="23"/>
  <c r="P8" i="23"/>
  <c r="E26" i="8"/>
  <c r="Y8" i="23"/>
  <c r="AP14" i="18"/>
  <c r="S8" i="23"/>
  <c r="AB8" i="23"/>
  <c r="AP12" i="18"/>
  <c r="AP13" i="18"/>
  <c r="N23" i="12"/>
  <c r="N233" i="32" s="1"/>
  <c r="J23" i="12"/>
  <c r="J233" i="32" s="1"/>
  <c r="F23" i="12"/>
  <c r="F233" i="32" s="1"/>
  <c r="L24" i="12"/>
  <c r="L248" i="32" s="1"/>
  <c r="Q24" i="12"/>
  <c r="Q248" i="32" s="1"/>
  <c r="K5" i="24"/>
  <c r="K5" i="8" s="1"/>
  <c r="C8" i="32" s="1"/>
  <c r="F61" i="23"/>
  <c r="E22" i="8" s="1"/>
  <c r="Q21" i="3" s="1"/>
  <c r="G61" i="23"/>
  <c r="F22" i="8" s="1"/>
  <c r="V21" i="3" s="1"/>
  <c r="H61" i="23"/>
  <c r="G22" i="8" s="1"/>
  <c r="AA21" i="3" s="1"/>
  <c r="I61" i="23"/>
  <c r="H22" i="8" s="1"/>
  <c r="AF21" i="3" s="1"/>
  <c r="D61" i="23"/>
  <c r="D56" i="23"/>
  <c r="K59" i="22"/>
  <c r="L59" i="22"/>
  <c r="M59" i="22"/>
  <c r="F59" i="22"/>
  <c r="G59" i="22"/>
  <c r="F54" i="22"/>
  <c r="G54" i="22"/>
  <c r="K35" i="22"/>
  <c r="L35" i="22"/>
  <c r="M35" i="22"/>
  <c r="K14" i="22"/>
  <c r="L14" i="22"/>
  <c r="M14" i="22"/>
  <c r="F35" i="22"/>
  <c r="G35" i="22"/>
  <c r="F14" i="22"/>
  <c r="G14" i="22"/>
  <c r="AQ6" i="18"/>
  <c r="AQ7" i="18"/>
  <c r="AQ8" i="18"/>
  <c r="AQ9" i="18"/>
  <c r="AQ17" i="18"/>
  <c r="AQ18" i="18"/>
  <c r="AQ20" i="18"/>
  <c r="AQ21" i="18" s="1"/>
  <c r="AM11" i="7" s="1"/>
  <c r="AQ25" i="18"/>
  <c r="AQ27" i="18"/>
  <c r="AQ28" i="18"/>
  <c r="AQ29" i="18"/>
  <c r="AQ34" i="18"/>
  <c r="AQ35" i="18"/>
  <c r="AQ36" i="18"/>
  <c r="AQ37" i="18"/>
  <c r="AQ38" i="18"/>
  <c r="AQ39" i="18"/>
  <c r="AQ40" i="18"/>
  <c r="AQ41" i="18"/>
  <c r="AQ43" i="18"/>
  <c r="AQ44" i="18"/>
  <c r="AQ45" i="18"/>
  <c r="AQ46" i="18"/>
  <c r="AQ48" i="18"/>
  <c r="AQ49" i="18"/>
  <c r="AQ50" i="18"/>
  <c r="AQ60" i="18"/>
  <c r="AQ61" i="18"/>
  <c r="AQ62" i="18"/>
  <c r="AQ63" i="18"/>
  <c r="AQ64" i="18"/>
  <c r="AQ67" i="18"/>
  <c r="AQ68" i="18"/>
  <c r="AQ69" i="18"/>
  <c r="AQ70" i="18"/>
  <c r="AQ71" i="18"/>
  <c r="AQ72" i="18"/>
  <c r="AQ74" i="18"/>
  <c r="AQ75" i="18"/>
  <c r="AQ76" i="18"/>
  <c r="AQ77" i="18"/>
  <c r="AQ78" i="18"/>
  <c r="AQ79" i="18"/>
  <c r="AQ80" i="18"/>
  <c r="AQ5" i="18"/>
  <c r="N81" i="18"/>
  <c r="K22" i="7" s="1"/>
  <c r="D214" i="32" s="1"/>
  <c r="D220" i="32" s="1"/>
  <c r="N65" i="18"/>
  <c r="K20" i="7" s="1"/>
  <c r="D183" i="32" s="1"/>
  <c r="D189" i="32" s="1"/>
  <c r="N42" i="18"/>
  <c r="K16" i="7" s="1"/>
  <c r="D123" i="32" s="1"/>
  <c r="D129" i="32" s="1"/>
  <c r="N30" i="18"/>
  <c r="K14" i="7" s="1"/>
  <c r="D92" i="32" s="1"/>
  <c r="D98" i="32" s="1"/>
  <c r="N21" i="18"/>
  <c r="K11" i="7" s="1"/>
  <c r="N19" i="18"/>
  <c r="K8" i="7" s="1"/>
  <c r="N10" i="18"/>
  <c r="K5" i="7" s="1"/>
  <c r="F76" i="20"/>
  <c r="G76" i="20"/>
  <c r="K76" i="20"/>
  <c r="L76" i="20"/>
  <c r="K61" i="20"/>
  <c r="L61" i="20"/>
  <c r="F61" i="20"/>
  <c r="G61" i="20"/>
  <c r="K44" i="20"/>
  <c r="L44" i="20"/>
  <c r="F44" i="20"/>
  <c r="G44" i="20"/>
  <c r="L37" i="20"/>
  <c r="K37" i="20"/>
  <c r="G37" i="20"/>
  <c r="F37" i="20"/>
  <c r="L26" i="20"/>
  <c r="K26" i="20"/>
  <c r="G26" i="20"/>
  <c r="F26" i="20"/>
  <c r="L18" i="20"/>
  <c r="K18" i="20"/>
  <c r="G18" i="20"/>
  <c r="F18" i="20"/>
  <c r="L9" i="20"/>
  <c r="K9" i="20"/>
  <c r="G9" i="20"/>
  <c r="F9" i="20"/>
  <c r="G39" i="6" l="1"/>
  <c r="F41" i="13"/>
  <c r="F294" i="32" s="1"/>
  <c r="P11" i="9"/>
  <c r="R39" i="13"/>
  <c r="R264" i="32" s="1"/>
  <c r="T264" i="32"/>
  <c r="R41" i="26"/>
  <c r="J46" i="3"/>
  <c r="U41" i="26"/>
  <c r="Y46" i="3"/>
  <c r="V41" i="26"/>
  <c r="AD46" i="3"/>
  <c r="D5" i="32"/>
  <c r="K7" i="7"/>
  <c r="D34" i="32"/>
  <c r="K10" i="7"/>
  <c r="T41" i="26"/>
  <c r="T46" i="3"/>
  <c r="S41" i="26"/>
  <c r="O46" i="3"/>
  <c r="AM13" i="7"/>
  <c r="Z63" i="32"/>
  <c r="K13" i="7"/>
  <c r="D63" i="32"/>
  <c r="S14" i="26"/>
  <c r="Z14" i="26" s="1"/>
  <c r="O25" i="3"/>
  <c r="AA14" i="26"/>
  <c r="U25" i="26"/>
  <c r="R25" i="28" s="1"/>
  <c r="R14" i="28"/>
  <c r="R14" i="26"/>
  <c r="J25" i="3"/>
  <c r="AB14" i="26"/>
  <c r="S14" i="28"/>
  <c r="AC14" i="26"/>
  <c r="V25" i="26"/>
  <c r="S25" i="28" s="1"/>
  <c r="T25" i="26"/>
  <c r="Q25" i="28" s="1"/>
  <c r="Q14" i="28"/>
  <c r="G11" i="9"/>
  <c r="S11" i="9"/>
  <c r="T11" i="9" s="1"/>
  <c r="M11" i="9"/>
  <c r="N11" i="9" s="1"/>
  <c r="J11" i="9"/>
  <c r="K11" i="9" s="1"/>
  <c r="Q9" i="32"/>
  <c r="Q10" i="32" s="1"/>
  <c r="P5" i="9"/>
  <c r="G5" i="9"/>
  <c r="H9" i="32"/>
  <c r="H10" i="32" s="1"/>
  <c r="J5" i="9"/>
  <c r="K9" i="32"/>
  <c r="K10" i="32" s="1"/>
  <c r="M5" i="9"/>
  <c r="N9" i="32"/>
  <c r="N10" i="32" s="1"/>
  <c r="I41" i="13"/>
  <c r="I294" i="32" s="1"/>
  <c r="J294" i="32"/>
  <c r="J296" i="32" s="1"/>
  <c r="M41" i="13"/>
  <c r="M294" i="32" s="1"/>
  <c r="M296" i="32" s="1"/>
  <c r="Q41" i="13"/>
  <c r="Q294" i="32" s="1"/>
  <c r="M24" i="13"/>
  <c r="M24" i="6" s="1"/>
  <c r="Q24" i="13"/>
  <c r="Q249" i="32" s="1"/>
  <c r="Q11" i="9"/>
  <c r="H11" i="9"/>
  <c r="AA6" i="32"/>
  <c r="AN26" i="7"/>
  <c r="AA6" i="4" s="1"/>
  <c r="Q279" i="32"/>
  <c r="P40" i="13"/>
  <c r="P38" i="6" s="1"/>
  <c r="T40" i="13"/>
  <c r="M279" i="32"/>
  <c r="M281" i="32" s="1"/>
  <c r="L40" i="13"/>
  <c r="L279" i="32" s="1"/>
  <c r="R320" i="32"/>
  <c r="AC43" i="7"/>
  <c r="R35" i="4" s="1"/>
  <c r="Y320" i="32"/>
  <c r="AL43" i="7"/>
  <c r="Y35" i="4" s="1"/>
  <c r="AA320" i="32"/>
  <c r="AN43" i="7"/>
  <c r="AA35" i="4" s="1"/>
  <c r="L41" i="12"/>
  <c r="L293" i="32" s="1"/>
  <c r="I24" i="13"/>
  <c r="I249" i="32" s="1"/>
  <c r="N23" i="13"/>
  <c r="N234" i="32" s="1"/>
  <c r="J23" i="13"/>
  <c r="J234" i="32" s="1"/>
  <c r="J236" i="32" s="1"/>
  <c r="Q41" i="12"/>
  <c r="O41" i="12" s="1"/>
  <c r="O293" i="32" s="1"/>
  <c r="H42" i="13"/>
  <c r="H308" i="32"/>
  <c r="G42" i="12"/>
  <c r="F42" i="12" s="1"/>
  <c r="K42" i="12"/>
  <c r="J249" i="32"/>
  <c r="J251" i="32" s="1"/>
  <c r="X338" i="32"/>
  <c r="C10" i="32"/>
  <c r="F6" i="12"/>
  <c r="F15" i="32" s="1"/>
  <c r="V44" i="13"/>
  <c r="W339" i="32"/>
  <c r="AC339" i="32" s="1"/>
  <c r="X44" i="13"/>
  <c r="U39" i="13"/>
  <c r="W264" i="32"/>
  <c r="AC264" i="32" s="1"/>
  <c r="X39" i="13"/>
  <c r="C21" i="8"/>
  <c r="J21" i="8" s="1"/>
  <c r="AN56" i="23"/>
  <c r="L61" i="23"/>
  <c r="AN61" i="23"/>
  <c r="C22" i="8"/>
  <c r="Y73" i="23"/>
  <c r="P278" i="32"/>
  <c r="R44" i="13"/>
  <c r="R339" i="32" s="1"/>
  <c r="S339" i="32"/>
  <c r="S341" i="32" s="1"/>
  <c r="T278" i="32"/>
  <c r="W40" i="12"/>
  <c r="AC40" i="12" s="1"/>
  <c r="V338" i="32"/>
  <c r="U44" i="12"/>
  <c r="P73" i="23"/>
  <c r="N6" i="12"/>
  <c r="N15" i="32" s="1"/>
  <c r="K15" i="32"/>
  <c r="W42" i="6"/>
  <c r="Z44" i="12"/>
  <c r="Z42" i="6" s="1"/>
  <c r="AA338" i="32"/>
  <c r="V73" i="23"/>
  <c r="U39" i="12"/>
  <c r="W263" i="32"/>
  <c r="AC263" i="32" s="1"/>
  <c r="AA39" i="12"/>
  <c r="X39" i="12"/>
  <c r="W37" i="6"/>
  <c r="F12" i="12"/>
  <c r="G73" i="32"/>
  <c r="G13" i="3"/>
  <c r="AK14" i="8"/>
  <c r="L44" i="23"/>
  <c r="AN44" i="23"/>
  <c r="C20" i="8"/>
  <c r="AB73" i="23"/>
  <c r="G16" i="3"/>
  <c r="AK17" i="8"/>
  <c r="H82" i="32"/>
  <c r="S73" i="23"/>
  <c r="AL73" i="23"/>
  <c r="AI12" i="8"/>
  <c r="AA67" i="32" s="1"/>
  <c r="K25" i="24"/>
  <c r="H26" i="8"/>
  <c r="D26" i="8"/>
  <c r="AQ73" i="18"/>
  <c r="AM21" i="7" s="1"/>
  <c r="Z199" i="32" s="1"/>
  <c r="AQ19" i="18"/>
  <c r="AM8" i="7" s="1"/>
  <c r="K84" i="20"/>
  <c r="L84" i="20"/>
  <c r="F26" i="8"/>
  <c r="G26" i="8"/>
  <c r="AQ30" i="18"/>
  <c r="AM14" i="7" s="1"/>
  <c r="Z92" i="32" s="1"/>
  <c r="AQ81" i="18"/>
  <c r="AM22" i="7" s="1"/>
  <c r="Z214" i="32" s="1"/>
  <c r="AQ65" i="18"/>
  <c r="AM20" i="7" s="1"/>
  <c r="Z183" i="32" s="1"/>
  <c r="AQ42" i="18"/>
  <c r="AM16" i="7" s="1"/>
  <c r="Z123" i="32" s="1"/>
  <c r="AP16" i="18"/>
  <c r="AL6" i="7" s="1"/>
  <c r="AR90" i="18"/>
  <c r="AQ10" i="18"/>
  <c r="AM5" i="7" s="1"/>
  <c r="F84" i="20"/>
  <c r="G84" i="20"/>
  <c r="L56" i="23"/>
  <c r="G72" i="22"/>
  <c r="G74" i="22" s="1"/>
  <c r="F72" i="22"/>
  <c r="D72" i="23"/>
  <c r="K72" i="22"/>
  <c r="K74" i="22" s="1"/>
  <c r="M72" i="22"/>
  <c r="M74" i="22" s="1"/>
  <c r="L72" i="22"/>
  <c r="L74" i="22" s="1"/>
  <c r="J6" i="12"/>
  <c r="O40" i="12"/>
  <c r="O278" i="32" s="1"/>
  <c r="S40" i="12"/>
  <c r="S278" i="32" s="1"/>
  <c r="P61" i="20"/>
  <c r="P76" i="20"/>
  <c r="P44" i="20"/>
  <c r="P37" i="20"/>
  <c r="P42" i="22"/>
  <c r="P14" i="22"/>
  <c r="P59" i="22"/>
  <c r="P35" i="22"/>
  <c r="P54" i="22"/>
  <c r="P9" i="20"/>
  <c r="P18" i="20"/>
  <c r="P26" i="20"/>
  <c r="F23" i="13"/>
  <c r="F234" i="32" s="1"/>
  <c r="G23" i="6"/>
  <c r="G12" i="13"/>
  <c r="G76" i="32" s="1"/>
  <c r="G77" i="32" s="1"/>
  <c r="K12" i="13"/>
  <c r="K76" i="32" s="1"/>
  <c r="G13" i="12"/>
  <c r="Q12" i="24"/>
  <c r="Q12" i="8" s="1"/>
  <c r="I67" i="32" s="1"/>
  <c r="I68" i="32" s="1"/>
  <c r="N12" i="24"/>
  <c r="N12" i="8" s="1"/>
  <c r="F67" i="32" s="1"/>
  <c r="F68" i="32" s="1"/>
  <c r="W12" i="24"/>
  <c r="W12" i="8" s="1"/>
  <c r="O67" i="32" s="1"/>
  <c r="O68" i="32" s="1"/>
  <c r="AJ12" i="23"/>
  <c r="T12" i="24"/>
  <c r="T12" i="8" s="1"/>
  <c r="L67" i="32" s="1"/>
  <c r="L68" i="32" s="1"/>
  <c r="N12" i="12"/>
  <c r="N73" i="32" s="1"/>
  <c r="J12" i="12"/>
  <c r="Z12" i="24"/>
  <c r="Z12" i="8" s="1"/>
  <c r="R67" i="32" s="1"/>
  <c r="R68" i="32" s="1"/>
  <c r="G18" i="13"/>
  <c r="K18" i="13"/>
  <c r="K157" i="32" s="1"/>
  <c r="G19" i="13"/>
  <c r="K19" i="13"/>
  <c r="K172" i="32" s="1"/>
  <c r="S42" i="6"/>
  <c r="AA41" i="9"/>
  <c r="N18" i="12"/>
  <c r="N156" i="32" s="1"/>
  <c r="I18" i="12"/>
  <c r="I156" i="32" s="1"/>
  <c r="N19" i="12"/>
  <c r="N171" i="32" s="1"/>
  <c r="I19" i="12"/>
  <c r="I171" i="32" s="1"/>
  <c r="K6" i="13"/>
  <c r="K18" i="32" s="1"/>
  <c r="I23" i="12"/>
  <c r="I233" i="32" s="1"/>
  <c r="W6" i="24"/>
  <c r="W6" i="8" s="1"/>
  <c r="O9" i="32" s="1"/>
  <c r="N6" i="24"/>
  <c r="N6" i="8" s="1"/>
  <c r="F9" i="32" s="1"/>
  <c r="AJ8" i="23"/>
  <c r="Z6" i="24"/>
  <c r="Z6" i="8" s="1"/>
  <c r="R9" i="32" s="1"/>
  <c r="Q6" i="24"/>
  <c r="Q6" i="8" s="1"/>
  <c r="I9" i="32" s="1"/>
  <c r="T6" i="24"/>
  <c r="T6" i="8" s="1"/>
  <c r="L9" i="32" s="1"/>
  <c r="K7" i="8"/>
  <c r="T24" i="12"/>
  <c r="O24" i="12"/>
  <c r="O248" i="32" s="1"/>
  <c r="Q23" i="12"/>
  <c r="Q233" i="32" s="1"/>
  <c r="M23" i="12"/>
  <c r="D14" i="6"/>
  <c r="M36" i="23"/>
  <c r="Y4" i="9"/>
  <c r="Q42" i="28" l="1"/>
  <c r="Q44" i="28" s="1"/>
  <c r="Z41" i="26"/>
  <c r="T43" i="26"/>
  <c r="S42" i="28"/>
  <c r="S44" i="28" s="1"/>
  <c r="AB41" i="26"/>
  <c r="AC41" i="26"/>
  <c r="V43" i="26"/>
  <c r="AM10" i="7"/>
  <c r="Z34" i="32"/>
  <c r="Z36" i="32" s="1"/>
  <c r="D36" i="32"/>
  <c r="D52" i="32"/>
  <c r="D54" i="32" s="1"/>
  <c r="Z65" i="32"/>
  <c r="Z81" i="32"/>
  <c r="R42" i="28"/>
  <c r="R44" i="28" s="1"/>
  <c r="AA41" i="26"/>
  <c r="U43" i="26"/>
  <c r="D81" i="32"/>
  <c r="D83" i="32" s="1"/>
  <c r="D65" i="32"/>
  <c r="Z5" i="32"/>
  <c r="Z7" i="32" s="1"/>
  <c r="AM7" i="7"/>
  <c r="D7" i="32"/>
  <c r="D23" i="32"/>
  <c r="D25" i="32" s="1"/>
  <c r="O42" i="28"/>
  <c r="O44" i="28" s="1"/>
  <c r="X41" i="26"/>
  <c r="R43" i="26"/>
  <c r="Y41" i="26"/>
  <c r="P42" i="28"/>
  <c r="P44" i="28" s="1"/>
  <c r="S43" i="26"/>
  <c r="Z25" i="26"/>
  <c r="W25" i="28" s="1"/>
  <c r="W14" i="28"/>
  <c r="AC14" i="28" s="1"/>
  <c r="AC25" i="28" s="1"/>
  <c r="AF14" i="26"/>
  <c r="AF25" i="26" s="1"/>
  <c r="AB25" i="26"/>
  <c r="Y25" i="28" s="1"/>
  <c r="Y14" i="28"/>
  <c r="AE14" i="28" s="1"/>
  <c r="AE25" i="28" s="1"/>
  <c r="AH14" i="26"/>
  <c r="AH25" i="26" s="1"/>
  <c r="AA25" i="26"/>
  <c r="X25" i="28" s="1"/>
  <c r="X14" i="28"/>
  <c r="AD14" i="28" s="1"/>
  <c r="AD25" i="28" s="1"/>
  <c r="AG14" i="26"/>
  <c r="AG25" i="26" s="1"/>
  <c r="Z14" i="28"/>
  <c r="AF14" i="28" s="1"/>
  <c r="AF25" i="28" s="1"/>
  <c r="AC25" i="26"/>
  <c r="Z25" i="28" s="1"/>
  <c r="AI14" i="26"/>
  <c r="AI25" i="26" s="1"/>
  <c r="R25" i="26"/>
  <c r="O25" i="28" s="1"/>
  <c r="O14" i="28"/>
  <c r="X14" i="26"/>
  <c r="Y14" i="26"/>
  <c r="S25" i="26"/>
  <c r="P25" i="28" s="1"/>
  <c r="P14" i="28"/>
  <c r="M39" i="6"/>
  <c r="T41" i="12"/>
  <c r="W41" i="12" s="1"/>
  <c r="AC41" i="12" s="1"/>
  <c r="Q293" i="32"/>
  <c r="T41" i="13"/>
  <c r="T294" i="32" s="1"/>
  <c r="P41" i="13"/>
  <c r="P294" i="32" s="1"/>
  <c r="P296" i="32" s="1"/>
  <c r="H24" i="32"/>
  <c r="J23" i="6"/>
  <c r="M249" i="32"/>
  <c r="M251" i="32" s="1"/>
  <c r="L24" i="13"/>
  <c r="L249" i="32" s="1"/>
  <c r="L41" i="13"/>
  <c r="L294" i="32" s="1"/>
  <c r="T24" i="13"/>
  <c r="W24" i="13" s="1"/>
  <c r="Z24" i="13" s="1"/>
  <c r="M23" i="13"/>
  <c r="M234" i="32" s="1"/>
  <c r="P24" i="13"/>
  <c r="P249" i="32" s="1"/>
  <c r="P251" i="32" s="1"/>
  <c r="Q23" i="13"/>
  <c r="Q234" i="32" s="1"/>
  <c r="Y6" i="32"/>
  <c r="AL26" i="7"/>
  <c r="Y6" i="4" s="1"/>
  <c r="T279" i="32"/>
  <c r="W40" i="13"/>
  <c r="W38" i="6" s="1"/>
  <c r="S40" i="13"/>
  <c r="P279" i="32"/>
  <c r="P281" i="32" s="1"/>
  <c r="O40" i="13"/>
  <c r="O279" i="32" s="1"/>
  <c r="I23" i="13"/>
  <c r="I234" i="32" s="1"/>
  <c r="Q6" i="12"/>
  <c r="Q15" i="32" s="1"/>
  <c r="M6" i="12"/>
  <c r="M15" i="32" s="1"/>
  <c r="H309" i="32"/>
  <c r="G42" i="13"/>
  <c r="F42" i="13" s="1"/>
  <c r="K42" i="13"/>
  <c r="F308" i="32"/>
  <c r="K308" i="32"/>
  <c r="N42" i="12"/>
  <c r="J42" i="12"/>
  <c r="I42" i="12" s="1"/>
  <c r="G308" i="32"/>
  <c r="F18" i="13"/>
  <c r="F157" i="32" s="1"/>
  <c r="G157" i="32"/>
  <c r="G159" i="32" s="1"/>
  <c r="I6" i="12"/>
  <c r="I15" i="32" s="1"/>
  <c r="J15" i="32"/>
  <c r="AO16" i="3"/>
  <c r="AS16" i="3"/>
  <c r="G19" i="3"/>
  <c r="AK20" i="8"/>
  <c r="K24" i="32"/>
  <c r="AA339" i="32"/>
  <c r="AA341" i="32" s="1"/>
  <c r="X339" i="32"/>
  <c r="W341" i="32"/>
  <c r="G82" i="32"/>
  <c r="G83" i="32" s="1"/>
  <c r="G74" i="32"/>
  <c r="Z338" i="32"/>
  <c r="Y44" i="12"/>
  <c r="Y338" i="32" s="1"/>
  <c r="V339" i="32"/>
  <c r="Z339" i="32" s="1"/>
  <c r="V42" i="6"/>
  <c r="AA68" i="32"/>
  <c r="F13" i="12"/>
  <c r="F73" i="32"/>
  <c r="G21" i="3"/>
  <c r="AK22" i="8"/>
  <c r="AA264" i="32"/>
  <c r="X264" i="32"/>
  <c r="I10" i="32"/>
  <c r="AC37" i="6"/>
  <c r="X37" i="6"/>
  <c r="AC42" i="6"/>
  <c r="X42" i="6"/>
  <c r="U338" i="32"/>
  <c r="U264" i="32"/>
  <c r="Y264" i="32" s="1"/>
  <c r="F19" i="13"/>
  <c r="F172" i="32" s="1"/>
  <c r="G172" i="32"/>
  <c r="G174" i="32" s="1"/>
  <c r="J73" i="32"/>
  <c r="AS13" i="3"/>
  <c r="AO13" i="3"/>
  <c r="E13" i="3"/>
  <c r="AL13" i="3" s="1"/>
  <c r="F10" i="32"/>
  <c r="T248" i="32"/>
  <c r="W24" i="12"/>
  <c r="AC24" i="12" s="1"/>
  <c r="AA263" i="32"/>
  <c r="Y39" i="12"/>
  <c r="Y263" i="32" s="1"/>
  <c r="L23" i="12"/>
  <c r="L233" i="32" s="1"/>
  <c r="M233" i="32"/>
  <c r="L72" i="23"/>
  <c r="AN72" i="23"/>
  <c r="R10" i="32"/>
  <c r="X263" i="32"/>
  <c r="W266" i="32"/>
  <c r="L10" i="32"/>
  <c r="W278" i="32"/>
  <c r="AC278" i="32" s="1"/>
  <c r="V40" i="12"/>
  <c r="AA40" i="12"/>
  <c r="AA278" i="32" s="1"/>
  <c r="X40" i="12"/>
  <c r="G20" i="3"/>
  <c r="AK21" i="8"/>
  <c r="U263" i="32"/>
  <c r="U37" i="6"/>
  <c r="O10" i="32"/>
  <c r="U44" i="13"/>
  <c r="U339" i="32" s="1"/>
  <c r="Y339" i="32" s="1"/>
  <c r="K82" i="32"/>
  <c r="AJ73" i="23"/>
  <c r="AP90" i="18"/>
  <c r="R40" i="12"/>
  <c r="R278" i="32" s="1"/>
  <c r="AA25" i="3"/>
  <c r="V25" i="3"/>
  <c r="AF25" i="3"/>
  <c r="P84" i="20"/>
  <c r="P72" i="22"/>
  <c r="H12" i="6"/>
  <c r="I12" i="12"/>
  <c r="J13" i="12"/>
  <c r="K12" i="6"/>
  <c r="J12" i="13"/>
  <c r="J76" i="32" s="1"/>
  <c r="J77" i="32" s="1"/>
  <c r="N12" i="13"/>
  <c r="AH12" i="24"/>
  <c r="AG12" i="8" s="1"/>
  <c r="Y67" i="32" s="1"/>
  <c r="Y68" i="32" s="1"/>
  <c r="Q12" i="12"/>
  <c r="Q73" i="32" s="1"/>
  <c r="M12" i="12"/>
  <c r="M73" i="32" s="1"/>
  <c r="G12" i="6"/>
  <c r="F12" i="13"/>
  <c r="F76" i="32" s="1"/>
  <c r="J19" i="13"/>
  <c r="N19" i="13"/>
  <c r="N172" i="32" s="1"/>
  <c r="G19" i="6"/>
  <c r="H6" i="6"/>
  <c r="K6" i="6"/>
  <c r="Q19" i="12"/>
  <c r="Q171" i="32" s="1"/>
  <c r="L19" i="12"/>
  <c r="L171" i="32" s="1"/>
  <c r="L18" i="12"/>
  <c r="L156" i="32" s="1"/>
  <c r="Q18" i="12"/>
  <c r="Q156" i="32" s="1"/>
  <c r="J18" i="13"/>
  <c r="N18" i="13"/>
  <c r="N157" i="32" s="1"/>
  <c r="G18" i="6"/>
  <c r="N6" i="13"/>
  <c r="N18" i="32" s="1"/>
  <c r="S24" i="13"/>
  <c r="S249" i="32" s="1"/>
  <c r="S251" i="32" s="1"/>
  <c r="AH6" i="24"/>
  <c r="AG6" i="8" s="1"/>
  <c r="Y9" i="32" s="1"/>
  <c r="Y10" i="32" s="1"/>
  <c r="R24" i="12"/>
  <c r="R248" i="32" s="1"/>
  <c r="T23" i="12"/>
  <c r="P23" i="12"/>
  <c r="P233" i="32" s="1"/>
  <c r="K27" i="24"/>
  <c r="D22" i="6"/>
  <c r="F74" i="22"/>
  <c r="D74" i="23"/>
  <c r="M50" i="18"/>
  <c r="D16" i="6"/>
  <c r="D11" i="6"/>
  <c r="D21" i="6"/>
  <c r="D20" i="6"/>
  <c r="M49" i="18"/>
  <c r="G86" i="20"/>
  <c r="L86" i="20"/>
  <c r="K86" i="20"/>
  <c r="F86" i="20"/>
  <c r="O37" i="23"/>
  <c r="AH37" i="23" s="1"/>
  <c r="M39" i="18"/>
  <c r="T49" i="18"/>
  <c r="M48" i="18"/>
  <c r="X50" i="18"/>
  <c r="D5" i="6"/>
  <c r="AF39" i="18"/>
  <c r="D81" i="18"/>
  <c r="AU81" i="18" s="1"/>
  <c r="X42" i="28" l="1"/>
  <c r="AG41" i="26"/>
  <c r="AG43" i="26" s="1"/>
  <c r="AA43" i="26"/>
  <c r="Z42" i="28"/>
  <c r="AI41" i="26"/>
  <c r="AI43" i="26" s="1"/>
  <c r="AC43" i="26"/>
  <c r="Y42" i="28"/>
  <c r="AH41" i="26"/>
  <c r="AH43" i="26" s="1"/>
  <c r="AB43" i="26"/>
  <c r="V42" i="28"/>
  <c r="AE41" i="26"/>
  <c r="AE43" i="26" s="1"/>
  <c r="Y43" i="26"/>
  <c r="W42" i="28"/>
  <c r="AF41" i="26"/>
  <c r="AF43" i="26" s="1"/>
  <c r="Z43" i="26"/>
  <c r="U42" i="28"/>
  <c r="AD41" i="26"/>
  <c r="X43" i="26"/>
  <c r="T293" i="32"/>
  <c r="R41" i="12"/>
  <c r="R293" i="32" s="1"/>
  <c r="Y25" i="26"/>
  <c r="V25" i="28" s="1"/>
  <c r="V14" i="28"/>
  <c r="AB14" i="28" s="1"/>
  <c r="AB25" i="28" s="1"/>
  <c r="AE14" i="26"/>
  <c r="AE25" i="26" s="1"/>
  <c r="X25" i="26"/>
  <c r="U25" i="28" s="1"/>
  <c r="AD14" i="26"/>
  <c r="U14" i="28"/>
  <c r="AA14" i="28" s="1"/>
  <c r="S41" i="13"/>
  <c r="R41" i="13" s="1"/>
  <c r="W41" i="13"/>
  <c r="Z41" i="13" s="1"/>
  <c r="O41" i="13"/>
  <c r="O294" i="32" s="1"/>
  <c r="P39" i="6"/>
  <c r="M23" i="6"/>
  <c r="M236" i="32"/>
  <c r="T249" i="32"/>
  <c r="P24" i="6"/>
  <c r="O24" i="13"/>
  <c r="O249" i="32" s="1"/>
  <c r="L23" i="13"/>
  <c r="L234" i="32" s="1"/>
  <c r="T6" i="12"/>
  <c r="W6" i="12" s="1"/>
  <c r="V6" i="12" s="1"/>
  <c r="V15" i="32" s="1"/>
  <c r="L6" i="12"/>
  <c r="L15" i="32" s="1"/>
  <c r="P23" i="13"/>
  <c r="P234" i="32" s="1"/>
  <c r="P236" i="32" s="1"/>
  <c r="P6" i="12"/>
  <c r="P15" i="32" s="1"/>
  <c r="T23" i="13"/>
  <c r="T234" i="32" s="1"/>
  <c r="G40" i="6"/>
  <c r="S279" i="32"/>
  <c r="S281" i="32" s="1"/>
  <c r="R40" i="13"/>
  <c r="R279" i="32" s="1"/>
  <c r="S38" i="6"/>
  <c r="Z40" i="13"/>
  <c r="V40" i="13"/>
  <c r="V38" i="6" s="1"/>
  <c r="W279" i="32"/>
  <c r="W281" i="32" s="1"/>
  <c r="X40" i="13"/>
  <c r="AA266" i="32"/>
  <c r="U266" i="32"/>
  <c r="I308" i="32"/>
  <c r="F309" i="32"/>
  <c r="J308" i="32"/>
  <c r="K309" i="32"/>
  <c r="J42" i="13"/>
  <c r="I42" i="13" s="1"/>
  <c r="N42" i="13"/>
  <c r="M42" i="12"/>
  <c r="Q42" i="12"/>
  <c r="N308" i="32"/>
  <c r="G309" i="32"/>
  <c r="G311" i="32" s="1"/>
  <c r="Z40" i="12"/>
  <c r="Z278" i="32" s="1"/>
  <c r="X341" i="32"/>
  <c r="AC341" i="32"/>
  <c r="X266" i="32"/>
  <c r="AC266" i="32"/>
  <c r="I18" i="13"/>
  <c r="I157" i="32" s="1"/>
  <c r="J157" i="32"/>
  <c r="J159" i="32" s="1"/>
  <c r="U341" i="32"/>
  <c r="Z341" i="32"/>
  <c r="N24" i="32"/>
  <c r="M74" i="32"/>
  <c r="W293" i="32"/>
  <c r="AC293" i="32" s="1"/>
  <c r="U41" i="12"/>
  <c r="AA41" i="12"/>
  <c r="X41" i="12"/>
  <c r="W294" i="32"/>
  <c r="AC294" i="32" s="1"/>
  <c r="N12" i="6"/>
  <c r="N76" i="32"/>
  <c r="W249" i="32"/>
  <c r="AC249" i="32" s="1"/>
  <c r="V24" i="13"/>
  <c r="X24" i="13"/>
  <c r="I73" i="32"/>
  <c r="U40" i="12"/>
  <c r="V278" i="32"/>
  <c r="AS21" i="3"/>
  <c r="AO21" i="3"/>
  <c r="AS19" i="3"/>
  <c r="AO19" i="3"/>
  <c r="T233" i="32"/>
  <c r="W23" i="12"/>
  <c r="AC23" i="12" s="1"/>
  <c r="AC38" i="6"/>
  <c r="X38" i="6"/>
  <c r="M17" i="8"/>
  <c r="D16" i="9" s="1"/>
  <c r="AO37" i="23"/>
  <c r="X278" i="32"/>
  <c r="AQ13" i="3"/>
  <c r="Q13" i="26"/>
  <c r="L13" i="26"/>
  <c r="U24" i="12"/>
  <c r="W248" i="32"/>
  <c r="AC248" i="32" s="1"/>
  <c r="AA24" i="12"/>
  <c r="W24" i="6"/>
  <c r="X24" i="12"/>
  <c r="U42" i="6"/>
  <c r="F74" i="32"/>
  <c r="F82" i="32"/>
  <c r="L74" i="23"/>
  <c r="AN74" i="23"/>
  <c r="I19" i="13"/>
  <c r="I172" i="32" s="1"/>
  <c r="J172" i="32"/>
  <c r="J174" i="32" s="1"/>
  <c r="E20" i="3"/>
  <c r="AL20" i="3" s="1"/>
  <c r="AO20" i="3"/>
  <c r="AS20" i="3"/>
  <c r="V341" i="32"/>
  <c r="J82" i="32"/>
  <c r="J83" i="32" s="1"/>
  <c r="J74" i="32"/>
  <c r="L81" i="18"/>
  <c r="C22" i="7"/>
  <c r="Q5" i="9"/>
  <c r="H5" i="9"/>
  <c r="N5" i="9"/>
  <c r="K5" i="9"/>
  <c r="T5" i="9"/>
  <c r="N6" i="6"/>
  <c r="P74" i="22"/>
  <c r="I12" i="13"/>
  <c r="I76" i="32" s="1"/>
  <c r="J12" i="6"/>
  <c r="P12" i="12"/>
  <c r="T12" i="12"/>
  <c r="M12" i="13"/>
  <c r="M76" i="32" s="1"/>
  <c r="M77" i="32" s="1"/>
  <c r="Q12" i="13"/>
  <c r="Q76" i="32" s="1"/>
  <c r="F12" i="6"/>
  <c r="L12" i="12"/>
  <c r="M13" i="12"/>
  <c r="AB11" i="9"/>
  <c r="AB39" i="18"/>
  <c r="AF49" i="18"/>
  <c r="T39" i="18"/>
  <c r="Q18" i="13"/>
  <c r="Q157" i="32" s="1"/>
  <c r="M18" i="13"/>
  <c r="J18" i="6"/>
  <c r="T18" i="12"/>
  <c r="O18" i="12"/>
  <c r="O156" i="32" s="1"/>
  <c r="T19" i="12"/>
  <c r="O19" i="12"/>
  <c r="O171" i="32" s="1"/>
  <c r="Q19" i="13"/>
  <c r="Q172" i="32" s="1"/>
  <c r="M19" i="13"/>
  <c r="AB5" i="9"/>
  <c r="Z24" i="6"/>
  <c r="S24" i="6"/>
  <c r="J19" i="6"/>
  <c r="Q6" i="13"/>
  <c r="Q18" i="32" s="1"/>
  <c r="R24" i="13"/>
  <c r="R249" i="32" s="1"/>
  <c r="P48" i="18"/>
  <c r="O23" i="12"/>
  <c r="O233" i="32" s="1"/>
  <c r="S23" i="12"/>
  <c r="S233" i="32" s="1"/>
  <c r="D13" i="6"/>
  <c r="AB48" i="18"/>
  <c r="AB49" i="18"/>
  <c r="X49" i="18"/>
  <c r="P49" i="18"/>
  <c r="AB50" i="18"/>
  <c r="P39" i="18"/>
  <c r="T50" i="18"/>
  <c r="X39" i="18"/>
  <c r="AF50" i="18"/>
  <c r="M37" i="23"/>
  <c r="K17" i="8" s="1"/>
  <c r="C139" i="32" s="1"/>
  <c r="M80" i="18"/>
  <c r="T48" i="18"/>
  <c r="AP49" i="18"/>
  <c r="X48" i="18"/>
  <c r="M13" i="23"/>
  <c r="AF48" i="18"/>
  <c r="S39" i="6" l="1"/>
  <c r="W39" i="6"/>
  <c r="AF17" i="8"/>
  <c r="S294" i="32"/>
  <c r="S296" i="32" s="1"/>
  <c r="AE42" i="28"/>
  <c r="AE44" i="28" s="1"/>
  <c r="Y44" i="28"/>
  <c r="O6" i="12"/>
  <c r="O15" i="32" s="1"/>
  <c r="AC42" i="28"/>
  <c r="AC44" i="28" s="1"/>
  <c r="W44" i="28"/>
  <c r="AF42" i="28"/>
  <c r="AF44" i="28" s="1"/>
  <c r="Z44" i="28"/>
  <c r="AB42" i="28"/>
  <c r="AB44" i="28" s="1"/>
  <c r="V44" i="28"/>
  <c r="AA42" i="28"/>
  <c r="U44" i="28"/>
  <c r="H43" i="12"/>
  <c r="AD43" i="26"/>
  <c r="AD42" i="28"/>
  <c r="AD44" i="28" s="1"/>
  <c r="X44" i="28"/>
  <c r="V41" i="13"/>
  <c r="U41" i="13" s="1"/>
  <c r="X41" i="13"/>
  <c r="T15" i="32"/>
  <c r="Z39" i="6"/>
  <c r="H15" i="13"/>
  <c r="AA25" i="28"/>
  <c r="H15" i="12"/>
  <c r="AD25" i="26"/>
  <c r="S6" i="12"/>
  <c r="S15" i="32" s="1"/>
  <c r="P23" i="6"/>
  <c r="O23" i="13"/>
  <c r="O234" i="32" s="1"/>
  <c r="S23" i="13"/>
  <c r="S234" i="32" s="1"/>
  <c r="S236" i="32" s="1"/>
  <c r="W23" i="13"/>
  <c r="Z23" i="13" s="1"/>
  <c r="Y40" i="12"/>
  <c r="Y278" i="32" s="1"/>
  <c r="Z38" i="6"/>
  <c r="F21" i="3"/>
  <c r="E21" i="3" s="1"/>
  <c r="AL21" i="3" s="1"/>
  <c r="AQ22" i="7"/>
  <c r="AR22" i="7" s="1"/>
  <c r="AC279" i="32"/>
  <c r="X279" i="32"/>
  <c r="AA279" i="32"/>
  <c r="AA281" i="32" s="1"/>
  <c r="U40" i="13"/>
  <c r="U279" i="32" s="1"/>
  <c r="Y279" i="32" s="1"/>
  <c r="V279" i="32"/>
  <c r="J40" i="6"/>
  <c r="M308" i="32"/>
  <c r="I309" i="32"/>
  <c r="N309" i="32"/>
  <c r="Q42" i="13"/>
  <c r="M42" i="13"/>
  <c r="L42" i="13" s="1"/>
  <c r="J309" i="32"/>
  <c r="J311" i="32" s="1"/>
  <c r="L42" i="12"/>
  <c r="Q308" i="32"/>
  <c r="T42" i="12"/>
  <c r="P42" i="12"/>
  <c r="O42" i="12" s="1"/>
  <c r="X6" i="12"/>
  <c r="AA6" i="12"/>
  <c r="AA15" i="32" s="1"/>
  <c r="E16" i="9"/>
  <c r="AG16" i="9" s="1"/>
  <c r="AF16" i="9"/>
  <c r="X281" i="32"/>
  <c r="AC281" i="32"/>
  <c r="W15" i="32"/>
  <c r="AC15" i="32" s="1"/>
  <c r="AC6" i="12"/>
  <c r="L18" i="13"/>
  <c r="L157" i="32" s="1"/>
  <c r="M157" i="32"/>
  <c r="M159" i="32" s="1"/>
  <c r="Q82" i="32"/>
  <c r="M82" i="32"/>
  <c r="M83" i="32" s="1"/>
  <c r="U248" i="32"/>
  <c r="AC39" i="6"/>
  <c r="X39" i="6"/>
  <c r="R294" i="32"/>
  <c r="T73" i="32"/>
  <c r="W12" i="12"/>
  <c r="AC12" i="12" s="1"/>
  <c r="AA248" i="32"/>
  <c r="Y24" i="12"/>
  <c r="Y248" i="32" s="1"/>
  <c r="AA293" i="32"/>
  <c r="Y41" i="12"/>
  <c r="Y293" i="32" s="1"/>
  <c r="L19" i="13"/>
  <c r="L172" i="32" s="1"/>
  <c r="M172" i="32"/>
  <c r="M174" i="32" s="1"/>
  <c r="L73" i="32"/>
  <c r="O12" i="12"/>
  <c r="O73" i="32" s="1"/>
  <c r="P73" i="32"/>
  <c r="AQ20" i="3"/>
  <c r="L20" i="26"/>
  <c r="Q20" i="26"/>
  <c r="N20" i="28" s="1"/>
  <c r="X248" i="32"/>
  <c r="W251" i="32"/>
  <c r="I82" i="32"/>
  <c r="U293" i="32"/>
  <c r="U39" i="6"/>
  <c r="W233" i="32"/>
  <c r="AC233" i="32" s="1"/>
  <c r="AA23" i="12"/>
  <c r="AA233" i="32" s="1"/>
  <c r="V23" i="12"/>
  <c r="X23" i="12"/>
  <c r="U24" i="13"/>
  <c r="U249" i="32" s="1"/>
  <c r="Y249" i="32" s="1"/>
  <c r="V249" i="32"/>
  <c r="V24" i="6"/>
  <c r="X293" i="32"/>
  <c r="W296" i="32"/>
  <c r="N82" i="32"/>
  <c r="T171" i="32"/>
  <c r="W19" i="12"/>
  <c r="AC19" i="12" s="1"/>
  <c r="AA294" i="32"/>
  <c r="X294" i="32"/>
  <c r="E139" i="32"/>
  <c r="AC139" i="32" s="1"/>
  <c r="AL17" i="8"/>
  <c r="U294" i="32"/>
  <c r="Y294" i="32" s="1"/>
  <c r="Q24" i="32"/>
  <c r="AA249" i="32"/>
  <c r="X249" i="32"/>
  <c r="V294" i="32"/>
  <c r="V39" i="6"/>
  <c r="T156" i="32"/>
  <c r="W18" i="12"/>
  <c r="AC18" i="12" s="1"/>
  <c r="AC24" i="6"/>
  <c r="X24" i="6"/>
  <c r="I13" i="28"/>
  <c r="P13" i="26"/>
  <c r="U278" i="32"/>
  <c r="U6" i="12"/>
  <c r="U15" i="32" s="1"/>
  <c r="AC5" i="9"/>
  <c r="Q6" i="6"/>
  <c r="N13" i="28"/>
  <c r="M12" i="6"/>
  <c r="L12" i="13"/>
  <c r="L76" i="32" s="1"/>
  <c r="AC11" i="9"/>
  <c r="I12" i="6"/>
  <c r="P12" i="13"/>
  <c r="P76" i="32" s="1"/>
  <c r="P77" i="32" s="1"/>
  <c r="T12" i="13"/>
  <c r="S12" i="12"/>
  <c r="S73" i="32" s="1"/>
  <c r="P13" i="12"/>
  <c r="Q12" i="6"/>
  <c r="AP39" i="18"/>
  <c r="Y16" i="9"/>
  <c r="P19" i="13"/>
  <c r="P172" i="32" s="1"/>
  <c r="P174" i="32" s="1"/>
  <c r="T19" i="13"/>
  <c r="R19" i="12"/>
  <c r="R171" i="32" s="1"/>
  <c r="M18" i="6"/>
  <c r="T18" i="13"/>
  <c r="P18" i="13"/>
  <c r="P157" i="32" s="1"/>
  <c r="P159" i="32" s="1"/>
  <c r="J14" i="8"/>
  <c r="M19" i="6"/>
  <c r="R18" i="12"/>
  <c r="R156" i="32" s="1"/>
  <c r="T6" i="13"/>
  <c r="R23" i="12"/>
  <c r="R233" i="32" s="1"/>
  <c r="Y45" i="23"/>
  <c r="S15" i="23"/>
  <c r="S13" i="23"/>
  <c r="AH44" i="23"/>
  <c r="V59" i="23"/>
  <c r="S59" i="23"/>
  <c r="V57" i="23"/>
  <c r="S57" i="23"/>
  <c r="S55" i="23"/>
  <c r="P55" i="23"/>
  <c r="P45" i="23"/>
  <c r="V15" i="23"/>
  <c r="Y60" i="23"/>
  <c r="V60" i="23"/>
  <c r="Y58" i="23"/>
  <c r="V58" i="23"/>
  <c r="P60" i="23"/>
  <c r="S45" i="23"/>
  <c r="AP50" i="18"/>
  <c r="O56" i="23"/>
  <c r="AH56" i="23" s="1"/>
  <c r="P58" i="23"/>
  <c r="V55" i="23"/>
  <c r="O16" i="23"/>
  <c r="AH16" i="23" s="1"/>
  <c r="M53" i="23"/>
  <c r="M57" i="23"/>
  <c r="Y15" i="23"/>
  <c r="P15" i="23"/>
  <c r="Y55" i="23"/>
  <c r="V45" i="23"/>
  <c r="Y59" i="23"/>
  <c r="M54" i="23"/>
  <c r="M49" i="23"/>
  <c r="M45" i="23"/>
  <c r="M15" i="23"/>
  <c r="M60" i="23"/>
  <c r="M52" i="23"/>
  <c r="M48" i="23"/>
  <c r="M59" i="23"/>
  <c r="M55" i="23"/>
  <c r="M47" i="23"/>
  <c r="M58" i="23"/>
  <c r="M51" i="23"/>
  <c r="M46" i="23"/>
  <c r="M14" i="23"/>
  <c r="AP48" i="18"/>
  <c r="V13" i="23"/>
  <c r="S36" i="23"/>
  <c r="U37" i="23"/>
  <c r="AB15" i="23"/>
  <c r="P13" i="23"/>
  <c r="Y13" i="23"/>
  <c r="AD37" i="23"/>
  <c r="AB36" i="23"/>
  <c r="P57" i="23"/>
  <c r="AB58" i="23"/>
  <c r="AB45" i="23"/>
  <c r="AB60" i="23"/>
  <c r="AB55" i="23"/>
  <c r="Y36" i="23"/>
  <c r="AA37" i="23"/>
  <c r="P36" i="23"/>
  <c r="R37" i="23"/>
  <c r="X37" i="23"/>
  <c r="V36" i="23"/>
  <c r="Y57" i="23"/>
  <c r="AB57" i="23"/>
  <c r="AB59" i="23"/>
  <c r="H323" i="32" l="1"/>
  <c r="K43" i="12"/>
  <c r="G43" i="12"/>
  <c r="F43" i="12" s="1"/>
  <c r="H45" i="12"/>
  <c r="H38" i="4" s="1"/>
  <c r="H43" i="13"/>
  <c r="AA44" i="28"/>
  <c r="H111" i="32"/>
  <c r="G15" i="12"/>
  <c r="K15" i="12"/>
  <c r="H26" i="12"/>
  <c r="H15" i="4" s="1"/>
  <c r="H112" i="32"/>
  <c r="K15" i="13"/>
  <c r="G15" i="13"/>
  <c r="G112" i="32" s="1"/>
  <c r="H26" i="13"/>
  <c r="H18" i="4" s="1"/>
  <c r="S23" i="6"/>
  <c r="R6" i="12"/>
  <c r="R15" i="32" s="1"/>
  <c r="U38" i="6"/>
  <c r="R23" i="13"/>
  <c r="R234" i="32" s="1"/>
  <c r="W23" i="6"/>
  <c r="AC23" i="6" s="1"/>
  <c r="X23" i="13"/>
  <c r="V23" i="13"/>
  <c r="U23" i="13" s="1"/>
  <c r="U234" i="32" s="1"/>
  <c r="Y234" i="32" s="1"/>
  <c r="W234" i="32"/>
  <c r="AC234" i="32" s="1"/>
  <c r="AR21" i="3"/>
  <c r="AN21" i="3"/>
  <c r="X15" i="32"/>
  <c r="Z6" i="12"/>
  <c r="Z15" i="32" s="1"/>
  <c r="U281" i="32"/>
  <c r="Z279" i="32"/>
  <c r="Z281" i="32" s="1"/>
  <c r="V281" i="32"/>
  <c r="M309" i="32"/>
  <c r="M311" i="32" s="1"/>
  <c r="Q309" i="32"/>
  <c r="P42" i="13"/>
  <c r="O42" i="13" s="1"/>
  <c r="T42" i="13"/>
  <c r="L308" i="32"/>
  <c r="O308" i="32"/>
  <c r="P308" i="32"/>
  <c r="M40" i="6"/>
  <c r="T308" i="32"/>
  <c r="S42" i="12"/>
  <c r="R42" i="12" s="1"/>
  <c r="W42" i="12"/>
  <c r="L309" i="32"/>
  <c r="Q21" i="26"/>
  <c r="N21" i="28" s="1"/>
  <c r="L21" i="26"/>
  <c r="P21" i="26" s="1"/>
  <c r="AA296" i="32"/>
  <c r="AQ21" i="3"/>
  <c r="Z23" i="12"/>
  <c r="Y23" i="12" s="1"/>
  <c r="Y233" i="32" s="1"/>
  <c r="X296" i="32"/>
  <c r="AC296" i="32"/>
  <c r="X251" i="32"/>
  <c r="AC251" i="32"/>
  <c r="T157" i="32"/>
  <c r="W18" i="13"/>
  <c r="W18" i="6" s="1"/>
  <c r="P20" i="26"/>
  <c r="I20" i="28"/>
  <c r="M14" i="8"/>
  <c r="D13" i="9" s="1"/>
  <c r="AO16" i="23"/>
  <c r="T172" i="32"/>
  <c r="W19" i="13"/>
  <c r="Z19" i="13" s="1"/>
  <c r="Z249" i="32"/>
  <c r="Z251" i="32" s="1"/>
  <c r="V251" i="32"/>
  <c r="U23" i="12"/>
  <c r="V233" i="32"/>
  <c r="Z294" i="32"/>
  <c r="Z296" i="32" s="1"/>
  <c r="V296" i="32"/>
  <c r="W171" i="32"/>
  <c r="AC171" i="32" s="1"/>
  <c r="U19" i="12"/>
  <c r="AA19" i="12"/>
  <c r="X19" i="12"/>
  <c r="W156" i="32"/>
  <c r="AC156" i="32" s="1"/>
  <c r="U18" i="12"/>
  <c r="AA18" i="12"/>
  <c r="X18" i="12"/>
  <c r="E144" i="32"/>
  <c r="X139" i="32"/>
  <c r="P82" i="32"/>
  <c r="P83" i="32" s="1"/>
  <c r="P74" i="32"/>
  <c r="X233" i="32"/>
  <c r="AA251" i="32"/>
  <c r="M20" i="8"/>
  <c r="D19" i="9" s="1"/>
  <c r="AO44" i="23"/>
  <c r="W6" i="13"/>
  <c r="V6" i="13" s="1"/>
  <c r="V18" i="32" s="1"/>
  <c r="T18" i="32"/>
  <c r="S74" i="32"/>
  <c r="L82" i="32"/>
  <c r="W73" i="32"/>
  <c r="AC73" i="32" s="1"/>
  <c r="AA12" i="12"/>
  <c r="AA73" i="32" s="1"/>
  <c r="V12" i="12"/>
  <c r="X12" i="12"/>
  <c r="M21" i="8"/>
  <c r="D20" i="9" s="1"/>
  <c r="AO56" i="23"/>
  <c r="T12" i="6"/>
  <c r="T76" i="32"/>
  <c r="W12" i="13"/>
  <c r="Z12" i="13" s="1"/>
  <c r="U296" i="32"/>
  <c r="U24" i="6"/>
  <c r="U251" i="32"/>
  <c r="V61" i="23"/>
  <c r="AL61" i="23"/>
  <c r="AI22" i="8" s="1"/>
  <c r="AA215" i="32" s="1"/>
  <c r="AB61" i="23"/>
  <c r="Y61" i="23"/>
  <c r="O72" i="23"/>
  <c r="M61" i="23"/>
  <c r="K22" i="8" s="1"/>
  <c r="C215" i="32" s="1"/>
  <c r="T6" i="6"/>
  <c r="P12" i="6"/>
  <c r="R12" i="12"/>
  <c r="L12" i="6"/>
  <c r="S12" i="13"/>
  <c r="S76" i="32" s="1"/>
  <c r="S77" i="32" s="1"/>
  <c r="S13" i="12"/>
  <c r="O12" i="13"/>
  <c r="O76" i="32" s="1"/>
  <c r="AH28" i="18"/>
  <c r="R28" i="18"/>
  <c r="Z25" i="18"/>
  <c r="R25" i="18"/>
  <c r="AD25" i="18"/>
  <c r="V25" i="18"/>
  <c r="AD14" i="23"/>
  <c r="X14" i="23"/>
  <c r="R14" i="23"/>
  <c r="AA14" i="23"/>
  <c r="U14" i="23"/>
  <c r="L13" i="28"/>
  <c r="M13" i="28" s="1"/>
  <c r="P18" i="6"/>
  <c r="S18" i="13"/>
  <c r="S19" i="13"/>
  <c r="P19" i="6"/>
  <c r="AA6" i="6"/>
  <c r="O18" i="13"/>
  <c r="O157" i="32" s="1"/>
  <c r="O19" i="13"/>
  <c r="O172" i="32" s="1"/>
  <c r="S60" i="23"/>
  <c r="M56" i="23"/>
  <c r="K21" i="8" s="1"/>
  <c r="C200" i="32" s="1"/>
  <c r="S58" i="23"/>
  <c r="AF22" i="8"/>
  <c r="M44" i="23"/>
  <c r="K20" i="8" s="1"/>
  <c r="C184" i="32" s="1"/>
  <c r="AB13" i="23"/>
  <c r="M42" i="23"/>
  <c r="M16" i="23"/>
  <c r="K14" i="8" s="1"/>
  <c r="C93" i="32" s="1"/>
  <c r="AJ58" i="23"/>
  <c r="AJ36" i="23"/>
  <c r="AJ59" i="23"/>
  <c r="AJ57" i="23"/>
  <c r="AJ60" i="23"/>
  <c r="AJ15" i="23"/>
  <c r="P37" i="23"/>
  <c r="Y37" i="23"/>
  <c r="S37" i="23"/>
  <c r="V37" i="23"/>
  <c r="AB37" i="23"/>
  <c r="AI17" i="8"/>
  <c r="AA139" i="32" s="1"/>
  <c r="D65" i="18"/>
  <c r="D51" i="18"/>
  <c r="AU51" i="18" s="1"/>
  <c r="D42" i="18"/>
  <c r="AU42" i="18" s="1"/>
  <c r="D21" i="18"/>
  <c r="D19" i="18"/>
  <c r="AU19" i="18" s="1"/>
  <c r="D10" i="18"/>
  <c r="AU10" i="18" s="1"/>
  <c r="AF20" i="8" l="1"/>
  <c r="F323" i="32"/>
  <c r="F45" i="12"/>
  <c r="F38" i="4" s="1"/>
  <c r="H324" i="32"/>
  <c r="G43" i="13"/>
  <c r="G41" i="6" s="1"/>
  <c r="G43" i="6" s="1"/>
  <c r="K43" i="13"/>
  <c r="H45" i="13"/>
  <c r="H39" i="4" s="1"/>
  <c r="L21" i="18"/>
  <c r="C11" i="7"/>
  <c r="AU21" i="18"/>
  <c r="G323" i="32"/>
  <c r="G45" i="12"/>
  <c r="G38" i="4" s="1"/>
  <c r="K323" i="32"/>
  <c r="N43" i="12"/>
  <c r="J43" i="12"/>
  <c r="I43" i="12" s="1"/>
  <c r="K45" i="12"/>
  <c r="K38" i="4" s="1"/>
  <c r="AA234" i="32"/>
  <c r="AA236" i="32" s="1"/>
  <c r="K111" i="32"/>
  <c r="N15" i="12"/>
  <c r="J15" i="12"/>
  <c r="I15" i="12" s="1"/>
  <c r="K26" i="12"/>
  <c r="K15" i="4" s="1"/>
  <c r="G111" i="32"/>
  <c r="G114" i="32" s="1"/>
  <c r="G15" i="6"/>
  <c r="G26" i="12"/>
  <c r="G15" i="4" s="1"/>
  <c r="K112" i="32"/>
  <c r="J15" i="13"/>
  <c r="J112" i="32" s="1"/>
  <c r="N15" i="13"/>
  <c r="K26" i="13"/>
  <c r="K18" i="4" s="1"/>
  <c r="F15" i="13"/>
  <c r="F112" i="32" s="1"/>
  <c r="F15" i="12"/>
  <c r="X23" i="6"/>
  <c r="V23" i="6"/>
  <c r="V234" i="32"/>
  <c r="Z234" i="32" s="1"/>
  <c r="W236" i="32"/>
  <c r="X236" i="32" s="1"/>
  <c r="X234" i="32"/>
  <c r="I21" i="28"/>
  <c r="Y6" i="12"/>
  <c r="Y15" i="32" s="1"/>
  <c r="Z23" i="6"/>
  <c r="L65" i="18"/>
  <c r="AU65" i="18"/>
  <c r="C20" i="7"/>
  <c r="AO72" i="23"/>
  <c r="AH72" i="23"/>
  <c r="P40" i="6"/>
  <c r="AA12" i="6"/>
  <c r="W6" i="6"/>
  <c r="AC6" i="6" s="1"/>
  <c r="O309" i="32"/>
  <c r="R308" i="32"/>
  <c r="T309" i="32"/>
  <c r="W42" i="13"/>
  <c r="S42" i="13"/>
  <c r="R42" i="13" s="1"/>
  <c r="AC42" i="12"/>
  <c r="X42" i="12"/>
  <c r="W308" i="32"/>
  <c r="AA42" i="12"/>
  <c r="V42" i="12"/>
  <c r="U42" i="12" s="1"/>
  <c r="W40" i="6"/>
  <c r="P309" i="32"/>
  <c r="P311" i="32" s="1"/>
  <c r="S308" i="32"/>
  <c r="E19" i="9"/>
  <c r="AG19" i="9" s="1"/>
  <c r="AF19" i="9"/>
  <c r="Z12" i="12"/>
  <c r="Y12" i="12" s="1"/>
  <c r="Y73" i="32" s="1"/>
  <c r="AF20" i="9"/>
  <c r="E20" i="9"/>
  <c r="AG20" i="9" s="1"/>
  <c r="AF14" i="8"/>
  <c r="AF13" i="9"/>
  <c r="E13" i="9"/>
  <c r="AG13" i="9" s="1"/>
  <c r="Z233" i="32"/>
  <c r="W18" i="32"/>
  <c r="AC18" i="32" s="1"/>
  <c r="Z6" i="13"/>
  <c r="R18" i="13"/>
  <c r="R157" i="32" s="1"/>
  <c r="S157" i="32"/>
  <c r="S159" i="32" s="1"/>
  <c r="Z18" i="13"/>
  <c r="W157" i="32"/>
  <c r="AC157" i="32" s="1"/>
  <c r="V18" i="13"/>
  <c r="X18" i="13"/>
  <c r="X6" i="13"/>
  <c r="V12" i="13"/>
  <c r="V12" i="6" s="1"/>
  <c r="V13" i="6" s="1"/>
  <c r="W76" i="32"/>
  <c r="X12" i="13"/>
  <c r="W12" i="6"/>
  <c r="E184" i="32"/>
  <c r="AC184" i="32" s="1"/>
  <c r="AL20" i="8"/>
  <c r="V19" i="13"/>
  <c r="W172" i="32"/>
  <c r="AC172" i="32" s="1"/>
  <c r="X19" i="13"/>
  <c r="R73" i="32"/>
  <c r="U12" i="12"/>
  <c r="V73" i="32"/>
  <c r="V13" i="12"/>
  <c r="S82" i="32"/>
  <c r="S83" i="32" s="1"/>
  <c r="AC18" i="6"/>
  <c r="X18" i="6"/>
  <c r="X171" i="32"/>
  <c r="AA156" i="32"/>
  <c r="Y18" i="12"/>
  <c r="Y156" i="32" s="1"/>
  <c r="Z18" i="32"/>
  <c r="V24" i="32"/>
  <c r="E200" i="32"/>
  <c r="AC200" i="32" s="1"/>
  <c r="AL21" i="8"/>
  <c r="X73" i="32"/>
  <c r="O82" i="32"/>
  <c r="U156" i="32"/>
  <c r="W19" i="6"/>
  <c r="T82" i="32"/>
  <c r="T24" i="32"/>
  <c r="X156" i="32"/>
  <c r="AA171" i="32"/>
  <c r="Y19" i="12"/>
  <c r="Y171" i="32" s="1"/>
  <c r="U233" i="32"/>
  <c r="U236" i="32" s="1"/>
  <c r="U23" i="6"/>
  <c r="E93" i="32"/>
  <c r="AC93" i="32" s="1"/>
  <c r="AL14" i="8"/>
  <c r="R19" i="13"/>
  <c r="R172" i="32" s="1"/>
  <c r="S172" i="32"/>
  <c r="S174" i="32" s="1"/>
  <c r="U171" i="32"/>
  <c r="L51" i="18"/>
  <c r="C17" i="7"/>
  <c r="L42" i="18"/>
  <c r="C16" i="7"/>
  <c r="L19" i="18"/>
  <c r="C8" i="7"/>
  <c r="U6" i="13"/>
  <c r="U18" i="32" s="1"/>
  <c r="V6" i="6"/>
  <c r="L10" i="18"/>
  <c r="C5" i="7"/>
  <c r="AQ5" i="7" s="1"/>
  <c r="AR5" i="7" s="1"/>
  <c r="Y20" i="9"/>
  <c r="AF21" i="8"/>
  <c r="K25" i="8"/>
  <c r="Y13" i="9"/>
  <c r="M25" i="8"/>
  <c r="S61" i="23"/>
  <c r="AJ61" i="23"/>
  <c r="O74" i="23"/>
  <c r="AH74" i="23" s="1"/>
  <c r="D89" i="18"/>
  <c r="AU89" i="18" s="1"/>
  <c r="M72" i="23"/>
  <c r="M74" i="23" s="1"/>
  <c r="S12" i="6"/>
  <c r="I30" i="18"/>
  <c r="H14" i="7" s="1"/>
  <c r="AE13" i="3" s="1"/>
  <c r="AJ13" i="23"/>
  <c r="AJ55" i="23"/>
  <c r="AH25" i="18"/>
  <c r="AH30" i="18" s="1"/>
  <c r="O12" i="6"/>
  <c r="R12" i="13"/>
  <c r="R76" i="32" s="1"/>
  <c r="R27" i="18"/>
  <c r="V28" i="18"/>
  <c r="V30" i="18" s="1"/>
  <c r="Z28" i="18"/>
  <c r="AD28" i="18"/>
  <c r="AD30" i="18" s="1"/>
  <c r="E30" i="18"/>
  <c r="D14" i="7" s="1"/>
  <c r="K13" i="3" s="1"/>
  <c r="AJ45" i="23"/>
  <c r="Y19" i="9"/>
  <c r="Y21" i="9"/>
  <c r="G30" i="18"/>
  <c r="F14" i="7" s="1"/>
  <c r="U13" i="3" s="1"/>
  <c r="H30" i="18"/>
  <c r="G14" i="7" s="1"/>
  <c r="Z13" i="3" s="1"/>
  <c r="F30" i="18"/>
  <c r="E14" i="7" s="1"/>
  <c r="P13" i="3" s="1"/>
  <c r="J22" i="8"/>
  <c r="Z19" i="6"/>
  <c r="S19" i="6"/>
  <c r="Z18" i="6"/>
  <c r="S18" i="6"/>
  <c r="H16" i="23"/>
  <c r="G14" i="8" s="1"/>
  <c r="AA13" i="3" s="1"/>
  <c r="G16" i="23"/>
  <c r="F14" i="8" s="1"/>
  <c r="V13" i="3" s="1"/>
  <c r="F16" i="23"/>
  <c r="E14" i="8" s="1"/>
  <c r="Q13" i="3" s="1"/>
  <c r="E16" i="23"/>
  <c r="D14" i="8" s="1"/>
  <c r="L13" i="3" s="1"/>
  <c r="I16" i="23"/>
  <c r="H14" i="8" s="1"/>
  <c r="AF13" i="3" s="1"/>
  <c r="AJ37" i="23"/>
  <c r="M9" i="18"/>
  <c r="M7" i="18"/>
  <c r="M17" i="18"/>
  <c r="M5" i="18"/>
  <c r="M8" i="18"/>
  <c r="M6" i="18"/>
  <c r="M18" i="18"/>
  <c r="X7" i="18"/>
  <c r="P7" i="18"/>
  <c r="P25" i="18"/>
  <c r="X25" i="18"/>
  <c r="X27" i="18"/>
  <c r="P28" i="18"/>
  <c r="M35" i="18"/>
  <c r="M36" i="18"/>
  <c r="T36" i="18"/>
  <c r="AB36" i="18"/>
  <c r="M37" i="18"/>
  <c r="T37" i="18"/>
  <c r="AB37" i="18"/>
  <c r="M38" i="18"/>
  <c r="T38" i="18"/>
  <c r="AB38" i="18"/>
  <c r="M40" i="18"/>
  <c r="M41" i="18"/>
  <c r="P61" i="18"/>
  <c r="X61" i="18"/>
  <c r="P63" i="18"/>
  <c r="X63" i="18"/>
  <c r="M68" i="18"/>
  <c r="M69" i="18"/>
  <c r="M70" i="18"/>
  <c r="M71" i="18"/>
  <c r="M72" i="18"/>
  <c r="M75" i="18"/>
  <c r="T75" i="18"/>
  <c r="AB75" i="18"/>
  <c r="M76" i="18"/>
  <c r="AB76" i="18"/>
  <c r="M77" i="18"/>
  <c r="M78" i="18"/>
  <c r="M79" i="18"/>
  <c r="AB7" i="18"/>
  <c r="T7" i="18"/>
  <c r="M25" i="18"/>
  <c r="AB25" i="18"/>
  <c r="M27" i="18"/>
  <c r="T27" i="18"/>
  <c r="AB27" i="18"/>
  <c r="M28" i="18"/>
  <c r="M29" i="18"/>
  <c r="T29" i="18"/>
  <c r="AB29" i="18"/>
  <c r="P36" i="18"/>
  <c r="X36" i="18"/>
  <c r="P37" i="18"/>
  <c r="X37" i="18"/>
  <c r="P38" i="18"/>
  <c r="X38" i="18"/>
  <c r="M44" i="18"/>
  <c r="M45" i="18"/>
  <c r="M46" i="18"/>
  <c r="M61" i="18"/>
  <c r="T61" i="18"/>
  <c r="AB61" i="18"/>
  <c r="M62" i="18"/>
  <c r="M63" i="18"/>
  <c r="T63" i="18"/>
  <c r="AB63" i="18"/>
  <c r="M64" i="18"/>
  <c r="X75" i="18"/>
  <c r="AF27" i="18"/>
  <c r="M30" i="18"/>
  <c r="J14" i="7" s="1"/>
  <c r="C92" i="32" s="1"/>
  <c r="C98" i="32" s="1"/>
  <c r="AF36" i="18"/>
  <c r="AF37" i="18"/>
  <c r="AF38" i="18"/>
  <c r="M43" i="18"/>
  <c r="M60" i="18"/>
  <c r="AF75" i="18"/>
  <c r="AF76" i="18"/>
  <c r="AF7" i="18"/>
  <c r="AF28" i="18"/>
  <c r="AF29" i="18"/>
  <c r="M34" i="18"/>
  <c r="AF60" i="18"/>
  <c r="AF61" i="18"/>
  <c r="AF63" i="18"/>
  <c r="M67" i="18"/>
  <c r="M74" i="18"/>
  <c r="F43" i="13" l="1"/>
  <c r="J43" i="13"/>
  <c r="J41" i="6" s="1"/>
  <c r="J43" i="6" s="1"/>
  <c r="N43" i="13"/>
  <c r="K324" i="32"/>
  <c r="I43" i="13"/>
  <c r="K45" i="13"/>
  <c r="K39" i="4" s="1"/>
  <c r="G324" i="32"/>
  <c r="G326" i="32" s="1"/>
  <c r="G45" i="13"/>
  <c r="G39" i="4" s="1"/>
  <c r="G41" i="4" s="1"/>
  <c r="I323" i="32"/>
  <c r="I45" i="12"/>
  <c r="I38" i="4" s="1"/>
  <c r="F10" i="3"/>
  <c r="AQ11" i="7"/>
  <c r="AR11" i="7" s="1"/>
  <c r="N323" i="32"/>
  <c r="Q43" i="12"/>
  <c r="M43" i="12"/>
  <c r="L43" i="12" s="1"/>
  <c r="N45" i="12"/>
  <c r="N38" i="4" s="1"/>
  <c r="J323" i="32"/>
  <c r="J45" i="12"/>
  <c r="J38" i="4" s="1"/>
  <c r="I111" i="32"/>
  <c r="I26" i="12"/>
  <c r="I15" i="4" s="1"/>
  <c r="I15" i="13"/>
  <c r="I112" i="32" s="1"/>
  <c r="F111" i="32"/>
  <c r="F26" i="12"/>
  <c r="F15" i="4" s="1"/>
  <c r="N112" i="32"/>
  <c r="Q15" i="13"/>
  <c r="M15" i="13"/>
  <c r="M112" i="32" s="1"/>
  <c r="N26" i="13"/>
  <c r="N18" i="4" s="1"/>
  <c r="J111" i="32"/>
  <c r="J114" i="32" s="1"/>
  <c r="J15" i="6"/>
  <c r="J26" i="12"/>
  <c r="J15" i="4" s="1"/>
  <c r="N111" i="32"/>
  <c r="M15" i="12"/>
  <c r="L15" i="12" s="1"/>
  <c r="Q15" i="12"/>
  <c r="N26" i="12"/>
  <c r="N15" i="4" s="1"/>
  <c r="Z236" i="32"/>
  <c r="V236" i="32"/>
  <c r="AC236" i="32"/>
  <c r="Z13" i="12"/>
  <c r="X18" i="32"/>
  <c r="W24" i="32"/>
  <c r="AC24" i="32" s="1"/>
  <c r="AA18" i="32"/>
  <c r="AA24" i="32" s="1"/>
  <c r="F7" i="3"/>
  <c r="AR7" i="3" s="1"/>
  <c r="AQ8" i="7"/>
  <c r="AR8" i="7" s="1"/>
  <c r="F15" i="3"/>
  <c r="AQ16" i="7"/>
  <c r="AR16" i="7" s="1"/>
  <c r="F16" i="3"/>
  <c r="E16" i="3" s="1"/>
  <c r="AQ17" i="7"/>
  <c r="AR17" i="7" s="1"/>
  <c r="AQ20" i="7"/>
  <c r="AR20" i="7" s="1"/>
  <c r="F19" i="3"/>
  <c r="O13" i="3"/>
  <c r="S13" i="26" s="1"/>
  <c r="Y13" i="3"/>
  <c r="U13" i="26" s="1"/>
  <c r="T13" i="3"/>
  <c r="T13" i="26" s="1"/>
  <c r="Q13" i="28" s="1"/>
  <c r="J13" i="3"/>
  <c r="R13" i="26" s="1"/>
  <c r="X13" i="26" s="1"/>
  <c r="AD13" i="3"/>
  <c r="V13" i="26" s="1"/>
  <c r="X6" i="6"/>
  <c r="Z12" i="6"/>
  <c r="Z73" i="32"/>
  <c r="Z74" i="32" s="1"/>
  <c r="S40" i="6"/>
  <c r="U308" i="32"/>
  <c r="S309" i="32"/>
  <c r="S311" i="32" s="1"/>
  <c r="V308" i="32"/>
  <c r="Z42" i="13"/>
  <c r="X42" i="13"/>
  <c r="V42" i="13"/>
  <c r="U42" i="13" s="1"/>
  <c r="W309" i="32"/>
  <c r="W311" i="32" s="1"/>
  <c r="Z42" i="12"/>
  <c r="AA308" i="32"/>
  <c r="AC308" i="32"/>
  <c r="X308" i="32"/>
  <c r="AC40" i="6"/>
  <c r="X40" i="6"/>
  <c r="R309" i="32"/>
  <c r="W159" i="32"/>
  <c r="X159" i="32" s="1"/>
  <c r="W174" i="32"/>
  <c r="W82" i="32"/>
  <c r="AC76" i="32"/>
  <c r="AR15" i="3"/>
  <c r="AN15" i="3"/>
  <c r="U18" i="13"/>
  <c r="V157" i="32"/>
  <c r="V18" i="6"/>
  <c r="AA157" i="32"/>
  <c r="AA159" i="32" s="1"/>
  <c r="X157" i="32"/>
  <c r="K27" i="8"/>
  <c r="C8" i="4"/>
  <c r="Y18" i="32"/>
  <c r="U24" i="32"/>
  <c r="E98" i="32"/>
  <c r="X93" i="32"/>
  <c r="AC19" i="6"/>
  <c r="X19" i="6"/>
  <c r="E205" i="32"/>
  <c r="X200" i="32"/>
  <c r="E189" i="32"/>
  <c r="X184" i="32"/>
  <c r="AO74" i="23"/>
  <c r="V74" i="32"/>
  <c r="AC12" i="6"/>
  <c r="X12" i="6"/>
  <c r="Z24" i="32"/>
  <c r="U73" i="32"/>
  <c r="R82" i="32"/>
  <c r="AA172" i="32"/>
  <c r="AA174" i="32" s="1"/>
  <c r="X172" i="32"/>
  <c r="AA76" i="32"/>
  <c r="X76" i="32"/>
  <c r="E8" i="4"/>
  <c r="AL25" i="8"/>
  <c r="U19" i="13"/>
  <c r="V172" i="32"/>
  <c r="V19" i="6"/>
  <c r="U12" i="13"/>
  <c r="U76" i="32" s="1"/>
  <c r="V76" i="32"/>
  <c r="V13" i="13"/>
  <c r="R30" i="18"/>
  <c r="O14" i="7" s="1"/>
  <c r="T30" i="18"/>
  <c r="Q14" i="7" s="1"/>
  <c r="I92" i="32" s="1"/>
  <c r="S14" i="7"/>
  <c r="AF30" i="18"/>
  <c r="AC14" i="7" s="1"/>
  <c r="R92" i="32" s="1"/>
  <c r="AE14" i="7"/>
  <c r="AB30" i="18"/>
  <c r="Y14" i="7" s="1"/>
  <c r="O92" i="32" s="1"/>
  <c r="AA14" i="7"/>
  <c r="U6" i="6"/>
  <c r="F4" i="3"/>
  <c r="C25" i="7"/>
  <c r="D24" i="9"/>
  <c r="X13" i="9"/>
  <c r="M27" i="8"/>
  <c r="AL27" i="8" s="1"/>
  <c r="AF25" i="8"/>
  <c r="Z30" i="18"/>
  <c r="D91" i="18"/>
  <c r="L89" i="18"/>
  <c r="T28" i="18"/>
  <c r="AR30" i="18"/>
  <c r="X29" i="18"/>
  <c r="P27" i="18"/>
  <c r="X28" i="18"/>
  <c r="AF25" i="18"/>
  <c r="P29" i="18"/>
  <c r="R12" i="6"/>
  <c r="Y12" i="6"/>
  <c r="AB28" i="18"/>
  <c r="P14" i="24"/>
  <c r="AB14" i="24"/>
  <c r="S14" i="24"/>
  <c r="F12" i="3"/>
  <c r="T25" i="18"/>
  <c r="C13" i="7"/>
  <c r="AQ13" i="7" s="1"/>
  <c r="AR13" i="7" s="1"/>
  <c r="C7" i="7"/>
  <c r="AQ7" i="7" s="1"/>
  <c r="AR7" i="7" s="1"/>
  <c r="C10" i="7"/>
  <c r="AQ10" i="7" s="1"/>
  <c r="AR10" i="7" s="1"/>
  <c r="V14" i="23"/>
  <c r="X16" i="23"/>
  <c r="AB14" i="23"/>
  <c r="AD16" i="23"/>
  <c r="P14" i="23"/>
  <c r="R16" i="23"/>
  <c r="S14" i="23"/>
  <c r="U16" i="23"/>
  <c r="AA16" i="23"/>
  <c r="Y14" i="23"/>
  <c r="AP27" i="18"/>
  <c r="AP63" i="18"/>
  <c r="AP61" i="18"/>
  <c r="AP60" i="18"/>
  <c r="AP29" i="18"/>
  <c r="AP28" i="18"/>
  <c r="AP7" i="18"/>
  <c r="AP76" i="18"/>
  <c r="AP75" i="18"/>
  <c r="N51" i="18"/>
  <c r="AP38" i="18"/>
  <c r="AP37" i="18"/>
  <c r="AP36" i="18"/>
  <c r="E14" i="6"/>
  <c r="M81" i="18"/>
  <c r="J22" i="7" s="1"/>
  <c r="M73" i="18"/>
  <c r="J21" i="7" s="1"/>
  <c r="C199" i="32" s="1"/>
  <c r="C205" i="32" s="1"/>
  <c r="M42" i="18"/>
  <c r="J16" i="7" s="1"/>
  <c r="C123" i="32" s="1"/>
  <c r="C129" i="32" s="1"/>
  <c r="M65" i="18"/>
  <c r="J20" i="7" s="1"/>
  <c r="C183" i="32" s="1"/>
  <c r="C189" i="32" s="1"/>
  <c r="M19" i="18"/>
  <c r="J8" i="7" s="1"/>
  <c r="C34" i="32" s="1"/>
  <c r="M10" i="18"/>
  <c r="J5" i="7" s="1"/>
  <c r="C5" i="32" s="1"/>
  <c r="AK5" i="7"/>
  <c r="AQ47" i="18"/>
  <c r="AQ51" i="18" s="1"/>
  <c r="AM17" i="7" s="1"/>
  <c r="X47" i="18"/>
  <c r="AF47" i="18"/>
  <c r="P47" i="18"/>
  <c r="AB47" i="18"/>
  <c r="T47" i="18"/>
  <c r="M47" i="18"/>
  <c r="AA13" i="26" l="1"/>
  <c r="L323" i="32"/>
  <c r="L45" i="12"/>
  <c r="L38" i="4" s="1"/>
  <c r="Z138" i="32"/>
  <c r="AM25" i="7"/>
  <c r="Y13" i="26"/>
  <c r="E10" i="3"/>
  <c r="AN10" i="3"/>
  <c r="AR10" i="3"/>
  <c r="I324" i="32"/>
  <c r="I45" i="13"/>
  <c r="I39" i="4" s="1"/>
  <c r="Q43" i="13"/>
  <c r="N324" i="32"/>
  <c r="M43" i="13"/>
  <c r="M41" i="6" s="1"/>
  <c r="M43" i="6" s="1"/>
  <c r="N45" i="13"/>
  <c r="N39" i="4" s="1"/>
  <c r="N89" i="18"/>
  <c r="N91" i="18" s="1"/>
  <c r="M91" i="18" s="1"/>
  <c r="K17" i="7"/>
  <c r="R13" i="28"/>
  <c r="AB13" i="26"/>
  <c r="J324" i="32"/>
  <c r="J326" i="32" s="1"/>
  <c r="J45" i="13"/>
  <c r="J39" i="4" s="1"/>
  <c r="J41" i="4" s="1"/>
  <c r="M323" i="32"/>
  <c r="M45" i="12"/>
  <c r="M38" i="4" s="1"/>
  <c r="F324" i="32"/>
  <c r="F45" i="13"/>
  <c r="F39" i="4" s="1"/>
  <c r="Q323" i="32"/>
  <c r="P43" i="12"/>
  <c r="O43" i="12" s="1"/>
  <c r="T43" i="12"/>
  <c r="Q45" i="12"/>
  <c r="Q38" i="4" s="1"/>
  <c r="P30" i="18"/>
  <c r="M14" i="7" s="1"/>
  <c r="F92" i="32" s="1"/>
  <c r="Z13" i="26"/>
  <c r="W13" i="28" s="1"/>
  <c r="AC13" i="28" s="1"/>
  <c r="AC13" i="26"/>
  <c r="Z13" i="28" s="1"/>
  <c r="AF13" i="28" s="1"/>
  <c r="S13" i="28"/>
  <c r="P13" i="28"/>
  <c r="E7" i="3"/>
  <c r="AN16" i="3"/>
  <c r="L111" i="32"/>
  <c r="L26" i="12"/>
  <c r="L15" i="4" s="1"/>
  <c r="L15" i="13"/>
  <c r="L112" i="32" s="1"/>
  <c r="M111" i="32"/>
  <c r="M114" i="32" s="1"/>
  <c r="M26" i="12"/>
  <c r="M15" i="4" s="1"/>
  <c r="M15" i="6"/>
  <c r="Q112" i="32"/>
  <c r="T15" i="13"/>
  <c r="P15" i="13"/>
  <c r="P112" i="32" s="1"/>
  <c r="Q26" i="13"/>
  <c r="Q18" i="4" s="1"/>
  <c r="Q111" i="32"/>
  <c r="P15" i="12"/>
  <c r="O15" i="12" s="1"/>
  <c r="T15" i="12"/>
  <c r="Q26" i="12"/>
  <c r="Q15" i="4" s="1"/>
  <c r="O13" i="28"/>
  <c r="X24" i="32"/>
  <c r="AQ16" i="3"/>
  <c r="L16" i="26"/>
  <c r="P16" i="26" s="1"/>
  <c r="AR16" i="3"/>
  <c r="F9" i="3"/>
  <c r="AR9" i="3" s="1"/>
  <c r="AN7" i="3"/>
  <c r="C7" i="32"/>
  <c r="C23" i="32"/>
  <c r="C25" i="32" s="1"/>
  <c r="C36" i="32"/>
  <c r="C52" i="32"/>
  <c r="C54" i="32" s="1"/>
  <c r="C27" i="7"/>
  <c r="AQ27" i="7" s="1"/>
  <c r="AR27" i="7" s="1"/>
  <c r="AQ25" i="7"/>
  <c r="AR25" i="7" s="1"/>
  <c r="AN19" i="3"/>
  <c r="AR19" i="3"/>
  <c r="E19" i="3"/>
  <c r="AL16" i="3"/>
  <c r="Q16" i="26"/>
  <c r="N16" i="28" s="1"/>
  <c r="V40" i="6"/>
  <c r="X311" i="32"/>
  <c r="AC311" i="32"/>
  <c r="Z40" i="6"/>
  <c r="Z308" i="32"/>
  <c r="U309" i="32"/>
  <c r="Y309" i="32" s="1"/>
  <c r="AC309" i="32"/>
  <c r="X309" i="32"/>
  <c r="AA309" i="32"/>
  <c r="AA311" i="32" s="1"/>
  <c r="V309" i="32"/>
  <c r="Z309" i="32" s="1"/>
  <c r="Y42" i="12"/>
  <c r="U40" i="6"/>
  <c r="AC159" i="32"/>
  <c r="L91" i="18"/>
  <c r="AU91" i="18"/>
  <c r="X82" i="32"/>
  <c r="AC82" i="32"/>
  <c r="E4" i="3"/>
  <c r="AQ4" i="3" s="1"/>
  <c r="AR4" i="3"/>
  <c r="AN4" i="3"/>
  <c r="X174" i="32"/>
  <c r="AC174" i="32"/>
  <c r="AN12" i="3"/>
  <c r="AR12" i="3"/>
  <c r="Y24" i="9"/>
  <c r="AF24" i="9"/>
  <c r="Z157" i="32"/>
  <c r="Z159" i="32" s="1"/>
  <c r="V159" i="32"/>
  <c r="U157" i="32"/>
  <c r="U18" i="6"/>
  <c r="Z76" i="32"/>
  <c r="V77" i="32"/>
  <c r="Y76" i="32"/>
  <c r="AC8" i="4"/>
  <c r="X8" i="4"/>
  <c r="Z172" i="32"/>
  <c r="Z174" i="32" s="1"/>
  <c r="V174" i="32"/>
  <c r="U172" i="32"/>
  <c r="U19" i="6"/>
  <c r="AA82" i="32"/>
  <c r="V82" i="32"/>
  <c r="V83" i="32" s="1"/>
  <c r="S14" i="8"/>
  <c r="Y24" i="32"/>
  <c r="AB14" i="8"/>
  <c r="U12" i="6"/>
  <c r="P14" i="8"/>
  <c r="U82" i="32"/>
  <c r="C214" i="32"/>
  <c r="C220" i="32" s="1"/>
  <c r="Y13" i="28"/>
  <c r="AE13" i="28" s="1"/>
  <c r="AH13" i="26"/>
  <c r="X13" i="28"/>
  <c r="AD13" i="28" s="1"/>
  <c r="AG13" i="26"/>
  <c r="U13" i="28"/>
  <c r="AA13" i="28" s="1"/>
  <c r="H14" i="13" s="1"/>
  <c r="H96" i="32" s="1"/>
  <c r="AD13" i="26"/>
  <c r="H14" i="12" s="1"/>
  <c r="H95" i="32" s="1"/>
  <c r="V13" i="28"/>
  <c r="AB13" i="28" s="1"/>
  <c r="AE13" i="26"/>
  <c r="AP30" i="18"/>
  <c r="AL14" i="7" s="1"/>
  <c r="Y92" i="32" s="1"/>
  <c r="AN14" i="7"/>
  <c r="X30" i="18"/>
  <c r="U14" i="7" s="1"/>
  <c r="L92" i="32" s="1"/>
  <c r="W14" i="7"/>
  <c r="F6" i="3"/>
  <c r="F24" i="3"/>
  <c r="AF27" i="8"/>
  <c r="E10" i="4"/>
  <c r="D26" i="9"/>
  <c r="X19" i="9"/>
  <c r="X15" i="9"/>
  <c r="AK16" i="7"/>
  <c r="X10" i="9"/>
  <c r="AK11" i="7"/>
  <c r="X16" i="9"/>
  <c r="AK17" i="7"/>
  <c r="X20" i="9"/>
  <c r="AK21" i="7"/>
  <c r="X7" i="9"/>
  <c r="AK8" i="7"/>
  <c r="X21" i="9"/>
  <c r="AQ89" i="18"/>
  <c r="AQ91" i="18" s="1"/>
  <c r="AP25" i="18"/>
  <c r="AD79" i="18"/>
  <c r="V14" i="24"/>
  <c r="V14" i="8" s="1"/>
  <c r="AD17" i="18"/>
  <c r="V17" i="18"/>
  <c r="AH17" i="18"/>
  <c r="Z17" i="18"/>
  <c r="R17" i="18"/>
  <c r="AH74" i="18"/>
  <c r="L21" i="28"/>
  <c r="M21" i="28" s="1"/>
  <c r="N14" i="24"/>
  <c r="Q14" i="24"/>
  <c r="Y14" i="24"/>
  <c r="Y14" i="8" s="1"/>
  <c r="R59" i="23"/>
  <c r="R61" i="23" s="1"/>
  <c r="R75" i="18"/>
  <c r="AJ14" i="23"/>
  <c r="V16" i="23"/>
  <c r="Y16" i="23"/>
  <c r="S16" i="23"/>
  <c r="P16" i="23"/>
  <c r="AB16" i="23"/>
  <c r="AI14" i="8"/>
  <c r="AA93" i="32" s="1"/>
  <c r="Z14" i="24"/>
  <c r="E17" i="6"/>
  <c r="C14" i="6"/>
  <c r="M51" i="18"/>
  <c r="AP47" i="18"/>
  <c r="C5" i="6"/>
  <c r="Z13" i="9"/>
  <c r="E11" i="6"/>
  <c r="E20" i="6"/>
  <c r="E16" i="6"/>
  <c r="E21" i="6"/>
  <c r="E22" i="6"/>
  <c r="C4" i="9"/>
  <c r="AI13" i="26" l="1"/>
  <c r="AF13" i="26"/>
  <c r="L43" i="13"/>
  <c r="AL4" i="3"/>
  <c r="AN9" i="3"/>
  <c r="T323" i="32"/>
  <c r="W43" i="12"/>
  <c r="S43" i="12"/>
  <c r="R43" i="12" s="1"/>
  <c r="T45" i="12"/>
  <c r="T38" i="4" s="1"/>
  <c r="M324" i="32"/>
  <c r="M326" i="32" s="1"/>
  <c r="M45" i="13"/>
  <c r="M39" i="4" s="1"/>
  <c r="M41" i="4" s="1"/>
  <c r="L324" i="32"/>
  <c r="L45" i="13"/>
  <c r="L39" i="4" s="1"/>
  <c r="P323" i="32"/>
  <c r="P45" i="12"/>
  <c r="P38" i="4" s="1"/>
  <c r="T43" i="13"/>
  <c r="Q324" i="32"/>
  <c r="P43" i="13"/>
  <c r="P41" i="6" s="1"/>
  <c r="P43" i="6" s="1"/>
  <c r="Q45" i="13"/>
  <c r="Q39" i="4" s="1"/>
  <c r="L10" i="26"/>
  <c r="Q10" i="26"/>
  <c r="AQ10" i="3"/>
  <c r="E12" i="3"/>
  <c r="AL10" i="3"/>
  <c r="AM27" i="7"/>
  <c r="Z7" i="4" s="1"/>
  <c r="Z5" i="4"/>
  <c r="O323" i="32"/>
  <c r="O45" i="12"/>
  <c r="O38" i="4" s="1"/>
  <c r="D138" i="32"/>
  <c r="D144" i="32" s="1"/>
  <c r="K25" i="7"/>
  <c r="O15" i="13"/>
  <c r="O112" i="32" s="1"/>
  <c r="AQ7" i="3"/>
  <c r="AL7" i="3"/>
  <c r="L7" i="26"/>
  <c r="I7" i="28" s="1"/>
  <c r="E9" i="3"/>
  <c r="Q7" i="26"/>
  <c r="O111" i="32"/>
  <c r="O26" i="12"/>
  <c r="O15" i="4" s="1"/>
  <c r="S15" i="12"/>
  <c r="R15" i="12" s="1"/>
  <c r="T111" i="32"/>
  <c r="W15" i="12"/>
  <c r="T26" i="12"/>
  <c r="T15" i="4" s="1"/>
  <c r="W15" i="13"/>
  <c r="S15" i="13"/>
  <c r="S112" i="32" s="1"/>
  <c r="T112" i="32"/>
  <c r="T26" i="13"/>
  <c r="T18" i="4" s="1"/>
  <c r="P111" i="32"/>
  <c r="P114" i="32" s="1"/>
  <c r="P26" i="12"/>
  <c r="P15" i="4" s="1"/>
  <c r="P15" i="6"/>
  <c r="I16" i="28"/>
  <c r="L4" i="26"/>
  <c r="L6" i="26" s="1"/>
  <c r="I6" i="28" s="1"/>
  <c r="E6" i="3"/>
  <c r="AQ6" i="3" s="1"/>
  <c r="Q4" i="26"/>
  <c r="N4" i="28" s="1"/>
  <c r="X4" i="9"/>
  <c r="AE4" i="9"/>
  <c r="M89" i="18"/>
  <c r="J17" i="7"/>
  <c r="AL19" i="3"/>
  <c r="AQ19" i="3"/>
  <c r="Q19" i="26"/>
  <c r="N19" i="28" s="1"/>
  <c r="L19" i="26"/>
  <c r="V311" i="32"/>
  <c r="Z311" i="32"/>
  <c r="Y308" i="32"/>
  <c r="U311" i="32"/>
  <c r="K93" i="32"/>
  <c r="J13" i="9"/>
  <c r="K13" i="9" s="1"/>
  <c r="Q93" i="32"/>
  <c r="P13" i="9"/>
  <c r="Q13" i="9" s="1"/>
  <c r="N93" i="32"/>
  <c r="M13" i="9"/>
  <c r="H93" i="32"/>
  <c r="H98" i="32" s="1"/>
  <c r="G13" i="9"/>
  <c r="H13" i="9" s="1"/>
  <c r="T93" i="32"/>
  <c r="S13" i="9"/>
  <c r="T13" i="9" s="1"/>
  <c r="F26" i="3"/>
  <c r="AN24" i="3"/>
  <c r="AR24" i="3"/>
  <c r="AN6" i="3"/>
  <c r="AR6" i="3"/>
  <c r="Y26" i="9"/>
  <c r="AF26" i="9"/>
  <c r="Y157" i="32"/>
  <c r="U159" i="32"/>
  <c r="X10" i="4"/>
  <c r="AC10" i="4"/>
  <c r="Y172" i="32"/>
  <c r="U174" i="32"/>
  <c r="Q14" i="8"/>
  <c r="I93" i="32" s="1"/>
  <c r="Y82" i="32"/>
  <c r="Z14" i="8"/>
  <c r="R93" i="32" s="1"/>
  <c r="N14" i="8"/>
  <c r="F93" i="32" s="1"/>
  <c r="Z77" i="32"/>
  <c r="Z82" i="32"/>
  <c r="Z83" i="32" s="1"/>
  <c r="K14" i="12"/>
  <c r="K95" i="32" s="1"/>
  <c r="G14" i="12"/>
  <c r="I4" i="28"/>
  <c r="Z21" i="9"/>
  <c r="Z20" i="9"/>
  <c r="Z19" i="9"/>
  <c r="C24" i="9"/>
  <c r="C12" i="9"/>
  <c r="AE12" i="9" s="1"/>
  <c r="AK13" i="7"/>
  <c r="C9" i="9"/>
  <c r="AK10" i="7"/>
  <c r="C6" i="9"/>
  <c r="AE6" i="9" s="1"/>
  <c r="AK7" i="7"/>
  <c r="AH66" i="18"/>
  <c r="Z66" i="18"/>
  <c r="AD66" i="18"/>
  <c r="V66" i="18"/>
  <c r="R66" i="18"/>
  <c r="Z18" i="18"/>
  <c r="Z19" i="18" s="1"/>
  <c r="T14" i="24"/>
  <c r="T14" i="8" s="1"/>
  <c r="L93" i="32" s="1"/>
  <c r="AD18" i="18"/>
  <c r="AD19" i="18" s="1"/>
  <c r="W14" i="24"/>
  <c r="W14" i="8" s="1"/>
  <c r="O93" i="32" s="1"/>
  <c r="AH18" i="18"/>
  <c r="AH19" i="18" s="1"/>
  <c r="R18" i="18"/>
  <c r="R19" i="18" s="1"/>
  <c r="V18" i="18"/>
  <c r="V19" i="18" s="1"/>
  <c r="E61" i="23"/>
  <c r="L20" i="28"/>
  <c r="M20" i="28" s="1"/>
  <c r="L4" i="28"/>
  <c r="L16" i="28"/>
  <c r="AH78" i="18"/>
  <c r="R79" i="18"/>
  <c r="Z74" i="18"/>
  <c r="V78" i="18"/>
  <c r="AH79" i="18"/>
  <c r="V74" i="18"/>
  <c r="P80" i="18"/>
  <c r="Z79" i="18"/>
  <c r="R74" i="18"/>
  <c r="Z78" i="18"/>
  <c r="X78" i="18" s="1"/>
  <c r="V79" i="18"/>
  <c r="AD78" i="18"/>
  <c r="R78" i="18"/>
  <c r="R77" i="18"/>
  <c r="AD74" i="18"/>
  <c r="AB77" i="18"/>
  <c r="H81" i="18"/>
  <c r="G22" i="7" s="1"/>
  <c r="Z21" i="3" s="1"/>
  <c r="Y21" i="3" s="1"/>
  <c r="U21" i="26" s="1"/>
  <c r="C10" i="4"/>
  <c r="F81" i="18"/>
  <c r="E22" i="7" s="1"/>
  <c r="P21" i="3" s="1"/>
  <c r="O21" i="3" s="1"/>
  <c r="S21" i="26" s="1"/>
  <c r="P21" i="28" s="1"/>
  <c r="E81" i="18"/>
  <c r="D22" i="7" s="1"/>
  <c r="K21" i="3" s="1"/>
  <c r="L7" i="28"/>
  <c r="K14" i="13"/>
  <c r="K96" i="32" s="1"/>
  <c r="G14" i="13"/>
  <c r="G96" i="32" s="1"/>
  <c r="AJ16" i="23"/>
  <c r="I81" i="18"/>
  <c r="H22" i="7" s="1"/>
  <c r="AE21" i="3" s="1"/>
  <c r="AD21" i="3" s="1"/>
  <c r="V21" i="26" s="1"/>
  <c r="G81" i="18"/>
  <c r="F22" i="7" s="1"/>
  <c r="U21" i="3" s="1"/>
  <c r="T21" i="3" s="1"/>
  <c r="T21" i="26" s="1"/>
  <c r="AH14" i="24"/>
  <c r="AB13" i="9"/>
  <c r="E7" i="6"/>
  <c r="E13" i="6"/>
  <c r="AK25" i="7"/>
  <c r="C22" i="6"/>
  <c r="C21" i="6"/>
  <c r="C16" i="6"/>
  <c r="C20" i="6"/>
  <c r="J10" i="7"/>
  <c r="J7" i="7"/>
  <c r="AH72" i="18"/>
  <c r="Z72" i="18"/>
  <c r="R72" i="18"/>
  <c r="AD72" i="18"/>
  <c r="V72" i="18"/>
  <c r="AH68" i="18"/>
  <c r="Z68" i="18"/>
  <c r="R68" i="18"/>
  <c r="AD68" i="18"/>
  <c r="V68" i="18"/>
  <c r="AD69" i="18"/>
  <c r="V69" i="18"/>
  <c r="AH69" i="18"/>
  <c r="Z69" i="18"/>
  <c r="R69" i="18"/>
  <c r="AB79" i="18"/>
  <c r="AF77" i="18"/>
  <c r="AF74" i="18"/>
  <c r="P76" i="18"/>
  <c r="U54" i="23"/>
  <c r="AA54" i="23"/>
  <c r="R54" i="23"/>
  <c r="X54" i="23"/>
  <c r="AD54" i="23"/>
  <c r="U49" i="23"/>
  <c r="AA49" i="23"/>
  <c r="R49" i="23"/>
  <c r="X49" i="23"/>
  <c r="AD49" i="23"/>
  <c r="R53" i="23"/>
  <c r="X53" i="23"/>
  <c r="AD53" i="23"/>
  <c r="U53" i="23"/>
  <c r="AA53" i="23"/>
  <c r="R48" i="23"/>
  <c r="X48" i="23"/>
  <c r="AD48" i="23"/>
  <c r="U48" i="23"/>
  <c r="AA48" i="23"/>
  <c r="R51" i="23"/>
  <c r="X51" i="23"/>
  <c r="AD51" i="23"/>
  <c r="U51" i="23"/>
  <c r="AA51" i="23"/>
  <c r="AH70" i="18"/>
  <c r="Z70" i="18"/>
  <c r="R70" i="18"/>
  <c r="AD70" i="18"/>
  <c r="V70" i="18"/>
  <c r="AD71" i="18"/>
  <c r="V71" i="18"/>
  <c r="AH71" i="18"/>
  <c r="Z71" i="18"/>
  <c r="R71" i="18"/>
  <c r="AD67" i="18"/>
  <c r="V67" i="18"/>
  <c r="AH67" i="18"/>
  <c r="Z67" i="18"/>
  <c r="X76" i="18"/>
  <c r="P59" i="23"/>
  <c r="P61" i="23" s="1"/>
  <c r="X77" i="18"/>
  <c r="T76" i="18"/>
  <c r="U52" i="23"/>
  <c r="AA52" i="23"/>
  <c r="R52" i="23"/>
  <c r="X52" i="23"/>
  <c r="AD52" i="23"/>
  <c r="U47" i="23"/>
  <c r="AA47" i="23"/>
  <c r="R47" i="23"/>
  <c r="X47" i="23"/>
  <c r="AD47" i="23"/>
  <c r="AA46" i="23"/>
  <c r="U46" i="23"/>
  <c r="R46" i="23"/>
  <c r="AD46" i="23"/>
  <c r="X46" i="23"/>
  <c r="D17" i="6"/>
  <c r="AD43" i="18"/>
  <c r="V43" i="18"/>
  <c r="R43" i="18"/>
  <c r="AH43" i="18"/>
  <c r="Z43" i="18"/>
  <c r="AH8" i="18"/>
  <c r="Z8" i="18"/>
  <c r="AD8" i="18"/>
  <c r="V8" i="18"/>
  <c r="R8" i="18"/>
  <c r="AH5" i="18"/>
  <c r="Z5" i="18"/>
  <c r="AD5" i="18"/>
  <c r="V5" i="18"/>
  <c r="R5" i="18"/>
  <c r="AH44" i="18"/>
  <c r="Z44" i="18"/>
  <c r="R44" i="18"/>
  <c r="AD44" i="18"/>
  <c r="V44" i="18"/>
  <c r="AH46" i="18"/>
  <c r="Z46" i="18"/>
  <c r="R46" i="18"/>
  <c r="AD46" i="18"/>
  <c r="V46" i="18"/>
  <c r="AH9" i="18"/>
  <c r="Z9" i="18"/>
  <c r="R9" i="18"/>
  <c r="AD9" i="18"/>
  <c r="V9" i="18"/>
  <c r="V6" i="18"/>
  <c r="AD6" i="18"/>
  <c r="R6" i="18"/>
  <c r="Z6" i="18"/>
  <c r="AH6" i="18"/>
  <c r="C8" i="6"/>
  <c r="Z16" i="9"/>
  <c r="Z15" i="9"/>
  <c r="Z10" i="9"/>
  <c r="Z7" i="9"/>
  <c r="E4" i="9"/>
  <c r="D22" i="8" l="1"/>
  <c r="L21" i="3" s="1"/>
  <c r="J21" i="3" s="1"/>
  <c r="R21" i="26" s="1"/>
  <c r="X21" i="26" s="1"/>
  <c r="O43" i="13"/>
  <c r="O324" i="32" s="1"/>
  <c r="N13" i="9"/>
  <c r="M16" i="28"/>
  <c r="P7" i="26"/>
  <c r="AQ12" i="3"/>
  <c r="AL12" i="3"/>
  <c r="S43" i="13"/>
  <c r="T324" i="32"/>
  <c r="R43" i="13"/>
  <c r="W43" i="13"/>
  <c r="W41" i="6" s="1"/>
  <c r="T45" i="13"/>
  <c r="T39" i="4" s="1"/>
  <c r="D5" i="4"/>
  <c r="K27" i="7"/>
  <c r="D7" i="4" s="1"/>
  <c r="Q12" i="26"/>
  <c r="N12" i="28" s="1"/>
  <c r="N10" i="28"/>
  <c r="P10" i="26"/>
  <c r="L12" i="26"/>
  <c r="I12" i="28" s="1"/>
  <c r="I10" i="28"/>
  <c r="R323" i="32"/>
  <c r="R45" i="12"/>
  <c r="R38" i="4" s="1"/>
  <c r="S323" i="32"/>
  <c r="S45" i="12"/>
  <c r="S38" i="4" s="1"/>
  <c r="AC43" i="12"/>
  <c r="W323" i="32"/>
  <c r="AA43" i="12"/>
  <c r="V43" i="12"/>
  <c r="X43" i="12"/>
  <c r="X45" i="12" s="1"/>
  <c r="W45" i="12"/>
  <c r="Q6" i="26"/>
  <c r="N6" i="28" s="1"/>
  <c r="AL6" i="3"/>
  <c r="L9" i="26"/>
  <c r="I9" i="28" s="1"/>
  <c r="P324" i="32"/>
  <c r="P326" i="32" s="1"/>
  <c r="P45" i="13"/>
  <c r="P39" i="4" s="1"/>
  <c r="P41" i="4" s="1"/>
  <c r="AQ9" i="3"/>
  <c r="AL9" i="3"/>
  <c r="P4" i="26"/>
  <c r="M7" i="28"/>
  <c r="Q9" i="26"/>
  <c r="N9" i="28" s="1"/>
  <c r="N7" i="28"/>
  <c r="R15" i="13"/>
  <c r="R112" i="32" s="1"/>
  <c r="R111" i="32"/>
  <c r="R26" i="12"/>
  <c r="R15" i="4" s="1"/>
  <c r="Z15" i="13"/>
  <c r="V15" i="13"/>
  <c r="W112" i="32"/>
  <c r="X15" i="13"/>
  <c r="W26" i="13"/>
  <c r="S111" i="32"/>
  <c r="S114" i="32" s="1"/>
  <c r="S26" i="12"/>
  <c r="S15" i="4" s="1"/>
  <c r="S15" i="6"/>
  <c r="V15" i="12"/>
  <c r="U15" i="12" s="1"/>
  <c r="W111" i="32"/>
  <c r="X15" i="12"/>
  <c r="AC15" i="12"/>
  <c r="AA15" i="12"/>
  <c r="W26" i="12"/>
  <c r="W15" i="6"/>
  <c r="X9" i="9"/>
  <c r="AE9" i="9"/>
  <c r="P19" i="26"/>
  <c r="I19" i="28"/>
  <c r="C138" i="32"/>
  <c r="C144" i="32" s="1"/>
  <c r="J25" i="7"/>
  <c r="AR26" i="3"/>
  <c r="AN26" i="3"/>
  <c r="X24" i="9"/>
  <c r="AE24" i="9"/>
  <c r="Z4" i="9"/>
  <c r="AG4" i="9"/>
  <c r="E9" i="9"/>
  <c r="E12" i="9"/>
  <c r="X12" i="9"/>
  <c r="E6" i="9"/>
  <c r="X6" i="9"/>
  <c r="AG14" i="8"/>
  <c r="Y93" i="32" s="1"/>
  <c r="E24" i="9"/>
  <c r="AG24" i="9" s="1"/>
  <c r="F14" i="12"/>
  <c r="F95" i="32" s="1"/>
  <c r="G95" i="32"/>
  <c r="G98" i="32" s="1"/>
  <c r="K98" i="32"/>
  <c r="Z21" i="26"/>
  <c r="Q21" i="28"/>
  <c r="AB21" i="26"/>
  <c r="S21" i="28"/>
  <c r="AC21" i="26"/>
  <c r="AA21" i="26"/>
  <c r="R21" i="28"/>
  <c r="J14" i="12"/>
  <c r="N14" i="12"/>
  <c r="N95" i="32" s="1"/>
  <c r="X19" i="18"/>
  <c r="U8" i="7" s="1"/>
  <c r="W8" i="7"/>
  <c r="P19" i="18"/>
  <c r="M8" i="7" s="1"/>
  <c r="O8" i="7"/>
  <c r="AB19" i="18"/>
  <c r="Y8" i="7" s="1"/>
  <c r="AA8" i="7"/>
  <c r="T19" i="18"/>
  <c r="Q8" i="7" s="1"/>
  <c r="S8" i="7"/>
  <c r="AF19" i="18"/>
  <c r="AC8" i="7" s="1"/>
  <c r="AE8" i="7"/>
  <c r="M4" i="28"/>
  <c r="AH81" i="18"/>
  <c r="AD73" i="18"/>
  <c r="V10" i="18"/>
  <c r="S5" i="7" s="1"/>
  <c r="R10" i="18"/>
  <c r="AH73" i="18"/>
  <c r="AD10" i="18"/>
  <c r="AA5" i="7" s="1"/>
  <c r="Z51" i="18"/>
  <c r="T74" i="18"/>
  <c r="V81" i="18"/>
  <c r="Z73" i="18"/>
  <c r="Z10" i="18"/>
  <c r="W5" i="7" s="1"/>
  <c r="V51" i="18"/>
  <c r="AH51" i="18"/>
  <c r="AH10" i="18"/>
  <c r="AE5" i="7" s="1"/>
  <c r="AD51" i="18"/>
  <c r="AB74" i="18"/>
  <c r="AD81" i="18"/>
  <c r="P74" i="18"/>
  <c r="R81" i="18"/>
  <c r="X74" i="18"/>
  <c r="Z81" i="18"/>
  <c r="V73" i="18"/>
  <c r="E73" i="18"/>
  <c r="D21" i="7" s="1"/>
  <c r="K20" i="3" s="1"/>
  <c r="F73" i="18"/>
  <c r="E21" i="7" s="1"/>
  <c r="P20" i="3" s="1"/>
  <c r="G73" i="18"/>
  <c r="F21" i="7" s="1"/>
  <c r="U20" i="3" s="1"/>
  <c r="H73" i="18"/>
  <c r="G21" i="7" s="1"/>
  <c r="Z20" i="3" s="1"/>
  <c r="I73" i="18"/>
  <c r="H21" i="7" s="1"/>
  <c r="AE20" i="3" s="1"/>
  <c r="P66" i="18"/>
  <c r="AB66" i="18"/>
  <c r="AF66" i="18"/>
  <c r="T66" i="18"/>
  <c r="X66" i="18"/>
  <c r="I19" i="18"/>
  <c r="H8" i="7" s="1"/>
  <c r="L6" i="28"/>
  <c r="M6" i="28" s="1"/>
  <c r="AB78" i="18"/>
  <c r="P78" i="18"/>
  <c r="X80" i="18"/>
  <c r="X79" i="18"/>
  <c r="AF79" i="18"/>
  <c r="P77" i="18"/>
  <c r="P79" i="18"/>
  <c r="G19" i="18"/>
  <c r="F8" i="7" s="1"/>
  <c r="AB80" i="18"/>
  <c r="AF78" i="18"/>
  <c r="F19" i="18"/>
  <c r="E8" i="7" s="1"/>
  <c r="H19" i="18"/>
  <c r="E19" i="18"/>
  <c r="D8" i="7" s="1"/>
  <c r="L9" i="28"/>
  <c r="Y22" i="24"/>
  <c r="S22" i="24"/>
  <c r="S22" i="8" s="1"/>
  <c r="R67" i="18"/>
  <c r="R73" i="18" s="1"/>
  <c r="R50" i="18"/>
  <c r="R51" i="18" s="1"/>
  <c r="T79" i="18"/>
  <c r="P75" i="18"/>
  <c r="T80" i="18"/>
  <c r="AP80" i="18"/>
  <c r="G14" i="6"/>
  <c r="F14" i="13"/>
  <c r="F96" i="32" s="1"/>
  <c r="N14" i="13"/>
  <c r="N96" i="32" s="1"/>
  <c r="J14" i="13"/>
  <c r="J96" i="32" s="1"/>
  <c r="AF80" i="18"/>
  <c r="T78" i="18"/>
  <c r="AC13" i="9"/>
  <c r="C26" i="9"/>
  <c r="C10" i="6"/>
  <c r="C17" i="6"/>
  <c r="G56" i="23"/>
  <c r="F21" i="8" s="1"/>
  <c r="V20" i="3" s="1"/>
  <c r="E56" i="23"/>
  <c r="D21" i="8" s="1"/>
  <c r="L20" i="3" s="1"/>
  <c r="H56" i="23"/>
  <c r="G21" i="8" s="1"/>
  <c r="AA20" i="3" s="1"/>
  <c r="AP74" i="18"/>
  <c r="AP77" i="18"/>
  <c r="I56" i="23"/>
  <c r="H21" i="8" s="1"/>
  <c r="AF20" i="3" s="1"/>
  <c r="F56" i="23"/>
  <c r="E21" i="8" s="1"/>
  <c r="Q20" i="3" s="1"/>
  <c r="AF17" i="18"/>
  <c r="P18" i="18"/>
  <c r="E10" i="18"/>
  <c r="D5" i="7" s="1"/>
  <c r="H10" i="18"/>
  <c r="G5" i="7" s="1"/>
  <c r="I10" i="18"/>
  <c r="H5" i="7" s="1"/>
  <c r="T17" i="18"/>
  <c r="G51" i="18"/>
  <c r="F17" i="7" s="1"/>
  <c r="U16" i="3" s="1"/>
  <c r="T16" i="3" s="1"/>
  <c r="T16" i="26" s="1"/>
  <c r="E51" i="18"/>
  <c r="D17" i="7" s="1"/>
  <c r="K16" i="3" s="1"/>
  <c r="J16" i="3" s="1"/>
  <c r="R16" i="26" s="1"/>
  <c r="H51" i="18"/>
  <c r="G17" i="7" s="1"/>
  <c r="Z16" i="3" s="1"/>
  <c r="Y16" i="3" s="1"/>
  <c r="U16" i="26" s="1"/>
  <c r="X18" i="18"/>
  <c r="AB17" i="18"/>
  <c r="T18" i="18"/>
  <c r="AF18" i="18"/>
  <c r="F10" i="18"/>
  <c r="E5" i="7" s="1"/>
  <c r="G10" i="18"/>
  <c r="F5" i="7" s="1"/>
  <c r="X17" i="18"/>
  <c r="P17" i="18"/>
  <c r="I51" i="18"/>
  <c r="H17" i="7" s="1"/>
  <c r="AE16" i="3" s="1"/>
  <c r="AD16" i="3" s="1"/>
  <c r="V16" i="26" s="1"/>
  <c r="F51" i="18"/>
  <c r="E17" i="7" s="1"/>
  <c r="P16" i="3" s="1"/>
  <c r="O16" i="3" s="1"/>
  <c r="S16" i="26" s="1"/>
  <c r="AB18" i="18"/>
  <c r="O45" i="13" l="1"/>
  <c r="O39" i="4" s="1"/>
  <c r="M9" i="28"/>
  <c r="AC41" i="6"/>
  <c r="X41" i="6"/>
  <c r="W43" i="6"/>
  <c r="AC323" i="32"/>
  <c r="X323" i="32"/>
  <c r="S324" i="32"/>
  <c r="S326" i="32" s="1"/>
  <c r="S45" i="13"/>
  <c r="S39" i="4" s="1"/>
  <c r="S41" i="4" s="1"/>
  <c r="AC45" i="12"/>
  <c r="W38" i="4"/>
  <c r="U43" i="12"/>
  <c r="V323" i="32"/>
  <c r="V45" i="12"/>
  <c r="V38" i="4" s="1"/>
  <c r="S41" i="6"/>
  <c r="S43" i="6" s="1"/>
  <c r="Z43" i="13"/>
  <c r="W324" i="32"/>
  <c r="W326" i="32" s="1"/>
  <c r="V43" i="13"/>
  <c r="V41" i="6" s="1"/>
  <c r="V43" i="6" s="1"/>
  <c r="X43" i="13"/>
  <c r="U43" i="13"/>
  <c r="W45" i="13"/>
  <c r="R324" i="32"/>
  <c r="R45" i="13"/>
  <c r="R39" i="4" s="1"/>
  <c r="AA323" i="32"/>
  <c r="Z43" i="12"/>
  <c r="Y43" i="12" s="1"/>
  <c r="AA45" i="12"/>
  <c r="AA38" i="4" s="1"/>
  <c r="Y21" i="26"/>
  <c r="V21" i="28" s="1"/>
  <c r="AB21" i="28" s="1"/>
  <c r="V112" i="32"/>
  <c r="Z112" i="32" s="1"/>
  <c r="V26" i="13"/>
  <c r="V18" i="4" s="1"/>
  <c r="Z18" i="4" s="1"/>
  <c r="W18" i="4"/>
  <c r="Z26" i="13"/>
  <c r="X26" i="13"/>
  <c r="U111" i="32"/>
  <c r="U26" i="12"/>
  <c r="U15" i="4" s="1"/>
  <c r="AC111" i="32"/>
  <c r="X111" i="32"/>
  <c r="W114" i="32"/>
  <c r="X15" i="6"/>
  <c r="AC15" i="6"/>
  <c r="W26" i="6"/>
  <c r="U15" i="13"/>
  <c r="U15" i="6" s="1"/>
  <c r="U26" i="6" s="1"/>
  <c r="AC26" i="12"/>
  <c r="X26" i="12"/>
  <c r="W15" i="4"/>
  <c r="AA111" i="32"/>
  <c r="Z15" i="12"/>
  <c r="AA26" i="12"/>
  <c r="AA15" i="4" s="1"/>
  <c r="V111" i="32"/>
  <c r="V26" i="12"/>
  <c r="V15" i="4" s="1"/>
  <c r="V15" i="6"/>
  <c r="V26" i="6" s="1"/>
  <c r="AC112" i="32"/>
  <c r="AA112" i="32"/>
  <c r="X112" i="32"/>
  <c r="T5" i="32"/>
  <c r="T7" i="32" s="1"/>
  <c r="N5" i="32"/>
  <c r="N7" i="32" s="1"/>
  <c r="Q5" i="32"/>
  <c r="Q7" i="32" s="1"/>
  <c r="K5" i="32"/>
  <c r="K7" i="32" s="1"/>
  <c r="AE10" i="7"/>
  <c r="T7" i="9"/>
  <c r="T34" i="32"/>
  <c r="T36" i="32" s="1"/>
  <c r="AC10" i="7"/>
  <c r="R34" i="32"/>
  <c r="R36" i="32" s="1"/>
  <c r="S10" i="7"/>
  <c r="K7" i="9"/>
  <c r="K34" i="32"/>
  <c r="K36" i="32" s="1"/>
  <c r="Q10" i="7"/>
  <c r="I34" i="32"/>
  <c r="I36" i="32" s="1"/>
  <c r="AA10" i="7"/>
  <c r="Q7" i="9"/>
  <c r="Q34" i="32"/>
  <c r="Q36" i="32" s="1"/>
  <c r="Y10" i="7"/>
  <c r="O34" i="32"/>
  <c r="O36" i="32" s="1"/>
  <c r="O10" i="7"/>
  <c r="H7" i="9"/>
  <c r="H34" i="32"/>
  <c r="H36" i="32" s="1"/>
  <c r="M10" i="7"/>
  <c r="F34" i="32"/>
  <c r="F36" i="32" s="1"/>
  <c r="W10" i="7"/>
  <c r="N7" i="9"/>
  <c r="N34" i="32"/>
  <c r="N36" i="32" s="1"/>
  <c r="U10" i="7"/>
  <c r="L34" i="32"/>
  <c r="L36" i="32" s="1"/>
  <c r="Z9" i="9"/>
  <c r="AG9" i="9"/>
  <c r="C5" i="4"/>
  <c r="J27" i="7"/>
  <c r="Z12" i="9"/>
  <c r="AG12" i="9"/>
  <c r="K215" i="32"/>
  <c r="J21" i="9"/>
  <c r="Z6" i="9"/>
  <c r="AG6" i="9"/>
  <c r="X26" i="9"/>
  <c r="AE26" i="9"/>
  <c r="E26" i="9"/>
  <c r="Z24" i="9"/>
  <c r="N98" i="32"/>
  <c r="I14" i="12"/>
  <c r="I95" i="32" s="1"/>
  <c r="J95" i="32"/>
  <c r="J98" i="32" s="1"/>
  <c r="F98" i="32"/>
  <c r="Y22" i="8"/>
  <c r="P21" i="9" s="1"/>
  <c r="O21" i="28"/>
  <c r="X21" i="28"/>
  <c r="AD21" i="28" s="1"/>
  <c r="AG21" i="26"/>
  <c r="Z21" i="28"/>
  <c r="AF21" i="28" s="1"/>
  <c r="AI21" i="26"/>
  <c r="Y21" i="28"/>
  <c r="AE21" i="28" s="1"/>
  <c r="AH21" i="26"/>
  <c r="W21" i="28"/>
  <c r="AC21" i="28" s="1"/>
  <c r="AF21" i="26"/>
  <c r="T20" i="3"/>
  <c r="AD20" i="3"/>
  <c r="V20" i="26" s="1"/>
  <c r="Y20" i="3"/>
  <c r="U20" i="26" s="1"/>
  <c r="AB73" i="18"/>
  <c r="Y21" i="7" s="1"/>
  <c r="O199" i="32" s="1"/>
  <c r="AA21" i="7"/>
  <c r="P73" i="18"/>
  <c r="M21" i="7" s="1"/>
  <c r="F199" i="32" s="1"/>
  <c r="O21" i="7"/>
  <c r="X73" i="18"/>
  <c r="U21" i="7" s="1"/>
  <c r="L199" i="32" s="1"/>
  <c r="W21" i="7"/>
  <c r="T73" i="18"/>
  <c r="Q21" i="7" s="1"/>
  <c r="I199" i="32" s="1"/>
  <c r="S21" i="7"/>
  <c r="AF73" i="18"/>
  <c r="AC21" i="7" s="1"/>
  <c r="R199" i="32" s="1"/>
  <c r="AE21" i="7"/>
  <c r="Y16" i="26"/>
  <c r="P16" i="28"/>
  <c r="AB16" i="26"/>
  <c r="S16" i="28"/>
  <c r="AC16" i="26"/>
  <c r="AA16" i="26"/>
  <c r="R16" i="28"/>
  <c r="O16" i="28"/>
  <c r="X16" i="26"/>
  <c r="Z16" i="26"/>
  <c r="Q16" i="28"/>
  <c r="P51" i="18"/>
  <c r="M17" i="7" s="1"/>
  <c r="F138" i="32" s="1"/>
  <c r="O17" i="7"/>
  <c r="X51" i="18"/>
  <c r="U17" i="7" s="1"/>
  <c r="L138" i="32" s="1"/>
  <c r="W17" i="7"/>
  <c r="AF51" i="18"/>
  <c r="AC17" i="7" s="1"/>
  <c r="R138" i="32" s="1"/>
  <c r="AE17" i="7"/>
  <c r="AB51" i="18"/>
  <c r="Y17" i="7" s="1"/>
  <c r="O138" i="32" s="1"/>
  <c r="AA17" i="7"/>
  <c r="T51" i="18"/>
  <c r="Q17" i="7" s="1"/>
  <c r="I138" i="32" s="1"/>
  <c r="S17" i="7"/>
  <c r="P81" i="18"/>
  <c r="M22" i="7" s="1"/>
  <c r="F214" i="32" s="1"/>
  <c r="O22" i="7"/>
  <c r="AB81" i="18"/>
  <c r="Y22" i="7" s="1"/>
  <c r="O214" i="32" s="1"/>
  <c r="AA22" i="7"/>
  <c r="AF81" i="18"/>
  <c r="AC22" i="7" s="1"/>
  <c r="R214" i="32" s="1"/>
  <c r="AE22" i="7"/>
  <c r="X81" i="18"/>
  <c r="U22" i="7" s="1"/>
  <c r="L214" i="32" s="1"/>
  <c r="W22" i="7"/>
  <c r="T81" i="18"/>
  <c r="Q22" i="7" s="1"/>
  <c r="I214" i="32" s="1"/>
  <c r="S22" i="7"/>
  <c r="M14" i="12"/>
  <c r="Q14" i="12"/>
  <c r="Q95" i="32" s="1"/>
  <c r="D10" i="7"/>
  <c r="K7" i="3"/>
  <c r="AE7" i="3"/>
  <c r="AD7" i="3" s="1"/>
  <c r="H10" i="7"/>
  <c r="Y8" i="24"/>
  <c r="Y8" i="8" s="1"/>
  <c r="G8" i="7"/>
  <c r="U7" i="3"/>
  <c r="T7" i="3" s="1"/>
  <c r="F10" i="7"/>
  <c r="E10" i="7"/>
  <c r="P7" i="3"/>
  <c r="E7" i="7"/>
  <c r="P4" i="3"/>
  <c r="H7" i="7"/>
  <c r="AE4" i="3"/>
  <c r="AD4" i="3" s="1"/>
  <c r="F7" i="7"/>
  <c r="U4" i="3"/>
  <c r="T4" i="3" s="1"/>
  <c r="Z4" i="3"/>
  <c r="Y4" i="3" s="1"/>
  <c r="G7" i="7"/>
  <c r="D7" i="7"/>
  <c r="K4" i="3"/>
  <c r="T10" i="18"/>
  <c r="Q5" i="7" s="1"/>
  <c r="AA7" i="7"/>
  <c r="P10" i="18"/>
  <c r="M5" i="7" s="1"/>
  <c r="F5" i="32" s="1"/>
  <c r="F7" i="32" s="1"/>
  <c r="O5" i="7"/>
  <c r="H5" i="32" s="1"/>
  <c r="H7" i="32" s="1"/>
  <c r="S7" i="7"/>
  <c r="AE7" i="7"/>
  <c r="W7" i="7"/>
  <c r="U21" i="28"/>
  <c r="AA21" i="28" s="1"/>
  <c r="H22" i="13" s="1"/>
  <c r="AD21" i="26"/>
  <c r="H22" i="12" s="1"/>
  <c r="AE21" i="26"/>
  <c r="T20" i="26"/>
  <c r="O20" i="3"/>
  <c r="J20" i="3"/>
  <c r="AK27" i="7"/>
  <c r="AR81" i="18"/>
  <c r="AR19" i="18"/>
  <c r="X10" i="18"/>
  <c r="U5" i="7" s="1"/>
  <c r="L5" i="32" s="1"/>
  <c r="L7" i="32" s="1"/>
  <c r="AB10" i="18"/>
  <c r="Y5" i="7" s="1"/>
  <c r="O5" i="32" s="1"/>
  <c r="O7" i="32" s="1"/>
  <c r="AF10" i="18"/>
  <c r="AC5" i="7" s="1"/>
  <c r="R5" i="32" s="1"/>
  <c r="R7" i="32" s="1"/>
  <c r="P8" i="24"/>
  <c r="AP66" i="18"/>
  <c r="AB8" i="24"/>
  <c r="P22" i="24"/>
  <c r="P50" i="18"/>
  <c r="S8" i="24"/>
  <c r="AP79" i="18"/>
  <c r="P67" i="18"/>
  <c r="V8" i="24"/>
  <c r="W22" i="24"/>
  <c r="W22" i="8" s="1"/>
  <c r="O215" i="32" s="1"/>
  <c r="AB22" i="24"/>
  <c r="AB22" i="8" s="1"/>
  <c r="V22" i="24"/>
  <c r="V22" i="8" s="1"/>
  <c r="AP78" i="18"/>
  <c r="I14" i="13"/>
  <c r="I96" i="32" s="1"/>
  <c r="J14" i="6"/>
  <c r="M14" i="13"/>
  <c r="M96" i="32" s="1"/>
  <c r="Q14" i="13"/>
  <c r="Q96" i="32" s="1"/>
  <c r="F14" i="6"/>
  <c r="C16" i="8"/>
  <c r="AK16" i="8" s="1"/>
  <c r="J20" i="8"/>
  <c r="G12" i="3"/>
  <c r="J11" i="8"/>
  <c r="Y21" i="24"/>
  <c r="S5" i="24"/>
  <c r="S5" i="8" s="1"/>
  <c r="Y5" i="24"/>
  <c r="Y5" i="8" s="1"/>
  <c r="V5" i="24"/>
  <c r="V5" i="8" s="1"/>
  <c r="AB5" i="24"/>
  <c r="AB5" i="8" s="1"/>
  <c r="P5" i="8"/>
  <c r="G10" i="24"/>
  <c r="Y10" i="24"/>
  <c r="W10" i="24" s="1"/>
  <c r="S17" i="24"/>
  <c r="S17" i="8" s="1"/>
  <c r="P17" i="24"/>
  <c r="P17" i="8" s="1"/>
  <c r="V17" i="24"/>
  <c r="V17" i="8" s="1"/>
  <c r="AB17" i="24"/>
  <c r="AB17" i="8" s="1"/>
  <c r="Y17" i="24"/>
  <c r="Y17" i="8" s="1"/>
  <c r="P21" i="24"/>
  <c r="AB72" i="18"/>
  <c r="P68" i="18"/>
  <c r="T69" i="18"/>
  <c r="S54" i="23"/>
  <c r="AB54" i="23"/>
  <c r="V49" i="23"/>
  <c r="AB53" i="23"/>
  <c r="V48" i="23"/>
  <c r="P51" i="23"/>
  <c r="Y51" i="23"/>
  <c r="AB70" i="18"/>
  <c r="AF71" i="18"/>
  <c r="X67" i="18"/>
  <c r="P52" i="23"/>
  <c r="Y47" i="23"/>
  <c r="AF72" i="18"/>
  <c r="T72" i="18"/>
  <c r="AB68" i="18"/>
  <c r="AF69" i="18"/>
  <c r="Y54" i="23"/>
  <c r="S49" i="23"/>
  <c r="AB49" i="23"/>
  <c r="S53" i="23"/>
  <c r="AB48" i="23"/>
  <c r="V51" i="23"/>
  <c r="P70" i="18"/>
  <c r="T71" i="18"/>
  <c r="AF67" i="18"/>
  <c r="Y52" i="23"/>
  <c r="S47" i="23"/>
  <c r="AB47" i="23"/>
  <c r="X72" i="18"/>
  <c r="AF68" i="18"/>
  <c r="T68" i="18"/>
  <c r="X69" i="18"/>
  <c r="P54" i="23"/>
  <c r="Y49" i="23"/>
  <c r="P53" i="23"/>
  <c r="Y53" i="23"/>
  <c r="S48" i="23"/>
  <c r="AB51" i="23"/>
  <c r="X70" i="18"/>
  <c r="AB71" i="18"/>
  <c r="P71" i="18"/>
  <c r="T67" i="18"/>
  <c r="S52" i="23"/>
  <c r="AB52" i="23"/>
  <c r="V47" i="23"/>
  <c r="S46" i="23"/>
  <c r="U56" i="23"/>
  <c r="AB46" i="23"/>
  <c r="AD56" i="23"/>
  <c r="P72" i="18"/>
  <c r="X68" i="18"/>
  <c r="AB69" i="18"/>
  <c r="P69" i="18"/>
  <c r="V54" i="23"/>
  <c r="P49" i="23"/>
  <c r="V53" i="23"/>
  <c r="P48" i="23"/>
  <c r="Y48" i="23"/>
  <c r="S51" i="23"/>
  <c r="AF70" i="18"/>
  <c r="T70" i="18"/>
  <c r="X71" i="18"/>
  <c r="AB67" i="18"/>
  <c r="V52" i="23"/>
  <c r="P47" i="23"/>
  <c r="Y46" i="23"/>
  <c r="AA56" i="23"/>
  <c r="P46" i="23"/>
  <c r="R56" i="23"/>
  <c r="P21" i="8" s="1"/>
  <c r="V46" i="23"/>
  <c r="X56" i="23"/>
  <c r="T43" i="18"/>
  <c r="AF8" i="18"/>
  <c r="P8" i="18"/>
  <c r="X5" i="18"/>
  <c r="P44" i="18"/>
  <c r="X46" i="18"/>
  <c r="AB45" i="18"/>
  <c r="P45" i="18"/>
  <c r="P9" i="18"/>
  <c r="AB6" i="18"/>
  <c r="AB43" i="18"/>
  <c r="X8" i="18"/>
  <c r="AB5" i="18"/>
  <c r="AB44" i="18"/>
  <c r="P46" i="18"/>
  <c r="T45" i="18"/>
  <c r="AB9" i="18"/>
  <c r="P6" i="18"/>
  <c r="AF43" i="18"/>
  <c r="AB8" i="18"/>
  <c r="T5" i="18"/>
  <c r="AP18" i="18"/>
  <c r="AF44" i="18"/>
  <c r="T44" i="18"/>
  <c r="AB46" i="18"/>
  <c r="AF45" i="18"/>
  <c r="AF9" i="18"/>
  <c r="T9" i="18"/>
  <c r="X6" i="18"/>
  <c r="P43" i="18"/>
  <c r="X43" i="18"/>
  <c r="T8" i="18"/>
  <c r="AF5" i="18"/>
  <c r="P5" i="18"/>
  <c r="X44" i="18"/>
  <c r="AF46" i="18"/>
  <c r="T46" i="18"/>
  <c r="X45" i="18"/>
  <c r="AP17" i="18"/>
  <c r="X9" i="18"/>
  <c r="T6" i="18"/>
  <c r="AF6" i="18"/>
  <c r="Z45" i="13" l="1"/>
  <c r="X45" i="13"/>
  <c r="W39" i="4"/>
  <c r="U324" i="32"/>
  <c r="Y324" i="32" s="1"/>
  <c r="U45" i="13"/>
  <c r="U39" i="4" s="1"/>
  <c r="Y39" i="4" s="1"/>
  <c r="AC326" i="32"/>
  <c r="X326" i="32"/>
  <c r="U323" i="32"/>
  <c r="U41" i="6"/>
  <c r="U43" i="6" s="1"/>
  <c r="U45" i="12"/>
  <c r="U38" i="4" s="1"/>
  <c r="U41" i="4" s="1"/>
  <c r="Y323" i="32"/>
  <c r="Y45" i="12"/>
  <c r="Y38" i="4" s="1"/>
  <c r="V324" i="32"/>
  <c r="Z324" i="32" s="1"/>
  <c r="V45" i="13"/>
  <c r="V39" i="4" s="1"/>
  <c r="Z39" i="4" s="1"/>
  <c r="X38" i="4"/>
  <c r="AC38" i="4"/>
  <c r="AC43" i="6"/>
  <c r="X43" i="6"/>
  <c r="V114" i="32"/>
  <c r="Z323" i="32"/>
  <c r="Z41" i="6"/>
  <c r="Z43" i="6" s="1"/>
  <c r="Z45" i="12"/>
  <c r="Z38" i="4" s="1"/>
  <c r="AC324" i="32"/>
  <c r="AA324" i="32"/>
  <c r="AA326" i="32" s="1"/>
  <c r="X324" i="32"/>
  <c r="V24" i="4"/>
  <c r="AA114" i="32"/>
  <c r="Z111" i="32"/>
  <c r="Z15" i="6"/>
  <c r="Z26" i="12"/>
  <c r="Z15" i="4" s="1"/>
  <c r="U112" i="32"/>
  <c r="Y112" i="32" s="1"/>
  <c r="U26" i="13"/>
  <c r="U18" i="4" s="1"/>
  <c r="Y18" i="4" s="1"/>
  <c r="AC114" i="32"/>
  <c r="X114" i="32"/>
  <c r="AC18" i="4"/>
  <c r="X18" i="4"/>
  <c r="AA18" i="4"/>
  <c r="AC15" i="4"/>
  <c r="X15" i="4"/>
  <c r="W24" i="4"/>
  <c r="X26" i="6"/>
  <c r="AC26" i="6"/>
  <c r="Y15" i="12"/>
  <c r="Z114" i="32"/>
  <c r="Q7" i="7"/>
  <c r="I5" i="32"/>
  <c r="I7" i="32" s="1"/>
  <c r="K21" i="9"/>
  <c r="Q21" i="9"/>
  <c r="K138" i="32"/>
  <c r="Q138" i="32"/>
  <c r="T138" i="32"/>
  <c r="N138" i="32"/>
  <c r="H138" i="32"/>
  <c r="T199" i="32"/>
  <c r="K199" i="32"/>
  <c r="N199" i="32"/>
  <c r="H199" i="32"/>
  <c r="Q199" i="32"/>
  <c r="H200" i="32"/>
  <c r="G20" i="9"/>
  <c r="Q139" i="32"/>
  <c r="P16" i="9"/>
  <c r="N215" i="32"/>
  <c r="M21" i="9"/>
  <c r="T139" i="32"/>
  <c r="S16" i="9"/>
  <c r="T215" i="32"/>
  <c r="S21" i="9"/>
  <c r="N139" i="32"/>
  <c r="M16" i="9"/>
  <c r="H139" i="32"/>
  <c r="G16" i="9"/>
  <c r="K139" i="32"/>
  <c r="J16" i="9"/>
  <c r="AE9" i="3"/>
  <c r="Z26" i="9"/>
  <c r="AG26" i="9"/>
  <c r="G22" i="13"/>
  <c r="G218" i="32" s="1"/>
  <c r="H218" i="32"/>
  <c r="AO12" i="3"/>
  <c r="AS12" i="3"/>
  <c r="Q215" i="32"/>
  <c r="Q98" i="32"/>
  <c r="G22" i="12"/>
  <c r="H217" i="32"/>
  <c r="L14" i="12"/>
  <c r="L95" i="32" s="1"/>
  <c r="M95" i="32"/>
  <c r="M98" i="32" s="1"/>
  <c r="I98" i="32"/>
  <c r="P22" i="8"/>
  <c r="G21" i="9" s="1"/>
  <c r="Y21" i="8"/>
  <c r="J16" i="8"/>
  <c r="G15" i="3"/>
  <c r="AB10" i="24"/>
  <c r="Z10" i="24" s="1"/>
  <c r="AB8" i="8"/>
  <c r="P10" i="24"/>
  <c r="N10" i="24" s="1"/>
  <c r="P8" i="8"/>
  <c r="V10" i="24"/>
  <c r="T10" i="24" s="1"/>
  <c r="V8" i="8"/>
  <c r="S10" i="24"/>
  <c r="Q10" i="24" s="1"/>
  <c r="S8" i="8"/>
  <c r="K22" i="13"/>
  <c r="N22" i="13" s="1"/>
  <c r="K22" i="12"/>
  <c r="N22" i="12" s="1"/>
  <c r="N217" i="32" s="1"/>
  <c r="X16" i="28"/>
  <c r="AD16" i="28" s="1"/>
  <c r="AG16" i="26"/>
  <c r="Z16" i="28"/>
  <c r="AF16" i="28" s="1"/>
  <c r="AI16" i="26"/>
  <c r="Y16" i="28"/>
  <c r="AE16" i="28" s="1"/>
  <c r="AH16" i="26"/>
  <c r="W16" i="28"/>
  <c r="AC16" i="28" s="1"/>
  <c r="AF16" i="26"/>
  <c r="U16" i="28"/>
  <c r="AA16" i="28" s="1"/>
  <c r="H17" i="13" s="1"/>
  <c r="AD16" i="26"/>
  <c r="H17" i="12" s="1"/>
  <c r="H141" i="32" s="1"/>
  <c r="V16" i="28"/>
  <c r="AB16" i="28" s="1"/>
  <c r="AE16" i="26"/>
  <c r="AP81" i="18"/>
  <c r="AL22" i="7" s="1"/>
  <c r="Y214" i="32" s="1"/>
  <c r="AN22" i="7"/>
  <c r="T14" i="12"/>
  <c r="T95" i="32" s="1"/>
  <c r="P14" i="12"/>
  <c r="T9" i="3"/>
  <c r="T7" i="26"/>
  <c r="G10" i="7"/>
  <c r="Z7" i="3"/>
  <c r="AD9" i="3"/>
  <c r="V7" i="26"/>
  <c r="O7" i="3"/>
  <c r="P9" i="3"/>
  <c r="J7" i="3"/>
  <c r="K9" i="3"/>
  <c r="U9" i="3"/>
  <c r="AP19" i="18"/>
  <c r="AL8" i="7" s="1"/>
  <c r="AN8" i="7"/>
  <c r="AD6" i="3"/>
  <c r="AC6" i="3" s="1"/>
  <c r="AC26" i="3" s="1"/>
  <c r="V4" i="26"/>
  <c r="J4" i="3"/>
  <c r="K6" i="3"/>
  <c r="P6" i="3"/>
  <c r="O4" i="3"/>
  <c r="T4" i="26"/>
  <c r="T6" i="3"/>
  <c r="S6" i="3" s="1"/>
  <c r="S26" i="3" s="1"/>
  <c r="Y6" i="3"/>
  <c r="X6" i="3" s="1"/>
  <c r="X26" i="3" s="1"/>
  <c r="U4" i="26"/>
  <c r="U7" i="7"/>
  <c r="O7" i="7"/>
  <c r="M7" i="7"/>
  <c r="Y7" i="7"/>
  <c r="AC7" i="7"/>
  <c r="S20" i="28"/>
  <c r="AC20" i="26"/>
  <c r="AB20" i="26"/>
  <c r="R20" i="28"/>
  <c r="AA20" i="26"/>
  <c r="Q20" i="28"/>
  <c r="S20" i="26"/>
  <c r="R20" i="26"/>
  <c r="AR73" i="18"/>
  <c r="AR51" i="18"/>
  <c r="C25" i="8"/>
  <c r="AR10" i="18"/>
  <c r="AN5" i="7" s="1"/>
  <c r="O24" i="26"/>
  <c r="AE6" i="3"/>
  <c r="D10" i="24"/>
  <c r="H10" i="8"/>
  <c r="H10" i="24"/>
  <c r="N22" i="24"/>
  <c r="N22" i="8" s="1"/>
  <c r="F215" i="32" s="1"/>
  <c r="T22" i="24"/>
  <c r="T22" i="8" s="1"/>
  <c r="L215" i="32" s="1"/>
  <c r="F10" i="24"/>
  <c r="E10" i="24"/>
  <c r="Z64" i="18"/>
  <c r="R64" i="18"/>
  <c r="V64" i="18"/>
  <c r="AD41" i="18"/>
  <c r="V41" i="18"/>
  <c r="AH41" i="18"/>
  <c r="Z41" i="18"/>
  <c r="R41" i="18"/>
  <c r="U6" i="3"/>
  <c r="Z6" i="3"/>
  <c r="AB21" i="24"/>
  <c r="AB21" i="8" s="1"/>
  <c r="V21" i="24"/>
  <c r="V21" i="8" s="1"/>
  <c r="S21" i="24"/>
  <c r="Q21" i="24" s="1"/>
  <c r="Q22" i="24"/>
  <c r="Q22" i="8" s="1"/>
  <c r="I215" i="32" s="1"/>
  <c r="AB21" i="9"/>
  <c r="Z22" i="24"/>
  <c r="Z22" i="8" s="1"/>
  <c r="R215" i="32" s="1"/>
  <c r="AA42" i="23"/>
  <c r="U42" i="23"/>
  <c r="X42" i="23"/>
  <c r="AD42" i="23"/>
  <c r="AD60" i="18"/>
  <c r="R60" i="18"/>
  <c r="V60" i="18"/>
  <c r="Z60" i="18"/>
  <c r="Z40" i="18"/>
  <c r="AD40" i="18"/>
  <c r="AH40" i="18"/>
  <c r="R40" i="18"/>
  <c r="V40" i="18"/>
  <c r="C13" i="8"/>
  <c r="M14" i="6"/>
  <c r="L14" i="13"/>
  <c r="L96" i="32" s="1"/>
  <c r="AH62" i="18"/>
  <c r="V62" i="18"/>
  <c r="Z62" i="18"/>
  <c r="AD62" i="18"/>
  <c r="R62" i="18"/>
  <c r="L19" i="28"/>
  <c r="M19" i="28" s="1"/>
  <c r="AH34" i="18"/>
  <c r="Z34" i="18"/>
  <c r="AD34" i="18"/>
  <c r="R34" i="18"/>
  <c r="V34" i="18"/>
  <c r="AD35" i="18"/>
  <c r="R35" i="18"/>
  <c r="V35" i="18"/>
  <c r="Z35" i="18"/>
  <c r="AH35" i="18"/>
  <c r="L15" i="28"/>
  <c r="Z20" i="18"/>
  <c r="Z21" i="18" s="1"/>
  <c r="W11" i="7" s="1"/>
  <c r="V20" i="18"/>
  <c r="V21" i="18" s="1"/>
  <c r="S11" i="7" s="1"/>
  <c r="R20" i="18"/>
  <c r="R21" i="18" s="1"/>
  <c r="O11" i="7" s="1"/>
  <c r="L10" i="28"/>
  <c r="M10" i="28" s="1"/>
  <c r="T14" i="13"/>
  <c r="T96" i="32" s="1"/>
  <c r="P14" i="13"/>
  <c r="P96" i="32" s="1"/>
  <c r="I14" i="6"/>
  <c r="Z8" i="24"/>
  <c r="Z8" i="8" s="1"/>
  <c r="AJ10" i="24"/>
  <c r="AH10" i="24" s="1"/>
  <c r="Q8" i="24"/>
  <c r="Q8" i="8" s="1"/>
  <c r="G10" i="8"/>
  <c r="W8" i="24"/>
  <c r="W8" i="8" s="1"/>
  <c r="T8" i="24"/>
  <c r="T8" i="8" s="1"/>
  <c r="N8" i="24"/>
  <c r="N8" i="8" s="1"/>
  <c r="P7" i="24"/>
  <c r="N7" i="24" s="1"/>
  <c r="D7" i="24"/>
  <c r="AB7" i="24"/>
  <c r="Z7" i="24" s="1"/>
  <c r="H7" i="24"/>
  <c r="V7" i="24"/>
  <c r="T7" i="24" s="1"/>
  <c r="F7" i="24"/>
  <c r="Y7" i="24"/>
  <c r="W7" i="24" s="1"/>
  <c r="G7" i="24"/>
  <c r="S7" i="24"/>
  <c r="Q7" i="24" s="1"/>
  <c r="E7" i="24"/>
  <c r="W21" i="24"/>
  <c r="O9" i="9"/>
  <c r="L9" i="9"/>
  <c r="R9" i="9"/>
  <c r="I9" i="9"/>
  <c r="V56" i="23"/>
  <c r="P56" i="23"/>
  <c r="Y56" i="23"/>
  <c r="W21" i="8" s="1"/>
  <c r="O200" i="32" s="1"/>
  <c r="AP70" i="18"/>
  <c r="AJ46" i="23"/>
  <c r="AJ51" i="23"/>
  <c r="AP68" i="18"/>
  <c r="AP71" i="18"/>
  <c r="AI21" i="8"/>
  <c r="AA200" i="32" s="1"/>
  <c r="AB56" i="23"/>
  <c r="S56" i="23"/>
  <c r="AJ52" i="23"/>
  <c r="AJ47" i="23"/>
  <c r="AP67" i="18"/>
  <c r="AJ48" i="23"/>
  <c r="AJ49" i="23"/>
  <c r="AP69" i="18"/>
  <c r="AP72" i="18"/>
  <c r="AJ53" i="23"/>
  <c r="AJ54" i="23"/>
  <c r="AP46" i="18"/>
  <c r="AP9" i="18"/>
  <c r="AP45" i="18"/>
  <c r="AP44" i="18"/>
  <c r="AP43" i="18"/>
  <c r="AP8" i="18"/>
  <c r="AP6" i="18"/>
  <c r="AP5" i="18"/>
  <c r="U326" i="32" l="1"/>
  <c r="K16" i="9"/>
  <c r="U114" i="32"/>
  <c r="Z326" i="32"/>
  <c r="Z41" i="4"/>
  <c r="T16" i="9"/>
  <c r="V326" i="32"/>
  <c r="W41" i="4"/>
  <c r="X39" i="4"/>
  <c r="AC39" i="4"/>
  <c r="AA39" i="4"/>
  <c r="T21" i="9"/>
  <c r="V41" i="4"/>
  <c r="H21" i="9"/>
  <c r="U24" i="4"/>
  <c r="G22" i="6"/>
  <c r="H16" i="9"/>
  <c r="N21" i="9"/>
  <c r="Y111" i="32"/>
  <c r="Y26" i="12"/>
  <c r="Y15" i="4" s="1"/>
  <c r="AC24" i="4"/>
  <c r="X24" i="4"/>
  <c r="H20" i="9"/>
  <c r="N16" i="9"/>
  <c r="Q16" i="9"/>
  <c r="O13" i="7"/>
  <c r="H10" i="9"/>
  <c r="H63" i="32"/>
  <c r="H65" i="32" s="1"/>
  <c r="K10" i="9"/>
  <c r="K63" i="32"/>
  <c r="K65" i="32" s="1"/>
  <c r="N10" i="9"/>
  <c r="N63" i="32"/>
  <c r="N65" i="32" s="1"/>
  <c r="AA5" i="32"/>
  <c r="AA7" i="32" s="1"/>
  <c r="AN10" i="7"/>
  <c r="AA9" i="9" s="1"/>
  <c r="AA34" i="32"/>
  <c r="AA36" i="32" s="1"/>
  <c r="AL10" i="7"/>
  <c r="Y34" i="32"/>
  <c r="Y36" i="32" s="1"/>
  <c r="AC21" i="9"/>
  <c r="F22" i="13"/>
  <c r="F218" i="32" s="1"/>
  <c r="T200" i="32"/>
  <c r="S20" i="9"/>
  <c r="T20" i="9" s="1"/>
  <c r="Q200" i="32"/>
  <c r="P20" i="9"/>
  <c r="Q20" i="9" s="1"/>
  <c r="N200" i="32"/>
  <c r="M20" i="9"/>
  <c r="N20" i="9" s="1"/>
  <c r="K17" i="12"/>
  <c r="K141" i="32" s="1"/>
  <c r="G17" i="12"/>
  <c r="G141" i="32" s="1"/>
  <c r="F17" i="13"/>
  <c r="F142" i="32" s="1"/>
  <c r="H142" i="32"/>
  <c r="AS15" i="3"/>
  <c r="AO15" i="3"/>
  <c r="J13" i="8"/>
  <c r="AK13" i="8"/>
  <c r="H215" i="32"/>
  <c r="H220" i="32" s="1"/>
  <c r="J25" i="8"/>
  <c r="AK25" i="8"/>
  <c r="J22" i="12"/>
  <c r="K217" i="32"/>
  <c r="Q22" i="13"/>
  <c r="Q218" i="32" s="1"/>
  <c r="N218" i="32"/>
  <c r="N220" i="32" s="1"/>
  <c r="J22" i="13"/>
  <c r="J218" i="32" s="1"/>
  <c r="K218" i="32"/>
  <c r="F22" i="12"/>
  <c r="F217" i="32" s="1"/>
  <c r="G217" i="32"/>
  <c r="G220" i="32" s="1"/>
  <c r="O14" i="12"/>
  <c r="O95" i="32" s="1"/>
  <c r="P95" i="32"/>
  <c r="P98" i="32" s="1"/>
  <c r="T98" i="32"/>
  <c r="L98" i="32"/>
  <c r="M22" i="13"/>
  <c r="M218" i="32" s="1"/>
  <c r="Q21" i="8"/>
  <c r="I200" i="32" s="1"/>
  <c r="S21" i="8"/>
  <c r="E15" i="3"/>
  <c r="AQ15" i="3" s="1"/>
  <c r="G24" i="3"/>
  <c r="AP73" i="18"/>
  <c r="AL21" i="7" s="1"/>
  <c r="Y199" i="32" s="1"/>
  <c r="AN21" i="7"/>
  <c r="AA199" i="32" s="1"/>
  <c r="K17" i="13"/>
  <c r="AP51" i="18"/>
  <c r="AL17" i="7" s="1"/>
  <c r="Y138" i="32" s="1"/>
  <c r="AN17" i="7"/>
  <c r="AA138" i="32" s="1"/>
  <c r="W14" i="12"/>
  <c r="S14" i="12"/>
  <c r="W14" i="13"/>
  <c r="S13" i="7"/>
  <c r="W13" i="7"/>
  <c r="O9" i="3"/>
  <c r="S7" i="26"/>
  <c r="Z7" i="26" s="1"/>
  <c r="S7" i="28"/>
  <c r="V9" i="26"/>
  <c r="S9" i="28" s="1"/>
  <c r="AC7" i="26"/>
  <c r="Y7" i="3"/>
  <c r="Z9" i="3"/>
  <c r="R7" i="26"/>
  <c r="J9" i="3"/>
  <c r="T9" i="26"/>
  <c r="Q9" i="28" s="1"/>
  <c r="Q7" i="28"/>
  <c r="R4" i="26"/>
  <c r="J6" i="3"/>
  <c r="U6" i="26"/>
  <c r="R6" i="28" s="1"/>
  <c r="AA4" i="26"/>
  <c r="R4" i="28"/>
  <c r="S4" i="28"/>
  <c r="V6" i="26"/>
  <c r="S6" i="28" s="1"/>
  <c r="AB4" i="26"/>
  <c r="AC4" i="26"/>
  <c r="T6" i="26"/>
  <c r="Q6" i="28" s="1"/>
  <c r="Q4" i="28"/>
  <c r="S4" i="26"/>
  <c r="Z4" i="26" s="1"/>
  <c r="O6" i="3"/>
  <c r="N6" i="3" s="1"/>
  <c r="N26" i="3" s="1"/>
  <c r="AN7" i="7"/>
  <c r="Z20" i="28"/>
  <c r="AF20" i="28" s="1"/>
  <c r="AI20" i="26"/>
  <c r="Y20" i="28"/>
  <c r="AE20" i="28" s="1"/>
  <c r="AH20" i="26"/>
  <c r="X20" i="28"/>
  <c r="AD20" i="28" s="1"/>
  <c r="AG20" i="26"/>
  <c r="Z20" i="26"/>
  <c r="P20" i="28"/>
  <c r="Y20" i="26"/>
  <c r="X20" i="26"/>
  <c r="O20" i="28"/>
  <c r="V42" i="18"/>
  <c r="R65" i="18"/>
  <c r="AH42" i="18"/>
  <c r="AD42" i="18"/>
  <c r="Z65" i="18"/>
  <c r="P21" i="18"/>
  <c r="M11" i="7" s="1"/>
  <c r="F63" i="32" s="1"/>
  <c r="F65" i="32" s="1"/>
  <c r="Z42" i="18"/>
  <c r="AH65" i="18"/>
  <c r="V65" i="18"/>
  <c r="T21" i="18"/>
  <c r="X21" i="18"/>
  <c r="U11" i="7" s="1"/>
  <c r="L63" i="32" s="1"/>
  <c r="L65" i="32" s="1"/>
  <c r="AD65" i="18"/>
  <c r="R42" i="18"/>
  <c r="AP10" i="18"/>
  <c r="AL5" i="7" s="1"/>
  <c r="Y5" i="32" s="1"/>
  <c r="Y7" i="32" s="1"/>
  <c r="D10" i="8"/>
  <c r="E10" i="8"/>
  <c r="AD20" i="18"/>
  <c r="F10" i="8"/>
  <c r="M22" i="12"/>
  <c r="Q22" i="12"/>
  <c r="Q217" i="32" s="1"/>
  <c r="AH22" i="24"/>
  <c r="AG22" i="8" s="1"/>
  <c r="Y215" i="32" s="1"/>
  <c r="H21" i="18"/>
  <c r="G11" i="7" s="1"/>
  <c r="AH20" i="18"/>
  <c r="AH21" i="18" s="1"/>
  <c r="AE11" i="7" s="1"/>
  <c r="I21" i="18"/>
  <c r="H11" i="7" s="1"/>
  <c r="O14" i="13"/>
  <c r="O96" i="32" s="1"/>
  <c r="P14" i="6"/>
  <c r="S14" i="13"/>
  <c r="S96" i="32" s="1"/>
  <c r="F21" i="18"/>
  <c r="E11" i="7" s="1"/>
  <c r="G21" i="18"/>
  <c r="F11" i="7" s="1"/>
  <c r="E42" i="18"/>
  <c r="D16" i="7" s="1"/>
  <c r="G42" i="18"/>
  <c r="F16" i="7" s="1"/>
  <c r="L12" i="28"/>
  <c r="M12" i="28" s="1"/>
  <c r="G65" i="18"/>
  <c r="F20" i="7" s="1"/>
  <c r="U19" i="3" s="1"/>
  <c r="E65" i="18"/>
  <c r="D20" i="7" s="1"/>
  <c r="K19" i="3" s="1"/>
  <c r="E21" i="18"/>
  <c r="D11" i="7" s="1"/>
  <c r="F42" i="18"/>
  <c r="E16" i="7" s="1"/>
  <c r="H42" i="18"/>
  <c r="G16" i="7" s="1"/>
  <c r="I42" i="18"/>
  <c r="H16" i="7" s="1"/>
  <c r="I65" i="18"/>
  <c r="H20" i="7" s="1"/>
  <c r="AE19" i="3" s="1"/>
  <c r="L14" i="6"/>
  <c r="F65" i="18"/>
  <c r="E20" i="7" s="1"/>
  <c r="P19" i="3" s="1"/>
  <c r="H65" i="18"/>
  <c r="G20" i="7" s="1"/>
  <c r="Z19" i="3" s="1"/>
  <c r="T21" i="24"/>
  <c r="T21" i="8" s="1"/>
  <c r="L200" i="32" s="1"/>
  <c r="E7" i="8"/>
  <c r="W5" i="24"/>
  <c r="W5" i="8" s="1"/>
  <c r="F7" i="8"/>
  <c r="Z5" i="24"/>
  <c r="Z5" i="8" s="1"/>
  <c r="D7" i="8"/>
  <c r="Y10" i="8"/>
  <c r="AA9" i="3"/>
  <c r="S10" i="8"/>
  <c r="AB10" i="8"/>
  <c r="S9" i="9" s="1"/>
  <c r="Q5" i="24"/>
  <c r="Q5" i="8" s="1"/>
  <c r="G7" i="8"/>
  <c r="T5" i="24"/>
  <c r="T5" i="8" s="1"/>
  <c r="H7" i="8"/>
  <c r="N5" i="24"/>
  <c r="N5" i="8" s="1"/>
  <c r="P10" i="8"/>
  <c r="V10" i="8"/>
  <c r="AB7" i="9"/>
  <c r="AH8" i="24"/>
  <c r="AG8" i="8" s="1"/>
  <c r="Q17" i="24"/>
  <c r="Q17" i="8" s="1"/>
  <c r="I139" i="32" s="1"/>
  <c r="Z21" i="24"/>
  <c r="Z21" i="8" s="1"/>
  <c r="R200" i="32" s="1"/>
  <c r="N17" i="24"/>
  <c r="N17" i="8" s="1"/>
  <c r="F139" i="32" s="1"/>
  <c r="T17" i="24"/>
  <c r="T17" i="8" s="1"/>
  <c r="L139" i="32" s="1"/>
  <c r="Z17" i="24"/>
  <c r="Z17" i="8" s="1"/>
  <c r="R139" i="32" s="1"/>
  <c r="W17" i="24"/>
  <c r="W17" i="8" s="1"/>
  <c r="O139" i="32" s="1"/>
  <c r="N21" i="24"/>
  <c r="N21" i="8" s="1"/>
  <c r="F200" i="32" s="1"/>
  <c r="L6" i="9"/>
  <c r="O6" i="9"/>
  <c r="I6" i="9"/>
  <c r="R6" i="9"/>
  <c r="AJ56" i="23"/>
  <c r="F220" i="32" l="1"/>
  <c r="K10" i="3"/>
  <c r="D13" i="7"/>
  <c r="Z10" i="3"/>
  <c r="Y10" i="3" s="1"/>
  <c r="G13" i="7"/>
  <c r="X41" i="4"/>
  <c r="AC41" i="4"/>
  <c r="U10" i="3"/>
  <c r="T10" i="3" s="1"/>
  <c r="F13" i="7"/>
  <c r="AE10" i="3"/>
  <c r="AD10" i="3" s="1"/>
  <c r="H13" i="7"/>
  <c r="P10" i="3"/>
  <c r="E13" i="7"/>
  <c r="T22" i="13"/>
  <c r="T218" i="32" s="1"/>
  <c r="N17" i="12"/>
  <c r="N141" i="32" s="1"/>
  <c r="T10" i="9"/>
  <c r="T63" i="32"/>
  <c r="T65" i="32" s="1"/>
  <c r="E72" i="23"/>
  <c r="D20" i="8"/>
  <c r="L19" i="3" s="1"/>
  <c r="L24" i="3" s="1"/>
  <c r="L26" i="3" s="1"/>
  <c r="G72" i="23"/>
  <c r="F20" i="8"/>
  <c r="V19" i="3" s="1"/>
  <c r="T19" i="3" s="1"/>
  <c r="T19" i="26" s="1"/>
  <c r="Q19" i="28" s="1"/>
  <c r="H72" i="23"/>
  <c r="G20" i="8"/>
  <c r="AA19" i="3" s="1"/>
  <c r="Y19" i="3" s="1"/>
  <c r="U19" i="26" s="1"/>
  <c r="R19" i="28" s="1"/>
  <c r="F72" i="23"/>
  <c r="E20" i="8"/>
  <c r="Q19" i="3" s="1"/>
  <c r="I72" i="23"/>
  <c r="H20" i="8"/>
  <c r="AF19" i="3" s="1"/>
  <c r="AD19" i="3" s="1"/>
  <c r="V19" i="26" s="1"/>
  <c r="AC19" i="26" s="1"/>
  <c r="J17" i="12"/>
  <c r="J141" i="32" s="1"/>
  <c r="J22" i="6"/>
  <c r="I22" i="13"/>
  <c r="I218" i="32" s="1"/>
  <c r="K200" i="32"/>
  <c r="J20" i="9"/>
  <c r="K20" i="9" s="1"/>
  <c r="F17" i="12"/>
  <c r="F141" i="32" s="1"/>
  <c r="G17" i="6"/>
  <c r="N17" i="13"/>
  <c r="N142" i="32" s="1"/>
  <c r="K142" i="32"/>
  <c r="W95" i="32"/>
  <c r="AC95" i="32" s="1"/>
  <c r="AC14" i="12"/>
  <c r="F22" i="6"/>
  <c r="L22" i="13"/>
  <c r="L218" i="32" s="1"/>
  <c r="W96" i="32"/>
  <c r="AC96" i="32" s="1"/>
  <c r="Z14" i="13"/>
  <c r="P22" i="13"/>
  <c r="P218" i="32" s="1"/>
  <c r="Q220" i="32"/>
  <c r="L22" i="12"/>
  <c r="L217" i="32" s="1"/>
  <c r="M217" i="32"/>
  <c r="M220" i="32" s="1"/>
  <c r="K220" i="32"/>
  <c r="J217" i="32"/>
  <c r="J220" i="32" s="1"/>
  <c r="I22" i="12"/>
  <c r="I217" i="32" s="1"/>
  <c r="AO24" i="3"/>
  <c r="AS24" i="3"/>
  <c r="R14" i="12"/>
  <c r="R95" i="32" s="1"/>
  <c r="S95" i="32"/>
  <c r="S98" i="32" s="1"/>
  <c r="O98" i="32"/>
  <c r="I17" i="13"/>
  <c r="I142" i="32" s="1"/>
  <c r="L15" i="26"/>
  <c r="Q15" i="26"/>
  <c r="AL15" i="3"/>
  <c r="E24" i="3"/>
  <c r="AQ24" i="3" s="1"/>
  <c r="T65" i="18"/>
  <c r="Q20" i="7" s="1"/>
  <c r="I183" i="32" s="1"/>
  <c r="S20" i="7"/>
  <c r="AF65" i="18"/>
  <c r="AC20" i="7" s="1"/>
  <c r="R183" i="32" s="1"/>
  <c r="AE20" i="7"/>
  <c r="P65" i="18"/>
  <c r="M20" i="7" s="1"/>
  <c r="F183" i="32" s="1"/>
  <c r="O20" i="7"/>
  <c r="X65" i="18"/>
  <c r="U20" i="7" s="1"/>
  <c r="L183" i="32" s="1"/>
  <c r="W20" i="7"/>
  <c r="AB65" i="18"/>
  <c r="Y20" i="7" s="1"/>
  <c r="O183" i="32" s="1"/>
  <c r="AA20" i="7"/>
  <c r="AE15" i="3"/>
  <c r="AD15" i="3" s="1"/>
  <c r="H25" i="7"/>
  <c r="H27" i="7" s="1"/>
  <c r="P15" i="3"/>
  <c r="E25" i="7"/>
  <c r="E27" i="7" s="1"/>
  <c r="U15" i="3"/>
  <c r="T15" i="3" s="1"/>
  <c r="F25" i="7"/>
  <c r="F27" i="7" s="1"/>
  <c r="Z15" i="3"/>
  <c r="Y15" i="3" s="1"/>
  <c r="U15" i="26" s="1"/>
  <c r="G25" i="7"/>
  <c r="G27" i="7" s="1"/>
  <c r="K15" i="3"/>
  <c r="D25" i="7"/>
  <c r="D27" i="7" s="1"/>
  <c r="AB42" i="18"/>
  <c r="Y16" i="7" s="1"/>
  <c r="O123" i="32" s="1"/>
  <c r="AA16" i="7"/>
  <c r="AF42" i="18"/>
  <c r="AC16" i="7" s="1"/>
  <c r="R123" i="32" s="1"/>
  <c r="AE16" i="7"/>
  <c r="T42" i="18"/>
  <c r="Q16" i="7" s="1"/>
  <c r="I123" i="32" s="1"/>
  <c r="S16" i="7"/>
  <c r="X42" i="18"/>
  <c r="U16" i="7" s="1"/>
  <c r="L123" i="32" s="1"/>
  <c r="W16" i="7"/>
  <c r="P42" i="18"/>
  <c r="M16" i="7" s="1"/>
  <c r="O16" i="7"/>
  <c r="AA14" i="12"/>
  <c r="AA95" i="32" s="1"/>
  <c r="V14" i="12"/>
  <c r="X14" i="12"/>
  <c r="V14" i="13"/>
  <c r="V96" i="32" s="1"/>
  <c r="Z96" i="32" s="1"/>
  <c r="X14" i="13"/>
  <c r="Q11" i="7"/>
  <c r="I63" i="32" s="1"/>
  <c r="I65" i="32" s="1"/>
  <c r="U13" i="7"/>
  <c r="AE13" i="7"/>
  <c r="M13" i="7"/>
  <c r="U7" i="26"/>
  <c r="Y9" i="3"/>
  <c r="Z7" i="28"/>
  <c r="AF7" i="28" s="1"/>
  <c r="AF9" i="28" s="1"/>
  <c r="AC9" i="26"/>
  <c r="Z9" i="28" s="1"/>
  <c r="AI7" i="26"/>
  <c r="AI9" i="26" s="1"/>
  <c r="Z9" i="26"/>
  <c r="W9" i="28" s="1"/>
  <c r="W7" i="28"/>
  <c r="AC7" i="28" s="1"/>
  <c r="AC9" i="28" s="1"/>
  <c r="AF7" i="26"/>
  <c r="AF9" i="26" s="1"/>
  <c r="Y7" i="26"/>
  <c r="S9" i="26"/>
  <c r="P9" i="28" s="1"/>
  <c r="P7" i="28"/>
  <c r="R9" i="26"/>
  <c r="O9" i="28" s="1"/>
  <c r="O7" i="28"/>
  <c r="X7" i="26"/>
  <c r="Z6" i="26"/>
  <c r="W6" i="28" s="1"/>
  <c r="W4" i="28"/>
  <c r="AC4" i="28" s="1"/>
  <c r="AC6" i="28" s="1"/>
  <c r="AF4" i="26"/>
  <c r="AF6" i="26" s="1"/>
  <c r="AB6" i="26"/>
  <c r="Y6" i="28" s="1"/>
  <c r="Y4" i="28"/>
  <c r="AE4" i="28" s="1"/>
  <c r="AE6" i="28" s="1"/>
  <c r="AH4" i="26"/>
  <c r="AH6" i="26" s="1"/>
  <c r="AA6" i="26"/>
  <c r="X6" i="28" s="1"/>
  <c r="X4" i="28"/>
  <c r="AD4" i="28" s="1"/>
  <c r="AD6" i="28" s="1"/>
  <c r="AG4" i="26"/>
  <c r="AG6" i="26" s="1"/>
  <c r="S6" i="26"/>
  <c r="P6" i="28" s="1"/>
  <c r="Y4" i="26"/>
  <c r="P4" i="28"/>
  <c r="Z4" i="28"/>
  <c r="AF4" i="28" s="1"/>
  <c r="AF6" i="28" s="1"/>
  <c r="AC6" i="26"/>
  <c r="Z6" i="28" s="1"/>
  <c r="AI4" i="26"/>
  <c r="R6" i="26"/>
  <c r="O6" i="28" s="1"/>
  <c r="O4" i="28"/>
  <c r="X4" i="26"/>
  <c r="AL7" i="7"/>
  <c r="W20" i="28"/>
  <c r="AC20" i="28" s="1"/>
  <c r="AF20" i="26"/>
  <c r="U20" i="28"/>
  <c r="AA20" i="28" s="1"/>
  <c r="H21" i="13" s="1"/>
  <c r="H203" i="32" s="1"/>
  <c r="AD20" i="26"/>
  <c r="H21" i="12" s="1"/>
  <c r="H202" i="32" s="1"/>
  <c r="V20" i="28"/>
  <c r="AB20" i="28" s="1"/>
  <c r="AE20" i="26"/>
  <c r="AJ7" i="24"/>
  <c r="AH7" i="24" s="1"/>
  <c r="V89" i="18"/>
  <c r="Z89" i="18"/>
  <c r="Z91" i="18" s="1"/>
  <c r="X91" i="18" s="1"/>
  <c r="AF21" i="18"/>
  <c r="AH89" i="18"/>
  <c r="R89" i="18"/>
  <c r="AB20" i="18"/>
  <c r="AD21" i="18"/>
  <c r="AA11" i="7" s="1"/>
  <c r="E89" i="18"/>
  <c r="E91" i="18" s="1"/>
  <c r="F89" i="18"/>
  <c r="F91" i="18" s="1"/>
  <c r="I89" i="18"/>
  <c r="I91" i="18" s="1"/>
  <c r="H89" i="18"/>
  <c r="H91" i="18" s="1"/>
  <c r="G89" i="18"/>
  <c r="G91" i="18" s="1"/>
  <c r="AF9" i="3"/>
  <c r="V9" i="3"/>
  <c r="M22" i="6"/>
  <c r="T22" i="12"/>
  <c r="P22" i="12"/>
  <c r="AF20" i="18"/>
  <c r="AR21" i="18"/>
  <c r="AN11" i="7" s="1"/>
  <c r="AA63" i="32" s="1"/>
  <c r="AA65" i="32" s="1"/>
  <c r="Y11" i="24"/>
  <c r="Y11" i="8" s="1"/>
  <c r="G13" i="24"/>
  <c r="H17" i="6"/>
  <c r="AB20" i="9"/>
  <c r="AC20" i="9" s="1"/>
  <c r="P42" i="23"/>
  <c r="R72" i="23"/>
  <c r="R74" i="23" s="1"/>
  <c r="X72" i="23"/>
  <c r="X74" i="23" s="1"/>
  <c r="V42" i="23"/>
  <c r="AB60" i="18"/>
  <c r="Y20" i="24"/>
  <c r="S20" i="24"/>
  <c r="T60" i="18"/>
  <c r="X41" i="18"/>
  <c r="T41" i="18"/>
  <c r="AF62" i="18"/>
  <c r="P62" i="18"/>
  <c r="AF34" i="18"/>
  <c r="AB34" i="18"/>
  <c r="Y16" i="24"/>
  <c r="Y16" i="8" s="1"/>
  <c r="P35" i="18"/>
  <c r="Y42" i="23"/>
  <c r="AA72" i="23"/>
  <c r="AA74" i="23" s="1"/>
  <c r="U72" i="23"/>
  <c r="U74" i="23" s="1"/>
  <c r="S42" i="23"/>
  <c r="X60" i="18"/>
  <c r="V20" i="24"/>
  <c r="AB41" i="18"/>
  <c r="X40" i="18"/>
  <c r="AF40" i="18"/>
  <c r="T40" i="18"/>
  <c r="AB64" i="18"/>
  <c r="P64" i="18"/>
  <c r="T62" i="18"/>
  <c r="AB62" i="18"/>
  <c r="X34" i="18"/>
  <c r="V16" i="24"/>
  <c r="V16" i="8" s="1"/>
  <c r="P34" i="18"/>
  <c r="T35" i="18"/>
  <c r="T20" i="18"/>
  <c r="S14" i="6"/>
  <c r="R14" i="13"/>
  <c r="R96" i="32" s="1"/>
  <c r="O14" i="6"/>
  <c r="AC7" i="9"/>
  <c r="K17" i="6"/>
  <c r="M9" i="9"/>
  <c r="G9" i="9"/>
  <c r="J9" i="9"/>
  <c r="P9" i="9"/>
  <c r="AF41" i="18"/>
  <c r="AB40" i="18"/>
  <c r="P40" i="18"/>
  <c r="X64" i="18"/>
  <c r="AF64" i="18"/>
  <c r="AB20" i="24"/>
  <c r="T64" i="18"/>
  <c r="X62" i="18"/>
  <c r="AB16" i="24"/>
  <c r="AB16" i="8" s="1"/>
  <c r="T34" i="18"/>
  <c r="S16" i="24"/>
  <c r="S16" i="8" s="1"/>
  <c r="X35" i="18"/>
  <c r="P11" i="24"/>
  <c r="P11" i="8" s="1"/>
  <c r="P20" i="18"/>
  <c r="AB42" i="23"/>
  <c r="AD72" i="23"/>
  <c r="AD74" i="23" s="1"/>
  <c r="P20" i="24"/>
  <c r="P60" i="18"/>
  <c r="P41" i="18"/>
  <c r="P16" i="24"/>
  <c r="P16" i="8" s="1"/>
  <c r="AB35" i="18"/>
  <c r="AF35" i="18"/>
  <c r="V11" i="24"/>
  <c r="V11" i="8" s="1"/>
  <c r="X20" i="18"/>
  <c r="S11" i="24"/>
  <c r="T9" i="9"/>
  <c r="AI10" i="8"/>
  <c r="Q10" i="8"/>
  <c r="AA6" i="3"/>
  <c r="Z10" i="8"/>
  <c r="W10" i="8"/>
  <c r="P7" i="8"/>
  <c r="G4" i="9"/>
  <c r="AF6" i="3"/>
  <c r="V7" i="8"/>
  <c r="M4" i="9"/>
  <c r="S7" i="8"/>
  <c r="J4" i="9"/>
  <c r="T10" i="8"/>
  <c r="N10" i="8"/>
  <c r="AH5" i="24"/>
  <c r="AG5" i="8" s="1"/>
  <c r="AB7" i="8"/>
  <c r="S6" i="9" s="1"/>
  <c r="S4" i="9"/>
  <c r="V6" i="3"/>
  <c r="P4" i="9"/>
  <c r="Y7" i="8"/>
  <c r="AB16" i="9"/>
  <c r="AH17" i="24"/>
  <c r="AG17" i="8" s="1"/>
  <c r="Y139" i="32" s="1"/>
  <c r="AH21" i="24"/>
  <c r="AG21" i="8" s="1"/>
  <c r="Y200" i="32" s="1"/>
  <c r="AA6" i="9"/>
  <c r="I17" i="12" l="1"/>
  <c r="I141" i="32" s="1"/>
  <c r="M17" i="12"/>
  <c r="W22" i="13"/>
  <c r="X22" i="13" s="1"/>
  <c r="T10" i="26"/>
  <c r="T12" i="3"/>
  <c r="T89" i="18"/>
  <c r="AB19" i="26"/>
  <c r="O10" i="3"/>
  <c r="P12" i="3"/>
  <c r="U10" i="26"/>
  <c r="Y12" i="3"/>
  <c r="V10" i="26"/>
  <c r="AD12" i="3"/>
  <c r="J10" i="3"/>
  <c r="K12" i="3"/>
  <c r="X89" i="18"/>
  <c r="I17" i="6"/>
  <c r="J17" i="6"/>
  <c r="S22" i="13"/>
  <c r="S218" i="32" s="1"/>
  <c r="I220" i="32"/>
  <c r="Q17" i="12"/>
  <c r="Q141" i="32" s="1"/>
  <c r="AA19" i="26"/>
  <c r="AG19" i="26" s="1"/>
  <c r="S19" i="28"/>
  <c r="J19" i="3"/>
  <c r="R19" i="26" s="1"/>
  <c r="F17" i="6"/>
  <c r="X95" i="32"/>
  <c r="L22" i="6"/>
  <c r="P89" i="18"/>
  <c r="Q10" i="9"/>
  <c r="Q63" i="32"/>
  <c r="Q65" i="32" s="1"/>
  <c r="O25" i="7"/>
  <c r="O27" i="7" s="1"/>
  <c r="H123" i="32"/>
  <c r="M25" i="7"/>
  <c r="M27" i="7" s="1"/>
  <c r="F7" i="4" s="1"/>
  <c r="F123" i="32"/>
  <c r="N123" i="32"/>
  <c r="S25" i="7"/>
  <c r="S27" i="7" s="1"/>
  <c r="K123" i="32"/>
  <c r="AE25" i="7"/>
  <c r="AE27" i="7" s="1"/>
  <c r="T123" i="32"/>
  <c r="Q123" i="32"/>
  <c r="AB20" i="8"/>
  <c r="S19" i="9" s="1"/>
  <c r="Q24" i="3"/>
  <c r="Q26" i="3" s="1"/>
  <c r="O19" i="3"/>
  <c r="S19" i="26" s="1"/>
  <c r="W98" i="32"/>
  <c r="AC98" i="32" s="1"/>
  <c r="AA96" i="32"/>
  <c r="AA98" i="32" s="1"/>
  <c r="X96" i="32"/>
  <c r="L220" i="32"/>
  <c r="M15" i="9"/>
  <c r="N124" i="32"/>
  <c r="G15" i="9"/>
  <c r="H124" i="32"/>
  <c r="J15" i="9"/>
  <c r="K124" i="32"/>
  <c r="P15" i="9"/>
  <c r="Q124" i="32"/>
  <c r="V20" i="8"/>
  <c r="P20" i="8"/>
  <c r="S15" i="9"/>
  <c r="T124" i="32"/>
  <c r="N17" i="6"/>
  <c r="I22" i="6"/>
  <c r="Q17" i="13"/>
  <c r="Q142" i="32" s="1"/>
  <c r="L17" i="13"/>
  <c r="L142" i="32" s="1"/>
  <c r="V22" i="13"/>
  <c r="U22" i="13" s="1"/>
  <c r="U218" i="32" s="1"/>
  <c r="Y218" i="32" s="1"/>
  <c r="W218" i="32"/>
  <c r="AC218" i="32" s="1"/>
  <c r="Z22" i="13"/>
  <c r="O22" i="13"/>
  <c r="O218" i="32" s="1"/>
  <c r="S20" i="8"/>
  <c r="Y20" i="8"/>
  <c r="O22" i="12"/>
  <c r="O217" i="32" s="1"/>
  <c r="P217" i="32"/>
  <c r="P220" i="32" s="1"/>
  <c r="H205" i="32"/>
  <c r="W22" i="12"/>
  <c r="V22" i="12" s="1"/>
  <c r="V217" i="32" s="1"/>
  <c r="T217" i="32"/>
  <c r="T220" i="32" s="1"/>
  <c r="L17" i="12"/>
  <c r="L141" i="32" s="1"/>
  <c r="M141" i="32"/>
  <c r="X14" i="6"/>
  <c r="AC14" i="6"/>
  <c r="U14" i="12"/>
  <c r="U95" i="32" s="1"/>
  <c r="V95" i="32"/>
  <c r="V98" i="32" s="1"/>
  <c r="R98" i="32"/>
  <c r="AL24" i="3"/>
  <c r="E26" i="3"/>
  <c r="N15" i="28"/>
  <c r="Q24" i="26"/>
  <c r="P15" i="26"/>
  <c r="I15" i="28"/>
  <c r="M15" i="28" s="1"/>
  <c r="L24" i="26"/>
  <c r="S25" i="24"/>
  <c r="S11" i="8"/>
  <c r="Z19" i="28"/>
  <c r="AF19" i="28" s="1"/>
  <c r="AI19" i="26"/>
  <c r="Y19" i="28"/>
  <c r="AE19" i="28" s="1"/>
  <c r="AH19" i="26"/>
  <c r="X19" i="28"/>
  <c r="AD19" i="28" s="1"/>
  <c r="W25" i="7"/>
  <c r="W27" i="7" s="1"/>
  <c r="U25" i="7"/>
  <c r="U27" i="7" s="1"/>
  <c r="L7" i="4" s="1"/>
  <c r="Y24" i="3"/>
  <c r="Y26" i="3" s="1"/>
  <c r="T15" i="26"/>
  <c r="T24" i="3"/>
  <c r="T26" i="3" s="1"/>
  <c r="O15" i="3"/>
  <c r="P24" i="3"/>
  <c r="P26" i="3" s="1"/>
  <c r="J15" i="3"/>
  <c r="K24" i="3"/>
  <c r="K26" i="3" s="1"/>
  <c r="V15" i="26"/>
  <c r="AD24" i="3"/>
  <c r="AD26" i="3" s="1"/>
  <c r="AA15" i="26"/>
  <c r="R15" i="28"/>
  <c r="Z14" i="12"/>
  <c r="Z95" i="32" s="1"/>
  <c r="Z98" i="32" s="1"/>
  <c r="U14" i="13"/>
  <c r="V14" i="6"/>
  <c r="AA13" i="7"/>
  <c r="AA25" i="7"/>
  <c r="AF89" i="18"/>
  <c r="AC11" i="7"/>
  <c r="R63" i="32" s="1"/>
  <c r="R65" i="32" s="1"/>
  <c r="Q13" i="7"/>
  <c r="Q25" i="7"/>
  <c r="AN13" i="7"/>
  <c r="X9" i="26"/>
  <c r="U9" i="28" s="1"/>
  <c r="U7" i="28"/>
  <c r="AA7" i="28" s="1"/>
  <c r="AD7" i="26"/>
  <c r="Y9" i="26"/>
  <c r="V9" i="28" s="1"/>
  <c r="V7" i="28"/>
  <c r="AB7" i="28" s="1"/>
  <c r="AB9" i="28" s="1"/>
  <c r="AE7" i="26"/>
  <c r="AE9" i="26" s="1"/>
  <c r="AA7" i="26"/>
  <c r="U9" i="26"/>
  <c r="R9" i="28" s="1"/>
  <c r="R7" i="28"/>
  <c r="U24" i="26"/>
  <c r="AB7" i="26"/>
  <c r="X6" i="26"/>
  <c r="U6" i="28" s="1"/>
  <c r="U4" i="28"/>
  <c r="AA4" i="28" s="1"/>
  <c r="AD4" i="26"/>
  <c r="Y6" i="26"/>
  <c r="V6" i="28" s="1"/>
  <c r="V4" i="28"/>
  <c r="AB4" i="28" s="1"/>
  <c r="AB6" i="28" s="1"/>
  <c r="AE4" i="26"/>
  <c r="AE6" i="26" s="1"/>
  <c r="AI6" i="26"/>
  <c r="G21" i="12"/>
  <c r="G202" i="32" s="1"/>
  <c r="K21" i="12"/>
  <c r="K202" i="32" s="1"/>
  <c r="H21" i="6"/>
  <c r="G21" i="13"/>
  <c r="K21" i="13"/>
  <c r="K203" i="32" s="1"/>
  <c r="P25" i="24"/>
  <c r="Y25" i="24"/>
  <c r="V25" i="24"/>
  <c r="V91" i="18"/>
  <c r="T91" i="18" s="1"/>
  <c r="AB4" i="9"/>
  <c r="R91" i="18"/>
  <c r="P91" i="18" s="1"/>
  <c r="AH91" i="18"/>
  <c r="AF91" i="18" s="1"/>
  <c r="AB21" i="18"/>
  <c r="AD89" i="18"/>
  <c r="AP21" i="18"/>
  <c r="AL11" i="7" s="1"/>
  <c r="Y63" i="32" s="1"/>
  <c r="Y65" i="32" s="1"/>
  <c r="AR42" i="18"/>
  <c r="U24" i="3"/>
  <c r="U26" i="3" s="1"/>
  <c r="Z12" i="3"/>
  <c r="Z24" i="3"/>
  <c r="Z26" i="3" s="1"/>
  <c r="AE24" i="3"/>
  <c r="AE26" i="3" s="1"/>
  <c r="P22" i="6"/>
  <c r="S22" i="12"/>
  <c r="AB11" i="24"/>
  <c r="H13" i="24"/>
  <c r="AE12" i="3"/>
  <c r="AP20" i="18"/>
  <c r="W11" i="24"/>
  <c r="W11" i="8" s="1"/>
  <c r="Y13" i="24"/>
  <c r="G13" i="8"/>
  <c r="Q4" i="9"/>
  <c r="N4" i="9"/>
  <c r="G6" i="9"/>
  <c r="AB9" i="9"/>
  <c r="AB44" i="23"/>
  <c r="AB72" i="23" s="1"/>
  <c r="AB74" i="23" s="1"/>
  <c r="AJ42" i="23"/>
  <c r="D13" i="24"/>
  <c r="H9" i="9"/>
  <c r="N9" i="9"/>
  <c r="R14" i="6"/>
  <c r="Y44" i="23"/>
  <c r="Y72" i="23" s="1"/>
  <c r="Y74" i="23" s="1"/>
  <c r="AP62" i="18"/>
  <c r="P44" i="23"/>
  <c r="P72" i="23" s="1"/>
  <c r="P74" i="23" s="1"/>
  <c r="T6" i="9"/>
  <c r="P6" i="9"/>
  <c r="J6" i="9"/>
  <c r="M6" i="9"/>
  <c r="E13" i="24"/>
  <c r="U12" i="3"/>
  <c r="F13" i="24"/>
  <c r="AP35" i="18"/>
  <c r="AP41" i="18"/>
  <c r="Q9" i="9"/>
  <c r="K9" i="9"/>
  <c r="AP40" i="18"/>
  <c r="S44" i="23"/>
  <c r="S72" i="23" s="1"/>
  <c r="S74" i="23" s="1"/>
  <c r="AP34" i="18"/>
  <c r="V44" i="23"/>
  <c r="V72" i="23" s="1"/>
  <c r="V74" i="23" s="1"/>
  <c r="AC16" i="9"/>
  <c r="T4" i="9"/>
  <c r="H4" i="9"/>
  <c r="K4" i="9"/>
  <c r="AI7" i="8"/>
  <c r="N7" i="8"/>
  <c r="T7" i="8"/>
  <c r="W7" i="8"/>
  <c r="AG10" i="8"/>
  <c r="Z7" i="8"/>
  <c r="Q7" i="8"/>
  <c r="T17" i="12"/>
  <c r="P17" i="12"/>
  <c r="M17" i="6"/>
  <c r="T15" i="9" l="1"/>
  <c r="T184" i="32"/>
  <c r="AA10" i="26"/>
  <c r="U12" i="26"/>
  <c r="R12" i="28" s="1"/>
  <c r="R10" i="28"/>
  <c r="S10" i="26"/>
  <c r="O12" i="3"/>
  <c r="R10" i="26"/>
  <c r="J12" i="3"/>
  <c r="R22" i="13"/>
  <c r="R218" i="32" s="1"/>
  <c r="S10" i="28"/>
  <c r="AB10" i="26"/>
  <c r="AC10" i="26"/>
  <c r="V12" i="26"/>
  <c r="S12" i="28" s="1"/>
  <c r="Z10" i="26"/>
  <c r="T12" i="26"/>
  <c r="Q12" i="28" s="1"/>
  <c r="Q10" i="28"/>
  <c r="K15" i="9"/>
  <c r="L17" i="6"/>
  <c r="F5" i="4"/>
  <c r="X19" i="26"/>
  <c r="O19" i="28"/>
  <c r="X98" i="32"/>
  <c r="X22" i="12"/>
  <c r="AA22" i="12"/>
  <c r="AA217" i="32" s="1"/>
  <c r="X22" i="6"/>
  <c r="N15" i="9"/>
  <c r="T19" i="9"/>
  <c r="Q15" i="9"/>
  <c r="H15" i="9"/>
  <c r="Y19" i="26"/>
  <c r="P19" i="28"/>
  <c r="Z19" i="26"/>
  <c r="Q17" i="6"/>
  <c r="O17" i="13"/>
  <c r="O142" i="32" s="1"/>
  <c r="T17" i="13"/>
  <c r="W17" i="13" s="1"/>
  <c r="U17" i="13" s="1"/>
  <c r="U142" i="32" s="1"/>
  <c r="O220" i="32"/>
  <c r="H184" i="32"/>
  <c r="G19" i="9"/>
  <c r="H19" i="9" s="1"/>
  <c r="Q184" i="32"/>
  <c r="P19" i="9"/>
  <c r="Q19" i="9" s="1"/>
  <c r="K184" i="32"/>
  <c r="J19" i="9"/>
  <c r="K19" i="9" s="1"/>
  <c r="V218" i="32"/>
  <c r="Z218" i="32" s="1"/>
  <c r="N184" i="32"/>
  <c r="M19" i="9"/>
  <c r="N19" i="9" s="1"/>
  <c r="X218" i="32"/>
  <c r="AA218" i="32"/>
  <c r="W217" i="32"/>
  <c r="AC217" i="32" s="1"/>
  <c r="AC22" i="12"/>
  <c r="O22" i="6"/>
  <c r="AL72" i="23"/>
  <c r="AL74" i="23" s="1"/>
  <c r="AI20" i="8"/>
  <c r="AA184" i="32" s="1"/>
  <c r="W17" i="12"/>
  <c r="T141" i="32"/>
  <c r="F21" i="13"/>
  <c r="F203" i="32" s="1"/>
  <c r="G203" i="32"/>
  <c r="G205" i="32" s="1"/>
  <c r="O17" i="12"/>
  <c r="O141" i="32" s="1"/>
  <c r="P141" i="32"/>
  <c r="K205" i="32"/>
  <c r="R22" i="12"/>
  <c r="R217" i="32" s="1"/>
  <c r="S217" i="32"/>
  <c r="S220" i="32" s="1"/>
  <c r="AL26" i="3"/>
  <c r="AQ26" i="3"/>
  <c r="U14" i="6"/>
  <c r="U96" i="32"/>
  <c r="Y96" i="32" s="1"/>
  <c r="L26" i="26"/>
  <c r="I26" i="28" s="1"/>
  <c r="I24" i="28"/>
  <c r="Q26" i="26"/>
  <c r="N26" i="28" s="1"/>
  <c r="N24" i="28"/>
  <c r="AB25" i="24"/>
  <c r="AB11" i="8"/>
  <c r="L5" i="4"/>
  <c r="S15" i="28"/>
  <c r="AB15" i="26"/>
  <c r="AB24" i="26" s="1"/>
  <c r="AC15" i="26"/>
  <c r="V24" i="26"/>
  <c r="R15" i="26"/>
  <c r="J24" i="3"/>
  <c r="J26" i="3" s="1"/>
  <c r="S15" i="26"/>
  <c r="O24" i="3"/>
  <c r="O26" i="3" s="1"/>
  <c r="X15" i="28"/>
  <c r="AD15" i="28" s="1"/>
  <c r="AG15" i="26"/>
  <c r="Q15" i="28"/>
  <c r="T24" i="26"/>
  <c r="AP42" i="18"/>
  <c r="AL16" i="7" s="1"/>
  <c r="Y123" i="32" s="1"/>
  <c r="AN16" i="7"/>
  <c r="Y14" i="12"/>
  <c r="Z14" i="6"/>
  <c r="AL13" i="7"/>
  <c r="I5" i="4"/>
  <c r="Q27" i="7"/>
  <c r="I7" i="4" s="1"/>
  <c r="AB89" i="18"/>
  <c r="Y11" i="7"/>
  <c r="O63" i="32" s="1"/>
  <c r="O65" i="32" s="1"/>
  <c r="AC13" i="7"/>
  <c r="AC25" i="7"/>
  <c r="AA27" i="7"/>
  <c r="AA9" i="26"/>
  <c r="X9" i="28" s="1"/>
  <c r="X7" i="28"/>
  <c r="AD7" i="28" s="1"/>
  <c r="AG7" i="26"/>
  <c r="AA24" i="26"/>
  <c r="AB9" i="26"/>
  <c r="Y9" i="28" s="1"/>
  <c r="Y7" i="28"/>
  <c r="AE7" i="28" s="1"/>
  <c r="AH7" i="26"/>
  <c r="U26" i="26"/>
  <c r="R26" i="28" s="1"/>
  <c r="R24" i="28"/>
  <c r="H8" i="12"/>
  <c r="H43" i="32" s="1"/>
  <c r="AD9" i="26"/>
  <c r="AA9" i="28"/>
  <c r="H8" i="13"/>
  <c r="H46" i="32" s="1"/>
  <c r="H48" i="32" s="1"/>
  <c r="AD6" i="26"/>
  <c r="H5" i="12"/>
  <c r="H14" i="32" s="1"/>
  <c r="H16" i="32" s="1"/>
  <c r="H5" i="13"/>
  <c r="H17" i="32" s="1"/>
  <c r="AA6" i="28"/>
  <c r="U22" i="12"/>
  <c r="V22" i="6"/>
  <c r="N21" i="12"/>
  <c r="N202" i="32" s="1"/>
  <c r="J21" i="12"/>
  <c r="K21" i="6"/>
  <c r="F21" i="12"/>
  <c r="G21" i="6"/>
  <c r="J21" i="13"/>
  <c r="J203" i="32" s="1"/>
  <c r="N21" i="13"/>
  <c r="N203" i="32" s="1"/>
  <c r="AC4" i="9"/>
  <c r="G25" i="8"/>
  <c r="G27" i="8" s="1"/>
  <c r="F25" i="8"/>
  <c r="F27" i="8" s="1"/>
  <c r="H25" i="8"/>
  <c r="H27" i="8" s="1"/>
  <c r="D25" i="8"/>
  <c r="D27" i="8" s="1"/>
  <c r="E25" i="8"/>
  <c r="E27" i="8" s="1"/>
  <c r="AD91" i="18"/>
  <c r="AB91" i="18" s="1"/>
  <c r="O12" i="9"/>
  <c r="S22" i="6"/>
  <c r="H13" i="8"/>
  <c r="Z11" i="24"/>
  <c r="Z11" i="8" s="1"/>
  <c r="AB13" i="24"/>
  <c r="AA12" i="3"/>
  <c r="W13" i="24"/>
  <c r="Y13" i="8"/>
  <c r="AB6" i="9"/>
  <c r="Q20" i="24"/>
  <c r="Q20" i="8" s="1"/>
  <c r="I184" i="32" s="1"/>
  <c r="W16" i="24"/>
  <c r="W16" i="8" s="1"/>
  <c r="O124" i="32" s="1"/>
  <c r="V13" i="24"/>
  <c r="T11" i="24"/>
  <c r="T11" i="8" s="1"/>
  <c r="S13" i="24"/>
  <c r="Q11" i="24"/>
  <c r="Q11" i="8" s="1"/>
  <c r="E13" i="8"/>
  <c r="N6" i="9"/>
  <c r="K6" i="9"/>
  <c r="Q6" i="9"/>
  <c r="W20" i="24"/>
  <c r="W20" i="8" s="1"/>
  <c r="O184" i="32" s="1"/>
  <c r="P13" i="24"/>
  <c r="N11" i="24"/>
  <c r="N11" i="8" s="1"/>
  <c r="AJ44" i="23"/>
  <c r="AJ72" i="23" s="1"/>
  <c r="AJ74" i="23" s="1"/>
  <c r="AC9" i="9"/>
  <c r="H6" i="9"/>
  <c r="T16" i="24"/>
  <c r="T16" i="8" s="1"/>
  <c r="L124" i="32" s="1"/>
  <c r="Z16" i="24"/>
  <c r="Z16" i="8" s="1"/>
  <c r="R124" i="32" s="1"/>
  <c r="Q16" i="24"/>
  <c r="Q16" i="8" s="1"/>
  <c r="I124" i="32" s="1"/>
  <c r="N16" i="24"/>
  <c r="N16" i="8" s="1"/>
  <c r="F124" i="32" s="1"/>
  <c r="F13" i="8"/>
  <c r="T20" i="24"/>
  <c r="T20" i="8" s="1"/>
  <c r="L184" i="32" s="1"/>
  <c r="Z20" i="24"/>
  <c r="Z20" i="8" s="1"/>
  <c r="R184" i="32" s="1"/>
  <c r="D13" i="8"/>
  <c r="N20" i="24"/>
  <c r="N20" i="8" s="1"/>
  <c r="F184" i="32" s="1"/>
  <c r="AG7" i="8"/>
  <c r="S17" i="12"/>
  <c r="S141" i="32" s="1"/>
  <c r="P17" i="6"/>
  <c r="AA220" i="32" l="1"/>
  <c r="R220" i="32"/>
  <c r="X10" i="26"/>
  <c r="R12" i="26"/>
  <c r="O12" i="28" s="1"/>
  <c r="O10" i="28"/>
  <c r="Z12" i="26"/>
  <c r="W12" i="28" s="1"/>
  <c r="W10" i="28"/>
  <c r="AC10" i="28" s="1"/>
  <c r="AC12" i="28" s="1"/>
  <c r="AF10" i="26"/>
  <c r="AF12" i="26" s="1"/>
  <c r="Y10" i="26"/>
  <c r="S12" i="26"/>
  <c r="P12" i="28" s="1"/>
  <c r="P10" i="28"/>
  <c r="Z10" i="28"/>
  <c r="AF10" i="28" s="1"/>
  <c r="AF12" i="28" s="1"/>
  <c r="AC12" i="26"/>
  <c r="Z12" i="28" s="1"/>
  <c r="AI10" i="26"/>
  <c r="AI12" i="26" s="1"/>
  <c r="AB12" i="26"/>
  <c r="Y12" i="28" s="1"/>
  <c r="Y10" i="28"/>
  <c r="AE10" i="28" s="1"/>
  <c r="AE12" i="28" s="1"/>
  <c r="AH10" i="26"/>
  <c r="AH12" i="26" s="1"/>
  <c r="AA12" i="26"/>
  <c r="X12" i="28" s="1"/>
  <c r="X10" i="28"/>
  <c r="AD10" i="28" s="1"/>
  <c r="AD12" i="28" s="1"/>
  <c r="AG10" i="26"/>
  <c r="AG12" i="26" s="1"/>
  <c r="AC22" i="6"/>
  <c r="R17" i="13"/>
  <c r="R142" i="32" s="1"/>
  <c r="T17" i="6"/>
  <c r="Z22" i="12"/>
  <c r="Y22" i="12" s="1"/>
  <c r="Y217" i="32" s="1"/>
  <c r="Y220" i="32" s="1"/>
  <c r="U19" i="28"/>
  <c r="AA19" i="28" s="1"/>
  <c r="H20" i="13" s="1"/>
  <c r="AD19" i="26"/>
  <c r="H20" i="12" s="1"/>
  <c r="T142" i="32"/>
  <c r="O17" i="6"/>
  <c r="AA123" i="32"/>
  <c r="W19" i="28"/>
  <c r="AC19" i="28" s="1"/>
  <c r="AF19" i="26"/>
  <c r="V19" i="28"/>
  <c r="AB19" i="28" s="1"/>
  <c r="AE19" i="26"/>
  <c r="R22" i="6"/>
  <c r="X17" i="13"/>
  <c r="V220" i="32"/>
  <c r="W141" i="32"/>
  <c r="AC141" i="32" s="1"/>
  <c r="AC17" i="12"/>
  <c r="W17" i="6"/>
  <c r="X17" i="6" s="1"/>
  <c r="V17" i="12"/>
  <c r="V141" i="32" s="1"/>
  <c r="Z17" i="13"/>
  <c r="W142" i="32"/>
  <c r="AC142" i="32" s="1"/>
  <c r="AA17" i="12"/>
  <c r="AA141" i="32" s="1"/>
  <c r="W220" i="32"/>
  <c r="X17" i="12"/>
  <c r="X217" i="32"/>
  <c r="H23" i="32"/>
  <c r="H25" i="32" s="1"/>
  <c r="H19" i="32"/>
  <c r="U22" i="6"/>
  <c r="U217" i="32"/>
  <c r="U220" i="32" s="1"/>
  <c r="H45" i="32"/>
  <c r="H52" i="32"/>
  <c r="H54" i="32" s="1"/>
  <c r="F21" i="6"/>
  <c r="F202" i="32"/>
  <c r="F205" i="32" s="1"/>
  <c r="I21" i="12"/>
  <c r="I202" i="32" s="1"/>
  <c r="J202" i="32"/>
  <c r="J205" i="32" s="1"/>
  <c r="N205" i="32"/>
  <c r="Y14" i="6"/>
  <c r="Y95" i="32"/>
  <c r="Y98" i="32" s="1"/>
  <c r="U98" i="32"/>
  <c r="J21" i="6"/>
  <c r="Y15" i="26"/>
  <c r="P15" i="28"/>
  <c r="S24" i="26"/>
  <c r="T26" i="26"/>
  <c r="Q26" i="28" s="1"/>
  <c r="Q24" i="28"/>
  <c r="O15" i="28"/>
  <c r="X15" i="26"/>
  <c r="R24" i="26"/>
  <c r="S24" i="28"/>
  <c r="V26" i="26"/>
  <c r="S26" i="28" s="1"/>
  <c r="Z15" i="26"/>
  <c r="Z15" i="28"/>
  <c r="AF15" i="28" s="1"/>
  <c r="AI15" i="26"/>
  <c r="AI24" i="26" s="1"/>
  <c r="AI26" i="26" s="1"/>
  <c r="AC24" i="26"/>
  <c r="Y15" i="28"/>
  <c r="AE15" i="28" s="1"/>
  <c r="AH15" i="26"/>
  <c r="AH24" i="26" s="1"/>
  <c r="L24" i="9"/>
  <c r="R5" i="4"/>
  <c r="AC27" i="7"/>
  <c r="R7" i="4" s="1"/>
  <c r="Y13" i="7"/>
  <c r="Y25" i="7"/>
  <c r="H10" i="13"/>
  <c r="K8" i="13"/>
  <c r="K46" i="32" s="1"/>
  <c r="K48" i="32" s="1"/>
  <c r="G8" i="13"/>
  <c r="G46" i="32" s="1"/>
  <c r="G48" i="32" s="1"/>
  <c r="AE9" i="28"/>
  <c r="H10" i="12"/>
  <c r="K8" i="12"/>
  <c r="K43" i="32" s="1"/>
  <c r="H8" i="6"/>
  <c r="H10" i="6" s="1"/>
  <c r="AA26" i="26"/>
  <c r="X26" i="28" s="1"/>
  <c r="X24" i="28"/>
  <c r="AG9" i="26"/>
  <c r="AG24" i="26"/>
  <c r="AH9" i="26"/>
  <c r="AD9" i="28"/>
  <c r="AD24" i="28"/>
  <c r="AD26" i="28" s="1"/>
  <c r="Y24" i="28"/>
  <c r="AB26" i="26"/>
  <c r="Y26" i="28" s="1"/>
  <c r="G5" i="13"/>
  <c r="K5" i="13"/>
  <c r="K17" i="32" s="1"/>
  <c r="H7" i="13"/>
  <c r="K5" i="12"/>
  <c r="K14" i="32" s="1"/>
  <c r="K16" i="32" s="1"/>
  <c r="H7" i="12"/>
  <c r="G5" i="12"/>
  <c r="H5" i="6"/>
  <c r="H7" i="6" s="1"/>
  <c r="I21" i="13"/>
  <c r="Q21" i="13"/>
  <c r="Q203" i="32" s="1"/>
  <c r="M21" i="13"/>
  <c r="Q21" i="12"/>
  <c r="Q202" i="32" s="1"/>
  <c r="M21" i="12"/>
  <c r="M202" i="32" s="1"/>
  <c r="N21" i="6"/>
  <c r="O24" i="9"/>
  <c r="I24" i="9"/>
  <c r="F24" i="9"/>
  <c r="R24" i="9"/>
  <c r="W25" i="24"/>
  <c r="Q25" i="24"/>
  <c r="N25" i="24"/>
  <c r="AJ25" i="24"/>
  <c r="T25" i="24"/>
  <c r="Z25" i="24"/>
  <c r="Y25" i="8"/>
  <c r="Q8" i="4" s="1"/>
  <c r="P25" i="8"/>
  <c r="H8" i="4" s="1"/>
  <c r="V25" i="8"/>
  <c r="N8" i="4" s="1"/>
  <c r="AB25" i="8"/>
  <c r="T8" i="4" s="1"/>
  <c r="S25" i="8"/>
  <c r="K8" i="4" s="1"/>
  <c r="AA24" i="3"/>
  <c r="AA26" i="3" s="1"/>
  <c r="AF24" i="3"/>
  <c r="AF26" i="3" s="1"/>
  <c r="V24" i="3"/>
  <c r="V26" i="3" s="1"/>
  <c r="R12" i="9"/>
  <c r="Z13" i="24"/>
  <c r="AF12" i="3"/>
  <c r="AJ13" i="24"/>
  <c r="AH11" i="24"/>
  <c r="AG11" i="8" s="1"/>
  <c r="AB13" i="8"/>
  <c r="P12" i="9"/>
  <c r="W13" i="8"/>
  <c r="I12" i="9"/>
  <c r="N13" i="24"/>
  <c r="S13" i="8"/>
  <c r="Q13" i="24"/>
  <c r="T13" i="24"/>
  <c r="AC6" i="9"/>
  <c r="L12" i="9"/>
  <c r="AH20" i="24"/>
  <c r="AG20" i="8" s="1"/>
  <c r="Y184" i="32" s="1"/>
  <c r="V12" i="3"/>
  <c r="AH16" i="24"/>
  <c r="AG16" i="8" s="1"/>
  <c r="Y124" i="32" s="1"/>
  <c r="P13" i="8"/>
  <c r="V13" i="8"/>
  <c r="G13" i="13"/>
  <c r="G11" i="6"/>
  <c r="S17" i="6"/>
  <c r="R17" i="12"/>
  <c r="R141" i="32" s="1"/>
  <c r="AF24" i="28" l="1"/>
  <c r="AF26" i="28" s="1"/>
  <c r="AA17" i="6"/>
  <c r="K20" i="13"/>
  <c r="AE24" i="28"/>
  <c r="AE26" i="28" s="1"/>
  <c r="X12" i="26"/>
  <c r="U12" i="28" s="1"/>
  <c r="AD10" i="26"/>
  <c r="U10" i="28"/>
  <c r="AA10" i="28" s="1"/>
  <c r="Y12" i="26"/>
  <c r="V12" i="28" s="1"/>
  <c r="V10" i="28"/>
  <c r="AB10" i="28" s="1"/>
  <c r="AB12" i="28" s="1"/>
  <c r="AE10" i="26"/>
  <c r="AE12" i="26" s="1"/>
  <c r="K20" i="12"/>
  <c r="K186" i="32" s="1"/>
  <c r="Z22" i="6"/>
  <c r="Z217" i="32"/>
  <c r="Z220" i="32" s="1"/>
  <c r="G20" i="12"/>
  <c r="F20" i="12" s="1"/>
  <c r="F186" i="32" s="1"/>
  <c r="H186" i="32"/>
  <c r="H187" i="32"/>
  <c r="G20" i="13"/>
  <c r="V17" i="6"/>
  <c r="U17" i="12"/>
  <c r="U17" i="6" s="1"/>
  <c r="Z17" i="12"/>
  <c r="Z141" i="32" s="1"/>
  <c r="X141" i="32"/>
  <c r="N20" i="13"/>
  <c r="N187" i="32" s="1"/>
  <c r="Y22" i="6"/>
  <c r="AC17" i="6"/>
  <c r="X220" i="32"/>
  <c r="AC220" i="32"/>
  <c r="F5" i="12"/>
  <c r="F14" i="32" s="1"/>
  <c r="F16" i="32" s="1"/>
  <c r="G14" i="32"/>
  <c r="G16" i="32" s="1"/>
  <c r="F5" i="13"/>
  <c r="F17" i="32" s="1"/>
  <c r="G17" i="32"/>
  <c r="K23" i="32"/>
  <c r="K25" i="32" s="1"/>
  <c r="K19" i="32"/>
  <c r="Q205" i="32"/>
  <c r="L21" i="13"/>
  <c r="L203" i="32" s="1"/>
  <c r="M203" i="32"/>
  <c r="M205" i="32" s="1"/>
  <c r="I21" i="6"/>
  <c r="I203" i="32"/>
  <c r="I205" i="32" s="1"/>
  <c r="K52" i="32"/>
  <c r="K54" i="32" s="1"/>
  <c r="K45" i="32"/>
  <c r="R26" i="26"/>
  <c r="O26" i="28" s="1"/>
  <c r="O24" i="28"/>
  <c r="Z24" i="28"/>
  <c r="AC26" i="26"/>
  <c r="Z26" i="28" s="1"/>
  <c r="U15" i="28"/>
  <c r="AA15" i="28" s="1"/>
  <c r="AD15" i="26"/>
  <c r="X24" i="26"/>
  <c r="X26" i="26" s="1"/>
  <c r="W15" i="28"/>
  <c r="AC15" i="28" s="1"/>
  <c r="AC24" i="28" s="1"/>
  <c r="AC26" i="28" s="1"/>
  <c r="AF15" i="26"/>
  <c r="AF24" i="26" s="1"/>
  <c r="Z24" i="26"/>
  <c r="P24" i="28"/>
  <c r="S26" i="26"/>
  <c r="P26" i="28" s="1"/>
  <c r="V15" i="28"/>
  <c r="AB15" i="28" s="1"/>
  <c r="AE15" i="26"/>
  <c r="Y24" i="26"/>
  <c r="Y27" i="7"/>
  <c r="O7" i="4" s="1"/>
  <c r="O5" i="4"/>
  <c r="I8" i="12"/>
  <c r="N8" i="12"/>
  <c r="N43" i="32" s="1"/>
  <c r="K10" i="12"/>
  <c r="K8" i="6"/>
  <c r="K10" i="6" s="1"/>
  <c r="F8" i="13"/>
  <c r="G10" i="13"/>
  <c r="J8" i="13"/>
  <c r="J46" i="32" s="1"/>
  <c r="J48" i="32" s="1"/>
  <c r="N8" i="13"/>
  <c r="N46" i="32" s="1"/>
  <c r="N48" i="32" s="1"/>
  <c r="K10" i="13"/>
  <c r="G7" i="12"/>
  <c r="G5" i="6"/>
  <c r="K7" i="12"/>
  <c r="N5" i="12"/>
  <c r="N14" i="32" s="1"/>
  <c r="N16" i="32" s="1"/>
  <c r="J5" i="12"/>
  <c r="K5" i="6"/>
  <c r="K7" i="6" s="1"/>
  <c r="N5" i="13"/>
  <c r="N17" i="32" s="1"/>
  <c r="J5" i="13"/>
  <c r="J17" i="32" s="1"/>
  <c r="K7" i="13"/>
  <c r="L21" i="12"/>
  <c r="M21" i="6"/>
  <c r="T21" i="12"/>
  <c r="T202" i="32" s="1"/>
  <c r="P21" i="12"/>
  <c r="P202" i="32" s="1"/>
  <c r="Q21" i="6"/>
  <c r="T21" i="13"/>
  <c r="T203" i="32" s="1"/>
  <c r="P21" i="13"/>
  <c r="M24" i="9"/>
  <c r="G24" i="9"/>
  <c r="J24" i="9"/>
  <c r="P24" i="9"/>
  <c r="S24" i="9"/>
  <c r="AH25" i="24"/>
  <c r="T25" i="8"/>
  <c r="L8" i="4" s="1"/>
  <c r="AI25" i="8"/>
  <c r="AA8" i="4" s="1"/>
  <c r="W25" i="8"/>
  <c r="O8" i="4" s="1"/>
  <c r="Q25" i="8"/>
  <c r="I8" i="4" s="1"/>
  <c r="Z25" i="8"/>
  <c r="R8" i="4" s="1"/>
  <c r="N25" i="8"/>
  <c r="F8" i="4" s="1"/>
  <c r="S12" i="9"/>
  <c r="T12" i="9" s="1"/>
  <c r="AA12" i="9"/>
  <c r="AB10" i="9"/>
  <c r="AI13" i="8"/>
  <c r="AH13" i="24"/>
  <c r="Z13" i="8"/>
  <c r="Q12" i="9"/>
  <c r="G13" i="6"/>
  <c r="Q13" i="8"/>
  <c r="G12" i="9"/>
  <c r="AB15" i="9"/>
  <c r="J13" i="13"/>
  <c r="J11" i="6"/>
  <c r="T13" i="8"/>
  <c r="J12" i="9"/>
  <c r="N13" i="8"/>
  <c r="M12" i="9"/>
  <c r="AB19" i="9"/>
  <c r="Q24" i="9"/>
  <c r="R17" i="6"/>
  <c r="AB24" i="28" l="1"/>
  <c r="AB26" i="28" s="1"/>
  <c r="J20" i="12"/>
  <c r="J186" i="32" s="1"/>
  <c r="K187" i="32"/>
  <c r="K189" i="32" s="1"/>
  <c r="J20" i="13"/>
  <c r="N20" i="12"/>
  <c r="AA12" i="28"/>
  <c r="H11" i="13"/>
  <c r="AD12" i="26"/>
  <c r="H11" i="12"/>
  <c r="AE24" i="26"/>
  <c r="F7" i="12"/>
  <c r="J20" i="6"/>
  <c r="I20" i="12"/>
  <c r="I186" i="32" s="1"/>
  <c r="Y17" i="12"/>
  <c r="Y141" i="32" s="1"/>
  <c r="U141" i="32"/>
  <c r="H189" i="32"/>
  <c r="G187" i="32"/>
  <c r="F20" i="13"/>
  <c r="G186" i="32"/>
  <c r="G20" i="6"/>
  <c r="M20" i="13"/>
  <c r="L20" i="13" s="1"/>
  <c r="L187" i="32" s="1"/>
  <c r="Z17" i="6"/>
  <c r="Q20" i="13"/>
  <c r="Q187" i="32" s="1"/>
  <c r="N186" i="32"/>
  <c r="N189" i="32" s="1"/>
  <c r="M20" i="12"/>
  <c r="M186" i="32" s="1"/>
  <c r="Q20" i="12"/>
  <c r="F23" i="32"/>
  <c r="G23" i="32"/>
  <c r="F5" i="6"/>
  <c r="I5" i="12"/>
  <c r="I14" i="32" s="1"/>
  <c r="I16" i="32" s="1"/>
  <c r="J14" i="32"/>
  <c r="J16" i="32" s="1"/>
  <c r="F10" i="13"/>
  <c r="F46" i="32"/>
  <c r="F48" i="32" s="1"/>
  <c r="N23" i="32"/>
  <c r="N25" i="32" s="1"/>
  <c r="N19" i="32"/>
  <c r="T205" i="32"/>
  <c r="N52" i="32"/>
  <c r="N54" i="32" s="1"/>
  <c r="N45" i="32"/>
  <c r="I10" i="12"/>
  <c r="I43" i="32"/>
  <c r="L21" i="6"/>
  <c r="L202" i="32"/>
  <c r="L205" i="32" s="1"/>
  <c r="M187" i="32"/>
  <c r="O21" i="13"/>
  <c r="O203" i="32" s="1"/>
  <c r="P203" i="32"/>
  <c r="P205" i="32" s="1"/>
  <c r="Y26" i="26"/>
  <c r="V26" i="28" s="1"/>
  <c r="V24" i="28"/>
  <c r="H16" i="12"/>
  <c r="H126" i="32" s="1"/>
  <c r="AD24" i="26"/>
  <c r="AA24" i="28"/>
  <c r="AA26" i="28" s="1"/>
  <c r="H16" i="13"/>
  <c r="Z26" i="26"/>
  <c r="W26" i="28" s="1"/>
  <c r="W24" i="28"/>
  <c r="N24" i="9"/>
  <c r="I8" i="13"/>
  <c r="J10" i="13"/>
  <c r="L8" i="12"/>
  <c r="Q8" i="12"/>
  <c r="Q43" i="32" s="1"/>
  <c r="N10" i="12"/>
  <c r="N8" i="6"/>
  <c r="N10" i="6" s="1"/>
  <c r="Q8" i="13"/>
  <c r="Q46" i="32" s="1"/>
  <c r="Q48" i="32" s="1"/>
  <c r="M8" i="13"/>
  <c r="M46" i="32" s="1"/>
  <c r="M48" i="32" s="1"/>
  <c r="N10" i="13"/>
  <c r="I5" i="13"/>
  <c r="N7" i="12"/>
  <c r="Q5" i="12"/>
  <c r="Q14" i="32" s="1"/>
  <c r="Q16" i="32" s="1"/>
  <c r="M5" i="12"/>
  <c r="N5" i="6"/>
  <c r="N7" i="6" s="1"/>
  <c r="N7" i="13"/>
  <c r="Q5" i="13"/>
  <c r="Q17" i="32" s="1"/>
  <c r="M5" i="13"/>
  <c r="M17" i="32" s="1"/>
  <c r="J7" i="12"/>
  <c r="J5" i="6"/>
  <c r="W21" i="13"/>
  <c r="S21" i="13"/>
  <c r="O21" i="12"/>
  <c r="P21" i="6"/>
  <c r="W21" i="12"/>
  <c r="T21" i="6"/>
  <c r="S21" i="12"/>
  <c r="S202" i="32" s="1"/>
  <c r="K24" i="9"/>
  <c r="AB24" i="9"/>
  <c r="H24" i="9"/>
  <c r="T24" i="9"/>
  <c r="AG25" i="8"/>
  <c r="Y8" i="4" s="1"/>
  <c r="H12" i="9"/>
  <c r="AG13" i="8"/>
  <c r="AB12" i="9"/>
  <c r="AC10" i="9"/>
  <c r="K12" i="9"/>
  <c r="N12" i="9"/>
  <c r="T20" i="13"/>
  <c r="T187" i="32" s="1"/>
  <c r="J13" i="6"/>
  <c r="M13" i="13"/>
  <c r="M11" i="6"/>
  <c r="AC15" i="9"/>
  <c r="I86" i="20"/>
  <c r="H52" i="20"/>
  <c r="I20" i="13" l="1"/>
  <c r="I187" i="32" s="1"/>
  <c r="I189" i="32" s="1"/>
  <c r="J187" i="32"/>
  <c r="J189" i="32" s="1"/>
  <c r="Y17" i="6"/>
  <c r="H72" i="32"/>
  <c r="K11" i="12"/>
  <c r="H13" i="12"/>
  <c r="H11" i="6"/>
  <c r="H13" i="6" s="1"/>
  <c r="H75" i="32"/>
  <c r="H77" i="32" s="1"/>
  <c r="H13" i="13"/>
  <c r="K11" i="13"/>
  <c r="F11" i="13"/>
  <c r="M189" i="32"/>
  <c r="P20" i="13"/>
  <c r="O20" i="13" s="1"/>
  <c r="O187" i="32" s="1"/>
  <c r="M20" i="6"/>
  <c r="G189" i="32"/>
  <c r="F187" i="32"/>
  <c r="F189" i="32" s="1"/>
  <c r="F20" i="6"/>
  <c r="I7" i="12"/>
  <c r="L20" i="12"/>
  <c r="L186" i="32" s="1"/>
  <c r="L189" i="32" s="1"/>
  <c r="Q186" i="32"/>
  <c r="Q189" i="32" s="1"/>
  <c r="T20" i="12"/>
  <c r="P20" i="12"/>
  <c r="W202" i="32"/>
  <c r="AC202" i="32" s="1"/>
  <c r="AC21" i="12"/>
  <c r="L5" i="12"/>
  <c r="L14" i="32" s="1"/>
  <c r="L16" i="32" s="1"/>
  <c r="M14" i="32"/>
  <c r="M16" i="32" s="1"/>
  <c r="J23" i="32"/>
  <c r="H127" i="32"/>
  <c r="H129" i="32" s="1"/>
  <c r="H144" i="32"/>
  <c r="Q23" i="32"/>
  <c r="Q25" i="32" s="1"/>
  <c r="Q19" i="32"/>
  <c r="I10" i="13"/>
  <c r="I46" i="32"/>
  <c r="I48" i="32" s="1"/>
  <c r="W203" i="32"/>
  <c r="AC203" i="32" s="1"/>
  <c r="Z21" i="13"/>
  <c r="I5" i="6"/>
  <c r="I17" i="32"/>
  <c r="I23" i="32" s="1"/>
  <c r="R21" i="13"/>
  <c r="R203" i="32" s="1"/>
  <c r="S203" i="32"/>
  <c r="S205" i="32" s="1"/>
  <c r="Q52" i="32"/>
  <c r="Q54" i="32" s="1"/>
  <c r="Q45" i="32"/>
  <c r="L10" i="12"/>
  <c r="L43" i="32"/>
  <c r="O21" i="6"/>
  <c r="O202" i="32"/>
  <c r="O205" i="32" s="1"/>
  <c r="I45" i="32"/>
  <c r="W20" i="13"/>
  <c r="K16" i="13"/>
  <c r="G16" i="13"/>
  <c r="H25" i="13"/>
  <c r="K16" i="12"/>
  <c r="K126" i="32" s="1"/>
  <c r="G16" i="12"/>
  <c r="H25" i="12"/>
  <c r="H27" i="12" s="1"/>
  <c r="H16" i="6"/>
  <c r="Q8" i="6"/>
  <c r="Q10" i="6" s="1"/>
  <c r="P8" i="13"/>
  <c r="P46" i="32" s="1"/>
  <c r="P48" i="32" s="1"/>
  <c r="T8" i="13"/>
  <c r="T46" i="32" s="1"/>
  <c r="T48" i="32" s="1"/>
  <c r="Q10" i="13"/>
  <c r="Q10" i="12"/>
  <c r="T8" i="12"/>
  <c r="T43" i="32" s="1"/>
  <c r="O8" i="12"/>
  <c r="L8" i="13"/>
  <c r="M10" i="13"/>
  <c r="L5" i="13"/>
  <c r="L17" i="32" s="1"/>
  <c r="T5" i="12"/>
  <c r="T14" i="32" s="1"/>
  <c r="T16" i="32" s="1"/>
  <c r="Q7" i="12"/>
  <c r="P5" i="12"/>
  <c r="Q5" i="6"/>
  <c r="Q7" i="6" s="1"/>
  <c r="T5" i="13"/>
  <c r="T17" i="32" s="1"/>
  <c r="P5" i="13"/>
  <c r="Q7" i="13"/>
  <c r="M7" i="12"/>
  <c r="M5" i="6"/>
  <c r="V21" i="12"/>
  <c r="X21" i="12"/>
  <c r="AA21" i="12"/>
  <c r="AA202" i="32" s="1"/>
  <c r="W21" i="6"/>
  <c r="AC21" i="6" s="1"/>
  <c r="R21" i="12"/>
  <c r="S21" i="6"/>
  <c r="X21" i="13"/>
  <c r="V21" i="13"/>
  <c r="V203" i="32" s="1"/>
  <c r="Z203" i="32" s="1"/>
  <c r="P52" i="20"/>
  <c r="H85" i="20"/>
  <c r="AC12" i="9"/>
  <c r="S20" i="13"/>
  <c r="S187" i="32" s="1"/>
  <c r="M13" i="6"/>
  <c r="P13" i="13"/>
  <c r="P11" i="6"/>
  <c r="H25" i="6" l="1"/>
  <c r="I20" i="6"/>
  <c r="P187" i="32"/>
  <c r="K75" i="32"/>
  <c r="K77" i="32" s="1"/>
  <c r="N11" i="13"/>
  <c r="K13" i="13"/>
  <c r="I11" i="13"/>
  <c r="K72" i="32"/>
  <c r="K13" i="12"/>
  <c r="I11" i="12"/>
  <c r="N11" i="12"/>
  <c r="K11" i="6"/>
  <c r="K13" i="6" s="1"/>
  <c r="F75" i="32"/>
  <c r="F13" i="13"/>
  <c r="F11" i="6"/>
  <c r="F13" i="6" s="1"/>
  <c r="H74" i="32"/>
  <c r="H81" i="32"/>
  <c r="H83" i="32" s="1"/>
  <c r="L20" i="6"/>
  <c r="X202" i="32"/>
  <c r="P186" i="32"/>
  <c r="O20" i="12"/>
  <c r="O186" i="32" s="1"/>
  <c r="O189" i="32" s="1"/>
  <c r="S20" i="12"/>
  <c r="S20" i="6" s="1"/>
  <c r="W20" i="12"/>
  <c r="T186" i="32"/>
  <c r="T189" i="32" s="1"/>
  <c r="P20" i="6"/>
  <c r="L5" i="6"/>
  <c r="M23" i="32"/>
  <c r="L7" i="12"/>
  <c r="L23" i="32"/>
  <c r="AA203" i="32"/>
  <c r="AA205" i="32" s="1"/>
  <c r="X203" i="32"/>
  <c r="O5" i="12"/>
  <c r="O14" i="32" s="1"/>
  <c r="O16" i="32" s="1"/>
  <c r="P14" i="32"/>
  <c r="P16" i="32" s="1"/>
  <c r="W205" i="32"/>
  <c r="K127" i="32"/>
  <c r="K129" i="32" s="1"/>
  <c r="K144" i="32"/>
  <c r="G25" i="13"/>
  <c r="G17" i="4" s="1"/>
  <c r="G144" i="32"/>
  <c r="G127" i="32"/>
  <c r="O5" i="13"/>
  <c r="O17" i="32" s="1"/>
  <c r="P17" i="32"/>
  <c r="L10" i="13"/>
  <c r="L46" i="32"/>
  <c r="L48" i="32" s="1"/>
  <c r="W187" i="32"/>
  <c r="AC187" i="32" s="1"/>
  <c r="Z20" i="13"/>
  <c r="T23" i="32"/>
  <c r="T25" i="32" s="1"/>
  <c r="T19" i="32"/>
  <c r="I52" i="32"/>
  <c r="I54" i="32" s="1"/>
  <c r="R21" i="6"/>
  <c r="R202" i="32"/>
  <c r="R205" i="32" s="1"/>
  <c r="L45" i="32"/>
  <c r="O10" i="12"/>
  <c r="O43" i="32"/>
  <c r="U21" i="12"/>
  <c r="U202" i="32" s="1"/>
  <c r="V202" i="32"/>
  <c r="V205" i="32" s="1"/>
  <c r="T45" i="32"/>
  <c r="T52" i="32"/>
  <c r="T54" i="32" s="1"/>
  <c r="F16" i="12"/>
  <c r="F126" i="32" s="1"/>
  <c r="G126" i="32"/>
  <c r="V20" i="13"/>
  <c r="V187" i="32" s="1"/>
  <c r="X20" i="13"/>
  <c r="G16" i="6"/>
  <c r="G25" i="12"/>
  <c r="G27" i="12" s="1"/>
  <c r="J16" i="12"/>
  <c r="N16" i="12"/>
  <c r="N126" i="32" s="1"/>
  <c r="K16" i="6"/>
  <c r="K25" i="12"/>
  <c r="K27" i="12" s="1"/>
  <c r="H27" i="13"/>
  <c r="H19" i="4" s="1"/>
  <c r="H17" i="4"/>
  <c r="F16" i="13"/>
  <c r="N16" i="13"/>
  <c r="J16" i="13"/>
  <c r="K25" i="13"/>
  <c r="W8" i="12"/>
  <c r="T10" i="12"/>
  <c r="R8" i="12"/>
  <c r="T8" i="6"/>
  <c r="T10" i="6" s="1"/>
  <c r="S8" i="13"/>
  <c r="S46" i="32" s="1"/>
  <c r="S48" i="32" s="1"/>
  <c r="T10" i="13"/>
  <c r="W8" i="13"/>
  <c r="O8" i="13"/>
  <c r="P10" i="13"/>
  <c r="P7" i="12"/>
  <c r="P5" i="6"/>
  <c r="W5" i="12"/>
  <c r="S5" i="12"/>
  <c r="S14" i="32" s="1"/>
  <c r="S16" i="32" s="1"/>
  <c r="T7" i="12"/>
  <c r="T5" i="6"/>
  <c r="T7" i="6" s="1"/>
  <c r="W5" i="13"/>
  <c r="S5" i="13"/>
  <c r="S17" i="32" s="1"/>
  <c r="T7" i="13"/>
  <c r="X21" i="6"/>
  <c r="Z21" i="12"/>
  <c r="Z202" i="32" s="1"/>
  <c r="Z205" i="32" s="1"/>
  <c r="AA21" i="6"/>
  <c r="U21" i="13"/>
  <c r="U203" i="32" s="1"/>
  <c r="Y203" i="32" s="1"/>
  <c r="V21" i="6"/>
  <c r="R20" i="13"/>
  <c r="P13" i="6"/>
  <c r="S13" i="13"/>
  <c r="S11" i="6"/>
  <c r="Z11" i="6"/>
  <c r="H86" i="20"/>
  <c r="P189" i="32" l="1"/>
  <c r="K25" i="6"/>
  <c r="N72" i="32"/>
  <c r="Q11" i="12"/>
  <c r="N13" i="12"/>
  <c r="L11" i="12"/>
  <c r="N11" i="6"/>
  <c r="N13" i="6" s="1"/>
  <c r="I72" i="32"/>
  <c r="I13" i="12"/>
  <c r="I11" i="6"/>
  <c r="I13" i="6" s="1"/>
  <c r="F81" i="32"/>
  <c r="F83" i="32" s="1"/>
  <c r="F77" i="32"/>
  <c r="K74" i="32"/>
  <c r="K81" i="32"/>
  <c r="K83" i="32" s="1"/>
  <c r="I75" i="32"/>
  <c r="I77" i="32" s="1"/>
  <c r="I13" i="13"/>
  <c r="N75" i="32"/>
  <c r="N77" i="32" s="1"/>
  <c r="L11" i="13"/>
  <c r="Q11" i="13"/>
  <c r="N13" i="13"/>
  <c r="S23" i="32"/>
  <c r="O20" i="6"/>
  <c r="O5" i="6"/>
  <c r="O7" i="12"/>
  <c r="S186" i="32"/>
  <c r="S189" i="32" s="1"/>
  <c r="R20" i="12"/>
  <c r="R186" i="32" s="1"/>
  <c r="O23" i="32"/>
  <c r="V20" i="12"/>
  <c r="V186" i="32" s="1"/>
  <c r="V189" i="32" s="1"/>
  <c r="W186" i="32"/>
  <c r="W189" i="32" s="1"/>
  <c r="X189" i="32" s="1"/>
  <c r="X20" i="12"/>
  <c r="AC20" i="12"/>
  <c r="AA20" i="12"/>
  <c r="P23" i="32"/>
  <c r="G129" i="32"/>
  <c r="AA187" i="32"/>
  <c r="X187" i="32"/>
  <c r="W43" i="32"/>
  <c r="AC43" i="32" s="1"/>
  <c r="AC8" i="12"/>
  <c r="X205" i="32"/>
  <c r="AC205" i="32"/>
  <c r="AC5" i="12"/>
  <c r="W14" i="32"/>
  <c r="Z5" i="13"/>
  <c r="W17" i="32"/>
  <c r="AC17" i="32" s="1"/>
  <c r="L52" i="32"/>
  <c r="L54" i="32" s="1"/>
  <c r="O10" i="13"/>
  <c r="O46" i="32"/>
  <c r="O48" i="32" s="1"/>
  <c r="J25" i="13"/>
  <c r="J17" i="4" s="1"/>
  <c r="J127" i="32"/>
  <c r="J144" i="32"/>
  <c r="Z8" i="13"/>
  <c r="W46" i="32"/>
  <c r="AC46" i="32" s="1"/>
  <c r="N144" i="32"/>
  <c r="N127" i="32"/>
  <c r="N129" i="32" s="1"/>
  <c r="R5" i="13"/>
  <c r="R17" i="32" s="1"/>
  <c r="F25" i="13"/>
  <c r="F17" i="4" s="1"/>
  <c r="F144" i="32"/>
  <c r="F127" i="32"/>
  <c r="F129" i="32" s="1"/>
  <c r="F25" i="12"/>
  <c r="F27" i="12" s="1"/>
  <c r="I16" i="12"/>
  <c r="J126" i="32"/>
  <c r="R187" i="32"/>
  <c r="R10" i="12"/>
  <c r="R43" i="32"/>
  <c r="X20" i="6"/>
  <c r="AC20" i="6"/>
  <c r="U205" i="32"/>
  <c r="Z187" i="32"/>
  <c r="O45" i="32"/>
  <c r="U20" i="13"/>
  <c r="Q16" i="12"/>
  <c r="Q126" i="32" s="1"/>
  <c r="M16" i="12"/>
  <c r="N16" i="6"/>
  <c r="N25" i="6" s="1"/>
  <c r="N25" i="12"/>
  <c r="N27" i="12" s="1"/>
  <c r="M16" i="13"/>
  <c r="Q16" i="13"/>
  <c r="N25" i="13"/>
  <c r="J16" i="6"/>
  <c r="J25" i="12"/>
  <c r="J27" i="12" s="1"/>
  <c r="K27" i="13"/>
  <c r="K19" i="4" s="1"/>
  <c r="K17" i="4"/>
  <c r="F16" i="6"/>
  <c r="I16" i="13"/>
  <c r="R8" i="13"/>
  <c r="S10" i="13"/>
  <c r="V8" i="13"/>
  <c r="V46" i="32" s="1"/>
  <c r="W10" i="13"/>
  <c r="X8" i="13"/>
  <c r="AA8" i="12"/>
  <c r="AA43" i="32" s="1"/>
  <c r="W10" i="12"/>
  <c r="AC10" i="12" s="1"/>
  <c r="U8" i="12"/>
  <c r="U43" i="32" s="1"/>
  <c r="W8" i="6"/>
  <c r="V5" i="13"/>
  <c r="W7" i="13"/>
  <c r="X5" i="13"/>
  <c r="W7" i="12"/>
  <c r="X5" i="12"/>
  <c r="V5" i="12"/>
  <c r="AA5" i="12"/>
  <c r="AA14" i="32" s="1"/>
  <c r="AA16" i="32" s="1"/>
  <c r="W5" i="6"/>
  <c r="AC5" i="6" s="1"/>
  <c r="R5" i="12"/>
  <c r="R14" i="32" s="1"/>
  <c r="R16" i="32" s="1"/>
  <c r="S7" i="12"/>
  <c r="S5" i="6"/>
  <c r="Y21" i="12"/>
  <c r="Z21" i="6"/>
  <c r="U21" i="6"/>
  <c r="S13" i="6"/>
  <c r="Z13" i="6"/>
  <c r="L75" i="32" l="1"/>
  <c r="L77" i="32" s="1"/>
  <c r="L13" i="13"/>
  <c r="I74" i="32"/>
  <c r="I81" i="32"/>
  <c r="I83" i="32" s="1"/>
  <c r="L72" i="32"/>
  <c r="L13" i="12"/>
  <c r="L11" i="6"/>
  <c r="L13" i="6" s="1"/>
  <c r="Q72" i="32"/>
  <c r="O11" i="12"/>
  <c r="T11" i="12"/>
  <c r="Q13" i="12"/>
  <c r="Q11" i="6"/>
  <c r="Q13" i="6" s="1"/>
  <c r="Q75" i="32"/>
  <c r="Q77" i="32" s="1"/>
  <c r="T11" i="13"/>
  <c r="Q13" i="13"/>
  <c r="O11" i="13"/>
  <c r="N74" i="32"/>
  <c r="N81" i="32"/>
  <c r="N83" i="32" s="1"/>
  <c r="R20" i="6"/>
  <c r="V20" i="6"/>
  <c r="W45" i="32"/>
  <c r="AC45" i="32" s="1"/>
  <c r="R189" i="32"/>
  <c r="W52" i="32"/>
  <c r="AC52" i="32" s="1"/>
  <c r="AA186" i="32"/>
  <c r="Z20" i="12"/>
  <c r="Y20" i="12" s="1"/>
  <c r="U20" i="12"/>
  <c r="U186" i="32" s="1"/>
  <c r="AC186" i="32"/>
  <c r="X186" i="32"/>
  <c r="AC189" i="32"/>
  <c r="J129" i="32"/>
  <c r="U5" i="12"/>
  <c r="U14" i="32" s="1"/>
  <c r="U16" i="32" s="1"/>
  <c r="V14" i="32"/>
  <c r="V16" i="32" s="1"/>
  <c r="X7" i="12"/>
  <c r="AC7" i="12"/>
  <c r="R23" i="32"/>
  <c r="AC14" i="32"/>
  <c r="X14" i="32"/>
  <c r="W16" i="32"/>
  <c r="AA46" i="32"/>
  <c r="AA48" i="32" s="1"/>
  <c r="W48" i="32"/>
  <c r="X46" i="32"/>
  <c r="X10" i="13"/>
  <c r="Z10" i="13"/>
  <c r="Z46" i="32"/>
  <c r="Z48" i="32" s="1"/>
  <c r="V48" i="32"/>
  <c r="V52" i="32"/>
  <c r="V54" i="32" s="1"/>
  <c r="U5" i="13"/>
  <c r="V17" i="32"/>
  <c r="X7" i="13"/>
  <c r="Z7" i="13"/>
  <c r="R10" i="13"/>
  <c r="R46" i="32"/>
  <c r="R48" i="32" s="1"/>
  <c r="Q127" i="32"/>
  <c r="Q129" i="32" s="1"/>
  <c r="Q144" i="32"/>
  <c r="I127" i="32"/>
  <c r="I144" i="32"/>
  <c r="M25" i="13"/>
  <c r="M17" i="4" s="1"/>
  <c r="M144" i="32"/>
  <c r="M127" i="32"/>
  <c r="O52" i="32"/>
  <c r="O54" i="32" s="1"/>
  <c r="AA17" i="32"/>
  <c r="X17" i="32"/>
  <c r="W23" i="32"/>
  <c r="AC23" i="32" s="1"/>
  <c r="W19" i="32"/>
  <c r="W10" i="6"/>
  <c r="U45" i="32"/>
  <c r="R45" i="32"/>
  <c r="Y21" i="6"/>
  <c r="Y202" i="32"/>
  <c r="Y205" i="32" s="1"/>
  <c r="L16" i="12"/>
  <c r="M126" i="32"/>
  <c r="W54" i="32"/>
  <c r="X52" i="32"/>
  <c r="AA45" i="32"/>
  <c r="U187" i="32"/>
  <c r="I25" i="12"/>
  <c r="I27" i="12" s="1"/>
  <c r="I126" i="32"/>
  <c r="I16" i="6"/>
  <c r="I25" i="13"/>
  <c r="I17" i="4" s="1"/>
  <c r="T16" i="13"/>
  <c r="P16" i="13"/>
  <c r="Q25" i="13"/>
  <c r="N27" i="13"/>
  <c r="N19" i="4" s="1"/>
  <c r="N17" i="4"/>
  <c r="M16" i="6"/>
  <c r="M25" i="12"/>
  <c r="M27" i="12" s="1"/>
  <c r="L16" i="13"/>
  <c r="P16" i="12"/>
  <c r="T16" i="12"/>
  <c r="T126" i="32" s="1"/>
  <c r="Q16" i="6"/>
  <c r="Q25" i="12"/>
  <c r="Q27" i="12" s="1"/>
  <c r="Y8" i="12"/>
  <c r="AA10" i="12"/>
  <c r="U8" i="13"/>
  <c r="V10" i="13"/>
  <c r="V8" i="6"/>
  <c r="V10" i="6" s="1"/>
  <c r="U10" i="12"/>
  <c r="R7" i="12"/>
  <c r="R5" i="6"/>
  <c r="W7" i="6"/>
  <c r="X5" i="6"/>
  <c r="AA7" i="12"/>
  <c r="Z5" i="12"/>
  <c r="AA5" i="6"/>
  <c r="AA7" i="6" s="1"/>
  <c r="V7" i="13"/>
  <c r="V7" i="12"/>
  <c r="V5" i="6"/>
  <c r="F25" i="9"/>
  <c r="F26" i="9" s="1"/>
  <c r="O25" i="9"/>
  <c r="O26" i="9" s="1"/>
  <c r="R25" i="9"/>
  <c r="R26" i="9" s="1"/>
  <c r="I25" i="9"/>
  <c r="I26" i="9" s="1"/>
  <c r="L25" i="9"/>
  <c r="L26" i="9" s="1"/>
  <c r="Q25" i="6" l="1"/>
  <c r="Q74" i="32"/>
  <c r="Q81" i="32"/>
  <c r="Q83" i="32" s="1"/>
  <c r="R11" i="13"/>
  <c r="T13" i="13"/>
  <c r="W11" i="13"/>
  <c r="T75" i="32"/>
  <c r="T77" i="32" s="1"/>
  <c r="O75" i="32"/>
  <c r="O77" i="32" s="1"/>
  <c r="O13" i="13"/>
  <c r="L74" i="32"/>
  <c r="L81" i="32"/>
  <c r="L83" i="32" s="1"/>
  <c r="T13" i="12"/>
  <c r="W11" i="12"/>
  <c r="T72" i="32"/>
  <c r="R11" i="12"/>
  <c r="T11" i="6"/>
  <c r="T13" i="6" s="1"/>
  <c r="O72" i="32"/>
  <c r="O13" i="12"/>
  <c r="O11" i="6"/>
  <c r="O13" i="6" s="1"/>
  <c r="U7" i="12"/>
  <c r="U20" i="6"/>
  <c r="U5" i="6"/>
  <c r="U7" i="6" s="1"/>
  <c r="Z186" i="32"/>
  <c r="Z189" i="32" s="1"/>
  <c r="Z20" i="6"/>
  <c r="Y186" i="32"/>
  <c r="R52" i="32"/>
  <c r="R54" i="32" s="1"/>
  <c r="M129" i="32"/>
  <c r="Y5" i="12"/>
  <c r="Y14" i="32" s="1"/>
  <c r="Y16" i="32" s="1"/>
  <c r="Z14" i="32"/>
  <c r="Z16" i="32" s="1"/>
  <c r="X54" i="32"/>
  <c r="AC54" i="32"/>
  <c r="X48" i="32"/>
  <c r="AC48" i="32"/>
  <c r="X19" i="32"/>
  <c r="AC19" i="32"/>
  <c r="X16" i="32"/>
  <c r="AC16" i="32"/>
  <c r="P25" i="13"/>
  <c r="P17" i="4" s="1"/>
  <c r="P127" i="32"/>
  <c r="P144" i="32"/>
  <c r="T127" i="32"/>
  <c r="T129" i="32" s="1"/>
  <c r="T144" i="32"/>
  <c r="Z17" i="32"/>
  <c r="V23" i="32"/>
  <c r="V25" i="32" s="1"/>
  <c r="V19" i="32"/>
  <c r="L127" i="32"/>
  <c r="L144" i="32"/>
  <c r="AA23" i="32"/>
  <c r="AA25" i="32" s="1"/>
  <c r="AA19" i="32"/>
  <c r="U7" i="13"/>
  <c r="U17" i="32"/>
  <c r="U10" i="13"/>
  <c r="U46" i="32"/>
  <c r="I129" i="32"/>
  <c r="X23" i="32"/>
  <c r="W25" i="32"/>
  <c r="U8" i="6"/>
  <c r="U10" i="6" s="1"/>
  <c r="O16" i="12"/>
  <c r="P126" i="32"/>
  <c r="Y187" i="32"/>
  <c r="U189" i="32"/>
  <c r="X7" i="6"/>
  <c r="AC7" i="6"/>
  <c r="Y10" i="12"/>
  <c r="Y43" i="32"/>
  <c r="L25" i="12"/>
  <c r="L27" i="12" s="1"/>
  <c r="L126" i="32"/>
  <c r="O16" i="13"/>
  <c r="W16" i="12"/>
  <c r="S16" i="12"/>
  <c r="T16" i="6"/>
  <c r="T25" i="12"/>
  <c r="T27" i="12" s="1"/>
  <c r="Q27" i="13"/>
  <c r="Q19" i="4" s="1"/>
  <c r="Q17" i="4"/>
  <c r="P16" i="6"/>
  <c r="P25" i="12"/>
  <c r="P27" i="12" s="1"/>
  <c r="L16" i="6"/>
  <c r="L25" i="13"/>
  <c r="L17" i="4" s="1"/>
  <c r="S16" i="13"/>
  <c r="W16" i="13"/>
  <c r="T25" i="13"/>
  <c r="V7" i="6"/>
  <c r="Z7" i="12"/>
  <c r="Z5" i="6"/>
  <c r="AA25" i="9"/>
  <c r="O74" i="32" l="1"/>
  <c r="O81" i="32"/>
  <c r="O83" i="32" s="1"/>
  <c r="R72" i="32"/>
  <c r="R13" i="12"/>
  <c r="R11" i="6"/>
  <c r="R13" i="6" s="1"/>
  <c r="T74" i="32"/>
  <c r="T81" i="32"/>
  <c r="T83" i="32" s="1"/>
  <c r="U11" i="13"/>
  <c r="Z11" i="13"/>
  <c r="W75" i="32"/>
  <c r="W13" i="13"/>
  <c r="U11" i="12"/>
  <c r="AC11" i="12"/>
  <c r="AA11" i="12"/>
  <c r="W13" i="12"/>
  <c r="W72" i="32"/>
  <c r="W11" i="6"/>
  <c r="R75" i="32"/>
  <c r="R77" i="32" s="1"/>
  <c r="R13" i="13"/>
  <c r="T25" i="6"/>
  <c r="Y7" i="12"/>
  <c r="Y5" i="6"/>
  <c r="P129" i="32"/>
  <c r="L129" i="32"/>
  <c r="X25" i="32"/>
  <c r="AC25" i="32"/>
  <c r="W126" i="32"/>
  <c r="AC126" i="32" s="1"/>
  <c r="AC16" i="12"/>
  <c r="Y17" i="32"/>
  <c r="U23" i="32"/>
  <c r="U25" i="32" s="1"/>
  <c r="U19" i="32"/>
  <c r="Z23" i="32"/>
  <c r="Z25" i="32" s="1"/>
  <c r="Z19" i="32"/>
  <c r="Z16" i="13"/>
  <c r="W127" i="32"/>
  <c r="S25" i="13"/>
  <c r="S17" i="4" s="1"/>
  <c r="S127" i="32"/>
  <c r="S144" i="32"/>
  <c r="O16" i="6"/>
  <c r="O144" i="32"/>
  <c r="O127" i="32"/>
  <c r="Y46" i="32"/>
  <c r="Y48" i="32" s="1"/>
  <c r="U48" i="32"/>
  <c r="U52" i="32"/>
  <c r="U54" i="32" s="1"/>
  <c r="R16" i="12"/>
  <c r="S126" i="32"/>
  <c r="Y45" i="32"/>
  <c r="O25" i="12"/>
  <c r="O27" i="12" s="1"/>
  <c r="O126" i="32"/>
  <c r="O25" i="13"/>
  <c r="O17" i="4" s="1"/>
  <c r="R16" i="13"/>
  <c r="R25" i="13" s="1"/>
  <c r="R17" i="4" s="1"/>
  <c r="V16" i="13"/>
  <c r="U16" i="13" s="1"/>
  <c r="X16" i="13"/>
  <c r="W25" i="13"/>
  <c r="Z25" i="13" s="1"/>
  <c r="S16" i="6"/>
  <c r="S25" i="12"/>
  <c r="V16" i="12"/>
  <c r="V126" i="32" s="1"/>
  <c r="X16" i="12"/>
  <c r="AA16" i="12"/>
  <c r="AA126" i="32" s="1"/>
  <c r="W16" i="6"/>
  <c r="AC16" i="6" s="1"/>
  <c r="W25" i="12"/>
  <c r="AC25" i="12" s="1"/>
  <c r="T27" i="13"/>
  <c r="T19" i="4" s="1"/>
  <c r="T17" i="4"/>
  <c r="AC72" i="32" l="1"/>
  <c r="W74" i="32"/>
  <c r="W81" i="32"/>
  <c r="AC13" i="12"/>
  <c r="X13" i="12"/>
  <c r="AA72" i="32"/>
  <c r="Y11" i="12"/>
  <c r="AA13" i="12"/>
  <c r="AA11" i="6"/>
  <c r="AA13" i="6" s="1"/>
  <c r="U72" i="32"/>
  <c r="U13" i="12"/>
  <c r="Z13" i="13"/>
  <c r="X13" i="13"/>
  <c r="R74" i="32"/>
  <c r="R81" i="32"/>
  <c r="R83" i="32" s="1"/>
  <c r="AC75" i="32"/>
  <c r="AA75" i="32"/>
  <c r="AA77" i="32" s="1"/>
  <c r="W77" i="32"/>
  <c r="U11" i="6"/>
  <c r="U13" i="6" s="1"/>
  <c r="U75" i="32"/>
  <c r="U13" i="13"/>
  <c r="S27" i="12"/>
  <c r="S14" i="4"/>
  <c r="X11" i="6"/>
  <c r="AC11" i="6"/>
  <c r="W13" i="6"/>
  <c r="S129" i="32"/>
  <c r="O129" i="32"/>
  <c r="R16" i="6"/>
  <c r="X126" i="32"/>
  <c r="W129" i="32"/>
  <c r="AC127" i="32"/>
  <c r="AA142" i="32"/>
  <c r="AA144" i="32" s="1"/>
  <c r="X142" i="32"/>
  <c r="W144" i="32"/>
  <c r="U127" i="32"/>
  <c r="Y127" i="32" s="1"/>
  <c r="V25" i="13"/>
  <c r="V17" i="4" s="1"/>
  <c r="Z17" i="4" s="1"/>
  <c r="Z19" i="4" s="1"/>
  <c r="V127" i="32"/>
  <c r="Z127" i="32" s="1"/>
  <c r="R127" i="32"/>
  <c r="R144" i="32"/>
  <c r="AA127" i="32"/>
  <c r="AA129" i="32" s="1"/>
  <c r="X127" i="32"/>
  <c r="Y23" i="32"/>
  <c r="Y25" i="32" s="1"/>
  <c r="Y19" i="32"/>
  <c r="R25" i="12"/>
  <c r="R27" i="12" s="1"/>
  <c r="R126" i="32"/>
  <c r="U16" i="12"/>
  <c r="U16" i="6" s="1"/>
  <c r="U25" i="6" s="1"/>
  <c r="U27" i="6" s="1"/>
  <c r="V16" i="6"/>
  <c r="V25" i="6" s="1"/>
  <c r="V27" i="6" s="1"/>
  <c r="V25" i="12"/>
  <c r="U25" i="13"/>
  <c r="X25" i="12"/>
  <c r="W27" i="12"/>
  <c r="AC27" i="12" s="1"/>
  <c r="W14" i="4"/>
  <c r="AC14" i="4" s="1"/>
  <c r="X25" i="13"/>
  <c r="W17" i="4"/>
  <c r="AC17" i="4" s="1"/>
  <c r="W27" i="13"/>
  <c r="Z27" i="13" s="1"/>
  <c r="X16" i="6"/>
  <c r="W25" i="6"/>
  <c r="W27" i="6" s="1"/>
  <c r="Z16" i="12"/>
  <c r="Z126" i="32" s="1"/>
  <c r="AA16" i="6"/>
  <c r="AA25" i="12"/>
  <c r="AA27" i="12" s="1"/>
  <c r="C27" i="24"/>
  <c r="J25" i="24"/>
  <c r="Y72" i="32" l="1"/>
  <c r="Y13" i="12"/>
  <c r="Y11" i="6"/>
  <c r="Y13" i="6" s="1"/>
  <c r="AA74" i="32"/>
  <c r="AA81" i="32"/>
  <c r="AA83" i="32" s="1"/>
  <c r="U77" i="32"/>
  <c r="Y75" i="32"/>
  <c r="Y77" i="32" s="1"/>
  <c r="AC81" i="32"/>
  <c r="W83" i="32"/>
  <c r="X81" i="32"/>
  <c r="AC13" i="6"/>
  <c r="X13" i="6"/>
  <c r="X77" i="32"/>
  <c r="AC77" i="32"/>
  <c r="U74" i="32"/>
  <c r="U81" i="32"/>
  <c r="U83" i="32" s="1"/>
  <c r="X74" i="32"/>
  <c r="AC74" i="32"/>
  <c r="J27" i="24"/>
  <c r="AL27" i="24"/>
  <c r="R129" i="32"/>
  <c r="V27" i="13"/>
  <c r="V19" i="4" s="1"/>
  <c r="X129" i="32"/>
  <c r="AC129" i="32"/>
  <c r="X144" i="32"/>
  <c r="AC144" i="32"/>
  <c r="Z142" i="32"/>
  <c r="Z144" i="32" s="1"/>
  <c r="V144" i="32"/>
  <c r="V129" i="32"/>
  <c r="Z129" i="32"/>
  <c r="Y142" i="32"/>
  <c r="Y144" i="32" s="1"/>
  <c r="U144" i="32"/>
  <c r="U25" i="12"/>
  <c r="U27" i="12" s="1"/>
  <c r="U16" i="4" s="1"/>
  <c r="U126" i="32"/>
  <c r="U129" i="32" s="1"/>
  <c r="Y16" i="12"/>
  <c r="Y126" i="32" s="1"/>
  <c r="Y129" i="32" s="1"/>
  <c r="X27" i="12"/>
  <c r="W16" i="4"/>
  <c r="Z16" i="6"/>
  <c r="Z25" i="12"/>
  <c r="Z27" i="12" s="1"/>
  <c r="U27" i="13"/>
  <c r="U19" i="4" s="1"/>
  <c r="U17" i="4"/>
  <c r="Y17" i="4" s="1"/>
  <c r="Y19" i="4" s="1"/>
  <c r="X27" i="13"/>
  <c r="W19" i="4"/>
  <c r="V14" i="4"/>
  <c r="V23" i="4" s="1"/>
  <c r="V25" i="4" s="1"/>
  <c r="V27" i="12"/>
  <c r="V16" i="4" s="1"/>
  <c r="X14" i="4"/>
  <c r="W23" i="4"/>
  <c r="W25" i="4" s="1"/>
  <c r="X17" i="4"/>
  <c r="AA17" i="4"/>
  <c r="AA19" i="4" s="1"/>
  <c r="U24" i="28"/>
  <c r="O26" i="26"/>
  <c r="L24" i="28"/>
  <c r="M24" i="28" s="1"/>
  <c r="X83" i="32" l="1"/>
  <c r="AC83" i="32"/>
  <c r="Y74" i="32"/>
  <c r="Y81" i="32"/>
  <c r="Y83" i="32" s="1"/>
  <c r="U14" i="4"/>
  <c r="U23" i="4" s="1"/>
  <c r="U25" i="4" s="1"/>
  <c r="Y25" i="12"/>
  <c r="Y27" i="12" s="1"/>
  <c r="Y16" i="6"/>
  <c r="X19" i="4"/>
  <c r="AC19" i="4"/>
  <c r="X16" i="4"/>
  <c r="AC16" i="4"/>
  <c r="E74" i="23"/>
  <c r="G74" i="23"/>
  <c r="U26" i="28"/>
  <c r="L26" i="28"/>
  <c r="M26" i="28" s="1"/>
  <c r="H74" i="23"/>
  <c r="F74" i="23"/>
  <c r="G26" i="3"/>
  <c r="AO26" i="3" l="1"/>
  <c r="AS26" i="3"/>
  <c r="C27" i="8"/>
  <c r="I74" i="23"/>
  <c r="J27" i="8" l="1"/>
  <c r="AK27" i="8"/>
  <c r="AH26" i="26"/>
  <c r="AF26" i="26"/>
  <c r="AD26" i="26"/>
  <c r="AG26" i="26"/>
  <c r="AE26" i="26"/>
  <c r="H16" i="4" l="1"/>
  <c r="H14" i="4"/>
  <c r="F16" i="4" l="1"/>
  <c r="F14" i="4"/>
  <c r="K14" i="4"/>
  <c r="K16" i="4"/>
  <c r="G16" i="4"/>
  <c r="G14" i="4"/>
  <c r="N14" i="4" l="1"/>
  <c r="N16" i="4"/>
  <c r="J14" i="4"/>
  <c r="J16" i="4"/>
  <c r="Q16" i="4" l="1"/>
  <c r="Q14" i="4"/>
  <c r="M14" i="4"/>
  <c r="M16" i="4"/>
  <c r="I16" i="4"/>
  <c r="I14" i="4"/>
  <c r="T14" i="4" l="1"/>
  <c r="L14" i="4"/>
  <c r="L16" i="4"/>
  <c r="P16" i="4"/>
  <c r="P14" i="4"/>
  <c r="S16" i="4" l="1"/>
  <c r="AA14" i="4"/>
  <c r="AA16" i="4"/>
  <c r="T16" i="4"/>
  <c r="O14" i="4"/>
  <c r="O16" i="4"/>
  <c r="R14" i="4" l="1"/>
  <c r="R16" i="4"/>
  <c r="Z14" i="4"/>
  <c r="Z16" i="4"/>
  <c r="Y14" i="4" l="1"/>
  <c r="Y16" i="4"/>
  <c r="E267" i="31" l="1"/>
  <c r="E268" i="31" s="1"/>
  <c r="P29" i="20"/>
  <c r="P85" i="20"/>
  <c r="J86" i="20" l="1"/>
  <c r="P86" i="20" s="1"/>
  <c r="S19" i="24" l="1"/>
  <c r="S19" i="8" s="1"/>
  <c r="P19" i="24"/>
  <c r="P19" i="8" s="1"/>
  <c r="AB19" i="24"/>
  <c r="AB19" i="8" s="1"/>
  <c r="Y19" i="24"/>
  <c r="Y19" i="8" s="1"/>
  <c r="V19" i="24"/>
  <c r="V19" i="8" s="1"/>
  <c r="V18" i="24"/>
  <c r="V18" i="8" s="1"/>
  <c r="Y18" i="24"/>
  <c r="Y18" i="8" s="1"/>
  <c r="S18" i="24"/>
  <c r="S18" i="8" s="1"/>
  <c r="P18" i="24"/>
  <c r="P18" i="8" s="1"/>
  <c r="AB18" i="24"/>
  <c r="AB18" i="8" s="1"/>
  <c r="P46" i="24"/>
  <c r="P41" i="8" s="1"/>
  <c r="H306" i="32" s="1"/>
  <c r="H311" i="32" s="1"/>
  <c r="Y46" i="24"/>
  <c r="Y41" i="8" s="1"/>
  <c r="Q306" i="32" s="1"/>
  <c r="Q311" i="32" s="1"/>
  <c r="S46" i="24"/>
  <c r="S41" i="8" s="1"/>
  <c r="K306" i="32" s="1"/>
  <c r="K311" i="32" s="1"/>
  <c r="AB46" i="24"/>
  <c r="AB41" i="8" s="1"/>
  <c r="T306" i="32" s="1"/>
  <c r="T311" i="32" s="1"/>
  <c r="V46" i="24"/>
  <c r="V41" i="8" s="1"/>
  <c r="N306" i="32" s="1"/>
  <c r="N311" i="32" s="1"/>
  <c r="S15" i="24"/>
  <c r="S15" i="8" s="1"/>
  <c r="P15" i="8"/>
  <c r="V15" i="24"/>
  <c r="V15" i="8" s="1"/>
  <c r="Y15" i="24"/>
  <c r="Y15" i="8" s="1"/>
  <c r="AB15" i="24"/>
  <c r="AB15" i="8" s="1"/>
  <c r="S44" i="24"/>
  <c r="S39" i="8" s="1"/>
  <c r="K276" i="32" s="1"/>
  <c r="K281" i="32" s="1"/>
  <c r="V44" i="24"/>
  <c r="V39" i="8" s="1"/>
  <c r="N276" i="32" s="1"/>
  <c r="N281" i="32" s="1"/>
  <c r="Y44" i="24"/>
  <c r="Y39" i="8" s="1"/>
  <c r="Q276" i="32" s="1"/>
  <c r="Q281" i="32" s="1"/>
  <c r="P44" i="24"/>
  <c r="P39" i="8" s="1"/>
  <c r="H276" i="32" s="1"/>
  <c r="H281" i="32" s="1"/>
  <c r="AB44" i="24"/>
  <c r="AB39" i="8" s="1"/>
  <c r="T276" i="32" s="1"/>
  <c r="T281" i="32" s="1"/>
  <c r="S45" i="24"/>
  <c r="S40" i="8" s="1"/>
  <c r="K291" i="32" s="1"/>
  <c r="K296" i="32" s="1"/>
  <c r="Y45" i="24"/>
  <c r="Y40" i="8" s="1"/>
  <c r="Q291" i="32" s="1"/>
  <c r="Q296" i="32" s="1"/>
  <c r="P45" i="24"/>
  <c r="P40" i="8" s="1"/>
  <c r="H291" i="32" s="1"/>
  <c r="H296" i="32" s="1"/>
  <c r="V45" i="24"/>
  <c r="V40" i="8" s="1"/>
  <c r="N291" i="32" s="1"/>
  <c r="N296" i="32" s="1"/>
  <c r="AB45" i="24"/>
  <c r="AB40" i="8" s="1"/>
  <c r="T291" i="32" s="1"/>
  <c r="T296" i="32" s="1"/>
  <c r="Y48" i="24"/>
  <c r="P48" i="24"/>
  <c r="AB48" i="24"/>
  <c r="S48" i="24"/>
  <c r="V48" i="24"/>
  <c r="S43" i="24"/>
  <c r="S38" i="8" s="1"/>
  <c r="K261" i="32" s="1"/>
  <c r="K266" i="32" s="1"/>
  <c r="V43" i="24"/>
  <c r="V38" i="8" s="1"/>
  <c r="N261" i="32" s="1"/>
  <c r="N266" i="32" s="1"/>
  <c r="P43" i="24"/>
  <c r="P38" i="8" s="1"/>
  <c r="H261" i="32" s="1"/>
  <c r="H266" i="32" s="1"/>
  <c r="AB43" i="24"/>
  <c r="AB38" i="8" s="1"/>
  <c r="T261" i="32" s="1"/>
  <c r="T266" i="32" s="1"/>
  <c r="Y43" i="24"/>
  <c r="Y38" i="8" s="1"/>
  <c r="Q261" i="32" s="1"/>
  <c r="Q266" i="32" s="1"/>
  <c r="V47" i="24"/>
  <c r="V42" i="8" s="1"/>
  <c r="N321" i="32" s="1"/>
  <c r="N326" i="32" s="1"/>
  <c r="P47" i="24"/>
  <c r="P42" i="8" s="1"/>
  <c r="H321" i="32" s="1"/>
  <c r="H326" i="32" s="1"/>
  <c r="S47" i="24"/>
  <c r="S42" i="8" s="1"/>
  <c r="K321" i="32" s="1"/>
  <c r="K326" i="32" s="1"/>
  <c r="Y47" i="24"/>
  <c r="Y42" i="8" s="1"/>
  <c r="Q321" i="32" s="1"/>
  <c r="Q326" i="32" s="1"/>
  <c r="AB47" i="24"/>
  <c r="AB42" i="8" s="1"/>
  <c r="T321" i="32" s="1"/>
  <c r="T326" i="32" s="1"/>
  <c r="S24" i="24"/>
  <c r="S24" i="8" s="1"/>
  <c r="Y24" i="24"/>
  <c r="Y24" i="8" s="1"/>
  <c r="P24" i="24"/>
  <c r="P24" i="8" s="1"/>
  <c r="V24" i="24"/>
  <c r="V24" i="8" s="1"/>
  <c r="AB24" i="24"/>
  <c r="AB24" i="8" s="1"/>
  <c r="P23" i="24"/>
  <c r="P23" i="8" s="1"/>
  <c r="S23" i="24"/>
  <c r="S23" i="8" s="1"/>
  <c r="V23" i="24"/>
  <c r="V23" i="8" s="1"/>
  <c r="AB23" i="24"/>
  <c r="AB23" i="8" s="1"/>
  <c r="Y23" i="24"/>
  <c r="Y23" i="8" s="1"/>
  <c r="Y49" i="24" l="1"/>
  <c r="Y43" i="8"/>
  <c r="Q336" i="32" s="1"/>
  <c r="Q341" i="32" s="1"/>
  <c r="S49" i="24"/>
  <c r="S43" i="8"/>
  <c r="K336" i="32" s="1"/>
  <c r="K341" i="32" s="1"/>
  <c r="P49" i="24"/>
  <c r="P43" i="8"/>
  <c r="H336" i="32" s="1"/>
  <c r="H341" i="32" s="1"/>
  <c r="V49" i="24"/>
  <c r="V43" i="8"/>
  <c r="N336" i="32" s="1"/>
  <c r="N341" i="32" s="1"/>
  <c r="AB49" i="24"/>
  <c r="AB43" i="8"/>
  <c r="T336" i="32" s="1"/>
  <c r="T341" i="32" s="1"/>
  <c r="Q231" i="32"/>
  <c r="Q236" i="32" s="1"/>
  <c r="P22" i="9"/>
  <c r="Q22" i="9" s="1"/>
  <c r="H231" i="32"/>
  <c r="H236" i="32" s="1"/>
  <c r="G22" i="9"/>
  <c r="H22" i="9" s="1"/>
  <c r="T231" i="32"/>
  <c r="T236" i="32" s="1"/>
  <c r="S22" i="9"/>
  <c r="T22" i="9" s="1"/>
  <c r="K231" i="32"/>
  <c r="K236" i="32" s="1"/>
  <c r="J22" i="9"/>
  <c r="K22" i="9" s="1"/>
  <c r="N231" i="32"/>
  <c r="N236" i="32" s="1"/>
  <c r="M22" i="9"/>
  <c r="N22" i="9" s="1"/>
  <c r="S18" i="9"/>
  <c r="T18" i="9" s="1"/>
  <c r="T169" i="32"/>
  <c r="T174" i="32" s="1"/>
  <c r="Q169" i="32"/>
  <c r="Q174" i="32" s="1"/>
  <c r="P18" i="9"/>
  <c r="Q18" i="9" s="1"/>
  <c r="S17" i="9"/>
  <c r="T17" i="9" s="1"/>
  <c r="T154" i="32"/>
  <c r="T159" i="32" s="1"/>
  <c r="M17" i="9"/>
  <c r="N17" i="9" s="1"/>
  <c r="N154" i="32"/>
  <c r="N159" i="32" s="1"/>
  <c r="H169" i="32"/>
  <c r="H174" i="32" s="1"/>
  <c r="G18" i="9"/>
  <c r="H18" i="9" s="1"/>
  <c r="K154" i="32"/>
  <c r="K159" i="32" s="1"/>
  <c r="J17" i="9"/>
  <c r="K17" i="9" s="1"/>
  <c r="Q154" i="32"/>
  <c r="Q159" i="32" s="1"/>
  <c r="P17" i="9"/>
  <c r="Q17" i="9" s="1"/>
  <c r="H154" i="32"/>
  <c r="H159" i="32" s="1"/>
  <c r="G17" i="9"/>
  <c r="H17" i="9" s="1"/>
  <c r="N169" i="32"/>
  <c r="N174" i="32" s="1"/>
  <c r="M18" i="9"/>
  <c r="N18" i="9" s="1"/>
  <c r="K169" i="32"/>
  <c r="K174" i="32" s="1"/>
  <c r="J18" i="9"/>
  <c r="K18" i="9" s="1"/>
  <c r="T109" i="32"/>
  <c r="T114" i="32" s="1"/>
  <c r="S14" i="9"/>
  <c r="T14" i="9" s="1"/>
  <c r="Q109" i="32"/>
  <c r="Q114" i="32" s="1"/>
  <c r="P14" i="9"/>
  <c r="Q14" i="9" s="1"/>
  <c r="K109" i="32"/>
  <c r="K114" i="32" s="1"/>
  <c r="J14" i="9"/>
  <c r="K14" i="9" s="1"/>
  <c r="M14" i="9"/>
  <c r="N14" i="9" s="1"/>
  <c r="N109" i="32"/>
  <c r="N114" i="32" s="1"/>
  <c r="G14" i="9"/>
  <c r="H14" i="9" s="1"/>
  <c r="H109" i="32"/>
  <c r="H114" i="32" s="1"/>
  <c r="Q246" i="32"/>
  <c r="Q251" i="32" s="1"/>
  <c r="P23" i="9"/>
  <c r="Q23" i="9" s="1"/>
  <c r="T246" i="32"/>
  <c r="T251" i="32" s="1"/>
  <c r="S23" i="9"/>
  <c r="T23" i="9" s="1"/>
  <c r="K246" i="32"/>
  <c r="K251" i="32" s="1"/>
  <c r="J23" i="9"/>
  <c r="K23" i="9" s="1"/>
  <c r="H246" i="32"/>
  <c r="H251" i="32" s="1"/>
  <c r="G23" i="9"/>
  <c r="H23" i="9" s="1"/>
  <c r="M23" i="9"/>
  <c r="N23" i="9" s="1"/>
  <c r="N246" i="32"/>
  <c r="N251" i="32" s="1"/>
  <c r="S26" i="24"/>
  <c r="S27" i="24" s="1"/>
  <c r="AB26" i="24"/>
  <c r="AB27" i="24" s="1"/>
  <c r="Y26" i="24"/>
  <c r="Y27" i="24" s="1"/>
  <c r="V26" i="24"/>
  <c r="V27" i="24" s="1"/>
  <c r="P26" i="24"/>
  <c r="P27" i="24" s="1"/>
  <c r="T24" i="24"/>
  <c r="T24" i="8" s="1"/>
  <c r="L246" i="32" s="1"/>
  <c r="L251" i="32" s="1"/>
  <c r="Q43" i="24"/>
  <c r="Q38" i="8" s="1"/>
  <c r="I261" i="32" s="1"/>
  <c r="I266" i="32" s="1"/>
  <c r="N45" i="24"/>
  <c r="W15" i="24"/>
  <c r="W15" i="8" s="1"/>
  <c r="O109" i="32" s="1"/>
  <c r="O114" i="32" s="1"/>
  <c r="T46" i="24"/>
  <c r="W18" i="24"/>
  <c r="W18" i="8" s="1"/>
  <c r="O154" i="32" s="1"/>
  <c r="O159" i="32" s="1"/>
  <c r="Q19" i="24"/>
  <c r="Q19" i="8" s="1"/>
  <c r="I169" i="32" s="1"/>
  <c r="I174" i="32" s="1"/>
  <c r="Z24" i="24"/>
  <c r="Z24" i="8" s="1"/>
  <c r="R246" i="32" s="1"/>
  <c r="R251" i="32" s="1"/>
  <c r="Q47" i="24"/>
  <c r="T43" i="24"/>
  <c r="T38" i="8" s="1"/>
  <c r="L261" i="32" s="1"/>
  <c r="L266" i="32" s="1"/>
  <c r="Z48" i="24"/>
  <c r="T45" i="24"/>
  <c r="N44" i="24"/>
  <c r="Z15" i="24"/>
  <c r="Z15" i="8" s="1"/>
  <c r="R109" i="32" s="1"/>
  <c r="R114" i="32" s="1"/>
  <c r="Q15" i="8"/>
  <c r="I109" i="32" s="1"/>
  <c r="I114" i="32" s="1"/>
  <c r="W46" i="24"/>
  <c r="Q18" i="24"/>
  <c r="Q18" i="8" s="1"/>
  <c r="I154" i="32" s="1"/>
  <c r="I159" i="32" s="1"/>
  <c r="T19" i="24"/>
  <c r="T19" i="8" s="1"/>
  <c r="L169" i="32" s="1"/>
  <c r="L174" i="32" s="1"/>
  <c r="N19" i="24"/>
  <c r="N19" i="8" s="1"/>
  <c r="F169" i="32" s="1"/>
  <c r="F174" i="32" s="1"/>
  <c r="Z23" i="24"/>
  <c r="Z23" i="8" s="1"/>
  <c r="R231" i="32" s="1"/>
  <c r="R236" i="32" s="1"/>
  <c r="N23" i="24"/>
  <c r="N23" i="8" s="1"/>
  <c r="F231" i="32" s="1"/>
  <c r="F236" i="32" s="1"/>
  <c r="W24" i="24"/>
  <c r="W24" i="8" s="1"/>
  <c r="O246" i="32" s="1"/>
  <c r="O251" i="32" s="1"/>
  <c r="W47" i="24"/>
  <c r="N43" i="24"/>
  <c r="N38" i="8" s="1"/>
  <c r="F261" i="32" s="1"/>
  <c r="F266" i="32" s="1"/>
  <c r="Q48" i="24"/>
  <c r="Z45" i="24"/>
  <c r="Q45" i="24"/>
  <c r="Z44" i="24"/>
  <c r="Q44" i="24"/>
  <c r="N15" i="8"/>
  <c r="F109" i="32" s="1"/>
  <c r="F114" i="32" s="1"/>
  <c r="Q46" i="24"/>
  <c r="N18" i="24"/>
  <c r="N18" i="8" s="1"/>
  <c r="F154" i="32" s="1"/>
  <c r="F159" i="32" s="1"/>
  <c r="Z19" i="24"/>
  <c r="Z19" i="8" s="1"/>
  <c r="R169" i="32" s="1"/>
  <c r="R174" i="32" s="1"/>
  <c r="T23" i="24"/>
  <c r="T23" i="8" s="1"/>
  <c r="L231" i="32" s="1"/>
  <c r="L236" i="32" s="1"/>
  <c r="Q24" i="24"/>
  <c r="Q24" i="8" s="1"/>
  <c r="I246" i="32" s="1"/>
  <c r="I251" i="32" s="1"/>
  <c r="N47" i="24"/>
  <c r="W43" i="24"/>
  <c r="W38" i="8" s="1"/>
  <c r="O261" i="32" s="1"/>
  <c r="O266" i="32" s="1"/>
  <c r="N48" i="24"/>
  <c r="W44" i="24"/>
  <c r="N46" i="24"/>
  <c r="W19" i="24"/>
  <c r="W19" i="8" s="1"/>
  <c r="O169" i="32" s="1"/>
  <c r="O174" i="32" s="1"/>
  <c r="W23" i="24"/>
  <c r="W23" i="8" s="1"/>
  <c r="O231" i="32" s="1"/>
  <c r="O236" i="32" s="1"/>
  <c r="Q23" i="24"/>
  <c r="Q23" i="8" s="1"/>
  <c r="I231" i="32" s="1"/>
  <c r="I236" i="32" s="1"/>
  <c r="N24" i="24"/>
  <c r="N24" i="8" s="1"/>
  <c r="F246" i="32" s="1"/>
  <c r="F251" i="32" s="1"/>
  <c r="Z47" i="24"/>
  <c r="T47" i="24"/>
  <c r="Z43" i="24"/>
  <c r="Z38" i="8" s="1"/>
  <c r="R261" i="32" s="1"/>
  <c r="R266" i="32" s="1"/>
  <c r="T48" i="24"/>
  <c r="W48" i="24"/>
  <c r="W45" i="24"/>
  <c r="T44" i="24"/>
  <c r="T15" i="24"/>
  <c r="T15" i="8" s="1"/>
  <c r="L109" i="32" s="1"/>
  <c r="L114" i="32" s="1"/>
  <c r="Z46" i="24"/>
  <c r="Z18" i="24"/>
  <c r="Z18" i="8" s="1"/>
  <c r="R154" i="32" s="1"/>
  <c r="R159" i="32" s="1"/>
  <c r="T18" i="24"/>
  <c r="T18" i="8" s="1"/>
  <c r="L154" i="32" s="1"/>
  <c r="L159" i="32" s="1"/>
  <c r="W39" i="8" l="1"/>
  <c r="O276" i="32" s="1"/>
  <c r="O281" i="32" s="1"/>
  <c r="Q40" i="8"/>
  <c r="I291" i="32" s="1"/>
  <c r="I296" i="32" s="1"/>
  <c r="N40" i="8"/>
  <c r="F291" i="32" s="1"/>
  <c r="F296" i="32" s="1"/>
  <c r="T42" i="8"/>
  <c r="L321" i="32" s="1"/>
  <c r="L326" i="32" s="1"/>
  <c r="Z41" i="8"/>
  <c r="R306" i="32" s="1"/>
  <c r="R311" i="32" s="1"/>
  <c r="N39" i="8"/>
  <c r="F276" i="32" s="1"/>
  <c r="F281" i="32" s="1"/>
  <c r="Q42" i="8"/>
  <c r="I321" i="32" s="1"/>
  <c r="I326" i="32" s="1"/>
  <c r="T41" i="8"/>
  <c r="L306" i="32" s="1"/>
  <c r="L311" i="32" s="1"/>
  <c r="T39" i="8"/>
  <c r="L276" i="32" s="1"/>
  <c r="L281" i="32" s="1"/>
  <c r="Q41" i="8"/>
  <c r="I306" i="32" s="1"/>
  <c r="I311" i="32" s="1"/>
  <c r="W42" i="8"/>
  <c r="O321" i="32" s="1"/>
  <c r="O326" i="32" s="1"/>
  <c r="W40" i="8"/>
  <c r="O291" i="32" s="1"/>
  <c r="O296" i="32" s="1"/>
  <c r="Z40" i="8"/>
  <c r="R291" i="32" s="1"/>
  <c r="R296" i="32" s="1"/>
  <c r="Z42" i="8"/>
  <c r="R321" i="32" s="1"/>
  <c r="R326" i="32" s="1"/>
  <c r="Q39" i="8"/>
  <c r="I276" i="32" s="1"/>
  <c r="I281" i="32" s="1"/>
  <c r="N41" i="8"/>
  <c r="F306" i="32" s="1"/>
  <c r="F311" i="32" s="1"/>
  <c r="N42" i="8"/>
  <c r="F321" i="32" s="1"/>
  <c r="F326" i="32" s="1"/>
  <c r="Z39" i="8"/>
  <c r="R276" i="32" s="1"/>
  <c r="R281" i="32" s="1"/>
  <c r="W41" i="8"/>
  <c r="O306" i="32" s="1"/>
  <c r="O311" i="32" s="1"/>
  <c r="T40" i="8"/>
  <c r="L291" i="32" s="1"/>
  <c r="L296" i="32" s="1"/>
  <c r="Z49" i="24"/>
  <c r="Z43" i="8"/>
  <c r="R336" i="32" s="1"/>
  <c r="R341" i="32" s="1"/>
  <c r="N49" i="24"/>
  <c r="N43" i="8"/>
  <c r="F336" i="32" s="1"/>
  <c r="F341" i="32" s="1"/>
  <c r="W49" i="24"/>
  <c r="W43" i="8"/>
  <c r="O336" i="32" s="1"/>
  <c r="O341" i="32" s="1"/>
  <c r="Q49" i="24"/>
  <c r="Q43" i="8"/>
  <c r="I336" i="32" s="1"/>
  <c r="I341" i="32" s="1"/>
  <c r="T49" i="24"/>
  <c r="T43" i="8"/>
  <c r="L336" i="32" s="1"/>
  <c r="L341" i="32" s="1"/>
  <c r="Q26" i="24"/>
  <c r="Q27" i="24" s="1"/>
  <c r="T26" i="24"/>
  <c r="T27" i="24" s="1"/>
  <c r="Z26" i="24"/>
  <c r="Z27" i="24" s="1"/>
  <c r="N26" i="24"/>
  <c r="N27" i="24" s="1"/>
  <c r="AJ26" i="24"/>
  <c r="AJ27" i="24" s="1"/>
  <c r="W26" i="24"/>
  <c r="W27" i="24" s="1"/>
  <c r="F37" i="6"/>
  <c r="AB44" i="8"/>
  <c r="T36" i="4" s="1"/>
  <c r="T41" i="4" s="1"/>
  <c r="O37" i="6"/>
  <c r="P44" i="8"/>
  <c r="H36" i="4" s="1"/>
  <c r="H41" i="4" s="1"/>
  <c r="Y44" i="8"/>
  <c r="Q36" i="4" s="1"/>
  <c r="Q41" i="4" s="1"/>
  <c r="L37" i="6"/>
  <c r="V44" i="8"/>
  <c r="N36" i="4" s="1"/>
  <c r="N41" i="4" s="1"/>
  <c r="S44" i="8"/>
  <c r="K36" i="4" s="1"/>
  <c r="K41" i="4" s="1"/>
  <c r="R37" i="6"/>
  <c r="I37" i="6"/>
  <c r="AB26" i="8"/>
  <c r="V26" i="8"/>
  <c r="P26" i="8"/>
  <c r="S26" i="8"/>
  <c r="Y26" i="8"/>
  <c r="H42" i="6"/>
  <c r="G40" i="9"/>
  <c r="H40" i="9" s="1"/>
  <c r="J38" i="9"/>
  <c r="K38" i="9" s="1"/>
  <c r="K40" i="6"/>
  <c r="AH45" i="24"/>
  <c r="G35" i="9"/>
  <c r="H37" i="6"/>
  <c r="Q41" i="6"/>
  <c r="P39" i="9"/>
  <c r="Q39" i="9" s="1"/>
  <c r="T23" i="6"/>
  <c r="N19" i="6"/>
  <c r="K18" i="6"/>
  <c r="N39" i="6"/>
  <c r="M37" i="9"/>
  <c r="N37" i="9" s="1"/>
  <c r="T24" i="6"/>
  <c r="H24" i="6"/>
  <c r="T15" i="6"/>
  <c r="N37" i="6"/>
  <c r="M35" i="9"/>
  <c r="K41" i="6"/>
  <c r="J39" i="9"/>
  <c r="K39" i="9" s="1"/>
  <c r="K19" i="6"/>
  <c r="G37" i="9"/>
  <c r="H37" i="9" s="1"/>
  <c r="H39" i="6"/>
  <c r="N18" i="6"/>
  <c r="AH18" i="24"/>
  <c r="AG18" i="8" s="1"/>
  <c r="Y154" i="32" s="1"/>
  <c r="Y159" i="32" s="1"/>
  <c r="AH46" i="24"/>
  <c r="N38" i="6"/>
  <c r="M36" i="9"/>
  <c r="N36" i="9" s="1"/>
  <c r="P40" i="9"/>
  <c r="Q40" i="9" s="1"/>
  <c r="Q42" i="6"/>
  <c r="AH43" i="24"/>
  <c r="AG38" i="8" s="1"/>
  <c r="Y261" i="32" s="1"/>
  <c r="Y266" i="32" s="1"/>
  <c r="K23" i="6"/>
  <c r="Q37" i="6"/>
  <c r="P35" i="9"/>
  <c r="N23" i="6"/>
  <c r="AH19" i="24"/>
  <c r="AG19" i="8" s="1"/>
  <c r="Y169" i="32" s="1"/>
  <c r="Y174" i="32" s="1"/>
  <c r="H18" i="6"/>
  <c r="S36" i="9"/>
  <c r="T38" i="6"/>
  <c r="K39" i="6"/>
  <c r="J37" i="9"/>
  <c r="K37" i="9" s="1"/>
  <c r="J40" i="9"/>
  <c r="K40" i="9" s="1"/>
  <c r="K42" i="6"/>
  <c r="H38" i="6"/>
  <c r="G36" i="9"/>
  <c r="H36" i="9" s="1"/>
  <c r="N24" i="6"/>
  <c r="T18" i="6"/>
  <c r="Q39" i="6"/>
  <c r="P37" i="9"/>
  <c r="Q37" i="9" s="1"/>
  <c r="N42" i="6"/>
  <c r="M40" i="9"/>
  <c r="N40" i="9" s="1"/>
  <c r="H41" i="6"/>
  <c r="G39" i="9"/>
  <c r="H39" i="9" s="1"/>
  <c r="J36" i="9"/>
  <c r="K36" i="9" s="1"/>
  <c r="K38" i="6"/>
  <c r="AH48" i="24"/>
  <c r="K37" i="6"/>
  <c r="J35" i="9"/>
  <c r="T41" i="6"/>
  <c r="S39" i="9"/>
  <c r="H40" i="6"/>
  <c r="G38" i="9"/>
  <c r="H38" i="9" s="1"/>
  <c r="H15" i="6"/>
  <c r="P38" i="9"/>
  <c r="Q38" i="9" s="1"/>
  <c r="Q40" i="6"/>
  <c r="K15" i="6"/>
  <c r="T40" i="6"/>
  <c r="S38" i="9"/>
  <c r="N15" i="6"/>
  <c r="S35" i="9"/>
  <c r="T37" i="6"/>
  <c r="N41" i="6"/>
  <c r="M39" i="9"/>
  <c r="N39" i="9" s="1"/>
  <c r="AH47" i="24"/>
  <c r="Q23" i="6"/>
  <c r="Q19" i="6"/>
  <c r="Q38" i="6"/>
  <c r="P36" i="9"/>
  <c r="Q36" i="9" s="1"/>
  <c r="K24" i="6"/>
  <c r="T19" i="6"/>
  <c r="AH44" i="24"/>
  <c r="AG39" i="8" s="1"/>
  <c r="Y276" i="32" s="1"/>
  <c r="Y281" i="32" s="1"/>
  <c r="T39" i="6"/>
  <c r="S37" i="9"/>
  <c r="Q24" i="6"/>
  <c r="H23" i="6"/>
  <c r="AH23" i="24"/>
  <c r="AG23" i="8" s="1"/>
  <c r="Y231" i="32" s="1"/>
  <c r="Y236" i="32" s="1"/>
  <c r="H19" i="6"/>
  <c r="AH15" i="24"/>
  <c r="AG15" i="8" s="1"/>
  <c r="Y109" i="32" s="1"/>
  <c r="Y114" i="32" s="1"/>
  <c r="T42" i="6"/>
  <c r="S40" i="9"/>
  <c r="AH24" i="24"/>
  <c r="AG24" i="8" s="1"/>
  <c r="Y246" i="32" s="1"/>
  <c r="Y251" i="32" s="1"/>
  <c r="Q18" i="6"/>
  <c r="M38" i="9"/>
  <c r="N38" i="9" s="1"/>
  <c r="N40" i="6"/>
  <c r="Q15" i="6"/>
  <c r="N44" i="8" l="1"/>
  <c r="F36" i="4" s="1"/>
  <c r="F41" i="4" s="1"/>
  <c r="F42" i="6"/>
  <c r="O42" i="6"/>
  <c r="AG42" i="8"/>
  <c r="Y321" i="32" s="1"/>
  <c r="Y326" i="32" s="1"/>
  <c r="Q44" i="8"/>
  <c r="I36" i="4" s="1"/>
  <c r="I41" i="4" s="1"/>
  <c r="W44" i="8"/>
  <c r="O36" i="4" s="1"/>
  <c r="O41" i="4" s="1"/>
  <c r="L39" i="6"/>
  <c r="F40" i="6"/>
  <c r="O39" i="6"/>
  <c r="I40" i="6"/>
  <c r="L41" i="6"/>
  <c r="AG41" i="8"/>
  <c r="Y306" i="32" s="1"/>
  <c r="Y311" i="32" s="1"/>
  <c r="R38" i="6"/>
  <c r="R41" i="6"/>
  <c r="L40" i="6"/>
  <c r="F38" i="6"/>
  <c r="I39" i="6"/>
  <c r="AG40" i="8"/>
  <c r="Y291" i="32" s="1"/>
  <c r="Y296" i="32" s="1"/>
  <c r="O40" i="6"/>
  <c r="F41" i="6"/>
  <c r="I38" i="6"/>
  <c r="R39" i="6"/>
  <c r="O41" i="6"/>
  <c r="L38" i="6"/>
  <c r="I41" i="6"/>
  <c r="R40" i="6"/>
  <c r="F39" i="6"/>
  <c r="O38" i="6"/>
  <c r="AG43" i="8"/>
  <c r="Y336" i="32" s="1"/>
  <c r="Y341" i="32" s="1"/>
  <c r="Z44" i="8"/>
  <c r="R36" i="4" s="1"/>
  <c r="R41" i="4" s="1"/>
  <c r="T44" i="8"/>
  <c r="L36" i="4" s="1"/>
  <c r="L41" i="4" s="1"/>
  <c r="I42" i="6"/>
  <c r="L42" i="6"/>
  <c r="R42" i="6"/>
  <c r="H35" i="9"/>
  <c r="H41" i="9" s="1"/>
  <c r="G41" i="9"/>
  <c r="Q35" i="9"/>
  <c r="Q41" i="9" s="1"/>
  <c r="P41" i="9"/>
  <c r="N35" i="9"/>
  <c r="N41" i="9" s="1"/>
  <c r="M41" i="9"/>
  <c r="K35" i="9"/>
  <c r="K41" i="9" s="1"/>
  <c r="J41" i="9"/>
  <c r="S41" i="9"/>
  <c r="P27" i="8"/>
  <c r="H10" i="4" s="1"/>
  <c r="H9" i="4"/>
  <c r="H24" i="4" s="1"/>
  <c r="V27" i="8"/>
  <c r="N10" i="4" s="1"/>
  <c r="N9" i="4"/>
  <c r="N24" i="4" s="1"/>
  <c r="AB27" i="8"/>
  <c r="T10" i="4" s="1"/>
  <c r="T9" i="4"/>
  <c r="Y27" i="8"/>
  <c r="Q10" i="4" s="1"/>
  <c r="Q9" i="4"/>
  <c r="Q24" i="4" s="1"/>
  <c r="S27" i="8"/>
  <c r="K10" i="4" s="1"/>
  <c r="K9" i="4"/>
  <c r="K24" i="4" s="1"/>
  <c r="M25" i="9"/>
  <c r="M26" i="9" s="1"/>
  <c r="P25" i="9"/>
  <c r="P26" i="9" s="1"/>
  <c r="G25" i="9"/>
  <c r="G26" i="9" s="1"/>
  <c r="S25" i="9"/>
  <c r="S26" i="9" s="1"/>
  <c r="J25" i="9"/>
  <c r="J26" i="9" s="1"/>
  <c r="N26" i="6"/>
  <c r="N27" i="6" s="1"/>
  <c r="K43" i="6"/>
  <c r="Q43" i="6"/>
  <c r="N43" i="6"/>
  <c r="Q26" i="6"/>
  <c r="Q27" i="6" s="1"/>
  <c r="T43" i="6"/>
  <c r="H43" i="6"/>
  <c r="H26" i="6"/>
  <c r="H27" i="6" s="1"/>
  <c r="T26" i="6"/>
  <c r="T27" i="6" s="1"/>
  <c r="K26" i="6"/>
  <c r="K27" i="6" s="1"/>
  <c r="Y38" i="6"/>
  <c r="AH49" i="24"/>
  <c r="AH26" i="24"/>
  <c r="AH27" i="24" s="1"/>
  <c r="AI44" i="8"/>
  <c r="AA36" i="4" s="1"/>
  <c r="AA41" i="4" s="1"/>
  <c r="Y37" i="6"/>
  <c r="AI26" i="8"/>
  <c r="T26" i="8"/>
  <c r="N26" i="8"/>
  <c r="W26" i="8"/>
  <c r="Z26" i="8"/>
  <c r="Q26" i="8"/>
  <c r="I23" i="6"/>
  <c r="O23" i="6"/>
  <c r="AB23" i="9"/>
  <c r="AA24" i="6"/>
  <c r="O24" i="6"/>
  <c r="T36" i="9"/>
  <c r="AB17" i="9"/>
  <c r="AA18" i="6"/>
  <c r="R15" i="6"/>
  <c r="AA39" i="6"/>
  <c r="AB37" i="9"/>
  <c r="AC37" i="9" s="1"/>
  <c r="Q23" i="4"/>
  <c r="T40" i="9"/>
  <c r="T37" i="9"/>
  <c r="L23" i="6"/>
  <c r="F19" i="6"/>
  <c r="F18" i="6"/>
  <c r="T39" i="9"/>
  <c r="L15" i="6"/>
  <c r="AA42" i="6"/>
  <c r="AB40" i="9"/>
  <c r="AC40" i="9" s="1"/>
  <c r="I19" i="6"/>
  <c r="R24" i="6"/>
  <c r="I15" i="6"/>
  <c r="F15" i="6"/>
  <c r="H23" i="4"/>
  <c r="T38" i="9"/>
  <c r="I24" i="6"/>
  <c r="AA37" i="6"/>
  <c r="AB35" i="9"/>
  <c r="I18" i="6"/>
  <c r="R19" i="6"/>
  <c r="L18" i="6"/>
  <c r="N23" i="4"/>
  <c r="AA41" i="6"/>
  <c r="AB39" i="9"/>
  <c r="AC39" i="9" s="1"/>
  <c r="R18" i="6"/>
  <c r="K23" i="4"/>
  <c r="R23" i="6"/>
  <c r="O19" i="6"/>
  <c r="AA15" i="6"/>
  <c r="AB14" i="9"/>
  <c r="AA23" i="6"/>
  <c r="AB22" i="9"/>
  <c r="AB36" i="9"/>
  <c r="AC36" i="9" s="1"/>
  <c r="AA38" i="6"/>
  <c r="T35" i="9"/>
  <c r="O15" i="6"/>
  <c r="L19" i="6"/>
  <c r="AA19" i="6"/>
  <c r="AB18" i="9"/>
  <c r="AA40" i="6"/>
  <c r="AB38" i="9"/>
  <c r="AC38" i="9" s="1"/>
  <c r="L24" i="6"/>
  <c r="O18" i="6"/>
  <c r="F23" i="6"/>
  <c r="F24" i="6"/>
  <c r="F43" i="6" l="1"/>
  <c r="I43" i="6"/>
  <c r="R43" i="6"/>
  <c r="O43" i="6"/>
  <c r="L43" i="6"/>
  <c r="Y40" i="6"/>
  <c r="Y39" i="6"/>
  <c r="Y41" i="6"/>
  <c r="AG44" i="8"/>
  <c r="Y36" i="4" s="1"/>
  <c r="Y41" i="4" s="1"/>
  <c r="Y42" i="6"/>
  <c r="T41" i="9"/>
  <c r="AC35" i="9"/>
  <c r="AC41" i="9" s="1"/>
  <c r="AB41" i="9"/>
  <c r="N25" i="4"/>
  <c r="W27" i="8"/>
  <c r="O10" i="4" s="1"/>
  <c r="O9" i="4"/>
  <c r="N27" i="8"/>
  <c r="F10" i="4" s="1"/>
  <c r="F9" i="4"/>
  <c r="T27" i="8"/>
  <c r="L10" i="4" s="1"/>
  <c r="L9" i="4"/>
  <c r="AI27" i="8"/>
  <c r="AA10" i="4" s="1"/>
  <c r="AA9" i="4"/>
  <c r="AA24" i="4" s="1"/>
  <c r="Q27" i="8"/>
  <c r="I10" i="4" s="1"/>
  <c r="I9" i="4"/>
  <c r="Z27" i="8"/>
  <c r="R10" i="4" s="1"/>
  <c r="R9" i="4"/>
  <c r="H25" i="9"/>
  <c r="H26" i="9" s="1"/>
  <c r="K25" i="9"/>
  <c r="K26" i="9" s="1"/>
  <c r="N25" i="9"/>
  <c r="N26" i="9" s="1"/>
  <c r="AB25" i="9"/>
  <c r="AB26" i="9" s="1"/>
  <c r="Q25" i="9"/>
  <c r="Q26" i="9" s="1"/>
  <c r="T25" i="9"/>
  <c r="T26" i="9" s="1"/>
  <c r="AA43" i="6"/>
  <c r="AA26" i="6"/>
  <c r="H25" i="4"/>
  <c r="K25" i="4"/>
  <c r="Q25" i="4"/>
  <c r="AG26" i="8"/>
  <c r="T24" i="4"/>
  <c r="AC17" i="9"/>
  <c r="Y18" i="6"/>
  <c r="Y24" i="6"/>
  <c r="AC14" i="9"/>
  <c r="AC18" i="9"/>
  <c r="Y15" i="6"/>
  <c r="Y23" i="6"/>
  <c r="AC22" i="9"/>
  <c r="T23" i="4"/>
  <c r="Y19" i="6"/>
  <c r="AC23" i="9"/>
  <c r="Y43" i="6" l="1"/>
  <c r="AG27" i="8"/>
  <c r="Y10" i="4" s="1"/>
  <c r="Y9" i="4"/>
  <c r="AC25" i="9"/>
  <c r="T25" i="4"/>
  <c r="R46" i="31" l="1"/>
  <c r="S245" i="31"/>
  <c r="S246" i="31" s="1"/>
  <c r="R47" i="31"/>
  <c r="S47" i="31" l="1"/>
  <c r="S68" i="31"/>
  <c r="D69" i="31"/>
  <c r="R69" i="31" l="1"/>
  <c r="V69" i="31"/>
  <c r="X8" i="11"/>
  <c r="E25" i="11"/>
  <c r="S267" i="31"/>
  <c r="S268" i="31" s="1"/>
  <c r="AI8" i="11"/>
  <c r="AA40" i="32" s="1"/>
  <c r="S69" i="31"/>
  <c r="D25" i="11"/>
  <c r="F8" i="11"/>
  <c r="E10" i="11"/>
  <c r="X10" i="11" s="1"/>
  <c r="E8" i="6"/>
  <c r="AC8" i="6" s="1"/>
  <c r="D27" i="11" l="1"/>
  <c r="D13" i="4" s="1"/>
  <c r="D11" i="4"/>
  <c r="F25" i="11"/>
  <c r="F40" i="32"/>
  <c r="E27" i="11"/>
  <c r="E11" i="4"/>
  <c r="AK25" i="11"/>
  <c r="I13" i="4"/>
  <c r="I11" i="4"/>
  <c r="AA42" i="32"/>
  <c r="AA52" i="32"/>
  <c r="AA54" i="32" s="1"/>
  <c r="R13" i="4"/>
  <c r="R11" i="4"/>
  <c r="L13" i="4"/>
  <c r="L11" i="4"/>
  <c r="O13" i="4"/>
  <c r="O11" i="4"/>
  <c r="X8" i="6"/>
  <c r="E25" i="6"/>
  <c r="AC25" i="6" s="1"/>
  <c r="AG8" i="11"/>
  <c r="AI25" i="11"/>
  <c r="X25" i="11"/>
  <c r="E10" i="6"/>
  <c r="J8" i="11"/>
  <c r="I8" i="6"/>
  <c r="I25" i="6" s="1"/>
  <c r="D10" i="11"/>
  <c r="D8" i="6"/>
  <c r="D25" i="6" s="1"/>
  <c r="S8" i="11"/>
  <c r="R8" i="6"/>
  <c r="R25" i="6" s="1"/>
  <c r="M8" i="11"/>
  <c r="L8" i="6"/>
  <c r="L25" i="6" s="1"/>
  <c r="X27" i="11"/>
  <c r="F10" i="11"/>
  <c r="G8" i="11"/>
  <c r="F8" i="6"/>
  <c r="F25" i="6" s="1"/>
  <c r="P8" i="11"/>
  <c r="O8" i="6"/>
  <c r="O25" i="6" s="1"/>
  <c r="AI10" i="11"/>
  <c r="AA8" i="6"/>
  <c r="X10" i="6" l="1"/>
  <c r="AC10" i="6"/>
  <c r="X11" i="4"/>
  <c r="AC11" i="4"/>
  <c r="J25" i="11"/>
  <c r="J40" i="32"/>
  <c r="AI27" i="11"/>
  <c r="AA13" i="4" s="1"/>
  <c r="AA11" i="4"/>
  <c r="E13" i="4"/>
  <c r="AK27" i="11"/>
  <c r="F52" i="32"/>
  <c r="F54" i="32" s="1"/>
  <c r="F42" i="32"/>
  <c r="AG25" i="11"/>
  <c r="Y40" i="32"/>
  <c r="F27" i="11"/>
  <c r="F13" i="4" s="1"/>
  <c r="F11" i="4"/>
  <c r="F23" i="4" s="1"/>
  <c r="G25" i="11"/>
  <c r="G40" i="32"/>
  <c r="M25" i="11"/>
  <c r="M40" i="32"/>
  <c r="P25" i="11"/>
  <c r="P40" i="32"/>
  <c r="S25" i="11"/>
  <c r="S40" i="32"/>
  <c r="E27" i="6"/>
  <c r="X25" i="6"/>
  <c r="AH8" i="11"/>
  <c r="AG10" i="11"/>
  <c r="Y8" i="6"/>
  <c r="R10" i="6"/>
  <c r="S10" i="11"/>
  <c r="S8" i="6"/>
  <c r="S25" i="6" s="1"/>
  <c r="L10" i="6"/>
  <c r="D10" i="6"/>
  <c r="I23" i="4"/>
  <c r="P10" i="11"/>
  <c r="P8" i="6"/>
  <c r="P25" i="6" s="1"/>
  <c r="E23" i="4"/>
  <c r="M10" i="11"/>
  <c r="M8" i="6"/>
  <c r="M25" i="6" s="1"/>
  <c r="I10" i="6"/>
  <c r="J10" i="11"/>
  <c r="J8" i="6"/>
  <c r="J25" i="6" s="1"/>
  <c r="O10" i="6"/>
  <c r="AA10" i="6"/>
  <c r="O23" i="4"/>
  <c r="F10" i="6"/>
  <c r="G10" i="11"/>
  <c r="G8" i="6"/>
  <c r="G25" i="6" s="1"/>
  <c r="L23" i="4"/>
  <c r="R23" i="4"/>
  <c r="D23" i="4"/>
  <c r="P52" i="32" l="1"/>
  <c r="P54" i="32" s="1"/>
  <c r="P42" i="32"/>
  <c r="G42" i="32"/>
  <c r="G52" i="32"/>
  <c r="G54" i="32" s="1"/>
  <c r="S42" i="32"/>
  <c r="S52" i="32"/>
  <c r="S54" i="32" s="1"/>
  <c r="S27" i="11"/>
  <c r="S13" i="4" s="1"/>
  <c r="S11" i="4"/>
  <c r="S23" i="4" s="1"/>
  <c r="M52" i="32"/>
  <c r="M54" i="32" s="1"/>
  <c r="M42" i="32"/>
  <c r="G27" i="11"/>
  <c r="G13" i="4" s="1"/>
  <c r="G11" i="4"/>
  <c r="G23" i="4" s="1"/>
  <c r="AC13" i="4"/>
  <c r="X13" i="4"/>
  <c r="J42" i="32"/>
  <c r="J52" i="32"/>
  <c r="J54" i="32" s="1"/>
  <c r="Y42" i="32"/>
  <c r="Y52" i="32"/>
  <c r="Y54" i="32" s="1"/>
  <c r="P27" i="11"/>
  <c r="P13" i="4" s="1"/>
  <c r="P11" i="4"/>
  <c r="P23" i="4" s="1"/>
  <c r="AG27" i="11"/>
  <c r="Y13" i="4" s="1"/>
  <c r="Y11" i="4"/>
  <c r="J27" i="11"/>
  <c r="J13" i="4" s="1"/>
  <c r="J11" i="4"/>
  <c r="J23" i="4" s="1"/>
  <c r="AH25" i="11"/>
  <c r="Z40" i="32"/>
  <c r="M27" i="11"/>
  <c r="M13" i="4" s="1"/>
  <c r="M11" i="4"/>
  <c r="M23" i="4" s="1"/>
  <c r="X27" i="6"/>
  <c r="AC27" i="6"/>
  <c r="X23" i="4"/>
  <c r="AC23" i="4"/>
  <c r="Y10" i="6"/>
  <c r="AH10" i="11"/>
  <c r="Z8" i="6"/>
  <c r="P10" i="6"/>
  <c r="S10" i="6"/>
  <c r="J10" i="6"/>
  <c r="M10" i="6"/>
  <c r="G10" i="6"/>
  <c r="E25" i="4"/>
  <c r="Z52" i="32" l="1"/>
  <c r="Z54" i="32" s="1"/>
  <c r="Z42" i="32"/>
  <c r="AH27" i="11"/>
  <c r="Z13" i="4" s="1"/>
  <c r="Z11" i="4"/>
  <c r="Z23" i="4" s="1"/>
  <c r="X25" i="4"/>
  <c r="AC25" i="4"/>
  <c r="Z10" i="6"/>
  <c r="Z25" i="6"/>
  <c r="F26" i="30" l="1"/>
  <c r="D68" i="31"/>
  <c r="F10" i="30"/>
  <c r="K10" i="30" s="1"/>
  <c r="K26" i="30" l="1"/>
  <c r="P26" i="30"/>
  <c r="R68" i="31"/>
  <c r="V68" i="31"/>
  <c r="D256" i="31"/>
  <c r="V256" i="31" s="1"/>
  <c r="D257" i="31" l="1"/>
  <c r="R256" i="31"/>
  <c r="D245" i="31"/>
  <c r="F11" i="30"/>
  <c r="F25" i="30" s="1"/>
  <c r="D104" i="31"/>
  <c r="F27" i="30" l="1"/>
  <c r="K25" i="30"/>
  <c r="R104" i="31"/>
  <c r="V104" i="31"/>
  <c r="R245" i="31"/>
  <c r="V245" i="31"/>
  <c r="R257" i="31"/>
  <c r="V257" i="31"/>
  <c r="D246" i="31"/>
  <c r="F13" i="30"/>
  <c r="D267" i="31"/>
  <c r="V267" i="31" s="1"/>
  <c r="K13" i="30" l="1"/>
  <c r="P13" i="30"/>
  <c r="K27" i="30"/>
  <c r="P27" i="30"/>
  <c r="R246" i="31"/>
  <c r="V246" i="31"/>
  <c r="R267" i="31"/>
  <c r="D268" i="31"/>
  <c r="R268" i="31" l="1"/>
  <c r="V268" i="31"/>
  <c r="K130" i="18"/>
  <c r="C11" i="6"/>
  <c r="C25" i="6" s="1"/>
  <c r="C13" i="6" l="1"/>
  <c r="J13" i="7"/>
  <c r="C7" i="4" l="1"/>
  <c r="C23" i="4"/>
  <c r="C6" i="6"/>
  <c r="C7" i="6" s="1"/>
  <c r="C18" i="4"/>
  <c r="C24" i="4" s="1"/>
  <c r="C7" i="13"/>
  <c r="P6" i="13"/>
  <c r="P18" i="32" s="1"/>
  <c r="P19" i="32" l="1"/>
  <c r="P24" i="32"/>
  <c r="P25" i="32" s="1"/>
  <c r="C25" i="4"/>
  <c r="D7" i="13"/>
  <c r="G6" i="13"/>
  <c r="F6" i="13" s="1"/>
  <c r="F18" i="32" s="1"/>
  <c r="P7" i="13"/>
  <c r="O6" i="13"/>
  <c r="O18" i="32" s="1"/>
  <c r="P6" i="6"/>
  <c r="P26" i="13"/>
  <c r="P18" i="4" s="1"/>
  <c r="C26" i="6"/>
  <c r="C27" i="6" s="1"/>
  <c r="D6" i="6"/>
  <c r="M6" i="13"/>
  <c r="M18" i="32" s="1"/>
  <c r="C27" i="13"/>
  <c r="C19" i="4" s="1"/>
  <c r="S6" i="13"/>
  <c r="S18" i="32" s="1"/>
  <c r="D26" i="13"/>
  <c r="D18" i="4" s="1"/>
  <c r="J6" i="13"/>
  <c r="J18" i="32" s="1"/>
  <c r="O19" i="32" l="1"/>
  <c r="O24" i="32"/>
  <c r="O25" i="32" s="1"/>
  <c r="M19" i="32"/>
  <c r="M24" i="32"/>
  <c r="M25" i="32" s="1"/>
  <c r="F19" i="32"/>
  <c r="F24" i="32"/>
  <c r="F25" i="32" s="1"/>
  <c r="G7" i="13"/>
  <c r="G18" i="32"/>
  <c r="S19" i="32"/>
  <c r="S24" i="32"/>
  <c r="S25" i="32" s="1"/>
  <c r="J19" i="32"/>
  <c r="J24" i="32"/>
  <c r="J25" i="32" s="1"/>
  <c r="G6" i="6"/>
  <c r="G26" i="6" s="1"/>
  <c r="G27" i="6" s="1"/>
  <c r="G26" i="13"/>
  <c r="G18" i="4" s="1"/>
  <c r="G24" i="4" s="1"/>
  <c r="G25" i="4" s="1"/>
  <c r="I6" i="13"/>
  <c r="I18" i="32" s="1"/>
  <c r="J7" i="13"/>
  <c r="J26" i="13"/>
  <c r="J18" i="4" s="1"/>
  <c r="J6" i="6"/>
  <c r="P27" i="13"/>
  <c r="P19" i="4" s="1"/>
  <c r="P24" i="4"/>
  <c r="P25" i="4" s="1"/>
  <c r="D24" i="4"/>
  <c r="D25" i="4" s="1"/>
  <c r="D27" i="13"/>
  <c r="D19" i="4" s="1"/>
  <c r="P26" i="6"/>
  <c r="P27" i="6" s="1"/>
  <c r="P7" i="6"/>
  <c r="F26" i="13"/>
  <c r="F18" i="4" s="1"/>
  <c r="F6" i="6"/>
  <c r="F7" i="13"/>
  <c r="O26" i="13"/>
  <c r="O18" i="4" s="1"/>
  <c r="O6" i="6"/>
  <c r="O7" i="13"/>
  <c r="D26" i="6"/>
  <c r="D27" i="6" s="1"/>
  <c r="D7" i="6"/>
  <c r="S6" i="6"/>
  <c r="S7" i="13"/>
  <c r="Z6" i="6"/>
  <c r="R6" i="13"/>
  <c r="R18" i="32" s="1"/>
  <c r="S26" i="13"/>
  <c r="S18" i="4" s="1"/>
  <c r="L6" i="13"/>
  <c r="L18" i="32" s="1"/>
  <c r="M6" i="6"/>
  <c r="M26" i="13"/>
  <c r="M18" i="4" s="1"/>
  <c r="M7" i="13"/>
  <c r="G19" i="32" l="1"/>
  <c r="G24" i="32"/>
  <c r="G25" i="32" s="1"/>
  <c r="I19" i="32"/>
  <c r="I24" i="32"/>
  <c r="I25" i="32" s="1"/>
  <c r="G7" i="6"/>
  <c r="G27" i="13"/>
  <c r="G19" i="4" s="1"/>
  <c r="R19" i="32"/>
  <c r="R24" i="32"/>
  <c r="R25" i="32" s="1"/>
  <c r="L19" i="32"/>
  <c r="L24" i="32"/>
  <c r="L25" i="32" s="1"/>
  <c r="S7" i="6"/>
  <c r="S26" i="6"/>
  <c r="S27" i="6" s="1"/>
  <c r="F27" i="13"/>
  <c r="F19" i="4" s="1"/>
  <c r="F24" i="4"/>
  <c r="F25" i="4" s="1"/>
  <c r="J7" i="6"/>
  <c r="J26" i="6"/>
  <c r="J27" i="6" s="1"/>
  <c r="F7" i="6"/>
  <c r="F26" i="6"/>
  <c r="F27" i="6" s="1"/>
  <c r="O26" i="6"/>
  <c r="O27" i="6" s="1"/>
  <c r="O7" i="6"/>
  <c r="J24" i="4"/>
  <c r="J25" i="4" s="1"/>
  <c r="J27" i="13"/>
  <c r="J19" i="4" s="1"/>
  <c r="M26" i="6"/>
  <c r="M27" i="6" s="1"/>
  <c r="M7" i="6"/>
  <c r="S27" i="13"/>
  <c r="S19" i="4" s="1"/>
  <c r="R6" i="6"/>
  <c r="Y6" i="6"/>
  <c r="R26" i="13"/>
  <c r="R18" i="4" s="1"/>
  <c r="R7" i="13"/>
  <c r="O24" i="4"/>
  <c r="O25" i="4" s="1"/>
  <c r="O27" i="13"/>
  <c r="O19" i="4" s="1"/>
  <c r="M24" i="4"/>
  <c r="M25" i="4" s="1"/>
  <c r="M27" i="13"/>
  <c r="M19" i="4" s="1"/>
  <c r="L26" i="13"/>
  <c r="L18" i="4" s="1"/>
  <c r="L7" i="13"/>
  <c r="L6" i="6"/>
  <c r="Z26" i="6"/>
  <c r="Z27" i="6" s="1"/>
  <c r="Z7" i="6"/>
  <c r="I26" i="13"/>
  <c r="I18" i="4" s="1"/>
  <c r="I6" i="6"/>
  <c r="I7" i="13"/>
  <c r="I7" i="6" l="1"/>
  <c r="I26" i="6"/>
  <c r="I27" i="6" s="1"/>
  <c r="S24" i="4"/>
  <c r="S25" i="4" s="1"/>
  <c r="Z24" i="4"/>
  <c r="Z25" i="4" s="1"/>
  <c r="R27" i="13"/>
  <c r="R19" i="4" s="1"/>
  <c r="L26" i="6"/>
  <c r="L27" i="6" s="1"/>
  <c r="L7" i="6"/>
  <c r="Y7" i="6"/>
  <c r="Y26" i="6"/>
  <c r="I27" i="13"/>
  <c r="I19" i="4" s="1"/>
  <c r="I24" i="4"/>
  <c r="I25" i="4" s="1"/>
  <c r="L27" i="13"/>
  <c r="L19" i="4" s="1"/>
  <c r="L24" i="4"/>
  <c r="L25" i="4" s="1"/>
  <c r="R7" i="6"/>
  <c r="R26" i="6"/>
  <c r="R27" i="6" s="1"/>
  <c r="Y24" i="4" l="1"/>
  <c r="R24" i="4"/>
  <c r="R25" i="4" s="1"/>
  <c r="AR64" i="18" l="1"/>
  <c r="AP64" i="18" s="1"/>
  <c r="AR65" i="18" l="1"/>
  <c r="AR89" i="18" l="1"/>
  <c r="AR91" i="18" s="1"/>
  <c r="AP91" i="18" s="1"/>
  <c r="AP65" i="18"/>
  <c r="AN20" i="7"/>
  <c r="AA189" i="32" l="1"/>
  <c r="AN25" i="7"/>
  <c r="AA25" i="6"/>
  <c r="AA27" i="6" s="1"/>
  <c r="AL20" i="7"/>
  <c r="AP89" i="18"/>
  <c r="AC19" i="9" l="1"/>
  <c r="AC24" i="9" s="1"/>
  <c r="AC26" i="9" s="1"/>
  <c r="AA24" i="9"/>
  <c r="AA26" i="9" s="1"/>
  <c r="Y20" i="6"/>
  <c r="Y25" i="6" s="1"/>
  <c r="Y27" i="6" s="1"/>
  <c r="AL25" i="7"/>
  <c r="Y183" i="32"/>
  <c r="Y189" i="32" s="1"/>
  <c r="AN27" i="7"/>
  <c r="AA23" i="4"/>
  <c r="AA25" i="4" s="1"/>
  <c r="AL27" i="7" l="1"/>
  <c r="Y7" i="4" s="1"/>
  <c r="Y5" i="4"/>
  <c r="Y23" i="4" s="1"/>
  <c r="Y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Emily</author>
  </authors>
  <commentList>
    <comment ref="J18" authorId="0" shapeId="0" xr:uid="{A2012DB0-9764-45EE-A781-A0D975FAEA9F}">
      <text>
        <r>
          <rPr>
            <b/>
            <sz val="9"/>
            <color indexed="81"/>
            <rFont val="Tahoma"/>
            <family val="2"/>
          </rPr>
          <t>Ryan, Emily:</t>
        </r>
        <r>
          <rPr>
            <sz val="9"/>
            <color indexed="81"/>
            <rFont val="Tahoma"/>
            <family val="2"/>
          </rPr>
          <t xml:space="preserve">
District population estimate was adjusted up from the BEBR estimate due to prevent negative growth.</t>
        </r>
      </text>
    </comment>
    <comment ref="T18" authorId="0" shapeId="0" xr:uid="{C6BE0178-185C-4AEA-8EE0-3C3765558802}">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X18" authorId="0" shapeId="0" xr:uid="{C8B007E5-5F10-4107-B9ED-C23E76CD623E}">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AD18" authorId="0" shapeId="0" xr:uid="{A8BF4A1B-F417-4422-9921-0A67B0F22741}">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AI18" authorId="0" shapeId="0" xr:uid="{BDEEE124-8223-4C8B-BE44-1C95EF07CA8D}">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J23" authorId="0" shapeId="0" xr:uid="{7B6BF3FC-8443-4792-9B39-2F4B01974D7E}">
      <text>
        <r>
          <rPr>
            <b/>
            <sz val="9"/>
            <color indexed="81"/>
            <rFont val="Tahoma"/>
            <family val="2"/>
          </rPr>
          <t>Ryan, Emily:</t>
        </r>
        <r>
          <rPr>
            <sz val="9"/>
            <color indexed="81"/>
            <rFont val="Tahoma"/>
            <family val="2"/>
          </rPr>
          <t xml:space="preserve">
District population estimate was adjusted up from the BEBR estimate due to prevent negative growth.</t>
        </r>
      </text>
    </comment>
    <comment ref="O23" authorId="0" shapeId="0" xr:uid="{B39E2815-8403-430C-8893-0A514CA25D78}">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T23" authorId="0" shapeId="0" xr:uid="{7373939D-DF4C-4778-9EDB-E203DBAF032F}">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X23" authorId="0" shapeId="0" xr:uid="{9BCF65C5-E501-4C3B-98D4-B1CE783FB551}">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AD23" authorId="0" shapeId="0" xr:uid="{7DE9F171-83E1-475C-B939-E1EBFA5C56AA}">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AI23" authorId="0" shapeId="0" xr:uid="{B87E5B7F-B230-4551-8C8E-7ED1905B7C1C}">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J44" authorId="0" shapeId="0" xr:uid="{59E5413E-8988-45A0-ACEE-EB508209CF91}">
      <text>
        <r>
          <rPr>
            <b/>
            <sz val="9"/>
            <color indexed="81"/>
            <rFont val="Tahoma"/>
            <family val="2"/>
          </rPr>
          <t>Ryan, Emily:</t>
        </r>
        <r>
          <rPr>
            <sz val="9"/>
            <color indexed="81"/>
            <rFont val="Tahoma"/>
            <family val="2"/>
          </rPr>
          <t xml:space="preserve">
District population estimate was adjusted up from the BEBR estimate due to prevent negative growth.</t>
        </r>
      </text>
    </comment>
    <comment ref="O44" authorId="0" shapeId="0" xr:uid="{FC44D18A-65D1-4E57-99C8-7061856EE949}">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T44" authorId="0" shapeId="0" xr:uid="{FFE0525D-6F90-46F1-A3B5-030A9DAAC5D9}">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Y44" authorId="0" shapeId="0" xr:uid="{9863385C-420D-4AD0-BC86-00428B14853B}">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AD44" authorId="0" shapeId="0" xr:uid="{8EDF75EF-C569-48FB-B105-2163367530A8}">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 ref="AI44" authorId="0" shapeId="0" xr:uid="{BAA27EBF-4174-4240-A7D5-8AD8FFDE5733}">
      <text>
        <r>
          <rPr>
            <b/>
            <sz val="9"/>
            <color indexed="81"/>
            <rFont val="Tahoma"/>
            <family val="2"/>
          </rPr>
          <t>Ryan, Emily:</t>
        </r>
        <r>
          <rPr>
            <sz val="9"/>
            <color indexed="81"/>
            <rFont val="Tahoma"/>
            <family val="2"/>
          </rPr>
          <t xml:space="preserve">
Ryan, Emily:
District population estimate was adjusted up from the BEBR estimate due to prevent negative growth.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Tammy Bader-Gibbs</author>
  </authors>
  <commentList>
    <comment ref="O29" authorId="0" shapeId="0" xr:uid="{C349C59F-7B3D-4F9E-A8D6-A648EAE7802E}">
      <text>
        <r>
          <rPr>
            <b/>
            <sz val="9"/>
            <color indexed="81"/>
            <rFont val="Tahoma"/>
            <family val="2"/>
          </rPr>
          <t>Tammy Bader-Gibbs:</t>
        </r>
        <r>
          <rPr>
            <sz val="9"/>
            <color indexed="81"/>
            <rFont val="Tahoma"/>
            <family val="2"/>
          </rPr>
          <t xml:space="preserve">
There are no wds in Clay county - these wds need to be added to the Duval Wds during distribution</t>
        </r>
      </text>
    </comment>
    <comment ref="D45" authorId="0" shapeId="0" xr:uid="{7F1D4DC6-0B0A-40A5-8DA8-B5CD4BD9B203}">
      <text>
        <r>
          <rPr>
            <b/>
            <sz val="9"/>
            <color indexed="81"/>
            <rFont val="Tahoma"/>
            <family val="2"/>
          </rPr>
          <t>Tammy Bader-Gibbs:</t>
        </r>
        <r>
          <rPr>
            <sz val="9"/>
            <color indexed="81"/>
            <rFont val="Tahoma"/>
            <family val="2"/>
          </rPr>
          <t xml:space="preserve">
Total popfor demands is 3,000</t>
        </r>
      </text>
    </comment>
    <comment ref="E45" authorId="0" shapeId="0" xr:uid="{48DD7A9D-71AA-4E16-B52A-76211DB36538}">
      <text>
        <r>
          <rPr>
            <b/>
            <sz val="9"/>
            <color indexed="81"/>
            <rFont val="Tahoma"/>
            <family val="2"/>
          </rPr>
          <t>Tammy Bader-Gibbs:</t>
        </r>
        <r>
          <rPr>
            <sz val="9"/>
            <color indexed="81"/>
            <rFont val="Tahoma"/>
            <family val="2"/>
          </rPr>
          <t xml:space="preserve">
Total Pop for demands is 3,174</t>
        </r>
      </text>
    </comment>
    <comment ref="F45" authorId="0" shapeId="0" xr:uid="{018EBEB5-31A0-4A14-A838-180537646B7D}">
      <text>
        <r>
          <rPr>
            <b/>
            <sz val="9"/>
            <color indexed="81"/>
            <rFont val="Tahoma"/>
            <family val="2"/>
          </rPr>
          <t>Tammy Bader-Gibbs:</t>
        </r>
        <r>
          <rPr>
            <sz val="9"/>
            <color indexed="81"/>
            <rFont val="Tahoma"/>
            <family val="2"/>
          </rPr>
          <t xml:space="preserve">
Total Pop for demands is 3,174</t>
        </r>
      </text>
    </comment>
    <comment ref="G45" authorId="0" shapeId="0" xr:uid="{5D0858FF-570A-4FCF-8B3E-6CC7F1C5D9A8}">
      <text>
        <r>
          <rPr>
            <b/>
            <sz val="9"/>
            <color indexed="81"/>
            <rFont val="Tahoma"/>
            <family val="2"/>
          </rPr>
          <t>Tammy Bader-Gibbs:</t>
        </r>
        <r>
          <rPr>
            <sz val="9"/>
            <color indexed="81"/>
            <rFont val="Tahoma"/>
            <family val="2"/>
          </rPr>
          <t xml:space="preserve">
Total Pop for demands is 3,233
</t>
        </r>
      </text>
    </comment>
    <comment ref="H45" authorId="0" shapeId="0" xr:uid="{8F208B77-1AE5-44D0-978F-67AA2AB8EE3A}">
      <text>
        <r>
          <rPr>
            <b/>
            <sz val="9"/>
            <color indexed="81"/>
            <rFont val="Tahoma"/>
            <family val="2"/>
          </rPr>
          <t>Tammy Bader-Gibbs:</t>
        </r>
        <r>
          <rPr>
            <sz val="9"/>
            <color indexed="81"/>
            <rFont val="Tahoma"/>
            <family val="2"/>
          </rPr>
          <t xml:space="preserve">
Total pop for demands is 3,329</t>
        </r>
      </text>
    </comment>
    <comment ref="I45" authorId="0" shapeId="0" xr:uid="{0DA63A27-A20F-41D1-B4AA-383A5693FACE}">
      <text>
        <r>
          <rPr>
            <b/>
            <sz val="9"/>
            <color indexed="81"/>
            <rFont val="Tahoma"/>
            <family val="2"/>
          </rPr>
          <t>Tammy Bader-Gibbs:</t>
        </r>
        <r>
          <rPr>
            <sz val="9"/>
            <color indexed="81"/>
            <rFont val="Tahoma"/>
            <family val="2"/>
          </rPr>
          <t xml:space="preserve">
Total pop for demands is 3,488</t>
        </r>
      </text>
    </comment>
    <comment ref="J45" authorId="0" shapeId="0" xr:uid="{6AA3134D-B943-42C0-BF3B-B6B057375E54}">
      <text>
        <r>
          <rPr>
            <b/>
            <sz val="9"/>
            <color indexed="81"/>
            <rFont val="Tahoma"/>
            <family val="2"/>
          </rPr>
          <t>Tammy Bader-Gibbs:</t>
        </r>
        <r>
          <rPr>
            <sz val="9"/>
            <color indexed="81"/>
            <rFont val="Tahoma"/>
            <family val="2"/>
          </rPr>
          <t xml:space="preserve">
Total pop for demands is 3,499</t>
        </r>
      </text>
    </comment>
    <comment ref="K45" authorId="0" shapeId="0" xr:uid="{A3F4D3EF-B372-49F7-85E6-67B6A7FFA481}">
      <text>
        <r>
          <rPr>
            <b/>
            <sz val="9"/>
            <color indexed="81"/>
            <rFont val="Tahoma"/>
            <family val="2"/>
          </rPr>
          <t>Tammy Bader-Gibbs:</t>
        </r>
        <r>
          <rPr>
            <sz val="9"/>
            <color indexed="81"/>
            <rFont val="Tahoma"/>
            <family val="2"/>
          </rPr>
          <t xml:space="preserve">
Total pop for demands is 5,985</t>
        </r>
      </text>
    </comment>
    <comment ref="D76" authorId="0" shapeId="0" xr:uid="{A3E9A6B1-F109-4A8C-8CEE-1DF00B6D317B}">
      <text>
        <r>
          <rPr>
            <b/>
            <sz val="9"/>
            <color indexed="81"/>
            <rFont val="Tahoma"/>
            <family val="2"/>
          </rPr>
          <t>Tammy Bader-Gibbs:</t>
        </r>
        <r>
          <rPr>
            <sz val="9"/>
            <color indexed="81"/>
            <rFont val="Tahoma"/>
            <family val="2"/>
          </rPr>
          <t xml:space="preserve">
for demand projections add 36 from Duval </t>
        </r>
      </text>
    </comment>
    <comment ref="E76" authorId="0" shapeId="0" xr:uid="{FFDF81AD-F0B3-456D-8A10-48A197656B0E}">
      <text>
        <r>
          <rPr>
            <b/>
            <sz val="9"/>
            <color indexed="81"/>
            <rFont val="Tahoma"/>
            <family val="2"/>
          </rPr>
          <t>Tammy Bader-Gibbs:</t>
        </r>
        <r>
          <rPr>
            <sz val="9"/>
            <color indexed="81"/>
            <rFont val="Tahoma"/>
            <family val="2"/>
          </rPr>
          <t xml:space="preserve">
for demand projections add 83 from Duval </t>
        </r>
      </text>
    </comment>
    <comment ref="F76" authorId="0" shapeId="0" xr:uid="{36B87A0A-04F9-4C55-9ABA-EC640A22108F}">
      <text>
        <r>
          <rPr>
            <b/>
            <sz val="9"/>
            <color indexed="81"/>
            <rFont val="Tahoma"/>
            <family val="2"/>
          </rPr>
          <t>Tammy Bader-Gibbs:</t>
        </r>
        <r>
          <rPr>
            <sz val="9"/>
            <color indexed="81"/>
            <rFont val="Tahoma"/>
            <family val="2"/>
          </rPr>
          <t xml:space="preserve">
for demand projections add 83 from Duval </t>
        </r>
      </text>
    </comment>
    <comment ref="G76" authorId="0" shapeId="0" xr:uid="{41A55D63-E0AF-4F7A-A4B4-3E05BF9D5FE3}">
      <text>
        <r>
          <rPr>
            <b/>
            <sz val="9"/>
            <color indexed="81"/>
            <rFont val="Tahoma"/>
            <family val="2"/>
          </rPr>
          <t>Tammy Bader-Gibbs:</t>
        </r>
        <r>
          <rPr>
            <sz val="9"/>
            <color indexed="81"/>
            <rFont val="Tahoma"/>
            <family val="2"/>
          </rPr>
          <t xml:space="preserve">
for demand projections add 83 from Duval </t>
        </r>
      </text>
    </comment>
    <comment ref="H76" authorId="0" shapeId="0" xr:uid="{6407F4D0-CEC8-4731-AF72-440B5AC6D2DD}">
      <text>
        <r>
          <rPr>
            <b/>
            <sz val="9"/>
            <color indexed="81"/>
            <rFont val="Tahoma"/>
            <family val="2"/>
          </rPr>
          <t>Tammy Bader-Gibbs:</t>
        </r>
        <r>
          <rPr>
            <sz val="9"/>
            <color indexed="81"/>
            <rFont val="Tahoma"/>
            <family val="2"/>
          </rPr>
          <t xml:space="preserve">
for demand projections add 83 from Duval </t>
        </r>
      </text>
    </comment>
    <comment ref="I76" authorId="0" shapeId="0" xr:uid="{18AEF426-6E1C-412E-AEAD-3C436802D4E0}">
      <text>
        <r>
          <rPr>
            <b/>
            <sz val="9"/>
            <color indexed="81"/>
            <rFont val="Tahoma"/>
            <family val="2"/>
          </rPr>
          <t>Tammy Bader-Gibbs:</t>
        </r>
        <r>
          <rPr>
            <sz val="9"/>
            <color indexed="81"/>
            <rFont val="Tahoma"/>
            <family val="2"/>
          </rPr>
          <t xml:space="preserve">
for demand projections add 85 from Duval </t>
        </r>
      </text>
    </comment>
    <comment ref="J76" authorId="0" shapeId="0" xr:uid="{EF2E47C5-BD1C-4B10-A0DC-0955A09865E1}">
      <text>
        <r>
          <rPr>
            <b/>
            <sz val="9"/>
            <color indexed="81"/>
            <rFont val="Tahoma"/>
            <family val="2"/>
          </rPr>
          <t>Tammy Bader-Gibbs:</t>
        </r>
        <r>
          <rPr>
            <sz val="9"/>
            <color indexed="81"/>
            <rFont val="Tahoma"/>
            <family val="2"/>
          </rPr>
          <t xml:space="preserve">
for demand projections add 85 from Duval </t>
        </r>
      </text>
    </comment>
    <comment ref="K76" authorId="0" shapeId="0" xr:uid="{5CAA467F-FC6E-4312-9006-D8E39C3B956F}">
      <text>
        <r>
          <rPr>
            <b/>
            <sz val="9"/>
            <color indexed="81"/>
            <rFont val="Tahoma"/>
            <family val="2"/>
          </rPr>
          <t>Tammy Bader-Gibbs:</t>
        </r>
        <r>
          <rPr>
            <sz val="9"/>
            <color indexed="81"/>
            <rFont val="Tahoma"/>
            <family val="2"/>
          </rPr>
          <t xml:space="preserve">
for demand projections add 85 from Duval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tbader</author>
  </authors>
  <commentList>
    <comment ref="F43" authorId="0" shapeId="0" xr:uid="{00000000-0006-0000-0700-000001000000}">
      <text>
        <r>
          <rPr>
            <b/>
            <sz val="9"/>
            <color indexed="81"/>
            <rFont val="Tahoma"/>
            <family val="2"/>
          </rPr>
          <t>tbader:</t>
        </r>
        <r>
          <rPr>
            <sz val="9"/>
            <color indexed="81"/>
            <rFont val="Tahoma"/>
            <family val="2"/>
          </rPr>
          <t xml:space="preserve">
PS .671
</t>
        </r>
      </text>
    </comment>
    <comment ref="I43" authorId="0" shapeId="0" xr:uid="{00000000-0006-0000-0700-000004000000}">
      <text>
        <r>
          <rPr>
            <b/>
            <sz val="9"/>
            <color indexed="81"/>
            <rFont val="Tahoma"/>
            <family val="2"/>
          </rPr>
          <t>tbader:</t>
        </r>
        <r>
          <rPr>
            <sz val="9"/>
            <color indexed="81"/>
            <rFont val="Tahoma"/>
            <family val="2"/>
          </rPr>
          <t xml:space="preserve">
PS .861</t>
        </r>
      </text>
    </comment>
    <comment ref="J43" authorId="0" shapeId="0" xr:uid="{00000000-0006-0000-0700-000005000000}">
      <text>
        <r>
          <rPr>
            <b/>
            <sz val="9"/>
            <color indexed="81"/>
            <rFont val="Tahoma"/>
            <family val="2"/>
          </rPr>
          <t>tbader:</t>
        </r>
        <r>
          <rPr>
            <sz val="9"/>
            <color indexed="81"/>
            <rFont val="Tahoma"/>
            <family val="2"/>
          </rPr>
          <t xml:space="preserve">
PS .740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 Emily</author>
  </authors>
  <commentList>
    <comment ref="K92" authorId="0" shapeId="0" xr:uid="{48D7C282-5AF1-4EF5-8924-ECF7E58BC723}">
      <text>
        <r>
          <rPr>
            <b/>
            <sz val="9"/>
            <color indexed="81"/>
            <rFont val="Tahoma"/>
            <family val="2"/>
          </rPr>
          <t>Ryan, Emily:</t>
        </r>
        <r>
          <rPr>
            <sz val="9"/>
            <color indexed="81"/>
            <rFont val="Tahoma"/>
            <family val="2"/>
          </rPr>
          <t xml:space="preserve">
Was not in the model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Tammy Bader-Gibbs</author>
    <author>tbader</author>
  </authors>
  <commentList>
    <comment ref="C18" authorId="0" shapeId="0" xr:uid="{5D5395D6-9263-459C-9EC5-4173C35AF1A4}">
      <text>
        <r>
          <rPr>
            <sz val="11"/>
            <color theme="1"/>
            <rFont val="Calibri"/>
            <family val="2"/>
            <scheme val="minor"/>
          </rPr>
          <t>Tammy Bader-Gibbs:
Total Water use 34.94</t>
        </r>
      </text>
    </comment>
    <comment ref="D18" authorId="0" shapeId="0" xr:uid="{45FF6398-FEDF-46EB-B9DD-2F041C0153B4}">
      <text>
        <r>
          <rPr>
            <sz val="11"/>
            <color theme="1"/>
            <rFont val="Calibri"/>
            <family val="2"/>
            <scheme val="minor"/>
          </rPr>
          <t>Tammy Bader-Gibbs:
Total Water use 34.94</t>
        </r>
      </text>
    </comment>
    <comment ref="E18" authorId="0" shapeId="0" xr:uid="{4C90B4F3-66C1-4C0F-B747-16C1F3A0DE0B}">
      <text>
        <r>
          <rPr>
            <sz val="11"/>
            <color theme="1"/>
            <rFont val="Calibri"/>
            <family val="2"/>
            <scheme val="minor"/>
          </rPr>
          <t>Tammy Bader-Gibbs:
Total Water use 34.94</t>
        </r>
      </text>
    </comment>
    <comment ref="F18" authorId="0" shapeId="0" xr:uid="{190F8BED-7394-4604-BD10-52B2F13BEF67}">
      <text>
        <r>
          <rPr>
            <sz val="11"/>
            <color theme="1"/>
            <rFont val="Calibri"/>
            <family val="2"/>
            <scheme val="minor"/>
          </rPr>
          <t>Tammy Bader-Gibbs:
Total Water use 34.94</t>
        </r>
      </text>
    </comment>
    <comment ref="G18" authorId="0" shapeId="0" xr:uid="{63FD054E-35EA-4F21-B6E9-B3F73ACC8D61}">
      <text>
        <r>
          <rPr>
            <sz val="11"/>
            <color theme="1"/>
            <rFont val="Calibri"/>
            <family val="2"/>
            <scheme val="minor"/>
          </rPr>
          <t>Tammy Bader-Gibbs:
Total Water use 34.94</t>
        </r>
      </text>
    </comment>
    <comment ref="C19" authorId="1" shapeId="0" xr:uid="{00000000-0006-0000-1300-000001000000}">
      <text>
        <r>
          <rPr>
            <b/>
            <sz val="9"/>
            <color indexed="81"/>
            <rFont val="Tahoma"/>
            <family val="2"/>
          </rPr>
          <t>tbader:</t>
        </r>
        <r>
          <rPr>
            <sz val="9"/>
            <color indexed="81"/>
            <rFont val="Tahoma"/>
            <family val="2"/>
          </rPr>
          <t xml:space="preserve">
Total water use 33.14
</t>
        </r>
      </text>
    </comment>
    <comment ref="D19" authorId="1" shapeId="0" xr:uid="{00000000-0006-0000-1300-000002000000}">
      <text>
        <r>
          <rPr>
            <b/>
            <sz val="9"/>
            <color indexed="81"/>
            <rFont val="Tahoma"/>
            <family val="2"/>
          </rPr>
          <t>tbader:</t>
        </r>
        <r>
          <rPr>
            <sz val="9"/>
            <color indexed="81"/>
            <rFont val="Tahoma"/>
            <family val="2"/>
          </rPr>
          <t xml:space="preserve">
Total water use 33.11</t>
        </r>
      </text>
    </comment>
    <comment ref="E19" authorId="1" shapeId="0" xr:uid="{00000000-0006-0000-1300-000003000000}">
      <text>
        <r>
          <rPr>
            <b/>
            <sz val="9"/>
            <color indexed="81"/>
            <rFont val="Tahoma"/>
            <family val="2"/>
          </rPr>
          <t>tbader:</t>
        </r>
        <r>
          <rPr>
            <sz val="9"/>
            <color indexed="81"/>
            <rFont val="Tahoma"/>
            <family val="2"/>
          </rPr>
          <t xml:space="preserve">
Total water use 32.09</t>
        </r>
      </text>
    </comment>
    <comment ref="F19" authorId="1" shapeId="0" xr:uid="{00000000-0006-0000-1300-000004000000}">
      <text>
        <r>
          <rPr>
            <b/>
            <sz val="9"/>
            <color indexed="81"/>
            <rFont val="Tahoma"/>
            <family val="2"/>
          </rPr>
          <t>tbader:</t>
        </r>
        <r>
          <rPr>
            <sz val="9"/>
            <color indexed="81"/>
            <rFont val="Tahoma"/>
            <family val="2"/>
          </rPr>
          <t xml:space="preserve">
Total water use 32.79</t>
        </r>
      </text>
    </comment>
    <comment ref="G19" authorId="1" shapeId="0" xr:uid="{00000000-0006-0000-1300-000005000000}">
      <text>
        <r>
          <rPr>
            <b/>
            <sz val="9"/>
            <color indexed="81"/>
            <rFont val="Tahoma"/>
            <family val="2"/>
          </rPr>
          <t>tbader:</t>
        </r>
        <r>
          <rPr>
            <sz val="9"/>
            <color indexed="81"/>
            <rFont val="Tahoma"/>
            <family val="2"/>
          </rPr>
          <t xml:space="preserve">
Total water use 32.39</t>
        </r>
      </text>
    </comment>
    <comment ref="C20" authorId="1" shapeId="0" xr:uid="{00000000-0006-0000-1300-00000A000000}">
      <text>
        <r>
          <rPr>
            <b/>
            <sz val="9"/>
            <color indexed="81"/>
            <rFont val="Tahoma"/>
            <family val="2"/>
          </rPr>
          <t>tbader:</t>
        </r>
        <r>
          <rPr>
            <sz val="9"/>
            <color indexed="81"/>
            <rFont val="Tahoma"/>
            <family val="2"/>
          </rPr>
          <t xml:space="preserve">
Total water use 25.88</t>
        </r>
      </text>
    </comment>
    <comment ref="D20" authorId="1" shapeId="0" xr:uid="{00000000-0006-0000-1300-00000B000000}">
      <text>
        <r>
          <rPr>
            <b/>
            <sz val="9"/>
            <color indexed="81"/>
            <rFont val="Tahoma"/>
            <family val="2"/>
          </rPr>
          <t>tbader:</t>
        </r>
        <r>
          <rPr>
            <sz val="9"/>
            <color indexed="81"/>
            <rFont val="Tahoma"/>
            <family val="2"/>
          </rPr>
          <t xml:space="preserve">
Total water use 27.54</t>
        </r>
      </text>
    </comment>
    <comment ref="E20" authorId="1" shapeId="0" xr:uid="{00000000-0006-0000-1300-00000C000000}">
      <text>
        <r>
          <rPr>
            <b/>
            <sz val="9"/>
            <color indexed="81"/>
            <rFont val="Tahoma"/>
            <family val="2"/>
          </rPr>
          <t>tbader:</t>
        </r>
        <r>
          <rPr>
            <sz val="9"/>
            <color indexed="81"/>
            <rFont val="Tahoma"/>
            <family val="2"/>
          </rPr>
          <t xml:space="preserve">
Total Water use 24.88</t>
        </r>
      </text>
    </comment>
    <comment ref="F20" authorId="1" shapeId="0" xr:uid="{00000000-0006-0000-1300-00000D000000}">
      <text>
        <r>
          <rPr>
            <b/>
            <sz val="9"/>
            <color indexed="81"/>
            <rFont val="Tahoma"/>
            <family val="2"/>
          </rPr>
          <t>tbader:</t>
        </r>
        <r>
          <rPr>
            <sz val="9"/>
            <color indexed="81"/>
            <rFont val="Tahoma"/>
            <family val="2"/>
          </rPr>
          <t xml:space="preserve">
Total Water use 23.91</t>
        </r>
      </text>
    </comment>
    <comment ref="G20" authorId="1" shapeId="0" xr:uid="{00000000-0006-0000-1300-00000E000000}">
      <text>
        <r>
          <rPr>
            <b/>
            <sz val="9"/>
            <color indexed="81"/>
            <rFont val="Tahoma"/>
            <family val="2"/>
          </rPr>
          <t>tbader:</t>
        </r>
        <r>
          <rPr>
            <sz val="9"/>
            <color indexed="81"/>
            <rFont val="Tahoma"/>
            <family val="2"/>
          </rPr>
          <t xml:space="preserve">
Total water use 23.30</t>
        </r>
      </text>
    </comment>
    <comment ref="C43" authorId="0" shapeId="0" xr:uid="{C318E917-EA21-4106-A90A-DB67EAE90ADE}">
      <text>
        <r>
          <rPr>
            <sz val="11"/>
            <color theme="1"/>
            <rFont val="Calibri"/>
            <family val="2"/>
            <scheme val="minor"/>
          </rPr>
          <t>Tammy Bader-Gibbs:
Total Water use 38.69</t>
        </r>
      </text>
    </comment>
    <comment ref="D43" authorId="0" shapeId="0" xr:uid="{B631347D-C535-4BD1-B043-B8E430A76318}">
      <text>
        <r>
          <rPr>
            <sz val="11"/>
            <color theme="1"/>
            <rFont val="Calibri"/>
            <family val="2"/>
            <scheme val="minor"/>
          </rPr>
          <t>Tammy Bader-Gibbs:
Total Water use 39.69</t>
        </r>
      </text>
    </comment>
    <comment ref="E43" authorId="0" shapeId="0" xr:uid="{FFC90961-52AD-47CC-9493-15862FCA23A5}">
      <text>
        <r>
          <rPr>
            <sz val="11"/>
            <color theme="1"/>
            <rFont val="Calibri"/>
            <family val="2"/>
            <scheme val="minor"/>
          </rPr>
          <t>Tammy Bader-Gibbs:
Total Water use 39.30</t>
        </r>
      </text>
    </comment>
    <comment ref="F43" authorId="0" shapeId="0" xr:uid="{1FC8B08F-DD48-4532-AEAE-877C973EFE4A}">
      <text>
        <r>
          <rPr>
            <sz val="11"/>
            <color theme="1"/>
            <rFont val="Calibri"/>
            <family val="2"/>
            <scheme val="minor"/>
          </rPr>
          <t>Tammy Bader-Gibbs:
Total Water use 39.13</t>
        </r>
      </text>
    </comment>
    <comment ref="G43" authorId="0" shapeId="0" xr:uid="{CC4C3E92-2687-4B31-B6EA-2E6B919A7D72}">
      <text>
        <r>
          <rPr>
            <sz val="11"/>
            <color theme="1"/>
            <rFont val="Calibri"/>
            <family val="2"/>
            <scheme val="minor"/>
          </rPr>
          <t>Tammy Bader-Gibbs:
Total Water use 38.91</t>
        </r>
      </text>
    </comment>
  </commentList>
</comments>
</file>

<file path=xl/sharedStrings.xml><?xml version="1.0" encoding="utf-8"?>
<sst xmlns="http://schemas.openxmlformats.org/spreadsheetml/2006/main" count="5551" uniqueCount="732">
  <si>
    <t>Table A-1. Population Estimates for 2015 and Population Projections for 2020-2045, by County, in Region 1 of the St. Johns River Water Management District and the North Florida Regional Water Supply Planning Region of the Suwannee River Water Management District.</t>
  </si>
  <si>
    <t xml:space="preserve">County </t>
  </si>
  <si>
    <t>District</t>
  </si>
  <si>
    <t xml:space="preserve">BEBR County Population </t>
  </si>
  <si>
    <t>BEBR County Population less Institutional</t>
  </si>
  <si>
    <t>District Population</t>
  </si>
  <si>
    <t xml:space="preserve">Public Supply Population </t>
  </si>
  <si>
    <t>Domestic and Small Public Supply Systems Population</t>
  </si>
  <si>
    <t>District Population Percent Change 2015-2045</t>
  </si>
  <si>
    <t>Public Supply Population Percent Change 2015-2045</t>
  </si>
  <si>
    <t>Domestic and Small Public Supply Systems Population Percent Change 2015-2045</t>
  </si>
  <si>
    <t>District Population Change 2015-2045</t>
  </si>
  <si>
    <t>Public Supply Population Change 2015-2045</t>
  </si>
  <si>
    <t>Domestic and Small Public Supply Systems Population Change 2015-2045</t>
  </si>
  <si>
    <t xml:space="preserve">Alachua </t>
  </si>
  <si>
    <t>SJRWMD</t>
  </si>
  <si>
    <t>N/A</t>
  </si>
  <si>
    <t>SRWMD</t>
  </si>
  <si>
    <t xml:space="preserve">Total </t>
  </si>
  <si>
    <t xml:space="preserve">Baker </t>
  </si>
  <si>
    <t xml:space="preserve">Bradford </t>
  </si>
  <si>
    <t xml:space="preserve">Clay </t>
  </si>
  <si>
    <t>Columbia</t>
  </si>
  <si>
    <t xml:space="preserve">Duval </t>
  </si>
  <si>
    <t xml:space="preserve">Flagler </t>
  </si>
  <si>
    <t>Gilchrist</t>
  </si>
  <si>
    <t>Hamilton</t>
  </si>
  <si>
    <t xml:space="preserve">Nassau </t>
  </si>
  <si>
    <t xml:space="preserve">Putnam </t>
  </si>
  <si>
    <t xml:space="preserve">St. Johns </t>
  </si>
  <si>
    <t>Suwannee</t>
  </si>
  <si>
    <t>Union</t>
  </si>
  <si>
    <t xml:space="preserve">SJRWMD Region 1 Total </t>
  </si>
  <si>
    <t xml:space="preserve">SRWMD NFRWSP Total </t>
  </si>
  <si>
    <t xml:space="preserve">NFRWSP Total </t>
  </si>
  <si>
    <t>Notes:</t>
  </si>
  <si>
    <t xml:space="preserve"> </t>
  </si>
  <si>
    <t>1.) Rounding errors account for nominal discrepancies.</t>
  </si>
  <si>
    <t>2.) 2015 county population projections were obtained from BEBR Florida Estimates of Population 2015, Published April 2015.</t>
  </si>
  <si>
    <t>3.) 2020 - 2045 county population projections were obtained from BEBR Population Projections: Volume 53, Bulletin 186, Published January 2020.</t>
  </si>
  <si>
    <t>4.) Population projections shown here are permanent population projections only and do not include any factors such as seasonal residents, tourist population or net commuter population.</t>
  </si>
  <si>
    <t xml:space="preserve">5.)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population served by public supply systems from those served by domestic self-supply wells. Therefore, public water supply population estimated by the Districts often include some domestic self-supply population. In certain counties the domestic self-supply population is projected to decrease. </t>
  </si>
  <si>
    <t>6.) BEBR County Population includes institutional, District Population in SRWMD only includes public supply and domestic self-supplied.</t>
  </si>
  <si>
    <t>7.) For SRWMD, BEBR County Population less Institutional was derived from annual BEBR reports; 2018 inmate population was held constant through 2045.</t>
  </si>
  <si>
    <t xml:space="preserve">8.) Although the GRU service area encompasses both Districts, the full population of GRU is reported under SJRWMD. </t>
  </si>
  <si>
    <t>Table A-1 (SRWMD - Western Planning Region). Population Estimates for 2015 and Population Projections for 2020-2045, by County, in the Western Planning Region of the Suwannee River Water Management District.</t>
  </si>
  <si>
    <t>Dixie</t>
  </si>
  <si>
    <t>Jefferson</t>
  </si>
  <si>
    <t>Lafayette</t>
  </si>
  <si>
    <t>Levy</t>
  </si>
  <si>
    <t>Madison</t>
  </si>
  <si>
    <t>Taylor</t>
  </si>
  <si>
    <t xml:space="preserve">SRWMD Western Planning Region Total </t>
  </si>
  <si>
    <t>Table A-2. Water Use for 2015 and 5-in-10 Year Total Water Demand Projections for 2020-2045 and 1-in-10 Year Water Demand Projections for 2045, by Category of Use, in Region 1 of the St. Johns River Water Management District and the North Florida Regional Water Supply Planning Region of the Suwannee River Water Management District.</t>
  </si>
  <si>
    <t>Category</t>
  </si>
  <si>
    <t>Water Use</t>
  </si>
  <si>
    <t>Demand Projections (5-in-10)</t>
  </si>
  <si>
    <t>Percent Change 2015-2045</t>
  </si>
  <si>
    <t>Demand Projections (1-in-10)</t>
  </si>
  <si>
    <t>Change 2015-2045</t>
  </si>
  <si>
    <t xml:space="preserve">Ground </t>
  </si>
  <si>
    <t>Surface</t>
  </si>
  <si>
    <t xml:space="preserve">Public Supply </t>
  </si>
  <si>
    <t xml:space="preserve">Domestic Self-supply and Small Public Supply Systems </t>
  </si>
  <si>
    <t xml:space="preserve">Agricultural Irrigation Self-supply </t>
  </si>
  <si>
    <t xml:space="preserve">Landscape / Recreational Self-supply </t>
  </si>
  <si>
    <t xml:space="preserve">Commercial / Industrial / Institutional Self-supply </t>
  </si>
  <si>
    <t xml:space="preserve">Power Generation Self-supply </t>
  </si>
  <si>
    <t>1.) All water use is shown in million gallons per day.</t>
  </si>
  <si>
    <t>2.) Rounding errors account for nominal discrepancies.</t>
  </si>
  <si>
    <t>3.) Total water use for the Public Supply category includes groundwater, surface water, and water from alternative sources for those utilities exceeding the cap.</t>
  </si>
  <si>
    <t>Table A-2 (SRWMD - Western Planning Region). Water Use for 2015 and 5-in-10 Year Total Water Demand Projections for 2020-2045 and 1-in-10 Year Water Demand Projections for 2045, by Category of Use, in the Western Planning Region of the Suwannee River Water Management District.</t>
  </si>
  <si>
    <t>Table A-3. Total Water Use for 2015 and 5-in-10 Year Water Demand Projections for 2020-2045, and 1-in-10 Year Water Demand Projections for 2045 by County in Region 1 of the St. Johns River Water Management District and the North Florida Regional Water Supply Planning Region of the Suwannee River Water Management District.</t>
  </si>
  <si>
    <t>3.) Total water use for the Public Supply category projections includes groundwater, surface water, and water from alternative sources for those utilities exceeding the cap.</t>
  </si>
  <si>
    <t>Table A-3 (SRWMD - Western Planning Region). Total Water Use for 2015 and 5-in-10 Year Water Demand Projections for 2020-2045, and 1-in-10 Year Water Demand Projections for 2045 by County in the Western Planning Region of the Suwannee River Water Management District.</t>
  </si>
  <si>
    <t>Table A-4. Public Supply Population Served and Water Use for 2015, Public Supply Population and 5-in-10 Year Water Demand Projections for 2020-2045, and 1-in-10 Year Water Demand Projections for 2045 by County in Region 1 of the St. Johns River Water Management District and the North Florida Regional Water Supply Planning Region of the Suwannee River Water Management District.</t>
  </si>
  <si>
    <t>Population Served</t>
  </si>
  <si>
    <t>Population Projections</t>
  </si>
  <si>
    <t>Population Change 2015-2045</t>
  </si>
  <si>
    <t>Population Percent Change 2015-2045</t>
  </si>
  <si>
    <t>Demand Change 2015-2045</t>
  </si>
  <si>
    <t>AWS</t>
  </si>
  <si>
    <t>3.) 1-in-10 rainfall year demand for 2045 calculated as an additional 6 percent of 2045 average demand.</t>
  </si>
  <si>
    <t>Table A-4 (SRWMD - Western Planning Region). Public Supply Population Served and Water Use for 2015, Public Supply Population and 5-in-10 Year Water Demand Projections for 2020-2045, and 1-in-10 Year Water Demand Projections for 2045 by County in the Western Planning Region of the Suwannee River Water Management District.</t>
  </si>
  <si>
    <t>Table A-5. Public Supply Population Served and Water Use for 2015 and Public Supply Population Projections for 2020-2045, 5-in-10 Year Water Demand Projections for 2020-2045 and 1-in-10 Year Water Demand Projections for 2045 by County and Utility, in Region 1 of the St. Johns River Water Management District and the North Florida Regional Water Supply Planning Region of the Suwannee River Water Management District.</t>
  </si>
  <si>
    <t>County</t>
  </si>
  <si>
    <t xml:space="preserve">Utility </t>
  </si>
  <si>
    <t>CUP Number</t>
  </si>
  <si>
    <t xml:space="preserve">Population Projections </t>
  </si>
  <si>
    <t>Buildout</t>
  </si>
  <si>
    <t xml:space="preserve">2014-2018 Avg Gross GPCD </t>
  </si>
  <si>
    <t>DemandChange 2015-2045</t>
  </si>
  <si>
    <t>GW</t>
  </si>
  <si>
    <t>SW</t>
  </si>
  <si>
    <t>Alachua - SJRWMD</t>
  </si>
  <si>
    <t>City of Hawthorne</t>
  </si>
  <si>
    <t>Gainesville Regional Utilities (includes SRWMD)</t>
  </si>
  <si>
    <t>Kincaid Hills Water Company</t>
  </si>
  <si>
    <t xml:space="preserve">Town of Micanopy </t>
  </si>
  <si>
    <t>Arredondo Utility Co / Aqua Source Utilities</t>
  </si>
  <si>
    <t>11364, 132141</t>
  </si>
  <si>
    <t xml:space="preserve">SJRWMD Alachua Total </t>
  </si>
  <si>
    <t>Alachua - SRWMD</t>
  </si>
  <si>
    <t>City Of Newberry</t>
  </si>
  <si>
    <t>City Of Archer</t>
  </si>
  <si>
    <t>City Of High Springs Water Plant</t>
  </si>
  <si>
    <t>City Of Waldo</t>
  </si>
  <si>
    <t>City Of Alachua</t>
  </si>
  <si>
    <t>SRWMD Alachua Total</t>
  </si>
  <si>
    <t>Baker - SJRWMD</t>
  </si>
  <si>
    <t>City of Macclenny</t>
  </si>
  <si>
    <t>Town of Glen St Mary</t>
  </si>
  <si>
    <t xml:space="preserve">SJRWMD Baker Total </t>
  </si>
  <si>
    <t>Bradford - SJRWMD</t>
  </si>
  <si>
    <t xml:space="preserve">Clay County Utility Authority </t>
  </si>
  <si>
    <t xml:space="preserve">SJRWMD Bradford Total </t>
  </si>
  <si>
    <t>Bradford - SRWMD</t>
  </si>
  <si>
    <t>City of Starke</t>
  </si>
  <si>
    <t>City of Lawtey</t>
  </si>
  <si>
    <t xml:space="preserve">SRWMD Bradford Total </t>
  </si>
  <si>
    <t>Clay - SJRWMD</t>
  </si>
  <si>
    <t>416, 431</t>
  </si>
  <si>
    <t>Clay County Utility Authority - Governor's Park DRI</t>
  </si>
  <si>
    <t>Town of Orange Park</t>
  </si>
  <si>
    <t>453</t>
  </si>
  <si>
    <t>City of Green Cove Springs</t>
  </si>
  <si>
    <t>499</t>
  </si>
  <si>
    <t>JEA (Also in Duval, Nassau, St. Johns)</t>
  </si>
  <si>
    <t>88271</t>
  </si>
  <si>
    <t xml:space="preserve">SJRWMD Clay Total </t>
  </si>
  <si>
    <t>Columbia - SRWMD</t>
  </si>
  <si>
    <t>City of Lake City</t>
  </si>
  <si>
    <t>217754</t>
  </si>
  <si>
    <t>Columbia County Board of Commissioners</t>
  </si>
  <si>
    <t>220704</t>
  </si>
  <si>
    <t xml:space="preserve">SRWMD Columbia Total </t>
  </si>
  <si>
    <t>Duval - SJRWMD</t>
  </si>
  <si>
    <t xml:space="preserve">Neighborhood Utilities, Inc. </t>
  </si>
  <si>
    <t>756</t>
  </si>
  <si>
    <t>City of Baldwin</t>
  </si>
  <si>
    <t>784</t>
  </si>
  <si>
    <t>City of Jacksonville Beach</t>
  </si>
  <si>
    <t>793</t>
  </si>
  <si>
    <t xml:space="preserve">Atlantic Beach Utility </t>
  </si>
  <si>
    <t>810</t>
  </si>
  <si>
    <t>City of Neptune Beach</t>
  </si>
  <si>
    <t>842</t>
  </si>
  <si>
    <t>St Johns County Utilities / Intercoastal (Also in St. Johns)</t>
  </si>
  <si>
    <t>1142</t>
  </si>
  <si>
    <t>Normandy Villages Utilities</t>
  </si>
  <si>
    <t>50293</t>
  </si>
  <si>
    <t>JEA (Also in Clay, Nassau, St. Johns)</t>
  </si>
  <si>
    <t xml:space="preserve">SJRWMD Duval Total </t>
  </si>
  <si>
    <t>Flagler - SJRWMD</t>
  </si>
  <si>
    <t>City of Flagler Beach</t>
  </si>
  <si>
    <t>59</t>
  </si>
  <si>
    <t>City of Palm Coast</t>
  </si>
  <si>
    <t>1947</t>
  </si>
  <si>
    <t>Plantation Bay Utility Company (Also in Volusia)</t>
  </si>
  <si>
    <t>1960</t>
  </si>
  <si>
    <t>City of Bunnell</t>
  </si>
  <si>
    <t>1982</t>
  </si>
  <si>
    <t xml:space="preserve">Manufactured Home Communities </t>
  </si>
  <si>
    <t>2002</t>
  </si>
  <si>
    <t>City of Ormond Beach (Also in Volusia)</t>
  </si>
  <si>
    <t>8932</t>
  </si>
  <si>
    <t>Volusia County Utilities (Also in Volusia)</t>
  </si>
  <si>
    <t>50157, 50659, 86278</t>
  </si>
  <si>
    <t xml:space="preserve">Dunes Community Development District </t>
  </si>
  <si>
    <t xml:space="preserve">SJRWMD Flagler Total </t>
  </si>
  <si>
    <t>Gilchrist - SRWMD</t>
  </si>
  <si>
    <t>City of Trenton Water Treatment Plant</t>
  </si>
  <si>
    <t>Fanning Springs (Also in Dixie and Levy)</t>
  </si>
  <si>
    <t xml:space="preserve">SRWMD Gilchrist Total </t>
  </si>
  <si>
    <t>Hamilton - SRWMD</t>
  </si>
  <si>
    <t>Town of Jennings</t>
  </si>
  <si>
    <t>216567</t>
  </si>
  <si>
    <t>Town of White Springs</t>
  </si>
  <si>
    <t>216651</t>
  </si>
  <si>
    <t>Hamilton County Water Facilities</t>
  </si>
  <si>
    <t>220443</t>
  </si>
  <si>
    <t>City of Jasper</t>
  </si>
  <si>
    <t>220463</t>
  </si>
  <si>
    <t xml:space="preserve">SRWMD Hamilton Total </t>
  </si>
  <si>
    <t>Nassau - SJRWMD</t>
  </si>
  <si>
    <t>City of Fernandina Beach</t>
  </si>
  <si>
    <t>122</t>
  </si>
  <si>
    <t xml:space="preserve">Town of Callahan </t>
  </si>
  <si>
    <t>922</t>
  </si>
  <si>
    <t>Town of Hilliard</t>
  </si>
  <si>
    <t>948</t>
  </si>
  <si>
    <t>Nassau Amelia Utilities</t>
  </si>
  <si>
    <t>50087</t>
  </si>
  <si>
    <t>JEA (Also in Clay, Duval, St. Johns / Old 942)</t>
  </si>
  <si>
    <t xml:space="preserve">SJRWMD Nassau Total </t>
  </si>
  <si>
    <t>Putnam - SJRWMD</t>
  </si>
  <si>
    <t>Town of Interlachen</t>
  </si>
  <si>
    <t>1624, 8150</t>
  </si>
  <si>
    <t>City of Crescent City</t>
  </si>
  <si>
    <t>Melrose Water Association</t>
  </si>
  <si>
    <t>River Park Utilities Management Assoc.</t>
  </si>
  <si>
    <t>City of Palatka</t>
  </si>
  <si>
    <t xml:space="preserve">Town of Welaka </t>
  </si>
  <si>
    <t>Putnam County BOCC</t>
  </si>
  <si>
    <t xml:space="preserve">SJRWMD Putnam Total </t>
  </si>
  <si>
    <t>St. Johns - SJRWMD</t>
  </si>
  <si>
    <t xml:space="preserve">North Beach Utilities </t>
  </si>
  <si>
    <t>Wildwood Water Company</t>
  </si>
  <si>
    <t>St. Johns County Utilities / Intercoastal (Also in Duval)</t>
  </si>
  <si>
    <t xml:space="preserve">St. Johns County Utilities </t>
  </si>
  <si>
    <t>City of St. Augustine Utilities</t>
  </si>
  <si>
    <t>JEA (Also in Clay, Duval, Nassau)</t>
  </si>
  <si>
    <t xml:space="preserve">SJRWMD St. Johns Total </t>
  </si>
  <si>
    <t>Suwannee - SRWMD</t>
  </si>
  <si>
    <t>Town of Wellborn</t>
  </si>
  <si>
    <t>Town of Branford</t>
  </si>
  <si>
    <t>Advent Christian Village</t>
  </si>
  <si>
    <t>City of Live Oak</t>
  </si>
  <si>
    <t xml:space="preserve">SRWMD Suwannee Total </t>
  </si>
  <si>
    <t>Union - SRWMD</t>
  </si>
  <si>
    <t>City of Lake Butler</t>
  </si>
  <si>
    <t xml:space="preserve">SRWMD Union Total </t>
  </si>
  <si>
    <t>1.) All water use and demand projections are shown in million gallons per day.</t>
  </si>
  <si>
    <t>3.) Projected population for years 2020 - 2045 are based on BEBR Population Projections: Volume 53, Bulletin 186, Published January 2020. For planning purposes, incarcerated population was removed from the BEBR countywide totals for the counties located within the SRWMD.</t>
  </si>
  <si>
    <t>5.) Population and demand projections for GRU represent both within the SJRWMD and SRWMD.</t>
  </si>
  <si>
    <t xml:space="preserve">6.) Per capita used to calculate demand projections is an average from 2014 - 2018 and is calculated as (Total Water Use / Total Estimated Population). This per capita is commonly referred to as a gross per capita, as it includes all uses within a utility. </t>
  </si>
  <si>
    <t>7.) 1-in-10 rainfall year demand for 2045 calculated as an additional 6 percent of 2045 average demand.</t>
  </si>
  <si>
    <t>8.) SW quantities (allocations) for 2020 - 2045 were obtained from consumptive use permits.</t>
  </si>
  <si>
    <t xml:space="preserve">9.)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water use demand served by public supply systems from those served by domestic self-supply wells. Therefore, public water supply water demands estimated often include some domestic self-supply demand.  </t>
  </si>
  <si>
    <t>Table A-5 (SRWMD - Western Planning Region). Public Supply Population Served and Water Use for 2015 and Public Supply Population Projections for 2020-2045, 5-in-10 Year Water Demand Projections for 2020-2045 and 1-in-10 Year Water Demand Projections for 2045 by County and Utility, in the Western Planning Region of the Suwannee River Water Management District.</t>
  </si>
  <si>
    <t>Dixie - SRWMD</t>
  </si>
  <si>
    <t>Town of Cross City</t>
  </si>
  <si>
    <t>Town of Suwannee</t>
  </si>
  <si>
    <t>Town of Horseshoe Beach</t>
  </si>
  <si>
    <t>NCRWA Old Town (Also in Gilchrist and Levy)</t>
  </si>
  <si>
    <t xml:space="preserve">SRWMD Dixie Total </t>
  </si>
  <si>
    <t>Jefferson - SRWMD</t>
  </si>
  <si>
    <t>Jefferson Communities Water System Inc.</t>
  </si>
  <si>
    <t xml:space="preserve">SRWMD Jefferson Total </t>
  </si>
  <si>
    <t>Lafayette - SRWMD</t>
  </si>
  <si>
    <t>Town of Mayo</t>
  </si>
  <si>
    <t xml:space="preserve">SRWMD Lafayette Total </t>
  </si>
  <si>
    <t>Levy - SRWMD</t>
  </si>
  <si>
    <t>Cedar Key SP Water &amp; Sewer District</t>
  </si>
  <si>
    <t>216821</t>
  </si>
  <si>
    <t>City of Chiefland</t>
  </si>
  <si>
    <t>216826</t>
  </si>
  <si>
    <t>Town of Bronson</t>
  </si>
  <si>
    <t>216830</t>
  </si>
  <si>
    <t>City of Fanning Springs (Also in Dixie and Gilchrist)</t>
  </si>
  <si>
    <t>220310</t>
  </si>
  <si>
    <t xml:space="preserve">SRWMD Levy Total </t>
  </si>
  <si>
    <t>Madison - SRWMD</t>
  </si>
  <si>
    <t>City of Madison</t>
  </si>
  <si>
    <t>216506</t>
  </si>
  <si>
    <t>Town of Greenville</t>
  </si>
  <si>
    <t>217127</t>
  </si>
  <si>
    <t>Town of Lee</t>
  </si>
  <si>
    <t>218663</t>
  </si>
  <si>
    <t>Cherry Lake Utilities Corporation Inc.</t>
  </si>
  <si>
    <t>219588</t>
  </si>
  <si>
    <t xml:space="preserve">SRWMD Madison Total </t>
  </si>
  <si>
    <t>Taylor - SRWMD</t>
  </si>
  <si>
    <t>City of Perry</t>
  </si>
  <si>
    <t>Big Bend Water Authority</t>
  </si>
  <si>
    <t>Taylor Coastal</t>
  </si>
  <si>
    <t xml:space="preserve">SRWMD Taylor Total </t>
  </si>
  <si>
    <t xml:space="preserve">5.) Per capita used to calculate demand projections is an average from 2014 - 2018 and is calculated as (Total Water Use / Total Estimated Population). This per capita is commonly referred to as a gross per capita, as it includes all uses within a utility. </t>
  </si>
  <si>
    <t>6.) 1-in-10 rainfall year demand for 2045 calculated as an additional 6 percent of 2045 average demand.</t>
  </si>
  <si>
    <t>7.) SW quantities (allocations) for 2020 - 2045 were obtained from consumptive use permits.</t>
  </si>
  <si>
    <t xml:space="preserve">8.)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water use demand served by public supply systems from those served by domestic self-supply wells. Therefore, public water supply water demands estimated often include some domestic self-supply demand.  </t>
  </si>
  <si>
    <t>Table A-5a. 2014-2018 Water Use, Population Served, and Five-Year Gross Per Capita Averages for Public Supply Permitted Equal to or Greater than 0.10 mgd, in Region 1 of the St. Johns River Water Management District and the North Florida Regional Water Supply Planning Region of the Suwannee River Water Management District.</t>
  </si>
  <si>
    <t>Cup Number</t>
  </si>
  <si>
    <t>Owner</t>
  </si>
  <si>
    <t>Alternate Name / Comments</t>
  </si>
  <si>
    <t>Population</t>
  </si>
  <si>
    <t>2014-2018  Average Gross GPCD</t>
  </si>
  <si>
    <t>Notes</t>
  </si>
  <si>
    <t>Alachua</t>
  </si>
  <si>
    <t xml:space="preserve">Gainesville Regional Utilities </t>
  </si>
  <si>
    <t>GRU</t>
  </si>
  <si>
    <t>Kincaid Hills</t>
  </si>
  <si>
    <t>Arredondo Farms</t>
  </si>
  <si>
    <t>City of Newberry</t>
  </si>
  <si>
    <t>PWS 2010207</t>
  </si>
  <si>
    <t>City of Archer</t>
  </si>
  <si>
    <t>PWS 2010199</t>
  </si>
  <si>
    <t>City of High Springs Water Plant</t>
  </si>
  <si>
    <t>PWS 2010201</t>
  </si>
  <si>
    <t>City of Waldo</t>
  </si>
  <si>
    <t>PWS 2010212</t>
  </si>
  <si>
    <t>City of Alachua</t>
  </si>
  <si>
    <t>PWS 2010017</t>
  </si>
  <si>
    <t xml:space="preserve">SRWMD Alachua Total </t>
  </si>
  <si>
    <t>Baker</t>
  </si>
  <si>
    <t>Town of Glen St. Mary</t>
  </si>
  <si>
    <t>PWS 2040211</t>
  </si>
  <si>
    <t>Bradford</t>
  </si>
  <si>
    <t>PWS 2040648</t>
  </si>
  <si>
    <t>Postmaster Village, Keystone Heights, CCUA</t>
  </si>
  <si>
    <r>
      <t xml:space="preserve">Bradford, </t>
    </r>
    <r>
      <rPr>
        <b/>
        <sz val="10"/>
        <rFont val="Arial"/>
        <family val="2"/>
      </rPr>
      <t>Clay</t>
    </r>
  </si>
  <si>
    <t>Clay County Utility served 939 people in SRWMD portion of Bradford County in 2015.</t>
  </si>
  <si>
    <t>Clay</t>
  </si>
  <si>
    <t>PWS 2120630 &amp; 2124372</t>
  </si>
  <si>
    <t>PWS 2124413</t>
  </si>
  <si>
    <t>Buccaneer / Atlantic Beach</t>
  </si>
  <si>
    <t xml:space="preserve">Normandy Villages Utilities </t>
  </si>
  <si>
    <t xml:space="preserve">JEA </t>
  </si>
  <si>
    <r>
      <t xml:space="preserve">Clay, </t>
    </r>
    <r>
      <rPr>
        <b/>
        <sz val="10"/>
        <rFont val="Arial"/>
        <family val="2"/>
      </rPr>
      <t>Duval</t>
    </r>
    <r>
      <rPr>
        <sz val="10"/>
        <rFont val="Arial"/>
        <family val="2"/>
      </rPr>
      <t>, Nassau, St. Johns</t>
    </r>
  </si>
  <si>
    <t>Flagler</t>
  </si>
  <si>
    <t xml:space="preserve">Include Beverly Beach Area </t>
  </si>
  <si>
    <t>Plantation Bay Utility Company</t>
  </si>
  <si>
    <r>
      <rPr>
        <b/>
        <sz val="10"/>
        <rFont val="Arial"/>
        <family val="2"/>
      </rPr>
      <t>Flagler</t>
    </r>
    <r>
      <rPr>
        <sz val="10"/>
        <rFont val="Arial"/>
        <family val="2"/>
      </rPr>
      <t>, Volusia</t>
    </r>
  </si>
  <si>
    <t>Bulow Village Campground</t>
  </si>
  <si>
    <t>Includes Golf Course. Per capita of 188 for just PS.</t>
  </si>
  <si>
    <t>PWS 2211188</t>
  </si>
  <si>
    <t>Fanning Springs</t>
  </si>
  <si>
    <t xml:space="preserve">Wells are outside of Gilshrist County </t>
  </si>
  <si>
    <t>PWS 2240579</t>
  </si>
  <si>
    <t>PWS 2241264</t>
  </si>
  <si>
    <t>PWS 2240570</t>
  </si>
  <si>
    <t>Table A-5a, Continued. 2014-2018 Water Use, Population Served, and Five-Year Gross Per Capita Averages for Public Supply Permitted Equal to or Greater than 0.10 mgd, in Region 1 of the St. Johns River Water Management District and the North Florida Regional Water Supply Planning Region of the Suwannee River Water Management District.</t>
  </si>
  <si>
    <t>Nassau</t>
  </si>
  <si>
    <t>Nassau County Board of County Commissioners</t>
  </si>
  <si>
    <t>Amelia Island</t>
  </si>
  <si>
    <t>Nassau Regional (Old 942)</t>
  </si>
  <si>
    <t>Putnam</t>
  </si>
  <si>
    <t xml:space="preserve">Service area covers Putnam, Clay, Alachua, and Bradford Counties. </t>
  </si>
  <si>
    <t>River Park Utility Mgt. Assoc.</t>
  </si>
  <si>
    <t>East Putnam County Water System. East Palatka &amp; San Mateo</t>
  </si>
  <si>
    <t>St. Johns</t>
  </si>
  <si>
    <t>St. Johns County Utilities</t>
  </si>
  <si>
    <t>Was previously Intercoastal Utilities CUP 1213 (consolidated)</t>
  </si>
  <si>
    <r>
      <t xml:space="preserve">Duval, </t>
    </r>
    <r>
      <rPr>
        <b/>
        <sz val="10"/>
        <rFont val="Arial"/>
        <family val="2"/>
      </rPr>
      <t>St. Johns</t>
    </r>
  </si>
  <si>
    <t>Serves Eagle Creek - PWSID interconnection 2554353</t>
  </si>
  <si>
    <t>Town of Hastings</t>
  </si>
  <si>
    <t xml:space="preserve">City of St. Augustine Utilities </t>
  </si>
  <si>
    <t>PWS 2611246</t>
  </si>
  <si>
    <t>PWS 2610109</t>
  </si>
  <si>
    <t>PWS 2610012</t>
  </si>
  <si>
    <t>PWS 2610203</t>
  </si>
  <si>
    <t>PWS 2630202</t>
  </si>
  <si>
    <t>3.) 2014 - 2018 water use data source is NFSEG master geodatabase with metered and estimated public supply water use.</t>
  </si>
  <si>
    <t>4.) 2014 - 2018 population obtained from Technical Staff Reports, BEBR estimates of population, DEP MOR and Base Facility Report Data, parcel data, and permittee surveys.</t>
  </si>
  <si>
    <t>Table A-5a (SRWMD - Western Planning Region). 2014-2018 Water Use, Population Served, and Five-Year Gross Per Capita Averages for Public Supply Permitted Equal to or Greater than 0.10 mgd, in the Western Planning Region of the Suwannee River Water Management District.</t>
  </si>
  <si>
    <t>PWS 2151140</t>
  </si>
  <si>
    <t>PWS 2150512</t>
  </si>
  <si>
    <t>NCRWA Old Town</t>
  </si>
  <si>
    <t>Wells are outside of Dixie County.</t>
  </si>
  <si>
    <t>Permitted by NWFWMD</t>
  </si>
  <si>
    <t>Jefferson Communities Water System  Inc. - Lloyd System</t>
  </si>
  <si>
    <t>PWS 1330748</t>
  </si>
  <si>
    <t>Wells are in NWFWMD</t>
  </si>
  <si>
    <t>PWS 2341181</t>
  </si>
  <si>
    <t>Cedar Key Sp Water &amp; Sewer District</t>
  </si>
  <si>
    <t>PWS 2380178</t>
  </si>
  <si>
    <t>PWS 2380189</t>
  </si>
  <si>
    <t>PWS 2381178</t>
  </si>
  <si>
    <t>City of Fanning Springs</t>
  </si>
  <si>
    <t>PWS 2381411</t>
  </si>
  <si>
    <t>The per capita was re-calculated to include the whole population estimate for the utility, resulting in a GPCD of 170.</t>
  </si>
  <si>
    <t>PWS 2400205</t>
  </si>
  <si>
    <t>PWS 2400440</t>
  </si>
  <si>
    <t>PWS 2401296</t>
  </si>
  <si>
    <t>Cherry Lake Utilities Corporation  Inc.</t>
  </si>
  <si>
    <t>PWS 2400185</t>
  </si>
  <si>
    <t xml:space="preserve">City of Perry </t>
  </si>
  <si>
    <t>PWS 2620208</t>
  </si>
  <si>
    <t>PWS 2621102</t>
  </si>
  <si>
    <t>PWS 2624165</t>
  </si>
  <si>
    <t>Jefferson Communities Population is not included in the GPCD calculation</t>
  </si>
  <si>
    <t>Table A-6. Domestic Self-supply and Small Public Supply Systems Population and Water Use for 2015 and 5-in-10 Year Water Demand Projections for 2020-2045, and 1-in-10 Year Water Demand Projections for 2045 by County, in Region 1 of the St. Johns River Water Management District and the North Florida Regional Water Supply Planning Region of the Suwannee River Water Management District.</t>
  </si>
  <si>
    <t xml:space="preserve">3.)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populations served by public supply systems from those served by domestic self-supply wells. Therefore, public water supply populations estimated often include some domestic self-supply population. </t>
  </si>
  <si>
    <t>4.) 1-in-10 rainfall year demand for 2045 calculated as an additional 6 percent of 2045 average demand.</t>
  </si>
  <si>
    <t>Table A-6 (SRWMD - Western Planning Region). Domestic Self-supply and Small Public Supply Systems Population and Water Use for 2015 and 5-in-10 Year Water Demand Projections for 2020-2045, and 1-in-10 Year Water Demand Projections for 2045 by County, in the Western Planning Region of the Suwannee River Water Management District.</t>
  </si>
  <si>
    <t>Table A-6a. Domestic Self-Supply Population and Water Use for 2015 and Population Projections for 2020-2045, 5-in-10 Year Water Demand Projections for 2020-2045 and 1-in-10 Year Water Demand Projections for 2045 by County, in Region 1 of the St. Johns River Water Management District and the North Florida Regional Water Supply Planning Region of the Suwannee River Water Management District.</t>
  </si>
  <si>
    <t xml:space="preserve">2014-2018 Avg GPCD </t>
  </si>
  <si>
    <t xml:space="preserve">     </t>
  </si>
  <si>
    <t>3.) Projected population for years 2020 - 2045 are based on BEBR Population Projections: Volume 53, Bulletin 186, Published January 2020.</t>
  </si>
  <si>
    <t xml:space="preserve">5.) Per capita used to calculate demand projections is an average from 2014 - 2018 and is calculated as (Total County-wide Residential Water Use / Total Estimated Population). This per capita is commonly referred to as a residential per capita, as it only includes the indoor and outdoor residential uses. </t>
  </si>
  <si>
    <t>7.) All demands are expected to come from groundwater, thus surface water projections are zero.</t>
  </si>
  <si>
    <t>8.) 2015 water use data source is NFSEG master geodatabase with estimated domestic self-supply water use.</t>
  </si>
  <si>
    <t>9.) 2014 - 2018 residential county per capita rates obtained from SJRWMD and SRWMD published water use reports.</t>
  </si>
  <si>
    <t>Table A-6a (SRWMD - Western Planning Region). Domestic Self-Supply Population and Water Use for 2015 and Population Projections for 2020-2045, 5-in-10 Year Water Demand Projections for 2020-2045 and 1-in-10 Year Water Demand Projections for 2045 by County, in the Western Planning Region of the Suwannee River Water Management District.</t>
  </si>
  <si>
    <t>Table A-6b. Small Public Supply Population Served and Water Use for 2015, Small Public Supply Population Projections 2020-2045, 5-in-10 Year Water Demand Projections for 2020-2045 and 1-in-10 Year Water Demand Projections for 2045 by County and Utility, in Region 1 of the St. Johns River Water Management District and the North Florida Regional Water Supply Planning Region of the Suwannee River Water Management District.</t>
  </si>
  <si>
    <t>Bristol Harbour Owners Association</t>
  </si>
  <si>
    <t>Farnsworth Properties</t>
  </si>
  <si>
    <t>Lake Alto Estates Association, Inc.</t>
  </si>
  <si>
    <t>Town of Brooker</t>
  </si>
  <si>
    <t>Erasto Abreu</t>
  </si>
  <si>
    <t>City of Hampton</t>
  </si>
  <si>
    <t>Penney Retirement Community Inc.</t>
  </si>
  <si>
    <t>Penney Farms Water Utility Enterprise</t>
  </si>
  <si>
    <t>Green Cove Springs LP</t>
  </si>
  <si>
    <t>Waters Park</t>
  </si>
  <si>
    <t>B &amp; H Mobile Home Park</t>
  </si>
  <si>
    <t>Timberlane Mobile Home Community</t>
  </si>
  <si>
    <t>Town of Fort White</t>
  </si>
  <si>
    <t>Melvin &amp; Gale Sheppard</t>
  </si>
  <si>
    <t>Azalea Park Subdivision</t>
  </si>
  <si>
    <t>Shady Oak Subdivision</t>
  </si>
  <si>
    <t>Windham Mobile Home Park</t>
  </si>
  <si>
    <t>Palm Villa</t>
  </si>
  <si>
    <t>Consolidated Water Works/Shade Oaks Subdivision</t>
  </si>
  <si>
    <t>McCracken Mobile Home Park</t>
  </si>
  <si>
    <t>Paradise Village Mobile Home Park</t>
  </si>
  <si>
    <t>GLC Properties, LLC</t>
  </si>
  <si>
    <t>Cheryl Kellett Mobile Home Park</t>
  </si>
  <si>
    <t>Timmons Apartments</t>
  </si>
  <si>
    <t>W.R. Smithey Apartments</t>
  </si>
  <si>
    <t>Woodgate Village</t>
  </si>
  <si>
    <t>Lance Water</t>
  </si>
  <si>
    <t>Holiday Travel Park Co-op Inc.</t>
  </si>
  <si>
    <t>Shandy Grove Mobile Home Park</t>
  </si>
  <si>
    <t>Tommy Cannady Residence / Mobile Homes</t>
  </si>
  <si>
    <t>Hamilton County Development Authority</t>
  </si>
  <si>
    <t>Bobby Dollison</t>
  </si>
  <si>
    <t>Callahan Country RV Resort</t>
  </si>
  <si>
    <t xml:space="preserve"> N/A</t>
  </si>
  <si>
    <t>Florida Government Utility Authority</t>
  </si>
  <si>
    <t>Kirkwood Estates</t>
  </si>
  <si>
    <t>Lake Como Water Assoc</t>
  </si>
  <si>
    <t>Hiawatha Management Inc.</t>
  </si>
  <si>
    <t>St. Johns Harbor Water Association</t>
  </si>
  <si>
    <t>Aqua Utilities Florida, Inc. (formerly P-AUF1)</t>
  </si>
  <si>
    <t>Aqua Utilities Florida, Inc. (formerly P-AUF3)</t>
  </si>
  <si>
    <t>Aqua Utilities Florida, Inc. (formerly 7984 &amp; 7988)</t>
  </si>
  <si>
    <t>River Villas Inc. (formerly 8129)</t>
  </si>
  <si>
    <t>Pinkham Pacetti</t>
  </si>
  <si>
    <t>Comachee Cove Yacht Harbor</t>
  </si>
  <si>
    <t>Homeowners Utilities</t>
  </si>
  <si>
    <t>Fruit Cove Utilities</t>
  </si>
  <si>
    <t>Wayne Friar Mobile Home Park</t>
  </si>
  <si>
    <t>Oak Breeze Mobile Home Park</t>
  </si>
  <si>
    <t>Bembry's Trailer Park</t>
  </si>
  <si>
    <t>Morgan's Trailer Park</t>
  </si>
  <si>
    <t>Carl Griffis TRS -052119</t>
  </si>
  <si>
    <t>Glenn S. Howard</t>
  </si>
  <si>
    <t>S. M. Brown, Jr. Mobile Home Park</t>
  </si>
  <si>
    <t>Wallace Johns Mobile Home Park</t>
  </si>
  <si>
    <t>Table A-6b (SRWMD - Western Planning Region). Small Public Supply Population Served and Water Use for 2015, Small Public Supply Population Projections 2020-2045, 5-in-10 Year Water Demand Projections for 2020-2045 and 1-in-10 Year Water Demand Projections for 2045 by County and Utility, in the Western Planning Region of the Suwannee River Water Management District.</t>
  </si>
  <si>
    <t>Charles Carr</t>
  </si>
  <si>
    <t>Larry T. Cannon</t>
  </si>
  <si>
    <t>Jim &amp; Sophie Deal</t>
  </si>
  <si>
    <t xml:space="preserve">Velma Lovelace </t>
  </si>
  <si>
    <t>Jefferson Communities Water System  Inc.  - Lamont System</t>
  </si>
  <si>
    <t>Blevins Propeties, Inc.</t>
  </si>
  <si>
    <t>Fowlers Bluff Water Association</t>
  </si>
  <si>
    <t>University Oaks MHP</t>
  </si>
  <si>
    <t>Manatee Utilities</t>
  </si>
  <si>
    <t xml:space="preserve">Town of Otter Creek </t>
  </si>
  <si>
    <t xml:space="preserve">Springside / Propery Planning </t>
  </si>
  <si>
    <t>Jimmie Ragans</t>
  </si>
  <si>
    <t>M. V. Evans Mobile Home Park</t>
  </si>
  <si>
    <t>ALS Pheonix Water System</t>
  </si>
  <si>
    <t xml:space="preserve">Everett's Mobile Home Park </t>
  </si>
  <si>
    <t>Table A-6c. 2014-2018 Water Use, Population Served, and Five-Year Gross Per Capita Averages for Public Supply Permitted Smaller than 0.10 mgd in Region 1 of the St. Johns River Water Management District and the North Florida Regional Water Supply Planning Region of the Suwannee River Water Management District.</t>
  </si>
  <si>
    <t>Water Use 2014</t>
  </si>
  <si>
    <t>Water Use 2015</t>
  </si>
  <si>
    <t>Water Use 2016</t>
  </si>
  <si>
    <t>Water Use 2017</t>
  </si>
  <si>
    <t>Water Use 2018</t>
  </si>
  <si>
    <t>Population 2014</t>
  </si>
  <si>
    <t>Population 2015</t>
  </si>
  <si>
    <t>Population 2016</t>
  </si>
  <si>
    <t>Population 2017</t>
  </si>
  <si>
    <t>Population 2018</t>
  </si>
  <si>
    <t>2014-2018  Avg GPCD</t>
  </si>
  <si>
    <t>Lake Alto Estates Association Inc.</t>
  </si>
  <si>
    <t>PWS 2010625</t>
  </si>
  <si>
    <t>PWS 2040113</t>
  </si>
  <si>
    <t>PWS 2040456</t>
  </si>
  <si>
    <t>Penney Retirement Community</t>
  </si>
  <si>
    <t>Town of Penney Farms</t>
  </si>
  <si>
    <t>St Johns Landing</t>
  </si>
  <si>
    <t xml:space="preserve"> SJRWMD Clay Total </t>
  </si>
  <si>
    <t>PWS 2124399</t>
  </si>
  <si>
    <t>Consolidated Water Works/Shady Oaks Subdivision</t>
  </si>
  <si>
    <t>SRWMD Columbia Total</t>
  </si>
  <si>
    <t>Holiday Travel Park</t>
  </si>
  <si>
    <t xml:space="preserve"> SJRWMD Flagler Total  </t>
  </si>
  <si>
    <t>Shady Grove Mobile Home Park</t>
  </si>
  <si>
    <t>Tommy Cannady Residence/Mobile Homes</t>
  </si>
  <si>
    <t>SRWMD Hamilton Total</t>
  </si>
  <si>
    <t>American Beach</t>
  </si>
  <si>
    <t xml:space="preserve">SJRWMD Nassau Total  </t>
  </si>
  <si>
    <t xml:space="preserve">Aqua Utilities of Florida, Inc. </t>
  </si>
  <si>
    <t>River Grove</t>
  </si>
  <si>
    <t>Park Manor- Interlachen Lake Estates</t>
  </si>
  <si>
    <t>Hilltop Farms Inc.</t>
  </si>
  <si>
    <t>Lake Como Water Assoc.</t>
  </si>
  <si>
    <t>Village of Lake Como</t>
  </si>
  <si>
    <t>Hiawatha Management</t>
  </si>
  <si>
    <t>Palm Port</t>
  </si>
  <si>
    <t>CUP # 90227 was in house, but never issued - "No permit required."</t>
  </si>
  <si>
    <t>Aqua Utilities of Florida, Inc. (formerly P-AUF1)</t>
  </si>
  <si>
    <t xml:space="preserve">Wootens MHP (PWSID 2541280), Beechers Point (2540070) do not have any record of CUPs. Two other PWSABs have expired CUPs # 64974  (Silver Lake Oaks - PWSID 2544258) and 82918  (Saratoga - PWSIDs 2541008, 2541242).  </t>
  </si>
  <si>
    <t>Aqua Utilities of Florida, Inc. (formerly P-AUF3)</t>
  </si>
  <si>
    <t>Pomona Park</t>
  </si>
  <si>
    <t>Aqua Utilities of Florida, Inc. (formerly 7984 &amp; 7988)</t>
  </si>
  <si>
    <t>CUPs 7984 (Hermits Cove - PWSID 2540482) and 7988 (St Johns Highlands / Hermits Cove - PWSID 2540482) expired in 1992 and were not renewed - "No permit required." St Johns River Club Utilities PWSID 2544266 does not have any record of a CUP.</t>
  </si>
  <si>
    <t>Mr. W. Herrington</t>
  </si>
  <si>
    <t>River Villas Inc.</t>
  </si>
  <si>
    <t>CUP 8129 was closed in 2003, no permit required.</t>
  </si>
  <si>
    <t>Pacetti's Marina &amp; Campground</t>
  </si>
  <si>
    <t>Porpoise Point</t>
  </si>
  <si>
    <t>St. Johns County Board of County Commissioners</t>
  </si>
  <si>
    <t xml:space="preserve">Fruit Cove Oaks. Was previously owned by  Fruit Cove Properties Joint Venture. </t>
  </si>
  <si>
    <t>Table A-6c, Continued. 2014-2018 Water Use, Population Served, and Five-Year Gross Per Capita Averages for Public Supply Permitted Smaller than 0.10 mgd in Region 1 of the St. Johns River Water Management District and the North Florida Regional Water Supply Planning Region of the Suwannee River Water Management District.</t>
  </si>
  <si>
    <t>PWS ID 2611239</t>
  </si>
  <si>
    <t>Carl Griffis TRS -052118</t>
  </si>
  <si>
    <t>SJRWMD Region 1 Total</t>
  </si>
  <si>
    <t>SRWMD NFRWSP Total</t>
  </si>
  <si>
    <t>NFRWSP Total</t>
  </si>
  <si>
    <t>3.) 2014 - 2018 water use data source is NFSEG master geodatabase with metered and estimated small public supply water use.</t>
  </si>
  <si>
    <t>Table A-6c (SRWMD - Western Planning Region). 2014-2018 Water Use, Population Served, and Five-Year Gross Per Capita Averages for Public Supply Permitted Smaller than 0.10 mgd in the Western Planning Region of the Suwannee River Water Management District.</t>
  </si>
  <si>
    <t>SRWMD Dixie Total</t>
  </si>
  <si>
    <t>PWS 1330754</t>
  </si>
  <si>
    <t>SRWMD Jefferson Total</t>
  </si>
  <si>
    <t>Blevins Properties, Inc.</t>
  </si>
  <si>
    <t>PWS 2380387</t>
  </si>
  <si>
    <t>PWS 2380854</t>
  </si>
  <si>
    <t>Springside/Property Planning</t>
  </si>
  <si>
    <t>SRWMD Levy Total</t>
  </si>
  <si>
    <t>SRWMD Madison Total</t>
  </si>
  <si>
    <t>SRWMD Taylor Total</t>
  </si>
  <si>
    <t>SRWMD Western Planning Region Total</t>
  </si>
  <si>
    <t>Table A-7. Agricultural Irrigation Self-supply Water Use, Miscellaneous Agricultural Water Use, and Acreage for 2015, 5-in-10 Year Water Demand Projections for 2020-2045, Acreage Projections for 2020-2045, and 1-in-10 Year Water Demand Projections for 2045 by County, in Region 1 of the St. Johns River Water Management District and the North Florida Regional Water Supply Planning Region of the Suwannee River Water Management District.</t>
  </si>
  <si>
    <t>Demand</t>
  </si>
  <si>
    <t>Acreage</t>
  </si>
  <si>
    <t xml:space="preserve">Acreage  </t>
  </si>
  <si>
    <t>Acreage Projections</t>
  </si>
  <si>
    <t>Acreage Change 2015-2045</t>
  </si>
  <si>
    <t xml:space="preserve">Gilchrist </t>
  </si>
  <si>
    <t>3.) 2015 water use data source is NFSEG master geodatabase with metered and estimated agricultural water use.</t>
  </si>
  <si>
    <t xml:space="preserve">4.) 2015 acreage source is FSAID IV published June 30, 2017 by The Balmoral Group for the Florida Department of Agriculture and Consumer Services. </t>
  </si>
  <si>
    <t xml:space="preserve">5.) 2020 - 2045 acreage projections and 2020 - 2045 average and 1-in-10 water demand projections derived from FSAID VII, published June 30, 2020 from The Balmoral Group for the Florida Department of Agriculture and Consumer Services. </t>
  </si>
  <si>
    <t>6.) 2020 - 2045 groundwater / surface water split estimated using 2015 ratios.</t>
  </si>
  <si>
    <t>Table A-7 (SRWMD - Western Planning Region). Agricultural Irrigation Self-supply Water Use, Miscellaneous Agricultural Water Use, and Acreage for 2015, 5-in-10 Year Water Demand Projections for 2020-2045, Acreage Projections for 2020-2045, and 1-in-10 Year Water Demand Projections for 2045 by County, in the Western Planning Region of the Suwannee River Water Management District.</t>
  </si>
  <si>
    <t xml:space="preserve">Levy </t>
  </si>
  <si>
    <t>Table A-7a. Agricultural Irrigation Self-supply Water Use (Including Miscellaneous Water Use) and Acreage for 2015, 5-in-10 Year Water Demand Projections and Acreage Projections for 2020-2045, and 1-in-10 Year Water Demand Projections for 2045, by Crop Category by County, in Region 1 of the St. Johns River Water Management District and the North Florida Regional Water Supply Planning Region of the Suwannee River Water Management District.</t>
  </si>
  <si>
    <t>Crop Category</t>
  </si>
  <si>
    <t>2015 Estimated Agriculture</t>
  </si>
  <si>
    <t>2020 Projected Agriculture</t>
  </si>
  <si>
    <t>2025 Projected Agriculture</t>
  </si>
  <si>
    <t>2030 Projected Agriculture</t>
  </si>
  <si>
    <t>2035 Projected Agriculture</t>
  </si>
  <si>
    <t>2040 Projected Agriculture</t>
  </si>
  <si>
    <t>2045 Projected Agriculture</t>
  </si>
  <si>
    <t>2045 (1-in-10) Demand</t>
  </si>
  <si>
    <t>Acres</t>
  </si>
  <si>
    <t>MGD</t>
  </si>
  <si>
    <t xml:space="preserve">Alachua - SJRWMD </t>
  </si>
  <si>
    <t>Citrus</t>
  </si>
  <si>
    <t>Fruit (Non-citrus)</t>
  </si>
  <si>
    <t>Potatoes</t>
  </si>
  <si>
    <t>Vegetables (Fresh Market)</t>
  </si>
  <si>
    <t>Field Crops</t>
  </si>
  <si>
    <t>Greenhouse/Nursery</t>
  </si>
  <si>
    <t>Hay</t>
  </si>
  <si>
    <t>Sod</t>
  </si>
  <si>
    <t>Sugarcane</t>
  </si>
  <si>
    <t>Miscellaneous</t>
  </si>
  <si>
    <t xml:space="preserve">Alachua - SRWMD </t>
  </si>
  <si>
    <t xml:space="preserve">Alachua - Total </t>
  </si>
  <si>
    <t xml:space="preserve">Baker - SJRWMD </t>
  </si>
  <si>
    <t xml:space="preserve">Baker - SRWMD </t>
  </si>
  <si>
    <t xml:space="preserve">Baker - Total </t>
  </si>
  <si>
    <t>Table A-7a, Continued. Agricultural Irrigation Self-supply Water Use (Including Miscellaneous Water Use) and Acreage for 2015, 5-in-10 Year Water Demand Projections and Acreage Projections for 2020-2045, and 1-in-10 Year Water Demand Projections for 2045, by Crop Category by County, in Region 1 of the St. Johns River Water Management District and the North Florida Regional Water Supply Planning Region of the Suwannee River Water Management District.</t>
  </si>
  <si>
    <t xml:space="preserve">Bradford- SJRWMD </t>
  </si>
  <si>
    <t xml:space="preserve">Bradford - SRWMD </t>
  </si>
  <si>
    <t xml:space="preserve">Bradford - Total </t>
  </si>
  <si>
    <t xml:space="preserve">3.) 2015 total water use data source is NFSEG master geodatabase with metered and estimated agricultural water use. The 2015 water use by crop was estimated using 2020 FSAID VII ratios. </t>
  </si>
  <si>
    <t xml:space="preserve">5.) 2020 - 2045 acreage projections and 2020 - 2045 average and 1-in-10 water demand projections derived from FSAID VII published June 30, 2020 by The Balmoral Group for the Florida Department of Agriculture and Consumer Services. </t>
  </si>
  <si>
    <t>Table A-7a (SRWMD - Western Planning Region). Agricultural Irrigation Self-supply Water Use (Including Miscellaneous Water Use) and Acreage for 2015, 5-in-10 Year Water Demand Projections and Acreage Projections for 2020-2045, and 1-in-10 Year Water Demand Projections for 2045, by Crop Category by County, in the Western Planning Region of the Suwannee River Water Management District.</t>
  </si>
  <si>
    <t>Table A-7a (SRWMD - Western Planning Region), Continued. Agricultural Irrigation Self-supply Water Use (Including Miscellaneous Water Use) and Acreage for 2015, 5-in-10 Year Water Demand Projections and Acreage Projections for 2020-2045, and 1-in-10 Year Water Demand Projections for 2045, by Crop Category by County, in the Western Planning Region of the Suwannee River Water Management District.</t>
  </si>
  <si>
    <t xml:space="preserve">SRWMD  Western Planning Region Total </t>
  </si>
  <si>
    <t>Table A-7b. Miscellaneous Agricultural Self-supply Water Use for 2015, 5-in-10 Year Demand Projections for 2020-2045, and 1-in-10 Year Demand Projections for 2045 by County, in Region 1 of the St. Johns River Water Management District and the North Florida Regional Water Supply Planning Region of the Suwannee River Water Management District.</t>
  </si>
  <si>
    <t>2015 Water Use</t>
  </si>
  <si>
    <t>2020-2045 Demand Projections</t>
  </si>
  <si>
    <t>Percent Change Change 2015-2045</t>
  </si>
  <si>
    <t>Dairy</t>
  </si>
  <si>
    <t>Livestock</t>
  </si>
  <si>
    <t>Aquaculture</t>
  </si>
  <si>
    <t xml:space="preserve">3.) 2015 total water use data source is NFSEG master geodatabase with metered and estimated agricultural water use. The 2015 water use by category was estimated using 2020 FSAID VII ratios. </t>
  </si>
  <si>
    <t>4.) 2020 - 2045 projected water demand derived from FSAID VII AG layer, published June 30, 2020 by the Balmoral Group for the Florida Department of Agriculture and Consumer Services.</t>
  </si>
  <si>
    <t>5.) FSAID VII AG layer, published June 30, 2020 by the Balmoral Group for the Florida Department of Agriculture and Consumer Services assumes no increase for 1-in-10 year drought conditions.</t>
  </si>
  <si>
    <t>Table A-7b (SRWMD - Western Planning Region). Miscellaneous Agricultural Self-supply Water Use for 2015, 5-in-10 Year Demand Projections for 2020-2045, and 1-in-10 Year Demand Projections for 2045 by County, in the Western Planning Region of the Suwannee River Water Management District.</t>
  </si>
  <si>
    <t>Table A-8. Landscape / Recreational Self-supply Water Use for 2015 and 5-in-10 Year Demand Projections for 2020-2045, and 1-in-10 Year Demand Projections for 2045 by County, in Region 1 of the St. Johns River Water Management District and the North Florida Regional Water Supply Planning Region of the Suwannee River Water Management District.</t>
  </si>
  <si>
    <t>Duval</t>
  </si>
  <si>
    <t xml:space="preserve">3.) 2015 water use data source is NFSEG master geodatabase with metered and estimated landscape/recreational water use. </t>
  </si>
  <si>
    <t xml:space="preserve">4.) 2020 - 2045 projected surface water demand was interpolated based on 2015 percentages. </t>
  </si>
  <si>
    <t>5.) 2045 1-in-10 rainfall year demands estimated using percentage above average from highest water year from 2014 - 2018.</t>
  </si>
  <si>
    <t>Table A-8 (SRWMD - Western Planning Region). Landscape / Recreational Self-supply Water Use for 2015 and 5-in-10 Year Demand Projections for 2020-2045, and 1-in-10 Year Demand Projections for 2045 by County, in the Western Planning Region of the Suwannee River Water Management District.</t>
  </si>
  <si>
    <t>Table A-8a. 2014-2018 Water Use, Total County Population, and Five-Year Gross Per Capita Averages for Landscape / Recreational Self-supply and Landscape/Recreational Self-supply Water Demand Increases, in Region 1 of the St. Johns River Water Management District and the North Florida Regional Water Supply Planning Region of the Suwannee River Water Management District.</t>
  </si>
  <si>
    <t>Total County Water Use</t>
  </si>
  <si>
    <t>2014-2018 Average</t>
  </si>
  <si>
    <t>High Year</t>
  </si>
  <si>
    <t>% Above Average</t>
  </si>
  <si>
    <t>County Population Within District</t>
  </si>
  <si>
    <t>2014-2018  Average GPCD</t>
  </si>
  <si>
    <t>County Population Projections Within District</t>
  </si>
  <si>
    <t xml:space="preserve">Increase in County Population Within District </t>
  </si>
  <si>
    <t>Change in Landscape / Recreational Self-supply Water Demand</t>
  </si>
  <si>
    <t>2015-2020</t>
  </si>
  <si>
    <t>2020-2025</t>
  </si>
  <si>
    <t>2025-2030</t>
  </si>
  <si>
    <t>2030-2035</t>
  </si>
  <si>
    <t>2035-2040</t>
  </si>
  <si>
    <t>2040-2045</t>
  </si>
  <si>
    <t>3.) 2014 - 2018 water use data source is NFSEG master geodatabase with metered and estimated landscape / recreational water use.</t>
  </si>
  <si>
    <t>4.) 2014 - 2018 population obtained from Technical Staff Reports, BEBR estimates of population, DEP MOR and Base Facility Report Data, parcel data, published annual reports, and permittee surveys.</t>
  </si>
  <si>
    <t>5.) Projected population for years 2020 - 2045 are based on BEBR Population Projections: Volume 53, Bulletin 186, Published January 2020.</t>
  </si>
  <si>
    <t>Table A-8a (SRWMD - Western Planning Region). 2014-2018 Water Use, Total County Population, and Five-Year Gross Per Capita Averages for Landscape / Recreational Self-supply and Landscape/Recreational/Aesthetic Self-supply Water Demand Increases, in the Western Planning Region of the Suwannee River Water Management District.</t>
  </si>
  <si>
    <t>Table A-9. Commercial / Industrial / Institutional and Mining / Dewatering Self-supply Water Use for 2015 and 5-in-10 Year Demand Projections for 2020-2045, by County, in Region 1 of the St. Johns River Water Management District and the North Florida Regional Water Supply Planning Region of the Suwannee River Water Management District.</t>
  </si>
  <si>
    <t>3.) 2015 water use data source is NFSEG master geodatabase with metered and estimated commercial/industrial/institutional and mining/dewatering water use.</t>
  </si>
  <si>
    <t>4.) 2020 - 2045 projected surface water demand was interpolated based on 2015 percentages.</t>
  </si>
  <si>
    <t>5.) The commercial/industrial/institutional and mining/dewatering water use category is not impacted by drought conditions, therefore the 5-in-10 2045 water demand also serves as the 1-in-10 water demand.</t>
  </si>
  <si>
    <t>Table A-9 (SRWMD - Western Planning Region). Commercial / Industrial / Institutional and Mining / Dewatering Self-supply Water Use for 2015 and 5-in-10 Year Demand Projections for 2020-2045, by County, in the Western Planning Region of the Suwannee River Water Management District.</t>
  </si>
  <si>
    <t>Table A-9a. 2014-2018 Water Use, Total County Population, and Five-Year Gross Per Capita Averages for Commercial / Industrial / Institutional and Mining / Dewatering Self-supply Water Demand Increases, in Region 1 of the St. Johns River Water Management District and the North Florida Regional Water Supply Planning Region of the Suwannee River Water Management District.</t>
  </si>
  <si>
    <t>Change in Commercial / Industrial / Institutional and Mining / Dewatering Self-supply Water Demand</t>
  </si>
  <si>
    <t>3.) 2014 - 2018 water use data source is NFSEG master geodatabase with metered and estimated commercial / industrial / institutional and mining / dewatering water use.</t>
  </si>
  <si>
    <t>6.) Hamilton, Nassau, and Putnam counties projections were adjusted to hold pulp, paper mill, and large industrial quantities constant; total water use shown for calculations does not include pulp, paper mill, and large industrial quantities.</t>
  </si>
  <si>
    <t>Table A-9a (SRWMD - Western Planning Region). 2014-2018 Water Use, Total County Population, and Five-Year Gross Per Capita Averages for Commercial / Industrial / Institutional and Mining / Dewatering Self-supply Water Demand Increases, in the Western Planning Region of the Suwannee River Water Management District.</t>
  </si>
  <si>
    <t>5.) Projected population for years 2020 - 2045 are based on BEBR Population Projections: Volume 53, Bulletin 186, Published January 2020, using a parcel population projection model.</t>
  </si>
  <si>
    <t>6.) Taylor Countiy projections were adjusted to hold pulp, paper mill, and large industrial quantities constant; total water use shown for calculations does not include pulp, paper mill, and large industrial quantities.</t>
  </si>
  <si>
    <t>Table A-10. Power Generation Self-supply Water use for 2015 and 5-in-10 Year Demand Projections for 2020-2045, by County, in Region 1 of the St. Johns River Water Management District and the North Florida Regional Water Supply Planning Region of the Suwannee River Water Management District.</t>
  </si>
  <si>
    <t>Non-consumptive Saline and Fresh Surface Water Use Cooling</t>
  </si>
  <si>
    <t>3.) The power generation water use category is not impacted by drought conditions, therefore the 5-in-10 2045 water demand also serves as the 1-in-10 water demand.</t>
  </si>
  <si>
    <t>4.) Consumptive surface water is assumed to be 2 percent of total surface water to account for losses.</t>
  </si>
  <si>
    <t>Table A-10 (SRWMD - Western Planning Region). Power Generation Self-supply Water use for 2015 and 5-in-10 Year Demand Projections for 2020-2045, by County, in the Western Planning Region of the Suwannee River Water Management District.</t>
  </si>
  <si>
    <t>Table A-10a. Power Generation Self-supply water use for 2015 and 5-in-10 Year Demand Projections for 2020-2045, by County and Facility, in Region 1 of the St. Johns River Water Management District and the North Florida Regional Water Supply Planning Region of the Suwannee River Water Management District.</t>
  </si>
  <si>
    <t xml:space="preserve">Facility </t>
  </si>
  <si>
    <t xml:space="preserve">Water Use </t>
  </si>
  <si>
    <t>Non-consumptive Saline and Fresh Surface Water Use for Cooling</t>
  </si>
  <si>
    <t>Gainesville Regional Utilities - J R Kelly (11374)</t>
  </si>
  <si>
    <t>Deerhaven Renewable Plant (220496)</t>
  </si>
  <si>
    <r>
      <t>Gainesville Regional Utilities - Deerhaven Power Plant</t>
    </r>
    <r>
      <rPr>
        <i/>
        <sz val="10"/>
        <color theme="1"/>
        <rFont val="Arial"/>
        <family val="2"/>
      </rPr>
      <t xml:space="preserve"> (PA 74-04)</t>
    </r>
  </si>
  <si>
    <t>JEA - Northside (721)</t>
  </si>
  <si>
    <t>JEA - Brandy Branch (140370)</t>
  </si>
  <si>
    <t>SJR Power Park (140634)</t>
  </si>
  <si>
    <t>Cedar Bay Generating Facility (PA 88-24G)</t>
  </si>
  <si>
    <t>Total</t>
  </si>
  <si>
    <r>
      <t xml:space="preserve">Florida Power &amp; Light - Puntam </t>
    </r>
    <r>
      <rPr>
        <i/>
        <sz val="10"/>
        <color theme="1"/>
        <rFont val="Arial"/>
        <family val="2"/>
      </rPr>
      <t>(PA 74-01)</t>
    </r>
  </si>
  <si>
    <t>Seminole Electric Cooperative - Palatka (140536)</t>
  </si>
  <si>
    <t>Duke - Ellaville (219872)</t>
  </si>
  <si>
    <t>3.) 2015 water use data source is NFSEG master geodatabase with metered and estimated power generation water use.</t>
  </si>
  <si>
    <t>5.) The power generation water use category is not impacted by drought conditions, therefore the 5-in-10 2045 water demand also serves as the 1-in-10 water demand.</t>
  </si>
  <si>
    <t>Table A-10b. 2014-2018 Water Use and Megawatts, Five-Year Gross Per Mega Watt Averages, and 2020-2045 Demand Projections for Power Generation Self-supply Water Demand Increases, in Region 1 of the St. Johns River Water Management District and the North Florida Regional Water Supply Planning Region the Suwannee River Water Management District.</t>
  </si>
  <si>
    <t>Table A-10b, Continued. 2014-2018 Water Use and Megawatts, Five-Year Gross Per Mega Watt Averages, and 2020-2045 Demand Projections for Power Generation Self-supply Water Demand Increases, in Region 1 of the St. Johns River Water Management District and the North Florida Regional Water Supply Planning Region of the Suwannee River Water Management District.</t>
  </si>
  <si>
    <t>Groundwater Water Use</t>
  </si>
  <si>
    <t>Historic Megawatts</t>
  </si>
  <si>
    <t>2014-2018 Gallons (Consumptive) Per Megawatt Average</t>
  </si>
  <si>
    <t>2014-2018 Gallons (Non-Consumptive) Per Megawatt Average</t>
  </si>
  <si>
    <t>Projected Megawatts</t>
  </si>
  <si>
    <t>Projected Groundwater Demand</t>
  </si>
  <si>
    <t>Projected Non-consumptive Saline and Fresh Surface Water Demand for Cooling</t>
  </si>
  <si>
    <r>
      <t>Gainesville Regional Utilities - Deerhaven Power Plant</t>
    </r>
    <r>
      <rPr>
        <i/>
        <sz val="10"/>
        <rFont val="Arial"/>
        <family val="2"/>
      </rPr>
      <t xml:space="preserve"> (PA 74-04)</t>
    </r>
  </si>
  <si>
    <t>9/10/20 email from Tom Bartol notes no change in groundwater demand but to use allocation. Allocation is much greater than historic average; used NFRWSP methodology.</t>
  </si>
  <si>
    <t>JEA - SJR Power Park (140634)</t>
  </si>
  <si>
    <r>
      <t>Cedar Bay Generating Facility (</t>
    </r>
    <r>
      <rPr>
        <i/>
        <sz val="10"/>
        <rFont val="Arial"/>
        <family val="2"/>
      </rPr>
      <t>PA 88-24G</t>
    </r>
    <r>
      <rPr>
        <sz val="10"/>
        <rFont val="Arial"/>
        <family val="2"/>
      </rPr>
      <t>)</t>
    </r>
  </si>
  <si>
    <t>Decommissioned in 2018</t>
  </si>
  <si>
    <r>
      <t>Cedar Bay Generating Facility (</t>
    </r>
    <r>
      <rPr>
        <i/>
        <sz val="10"/>
        <color theme="1"/>
        <rFont val="Arial"/>
        <family val="2"/>
      </rPr>
      <t>PA 88-24G</t>
    </r>
    <r>
      <rPr>
        <sz val="10"/>
        <color theme="1"/>
        <rFont val="Arial"/>
        <family val="2"/>
      </rPr>
      <t>)</t>
    </r>
  </si>
  <si>
    <r>
      <t xml:space="preserve">Florida Power &amp; Light - Puntam </t>
    </r>
    <r>
      <rPr>
        <i/>
        <sz val="10"/>
        <rFont val="Arial"/>
        <family val="2"/>
      </rPr>
      <t>(PA 74-01)</t>
    </r>
  </si>
  <si>
    <t>Decommissioned in 2017/2018</t>
  </si>
  <si>
    <t>Duke Energy - Ellaville (219872)</t>
  </si>
  <si>
    <t>9/9/20 email from Ilia Balcom notes no new groundwater demand - use historic average.</t>
  </si>
  <si>
    <t>3.) 2014 - 2018 water use data source is NFSEG master geodatabase with metered and estimated power generation water use.</t>
  </si>
  <si>
    <t xml:space="preserve">4.) GRU historic and projected customers and historic and projected megawatts obtained from Schedules 2.3 and 3.2, 2020 Ten-Year Site Plan. </t>
  </si>
  <si>
    <t xml:space="preserve">5.) JEA historic and projected customers and historic and projected megawatts obtained from Schedules 2.3 and 3.2, 2020 Ten-Year Site Plan. </t>
  </si>
  <si>
    <t xml:space="preserve">6.) SEC historic and projected customers and historic and projected megawatts obtained from Schedules 2.3 and 3.2, 2020 Ten-Year Site Plan. </t>
  </si>
  <si>
    <t>Table A-11. Public Supply and Domestic Self-supply and Small Public Supply 2015 Water Use, 5-in-10 Year Water Demand Projections for 2020-2045, and 1-in-10 Year Water Demand Projections for 2045, by County, in Region 1 of the St. Johns River Water Management District and the North Florida Regional Water Supply Planning Region of the Suwannee River Water Management District.</t>
  </si>
  <si>
    <t>2020 Demand Projections (5-in-10)</t>
  </si>
  <si>
    <t>2025 Demand Projections (5-in-10)</t>
  </si>
  <si>
    <t>2030 Demand Projections (5-in-10)</t>
  </si>
  <si>
    <t>2035 Demand Projections (5-in-10)</t>
  </si>
  <si>
    <t>2040 Demand Projections (5-in-10)</t>
  </si>
  <si>
    <t>2045 Demand Projections (5-in-10)</t>
  </si>
  <si>
    <t xml:space="preserve">Percent Change 2015-2045 </t>
  </si>
  <si>
    <t>2045 Demand Projections (1-in-10)</t>
  </si>
  <si>
    <t>Public Supply</t>
  </si>
  <si>
    <t>DSS &amp; Small</t>
  </si>
  <si>
    <t xml:space="preserve">Domestic Self-Supply and Small Public Supply </t>
  </si>
  <si>
    <t xml:space="preserve">Alachua Total </t>
  </si>
  <si>
    <t xml:space="preserve">Baker Total </t>
  </si>
  <si>
    <t xml:space="preserve">Bradford Total </t>
  </si>
  <si>
    <t xml:space="preserve">Columbia </t>
  </si>
  <si>
    <t>3.) Water use for the Public Supply category includes groundwater, surface water, and water from alternative sources for those utilities exceeding the cap.</t>
  </si>
  <si>
    <t>Table A-11 (SRWMD - Western Planning Region). Public Supply and Domestic Self-supply and Small Public Supply 2015 Water Use, 5-in-10 Year Water Demand Projections for 2020-2045, and 1-in-10 Year Water Demand Projections for 2045, by County, in the Western Planning Region of the Suwannee River Water Management District.</t>
  </si>
  <si>
    <t>Table A-12 (1 - Alachua County). Water Use for 2015 and 5-in-10 Year Total Water Demand Projections for 2020-2045 and 1-in-10 Year Water Demand Projections for 2045, by Category of Use and by District in Alachua County for the North Florida Regional Water Supply Plan.</t>
  </si>
  <si>
    <t xml:space="preserve">Alachua County Total </t>
  </si>
  <si>
    <t>Alachua County Total</t>
  </si>
  <si>
    <t>Table A-12 (2 - Baker County). Water Use for 2015 and 5-in-10 Year Total Water Demand Projections for 2020-2045 and 1-in-10 Year Water Demand Projections for 2045, by Category of Use and by District in Baker County for the North Florida Regional Water Supply Plan.</t>
  </si>
  <si>
    <t xml:space="preserve">Baker County Total </t>
  </si>
  <si>
    <t>Baker County Total</t>
  </si>
  <si>
    <t>Table A-12 (3 - Bradford County). Water Use for 2015 and 5-in-10 Year Total Water Demand Projections for 2020-2045 and 1-in-10 Year Water Demand Projections for 2045, by Category of Use and by District in Bradford County for the North Florida Regional Water Supply Plan.</t>
  </si>
  <si>
    <t xml:space="preserve">Bradford County Total </t>
  </si>
  <si>
    <t>Bradford County Total</t>
  </si>
  <si>
    <t>Table A-12 (4 - Clay County). Water Use for 2015 and 5-in-10 Year Total Water Demand Projections for 2020-2045 and 1-in-10 Year Water Demand Projections for 2045, by Category of Use in Clay County in the St. Johns River Water Management District for the North Florida Regional Water Supply Plan.</t>
  </si>
  <si>
    <t xml:space="preserve">Clay County Total </t>
  </si>
  <si>
    <t>Table A-12 (5 - Columbia County). Water Use for 2015 and 5-in-10 Year Total Water Demand Projections for 2020-2045 and 1-in-10 Year Water Demand Projections for 2045, by Category of Use in Columbia County in the Suwannee River Water Management District for the North Florida Regional Water Supply Plan.</t>
  </si>
  <si>
    <t xml:space="preserve">Columbia County Total </t>
  </si>
  <si>
    <t>Table A-12 (6 - Duval County). Water Use for 2015 and 5-in-10 Year Total Water Demand Projections for 2020-2045 and 1-in-10 Year Water Demand Projections for 2045, by Category of Use in Duval County in the St. Johns River Water Management District for the North Florida Regional Water Supply Plan.</t>
  </si>
  <si>
    <t xml:space="preserve">Duval County Total </t>
  </si>
  <si>
    <t>Table A-12 (7 - Flagler County). Water Use for 2015 and 5-in-10 Year Total Water Demand Projections for 2020-2045 and 1-in-10 Year Water Demand Projections for 2045, by Category of Use in Flagler County in the St. Johns River Water Management District for the North Florida Regional Water Supply Plan.</t>
  </si>
  <si>
    <t xml:space="preserve">Flagler County Total </t>
  </si>
  <si>
    <t>Table A-12 (8 - Gilchrist County). Water Use for 2015 and 5-in-10 Year Total Water Demand Projections for 2020-2045 and 1-in-10 Year Water Demand Projections for 2045, by Category of Use in Gilchrist County in the Suwannee River Water Management District for the North Florida Regional Water Supply Plan.</t>
  </si>
  <si>
    <t xml:space="preserve">Gilchrist County Total </t>
  </si>
  <si>
    <t>Table A-12 (9 - Hamilton County). Water Use for 2015 and 5-in-10 Year Total Water Demand Projections for 2020-2045 and 1-in-10 Year Water Demand Projections for 2045, by Category of Use in Hamilton County in the Suwannee River Water Management District for the North Florida Regional Water Supply Plan.</t>
  </si>
  <si>
    <t xml:space="preserve">Hamilton County Total </t>
  </si>
  <si>
    <t>Table A-12 (10 - Nassau County). Water Use for 2015 and 5-in-10 Year Total Water Demand Projections for 2020-2045 and 1-in-10 Year Water Demand Projections for 2045, by Category of Use in Nassau County in the St. Johns River Water Management District for the North Florida Regional Water Supply Plan.</t>
  </si>
  <si>
    <t xml:space="preserve">Nassau County Total </t>
  </si>
  <si>
    <t>Table A-12 (11 - Putnam County). Water Use for 2015 and 5-in-10 Year Total Water Demand Projections for 2020-2045 and 1-in-10 Year Water Demand Projections for 2045, by Category of Use in Putnam County in the St. Johns River Water Management District for the North Florida Regional Water Supply Plan.</t>
  </si>
  <si>
    <t xml:space="preserve">Putnam County Total </t>
  </si>
  <si>
    <t>Table A-12 (12 - St. Johns County). Water Use for 2015 and 5-in-10 Year Total Water Demand Projections for 2020-2045 and 1-in-10 Year Water Demand Projections for 2045, by Category of Use in St. Johns County in the St. Johns River Water Management District for the North Florida Regional Water Supply Plan.</t>
  </si>
  <si>
    <t xml:space="preserve">St. Johns County Total </t>
  </si>
  <si>
    <t>Table A-12 (13- Suwannee County). Water Use for 2015 and 5-in-10 Year Total Water Demand Projections for 2020-2045 and 1-in-10 Year Water Demand Projections for 2045, by Category of Use in Suwannee County in the Suwannee River Water Management District for the North Florida Regional Water Supply Plan.</t>
  </si>
  <si>
    <t xml:space="preserve">Suwannee County Total </t>
  </si>
  <si>
    <t>Table A-12 (14 - Union County). Water Use for 2015 and 5-in-10 Year Total Water Demand Projections for 2020-2045 and 1-in-10 Year Water Demand Projections for 2045, by Category of Use in Union County in the Suwannee River Water Management District for the North Florida Regional Water Supply Plan.</t>
  </si>
  <si>
    <t xml:space="preserve">Union County Total </t>
  </si>
  <si>
    <t>Table A-12 (15 - Dixie County). Water Use for 2015 and 5-in-10 Year Total Water Demand Projections for 2020-2045 and 1-in-10 Year Water Demand Projections for 2045, by Category of Use in Dixie County in the Suwannee River Water Management District for the Western Planning Region.</t>
  </si>
  <si>
    <t xml:space="preserve">Dixie County Total </t>
  </si>
  <si>
    <t>Table A-12 (16 - Jefferson County). Water Use for 2015 and 5-in-10 Year Total Water Demand Projections for 2020-2045 and 1-in-10 Year Water Demand Projections for 2045, by Category of Use in Jefferson County in the Suwannee River Water Management District for the Western Planning Region.</t>
  </si>
  <si>
    <t xml:space="preserve">Jefferson County Total </t>
  </si>
  <si>
    <t>Table A-12 (17 - Lafayette County). Water Use for 2015 and 5-in-10 Year Total Water Demand Projections for 2020-2045 and 1-in-10 Year Water Demand Projections for 2045, by Category of Use in Lafayette County in the Suwannee River Water Management District for the Western Planning Region.</t>
  </si>
  <si>
    <t xml:space="preserve">Lafayette County Total </t>
  </si>
  <si>
    <t>Table A-12 (18 - Levy County). Water Use for 2015 and 5-in-10 Year Total Water Demand Projections for 2020-2045 and 1-in-10 Year Water Demand Projections for 2045, by Category of Use in Levy County in the Suwannee River Water Management District for the Western Planning Region.</t>
  </si>
  <si>
    <t xml:space="preserve">Levy County Total </t>
  </si>
  <si>
    <t>Table A-12 (19 - Madison County). Water Use for 2015 and 5-in-10 Year Total Water Demand Projections for 2020-2045 and 1-in-10 Year Water Demand Projections for 2045, by Category of Use in Madison County in the Suwannee River Water Management District for the Western Planning Region.</t>
  </si>
  <si>
    <t xml:space="preserve">Madison County Total </t>
  </si>
  <si>
    <t>Table A-12 (20 - Taylor County). Water Use for 2015 and 5-in-10 Year Total Water Demand Projections for 2020-2045 and 1-in-10 Year Water Demand Projections for 2045, by Category of Use in Taylor County in the Suwannee River Water Management District for the Western Planning Region.</t>
  </si>
  <si>
    <t xml:space="preserve">Taylor County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</si>
</sst>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
    <numFmt numFmtId="165" formatCode="General_)"/>
    <numFmt numFmtId="166" formatCode="#,##0.000"/>
    <numFmt numFmtId="167" formatCode="0.0"/>
    <numFmt numFmtId="168" formatCode="0.00000"/>
    <numFmt numFmtId="169" formatCode="#,##0.0"/>
    <numFmt numFmtId="170" formatCode="0.0000"/>
  </numFmts>
  <fonts count="72">
    <font>
      <sz val="11"/>
      <color theme="1"/>
      <name val="Calibri"/>
      <family val="2"/>
      <scheme val="minor"/>
    </font>
    <font>
      <sz val="10"/>
      <name val="MS Sans Serif"/>
      <family val="2"/>
    </font>
    <font>
      <sz val="11"/>
      <color theme="1"/>
      <name val="Calibri"/>
      <family val="2"/>
      <scheme val="minor"/>
    </font>
    <font>
      <sz val="12"/>
      <color theme="1"/>
      <name val="Arial"/>
      <family val="2"/>
    </font>
    <font>
      <b/>
      <sz val="11"/>
      <color theme="1"/>
      <name val="Calibri"/>
      <family val="2"/>
      <scheme val="minor"/>
    </font>
    <font>
      <sz val="11"/>
      <color rgb="FFFF0000"/>
      <name val="Calibri"/>
      <family val="2"/>
      <scheme val="minor"/>
    </font>
    <font>
      <sz val="10"/>
      <color theme="1"/>
      <name val="Arial"/>
      <family val="2"/>
    </font>
    <font>
      <sz val="10"/>
      <name val="Arial"/>
      <family val="2"/>
    </font>
    <font>
      <b/>
      <sz val="10"/>
      <color theme="1"/>
      <name val="Arial"/>
      <family val="2"/>
    </font>
    <font>
      <b/>
      <sz val="10"/>
      <name val="Arial"/>
      <family val="2"/>
    </font>
    <font>
      <sz val="10"/>
      <color rgb="FF000000"/>
      <name val="Arial"/>
      <family val="2"/>
    </font>
    <font>
      <b/>
      <sz val="10"/>
      <color rgb="FF000000"/>
      <name val="Arial"/>
      <family val="2"/>
    </font>
    <font>
      <u/>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Courier"/>
      <family val="3"/>
    </font>
    <font>
      <b/>
      <sz val="10"/>
      <color indexed="8"/>
      <name val="Arial"/>
      <family val="2"/>
    </font>
    <font>
      <u/>
      <sz val="10"/>
      <name val="Arial"/>
      <family val="2"/>
    </font>
    <font>
      <sz val="10"/>
      <color rgb="FF00B050"/>
      <name val="Arial"/>
      <family val="2"/>
    </font>
    <font>
      <sz val="10"/>
      <color rgb="FFFF0000"/>
      <name val="Arial"/>
      <family val="2"/>
    </font>
    <font>
      <sz val="12"/>
      <name val="Helvetic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rgb="FFFF0000"/>
      <name val="Arial"/>
      <family val="2"/>
    </font>
    <font>
      <sz val="10"/>
      <name val="Calibri"/>
      <family val="2"/>
    </font>
    <font>
      <i/>
      <sz val="10"/>
      <name val="Arial"/>
      <family val="2"/>
    </font>
    <font>
      <i/>
      <sz val="10"/>
      <color theme="1"/>
      <name val="Arial"/>
      <family val="2"/>
    </font>
    <font>
      <sz val="9"/>
      <color indexed="81"/>
      <name val="Tahoma"/>
      <family val="2"/>
    </font>
    <font>
      <b/>
      <sz val="9"/>
      <color indexed="81"/>
      <name val="Tahoma"/>
      <family val="2"/>
    </font>
    <font>
      <sz val="11"/>
      <name val="Calibri"/>
      <family val="2"/>
      <scheme val="minor"/>
    </font>
    <font>
      <b/>
      <sz val="11"/>
      <name val="Calibri"/>
      <family val="2"/>
      <scheme val="minor"/>
    </font>
    <font>
      <sz val="8"/>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s>
  <borders count="267">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right/>
      <top/>
      <bottom style="thin">
        <color indexed="64"/>
      </bottom>
      <diagonal/>
    </border>
    <border>
      <left/>
      <right/>
      <top style="double">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top/>
      <bottom style="thin">
        <color indexed="64"/>
      </bottom>
      <diagonal/>
    </border>
    <border>
      <left/>
      <right style="medium">
        <color indexed="64"/>
      </right>
      <top/>
      <bottom/>
      <diagonal/>
    </border>
    <border>
      <left style="double">
        <color indexed="64"/>
      </left>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double">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medium">
        <color indexed="64"/>
      </top>
      <bottom style="thin">
        <color indexed="64"/>
      </bottom>
      <diagonal/>
    </border>
    <border>
      <left style="double">
        <color indexed="64"/>
      </left>
      <right style="medium">
        <color indexed="64"/>
      </right>
      <top/>
      <bottom/>
      <diagonal/>
    </border>
    <border>
      <left style="double">
        <color indexed="64"/>
      </left>
      <right/>
      <top/>
      <bottom/>
      <diagonal/>
    </border>
    <border>
      <left style="double">
        <color indexed="64"/>
      </left>
      <right style="medium">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double">
        <color indexed="64"/>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double">
        <color indexed="64"/>
      </top>
      <bottom/>
      <diagonal/>
    </border>
    <border>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thin">
        <color indexed="64"/>
      </top>
      <bottom/>
      <diagonal/>
    </border>
    <border>
      <left style="double">
        <color indexed="64"/>
      </left>
      <right style="medium">
        <color indexed="64"/>
      </right>
      <top style="thin">
        <color indexed="64"/>
      </top>
      <bottom/>
      <diagonal/>
    </border>
    <border>
      <left style="double">
        <color indexed="64"/>
      </left>
      <right/>
      <top style="thin">
        <color indexed="64"/>
      </top>
      <bottom/>
      <diagonal/>
    </border>
    <border>
      <left style="thin">
        <color indexed="64"/>
      </left>
      <right style="double">
        <color indexed="64"/>
      </right>
      <top style="medium">
        <color indexed="64"/>
      </top>
      <bottom/>
      <diagonal/>
    </border>
    <border>
      <left style="double">
        <color indexed="64"/>
      </left>
      <right/>
      <top style="double">
        <color indexed="64"/>
      </top>
      <bottom/>
      <diagonal/>
    </border>
    <border>
      <left/>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medium">
        <color indexed="64"/>
      </top>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double">
        <color indexed="64"/>
      </left>
      <right style="thin">
        <color indexed="64"/>
      </right>
      <top style="double">
        <color indexed="64"/>
      </top>
      <bottom style="medium">
        <color indexed="64"/>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diagonal/>
    </border>
    <border>
      <left/>
      <right/>
      <top style="thin">
        <color auto="1"/>
      </top>
      <bottom/>
      <diagonal/>
    </border>
    <border>
      <left style="double">
        <color indexed="64"/>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style="medium">
        <color indexed="64"/>
      </top>
      <bottom style="thin">
        <color rgb="FF000000"/>
      </bottom>
      <diagonal/>
    </border>
    <border>
      <left style="double">
        <color indexed="64"/>
      </left>
      <right style="medium">
        <color indexed="64"/>
      </right>
      <top/>
      <bottom style="thin">
        <color rgb="FF000000"/>
      </bottom>
      <diagonal/>
    </border>
    <border>
      <left style="double">
        <color indexed="64"/>
      </left>
      <right/>
      <top style="medium">
        <color indexed="64"/>
      </top>
      <bottom style="thin">
        <color rgb="FF000000"/>
      </bottom>
      <diagonal/>
    </border>
    <border>
      <left style="double">
        <color indexed="64"/>
      </left>
      <right/>
      <top/>
      <bottom style="thin">
        <color rgb="FF000000"/>
      </bottom>
      <diagonal/>
    </border>
    <border>
      <left style="double">
        <color indexed="64"/>
      </left>
      <right style="medium">
        <color indexed="64"/>
      </right>
      <top/>
      <bottom style="double">
        <color rgb="FF000000"/>
      </bottom>
      <diagonal/>
    </border>
    <border>
      <left style="thin">
        <color indexed="64"/>
      </left>
      <right style="medium">
        <color rgb="FF000000"/>
      </right>
      <top style="medium">
        <color indexed="64"/>
      </top>
      <bottom style="thin">
        <color indexed="64"/>
      </bottom>
      <diagonal/>
    </border>
    <border>
      <left/>
      <right style="medium">
        <color rgb="FF000000"/>
      </right>
      <top style="medium">
        <color indexed="64"/>
      </top>
      <bottom style="medium">
        <color indexed="64"/>
      </bottom>
      <diagonal/>
    </border>
    <border>
      <left style="thin">
        <color rgb="FF000000"/>
      </left>
      <right style="thin">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bottom style="double">
        <color indexed="64"/>
      </bottom>
      <diagonal/>
    </border>
  </borders>
  <cellStyleXfs count="31377">
    <xf numFmtId="0" fontId="0" fillId="0" borderId="0"/>
    <xf numFmtId="0" fontId="1" fillId="0" borderId="0"/>
    <xf numFmtId="0" fontId="1" fillId="0" borderId="0"/>
    <xf numFmtId="0" fontId="1" fillId="0" borderId="0"/>
    <xf numFmtId="0" fontId="3" fillId="0" borderId="0"/>
    <xf numFmtId="9" fontId="2" fillId="0" borderId="0" applyFont="0" applyFill="0" applyBorder="0" applyAlignment="0" applyProtection="0"/>
    <xf numFmtId="0" fontId="13" fillId="0" borderId="0" applyNumberFormat="0" applyFill="0" applyBorder="0" applyAlignment="0" applyProtection="0"/>
    <xf numFmtId="0" fontId="14" fillId="0" borderId="88" applyNumberFormat="0" applyFill="0" applyAlignment="0" applyProtection="0"/>
    <xf numFmtId="0" fontId="15" fillId="0" borderId="89" applyNumberFormat="0" applyFill="0" applyAlignment="0" applyProtection="0"/>
    <xf numFmtId="0" fontId="16" fillId="0" borderId="90"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91" applyNumberFormat="0" applyAlignment="0" applyProtection="0"/>
    <xf numFmtId="0" fontId="21" fillId="6" borderId="92" applyNumberFormat="0" applyAlignment="0" applyProtection="0"/>
    <xf numFmtId="0" fontId="22" fillId="6" borderId="91" applyNumberFormat="0" applyAlignment="0" applyProtection="0"/>
    <xf numFmtId="0" fontId="23" fillId="0" borderId="93" applyNumberFormat="0" applyFill="0" applyAlignment="0" applyProtection="0"/>
    <xf numFmtId="0" fontId="24" fillId="7" borderId="94" applyNumberFormat="0" applyAlignment="0" applyProtection="0"/>
    <xf numFmtId="0" fontId="5" fillId="0" borderId="0" applyNumberFormat="0" applyFill="0" applyBorder="0" applyAlignment="0" applyProtection="0"/>
    <xf numFmtId="0" fontId="2" fillId="8" borderId="95" applyNumberFormat="0" applyFont="0" applyAlignment="0" applyProtection="0"/>
    <xf numFmtId="0" fontId="25" fillId="0" borderId="0" applyNumberFormat="0" applyFill="0" applyBorder="0" applyAlignment="0" applyProtection="0"/>
    <xf numFmtId="0" fontId="4" fillId="0" borderId="96" applyNumberFormat="0" applyFill="0" applyAlignment="0" applyProtection="0"/>
    <xf numFmtId="0" fontId="2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6" fillId="32" borderId="0" applyNumberFormat="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27" fillId="0" borderId="0"/>
    <xf numFmtId="165" fontId="27" fillId="0" borderId="0"/>
    <xf numFmtId="165" fontId="27" fillId="0" borderId="0"/>
    <xf numFmtId="165" fontId="27" fillId="0" borderId="0"/>
    <xf numFmtId="165" fontId="27" fillId="0" borderId="0"/>
    <xf numFmtId="37" fontId="27" fillId="0" borderId="0"/>
    <xf numFmtId="0" fontId="7" fillId="0" borderId="0"/>
    <xf numFmtId="0" fontId="7" fillId="0" borderId="0"/>
    <xf numFmtId="0" fontId="6" fillId="0" borderId="0"/>
    <xf numFmtId="0" fontId="2" fillId="0" borderId="0"/>
    <xf numFmtId="37" fontId="27" fillId="0" borderId="0"/>
    <xf numFmtId="0" fontId="1" fillId="0" borderId="0"/>
    <xf numFmtId="0" fontId="6" fillId="0" borderId="0"/>
    <xf numFmtId="0" fontId="7" fillId="0" borderId="0"/>
    <xf numFmtId="0" fontId="7" fillId="0" borderId="0"/>
    <xf numFmtId="0" fontId="7" fillId="0" borderId="0"/>
    <xf numFmtId="0" fontId="7" fillId="0" borderId="0"/>
    <xf numFmtId="0" fontId="7" fillId="0" borderId="0"/>
    <xf numFmtId="165" fontId="27"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2" fillId="0" borderId="0"/>
    <xf numFmtId="0" fontId="6" fillId="0" borderId="0"/>
    <xf numFmtId="0" fontId="6" fillId="0" borderId="0"/>
    <xf numFmtId="0" fontId="2" fillId="0" borderId="0"/>
    <xf numFmtId="0" fontId="1" fillId="0" borderId="0"/>
    <xf numFmtId="0" fontId="6" fillId="0" borderId="0"/>
    <xf numFmtId="0" fontId="6" fillId="0" borderId="0"/>
    <xf numFmtId="0" fontId="6" fillId="0" borderId="0"/>
    <xf numFmtId="0" fontId="1" fillId="0" borderId="0"/>
    <xf numFmtId="0" fontId="7" fillId="0" borderId="0"/>
    <xf numFmtId="0" fontId="6" fillId="0" borderId="0"/>
    <xf numFmtId="0" fontId="7" fillId="0" borderId="0"/>
    <xf numFmtId="0" fontId="6" fillId="0" borderId="0"/>
    <xf numFmtId="0" fontId="2" fillId="0" borderId="0"/>
    <xf numFmtId="0" fontId="7" fillId="0" borderId="0"/>
    <xf numFmtId="0" fontId="7" fillId="0" borderId="0"/>
    <xf numFmtId="0" fontId="6" fillId="0" borderId="0"/>
    <xf numFmtId="0" fontId="1" fillId="0" borderId="0"/>
    <xf numFmtId="0" fontId="7" fillId="0" borderId="0"/>
    <xf numFmtId="0" fontId="6" fillId="0" borderId="0"/>
    <xf numFmtId="0" fontId="2" fillId="0" borderId="0"/>
    <xf numFmtId="0" fontId="7" fillId="0" borderId="0"/>
    <xf numFmtId="0" fontId="6" fillId="0" borderId="0"/>
    <xf numFmtId="0" fontId="6" fillId="0" borderId="0"/>
    <xf numFmtId="0" fontId="6" fillId="0" borderId="0"/>
    <xf numFmtId="0" fontId="7" fillId="0" borderId="0"/>
    <xf numFmtId="0" fontId="6" fillId="0" borderId="0"/>
    <xf numFmtId="0" fontId="2" fillId="0" borderId="0"/>
    <xf numFmtId="0" fontId="6" fillId="0" borderId="0"/>
    <xf numFmtId="0" fontId="7" fillId="0" borderId="0"/>
    <xf numFmtId="0" fontId="7" fillId="0" borderId="0"/>
    <xf numFmtId="0" fontId="1" fillId="0" borderId="0"/>
    <xf numFmtId="0" fontId="6" fillId="0" borderId="0"/>
    <xf numFmtId="0" fontId="2" fillId="0" borderId="0"/>
    <xf numFmtId="0" fontId="6" fillId="0" borderId="0"/>
    <xf numFmtId="0" fontId="7" fillId="0" borderId="0"/>
    <xf numFmtId="0" fontId="1"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37" fontId="27" fillId="0" borderId="0"/>
    <xf numFmtId="37" fontId="27" fillId="0" borderId="0"/>
    <xf numFmtId="0" fontId="6" fillId="0" borderId="0"/>
    <xf numFmtId="0" fontId="6" fillId="0" borderId="0"/>
    <xf numFmtId="0" fontId="6" fillId="0" borderId="0"/>
    <xf numFmtId="0" fontId="6" fillId="0" borderId="0"/>
    <xf numFmtId="0" fontId="6" fillId="0" borderId="0"/>
    <xf numFmtId="0" fontId="1" fillId="0" borderId="0"/>
    <xf numFmtId="165" fontId="27" fillId="0" borderId="0"/>
    <xf numFmtId="0" fontId="2" fillId="0" borderId="0"/>
    <xf numFmtId="0" fontId="6" fillId="0" borderId="0"/>
    <xf numFmtId="0" fontId="1" fillId="0" borderId="0"/>
    <xf numFmtId="0" fontId="6" fillId="0" borderId="0"/>
    <xf numFmtId="0" fontId="6" fillId="0" borderId="0"/>
    <xf numFmtId="0" fontId="6" fillId="0" borderId="0"/>
    <xf numFmtId="0" fontId="1" fillId="0" borderId="0"/>
    <xf numFmtId="165" fontId="27" fillId="0" borderId="0"/>
    <xf numFmtId="0" fontId="6" fillId="0" borderId="0"/>
    <xf numFmtId="0" fontId="1" fillId="0" borderId="0"/>
    <xf numFmtId="0" fontId="1" fillId="0" borderId="0"/>
    <xf numFmtId="165" fontId="27" fillId="0" borderId="0"/>
    <xf numFmtId="165" fontId="27" fillId="0" borderId="0"/>
    <xf numFmtId="165" fontId="27"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32" fillId="0" borderId="0"/>
    <xf numFmtId="43" fontId="32" fillId="0" borderId="0" applyFont="0" applyFill="0" applyBorder="0" applyAlignment="0" applyProtection="0"/>
    <xf numFmtId="0" fontId="32" fillId="0" borderId="0"/>
    <xf numFmtId="43" fontId="7" fillId="0" borderId="0" applyFont="0" applyFill="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33" borderId="119" applyNumberFormat="0" applyAlignment="0" applyProtection="0"/>
    <xf numFmtId="0" fontId="36" fillId="33" borderId="119" applyNumberFormat="0" applyAlignment="0" applyProtection="0"/>
    <xf numFmtId="0" fontId="37" fillId="48" borderId="120" applyNumberFormat="0" applyAlignment="0" applyProtection="0"/>
    <xf numFmtId="0" fontId="37" fillId="48" borderId="120"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36" borderId="0" applyNumberFormat="0" applyBorder="0" applyAlignment="0" applyProtection="0"/>
    <xf numFmtId="0" fontId="39" fillId="36" borderId="0" applyNumberFormat="0" applyBorder="0" applyAlignment="0" applyProtection="0"/>
    <xf numFmtId="0" fontId="40" fillId="0" borderId="121" applyNumberFormat="0" applyFill="0" applyAlignment="0" applyProtection="0"/>
    <xf numFmtId="0" fontId="40" fillId="0" borderId="121" applyNumberFormat="0" applyFill="0" applyAlignment="0" applyProtection="0"/>
    <xf numFmtId="0" fontId="41" fillId="0" borderId="122" applyNumberFormat="0" applyFill="0" applyAlignment="0" applyProtection="0"/>
    <xf numFmtId="0" fontId="41" fillId="0" borderId="122" applyNumberFormat="0" applyFill="0" applyAlignment="0" applyProtection="0"/>
    <xf numFmtId="0" fontId="42" fillId="0" borderId="123" applyNumberFormat="0" applyFill="0" applyAlignment="0" applyProtection="0"/>
    <xf numFmtId="0" fontId="42" fillId="0" borderId="12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35" borderId="119" applyNumberFormat="0" applyAlignment="0" applyProtection="0"/>
    <xf numFmtId="0" fontId="43" fillId="35" borderId="119" applyNumberFormat="0" applyAlignment="0" applyProtection="0"/>
    <xf numFmtId="0" fontId="44" fillId="0" borderId="124" applyNumberFormat="0" applyFill="0" applyAlignment="0" applyProtection="0"/>
    <xf numFmtId="0" fontId="44" fillId="0" borderId="124" applyNumberFormat="0" applyFill="0" applyAlignment="0" applyProtection="0"/>
    <xf numFmtId="0" fontId="45" fillId="42" borderId="0" applyNumberFormat="0" applyBorder="0" applyAlignment="0" applyProtection="0"/>
    <xf numFmtId="0" fontId="45" fillId="4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37" borderId="12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7" fillId="37" borderId="12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46" fillId="33" borderId="126" applyNumberFormat="0" applyAlignment="0" applyProtection="0"/>
    <xf numFmtId="0" fontId="46" fillId="33" borderId="1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127" applyNumberFormat="0" applyFill="0" applyAlignment="0" applyProtection="0"/>
    <xf numFmtId="0" fontId="48" fillId="0" borderId="127"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2" fillId="6" borderId="91" applyNumberFormat="0" applyAlignment="0" applyProtection="0"/>
    <xf numFmtId="0" fontId="52" fillId="6" borderId="91" applyNumberFormat="0" applyAlignment="0" applyProtection="0"/>
    <xf numFmtId="0" fontId="22" fillId="6" borderId="91" applyNumberFormat="0" applyAlignment="0" applyProtection="0"/>
    <xf numFmtId="0" fontId="22" fillId="6" borderId="91" applyNumberFormat="0" applyAlignment="0" applyProtection="0"/>
    <xf numFmtId="0" fontId="22" fillId="6" borderId="91" applyNumberFormat="0" applyAlignment="0" applyProtection="0"/>
    <xf numFmtId="0" fontId="22" fillId="6" borderId="91" applyNumberFormat="0" applyAlignment="0" applyProtection="0"/>
    <xf numFmtId="0" fontId="22" fillId="6" borderId="91" applyNumberFormat="0" applyAlignment="0" applyProtection="0"/>
    <xf numFmtId="0" fontId="22" fillId="6" borderId="91" applyNumberFormat="0" applyAlignment="0" applyProtection="0"/>
    <xf numFmtId="0" fontId="22" fillId="6" borderId="91" applyNumberFormat="0" applyAlignment="0" applyProtection="0"/>
    <xf numFmtId="0" fontId="2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22" fillId="6" borderId="91" applyNumberFormat="0" applyAlignment="0" applyProtection="0"/>
    <xf numFmtId="0" fontId="22" fillId="6" borderId="91" applyNumberFormat="0" applyAlignment="0" applyProtection="0"/>
    <xf numFmtId="0" fontId="22" fillId="6" borderId="91" applyNumberFormat="0" applyAlignment="0" applyProtection="0"/>
    <xf numFmtId="0" fontId="22" fillId="6" borderId="91" applyNumberFormat="0" applyAlignment="0" applyProtection="0"/>
    <xf numFmtId="0" fontId="2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2" fillId="6" borderId="91" applyNumberFormat="0" applyAlignment="0" applyProtection="0"/>
    <xf numFmtId="0" fontId="53" fillId="7" borderId="94" applyNumberFormat="0" applyAlignment="0" applyProtection="0"/>
    <xf numFmtId="0" fontId="53" fillId="7" borderId="94" applyNumberFormat="0" applyAlignment="0" applyProtection="0"/>
    <xf numFmtId="0" fontId="24" fillId="7" borderId="94" applyNumberFormat="0" applyAlignment="0" applyProtection="0"/>
    <xf numFmtId="0" fontId="24" fillId="7" borderId="94" applyNumberFormat="0" applyAlignment="0" applyProtection="0"/>
    <xf numFmtId="0" fontId="24" fillId="7" borderId="94" applyNumberFormat="0" applyAlignment="0" applyProtection="0"/>
    <xf numFmtId="0" fontId="24" fillId="7" borderId="94" applyNumberFormat="0" applyAlignment="0" applyProtection="0"/>
    <xf numFmtId="0" fontId="24" fillId="7" borderId="94" applyNumberFormat="0" applyAlignment="0" applyProtection="0"/>
    <xf numFmtId="0" fontId="24" fillId="7" borderId="94" applyNumberFormat="0" applyAlignment="0" applyProtection="0"/>
    <xf numFmtId="0" fontId="24" fillId="7" borderId="94" applyNumberFormat="0" applyAlignment="0" applyProtection="0"/>
    <xf numFmtId="0" fontId="24"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24" fillId="7" borderId="94" applyNumberFormat="0" applyAlignment="0" applyProtection="0"/>
    <xf numFmtId="0" fontId="24" fillId="7" borderId="94" applyNumberFormat="0" applyAlignment="0" applyProtection="0"/>
    <xf numFmtId="0" fontId="24" fillId="7" borderId="94" applyNumberFormat="0" applyAlignment="0" applyProtection="0"/>
    <xf numFmtId="0" fontId="24" fillId="7" borderId="94" applyNumberFormat="0" applyAlignment="0" applyProtection="0"/>
    <xf numFmtId="0" fontId="24"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3" fillId="7" borderId="94"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6" fillId="0" borderId="88" applyNumberFormat="0" applyFill="0" applyAlignment="0" applyProtection="0"/>
    <xf numFmtId="0" fontId="56"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14"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6" fillId="0" borderId="88"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15"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16"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5" borderId="91" applyNumberFormat="0" applyAlignment="0" applyProtection="0"/>
    <xf numFmtId="0" fontId="59" fillId="5" borderId="91" applyNumberFormat="0" applyAlignment="0" applyProtection="0"/>
    <xf numFmtId="0" fontId="20" fillId="5" borderId="91" applyNumberFormat="0" applyAlignment="0" applyProtection="0"/>
    <xf numFmtId="0" fontId="20" fillId="5" borderId="91" applyNumberFormat="0" applyAlignment="0" applyProtection="0"/>
    <xf numFmtId="0" fontId="20" fillId="5" borderId="91" applyNumberFormat="0" applyAlignment="0" applyProtection="0"/>
    <xf numFmtId="0" fontId="20" fillId="5" borderId="91" applyNumberFormat="0" applyAlignment="0" applyProtection="0"/>
    <xf numFmtId="0" fontId="20" fillId="5" borderId="91" applyNumberFormat="0" applyAlignment="0" applyProtection="0"/>
    <xf numFmtId="0" fontId="20" fillId="5" borderId="91" applyNumberFormat="0" applyAlignment="0" applyProtection="0"/>
    <xf numFmtId="0" fontId="20" fillId="5" borderId="91" applyNumberFormat="0" applyAlignment="0" applyProtection="0"/>
    <xf numFmtId="0" fontId="20"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20" fillId="5" borderId="91" applyNumberFormat="0" applyAlignment="0" applyProtection="0"/>
    <xf numFmtId="0" fontId="20" fillId="5" borderId="91" applyNumberFormat="0" applyAlignment="0" applyProtection="0"/>
    <xf numFmtId="0" fontId="20" fillId="5" borderId="91" applyNumberFormat="0" applyAlignment="0" applyProtection="0"/>
    <xf numFmtId="0" fontId="20" fillId="5" borderId="91" applyNumberFormat="0" applyAlignment="0" applyProtection="0"/>
    <xf numFmtId="0" fontId="20"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59" fillId="5" borderId="91" applyNumberFormat="0" applyAlignment="0" applyProtection="0"/>
    <xf numFmtId="0" fontId="60" fillId="0" borderId="93" applyNumberFormat="0" applyFill="0" applyAlignment="0" applyProtection="0"/>
    <xf numFmtId="0" fontId="60"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23"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0" fillId="0" borderId="93" applyNumberFormat="0" applyFill="0" applyAlignment="0" applyProtection="0"/>
    <xf numFmtId="0" fontId="61" fillId="4" borderId="0" applyNumberFormat="0" applyBorder="0" applyAlignment="0" applyProtection="0"/>
    <xf numFmtId="0" fontId="61"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7" fillId="0" borderId="0"/>
    <xf numFmtId="0" fontId="32" fillId="0" borderId="0"/>
    <xf numFmtId="0" fontId="32" fillId="0" borderId="0"/>
    <xf numFmtId="0" fontId="32" fillId="0" borderId="0"/>
    <xf numFmtId="0" fontId="32" fillId="0" borderId="0"/>
    <xf numFmtId="0" fontId="7" fillId="0" borderId="0"/>
    <xf numFmtId="0" fontId="32" fillId="0" borderId="0"/>
    <xf numFmtId="0" fontId="32" fillId="0" borderId="0"/>
    <xf numFmtId="0" fontId="7"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8" borderId="95" applyNumberFormat="0" applyFont="0" applyAlignment="0" applyProtection="0"/>
    <xf numFmtId="0" fontId="6"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 fillId="8" borderId="95" applyNumberFormat="0" applyFont="0" applyAlignment="0" applyProtection="0"/>
    <xf numFmtId="0" fontId="62" fillId="6" borderId="92" applyNumberFormat="0" applyAlignment="0" applyProtection="0"/>
    <xf numFmtId="0" fontId="62" fillId="6" borderId="92" applyNumberFormat="0" applyAlignment="0" applyProtection="0"/>
    <xf numFmtId="0" fontId="21" fillId="6" borderId="92" applyNumberFormat="0" applyAlignment="0" applyProtection="0"/>
    <xf numFmtId="0" fontId="21" fillId="6" borderId="92" applyNumberFormat="0" applyAlignment="0" applyProtection="0"/>
    <xf numFmtId="0" fontId="21" fillId="6" borderId="92" applyNumberFormat="0" applyAlignment="0" applyProtection="0"/>
    <xf numFmtId="0" fontId="21" fillId="6" borderId="92" applyNumberFormat="0" applyAlignment="0" applyProtection="0"/>
    <xf numFmtId="0" fontId="21" fillId="6" borderId="92" applyNumberFormat="0" applyAlignment="0" applyProtection="0"/>
    <xf numFmtId="0" fontId="21" fillId="6" borderId="92" applyNumberFormat="0" applyAlignment="0" applyProtection="0"/>
    <xf numFmtId="0" fontId="21" fillId="6" borderId="92" applyNumberFormat="0" applyAlignment="0" applyProtection="0"/>
    <xf numFmtId="0" fontId="21"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21" fillId="6" borderId="92" applyNumberFormat="0" applyAlignment="0" applyProtection="0"/>
    <xf numFmtId="0" fontId="21" fillId="6" borderId="92" applyNumberFormat="0" applyAlignment="0" applyProtection="0"/>
    <xf numFmtId="0" fontId="21" fillId="6" borderId="92" applyNumberFormat="0" applyAlignment="0" applyProtection="0"/>
    <xf numFmtId="0" fontId="21" fillId="6" borderId="92" applyNumberFormat="0" applyAlignment="0" applyProtection="0"/>
    <xf numFmtId="0" fontId="21"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62" fillId="6" borderId="92" applyNumberFormat="0" applyAlignment="0" applyProtection="0"/>
    <xf numFmtId="0" fontId="8" fillId="0" borderId="96" applyNumberFormat="0" applyFill="0" applyAlignment="0" applyProtection="0"/>
    <xf numFmtId="0" fontId="8"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4"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8" fillId="0" borderId="9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36" fillId="33" borderId="119" applyNumberFormat="0" applyAlignment="0" applyProtection="0"/>
    <xf numFmtId="0" fontId="36" fillId="33" borderId="119" applyNumberFormat="0" applyAlignment="0" applyProtection="0"/>
    <xf numFmtId="0" fontId="43" fillId="35" borderId="119" applyNumberFormat="0" applyAlignment="0" applyProtection="0"/>
    <xf numFmtId="0" fontId="43" fillId="35" borderId="119" applyNumberFormat="0" applyAlignment="0" applyProtection="0"/>
    <xf numFmtId="0" fontId="7" fillId="37" borderId="125" applyNumberFormat="0" applyFont="0" applyAlignment="0" applyProtection="0"/>
    <xf numFmtId="0" fontId="7" fillId="37" borderId="125" applyNumberFormat="0" applyFont="0" applyAlignment="0" applyProtection="0"/>
    <xf numFmtId="0" fontId="46" fillId="33" borderId="126" applyNumberFormat="0" applyAlignment="0" applyProtection="0"/>
    <xf numFmtId="0" fontId="46" fillId="33" borderId="126" applyNumberFormat="0" applyAlignment="0" applyProtection="0"/>
    <xf numFmtId="0" fontId="48" fillId="0" borderId="127" applyNumberFormat="0" applyFill="0" applyAlignment="0" applyProtection="0"/>
    <xf numFmtId="0" fontId="48" fillId="0" borderId="127" applyNumberFormat="0" applyFill="0" applyAlignment="0" applyProtection="0"/>
    <xf numFmtId="0" fontId="3" fillId="0" borderId="0"/>
    <xf numFmtId="0" fontId="1" fillId="0" borderId="0"/>
    <xf numFmtId="0" fontId="1" fillId="0" borderId="0"/>
    <xf numFmtId="0" fontId="1" fillId="0" borderId="0"/>
    <xf numFmtId="0" fontId="32" fillId="0" borderId="0"/>
    <xf numFmtId="43" fontId="32" fillId="0" borderId="0" applyFont="0" applyFill="0" applyBorder="0" applyAlignment="0" applyProtection="0"/>
    <xf numFmtId="0" fontId="32" fillId="0" borderId="0"/>
    <xf numFmtId="0" fontId="36" fillId="33" borderId="119" applyNumberFormat="0" applyAlignment="0" applyProtection="0"/>
    <xf numFmtId="0" fontId="36" fillId="33" borderId="119" applyNumberFormat="0" applyAlignment="0" applyProtection="0"/>
    <xf numFmtId="0" fontId="43" fillId="35" borderId="119" applyNumberFormat="0" applyAlignment="0" applyProtection="0"/>
    <xf numFmtId="0" fontId="43" fillId="35" borderId="119" applyNumberFormat="0" applyAlignment="0" applyProtection="0"/>
    <xf numFmtId="0" fontId="7" fillId="37" borderId="125" applyNumberFormat="0" applyFont="0" applyAlignment="0" applyProtection="0"/>
    <xf numFmtId="0" fontId="7" fillId="37" borderId="125" applyNumberFormat="0" applyFont="0" applyAlignment="0" applyProtection="0"/>
    <xf numFmtId="0" fontId="46" fillId="33" borderId="126" applyNumberFormat="0" applyAlignment="0" applyProtection="0"/>
    <xf numFmtId="0" fontId="46" fillId="33" borderId="126" applyNumberFormat="0" applyAlignment="0" applyProtection="0"/>
    <xf numFmtId="0" fontId="48" fillId="0" borderId="127" applyNumberFormat="0" applyFill="0" applyAlignment="0" applyProtection="0"/>
    <xf numFmtId="0" fontId="48" fillId="0" borderId="127" applyNumberFormat="0" applyFill="0" applyAlignment="0" applyProtection="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32" fillId="0" borderId="0"/>
    <xf numFmtId="0" fontId="32"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37" borderId="125" applyNumberFormat="0" applyFont="0" applyAlignment="0" applyProtection="0"/>
    <xf numFmtId="0" fontId="43" fillId="35" borderId="119" applyNumberFormat="0" applyAlignment="0" applyProtection="0"/>
    <xf numFmtId="0" fontId="43" fillId="35" borderId="119" applyNumberFormat="0" applyAlignment="0" applyProtection="0"/>
    <xf numFmtId="0" fontId="36" fillId="33" borderId="119" applyNumberFormat="0" applyAlignment="0" applyProtection="0"/>
    <xf numFmtId="0" fontId="36" fillId="33" borderId="119" applyNumberFormat="0" applyAlignment="0" applyProtection="0"/>
    <xf numFmtId="0" fontId="48" fillId="0" borderId="127" applyNumberFormat="0" applyFill="0" applyAlignment="0" applyProtection="0"/>
    <xf numFmtId="0" fontId="48" fillId="0" borderId="127" applyNumberFormat="0" applyFill="0" applyAlignment="0" applyProtection="0"/>
    <xf numFmtId="0" fontId="46" fillId="33" borderId="126" applyNumberFormat="0" applyAlignment="0" applyProtection="0"/>
    <xf numFmtId="0" fontId="46" fillId="33" borderId="126" applyNumberFormat="0" applyAlignment="0" applyProtection="0"/>
    <xf numFmtId="0" fontId="7" fillId="37" borderId="125" applyNumberFormat="0" applyFont="0" applyAlignment="0" applyProtection="0"/>
    <xf numFmtId="0" fontId="7" fillId="37" borderId="125" applyNumberFormat="0" applyFont="0" applyAlignment="0" applyProtection="0"/>
    <xf numFmtId="0" fontId="43" fillId="35" borderId="119" applyNumberFormat="0" applyAlignment="0" applyProtection="0"/>
    <xf numFmtId="0" fontId="43" fillId="35" borderId="119" applyNumberFormat="0" applyAlignment="0" applyProtection="0"/>
    <xf numFmtId="0" fontId="36" fillId="33" borderId="119" applyNumberFormat="0" applyAlignment="0" applyProtection="0"/>
    <xf numFmtId="0" fontId="36" fillId="33" borderId="119" applyNumberFormat="0" applyAlignment="0" applyProtection="0"/>
    <xf numFmtId="0" fontId="48" fillId="0" borderId="127" applyNumberFormat="0" applyFill="0" applyAlignment="0" applyProtection="0"/>
    <xf numFmtId="0" fontId="48" fillId="0" borderId="127" applyNumberFormat="0" applyFill="0" applyAlignment="0" applyProtection="0"/>
    <xf numFmtId="0" fontId="46" fillId="33" borderId="126" applyNumberFormat="0" applyAlignment="0" applyProtection="0"/>
    <xf numFmtId="0" fontId="46" fillId="33" borderId="126" applyNumberFormat="0" applyAlignment="0" applyProtection="0"/>
    <xf numFmtId="0" fontId="7" fillId="37" borderId="125" applyNumberFormat="0" applyFont="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25" applyNumberFormat="0" applyFont="0" applyAlignment="0" applyProtection="0"/>
    <xf numFmtId="0" fontId="7" fillId="37" borderId="125" applyNumberFormat="0" applyFont="0" applyAlignment="0" applyProtection="0"/>
    <xf numFmtId="0" fontId="37" fillId="48" borderId="1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48" borderId="12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25" applyNumberFormat="0" applyFont="0" applyAlignment="0" applyProtection="0"/>
    <xf numFmtId="0" fontId="7" fillId="37" borderId="125" applyNumberFormat="0" applyFont="0" applyAlignment="0" applyProtection="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8" borderId="95" applyNumberFormat="0" applyFont="0" applyAlignment="0" applyProtection="0"/>
    <xf numFmtId="0" fontId="2" fillId="0" borderId="0"/>
    <xf numFmtId="0" fontId="36" fillId="33" borderId="119" applyNumberFormat="0" applyAlignment="0" applyProtection="0"/>
    <xf numFmtId="0" fontId="36" fillId="33" borderId="119" applyNumberFormat="0" applyAlignment="0" applyProtection="0"/>
    <xf numFmtId="0" fontId="43" fillId="35" borderId="119" applyNumberFormat="0" applyAlignment="0" applyProtection="0"/>
    <xf numFmtId="0" fontId="43" fillId="35" borderId="119" applyNumberFormat="0" applyAlignment="0" applyProtection="0"/>
    <xf numFmtId="0" fontId="7" fillId="37" borderId="125" applyNumberFormat="0" applyFont="0" applyAlignment="0" applyProtection="0"/>
    <xf numFmtId="0" fontId="7" fillId="37" borderId="125" applyNumberFormat="0" applyFont="0" applyAlignment="0" applyProtection="0"/>
    <xf numFmtId="0" fontId="46" fillId="33" borderId="126" applyNumberFormat="0" applyAlignment="0" applyProtection="0"/>
    <xf numFmtId="0" fontId="46" fillId="33" borderId="126" applyNumberFormat="0" applyAlignment="0" applyProtection="0"/>
    <xf numFmtId="0" fontId="48" fillId="0" borderId="127" applyNumberFormat="0" applyFill="0" applyAlignment="0" applyProtection="0"/>
    <xf numFmtId="0" fontId="48" fillId="0" borderId="127" applyNumberFormat="0" applyFill="0" applyAlignment="0" applyProtection="0"/>
    <xf numFmtId="0" fontId="36" fillId="33" borderId="119" applyNumberFormat="0" applyAlignment="0" applyProtection="0"/>
    <xf numFmtId="0" fontId="36" fillId="33" borderId="119" applyNumberFormat="0" applyAlignment="0" applyProtection="0"/>
    <xf numFmtId="0" fontId="43" fillId="35" borderId="119" applyNumberFormat="0" applyAlignment="0" applyProtection="0"/>
    <xf numFmtId="0" fontId="43" fillId="35" borderId="119" applyNumberFormat="0" applyAlignment="0" applyProtection="0"/>
    <xf numFmtId="0" fontId="7" fillId="37" borderId="125" applyNumberFormat="0" applyFont="0" applyAlignment="0" applyProtection="0"/>
    <xf numFmtId="0" fontId="7" fillId="37" borderId="125" applyNumberFormat="0" applyFont="0" applyAlignment="0" applyProtection="0"/>
    <xf numFmtId="0" fontId="46" fillId="33" borderId="126" applyNumberFormat="0" applyAlignment="0" applyProtection="0"/>
    <xf numFmtId="0" fontId="46" fillId="33" borderId="126" applyNumberFormat="0" applyAlignment="0" applyProtection="0"/>
    <xf numFmtId="0" fontId="48" fillId="0" borderId="127" applyNumberFormat="0" applyFill="0" applyAlignment="0" applyProtection="0"/>
    <xf numFmtId="0" fontId="48" fillId="0" borderId="127" applyNumberFormat="0" applyFill="0" applyAlignment="0" applyProtection="0"/>
    <xf numFmtId="0" fontId="7" fillId="37" borderId="125" applyNumberFormat="0" applyFont="0" applyAlignment="0" applyProtection="0"/>
    <xf numFmtId="0" fontId="43" fillId="35" borderId="119" applyNumberFormat="0" applyAlignment="0" applyProtection="0"/>
    <xf numFmtId="0" fontId="43" fillId="35" borderId="119" applyNumberFormat="0" applyAlignment="0" applyProtection="0"/>
    <xf numFmtId="0" fontId="36" fillId="33" borderId="119" applyNumberFormat="0" applyAlignment="0" applyProtection="0"/>
    <xf numFmtId="0" fontId="36" fillId="33" borderId="119" applyNumberFormat="0" applyAlignment="0" applyProtection="0"/>
    <xf numFmtId="0" fontId="48" fillId="0" borderId="127" applyNumberFormat="0" applyFill="0" applyAlignment="0" applyProtection="0"/>
    <xf numFmtId="0" fontId="48" fillId="0" borderId="127" applyNumberFormat="0" applyFill="0" applyAlignment="0" applyProtection="0"/>
    <xf numFmtId="0" fontId="46" fillId="33" borderId="126" applyNumberFormat="0" applyAlignment="0" applyProtection="0"/>
    <xf numFmtId="0" fontId="46" fillId="33" borderId="126" applyNumberFormat="0" applyAlignment="0" applyProtection="0"/>
    <xf numFmtId="0" fontId="7" fillId="37" borderId="125" applyNumberFormat="0" applyFont="0" applyAlignment="0" applyProtection="0"/>
    <xf numFmtId="0" fontId="7" fillId="37" borderId="125" applyNumberFormat="0" applyFont="0" applyAlignment="0" applyProtection="0"/>
    <xf numFmtId="0" fontId="43" fillId="35" borderId="119" applyNumberFormat="0" applyAlignment="0" applyProtection="0"/>
    <xf numFmtId="0" fontId="43" fillId="35" borderId="119" applyNumberFormat="0" applyAlignment="0" applyProtection="0"/>
    <xf numFmtId="0" fontId="36" fillId="33" borderId="119" applyNumberFormat="0" applyAlignment="0" applyProtection="0"/>
    <xf numFmtId="0" fontId="36" fillId="33" borderId="119" applyNumberFormat="0" applyAlignment="0" applyProtection="0"/>
    <xf numFmtId="0" fontId="48" fillId="0" borderId="127" applyNumberFormat="0" applyFill="0" applyAlignment="0" applyProtection="0"/>
    <xf numFmtId="0" fontId="48" fillId="0" borderId="127" applyNumberFormat="0" applyFill="0" applyAlignment="0" applyProtection="0"/>
    <xf numFmtId="0" fontId="46" fillId="33" borderId="126" applyNumberFormat="0" applyAlignment="0" applyProtection="0"/>
    <xf numFmtId="0" fontId="46" fillId="33" borderId="126" applyNumberFormat="0" applyAlignment="0" applyProtection="0"/>
    <xf numFmtId="0" fontId="7" fillId="37" borderId="125" applyNumberFormat="0" applyFont="0" applyAlignment="0" applyProtection="0"/>
    <xf numFmtId="0" fontId="7" fillId="37" borderId="125" applyNumberFormat="0" applyFont="0" applyAlignment="0" applyProtection="0"/>
    <xf numFmtId="0" fontId="7" fillId="37" borderId="125" applyNumberFormat="0" applyFont="0" applyAlignment="0" applyProtection="0"/>
    <xf numFmtId="0" fontId="7" fillId="37" borderId="125" applyNumberFormat="0" applyFont="0" applyAlignment="0" applyProtection="0"/>
    <xf numFmtId="0" fontId="7" fillId="37" borderId="125" applyNumberFormat="0" applyFont="0" applyAlignment="0" applyProtection="0"/>
    <xf numFmtId="0" fontId="1" fillId="0" borderId="0"/>
    <xf numFmtId="43"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32" fillId="0" borderId="0"/>
    <xf numFmtId="43" fontId="32" fillId="0" borderId="0" applyFont="0" applyFill="0" applyBorder="0" applyAlignment="0" applyProtection="0"/>
    <xf numFmtId="37" fontId="27" fillId="0" borderId="0"/>
    <xf numFmtId="9" fontId="7" fillId="0" borderId="0" applyFont="0" applyFill="0" applyBorder="0" applyAlignment="0" applyProtection="0"/>
    <xf numFmtId="0" fontId="7" fillId="0" borderId="0"/>
    <xf numFmtId="0" fontId="7" fillId="0" borderId="0"/>
    <xf numFmtId="0" fontId="2" fillId="0" borderId="0"/>
    <xf numFmtId="0" fontId="7" fillId="0" borderId="0"/>
    <xf numFmtId="0" fontId="36" fillId="33" borderId="152" applyNumberFormat="0" applyAlignment="0" applyProtection="0"/>
    <xf numFmtId="0" fontId="36" fillId="33" borderId="152" applyNumberForma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36" fillId="33" borderId="152" applyNumberFormat="0" applyAlignment="0" applyProtection="0"/>
    <xf numFmtId="0" fontId="36" fillId="33" borderId="152" applyNumberForma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36" fillId="33" borderId="152" applyNumberFormat="0" applyAlignment="0" applyProtection="0"/>
    <xf numFmtId="0" fontId="36" fillId="33" borderId="152" applyNumberForma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36" fillId="33" borderId="152" applyNumberFormat="0" applyAlignment="0" applyProtection="0"/>
    <xf numFmtId="0" fontId="36" fillId="33" borderId="152"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36" fillId="33" borderId="152" applyNumberFormat="0" applyAlignment="0" applyProtection="0"/>
    <xf numFmtId="0" fontId="36" fillId="33" borderId="152"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36" fillId="33" borderId="152" applyNumberFormat="0" applyAlignment="0" applyProtection="0"/>
    <xf numFmtId="0" fontId="36" fillId="33" borderId="152" applyNumberForma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36" fillId="33" borderId="152" applyNumberFormat="0" applyAlignment="0" applyProtection="0"/>
    <xf numFmtId="0" fontId="36" fillId="33" borderId="152" applyNumberForma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36" fillId="33" borderId="152" applyNumberFormat="0" applyAlignment="0" applyProtection="0"/>
    <xf numFmtId="0" fontId="36" fillId="33" borderId="152"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36" fillId="33" borderId="152" applyNumberFormat="0" applyAlignment="0" applyProtection="0"/>
    <xf numFmtId="0" fontId="36" fillId="33" borderId="152"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36" fillId="33" borderId="158" applyNumberFormat="0" applyAlignment="0" applyProtection="0"/>
    <xf numFmtId="0" fontId="36" fillId="33" borderId="158" applyNumberFormat="0" applyAlignment="0" applyProtection="0"/>
    <xf numFmtId="0" fontId="43" fillId="35" borderId="158" applyNumberFormat="0" applyAlignment="0" applyProtection="0"/>
    <xf numFmtId="0" fontId="43" fillId="35" borderId="158" applyNumberFormat="0" applyAlignment="0" applyProtection="0"/>
    <xf numFmtId="0" fontId="7" fillId="37" borderId="159" applyNumberFormat="0" applyFont="0" applyAlignment="0" applyProtection="0"/>
    <xf numFmtId="0" fontId="7" fillId="37" borderId="159" applyNumberFormat="0" applyFont="0" applyAlignment="0" applyProtection="0"/>
    <xf numFmtId="0" fontId="46" fillId="33" borderId="160" applyNumberFormat="0" applyAlignment="0" applyProtection="0"/>
    <xf numFmtId="0" fontId="46" fillId="33" borderId="160" applyNumberFormat="0" applyAlignment="0" applyProtection="0"/>
    <xf numFmtId="0" fontId="48" fillId="0" borderId="161" applyNumberFormat="0" applyFill="0" applyAlignment="0" applyProtection="0"/>
    <xf numFmtId="0" fontId="48" fillId="0" borderId="161" applyNumberFormat="0" applyFill="0" applyAlignment="0" applyProtection="0"/>
    <xf numFmtId="0" fontId="36" fillId="33" borderId="158" applyNumberFormat="0" applyAlignment="0" applyProtection="0"/>
    <xf numFmtId="0" fontId="36" fillId="33" borderId="158" applyNumberFormat="0" applyAlignment="0" applyProtection="0"/>
    <xf numFmtId="0" fontId="43" fillId="35" borderId="158" applyNumberFormat="0" applyAlignment="0" applyProtection="0"/>
    <xf numFmtId="0" fontId="43" fillId="35" borderId="158" applyNumberFormat="0" applyAlignment="0" applyProtection="0"/>
    <xf numFmtId="0" fontId="7" fillId="37" borderId="159" applyNumberFormat="0" applyFont="0" applyAlignment="0" applyProtection="0"/>
    <xf numFmtId="0" fontId="7" fillId="37" borderId="159" applyNumberFormat="0" applyFont="0" applyAlignment="0" applyProtection="0"/>
    <xf numFmtId="0" fontId="46" fillId="33" borderId="160" applyNumberFormat="0" applyAlignment="0" applyProtection="0"/>
    <xf numFmtId="0" fontId="46" fillId="33" borderId="160" applyNumberFormat="0" applyAlignment="0" applyProtection="0"/>
    <xf numFmtId="0" fontId="48" fillId="0" borderId="161" applyNumberFormat="0" applyFill="0" applyAlignment="0" applyProtection="0"/>
    <xf numFmtId="0" fontId="48" fillId="0" borderId="161" applyNumberFormat="0" applyFill="0" applyAlignment="0" applyProtection="0"/>
    <xf numFmtId="0" fontId="36" fillId="33" borderId="158" applyNumberFormat="0" applyAlignment="0" applyProtection="0"/>
    <xf numFmtId="0" fontId="36" fillId="33" borderId="158" applyNumberFormat="0" applyAlignment="0" applyProtection="0"/>
    <xf numFmtId="0" fontId="43" fillId="35" borderId="158" applyNumberFormat="0" applyAlignment="0" applyProtection="0"/>
    <xf numFmtId="0" fontId="43" fillId="35" borderId="158" applyNumberFormat="0" applyAlignment="0" applyProtection="0"/>
    <xf numFmtId="0" fontId="7" fillId="37" borderId="159" applyNumberFormat="0" applyFont="0" applyAlignment="0" applyProtection="0"/>
    <xf numFmtId="0" fontId="7" fillId="37" borderId="159" applyNumberFormat="0" applyFont="0" applyAlignment="0" applyProtection="0"/>
    <xf numFmtId="0" fontId="46" fillId="33" borderId="160" applyNumberFormat="0" applyAlignment="0" applyProtection="0"/>
    <xf numFmtId="0" fontId="46" fillId="33" borderId="160" applyNumberFormat="0" applyAlignment="0" applyProtection="0"/>
    <xf numFmtId="0" fontId="48" fillId="0" borderId="161" applyNumberFormat="0" applyFill="0" applyAlignment="0" applyProtection="0"/>
    <xf numFmtId="0" fontId="48" fillId="0" borderId="161" applyNumberFormat="0" applyFill="0" applyAlignment="0" applyProtection="0"/>
    <xf numFmtId="0" fontId="7" fillId="37" borderId="159" applyNumberFormat="0" applyFont="0" applyAlignment="0" applyProtection="0"/>
    <xf numFmtId="0" fontId="43" fillId="35" borderId="158" applyNumberFormat="0" applyAlignment="0" applyProtection="0"/>
    <xf numFmtId="0" fontId="43" fillId="35" borderId="158" applyNumberFormat="0" applyAlignment="0" applyProtection="0"/>
    <xf numFmtId="0" fontId="36" fillId="33" borderId="158" applyNumberFormat="0" applyAlignment="0" applyProtection="0"/>
    <xf numFmtId="0" fontId="36" fillId="33" borderId="158" applyNumberFormat="0" applyAlignment="0" applyProtection="0"/>
    <xf numFmtId="0" fontId="48" fillId="0" borderId="161" applyNumberFormat="0" applyFill="0" applyAlignment="0" applyProtection="0"/>
    <xf numFmtId="0" fontId="48" fillId="0" borderId="161" applyNumberFormat="0" applyFill="0" applyAlignment="0" applyProtection="0"/>
    <xf numFmtId="0" fontId="46" fillId="33" borderId="160" applyNumberFormat="0" applyAlignment="0" applyProtection="0"/>
    <xf numFmtId="0" fontId="46" fillId="33" borderId="160" applyNumberFormat="0" applyAlignment="0" applyProtection="0"/>
    <xf numFmtId="0" fontId="7" fillId="37" borderId="159" applyNumberFormat="0" applyFont="0" applyAlignment="0" applyProtection="0"/>
    <xf numFmtId="0" fontId="7" fillId="37" borderId="159" applyNumberFormat="0" applyFont="0" applyAlignment="0" applyProtection="0"/>
    <xf numFmtId="0" fontId="43" fillId="35" borderId="158" applyNumberFormat="0" applyAlignment="0" applyProtection="0"/>
    <xf numFmtId="0" fontId="43" fillId="35" borderId="158" applyNumberFormat="0" applyAlignment="0" applyProtection="0"/>
    <xf numFmtId="0" fontId="36" fillId="33" borderId="158" applyNumberFormat="0" applyAlignment="0" applyProtection="0"/>
    <xf numFmtId="0" fontId="36" fillId="33" borderId="158" applyNumberFormat="0" applyAlignment="0" applyProtection="0"/>
    <xf numFmtId="0" fontId="48" fillId="0" borderId="161" applyNumberFormat="0" applyFill="0" applyAlignment="0" applyProtection="0"/>
    <xf numFmtId="0" fontId="48" fillId="0" borderId="161" applyNumberFormat="0" applyFill="0" applyAlignment="0" applyProtection="0"/>
    <xf numFmtId="0" fontId="46" fillId="33" borderId="160" applyNumberFormat="0" applyAlignment="0" applyProtection="0"/>
    <xf numFmtId="0" fontId="46" fillId="33" borderId="160" applyNumberFormat="0" applyAlignment="0" applyProtection="0"/>
    <xf numFmtId="0" fontId="7" fillId="37" borderId="159" applyNumberFormat="0" applyFont="0" applyAlignment="0" applyProtection="0"/>
    <xf numFmtId="0" fontId="7" fillId="37" borderId="159" applyNumberFormat="0" applyFont="0" applyAlignment="0" applyProtection="0"/>
    <xf numFmtId="0" fontId="7" fillId="37" borderId="159" applyNumberFormat="0" applyFont="0" applyAlignment="0" applyProtection="0"/>
    <xf numFmtId="0" fontId="7" fillId="37" borderId="159" applyNumberFormat="0" applyFont="0" applyAlignment="0" applyProtection="0"/>
    <xf numFmtId="0" fontId="7" fillId="37" borderId="159" applyNumberFormat="0" applyFont="0" applyAlignment="0" applyProtection="0"/>
    <xf numFmtId="0" fontId="36" fillId="33" borderId="158" applyNumberFormat="0" applyAlignment="0" applyProtection="0"/>
    <xf numFmtId="0" fontId="36" fillId="33" borderId="158" applyNumberFormat="0" applyAlignment="0" applyProtection="0"/>
    <xf numFmtId="0" fontId="43" fillId="35" borderId="158" applyNumberFormat="0" applyAlignment="0" applyProtection="0"/>
    <xf numFmtId="0" fontId="43" fillId="35" borderId="158" applyNumberFormat="0" applyAlignment="0" applyProtection="0"/>
    <xf numFmtId="0" fontId="7" fillId="37" borderId="159" applyNumberFormat="0" applyFont="0" applyAlignment="0" applyProtection="0"/>
    <xf numFmtId="0" fontId="7" fillId="37" borderId="159" applyNumberFormat="0" applyFont="0" applyAlignment="0" applyProtection="0"/>
    <xf numFmtId="0" fontId="46" fillId="33" borderId="160" applyNumberFormat="0" applyAlignment="0" applyProtection="0"/>
    <xf numFmtId="0" fontId="46" fillId="33" borderId="160" applyNumberFormat="0" applyAlignment="0" applyProtection="0"/>
    <xf numFmtId="0" fontId="48" fillId="0" borderId="161" applyNumberFormat="0" applyFill="0" applyAlignment="0" applyProtection="0"/>
    <xf numFmtId="0" fontId="48" fillId="0" borderId="161" applyNumberFormat="0" applyFill="0" applyAlignment="0" applyProtection="0"/>
    <xf numFmtId="0" fontId="36" fillId="33" borderId="158" applyNumberFormat="0" applyAlignment="0" applyProtection="0"/>
    <xf numFmtId="0" fontId="36" fillId="33" borderId="158" applyNumberFormat="0" applyAlignment="0" applyProtection="0"/>
    <xf numFmtId="0" fontId="43" fillId="35" borderId="158" applyNumberFormat="0" applyAlignment="0" applyProtection="0"/>
    <xf numFmtId="0" fontId="43" fillId="35" borderId="158" applyNumberFormat="0" applyAlignment="0" applyProtection="0"/>
    <xf numFmtId="0" fontId="7" fillId="37" borderId="159" applyNumberFormat="0" applyFont="0" applyAlignment="0" applyProtection="0"/>
    <xf numFmtId="0" fontId="7" fillId="37" borderId="159" applyNumberFormat="0" applyFont="0" applyAlignment="0" applyProtection="0"/>
    <xf numFmtId="0" fontId="46" fillId="33" borderId="160" applyNumberFormat="0" applyAlignment="0" applyProtection="0"/>
    <xf numFmtId="0" fontId="46" fillId="33" borderId="160" applyNumberFormat="0" applyAlignment="0" applyProtection="0"/>
    <xf numFmtId="0" fontId="48" fillId="0" borderId="161" applyNumberFormat="0" applyFill="0" applyAlignment="0" applyProtection="0"/>
    <xf numFmtId="0" fontId="48" fillId="0" borderId="161" applyNumberFormat="0" applyFill="0" applyAlignment="0" applyProtection="0"/>
    <xf numFmtId="0" fontId="7" fillId="37" borderId="159" applyNumberFormat="0" applyFont="0" applyAlignment="0" applyProtection="0"/>
    <xf numFmtId="0" fontId="43" fillId="35" borderId="158" applyNumberFormat="0" applyAlignment="0" applyProtection="0"/>
    <xf numFmtId="0" fontId="43" fillId="35" borderId="158" applyNumberFormat="0" applyAlignment="0" applyProtection="0"/>
    <xf numFmtId="0" fontId="36" fillId="33" borderId="158" applyNumberFormat="0" applyAlignment="0" applyProtection="0"/>
    <xf numFmtId="0" fontId="36" fillId="33" borderId="158" applyNumberFormat="0" applyAlignment="0" applyProtection="0"/>
    <xf numFmtId="0" fontId="48" fillId="0" borderId="161" applyNumberFormat="0" applyFill="0" applyAlignment="0" applyProtection="0"/>
    <xf numFmtId="0" fontId="48" fillId="0" borderId="161" applyNumberFormat="0" applyFill="0" applyAlignment="0" applyProtection="0"/>
    <xf numFmtId="0" fontId="46" fillId="33" borderId="160" applyNumberFormat="0" applyAlignment="0" applyProtection="0"/>
    <xf numFmtId="0" fontId="46" fillId="33" borderId="160" applyNumberFormat="0" applyAlignment="0" applyProtection="0"/>
    <xf numFmtId="0" fontId="7" fillId="37" borderId="159" applyNumberFormat="0" applyFont="0" applyAlignment="0" applyProtection="0"/>
    <xf numFmtId="0" fontId="7" fillId="37" borderId="159" applyNumberFormat="0" applyFont="0" applyAlignment="0" applyProtection="0"/>
    <xf numFmtId="0" fontId="43" fillId="35" borderId="158" applyNumberFormat="0" applyAlignment="0" applyProtection="0"/>
    <xf numFmtId="0" fontId="43" fillId="35" borderId="158" applyNumberFormat="0" applyAlignment="0" applyProtection="0"/>
    <xf numFmtId="0" fontId="36" fillId="33" borderId="158" applyNumberFormat="0" applyAlignment="0" applyProtection="0"/>
    <xf numFmtId="0" fontId="36" fillId="33" borderId="158" applyNumberFormat="0" applyAlignment="0" applyProtection="0"/>
    <xf numFmtId="0" fontId="48" fillId="0" borderId="161" applyNumberFormat="0" applyFill="0" applyAlignment="0" applyProtection="0"/>
    <xf numFmtId="0" fontId="48" fillId="0" borderId="161" applyNumberFormat="0" applyFill="0" applyAlignment="0" applyProtection="0"/>
    <xf numFmtId="0" fontId="46" fillId="33" borderId="160" applyNumberFormat="0" applyAlignment="0" applyProtection="0"/>
    <xf numFmtId="0" fontId="46" fillId="33" borderId="160" applyNumberFormat="0" applyAlignment="0" applyProtection="0"/>
    <xf numFmtId="0" fontId="7" fillId="37" borderId="159" applyNumberFormat="0" applyFont="0" applyAlignment="0" applyProtection="0"/>
    <xf numFmtId="0" fontId="7" fillId="37" borderId="159" applyNumberFormat="0" applyFont="0" applyAlignment="0" applyProtection="0"/>
    <xf numFmtId="0" fontId="7" fillId="37" borderId="159" applyNumberFormat="0" applyFont="0" applyAlignment="0" applyProtection="0"/>
    <xf numFmtId="0" fontId="7" fillId="37" borderId="159" applyNumberFormat="0" applyFont="0" applyAlignment="0" applyProtection="0"/>
    <xf numFmtId="0" fontId="7" fillId="37" borderId="159" applyNumberFormat="0" applyFont="0" applyAlignment="0" applyProtection="0"/>
    <xf numFmtId="0" fontId="36" fillId="33" borderId="162" applyNumberFormat="0" applyAlignment="0" applyProtection="0"/>
    <xf numFmtId="0" fontId="36" fillId="33" borderId="162" applyNumberFormat="0" applyAlignment="0" applyProtection="0"/>
    <xf numFmtId="0" fontId="43" fillId="35" borderId="162" applyNumberFormat="0" applyAlignment="0" applyProtection="0"/>
    <xf numFmtId="0" fontId="43" fillId="35" borderId="162" applyNumberFormat="0" applyAlignment="0" applyProtection="0"/>
    <xf numFmtId="0" fontId="7" fillId="37" borderId="163" applyNumberFormat="0" applyFont="0" applyAlignment="0" applyProtection="0"/>
    <xf numFmtId="0" fontId="7" fillId="37" borderId="163" applyNumberFormat="0" applyFont="0" applyAlignment="0" applyProtection="0"/>
    <xf numFmtId="0" fontId="46" fillId="33" borderId="164" applyNumberFormat="0" applyAlignment="0" applyProtection="0"/>
    <xf numFmtId="0" fontId="46" fillId="33" borderId="164" applyNumberFormat="0" applyAlignment="0" applyProtection="0"/>
    <xf numFmtId="0" fontId="48" fillId="0" borderId="165" applyNumberFormat="0" applyFill="0" applyAlignment="0" applyProtection="0"/>
    <xf numFmtId="0" fontId="48" fillId="0" borderId="165" applyNumberFormat="0" applyFill="0" applyAlignment="0" applyProtection="0"/>
    <xf numFmtId="0" fontId="36" fillId="33" borderId="162" applyNumberFormat="0" applyAlignment="0" applyProtection="0"/>
    <xf numFmtId="0" fontId="36" fillId="33" borderId="162" applyNumberFormat="0" applyAlignment="0" applyProtection="0"/>
    <xf numFmtId="0" fontId="43" fillId="35" borderId="162" applyNumberFormat="0" applyAlignment="0" applyProtection="0"/>
    <xf numFmtId="0" fontId="43" fillId="35" borderId="162" applyNumberFormat="0" applyAlignment="0" applyProtection="0"/>
    <xf numFmtId="0" fontId="7" fillId="37" borderId="163" applyNumberFormat="0" applyFont="0" applyAlignment="0" applyProtection="0"/>
    <xf numFmtId="0" fontId="7" fillId="37" borderId="163" applyNumberFormat="0" applyFont="0" applyAlignment="0" applyProtection="0"/>
    <xf numFmtId="0" fontId="46" fillId="33" borderId="164" applyNumberFormat="0" applyAlignment="0" applyProtection="0"/>
    <xf numFmtId="0" fontId="46" fillId="33" borderId="164" applyNumberFormat="0" applyAlignment="0" applyProtection="0"/>
    <xf numFmtId="0" fontId="48" fillId="0" borderId="165" applyNumberFormat="0" applyFill="0" applyAlignment="0" applyProtection="0"/>
    <xf numFmtId="0" fontId="48" fillId="0" borderId="165" applyNumberFormat="0" applyFill="0" applyAlignment="0" applyProtection="0"/>
    <xf numFmtId="0" fontId="36" fillId="33" borderId="162" applyNumberFormat="0" applyAlignment="0" applyProtection="0"/>
    <xf numFmtId="0" fontId="36" fillId="33" borderId="162" applyNumberFormat="0" applyAlignment="0" applyProtection="0"/>
    <xf numFmtId="0" fontId="43" fillId="35" borderId="162" applyNumberFormat="0" applyAlignment="0" applyProtection="0"/>
    <xf numFmtId="0" fontId="43" fillId="35" borderId="162" applyNumberFormat="0" applyAlignment="0" applyProtection="0"/>
    <xf numFmtId="0" fontId="7" fillId="37" borderId="163" applyNumberFormat="0" applyFont="0" applyAlignment="0" applyProtection="0"/>
    <xf numFmtId="0" fontId="7" fillId="37" borderId="163" applyNumberFormat="0" applyFont="0" applyAlignment="0" applyProtection="0"/>
    <xf numFmtId="0" fontId="46" fillId="33" borderId="164" applyNumberFormat="0" applyAlignment="0" applyProtection="0"/>
    <xf numFmtId="0" fontId="46" fillId="33" borderId="164" applyNumberFormat="0" applyAlignment="0" applyProtection="0"/>
    <xf numFmtId="0" fontId="48" fillId="0" borderId="165" applyNumberFormat="0" applyFill="0" applyAlignment="0" applyProtection="0"/>
    <xf numFmtId="0" fontId="48" fillId="0" borderId="165" applyNumberFormat="0" applyFill="0" applyAlignment="0" applyProtection="0"/>
    <xf numFmtId="0" fontId="7" fillId="37" borderId="163" applyNumberFormat="0" applyFont="0" applyAlignment="0" applyProtection="0"/>
    <xf numFmtId="0" fontId="43" fillId="35" borderId="162" applyNumberFormat="0" applyAlignment="0" applyProtection="0"/>
    <xf numFmtId="0" fontId="43" fillId="35" borderId="162" applyNumberFormat="0" applyAlignment="0" applyProtection="0"/>
    <xf numFmtId="0" fontId="36" fillId="33" borderId="162" applyNumberFormat="0" applyAlignment="0" applyProtection="0"/>
    <xf numFmtId="0" fontId="36" fillId="33" borderId="162" applyNumberFormat="0" applyAlignment="0" applyProtection="0"/>
    <xf numFmtId="0" fontId="48" fillId="0" borderId="165" applyNumberFormat="0" applyFill="0" applyAlignment="0" applyProtection="0"/>
    <xf numFmtId="0" fontId="48" fillId="0" borderId="165" applyNumberFormat="0" applyFill="0" applyAlignment="0" applyProtection="0"/>
    <xf numFmtId="0" fontId="46" fillId="33" borderId="164" applyNumberFormat="0" applyAlignment="0" applyProtection="0"/>
    <xf numFmtId="0" fontId="46" fillId="33" borderId="164" applyNumberFormat="0" applyAlignment="0" applyProtection="0"/>
    <xf numFmtId="0" fontId="7" fillId="37" borderId="163" applyNumberFormat="0" applyFont="0" applyAlignment="0" applyProtection="0"/>
    <xf numFmtId="0" fontId="7" fillId="37" borderId="163" applyNumberFormat="0" applyFont="0" applyAlignment="0" applyProtection="0"/>
    <xf numFmtId="0" fontId="43" fillId="35" borderId="162" applyNumberFormat="0" applyAlignment="0" applyProtection="0"/>
    <xf numFmtId="0" fontId="43" fillId="35" borderId="162" applyNumberFormat="0" applyAlignment="0" applyProtection="0"/>
    <xf numFmtId="0" fontId="36" fillId="33" borderId="162" applyNumberFormat="0" applyAlignment="0" applyProtection="0"/>
    <xf numFmtId="0" fontId="36" fillId="33" borderId="162" applyNumberFormat="0" applyAlignment="0" applyProtection="0"/>
    <xf numFmtId="0" fontId="48" fillId="0" borderId="165" applyNumberFormat="0" applyFill="0" applyAlignment="0" applyProtection="0"/>
    <xf numFmtId="0" fontId="48" fillId="0" borderId="165" applyNumberFormat="0" applyFill="0" applyAlignment="0" applyProtection="0"/>
    <xf numFmtId="0" fontId="46" fillId="33" borderId="164" applyNumberFormat="0" applyAlignment="0" applyProtection="0"/>
    <xf numFmtId="0" fontId="46" fillId="33" borderId="164" applyNumberFormat="0" applyAlignment="0" applyProtection="0"/>
    <xf numFmtId="0" fontId="7" fillId="37" borderId="163" applyNumberFormat="0" applyFont="0" applyAlignment="0" applyProtection="0"/>
    <xf numFmtId="0" fontId="7" fillId="37" borderId="163" applyNumberFormat="0" applyFont="0" applyAlignment="0" applyProtection="0"/>
    <xf numFmtId="0" fontId="7" fillId="37" borderId="163" applyNumberFormat="0" applyFont="0" applyAlignment="0" applyProtection="0"/>
    <xf numFmtId="0" fontId="7" fillId="37" borderId="163" applyNumberFormat="0" applyFont="0" applyAlignment="0" applyProtection="0"/>
    <xf numFmtId="0" fontId="7" fillId="37" borderId="163" applyNumberFormat="0" applyFont="0" applyAlignment="0" applyProtection="0"/>
    <xf numFmtId="0" fontId="36" fillId="33" borderId="162" applyNumberFormat="0" applyAlignment="0" applyProtection="0"/>
    <xf numFmtId="0" fontId="36" fillId="33" borderId="162" applyNumberFormat="0" applyAlignment="0" applyProtection="0"/>
    <xf numFmtId="0" fontId="43" fillId="35" borderId="162" applyNumberFormat="0" applyAlignment="0" applyProtection="0"/>
    <xf numFmtId="0" fontId="43" fillId="35" borderId="162" applyNumberFormat="0" applyAlignment="0" applyProtection="0"/>
    <xf numFmtId="0" fontId="7" fillId="37" borderId="163" applyNumberFormat="0" applyFont="0" applyAlignment="0" applyProtection="0"/>
    <xf numFmtId="0" fontId="7" fillId="37" borderId="163" applyNumberFormat="0" applyFont="0" applyAlignment="0" applyProtection="0"/>
    <xf numFmtId="0" fontId="46" fillId="33" borderId="164" applyNumberFormat="0" applyAlignment="0" applyProtection="0"/>
    <xf numFmtId="0" fontId="46" fillId="33" borderId="164" applyNumberFormat="0" applyAlignment="0" applyProtection="0"/>
    <xf numFmtId="0" fontId="48" fillId="0" borderId="165" applyNumberFormat="0" applyFill="0" applyAlignment="0" applyProtection="0"/>
    <xf numFmtId="0" fontId="48" fillId="0" borderId="165" applyNumberFormat="0" applyFill="0" applyAlignment="0" applyProtection="0"/>
    <xf numFmtId="0" fontId="36" fillId="33" borderId="162" applyNumberFormat="0" applyAlignment="0" applyProtection="0"/>
    <xf numFmtId="0" fontId="36" fillId="33" borderId="162" applyNumberFormat="0" applyAlignment="0" applyProtection="0"/>
    <xf numFmtId="0" fontId="43" fillId="35" borderId="162" applyNumberFormat="0" applyAlignment="0" applyProtection="0"/>
    <xf numFmtId="0" fontId="43" fillId="35" borderId="162" applyNumberFormat="0" applyAlignment="0" applyProtection="0"/>
    <xf numFmtId="0" fontId="7" fillId="37" borderId="163" applyNumberFormat="0" applyFont="0" applyAlignment="0" applyProtection="0"/>
    <xf numFmtId="0" fontId="7" fillId="37" borderId="163" applyNumberFormat="0" applyFont="0" applyAlignment="0" applyProtection="0"/>
    <xf numFmtId="0" fontId="46" fillId="33" borderId="164" applyNumberFormat="0" applyAlignment="0" applyProtection="0"/>
    <xf numFmtId="0" fontId="46" fillId="33" borderId="164" applyNumberFormat="0" applyAlignment="0" applyProtection="0"/>
    <xf numFmtId="0" fontId="48" fillId="0" borderId="165" applyNumberFormat="0" applyFill="0" applyAlignment="0" applyProtection="0"/>
    <xf numFmtId="0" fontId="48" fillId="0" borderId="165" applyNumberFormat="0" applyFill="0" applyAlignment="0" applyProtection="0"/>
    <xf numFmtId="0" fontId="7" fillId="37" borderId="163" applyNumberFormat="0" applyFont="0" applyAlignment="0" applyProtection="0"/>
    <xf numFmtId="0" fontId="43" fillId="35" borderId="162" applyNumberFormat="0" applyAlignment="0" applyProtection="0"/>
    <xf numFmtId="0" fontId="43" fillId="35" borderId="162" applyNumberFormat="0" applyAlignment="0" applyProtection="0"/>
    <xf numFmtId="0" fontId="36" fillId="33" borderId="162" applyNumberFormat="0" applyAlignment="0" applyProtection="0"/>
    <xf numFmtId="0" fontId="36" fillId="33" borderId="162" applyNumberFormat="0" applyAlignment="0" applyProtection="0"/>
    <xf numFmtId="0" fontId="48" fillId="0" borderId="165" applyNumberFormat="0" applyFill="0" applyAlignment="0" applyProtection="0"/>
    <xf numFmtId="0" fontId="48" fillId="0" borderId="165" applyNumberFormat="0" applyFill="0" applyAlignment="0" applyProtection="0"/>
    <xf numFmtId="0" fontId="46" fillId="33" borderId="164" applyNumberFormat="0" applyAlignment="0" applyProtection="0"/>
    <xf numFmtId="0" fontId="46" fillId="33" borderId="164" applyNumberFormat="0" applyAlignment="0" applyProtection="0"/>
    <xf numFmtId="0" fontId="7" fillId="37" borderId="163" applyNumberFormat="0" applyFont="0" applyAlignment="0" applyProtection="0"/>
    <xf numFmtId="0" fontId="7" fillId="37" borderId="163" applyNumberFormat="0" applyFont="0" applyAlignment="0" applyProtection="0"/>
    <xf numFmtId="0" fontId="43" fillId="35" borderId="162" applyNumberFormat="0" applyAlignment="0" applyProtection="0"/>
    <xf numFmtId="0" fontId="43" fillId="35" borderId="162" applyNumberFormat="0" applyAlignment="0" applyProtection="0"/>
    <xf numFmtId="0" fontId="36" fillId="33" borderId="162" applyNumberFormat="0" applyAlignment="0" applyProtection="0"/>
    <xf numFmtId="0" fontId="36" fillId="33" borderId="162" applyNumberFormat="0" applyAlignment="0" applyProtection="0"/>
    <xf numFmtId="0" fontId="48" fillId="0" borderId="165" applyNumberFormat="0" applyFill="0" applyAlignment="0" applyProtection="0"/>
    <xf numFmtId="0" fontId="48" fillId="0" borderId="165" applyNumberFormat="0" applyFill="0" applyAlignment="0" applyProtection="0"/>
    <xf numFmtId="0" fontId="46" fillId="33" borderId="164" applyNumberFormat="0" applyAlignment="0" applyProtection="0"/>
    <xf numFmtId="0" fontId="46" fillId="33" borderId="164" applyNumberFormat="0" applyAlignment="0" applyProtection="0"/>
    <xf numFmtId="0" fontId="7" fillId="37" borderId="163" applyNumberFormat="0" applyFont="0" applyAlignment="0" applyProtection="0"/>
    <xf numFmtId="0" fontId="7" fillId="37" borderId="163" applyNumberFormat="0" applyFont="0" applyAlignment="0" applyProtection="0"/>
    <xf numFmtId="0" fontId="7" fillId="37" borderId="163" applyNumberFormat="0" applyFont="0" applyAlignment="0" applyProtection="0"/>
    <xf numFmtId="0" fontId="7" fillId="37" borderId="163" applyNumberFormat="0" applyFont="0" applyAlignment="0" applyProtection="0"/>
    <xf numFmtId="0" fontId="7" fillId="37" borderId="163" applyNumberFormat="0" applyFont="0" applyAlignment="0" applyProtection="0"/>
    <xf numFmtId="0" fontId="7" fillId="37" borderId="153" applyNumberFormat="0" applyFont="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36" fillId="33" borderId="152" applyNumberForma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3" fillId="35" borderId="152" applyNumberFormat="0" applyAlignment="0" applyProtection="0"/>
    <xf numFmtId="0" fontId="36" fillId="33"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7" fillId="37" borderId="153" applyNumberFormat="0" applyFont="0" applyAlignment="0" applyProtection="0"/>
    <xf numFmtId="0" fontId="43" fillId="35"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7" fillId="37" borderId="153" applyNumberFormat="0" applyFont="0" applyAlignment="0" applyProtection="0"/>
    <xf numFmtId="0" fontId="43" fillId="35" borderId="152" applyNumberFormat="0" applyAlignment="0" applyProtection="0"/>
    <xf numFmtId="0" fontId="36" fillId="33" borderId="152" applyNumberFormat="0" applyAlignment="0" applyProtection="0"/>
    <xf numFmtId="0" fontId="7" fillId="37" borderId="153" applyNumberFormat="0" applyFont="0" applyAlignment="0" applyProtection="0"/>
    <xf numFmtId="0" fontId="43" fillId="35" borderId="152" applyNumberFormat="0" applyAlignment="0" applyProtection="0"/>
    <xf numFmtId="0" fontId="36" fillId="33"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64" fillId="0" borderId="0">
      <alignment horizontal="left" indent="1"/>
    </xf>
    <xf numFmtId="0" fontId="36" fillId="33"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36" fillId="33" borderId="152" applyNumberFormat="0" applyAlignment="0" applyProtection="0"/>
    <xf numFmtId="0" fontId="7" fillId="37" borderId="153" applyNumberFormat="0" applyFont="0" applyAlignment="0" applyProtection="0"/>
    <xf numFmtId="0" fontId="43" fillId="35"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43" fillId="35" borderId="152" applyNumberFormat="0" applyAlignment="0" applyProtection="0"/>
    <xf numFmtId="0" fontId="36" fillId="33"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53" applyNumberFormat="0" applyFont="0" applyAlignment="0" applyProtection="0"/>
    <xf numFmtId="0" fontId="36" fillId="33"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7" fillId="37" borderId="153" applyNumberFormat="0" applyFont="0" applyAlignment="0" applyProtection="0"/>
    <xf numFmtId="0" fontId="36" fillId="33" borderId="152" applyNumberFormat="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36" fillId="33" borderId="167" applyNumberFormat="0" applyAlignment="0" applyProtection="0"/>
    <xf numFmtId="0" fontId="36" fillId="33" borderId="167" applyNumberFormat="0" applyAlignment="0" applyProtection="0"/>
    <xf numFmtId="0" fontId="43" fillId="35" borderId="167" applyNumberFormat="0" applyAlignment="0" applyProtection="0"/>
    <xf numFmtId="0" fontId="43" fillId="35" borderId="167"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69" applyNumberFormat="0" applyAlignment="0" applyProtection="0"/>
    <xf numFmtId="0" fontId="46" fillId="33" borderId="169"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43" fillId="35" borderId="167" applyNumberFormat="0" applyAlignment="0" applyProtection="0"/>
    <xf numFmtId="0" fontId="43" fillId="35" borderId="167" applyNumberFormat="0" applyAlignment="0" applyProtection="0"/>
    <xf numFmtId="0" fontId="36" fillId="33" borderId="167" applyNumberFormat="0" applyAlignment="0" applyProtection="0"/>
    <xf numFmtId="0" fontId="36" fillId="33" borderId="167" applyNumberFormat="0" applyAlignment="0" applyProtection="0"/>
    <xf numFmtId="0" fontId="48" fillId="0" borderId="170" applyNumberFormat="0" applyFill="0" applyAlignment="0" applyProtection="0"/>
    <xf numFmtId="0" fontId="48" fillId="0" borderId="170" applyNumberFormat="0" applyFill="0" applyAlignment="0" applyProtection="0"/>
    <xf numFmtId="0" fontId="46" fillId="33" borderId="169" applyNumberFormat="0" applyAlignment="0" applyProtection="0"/>
    <xf numFmtId="0" fontId="46" fillId="33" borderId="169" applyNumberForma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7" fillId="37" borderId="168" applyNumberFormat="0" applyFont="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48" fillId="0" borderId="155" applyNumberFormat="0" applyFill="0" applyAlignment="0" applyProtection="0"/>
    <xf numFmtId="0" fontId="48" fillId="0" borderId="155" applyNumberFormat="0" applyFill="0" applyAlignment="0" applyProtection="0"/>
    <xf numFmtId="0" fontId="46" fillId="33" borderId="154" applyNumberFormat="0" applyAlignment="0" applyProtection="0"/>
    <xf numFmtId="0" fontId="46" fillId="33" borderId="154" applyNumberFormat="0" applyAlignment="0" applyProtection="0"/>
    <xf numFmtId="0" fontId="7" fillId="37" borderId="153" applyNumberFormat="0" applyFont="0" applyAlignment="0" applyProtection="0"/>
    <xf numFmtId="0" fontId="36" fillId="33" borderId="152" applyNumberFormat="0" applyAlignment="0" applyProtection="0"/>
    <xf numFmtId="0" fontId="36" fillId="33" borderId="152" applyNumberForma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36" fillId="33" borderId="152" applyNumberFormat="0" applyAlignment="0" applyProtection="0"/>
    <xf numFmtId="0" fontId="36" fillId="33"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36" fillId="33" borderId="152" applyNumberFormat="0" applyAlignment="0" applyProtection="0"/>
    <xf numFmtId="0" fontId="36" fillId="33"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36" fillId="33" borderId="152" applyNumberFormat="0" applyAlignment="0" applyProtection="0"/>
    <xf numFmtId="0" fontId="36" fillId="33" borderId="152" applyNumberForma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36" fillId="33" borderId="152" applyNumberFormat="0" applyAlignment="0" applyProtection="0"/>
    <xf numFmtId="0" fontId="36" fillId="33" borderId="152" applyNumberFormat="0" applyAlignment="0" applyProtection="0"/>
    <xf numFmtId="0" fontId="43" fillId="35" borderId="152" applyNumberFormat="0" applyAlignment="0" applyProtection="0"/>
    <xf numFmtId="0" fontId="43" fillId="35"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36" fillId="33" borderId="152" applyNumberFormat="0" applyAlignment="0" applyProtection="0"/>
    <xf numFmtId="0" fontId="36" fillId="33"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43" fillId="35" borderId="152" applyNumberFormat="0" applyAlignment="0" applyProtection="0"/>
    <xf numFmtId="0" fontId="43" fillId="35" borderId="152" applyNumberFormat="0" applyAlignment="0" applyProtection="0"/>
    <xf numFmtId="0" fontId="36" fillId="33" borderId="152" applyNumberFormat="0" applyAlignment="0" applyProtection="0"/>
    <xf numFmtId="0" fontId="36" fillId="33" borderId="152" applyNumberForma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7" fillId="37" borderId="153" applyNumberFormat="0" applyFont="0" applyAlignment="0" applyProtection="0"/>
    <xf numFmtId="0" fontId="2" fillId="0" borderId="0"/>
    <xf numFmtId="0" fontId="1" fillId="0" borderId="0"/>
    <xf numFmtId="0" fontId="1" fillId="0" borderId="0"/>
    <xf numFmtId="0" fontId="1" fillId="0" borderId="0"/>
    <xf numFmtId="9" fontId="2" fillId="0" borderId="0" applyFont="0" applyFill="0" applyBorder="0" applyAlignment="0" applyProtection="0"/>
    <xf numFmtId="0" fontId="2" fillId="8" borderId="95" applyNumberFormat="0" applyFont="0" applyAlignment="0" applyProtection="0"/>
    <xf numFmtId="43" fontId="7" fillId="0" borderId="0" applyFont="0" applyFill="0" applyBorder="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36" fillId="33"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7" fillId="37" borderId="174" applyNumberFormat="0" applyFont="0" applyAlignment="0" applyProtection="0"/>
    <xf numFmtId="0" fontId="43" fillId="35"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7" fillId="37" borderId="174" applyNumberFormat="0" applyFont="0" applyAlignment="0" applyProtection="0"/>
    <xf numFmtId="0" fontId="43" fillId="35" borderId="173" applyNumberFormat="0" applyAlignment="0" applyProtection="0"/>
    <xf numFmtId="0" fontId="36" fillId="33" borderId="173" applyNumberFormat="0" applyAlignment="0" applyProtection="0"/>
    <xf numFmtId="0" fontId="7" fillId="37" borderId="174" applyNumberFormat="0" applyFont="0" applyAlignment="0" applyProtection="0"/>
    <xf numFmtId="0" fontId="43" fillId="35" borderId="173" applyNumberFormat="0" applyAlignment="0" applyProtection="0"/>
    <xf numFmtId="0" fontId="36" fillId="33"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7" fillId="37" borderId="174" applyNumberFormat="0" applyFont="0" applyAlignment="0" applyProtection="0"/>
    <xf numFmtId="0" fontId="43" fillId="35"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43" fillId="35" borderId="173" applyNumberFormat="0" applyAlignment="0" applyProtection="0"/>
    <xf numFmtId="0" fontId="36" fillId="33"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48" fillId="0" borderId="176" applyNumberFormat="0" applyFill="0" applyAlignment="0" applyProtection="0"/>
    <xf numFmtId="0" fontId="48" fillId="0" borderId="176" applyNumberFormat="0" applyFill="0" applyAlignment="0" applyProtection="0"/>
    <xf numFmtId="0" fontId="46" fillId="33" borderId="175" applyNumberFormat="0" applyAlignment="0" applyProtection="0"/>
    <xf numFmtId="0" fontId="46" fillId="33" borderId="175" applyNumberForma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3" applyNumberFormat="0" applyAlignment="0" applyProtection="0"/>
    <xf numFmtId="0" fontId="36" fillId="33" borderId="173" applyNumberFormat="0" applyAlignment="0" applyProtection="0"/>
    <xf numFmtId="0" fontId="43" fillId="35" borderId="173" applyNumberFormat="0" applyAlignment="0" applyProtection="0"/>
    <xf numFmtId="0" fontId="43" fillId="35"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43" fillId="35" borderId="173" applyNumberFormat="0" applyAlignment="0" applyProtection="0"/>
    <xf numFmtId="0" fontId="43" fillId="35" borderId="173" applyNumberFormat="0" applyAlignment="0" applyProtection="0"/>
    <xf numFmtId="0" fontId="36" fillId="33" borderId="173" applyNumberFormat="0" applyAlignment="0" applyProtection="0"/>
    <xf numFmtId="0" fontId="36" fillId="33" borderId="173" applyNumberForma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7" fillId="37" borderId="174"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48" fillId="0" borderId="180" applyNumberFormat="0" applyFill="0" applyAlignment="0" applyProtection="0"/>
    <xf numFmtId="0" fontId="48" fillId="0" borderId="180" applyNumberFormat="0" applyFill="0" applyAlignment="0" applyProtection="0"/>
    <xf numFmtId="0" fontId="46" fillId="33" borderId="179" applyNumberFormat="0" applyAlignment="0" applyProtection="0"/>
    <xf numFmtId="0" fontId="46" fillId="33" borderId="179" applyNumberForma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77" applyNumberFormat="0" applyAlignment="0" applyProtection="0"/>
    <xf numFmtId="0" fontId="36" fillId="33" borderId="177" applyNumberFormat="0" applyAlignment="0" applyProtection="0"/>
    <xf numFmtId="0" fontId="43" fillId="35" borderId="177" applyNumberFormat="0" applyAlignment="0" applyProtection="0"/>
    <xf numFmtId="0" fontId="43" fillId="35"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43" fillId="35" borderId="177" applyNumberFormat="0" applyAlignment="0" applyProtection="0"/>
    <xf numFmtId="0" fontId="43" fillId="35" borderId="177" applyNumberFormat="0" applyAlignment="0" applyProtection="0"/>
    <xf numFmtId="0" fontId="36" fillId="33" borderId="177" applyNumberFormat="0" applyAlignment="0" applyProtection="0"/>
    <xf numFmtId="0" fontId="36" fillId="33" borderId="177" applyNumberForma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7" fillId="37" borderId="178" applyNumberFormat="0" applyFont="0" applyAlignment="0" applyProtection="0"/>
    <xf numFmtId="0" fontId="36" fillId="33" borderId="186" applyNumberFormat="0" applyAlignment="0" applyProtection="0"/>
    <xf numFmtId="0" fontId="36" fillId="33" borderId="186" applyNumberFormat="0" applyAlignment="0" applyProtection="0"/>
    <xf numFmtId="0" fontId="43" fillId="35" borderId="186" applyNumberFormat="0" applyAlignment="0" applyProtection="0"/>
    <xf numFmtId="0" fontId="43" fillId="35" borderId="186" applyNumberFormat="0" applyAlignment="0" applyProtection="0"/>
    <xf numFmtId="0" fontId="7" fillId="37" borderId="187" applyNumberFormat="0" applyFont="0" applyAlignment="0" applyProtection="0"/>
    <xf numFmtId="0" fontId="7" fillId="37" borderId="187" applyNumberFormat="0" applyFont="0" applyAlignment="0" applyProtection="0"/>
    <xf numFmtId="0" fontId="46" fillId="33" borderId="188" applyNumberFormat="0" applyAlignment="0" applyProtection="0"/>
    <xf numFmtId="0" fontId="46" fillId="33" borderId="188" applyNumberFormat="0" applyAlignment="0" applyProtection="0"/>
    <xf numFmtId="0" fontId="48" fillId="0" borderId="189" applyNumberFormat="0" applyFill="0" applyAlignment="0" applyProtection="0"/>
    <xf numFmtId="0" fontId="48" fillId="0" borderId="189" applyNumberFormat="0" applyFill="0" applyAlignment="0" applyProtection="0"/>
    <xf numFmtId="0" fontId="36" fillId="33" borderId="186" applyNumberFormat="0" applyAlignment="0" applyProtection="0"/>
    <xf numFmtId="0" fontId="36" fillId="33" borderId="186" applyNumberFormat="0" applyAlignment="0" applyProtection="0"/>
    <xf numFmtId="0" fontId="43" fillId="35" borderId="186" applyNumberFormat="0" applyAlignment="0" applyProtection="0"/>
    <xf numFmtId="0" fontId="43" fillId="35" borderId="186" applyNumberFormat="0" applyAlignment="0" applyProtection="0"/>
    <xf numFmtId="0" fontId="7" fillId="37" borderId="187" applyNumberFormat="0" applyFont="0" applyAlignment="0" applyProtection="0"/>
    <xf numFmtId="0" fontId="7" fillId="37" borderId="187" applyNumberFormat="0" applyFont="0" applyAlignment="0" applyProtection="0"/>
    <xf numFmtId="0" fontId="46" fillId="33" borderId="188" applyNumberFormat="0" applyAlignment="0" applyProtection="0"/>
    <xf numFmtId="0" fontId="46" fillId="33" borderId="188" applyNumberFormat="0" applyAlignment="0" applyProtection="0"/>
    <xf numFmtId="0" fontId="48" fillId="0" borderId="189" applyNumberFormat="0" applyFill="0" applyAlignment="0" applyProtection="0"/>
    <xf numFmtId="0" fontId="48" fillId="0" borderId="189" applyNumberFormat="0" applyFill="0" applyAlignment="0" applyProtection="0"/>
    <xf numFmtId="0" fontId="36" fillId="33" borderId="186" applyNumberFormat="0" applyAlignment="0" applyProtection="0"/>
    <xf numFmtId="0" fontId="36" fillId="33" borderId="186" applyNumberFormat="0" applyAlignment="0" applyProtection="0"/>
    <xf numFmtId="0" fontId="43" fillId="35" borderId="186" applyNumberFormat="0" applyAlignment="0" applyProtection="0"/>
    <xf numFmtId="0" fontId="43" fillId="35" borderId="186" applyNumberFormat="0" applyAlignment="0" applyProtection="0"/>
    <xf numFmtId="0" fontId="7" fillId="37" borderId="187" applyNumberFormat="0" applyFont="0" applyAlignment="0" applyProtection="0"/>
    <xf numFmtId="0" fontId="7" fillId="37" borderId="187" applyNumberFormat="0" applyFont="0" applyAlignment="0" applyProtection="0"/>
    <xf numFmtId="0" fontId="46" fillId="33" borderId="188" applyNumberFormat="0" applyAlignment="0" applyProtection="0"/>
    <xf numFmtId="0" fontId="46" fillId="33" borderId="188" applyNumberFormat="0" applyAlignment="0" applyProtection="0"/>
    <xf numFmtId="0" fontId="48" fillId="0" borderId="189" applyNumberFormat="0" applyFill="0" applyAlignment="0" applyProtection="0"/>
    <xf numFmtId="0" fontId="48" fillId="0" borderId="189" applyNumberFormat="0" applyFill="0" applyAlignment="0" applyProtection="0"/>
    <xf numFmtId="0" fontId="7" fillId="37" borderId="187" applyNumberFormat="0" applyFont="0" applyAlignment="0" applyProtection="0"/>
    <xf numFmtId="0" fontId="43" fillId="35" borderId="186" applyNumberFormat="0" applyAlignment="0" applyProtection="0"/>
    <xf numFmtId="0" fontId="43" fillId="35" borderId="186" applyNumberFormat="0" applyAlignment="0" applyProtection="0"/>
    <xf numFmtId="0" fontId="36" fillId="33" borderId="186" applyNumberFormat="0" applyAlignment="0" applyProtection="0"/>
    <xf numFmtId="0" fontId="36" fillId="33" borderId="186" applyNumberFormat="0" applyAlignment="0" applyProtection="0"/>
    <xf numFmtId="0" fontId="48" fillId="0" borderId="189" applyNumberFormat="0" applyFill="0" applyAlignment="0" applyProtection="0"/>
    <xf numFmtId="0" fontId="48" fillId="0" borderId="189" applyNumberFormat="0" applyFill="0" applyAlignment="0" applyProtection="0"/>
    <xf numFmtId="0" fontId="46" fillId="33" borderId="188" applyNumberFormat="0" applyAlignment="0" applyProtection="0"/>
    <xf numFmtId="0" fontId="46" fillId="33" borderId="188" applyNumberFormat="0" applyAlignment="0" applyProtection="0"/>
    <xf numFmtId="0" fontId="7" fillId="37" borderId="187" applyNumberFormat="0" applyFont="0" applyAlignment="0" applyProtection="0"/>
    <xf numFmtId="0" fontId="7" fillId="37" borderId="187" applyNumberFormat="0" applyFont="0" applyAlignment="0" applyProtection="0"/>
    <xf numFmtId="0" fontId="43" fillId="35" borderId="186" applyNumberFormat="0" applyAlignment="0" applyProtection="0"/>
    <xf numFmtId="0" fontId="43" fillId="35" borderId="186" applyNumberFormat="0" applyAlignment="0" applyProtection="0"/>
    <xf numFmtId="0" fontId="36" fillId="33" borderId="186" applyNumberFormat="0" applyAlignment="0" applyProtection="0"/>
    <xf numFmtId="0" fontId="36" fillId="33" borderId="186" applyNumberFormat="0" applyAlignment="0" applyProtection="0"/>
    <xf numFmtId="0" fontId="48" fillId="0" borderId="189" applyNumberFormat="0" applyFill="0" applyAlignment="0" applyProtection="0"/>
    <xf numFmtId="0" fontId="48" fillId="0" borderId="189" applyNumberFormat="0" applyFill="0" applyAlignment="0" applyProtection="0"/>
    <xf numFmtId="0" fontId="46" fillId="33" borderId="188" applyNumberFormat="0" applyAlignment="0" applyProtection="0"/>
    <xf numFmtId="0" fontId="46" fillId="33" borderId="188" applyNumberFormat="0" applyAlignment="0" applyProtection="0"/>
    <xf numFmtId="0" fontId="7" fillId="37" borderId="187" applyNumberFormat="0" applyFont="0" applyAlignment="0" applyProtection="0"/>
    <xf numFmtId="0" fontId="7" fillId="37" borderId="187" applyNumberFormat="0" applyFont="0" applyAlignment="0" applyProtection="0"/>
    <xf numFmtId="0" fontId="7" fillId="37" borderId="187" applyNumberFormat="0" applyFont="0" applyAlignment="0" applyProtection="0"/>
    <xf numFmtId="0" fontId="7" fillId="37" borderId="187" applyNumberFormat="0" applyFont="0" applyAlignment="0" applyProtection="0"/>
    <xf numFmtId="0" fontId="7" fillId="37" borderId="187" applyNumberFormat="0" applyFont="0" applyAlignment="0" applyProtection="0"/>
    <xf numFmtId="0" fontId="36" fillId="33" borderId="186" applyNumberFormat="0" applyAlignment="0" applyProtection="0"/>
    <xf numFmtId="0" fontId="36" fillId="33" borderId="186" applyNumberFormat="0" applyAlignment="0" applyProtection="0"/>
    <xf numFmtId="0" fontId="43" fillId="35" borderId="186" applyNumberFormat="0" applyAlignment="0" applyProtection="0"/>
    <xf numFmtId="0" fontId="43" fillId="35" borderId="186" applyNumberFormat="0" applyAlignment="0" applyProtection="0"/>
    <xf numFmtId="0" fontId="7" fillId="37" borderId="187" applyNumberFormat="0" applyFont="0" applyAlignment="0" applyProtection="0"/>
    <xf numFmtId="0" fontId="7" fillId="37" borderId="187" applyNumberFormat="0" applyFont="0" applyAlignment="0" applyProtection="0"/>
    <xf numFmtId="0" fontId="46" fillId="33" borderId="188" applyNumberFormat="0" applyAlignment="0" applyProtection="0"/>
    <xf numFmtId="0" fontId="46" fillId="33" borderId="188" applyNumberFormat="0" applyAlignment="0" applyProtection="0"/>
    <xf numFmtId="0" fontId="48" fillId="0" borderId="189" applyNumberFormat="0" applyFill="0" applyAlignment="0" applyProtection="0"/>
    <xf numFmtId="0" fontId="48" fillId="0" borderId="189" applyNumberFormat="0" applyFill="0" applyAlignment="0" applyProtection="0"/>
    <xf numFmtId="0" fontId="36" fillId="33" borderId="186" applyNumberFormat="0" applyAlignment="0" applyProtection="0"/>
    <xf numFmtId="0" fontId="36" fillId="33" borderId="186" applyNumberFormat="0" applyAlignment="0" applyProtection="0"/>
    <xf numFmtId="0" fontId="43" fillId="35" borderId="186" applyNumberFormat="0" applyAlignment="0" applyProtection="0"/>
    <xf numFmtId="0" fontId="43" fillId="35" borderId="186" applyNumberFormat="0" applyAlignment="0" applyProtection="0"/>
    <xf numFmtId="0" fontId="7" fillId="37" borderId="187" applyNumberFormat="0" applyFont="0" applyAlignment="0" applyProtection="0"/>
    <xf numFmtId="0" fontId="7" fillId="37" borderId="187" applyNumberFormat="0" applyFont="0" applyAlignment="0" applyProtection="0"/>
    <xf numFmtId="0" fontId="46" fillId="33" borderId="188" applyNumberFormat="0" applyAlignment="0" applyProtection="0"/>
    <xf numFmtId="0" fontId="46" fillId="33" borderId="188" applyNumberFormat="0" applyAlignment="0" applyProtection="0"/>
    <xf numFmtId="0" fontId="48" fillId="0" borderId="189" applyNumberFormat="0" applyFill="0" applyAlignment="0" applyProtection="0"/>
    <xf numFmtId="0" fontId="48" fillId="0" borderId="189" applyNumberFormat="0" applyFill="0" applyAlignment="0" applyProtection="0"/>
    <xf numFmtId="0" fontId="7" fillId="37" borderId="187" applyNumberFormat="0" applyFont="0" applyAlignment="0" applyProtection="0"/>
    <xf numFmtId="0" fontId="43" fillId="35" borderId="186" applyNumberFormat="0" applyAlignment="0" applyProtection="0"/>
    <xf numFmtId="0" fontId="43" fillId="35" borderId="186" applyNumberFormat="0" applyAlignment="0" applyProtection="0"/>
    <xf numFmtId="0" fontId="36" fillId="33" borderId="186" applyNumberFormat="0" applyAlignment="0" applyProtection="0"/>
    <xf numFmtId="0" fontId="36" fillId="33" borderId="186" applyNumberFormat="0" applyAlignment="0" applyProtection="0"/>
    <xf numFmtId="0" fontId="48" fillId="0" borderId="189" applyNumberFormat="0" applyFill="0" applyAlignment="0" applyProtection="0"/>
    <xf numFmtId="0" fontId="48" fillId="0" borderId="189" applyNumberFormat="0" applyFill="0" applyAlignment="0" applyProtection="0"/>
    <xf numFmtId="0" fontId="46" fillId="33" borderId="188" applyNumberFormat="0" applyAlignment="0" applyProtection="0"/>
    <xf numFmtId="0" fontId="46" fillId="33" borderId="188" applyNumberFormat="0" applyAlignment="0" applyProtection="0"/>
    <xf numFmtId="0" fontId="7" fillId="37" borderId="187" applyNumberFormat="0" applyFont="0" applyAlignment="0" applyProtection="0"/>
    <xf numFmtId="0" fontId="7" fillId="37" borderId="187" applyNumberFormat="0" applyFont="0" applyAlignment="0" applyProtection="0"/>
    <xf numFmtId="0" fontId="43" fillId="35" borderId="186" applyNumberFormat="0" applyAlignment="0" applyProtection="0"/>
    <xf numFmtId="0" fontId="43" fillId="35" borderId="186" applyNumberFormat="0" applyAlignment="0" applyProtection="0"/>
    <xf numFmtId="0" fontId="36" fillId="33" borderId="186" applyNumberFormat="0" applyAlignment="0" applyProtection="0"/>
    <xf numFmtId="0" fontId="36" fillId="33" borderId="186" applyNumberFormat="0" applyAlignment="0" applyProtection="0"/>
    <xf numFmtId="0" fontId="48" fillId="0" borderId="189" applyNumberFormat="0" applyFill="0" applyAlignment="0" applyProtection="0"/>
    <xf numFmtId="0" fontId="48" fillId="0" borderId="189" applyNumberFormat="0" applyFill="0" applyAlignment="0" applyProtection="0"/>
    <xf numFmtId="0" fontId="46" fillId="33" borderId="188" applyNumberFormat="0" applyAlignment="0" applyProtection="0"/>
    <xf numFmtId="0" fontId="46" fillId="33" borderId="188" applyNumberFormat="0" applyAlignment="0" applyProtection="0"/>
    <xf numFmtId="0" fontId="7" fillId="37" borderId="187" applyNumberFormat="0" applyFont="0" applyAlignment="0" applyProtection="0"/>
    <xf numFmtId="0" fontId="7" fillId="37" borderId="187" applyNumberFormat="0" applyFont="0" applyAlignment="0" applyProtection="0"/>
    <xf numFmtId="0" fontId="7" fillId="37" borderId="187" applyNumberFormat="0" applyFont="0" applyAlignment="0" applyProtection="0"/>
    <xf numFmtId="0" fontId="7" fillId="37" borderId="187" applyNumberFormat="0" applyFont="0" applyAlignment="0" applyProtection="0"/>
    <xf numFmtId="0" fontId="7" fillId="37" borderId="187" applyNumberFormat="0" applyFont="0" applyAlignment="0" applyProtection="0"/>
    <xf numFmtId="0" fontId="6"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cellStyleXfs>
  <cellXfs count="3491">
    <xf numFmtId="0" fontId="0" fillId="0" borderId="0" xfId="0"/>
    <xf numFmtId="0" fontId="6" fillId="0" borderId="0" xfId="0" applyFont="1"/>
    <xf numFmtId="0" fontId="7" fillId="0" borderId="0" xfId="0" applyFont="1"/>
    <xf numFmtId="2" fontId="10" fillId="0" borderId="1" xfId="0" applyNumberFormat="1" applyFont="1" applyBorder="1" applyAlignment="1">
      <alignment horizontal="right" wrapText="1"/>
    </xf>
    <xf numFmtId="2" fontId="10" fillId="0" borderId="10" xfId="0" applyNumberFormat="1" applyFont="1" applyBorder="1" applyAlignment="1">
      <alignment horizontal="right" wrapText="1"/>
    </xf>
    <xf numFmtId="2" fontId="10" fillId="0" borderId="12" xfId="0" applyNumberFormat="1" applyFont="1" applyBorder="1" applyAlignment="1">
      <alignment horizontal="right" wrapText="1"/>
    </xf>
    <xf numFmtId="2" fontId="7" fillId="0" borderId="10" xfId="0" applyNumberFormat="1" applyFont="1" applyBorder="1"/>
    <xf numFmtId="2" fontId="7" fillId="0" borderId="15" xfId="0" applyNumberFormat="1" applyFont="1" applyBorder="1"/>
    <xf numFmtId="2" fontId="9" fillId="0" borderId="19" xfId="0" applyNumberFormat="1" applyFont="1" applyBorder="1"/>
    <xf numFmtId="2" fontId="7" fillId="0" borderId="1" xfId="0" applyNumberFormat="1" applyFont="1" applyBorder="1"/>
    <xf numFmtId="2" fontId="7" fillId="0" borderId="12" xfId="0" applyNumberFormat="1" applyFont="1" applyBorder="1"/>
    <xf numFmtId="2" fontId="9" fillId="0" borderId="20" xfId="0" applyNumberFormat="1" applyFont="1" applyBorder="1"/>
    <xf numFmtId="3" fontId="10" fillId="0" borderId="2" xfId="0" applyNumberFormat="1" applyFont="1" applyBorder="1" applyAlignment="1">
      <alignment horizontal="right" wrapText="1"/>
    </xf>
    <xf numFmtId="9" fontId="10" fillId="0" borderId="3" xfId="5" applyFont="1" applyBorder="1" applyAlignment="1">
      <alignment horizontal="right" wrapText="1"/>
    </xf>
    <xf numFmtId="2" fontId="6" fillId="0" borderId="12" xfId="0" applyNumberFormat="1" applyFont="1" applyBorder="1"/>
    <xf numFmtId="2" fontId="8" fillId="0" borderId="20" xfId="0" applyNumberFormat="1" applyFont="1" applyBorder="1"/>
    <xf numFmtId="2" fontId="10" fillId="0" borderId="4" xfId="0" applyNumberFormat="1" applyFont="1" applyBorder="1" applyAlignment="1">
      <alignment horizontal="right" wrapText="1"/>
    </xf>
    <xf numFmtId="2" fontId="9" fillId="0" borderId="43" xfId="0" applyNumberFormat="1" applyFont="1" applyBorder="1"/>
    <xf numFmtId="2" fontId="7" fillId="0" borderId="4" xfId="0" applyNumberFormat="1" applyFont="1" applyBorder="1"/>
    <xf numFmtId="2" fontId="11" fillId="0" borderId="43" xfId="0" applyNumberFormat="1" applyFont="1" applyBorder="1" applyAlignment="1">
      <alignment horizontal="right" wrapText="1"/>
    </xf>
    <xf numFmtId="2" fontId="8" fillId="0" borderId="70" xfId="0" applyNumberFormat="1" applyFont="1" applyBorder="1"/>
    <xf numFmtId="2" fontId="8" fillId="0" borderId="50" xfId="0" applyNumberFormat="1" applyFont="1" applyBorder="1"/>
    <xf numFmtId="0" fontId="8" fillId="0" borderId="0" xfId="0" applyFont="1"/>
    <xf numFmtId="2" fontId="6" fillId="0" borderId="0" xfId="0" applyNumberFormat="1" applyFont="1"/>
    <xf numFmtId="164" fontId="6" fillId="0" borderId="0" xfId="0" applyNumberFormat="1" applyFont="1"/>
    <xf numFmtId="2" fontId="11" fillId="0" borderId="64" xfId="0" applyNumberFormat="1" applyFont="1" applyBorder="1" applyAlignment="1">
      <alignment horizontal="right"/>
    </xf>
    <xf numFmtId="2" fontId="11" fillId="0" borderId="68" xfId="0" applyNumberFormat="1" applyFont="1" applyBorder="1" applyAlignment="1">
      <alignment horizontal="right"/>
    </xf>
    <xf numFmtId="2" fontId="11" fillId="0" borderId="69" xfId="0" applyNumberFormat="1" applyFont="1" applyBorder="1" applyAlignment="1">
      <alignment horizontal="right"/>
    </xf>
    <xf numFmtId="2" fontId="11" fillId="0" borderId="67" xfId="0" applyNumberFormat="1" applyFont="1" applyBorder="1" applyAlignment="1">
      <alignment horizontal="right"/>
    </xf>
    <xf numFmtId="2" fontId="11" fillId="0" borderId="70" xfId="0" applyNumberFormat="1" applyFont="1" applyBorder="1" applyAlignment="1">
      <alignment horizontal="right"/>
    </xf>
    <xf numFmtId="2" fontId="11" fillId="0" borderId="50" xfId="0" applyNumberFormat="1" applyFont="1" applyBorder="1" applyAlignment="1">
      <alignment horizontal="right"/>
    </xf>
    <xf numFmtId="2" fontId="9" fillId="0" borderId="67" xfId="0" applyNumberFormat="1" applyFont="1" applyBorder="1"/>
    <xf numFmtId="2" fontId="9" fillId="0" borderId="68" xfId="0" applyNumberFormat="1" applyFont="1" applyBorder="1"/>
    <xf numFmtId="2" fontId="9" fillId="0" borderId="75" xfId="0" applyNumberFormat="1" applyFont="1" applyBorder="1"/>
    <xf numFmtId="2" fontId="8" fillId="0" borderId="64" xfId="0" applyNumberFormat="1" applyFont="1" applyBorder="1"/>
    <xf numFmtId="2" fontId="8" fillId="0" borderId="67" xfId="0" applyNumberFormat="1" applyFont="1" applyBorder="1"/>
    <xf numFmtId="2" fontId="9" fillId="0" borderId="64" xfId="0" applyNumberFormat="1" applyFont="1" applyBorder="1"/>
    <xf numFmtId="0" fontId="9" fillId="0" borderId="70" xfId="0" applyFont="1" applyBorder="1"/>
    <xf numFmtId="2" fontId="9" fillId="0" borderId="50" xfId="0" applyNumberFormat="1" applyFont="1" applyBorder="1"/>
    <xf numFmtId="2" fontId="11" fillId="0" borderId="75" xfId="0" applyNumberFormat="1" applyFont="1" applyBorder="1" applyAlignment="1">
      <alignment horizontal="right"/>
    </xf>
    <xf numFmtId="3" fontId="11" fillId="0" borderId="65" xfId="0" applyNumberFormat="1" applyFont="1" applyBorder="1" applyAlignment="1">
      <alignment horizontal="right"/>
    </xf>
    <xf numFmtId="2" fontId="7" fillId="0" borderId="4" xfId="0" applyNumberFormat="1" applyFont="1" applyBorder="1" applyAlignment="1">
      <alignment horizontal="right"/>
    </xf>
    <xf numFmtId="2" fontId="10" fillId="0" borderId="0" xfId="0" applyNumberFormat="1" applyFont="1" applyAlignment="1">
      <alignment horizontal="right" wrapText="1"/>
    </xf>
    <xf numFmtId="9" fontId="6" fillId="0" borderId="3" xfId="5" applyFont="1" applyBorder="1"/>
    <xf numFmtId="9" fontId="8" fillId="0" borderId="66" xfId="5" applyFont="1" applyBorder="1"/>
    <xf numFmtId="3" fontId="10" fillId="0" borderId="10" xfId="0" applyNumberFormat="1" applyFont="1" applyBorder="1" applyAlignment="1">
      <alignment horizontal="right" wrapText="1"/>
    </xf>
    <xf numFmtId="2" fontId="11" fillId="0" borderId="49" xfId="0" applyNumberFormat="1" applyFont="1" applyBorder="1" applyAlignment="1">
      <alignment horizontal="right"/>
    </xf>
    <xf numFmtId="2" fontId="6" fillId="0" borderId="1" xfId="0" applyNumberFormat="1" applyFont="1" applyBorder="1"/>
    <xf numFmtId="2" fontId="6" fillId="0" borderId="4" xfId="0" applyNumberFormat="1" applyFont="1" applyBorder="1"/>
    <xf numFmtId="2" fontId="8" fillId="0" borderId="41" xfId="0" applyNumberFormat="1" applyFont="1" applyBorder="1"/>
    <xf numFmtId="2" fontId="9" fillId="0" borderId="41" xfId="0" applyNumberFormat="1" applyFont="1" applyBorder="1"/>
    <xf numFmtId="2" fontId="9" fillId="0" borderId="41" xfId="0" applyNumberFormat="1" applyFont="1" applyBorder="1" applyAlignment="1">
      <alignment horizontal="right"/>
    </xf>
    <xf numFmtId="4" fontId="11" fillId="0" borderId="67" xfId="0" applyNumberFormat="1" applyFont="1" applyBorder="1" applyAlignment="1">
      <alignment horizontal="right"/>
    </xf>
    <xf numFmtId="2" fontId="9" fillId="0" borderId="71" xfId="0" applyNumberFormat="1" applyFont="1" applyBorder="1"/>
    <xf numFmtId="0" fontId="29" fillId="0" borderId="0" xfId="0" applyFont="1"/>
    <xf numFmtId="3" fontId="6" fillId="0" borderId="0" xfId="0" applyNumberFormat="1" applyFont="1"/>
    <xf numFmtId="2" fontId="8" fillId="0" borderId="116" xfId="0" applyNumberFormat="1" applyFont="1" applyBorder="1"/>
    <xf numFmtId="2" fontId="6" fillId="0" borderId="3" xfId="0" applyNumberFormat="1" applyFont="1" applyBorder="1"/>
    <xf numFmtId="3" fontId="8" fillId="0" borderId="26" xfId="0" applyNumberFormat="1" applyFont="1" applyBorder="1"/>
    <xf numFmtId="4" fontId="8" fillId="0" borderId="38" xfId="0" applyNumberFormat="1" applyFont="1" applyBorder="1"/>
    <xf numFmtId="4" fontId="8" fillId="0" borderId="26" xfId="0" applyNumberFormat="1" applyFont="1" applyBorder="1"/>
    <xf numFmtId="2" fontId="8" fillId="0" borderId="38" xfId="0" applyNumberFormat="1" applyFont="1" applyBorder="1"/>
    <xf numFmtId="3" fontId="8" fillId="0" borderId="57" xfId="0" applyNumberFormat="1" applyFont="1" applyBorder="1"/>
    <xf numFmtId="0" fontId="7" fillId="0" borderId="60" xfId="0" applyFont="1" applyBorder="1"/>
    <xf numFmtId="3" fontId="9" fillId="0" borderId="23" xfId="0" applyNumberFormat="1" applyFont="1" applyBorder="1" applyAlignment="1">
      <alignment horizontal="right"/>
    </xf>
    <xf numFmtId="3" fontId="9" fillId="0" borderId="73" xfId="0" applyNumberFormat="1" applyFont="1" applyBorder="1" applyAlignment="1">
      <alignment horizontal="right"/>
    </xf>
    <xf numFmtId="3" fontId="9" fillId="0" borderId="72" xfId="0" applyNumberFormat="1" applyFont="1" applyBorder="1" applyAlignment="1">
      <alignment horizontal="right"/>
    </xf>
    <xf numFmtId="0" fontId="9" fillId="0" borderId="0" xfId="0" applyFont="1"/>
    <xf numFmtId="0" fontId="8" fillId="0" borderId="52" xfId="4" applyFont="1" applyBorder="1" applyAlignment="1">
      <alignment horizontal="center" wrapText="1"/>
    </xf>
    <xf numFmtId="0" fontId="8" fillId="0" borderId="51" xfId="4" applyFont="1" applyBorder="1" applyAlignment="1">
      <alignment horizontal="center" wrapText="1"/>
    </xf>
    <xf numFmtId="0" fontId="8" fillId="0" borderId="60" xfId="4" applyFont="1" applyBorder="1" applyAlignment="1">
      <alignment horizontal="center" wrapText="1"/>
    </xf>
    <xf numFmtId="0" fontId="6" fillId="0" borderId="0" xfId="4" applyFont="1"/>
    <xf numFmtId="3" fontId="7" fillId="0" borderId="1" xfId="0" applyNumberFormat="1" applyFont="1" applyBorder="1"/>
    <xf numFmtId="4" fontId="6" fillId="0" borderId="10" xfId="0" applyNumberFormat="1" applyFont="1" applyBorder="1"/>
    <xf numFmtId="0" fontId="7" fillId="0" borderId="2" xfId="0" applyFont="1" applyBorder="1"/>
    <xf numFmtId="164" fontId="7" fillId="0" borderId="2" xfId="0" applyNumberFormat="1" applyFont="1" applyBorder="1"/>
    <xf numFmtId="3" fontId="7" fillId="0" borderId="2" xfId="0" applyNumberFormat="1" applyFont="1" applyBorder="1"/>
    <xf numFmtId="3" fontId="8" fillId="0" borderId="68" xfId="0" applyNumberFormat="1" applyFont="1" applyBorder="1"/>
    <xf numFmtId="0" fontId="7" fillId="0" borderId="0" xfId="0" applyFont="1" applyAlignment="1">
      <alignment wrapText="1"/>
    </xf>
    <xf numFmtId="0" fontId="7" fillId="0" borderId="82" xfId="0" applyFont="1" applyBorder="1" applyAlignment="1">
      <alignment wrapText="1"/>
    </xf>
    <xf numFmtId="0" fontId="7" fillId="0" borderId="63" xfId="0" applyFont="1" applyBorder="1" applyAlignment="1">
      <alignment wrapText="1"/>
    </xf>
    <xf numFmtId="0" fontId="7" fillId="0" borderId="81" xfId="0" applyFont="1" applyBorder="1" applyAlignment="1">
      <alignment wrapText="1"/>
    </xf>
    <xf numFmtId="164" fontId="6" fillId="0" borderId="52" xfId="0" applyNumberFormat="1" applyFont="1" applyBorder="1"/>
    <xf numFmtId="164" fontId="7" fillId="0" borderId="52" xfId="0" applyNumberFormat="1" applyFont="1" applyBorder="1"/>
    <xf numFmtId="164" fontId="9" fillId="0" borderId="67" xfId="0" applyNumberFormat="1" applyFont="1" applyBorder="1"/>
    <xf numFmtId="164" fontId="9" fillId="0" borderId="49" xfId="0" applyNumberFormat="1" applyFont="1" applyBorder="1"/>
    <xf numFmtId="164" fontId="7" fillId="0" borderId="112" xfId="0" applyNumberFormat="1" applyFont="1" applyBorder="1"/>
    <xf numFmtId="164" fontId="7" fillId="0" borderId="60" xfId="0" applyNumberFormat="1" applyFont="1" applyBorder="1"/>
    <xf numFmtId="164" fontId="9" fillId="0" borderId="73" xfId="0" applyNumberFormat="1" applyFont="1" applyBorder="1"/>
    <xf numFmtId="0" fontId="12" fillId="0" borderId="0" xfId="0" applyFont="1"/>
    <xf numFmtId="4" fontId="6" fillId="0" borderId="12" xfId="0" applyNumberFormat="1" applyFont="1" applyBorder="1"/>
    <xf numFmtId="3" fontId="7" fillId="0" borderId="51" xfId="0" applyNumberFormat="1" applyFont="1" applyBorder="1" applyAlignment="1">
      <alignment horizontal="right"/>
    </xf>
    <xf numFmtId="3" fontId="7" fillId="0" borderId="52" xfId="0" applyNumberFormat="1" applyFont="1" applyBorder="1" applyAlignment="1">
      <alignment horizontal="right"/>
    </xf>
    <xf numFmtId="3" fontId="7" fillId="0" borderId="1" xfId="0" applyNumberFormat="1" applyFont="1" applyBorder="1" applyAlignment="1">
      <alignment horizontal="right"/>
    </xf>
    <xf numFmtId="3" fontId="7" fillId="0" borderId="2" xfId="0" applyNumberFormat="1" applyFont="1" applyBorder="1" applyAlignment="1">
      <alignment horizontal="right"/>
    </xf>
    <xf numFmtId="3" fontId="7" fillId="0" borderId="4" xfId="0" applyNumberFormat="1" applyFont="1" applyBorder="1" applyAlignment="1">
      <alignment horizontal="right"/>
    </xf>
    <xf numFmtId="3" fontId="8" fillId="0" borderId="84" xfId="0" applyNumberFormat="1" applyFont="1" applyBorder="1"/>
    <xf numFmtId="3" fontId="8" fillId="0" borderId="50" xfId="0" applyNumberFormat="1" applyFont="1" applyBorder="1"/>
    <xf numFmtId="4" fontId="9" fillId="0" borderId="48" xfId="0" applyNumberFormat="1" applyFont="1" applyBorder="1"/>
    <xf numFmtId="4" fontId="7" fillId="0" borderId="59" xfId="0" applyNumberFormat="1" applyFont="1" applyBorder="1"/>
    <xf numFmtId="4" fontId="8" fillId="0" borderId="67" xfId="0" applyNumberFormat="1" applyFont="1" applyBorder="1"/>
    <xf numFmtId="4" fontId="8" fillId="0" borderId="49" xfId="0" applyNumberFormat="1" applyFont="1" applyBorder="1"/>
    <xf numFmtId="4" fontId="6" fillId="0" borderId="60" xfId="0" applyNumberFormat="1" applyFont="1" applyBorder="1"/>
    <xf numFmtId="2" fontId="8" fillId="0" borderId="0" xfId="0" applyNumberFormat="1" applyFont="1"/>
    <xf numFmtId="2" fontId="8" fillId="0" borderId="30" xfId="0" applyNumberFormat="1" applyFont="1" applyBorder="1"/>
    <xf numFmtId="2" fontId="8" fillId="0" borderId="69" xfId="0" applyNumberFormat="1" applyFont="1" applyBorder="1"/>
    <xf numFmtId="4" fontId="8" fillId="0" borderId="30" xfId="0" applyNumberFormat="1" applyFont="1" applyBorder="1"/>
    <xf numFmtId="4" fontId="9" fillId="0" borderId="68" xfId="0" applyNumberFormat="1" applyFont="1" applyBorder="1"/>
    <xf numFmtId="4" fontId="8" fillId="0" borderId="70" xfId="0" applyNumberFormat="1" applyFont="1" applyBorder="1"/>
    <xf numFmtId="4" fontId="7" fillId="0" borderId="60" xfId="0" applyNumberFormat="1" applyFont="1" applyBorder="1"/>
    <xf numFmtId="4" fontId="7" fillId="0" borderId="37" xfId="0" applyNumberFormat="1" applyFont="1" applyBorder="1"/>
    <xf numFmtId="2" fontId="8" fillId="0" borderId="117" xfId="0" applyNumberFormat="1" applyFont="1" applyBorder="1"/>
    <xf numFmtId="4" fontId="7" fillId="0" borderId="12" xfId="0" applyNumberFormat="1" applyFont="1" applyBorder="1"/>
    <xf numFmtId="2" fontId="7" fillId="0" borderId="76" xfId="0" applyNumberFormat="1" applyFont="1" applyBorder="1"/>
    <xf numFmtId="4" fontId="7" fillId="0" borderId="8" xfId="0" applyNumberFormat="1" applyFont="1" applyBorder="1"/>
    <xf numFmtId="3" fontId="9" fillId="0" borderId="0" xfId="0" applyNumberFormat="1" applyFont="1" applyAlignment="1">
      <alignment horizontal="right"/>
    </xf>
    <xf numFmtId="2" fontId="8" fillId="0" borderId="75" xfId="0" applyNumberFormat="1" applyFont="1" applyBorder="1"/>
    <xf numFmtId="4" fontId="6" fillId="0" borderId="108" xfId="0" applyNumberFormat="1" applyFont="1" applyBorder="1"/>
    <xf numFmtId="4" fontId="7" fillId="0" borderId="15" xfId="0" applyNumberFormat="1" applyFont="1" applyBorder="1"/>
    <xf numFmtId="4" fontId="9" fillId="0" borderId="49" xfId="0" applyNumberFormat="1" applyFont="1" applyBorder="1"/>
    <xf numFmtId="4" fontId="9" fillId="0" borderId="67" xfId="0" applyNumberFormat="1" applyFont="1" applyBorder="1"/>
    <xf numFmtId="4" fontId="7" fillId="0" borderId="10" xfId="0" applyNumberFormat="1" applyFont="1" applyBorder="1"/>
    <xf numFmtId="4" fontId="7" fillId="0" borderId="61" xfId="0" applyNumberFormat="1" applyFont="1" applyBorder="1"/>
    <xf numFmtId="2" fontId="7" fillId="0" borderId="108" xfId="0" applyNumberFormat="1" applyFont="1" applyBorder="1"/>
    <xf numFmtId="4" fontId="7" fillId="0" borderId="29" xfId="0" applyNumberFormat="1" applyFont="1" applyBorder="1"/>
    <xf numFmtId="3" fontId="6" fillId="0" borderId="15" xfId="0" applyNumberFormat="1" applyFont="1" applyBorder="1"/>
    <xf numFmtId="3" fontId="8" fillId="0" borderId="0" xfId="0" applyNumberFormat="1" applyFont="1"/>
    <xf numFmtId="3" fontId="6" fillId="0" borderId="76" xfId="0" applyNumberFormat="1" applyFont="1" applyBorder="1"/>
    <xf numFmtId="4" fontId="9" fillId="0" borderId="70" xfId="0" applyNumberFormat="1" applyFont="1" applyBorder="1"/>
    <xf numFmtId="164" fontId="7" fillId="0" borderId="1" xfId="0" applyNumberFormat="1" applyFont="1" applyBorder="1"/>
    <xf numFmtId="0" fontId="6" fillId="0" borderId="52" xfId="0" applyFont="1" applyBorder="1"/>
    <xf numFmtId="0" fontId="6" fillId="0" borderId="51" xfId="0" applyFont="1" applyBorder="1"/>
    <xf numFmtId="164" fontId="7" fillId="0" borderId="53" xfId="0" applyNumberFormat="1" applyFont="1" applyBorder="1"/>
    <xf numFmtId="0" fontId="6" fillId="0" borderId="63" xfId="0" applyFont="1" applyBorder="1"/>
    <xf numFmtId="0" fontId="6" fillId="0" borderId="101" xfId="0" applyFont="1" applyBorder="1"/>
    <xf numFmtId="3" fontId="10" fillId="0" borderId="52" xfId="0" applyNumberFormat="1" applyFont="1" applyBorder="1" applyAlignment="1">
      <alignment horizontal="right" wrapText="1"/>
    </xf>
    <xf numFmtId="2" fontId="6" fillId="0" borderId="35" xfId="0" applyNumberFormat="1" applyFont="1" applyBorder="1"/>
    <xf numFmtId="2" fontId="6" fillId="0" borderId="103" xfId="0" applyNumberFormat="1" applyFont="1" applyBorder="1"/>
    <xf numFmtId="2" fontId="6" fillId="0" borderId="24" xfId="0" applyNumberFormat="1" applyFont="1" applyBorder="1"/>
    <xf numFmtId="2" fontId="8" fillId="0" borderId="24" xfId="0" applyNumberFormat="1" applyFont="1" applyBorder="1"/>
    <xf numFmtId="2" fontId="8" fillId="0" borderId="26" xfId="0" applyNumberFormat="1" applyFont="1" applyBorder="1"/>
    <xf numFmtId="2" fontId="8" fillId="0" borderId="71" xfId="0" applyNumberFormat="1" applyFont="1" applyBorder="1"/>
    <xf numFmtId="2" fontId="11" fillId="0" borderId="67" xfId="0" applyNumberFormat="1" applyFont="1" applyBorder="1" applyAlignment="1">
      <alignment horizontal="right" wrapText="1"/>
    </xf>
    <xf numFmtId="2" fontId="9" fillId="0" borderId="115" xfId="0" applyNumberFormat="1" applyFont="1" applyBorder="1"/>
    <xf numFmtId="9" fontId="10" fillId="0" borderId="53" xfId="5" applyFont="1" applyBorder="1" applyAlignment="1">
      <alignment horizontal="right" wrapText="1"/>
    </xf>
    <xf numFmtId="2" fontId="8" fillId="0" borderId="42" xfId="0" applyNumberFormat="1" applyFont="1" applyBorder="1"/>
    <xf numFmtId="2" fontId="9" fillId="0" borderId="107" xfId="0" applyNumberFormat="1" applyFont="1" applyBorder="1"/>
    <xf numFmtId="2" fontId="9" fillId="0" borderId="49" xfId="0" applyNumberFormat="1" applyFont="1" applyBorder="1"/>
    <xf numFmtId="2" fontId="8" fillId="0" borderId="109" xfId="0" applyNumberFormat="1" applyFont="1" applyBorder="1"/>
    <xf numFmtId="2" fontId="6" fillId="0" borderId="51" xfId="0" applyNumberFormat="1" applyFont="1" applyBorder="1"/>
    <xf numFmtId="2" fontId="8" fillId="0" borderId="62" xfId="0" applyNumberFormat="1" applyFont="1" applyBorder="1"/>
    <xf numFmtId="2" fontId="7" fillId="0" borderId="51" xfId="0" applyNumberFormat="1" applyFont="1" applyBorder="1"/>
    <xf numFmtId="2" fontId="9" fillId="0" borderId="62" xfId="0" applyNumberFormat="1" applyFont="1" applyBorder="1"/>
    <xf numFmtId="9" fontId="6" fillId="0" borderId="53" xfId="5" applyFont="1" applyBorder="1"/>
    <xf numFmtId="2" fontId="9" fillId="0" borderId="69" xfId="0" applyNumberFormat="1" applyFont="1" applyBorder="1"/>
    <xf numFmtId="3" fontId="10" fillId="0" borderId="60" xfId="0" applyNumberFormat="1" applyFont="1" applyBorder="1" applyAlignment="1">
      <alignment horizontal="right" wrapText="1"/>
    </xf>
    <xf numFmtId="2" fontId="7" fillId="0" borderId="35" xfId="0" applyNumberFormat="1" applyFont="1" applyBorder="1"/>
    <xf numFmtId="2" fontId="6" fillId="0" borderId="105" xfId="0" applyNumberFormat="1" applyFont="1" applyBorder="1"/>
    <xf numFmtId="2" fontId="7" fillId="0" borderId="24" xfId="0" applyNumberFormat="1" applyFont="1" applyBorder="1"/>
    <xf numFmtId="2" fontId="6" fillId="0" borderId="108" xfId="0" applyNumberFormat="1" applyFont="1" applyBorder="1"/>
    <xf numFmtId="2" fontId="8" fillId="0" borderId="107" xfId="0" applyNumberFormat="1" applyFont="1" applyBorder="1"/>
    <xf numFmtId="0" fontId="8" fillId="0" borderId="49" xfId="0" applyFont="1" applyBorder="1"/>
    <xf numFmtId="0" fontId="7" fillId="0" borderId="10" xfId="0" applyFont="1" applyBorder="1"/>
    <xf numFmtId="0" fontId="7" fillId="0" borderId="62" xfId="0" applyFont="1" applyBorder="1"/>
    <xf numFmtId="2" fontId="10" fillId="0" borderId="108" xfId="0" applyNumberFormat="1" applyFont="1" applyBorder="1" applyAlignment="1">
      <alignment horizontal="right" wrapText="1"/>
    </xf>
    <xf numFmtId="2" fontId="9" fillId="0" borderId="70" xfId="0" applyNumberFormat="1" applyFont="1" applyBorder="1"/>
    <xf numFmtId="4" fontId="8" fillId="0" borderId="50" xfId="0" applyNumberFormat="1" applyFont="1" applyBorder="1"/>
    <xf numFmtId="3" fontId="8" fillId="0" borderId="66" xfId="0" applyNumberFormat="1" applyFont="1" applyBorder="1"/>
    <xf numFmtId="3" fontId="6" fillId="0" borderId="1" xfId="0" applyNumberFormat="1" applyFont="1" applyBorder="1"/>
    <xf numFmtId="3" fontId="6" fillId="0" borderId="52" xfId="0" applyNumberFormat="1" applyFont="1" applyBorder="1"/>
    <xf numFmtId="3" fontId="6" fillId="0" borderId="51" xfId="0" applyNumberFormat="1" applyFont="1" applyBorder="1"/>
    <xf numFmtId="3" fontId="6" fillId="0" borderId="53" xfId="0" applyNumberFormat="1" applyFont="1" applyBorder="1"/>
    <xf numFmtId="3" fontId="8" fillId="0" borderId="23" xfId="0" applyNumberFormat="1" applyFont="1" applyBorder="1"/>
    <xf numFmtId="3" fontId="8" fillId="0" borderId="25" xfId="0" applyNumberFormat="1" applyFont="1" applyBorder="1"/>
    <xf numFmtId="0" fontId="10" fillId="0" borderId="0" xfId="0" applyFont="1"/>
    <xf numFmtId="0" fontId="6" fillId="0" borderId="63" xfId="0" applyFont="1" applyBorder="1" applyAlignment="1">
      <alignment wrapText="1"/>
    </xf>
    <xf numFmtId="0" fontId="7" fillId="0" borderId="37" xfId="4" applyFont="1" applyBorder="1"/>
    <xf numFmtId="164" fontId="7" fillId="0" borderId="3" xfId="0" applyNumberFormat="1" applyFont="1" applyBorder="1"/>
    <xf numFmtId="0" fontId="6" fillId="0" borderId="49" xfId="0" applyFont="1" applyBorder="1" applyAlignment="1">
      <alignment wrapText="1"/>
    </xf>
    <xf numFmtId="2" fontId="8" fillId="0" borderId="19" xfId="0" applyNumberFormat="1" applyFont="1" applyBorder="1"/>
    <xf numFmtId="2" fontId="8" fillId="0" borderId="43" xfId="0" applyNumberFormat="1" applyFont="1" applyBorder="1"/>
    <xf numFmtId="2" fontId="6" fillId="0" borderId="2" xfId="0" applyNumberFormat="1" applyFont="1" applyBorder="1"/>
    <xf numFmtId="4" fontId="8" fillId="0" borderId="131" xfId="0" applyNumberFormat="1" applyFont="1" applyBorder="1"/>
    <xf numFmtId="9" fontId="11" fillId="0" borderId="66" xfId="5" applyFont="1" applyBorder="1" applyAlignment="1">
      <alignment horizontal="right" wrapText="1"/>
    </xf>
    <xf numFmtId="2" fontId="8" fillId="0" borderId="77" xfId="0" applyNumberFormat="1" applyFont="1" applyBorder="1"/>
    <xf numFmtId="0" fontId="6" fillId="0" borderId="27" xfId="0" applyFont="1" applyBorder="1"/>
    <xf numFmtId="2" fontId="6" fillId="0" borderId="60" xfId="0" applyNumberFormat="1" applyFont="1" applyBorder="1"/>
    <xf numFmtId="4" fontId="8" fillId="0" borderId="149" xfId="0" applyNumberFormat="1" applyFont="1" applyBorder="1"/>
    <xf numFmtId="3" fontId="8" fillId="0" borderId="87" xfId="0" applyNumberFormat="1" applyFont="1" applyBorder="1"/>
    <xf numFmtId="3" fontId="8" fillId="0" borderId="72" xfId="0" applyNumberFormat="1" applyFont="1" applyBorder="1"/>
    <xf numFmtId="3" fontId="8" fillId="0" borderId="73" xfId="0" applyNumberFormat="1" applyFont="1" applyBorder="1"/>
    <xf numFmtId="2" fontId="8" fillId="0" borderId="131" xfId="0" applyNumberFormat="1" applyFont="1" applyBorder="1"/>
    <xf numFmtId="2" fontId="8" fillId="0" borderId="72" xfId="0" applyNumberFormat="1" applyFont="1" applyBorder="1"/>
    <xf numFmtId="9" fontId="6" fillId="0" borderId="81" xfId="5" applyFont="1" applyBorder="1"/>
    <xf numFmtId="9" fontId="6" fillId="0" borderId="63" xfId="5" applyFont="1" applyBorder="1"/>
    <xf numFmtId="9" fontId="8" fillId="0" borderId="83" xfId="5" applyFont="1" applyBorder="1"/>
    <xf numFmtId="9" fontId="6" fillId="0" borderId="81" xfId="5" applyFont="1" applyFill="1" applyBorder="1"/>
    <xf numFmtId="9" fontId="6" fillId="0" borderId="63" xfId="5" applyFont="1" applyFill="1" applyBorder="1"/>
    <xf numFmtId="9" fontId="10" fillId="0" borderId="8" xfId="5" applyFont="1" applyBorder="1" applyAlignment="1">
      <alignment horizontal="right" wrapText="1"/>
    </xf>
    <xf numFmtId="9" fontId="10" fillId="0" borderId="61" xfId="5" applyFont="1" applyBorder="1" applyAlignment="1">
      <alignment horizontal="right" wrapText="1"/>
    </xf>
    <xf numFmtId="9" fontId="11" fillId="0" borderId="49" xfId="5" applyFont="1" applyBorder="1" applyAlignment="1">
      <alignment horizontal="right" wrapText="1"/>
    </xf>
    <xf numFmtId="9" fontId="6" fillId="0" borderId="82" xfId="5" applyFont="1" applyBorder="1"/>
    <xf numFmtId="9" fontId="8" fillId="0" borderId="83" xfId="5" applyFont="1" applyFill="1" applyBorder="1"/>
    <xf numFmtId="9" fontId="10" fillId="0" borderId="82" xfId="5" applyFont="1" applyBorder="1" applyAlignment="1">
      <alignment horizontal="right" wrapText="1"/>
    </xf>
    <xf numFmtId="9" fontId="10" fillId="0" borderId="81" xfId="5" applyFont="1" applyBorder="1" applyAlignment="1">
      <alignment horizontal="right" wrapText="1"/>
    </xf>
    <xf numFmtId="9" fontId="10" fillId="0" borderId="63" xfId="5" applyFont="1" applyBorder="1" applyAlignment="1">
      <alignment horizontal="right" wrapText="1"/>
    </xf>
    <xf numFmtId="9" fontId="11" fillId="0" borderId="83" xfId="5" applyFont="1" applyBorder="1" applyAlignment="1">
      <alignment horizontal="right" wrapText="1"/>
    </xf>
    <xf numFmtId="9" fontId="11" fillId="0" borderId="83" xfId="5" applyFont="1" applyBorder="1" applyAlignment="1">
      <alignment horizontal="right"/>
    </xf>
    <xf numFmtId="9" fontId="6" fillId="0" borderId="81" xfId="5" applyFont="1" applyFill="1" applyBorder="1" applyAlignment="1"/>
    <xf numFmtId="9" fontId="6" fillId="0" borderId="63" xfId="5" applyFont="1" applyFill="1" applyBorder="1" applyAlignment="1"/>
    <xf numFmtId="9" fontId="8" fillId="0" borderId="101" xfId="5" applyFont="1" applyFill="1" applyBorder="1" applyAlignment="1"/>
    <xf numFmtId="9" fontId="6" fillId="0" borderId="20" xfId="5" applyFont="1" applyBorder="1"/>
    <xf numFmtId="3" fontId="7" fillId="0" borderId="0" xfId="0" applyNumberFormat="1" applyFont="1"/>
    <xf numFmtId="3" fontId="8" fillId="0" borderId="49" xfId="0" applyNumberFormat="1" applyFont="1" applyBorder="1"/>
    <xf numFmtId="3" fontId="9" fillId="0" borderId="87" xfId="0" applyNumberFormat="1" applyFont="1" applyBorder="1" applyAlignment="1">
      <alignment horizontal="right"/>
    </xf>
    <xf numFmtId="9" fontId="6" fillId="0" borderId="101" xfId="5" applyFont="1" applyFill="1" applyBorder="1" applyAlignment="1">
      <alignment horizontal="right"/>
    </xf>
    <xf numFmtId="9" fontId="6" fillId="0" borderId="63" xfId="5" applyFont="1" applyFill="1" applyBorder="1" applyAlignment="1">
      <alignment horizontal="right"/>
    </xf>
    <xf numFmtId="9" fontId="8" fillId="0" borderId="83" xfId="5" applyFont="1" applyFill="1" applyBorder="1" applyAlignment="1">
      <alignment horizontal="right"/>
    </xf>
    <xf numFmtId="9" fontId="6" fillId="0" borderId="81" xfId="5" applyFont="1" applyFill="1" applyBorder="1" applyAlignment="1">
      <alignment horizontal="right"/>
    </xf>
    <xf numFmtId="9" fontId="6" fillId="0" borderId="97" xfId="5" applyFont="1" applyFill="1" applyBorder="1" applyAlignment="1">
      <alignment horizontal="right"/>
    </xf>
    <xf numFmtId="9" fontId="7" fillId="0" borderId="81" xfId="5" applyFont="1" applyBorder="1"/>
    <xf numFmtId="9" fontId="7" fillId="0" borderId="81" xfId="5" applyFont="1" applyFill="1" applyBorder="1" applyAlignment="1"/>
    <xf numFmtId="9" fontId="7" fillId="0" borderId="63" xfId="5" applyFont="1" applyFill="1" applyBorder="1" applyAlignment="1"/>
    <xf numFmtId="9" fontId="9" fillId="0" borderId="83" xfId="5" applyFont="1" applyBorder="1" applyAlignment="1"/>
    <xf numFmtId="9" fontId="7" fillId="0" borderId="82" xfId="5" applyFont="1" applyFill="1" applyBorder="1" applyAlignment="1"/>
    <xf numFmtId="9" fontId="9" fillId="0" borderId="101" xfId="5" applyFont="1" applyFill="1" applyBorder="1" applyAlignment="1">
      <alignment horizontal="right"/>
    </xf>
    <xf numFmtId="9" fontId="7" fillId="0" borderId="81" xfId="5" applyFont="1" applyFill="1" applyBorder="1" applyAlignment="1">
      <alignment horizontal="right"/>
    </xf>
    <xf numFmtId="9" fontId="7" fillId="0" borderId="63" xfId="5" applyFont="1" applyFill="1" applyBorder="1" applyAlignment="1">
      <alignment horizontal="right"/>
    </xf>
    <xf numFmtId="9" fontId="9" fillId="0" borderId="142" xfId="5" applyFont="1" applyFill="1" applyBorder="1" applyAlignment="1">
      <alignment horizontal="right"/>
    </xf>
    <xf numFmtId="9" fontId="6" fillId="0" borderId="82" xfId="5" applyFont="1" applyFill="1" applyBorder="1" applyAlignment="1">
      <alignment horizontal="right"/>
    </xf>
    <xf numFmtId="9" fontId="6" fillId="0" borderId="98" xfId="5" applyFont="1" applyFill="1" applyBorder="1" applyAlignment="1">
      <alignment horizontal="right"/>
    </xf>
    <xf numFmtId="9" fontId="8" fillId="0" borderId="101" xfId="5" applyFont="1" applyFill="1" applyBorder="1" applyAlignment="1">
      <alignment horizontal="right"/>
    </xf>
    <xf numFmtId="9" fontId="6" fillId="0" borderId="102" xfId="5" applyFont="1" applyFill="1" applyBorder="1" applyAlignment="1">
      <alignment horizontal="right"/>
    </xf>
    <xf numFmtId="9" fontId="9" fillId="0" borderId="83" xfId="5" applyFont="1" applyFill="1" applyBorder="1" applyAlignment="1"/>
    <xf numFmtId="9" fontId="6" fillId="0" borderId="63" xfId="5" applyFont="1" applyBorder="1" applyAlignment="1">
      <alignment horizontal="right"/>
    </xf>
    <xf numFmtId="0" fontId="8" fillId="0" borderId="142" xfId="0" applyFont="1" applyBorder="1" applyAlignment="1">
      <alignment horizontal="center"/>
    </xf>
    <xf numFmtId="9" fontId="6" fillId="0" borderId="97" xfId="5" applyFont="1" applyFill="1" applyBorder="1"/>
    <xf numFmtId="9" fontId="8" fillId="0" borderId="142" xfId="5" applyFont="1" applyBorder="1"/>
    <xf numFmtId="9" fontId="6" fillId="0" borderId="81" xfId="5" applyFont="1" applyBorder="1" applyAlignment="1">
      <alignment horizontal="right"/>
    </xf>
    <xf numFmtId="9" fontId="6" fillId="0" borderId="82" xfId="5" applyFont="1" applyBorder="1" applyAlignment="1">
      <alignment horizontal="right"/>
    </xf>
    <xf numFmtId="9" fontId="6" fillId="0" borderId="20" xfId="5" applyFont="1" applyBorder="1" applyAlignment="1">
      <alignment horizontal="right"/>
    </xf>
    <xf numFmtId="9" fontId="8" fillId="0" borderId="101" xfId="5" applyFont="1" applyFill="1" applyBorder="1"/>
    <xf numFmtId="9" fontId="8" fillId="0" borderId="38" xfId="5" applyFont="1" applyFill="1" applyBorder="1"/>
    <xf numFmtId="3" fontId="6" fillId="0" borderId="8" xfId="0" applyNumberFormat="1" applyFont="1" applyBorder="1"/>
    <xf numFmtId="9" fontId="8" fillId="0" borderId="25" xfId="5" applyFont="1" applyBorder="1"/>
    <xf numFmtId="2" fontId="6" fillId="0" borderId="26" xfId="0" applyNumberFormat="1" applyFont="1" applyBorder="1"/>
    <xf numFmtId="2" fontId="6" fillId="0" borderId="10" xfId="0" applyNumberFormat="1" applyFont="1" applyBorder="1"/>
    <xf numFmtId="3" fontId="6" fillId="0" borderId="10" xfId="0" applyNumberFormat="1" applyFont="1" applyBorder="1"/>
    <xf numFmtId="2" fontId="8" fillId="0" borderId="87" xfId="0" applyNumberFormat="1" applyFont="1" applyBorder="1"/>
    <xf numFmtId="3" fontId="6" fillId="0" borderId="2" xfId="0" applyNumberFormat="1" applyFont="1" applyBorder="1"/>
    <xf numFmtId="3" fontId="6" fillId="0" borderId="3" xfId="0" applyNumberFormat="1" applyFont="1" applyBorder="1"/>
    <xf numFmtId="3" fontId="8" fillId="0" borderId="65" xfId="0" applyNumberFormat="1" applyFont="1" applyBorder="1"/>
    <xf numFmtId="9" fontId="8" fillId="0" borderId="83" xfId="5" applyFont="1" applyBorder="1" applyAlignment="1">
      <alignment horizontal="right"/>
    </xf>
    <xf numFmtId="2" fontId="8" fillId="0" borderId="149" xfId="0" applyNumberFormat="1" applyFont="1" applyBorder="1"/>
    <xf numFmtId="3" fontId="8" fillId="0" borderId="67" xfId="0" applyNumberFormat="1" applyFont="1" applyBorder="1"/>
    <xf numFmtId="0" fontId="6" fillId="0" borderId="0" xfId="0" applyFont="1" applyAlignment="1">
      <alignment horizontal="left"/>
    </xf>
    <xf numFmtId="0" fontId="31" fillId="0" borderId="0" xfId="0" applyFont="1"/>
    <xf numFmtId="2" fontId="31" fillId="0" borderId="0" xfId="0" applyNumberFormat="1" applyFont="1"/>
    <xf numFmtId="9" fontId="31" fillId="0" borderId="0" xfId="5" applyFont="1"/>
    <xf numFmtId="0" fontId="31" fillId="0" borderId="49" xfId="0" applyFont="1" applyBorder="1"/>
    <xf numFmtId="3" fontId="8" fillId="0" borderId="73" xfId="4" applyNumberFormat="1" applyFont="1" applyBorder="1" applyAlignment="1">
      <alignment horizontal="right"/>
    </xf>
    <xf numFmtId="3" fontId="8" fillId="0" borderId="65" xfId="4" applyNumberFormat="1" applyFont="1" applyBorder="1" applyAlignment="1">
      <alignment horizontal="right"/>
    </xf>
    <xf numFmtId="0" fontId="7" fillId="0" borderId="59" xfId="4" applyFont="1" applyBorder="1" applyAlignment="1">
      <alignment horizontal="center"/>
    </xf>
    <xf numFmtId="3" fontId="8" fillId="0" borderId="72" xfId="4" applyNumberFormat="1" applyFont="1" applyBorder="1"/>
    <xf numFmtId="3" fontId="8" fillId="0" borderId="72" xfId="4" applyNumberFormat="1" applyFont="1" applyBorder="1" applyAlignment="1">
      <alignment horizontal="right"/>
    </xf>
    <xf numFmtId="3" fontId="9" fillId="0" borderId="74" xfId="4" applyNumberFormat="1" applyFont="1" applyBorder="1"/>
    <xf numFmtId="3" fontId="8" fillId="0" borderId="80" xfId="4" applyNumberFormat="1" applyFont="1" applyBorder="1" applyAlignment="1">
      <alignment horizontal="right"/>
    </xf>
    <xf numFmtId="0" fontId="7" fillId="0" borderId="81" xfId="4" applyFont="1" applyBorder="1" applyAlignment="1">
      <alignment horizontal="center"/>
    </xf>
    <xf numFmtId="0" fontId="7" fillId="0" borderId="63" xfId="4" applyFont="1" applyBorder="1" applyAlignment="1">
      <alignment horizontal="center"/>
    </xf>
    <xf numFmtId="164" fontId="7" fillId="0" borderId="8" xfId="0" applyNumberFormat="1" applyFont="1" applyBorder="1"/>
    <xf numFmtId="3" fontId="6" fillId="0" borderId="62" xfId="0" applyNumberFormat="1" applyFont="1" applyBorder="1"/>
    <xf numFmtId="3" fontId="8" fillId="0" borderId="74" xfId="4" applyNumberFormat="1" applyFont="1" applyBorder="1" applyAlignment="1">
      <alignment horizontal="right"/>
    </xf>
    <xf numFmtId="3" fontId="8" fillId="0" borderId="50" xfId="4" applyNumberFormat="1" applyFont="1" applyBorder="1" applyAlignment="1">
      <alignment horizontal="right"/>
    </xf>
    <xf numFmtId="3" fontId="8" fillId="0" borderId="73" xfId="4" applyNumberFormat="1" applyFont="1" applyBorder="1"/>
    <xf numFmtId="3" fontId="9" fillId="0" borderId="65" xfId="0" applyNumberFormat="1" applyFont="1" applyBorder="1" applyAlignment="1">
      <alignment horizontal="right"/>
    </xf>
    <xf numFmtId="0" fontId="7" fillId="0" borderId="28" xfId="4" applyFont="1" applyBorder="1" applyAlignment="1">
      <alignment horizontal="center"/>
    </xf>
    <xf numFmtId="3" fontId="8" fillId="0" borderId="131" xfId="4" applyNumberFormat="1" applyFont="1" applyBorder="1" applyAlignment="1">
      <alignment horizontal="right"/>
    </xf>
    <xf numFmtId="3" fontId="8" fillId="0" borderId="64" xfId="4" applyNumberFormat="1" applyFont="1" applyBorder="1" applyAlignment="1">
      <alignment horizontal="right"/>
    </xf>
    <xf numFmtId="3" fontId="8" fillId="0" borderId="131" xfId="4" applyNumberFormat="1" applyFont="1" applyBorder="1"/>
    <xf numFmtId="0" fontId="9" fillId="0" borderId="83" xfId="0" applyFont="1" applyBorder="1"/>
    <xf numFmtId="164" fontId="9" fillId="0" borderId="65" xfId="0" applyNumberFormat="1" applyFont="1" applyBorder="1"/>
    <xf numFmtId="3" fontId="8" fillId="0" borderId="80" xfId="4" applyNumberFormat="1" applyFont="1" applyBorder="1"/>
    <xf numFmtId="0" fontId="6" fillId="0" borderId="81" xfId="0" applyFont="1" applyBorder="1" applyAlignment="1">
      <alignment wrapText="1"/>
    </xf>
    <xf numFmtId="3" fontId="9" fillId="0" borderId="64" xfId="0" applyNumberFormat="1" applyFont="1" applyBorder="1" applyAlignment="1">
      <alignment horizontal="right"/>
    </xf>
    <xf numFmtId="3" fontId="8" fillId="0" borderId="66" xfId="4" applyNumberFormat="1" applyFont="1" applyBorder="1"/>
    <xf numFmtId="3" fontId="8" fillId="0" borderId="74" xfId="4" applyNumberFormat="1" applyFont="1" applyBorder="1"/>
    <xf numFmtId="3" fontId="9" fillId="0" borderId="73" xfId="4" applyNumberFormat="1" applyFont="1" applyBorder="1"/>
    <xf numFmtId="164" fontId="9" fillId="0" borderId="68" xfId="0" applyNumberFormat="1" applyFont="1" applyBorder="1"/>
    <xf numFmtId="0" fontId="7" fillId="0" borderId="98" xfId="0" applyFont="1" applyBorder="1" applyAlignment="1">
      <alignment wrapText="1"/>
    </xf>
    <xf numFmtId="164" fontId="7" fillId="0" borderId="61" xfId="0" applyNumberFormat="1" applyFont="1" applyBorder="1"/>
    <xf numFmtId="3" fontId="8" fillId="0" borderId="38" xfId="0" applyNumberFormat="1" applyFont="1" applyBorder="1"/>
    <xf numFmtId="3" fontId="6" fillId="0" borderId="20" xfId="0" applyNumberFormat="1" applyFont="1" applyBorder="1"/>
    <xf numFmtId="0" fontId="7" fillId="0" borderId="81" xfId="4" applyFont="1" applyBorder="1"/>
    <xf numFmtId="3" fontId="9" fillId="0" borderId="0" xfId="4" applyNumberFormat="1" applyFont="1"/>
    <xf numFmtId="0" fontId="7" fillId="0" borderId="103" xfId="0" applyFont="1" applyBorder="1" applyAlignment="1">
      <alignment horizontal="right"/>
    </xf>
    <xf numFmtId="0" fontId="7" fillId="0" borderId="82" xfId="4" applyFont="1" applyBorder="1"/>
    <xf numFmtId="0" fontId="7" fillId="0" borderId="37" xfId="4" applyFont="1" applyBorder="1" applyAlignment="1">
      <alignment horizontal="center"/>
    </xf>
    <xf numFmtId="0" fontId="7" fillId="0" borderId="49" xfId="0" applyFont="1" applyBorder="1" applyAlignment="1">
      <alignment horizontal="left"/>
    </xf>
    <xf numFmtId="9" fontId="8" fillId="0" borderId="130" xfId="5" applyFont="1" applyFill="1" applyBorder="1" applyAlignment="1">
      <alignment horizontal="right"/>
    </xf>
    <xf numFmtId="4" fontId="6" fillId="0" borderId="184" xfId="0" applyNumberFormat="1" applyFont="1" applyBorder="1"/>
    <xf numFmtId="9" fontId="6" fillId="0" borderId="181" xfId="5" applyFont="1" applyFill="1" applyBorder="1" applyAlignment="1">
      <alignment horizontal="right"/>
    </xf>
    <xf numFmtId="9" fontId="6" fillId="0" borderId="181" xfId="5" applyFont="1" applyBorder="1" applyAlignment="1">
      <alignment horizontal="right"/>
    </xf>
    <xf numFmtId="9" fontId="8" fillId="0" borderId="101" xfId="5" applyFont="1" applyBorder="1" applyAlignment="1">
      <alignment horizontal="right"/>
    </xf>
    <xf numFmtId="2" fontId="8" fillId="0" borderId="49" xfId="0" applyNumberFormat="1" applyFont="1" applyBorder="1"/>
    <xf numFmtId="3" fontId="9" fillId="0" borderId="83" xfId="0" applyNumberFormat="1" applyFont="1" applyBorder="1" applyAlignment="1">
      <alignment horizontal="right"/>
    </xf>
    <xf numFmtId="3" fontId="6" fillId="0" borderId="181" xfId="0" applyNumberFormat="1" applyFont="1" applyBorder="1"/>
    <xf numFmtId="3" fontId="9" fillId="0" borderId="80" xfId="0" applyNumberFormat="1" applyFont="1" applyBorder="1" applyAlignment="1">
      <alignment horizontal="right"/>
    </xf>
    <xf numFmtId="3" fontId="7" fillId="0" borderId="23" xfId="0" applyNumberFormat="1" applyFont="1" applyBorder="1" applyAlignment="1">
      <alignment horizontal="right"/>
    </xf>
    <xf numFmtId="3" fontId="9" fillId="0" borderId="131" xfId="0" applyNumberFormat="1" applyFont="1" applyBorder="1" applyAlignment="1">
      <alignment horizontal="right"/>
    </xf>
    <xf numFmtId="0" fontId="7" fillId="0" borderId="181" xfId="0" applyFont="1" applyBorder="1" applyAlignment="1">
      <alignment wrapText="1"/>
    </xf>
    <xf numFmtId="9" fontId="7" fillId="0" borderId="81" xfId="5" applyFont="1" applyBorder="1" applyAlignment="1">
      <alignment horizontal="right"/>
    </xf>
    <xf numFmtId="9" fontId="9" fillId="0" borderId="101" xfId="5" applyFont="1" applyBorder="1"/>
    <xf numFmtId="9" fontId="7" fillId="0" borderId="63" xfId="5" applyFont="1" applyBorder="1"/>
    <xf numFmtId="9" fontId="9" fillId="0" borderId="83" xfId="5" applyFont="1" applyBorder="1"/>
    <xf numFmtId="9" fontId="7" fillId="0" borderId="82" xfId="5" applyFont="1" applyBorder="1"/>
    <xf numFmtId="2" fontId="9" fillId="0" borderId="116" xfId="0" applyNumberFormat="1" applyFont="1" applyBorder="1"/>
    <xf numFmtId="2" fontId="9" fillId="0" borderId="30" xfId="0" applyNumberFormat="1" applyFont="1" applyBorder="1"/>
    <xf numFmtId="2" fontId="9" fillId="0" borderId="0" xfId="0" applyNumberFormat="1" applyFont="1"/>
    <xf numFmtId="2" fontId="9" fillId="0" borderId="57" xfId="0" applyNumberFormat="1" applyFont="1" applyBorder="1"/>
    <xf numFmtId="9" fontId="6" fillId="0" borderId="181" xfId="5" applyFont="1" applyBorder="1"/>
    <xf numFmtId="2" fontId="8" fillId="0" borderId="79" xfId="0" applyNumberFormat="1" applyFont="1" applyBorder="1"/>
    <xf numFmtId="2" fontId="7" fillId="0" borderId="184" xfId="0" applyNumberFormat="1" applyFont="1" applyBorder="1"/>
    <xf numFmtId="2" fontId="6" fillId="0" borderId="184" xfId="0" applyNumberFormat="1" applyFont="1" applyBorder="1"/>
    <xf numFmtId="2" fontId="8" fillId="0" borderId="78" xfId="0" applyNumberFormat="1" applyFont="1" applyBorder="1"/>
    <xf numFmtId="3" fontId="6" fillId="0" borderId="60" xfId="0" applyNumberFormat="1" applyFont="1" applyBorder="1"/>
    <xf numFmtId="0" fontId="6" fillId="0" borderId="8" xfId="0" applyFont="1" applyBorder="1"/>
    <xf numFmtId="0" fontId="6" fillId="0" borderId="113" xfId="0" applyFont="1" applyBorder="1"/>
    <xf numFmtId="2" fontId="8" fillId="0" borderId="118" xfId="0" applyNumberFormat="1" applyFont="1" applyBorder="1"/>
    <xf numFmtId="3" fontId="7" fillId="0" borderId="24" xfId="0" applyNumberFormat="1" applyFont="1" applyBorder="1" applyAlignment="1">
      <alignment horizontal="right"/>
    </xf>
    <xf numFmtId="3" fontId="7" fillId="0" borderId="35" xfId="0" applyNumberFormat="1" applyFont="1" applyBorder="1" applyAlignment="1">
      <alignment horizontal="right"/>
    </xf>
    <xf numFmtId="3" fontId="7" fillId="0" borderId="31" xfId="0" applyNumberFormat="1" applyFont="1" applyBorder="1" applyAlignment="1">
      <alignment horizontal="right"/>
    </xf>
    <xf numFmtId="3" fontId="9" fillId="0" borderId="49" xfId="0" applyNumberFormat="1" applyFont="1" applyBorder="1" applyAlignment="1">
      <alignment horizontal="right"/>
    </xf>
    <xf numFmtId="3" fontId="8" fillId="0" borderId="74" xfId="0" applyNumberFormat="1" applyFont="1" applyBorder="1"/>
    <xf numFmtId="9" fontId="8" fillId="0" borderId="50" xfId="5" applyFont="1" applyFill="1" applyBorder="1" applyAlignment="1">
      <alignment horizontal="right" vertical="center" wrapText="1"/>
    </xf>
    <xf numFmtId="9" fontId="8" fillId="0" borderId="50" xfId="5" applyFont="1" applyBorder="1" applyAlignment="1">
      <alignment horizontal="right"/>
    </xf>
    <xf numFmtId="3" fontId="7" fillId="0" borderId="3" xfId="0" applyNumberFormat="1" applyFont="1" applyBorder="1"/>
    <xf numFmtId="3" fontId="6" fillId="0" borderId="1" xfId="4" applyNumberFormat="1" applyFont="1" applyBorder="1"/>
    <xf numFmtId="3" fontId="6" fillId="0" borderId="10" xfId="4" applyNumberFormat="1" applyFont="1" applyBorder="1"/>
    <xf numFmtId="3" fontId="6" fillId="0" borderId="1" xfId="4" applyNumberFormat="1" applyFont="1" applyBorder="1" applyAlignment="1">
      <alignment horizontal="right"/>
    </xf>
    <xf numFmtId="0" fontId="9" fillId="0" borderId="83" xfId="4" applyFont="1" applyBorder="1"/>
    <xf numFmtId="3" fontId="8" fillId="0" borderId="65" xfId="4" applyNumberFormat="1" applyFont="1" applyBorder="1"/>
    <xf numFmtId="0" fontId="8" fillId="0" borderId="83" xfId="4" applyFont="1" applyBorder="1"/>
    <xf numFmtId="0" fontId="8" fillId="0" borderId="48" xfId="4" applyFont="1" applyBorder="1" applyAlignment="1">
      <alignment horizontal="center"/>
    </xf>
    <xf numFmtId="3" fontId="6" fillId="0" borderId="2" xfId="4" applyNumberFormat="1" applyFont="1" applyBorder="1"/>
    <xf numFmtId="3" fontId="6" fillId="0" borderId="23" xfId="4" applyNumberFormat="1" applyFont="1" applyBorder="1"/>
    <xf numFmtId="3" fontId="8" fillId="0" borderId="64" xfId="4" applyNumberFormat="1" applyFont="1" applyBorder="1"/>
    <xf numFmtId="3" fontId="6" fillId="0" borderId="51" xfId="4" applyNumberFormat="1" applyFont="1" applyBorder="1" applyAlignment="1">
      <alignment horizontal="right"/>
    </xf>
    <xf numFmtId="3" fontId="6" fillId="0" borderId="52" xfId="4" applyNumberFormat="1" applyFont="1" applyBorder="1"/>
    <xf numFmtId="3" fontId="6" fillId="0" borderId="31" xfId="4" applyNumberFormat="1" applyFont="1" applyBorder="1"/>
    <xf numFmtId="3" fontId="6" fillId="0" borderId="3" xfId="4" applyNumberFormat="1" applyFont="1" applyBorder="1"/>
    <xf numFmtId="3" fontId="6" fillId="0" borderId="53" xfId="4" applyNumberFormat="1" applyFont="1" applyBorder="1"/>
    <xf numFmtId="3" fontId="7" fillId="0" borderId="59" xfId="0" applyNumberFormat="1" applyFont="1" applyBorder="1" applyAlignment="1">
      <alignment horizontal="right"/>
    </xf>
    <xf numFmtId="2" fontId="10" fillId="0" borderId="184" xfId="0" applyNumberFormat="1" applyFont="1" applyBorder="1" applyAlignment="1">
      <alignment horizontal="right" wrapText="1"/>
    </xf>
    <xf numFmtId="2" fontId="9" fillId="0" borderId="38" xfId="0" applyNumberFormat="1" applyFont="1" applyBorder="1"/>
    <xf numFmtId="2" fontId="7" fillId="0" borderId="57" xfId="0" applyNumberFormat="1" applyFont="1" applyBorder="1"/>
    <xf numFmtId="2" fontId="7" fillId="0" borderId="30" xfId="0" applyNumberFormat="1" applyFont="1" applyBorder="1"/>
    <xf numFmtId="2" fontId="9" fillId="0" borderId="24" xfId="0" applyNumberFormat="1" applyFont="1" applyBorder="1"/>
    <xf numFmtId="0" fontId="6" fillId="0" borderId="185" xfId="0" applyFont="1" applyBorder="1"/>
    <xf numFmtId="2" fontId="9" fillId="0" borderId="191" xfId="0" applyNumberFormat="1" applyFont="1" applyBorder="1"/>
    <xf numFmtId="2" fontId="11" fillId="0" borderId="0" xfId="0" applyNumberFormat="1" applyFont="1" applyAlignment="1">
      <alignment horizontal="right"/>
    </xf>
    <xf numFmtId="2" fontId="6" fillId="0" borderId="30" xfId="0" applyNumberFormat="1" applyFont="1" applyBorder="1"/>
    <xf numFmtId="9" fontId="6" fillId="0" borderId="3" xfId="5" applyFont="1" applyBorder="1" applyAlignment="1">
      <alignment horizontal="right"/>
    </xf>
    <xf numFmtId="9" fontId="6" fillId="0" borderId="53" xfId="5" applyFont="1" applyBorder="1" applyAlignment="1">
      <alignment horizontal="right"/>
    </xf>
    <xf numFmtId="9" fontId="8" fillId="0" borderId="66" xfId="5" applyFont="1" applyBorder="1" applyAlignment="1">
      <alignment horizontal="right"/>
    </xf>
    <xf numFmtId="0" fontId="7" fillId="0" borderId="181" xfId="4" applyFont="1" applyBorder="1"/>
    <xf numFmtId="0" fontId="6" fillId="0" borderId="181" xfId="0" applyFont="1" applyBorder="1"/>
    <xf numFmtId="2" fontId="6" fillId="0" borderId="204" xfId="0" applyNumberFormat="1" applyFont="1" applyBorder="1"/>
    <xf numFmtId="2" fontId="8" fillId="0" borderId="182" xfId="0" applyNumberFormat="1" applyFont="1" applyBorder="1"/>
    <xf numFmtId="3" fontId="6" fillId="0" borderId="201" xfId="0" applyNumberFormat="1" applyFont="1" applyBorder="1"/>
    <xf numFmtId="3" fontId="6" fillId="0" borderId="202" xfId="0" applyNumberFormat="1" applyFont="1" applyBorder="1"/>
    <xf numFmtId="3" fontId="7" fillId="0" borderId="8" xfId="0" applyNumberFormat="1" applyFont="1" applyBorder="1" applyAlignment="1">
      <alignment horizontal="right" wrapText="1"/>
    </xf>
    <xf numFmtId="3" fontId="7" fillId="0" borderId="2" xfId="0" applyNumberFormat="1" applyFont="1" applyBorder="1" applyAlignment="1">
      <alignment horizontal="right" wrapText="1"/>
    </xf>
    <xf numFmtId="3" fontId="7" fillId="0" borderId="82" xfId="0" applyNumberFormat="1" applyFont="1" applyBorder="1" applyAlignment="1">
      <alignment horizontal="right" wrapText="1"/>
    </xf>
    <xf numFmtId="3" fontId="7" fillId="0" borderId="101" xfId="0" applyNumberFormat="1" applyFont="1" applyBorder="1" applyAlignment="1">
      <alignment horizontal="right" wrapText="1"/>
    </xf>
    <xf numFmtId="3" fontId="7" fillId="0" borderId="0" xfId="0" applyNumberFormat="1" applyFont="1" applyAlignment="1">
      <alignment horizontal="right" wrapText="1"/>
    </xf>
    <xf numFmtId="3" fontId="7" fillId="0" borderId="23" xfId="0" applyNumberFormat="1" applyFont="1" applyBorder="1" applyAlignment="1">
      <alignment horizontal="right" wrapText="1"/>
    </xf>
    <xf numFmtId="3" fontId="7" fillId="0" borderId="98" xfId="0" applyNumberFormat="1" applyFont="1" applyBorder="1" applyAlignment="1">
      <alignment horizontal="right" wrapText="1"/>
    </xf>
    <xf numFmtId="3" fontId="7" fillId="0" borderId="36" xfId="0" applyNumberFormat="1" applyFont="1" applyBorder="1" applyAlignment="1">
      <alignment horizontal="right" wrapText="1"/>
    </xf>
    <xf numFmtId="3" fontId="7" fillId="0" borderId="31" xfId="0" applyNumberFormat="1" applyFont="1" applyBorder="1" applyAlignment="1">
      <alignment horizontal="right" wrapText="1"/>
    </xf>
    <xf numFmtId="3" fontId="9" fillId="0" borderId="83" xfId="0" applyNumberFormat="1" applyFont="1" applyBorder="1" applyAlignment="1">
      <alignment horizontal="right" wrapText="1"/>
    </xf>
    <xf numFmtId="3" fontId="9" fillId="0" borderId="49" xfId="0" applyNumberFormat="1" applyFont="1" applyBorder="1" applyAlignment="1">
      <alignment horizontal="right" wrapText="1"/>
    </xf>
    <xf numFmtId="3" fontId="9" fillId="0" borderId="65" xfId="0" applyNumberFormat="1" applyFont="1" applyBorder="1" applyAlignment="1">
      <alignment horizontal="right" wrapText="1"/>
    </xf>
    <xf numFmtId="3" fontId="9" fillId="0" borderId="101" xfId="0" applyNumberFormat="1" applyFont="1" applyBorder="1" applyAlignment="1">
      <alignment horizontal="right" wrapText="1"/>
    </xf>
    <xf numFmtId="3" fontId="9" fillId="0" borderId="101" xfId="0" applyNumberFormat="1" applyFont="1" applyBorder="1" applyAlignment="1">
      <alignment horizontal="right"/>
    </xf>
    <xf numFmtId="9" fontId="10" fillId="0" borderId="0" xfId="5" applyFont="1" applyBorder="1" applyAlignment="1">
      <alignment horizontal="right" wrapText="1"/>
    </xf>
    <xf numFmtId="2" fontId="11" fillId="0" borderId="27" xfId="0" applyNumberFormat="1" applyFont="1" applyBorder="1" applyAlignment="1">
      <alignment horizontal="right"/>
    </xf>
    <xf numFmtId="2" fontId="11" fillId="0" borderId="57" xfId="0" applyNumberFormat="1" applyFont="1" applyBorder="1" applyAlignment="1">
      <alignment horizontal="right"/>
    </xf>
    <xf numFmtId="2" fontId="11" fillId="0" borderId="117" xfId="0" applyNumberFormat="1" applyFont="1" applyBorder="1" applyAlignment="1">
      <alignment horizontal="right"/>
    </xf>
    <xf numFmtId="2" fontId="11" fillId="0" borderId="30" xfId="0" applyNumberFormat="1" applyFont="1" applyBorder="1" applyAlignment="1">
      <alignment horizontal="right"/>
    </xf>
    <xf numFmtId="2" fontId="11" fillId="0" borderId="38" xfId="0" applyNumberFormat="1" applyFont="1" applyBorder="1" applyAlignment="1">
      <alignment horizontal="right"/>
    </xf>
    <xf numFmtId="2" fontId="11" fillId="0" borderId="38" xfId="0" applyNumberFormat="1" applyFont="1" applyBorder="1" applyAlignment="1">
      <alignment horizontal="right" wrapText="1"/>
    </xf>
    <xf numFmtId="3" fontId="7" fillId="0" borderId="181" xfId="0" applyNumberFormat="1" applyFont="1" applyBorder="1" applyAlignment="1">
      <alignment horizontal="right"/>
    </xf>
    <xf numFmtId="2" fontId="9" fillId="0" borderId="182" xfId="0" applyNumberFormat="1" applyFont="1" applyBorder="1"/>
    <xf numFmtId="2" fontId="11" fillId="0" borderId="183" xfId="0" applyNumberFormat="1" applyFont="1" applyBorder="1" applyAlignment="1">
      <alignment horizontal="right"/>
    </xf>
    <xf numFmtId="3" fontId="7" fillId="0" borderId="181" xfId="0" applyNumberFormat="1" applyFont="1" applyBorder="1" applyAlignment="1">
      <alignment horizontal="right" wrapText="1"/>
    </xf>
    <xf numFmtId="2" fontId="9" fillId="0" borderId="183" xfId="0" applyNumberFormat="1" applyFont="1" applyBorder="1"/>
    <xf numFmtId="2" fontId="11" fillId="0" borderId="56" xfId="0" applyNumberFormat="1" applyFont="1" applyBorder="1" applyAlignment="1">
      <alignment horizontal="right"/>
    </xf>
    <xf numFmtId="2" fontId="11" fillId="0" borderId="72" xfId="0" applyNumberFormat="1" applyFont="1" applyBorder="1" applyAlignment="1">
      <alignment horizontal="right"/>
    </xf>
    <xf numFmtId="2" fontId="11" fillId="0" borderId="55" xfId="0" applyNumberFormat="1" applyFont="1" applyBorder="1" applyAlignment="1">
      <alignment horizontal="right"/>
    </xf>
    <xf numFmtId="2" fontId="11" fillId="0" borderId="87" xfId="0" applyNumberFormat="1" applyFont="1" applyBorder="1" applyAlignment="1">
      <alignment horizontal="right"/>
    </xf>
    <xf numFmtId="2" fontId="11" fillId="0" borderId="80" xfId="0" applyNumberFormat="1" applyFont="1" applyBorder="1" applyAlignment="1">
      <alignment horizontal="right"/>
    </xf>
    <xf numFmtId="2" fontId="11" fillId="0" borderId="58" xfId="0" applyNumberFormat="1" applyFont="1" applyBorder="1" applyAlignment="1">
      <alignment horizontal="right"/>
    </xf>
    <xf numFmtId="0" fontId="9" fillId="0" borderId="140" xfId="4" applyFont="1" applyBorder="1"/>
    <xf numFmtId="0" fontId="9" fillId="0" borderId="150" xfId="4" applyFont="1" applyBorder="1" applyAlignment="1">
      <alignment horizontal="center"/>
    </xf>
    <xf numFmtId="3" fontId="7" fillId="0" borderId="81" xfId="0" applyNumberFormat="1" applyFont="1" applyBorder="1" applyAlignment="1">
      <alignment horizontal="right" wrapText="1"/>
    </xf>
    <xf numFmtId="3" fontId="7" fillId="0" borderId="61" xfId="0" applyNumberFormat="1" applyFont="1" applyBorder="1" applyAlignment="1">
      <alignment horizontal="right" wrapText="1"/>
    </xf>
    <xf numFmtId="3" fontId="7" fillId="0" borderId="52" xfId="0" applyNumberFormat="1" applyFont="1" applyBorder="1" applyAlignment="1">
      <alignment horizontal="right" wrapText="1"/>
    </xf>
    <xf numFmtId="2" fontId="9" fillId="0" borderId="40" xfId="0" applyNumberFormat="1" applyFont="1" applyBorder="1"/>
    <xf numFmtId="2" fontId="9" fillId="0" borderId="18" xfId="0" applyNumberFormat="1" applyFont="1" applyBorder="1"/>
    <xf numFmtId="9" fontId="10" fillId="0" borderId="36" xfId="5" applyFont="1" applyBorder="1" applyAlignment="1">
      <alignment horizontal="right" wrapText="1"/>
    </xf>
    <xf numFmtId="2" fontId="7" fillId="0" borderId="205" xfId="0" applyNumberFormat="1" applyFont="1" applyBorder="1"/>
    <xf numFmtId="2" fontId="9" fillId="0" borderId="118" xfId="0" applyNumberFormat="1" applyFont="1" applyBorder="1"/>
    <xf numFmtId="2" fontId="7" fillId="0" borderId="204" xfId="0" applyNumberFormat="1" applyFont="1" applyBorder="1"/>
    <xf numFmtId="2" fontId="9" fillId="0" borderId="42" xfId="0" applyNumberFormat="1" applyFont="1" applyBorder="1"/>
    <xf numFmtId="3" fontId="7" fillId="0" borderId="201" xfId="0" applyNumberFormat="1" applyFont="1" applyBorder="1" applyAlignment="1">
      <alignment horizontal="right" wrapText="1"/>
    </xf>
    <xf numFmtId="3" fontId="9" fillId="0" borderId="102" xfId="0" applyNumberFormat="1" applyFont="1" applyBorder="1" applyAlignment="1">
      <alignment horizontal="right"/>
    </xf>
    <xf numFmtId="3" fontId="9" fillId="0" borderId="56" xfId="0" applyNumberFormat="1" applyFont="1" applyBorder="1" applyAlignment="1">
      <alignment horizontal="right"/>
    </xf>
    <xf numFmtId="3" fontId="9" fillId="0" borderId="32" xfId="0" applyNumberFormat="1" applyFont="1" applyBorder="1" applyAlignment="1">
      <alignment horizontal="right"/>
    </xf>
    <xf numFmtId="3" fontId="9" fillId="0" borderId="55" xfId="0" applyNumberFormat="1" applyFont="1" applyBorder="1" applyAlignment="1">
      <alignment horizontal="right"/>
    </xf>
    <xf numFmtId="3" fontId="9" fillId="0" borderId="142" xfId="0" applyNumberFormat="1" applyFont="1" applyBorder="1" applyAlignment="1">
      <alignment horizontal="right"/>
    </xf>
    <xf numFmtId="3" fontId="9" fillId="0" borderId="74" xfId="0" applyNumberFormat="1" applyFont="1" applyBorder="1" applyAlignment="1">
      <alignment horizontal="right"/>
    </xf>
    <xf numFmtId="2" fontId="11" fillId="0" borderId="47" xfId="0" applyNumberFormat="1" applyFont="1" applyBorder="1" applyAlignment="1">
      <alignment horizontal="right"/>
    </xf>
    <xf numFmtId="2" fontId="11" fillId="0" borderId="131" xfId="0" applyNumberFormat="1" applyFont="1" applyBorder="1" applyAlignment="1">
      <alignment horizontal="right"/>
    </xf>
    <xf numFmtId="2" fontId="11" fillId="0" borderId="206" xfId="0" applyNumberFormat="1" applyFont="1" applyBorder="1" applyAlignment="1">
      <alignment horizontal="right"/>
    </xf>
    <xf numFmtId="2" fontId="11" fillId="0" borderId="193" xfId="0" applyNumberFormat="1" applyFont="1" applyBorder="1" applyAlignment="1">
      <alignment horizontal="right"/>
    </xf>
    <xf numFmtId="2" fontId="11" fillId="0" borderId="148" xfId="0" applyNumberFormat="1" applyFont="1" applyBorder="1" applyAlignment="1">
      <alignment horizontal="right"/>
    </xf>
    <xf numFmtId="2" fontId="11" fillId="0" borderId="149" xfId="0" applyNumberFormat="1" applyFont="1" applyBorder="1" applyAlignment="1">
      <alignment horizontal="right"/>
    </xf>
    <xf numFmtId="2" fontId="11" fillId="0" borderId="46" xfId="0" applyNumberFormat="1" applyFont="1" applyBorder="1" applyAlignment="1">
      <alignment horizontal="right"/>
    </xf>
    <xf numFmtId="2" fontId="11" fillId="0" borderId="133" xfId="0" applyNumberFormat="1" applyFont="1" applyBorder="1" applyAlignment="1">
      <alignment horizontal="right"/>
    </xf>
    <xf numFmtId="2" fontId="11" fillId="0" borderId="166" xfId="0" applyNumberFormat="1" applyFont="1" applyBorder="1" applyAlignment="1">
      <alignment horizontal="right"/>
    </xf>
    <xf numFmtId="2" fontId="11" fillId="0" borderId="135" xfId="0" applyNumberFormat="1" applyFont="1" applyBorder="1" applyAlignment="1">
      <alignment horizontal="right"/>
    </xf>
    <xf numFmtId="3" fontId="9" fillId="0" borderId="140" xfId="0" applyNumberFormat="1" applyFont="1" applyBorder="1" applyAlignment="1">
      <alignment horizontal="right" wrapText="1"/>
    </xf>
    <xf numFmtId="3" fontId="9" fillId="0" borderId="9" xfId="0" applyNumberFormat="1" applyFont="1" applyBorder="1" applyAlignment="1">
      <alignment horizontal="right" wrapText="1"/>
    </xf>
    <xf numFmtId="3" fontId="9" fillId="0" borderId="6" xfId="0" applyNumberFormat="1" applyFont="1" applyBorder="1" applyAlignment="1">
      <alignment horizontal="right" wrapText="1"/>
    </xf>
    <xf numFmtId="9" fontId="11" fillId="0" borderId="9" xfId="5" applyFont="1" applyBorder="1" applyAlignment="1">
      <alignment horizontal="right" wrapText="1"/>
    </xf>
    <xf numFmtId="2" fontId="9" fillId="0" borderId="21" xfId="0" applyNumberFormat="1" applyFont="1" applyBorder="1"/>
    <xf numFmtId="2" fontId="9" fillId="0" borderId="22" xfId="0" applyNumberFormat="1" applyFont="1" applyBorder="1"/>
    <xf numFmtId="2" fontId="9" fillId="0" borderId="14" xfId="0" applyNumberFormat="1" applyFont="1" applyBorder="1"/>
    <xf numFmtId="9" fontId="11" fillId="0" borderId="0" xfId="5" applyFont="1" applyBorder="1" applyAlignment="1">
      <alignment horizontal="right" wrapText="1"/>
    </xf>
    <xf numFmtId="2" fontId="11" fillId="0" borderId="65" xfId="0" applyNumberFormat="1" applyFont="1" applyBorder="1" applyAlignment="1">
      <alignment horizontal="right"/>
    </xf>
    <xf numFmtId="2" fontId="10" fillId="0" borderId="204" xfId="0" applyNumberFormat="1" applyFont="1" applyBorder="1" applyAlignment="1">
      <alignment horizontal="right" wrapText="1"/>
    </xf>
    <xf numFmtId="2" fontId="10" fillId="0" borderId="13" xfId="0" applyNumberFormat="1" applyFont="1" applyBorder="1" applyAlignment="1">
      <alignment horizontal="right" wrapText="1"/>
    </xf>
    <xf numFmtId="2" fontId="7" fillId="0" borderId="60" xfId="0" applyNumberFormat="1" applyFont="1" applyBorder="1"/>
    <xf numFmtId="0" fontId="7" fillId="0" borderId="82" xfId="0" applyFont="1" applyBorder="1"/>
    <xf numFmtId="2" fontId="7" fillId="0" borderId="1" xfId="0" applyNumberFormat="1" applyFont="1" applyBorder="1" applyAlignment="1">
      <alignment horizontal="right" wrapText="1"/>
    </xf>
    <xf numFmtId="2" fontId="7" fillId="0" borderId="15" xfId="0" applyNumberFormat="1" applyFont="1" applyBorder="1" applyAlignment="1">
      <alignment horizontal="right" wrapText="1"/>
    </xf>
    <xf numFmtId="2" fontId="7" fillId="0" borderId="7" xfId="0" applyNumberFormat="1" applyFont="1" applyBorder="1" applyAlignment="1">
      <alignment horizontal="right" wrapText="1"/>
    </xf>
    <xf numFmtId="4" fontId="9" fillId="0" borderId="38" xfId="0" applyNumberFormat="1" applyFont="1" applyBorder="1"/>
    <xf numFmtId="4" fontId="9" fillId="0" borderId="192" xfId="0" applyNumberFormat="1" applyFont="1" applyBorder="1"/>
    <xf numFmtId="2" fontId="9" fillId="0" borderId="19" xfId="0" applyNumberFormat="1" applyFont="1" applyBorder="1" applyAlignment="1">
      <alignment horizontal="right" wrapText="1"/>
    </xf>
    <xf numFmtId="2" fontId="9" fillId="0" borderId="20" xfId="0" applyNumberFormat="1" applyFont="1" applyBorder="1" applyAlignment="1">
      <alignment horizontal="right" wrapText="1"/>
    </xf>
    <xf numFmtId="4" fontId="7" fillId="0" borderId="184" xfId="0" applyNumberFormat="1" applyFont="1" applyBorder="1"/>
    <xf numFmtId="2" fontId="7" fillId="0" borderId="196" xfId="0" applyNumberFormat="1" applyFont="1" applyBorder="1" applyAlignment="1">
      <alignment horizontal="right" wrapText="1"/>
    </xf>
    <xf numFmtId="4" fontId="9" fillId="0" borderId="182" xfId="0" applyNumberFormat="1" applyFont="1" applyBorder="1"/>
    <xf numFmtId="2" fontId="9" fillId="0" borderId="183" xfId="0" applyNumberFormat="1" applyFont="1" applyBorder="1" applyAlignment="1">
      <alignment horizontal="right" wrapText="1"/>
    </xf>
    <xf numFmtId="0" fontId="7" fillId="0" borderId="181" xfId="0" applyFont="1" applyBorder="1"/>
    <xf numFmtId="0" fontId="7" fillId="0" borderId="185" xfId="0" applyFont="1" applyBorder="1"/>
    <xf numFmtId="4" fontId="7" fillId="0" borderId="190" xfId="0" applyNumberFormat="1" applyFont="1" applyBorder="1"/>
    <xf numFmtId="0" fontId="7" fillId="0" borderId="101" xfId="0" applyFont="1" applyBorder="1"/>
    <xf numFmtId="2" fontId="7" fillId="0" borderId="24" xfId="0" applyNumberFormat="1" applyFont="1" applyBorder="1" applyAlignment="1">
      <alignment horizontal="right" wrapText="1"/>
    </xf>
    <xf numFmtId="2" fontId="7" fillId="0" borderId="57" xfId="0" applyNumberFormat="1" applyFont="1" applyBorder="1" applyAlignment="1">
      <alignment horizontal="right" wrapText="1"/>
    </xf>
    <xf numFmtId="2" fontId="7" fillId="0" borderId="200" xfId="0" applyNumberFormat="1" applyFont="1" applyBorder="1" applyAlignment="1">
      <alignment horizontal="right" wrapText="1"/>
    </xf>
    <xf numFmtId="4" fontId="7" fillId="0" borderId="76" xfId="0" applyNumberFormat="1" applyFont="1" applyBorder="1"/>
    <xf numFmtId="4" fontId="7" fillId="0" borderId="108" xfId="0" applyNumberFormat="1" applyFont="1" applyBorder="1"/>
    <xf numFmtId="2" fontId="7" fillId="0" borderId="51" xfId="0" applyNumberFormat="1" applyFont="1" applyBorder="1" applyAlignment="1">
      <alignment horizontal="right" wrapText="1"/>
    </xf>
    <xf numFmtId="2" fontId="7" fillId="0" borderId="76" xfId="0" applyNumberFormat="1" applyFont="1" applyBorder="1" applyAlignment="1">
      <alignment horizontal="right" wrapText="1"/>
    </xf>
    <xf numFmtId="2" fontId="7" fillId="0" borderId="136" xfId="0" applyNumberFormat="1" applyFont="1" applyBorder="1" applyAlignment="1">
      <alignment horizontal="right" wrapText="1"/>
    </xf>
    <xf numFmtId="2" fontId="7" fillId="0" borderId="4" xfId="0" applyNumberFormat="1" applyFont="1" applyBorder="1" applyAlignment="1">
      <alignment horizontal="right" wrapText="1"/>
    </xf>
    <xf numFmtId="4" fontId="9" fillId="0" borderId="138" xfId="0" applyNumberFormat="1" applyFont="1" applyBorder="1"/>
    <xf numFmtId="4" fontId="9" fillId="0" borderId="50" xfId="0" applyNumberFormat="1" applyFont="1" applyBorder="1"/>
    <xf numFmtId="2" fontId="9" fillId="0" borderId="64" xfId="0" applyNumberFormat="1" applyFont="1" applyBorder="1" applyAlignment="1">
      <alignment horizontal="right" wrapText="1"/>
    </xf>
    <xf numFmtId="2" fontId="9" fillId="0" borderId="68" xfId="0" applyNumberFormat="1" applyFont="1" applyBorder="1" applyAlignment="1">
      <alignment horizontal="right" wrapText="1"/>
    </xf>
    <xf numFmtId="2" fontId="9" fillId="0" borderId="75" xfId="0" applyNumberFormat="1" applyFont="1" applyBorder="1" applyAlignment="1">
      <alignment horizontal="right" wrapText="1"/>
    </xf>
    <xf numFmtId="2" fontId="9" fillId="0" borderId="139" xfId="0" applyNumberFormat="1" applyFont="1" applyBorder="1" applyAlignment="1">
      <alignment horizontal="right" wrapText="1"/>
    </xf>
    <xf numFmtId="2" fontId="9" fillId="0" borderId="50" xfId="0" applyNumberFormat="1" applyFont="1" applyBorder="1" applyAlignment="1">
      <alignment horizontal="right" wrapText="1"/>
    </xf>
    <xf numFmtId="0" fontId="7" fillId="0" borderId="81" xfId="0" applyFont="1" applyBorder="1"/>
    <xf numFmtId="0" fontId="9" fillId="0" borderId="101" xfId="0" applyFont="1" applyBorder="1"/>
    <xf numFmtId="4" fontId="9" fillId="0" borderId="0" xfId="0" applyNumberFormat="1" applyFont="1"/>
    <xf numFmtId="4" fontId="9" fillId="0" borderId="57" xfId="0" applyNumberFormat="1" applyFont="1" applyBorder="1"/>
    <xf numFmtId="4" fontId="9" fillId="0" borderId="199" xfId="0" applyNumberFormat="1" applyFont="1" applyBorder="1"/>
    <xf numFmtId="4" fontId="9" fillId="0" borderId="27" xfId="0" applyNumberFormat="1" applyFont="1" applyBorder="1"/>
    <xf numFmtId="4" fontId="9" fillId="0" borderId="30" xfId="0" applyNumberFormat="1" applyFont="1" applyBorder="1"/>
    <xf numFmtId="2" fontId="9" fillId="0" borderId="24" xfId="0" applyNumberFormat="1" applyFont="1" applyBorder="1" applyAlignment="1">
      <alignment horizontal="right" wrapText="1"/>
    </xf>
    <xf numFmtId="2" fontId="9" fillId="0" borderId="57" xfId="0" applyNumberFormat="1" applyFont="1" applyBorder="1" applyAlignment="1">
      <alignment horizontal="right" wrapText="1"/>
    </xf>
    <xf numFmtId="2" fontId="9" fillId="0" borderId="117" xfId="0" applyNumberFormat="1" applyFont="1" applyBorder="1" applyAlignment="1">
      <alignment horizontal="right" wrapText="1"/>
    </xf>
    <xf numFmtId="2" fontId="9" fillId="0" borderId="200" xfId="0" applyNumberFormat="1" applyFont="1" applyBorder="1" applyAlignment="1">
      <alignment horizontal="right" wrapText="1"/>
    </xf>
    <xf numFmtId="2" fontId="9" fillId="0" borderId="38" xfId="0" applyNumberFormat="1" applyFont="1" applyBorder="1" applyAlignment="1">
      <alignment horizontal="right" wrapText="1"/>
    </xf>
    <xf numFmtId="9" fontId="8" fillId="0" borderId="25" xfId="5" applyFont="1" applyBorder="1" applyAlignment="1">
      <alignment horizontal="right"/>
    </xf>
    <xf numFmtId="4" fontId="9" fillId="0" borderId="133" xfId="0" applyNumberFormat="1" applyFont="1" applyBorder="1"/>
    <xf numFmtId="4" fontId="9" fillId="0" borderId="87" xfId="0" applyNumberFormat="1" applyFont="1" applyBorder="1"/>
    <xf numFmtId="4" fontId="9" fillId="0" borderId="207" xfId="0" applyNumberFormat="1" applyFont="1" applyBorder="1"/>
    <xf numFmtId="4" fontId="9" fillId="0" borderId="132" xfId="0" applyNumberFormat="1" applyFont="1" applyBorder="1"/>
    <xf numFmtId="4" fontId="9" fillId="0" borderId="149" xfId="0" applyNumberFormat="1" applyFont="1" applyBorder="1"/>
    <xf numFmtId="2" fontId="9" fillId="0" borderId="72" xfId="0" applyNumberFormat="1" applyFont="1" applyBorder="1" applyAlignment="1">
      <alignment horizontal="right" wrapText="1"/>
    </xf>
    <xf numFmtId="2" fontId="9" fillId="0" borderId="87" xfId="0" applyNumberFormat="1" applyFont="1" applyBorder="1" applyAlignment="1">
      <alignment horizontal="right" wrapText="1"/>
    </xf>
    <xf numFmtId="2" fontId="9" fillId="0" borderId="148" xfId="0" applyNumberFormat="1" applyFont="1" applyBorder="1" applyAlignment="1">
      <alignment horizontal="right" wrapText="1"/>
    </xf>
    <xf numFmtId="2" fontId="9" fillId="0" borderId="208" xfId="0" applyNumberFormat="1" applyFont="1" applyBorder="1" applyAlignment="1">
      <alignment horizontal="right" wrapText="1"/>
    </xf>
    <xf numFmtId="2" fontId="9" fillId="0" borderId="131" xfId="0" applyNumberFormat="1" applyFont="1" applyBorder="1" applyAlignment="1">
      <alignment horizontal="right" wrapText="1"/>
    </xf>
    <xf numFmtId="9" fontId="8" fillId="0" borderId="74" xfId="5" applyFont="1" applyBorder="1" applyAlignment="1">
      <alignment horizontal="right"/>
    </xf>
    <xf numFmtId="4" fontId="8" fillId="0" borderId="80" xfId="0" applyNumberFormat="1" applyFont="1" applyBorder="1"/>
    <xf numFmtId="2" fontId="9" fillId="0" borderId="80" xfId="0" applyNumberFormat="1" applyFont="1" applyBorder="1"/>
    <xf numFmtId="2" fontId="9" fillId="0" borderId="87" xfId="0" applyNumberFormat="1" applyFont="1" applyBorder="1"/>
    <xf numFmtId="2" fontId="9" fillId="0" borderId="207" xfId="0" applyNumberFormat="1" applyFont="1" applyBorder="1"/>
    <xf numFmtId="2" fontId="9" fillId="0" borderId="72" xfId="0" applyNumberFormat="1" applyFont="1" applyBorder="1"/>
    <xf numFmtId="2" fontId="9" fillId="0" borderId="149" xfId="0" applyNumberFormat="1" applyFont="1" applyBorder="1"/>
    <xf numFmtId="2" fontId="9" fillId="0" borderId="133" xfId="0" applyNumberFormat="1" applyFont="1" applyBorder="1"/>
    <xf numFmtId="0" fontId="7" fillId="0" borderId="27" xfId="0" applyFont="1" applyBorder="1" applyAlignment="1">
      <alignment horizontal="center"/>
    </xf>
    <xf numFmtId="0" fontId="7" fillId="0" borderId="37" xfId="0" applyFont="1" applyBorder="1" applyAlignment="1">
      <alignment horizontal="center"/>
    </xf>
    <xf numFmtId="0" fontId="7" fillId="0" borderId="181" xfId="0" applyFont="1" applyBorder="1" applyAlignment="1">
      <alignment horizontal="center"/>
    </xf>
    <xf numFmtId="0" fontId="7" fillId="0" borderId="59" xfId="0" applyFont="1" applyBorder="1" applyAlignment="1">
      <alignment horizontal="center"/>
    </xf>
    <xf numFmtId="2" fontId="7" fillId="0" borderId="51" xfId="0" applyNumberFormat="1" applyFont="1" applyBorder="1" applyAlignment="1">
      <alignment horizontal="right"/>
    </xf>
    <xf numFmtId="2" fontId="7" fillId="0" borderId="76" xfId="0" applyNumberFormat="1" applyFont="1" applyBorder="1" applyAlignment="1">
      <alignment horizontal="right"/>
    </xf>
    <xf numFmtId="2" fontId="7" fillId="0" borderId="136" xfId="0" applyNumberFormat="1" applyFont="1" applyBorder="1" applyAlignment="1">
      <alignment horizontal="right"/>
    </xf>
    <xf numFmtId="4" fontId="9" fillId="0" borderId="107" xfId="0" applyNumberFormat="1" applyFont="1" applyBorder="1"/>
    <xf numFmtId="4" fontId="9" fillId="0" borderId="198" xfId="0" applyNumberFormat="1" applyFont="1" applyBorder="1"/>
    <xf numFmtId="4" fontId="9" fillId="0" borderId="197" xfId="0" applyNumberFormat="1" applyFont="1" applyBorder="1"/>
    <xf numFmtId="4" fontId="9" fillId="0" borderId="34" xfId="0" applyNumberFormat="1" applyFont="1" applyBorder="1"/>
    <xf numFmtId="4" fontId="9" fillId="0" borderId="62" xfId="0" applyNumberFormat="1" applyFont="1" applyBorder="1"/>
    <xf numFmtId="2" fontId="9" fillId="0" borderId="62" xfId="0" applyNumberFormat="1" applyFont="1" applyBorder="1" applyAlignment="1">
      <alignment horizontal="right" wrapText="1"/>
    </xf>
    <xf numFmtId="2" fontId="9" fillId="0" borderId="62" xfId="0" applyNumberFormat="1" applyFont="1" applyBorder="1" applyAlignment="1">
      <alignment horizontal="right"/>
    </xf>
    <xf numFmtId="2" fontId="9" fillId="0" borderId="115" xfId="0" applyNumberFormat="1" applyFont="1" applyBorder="1" applyAlignment="1">
      <alignment horizontal="right" wrapText="1"/>
    </xf>
    <xf numFmtId="2" fontId="9" fillId="0" borderId="115" xfId="0" applyNumberFormat="1" applyFont="1" applyBorder="1" applyAlignment="1">
      <alignment horizontal="right"/>
    </xf>
    <xf numFmtId="2" fontId="9" fillId="0" borderId="192" xfId="0" applyNumberFormat="1" applyFont="1" applyBorder="1" applyAlignment="1">
      <alignment horizontal="right" wrapText="1"/>
    </xf>
    <xf numFmtId="2" fontId="9" fillId="0" borderId="43" xfId="0" applyNumberFormat="1" applyFont="1" applyBorder="1" applyAlignment="1">
      <alignment horizontal="right" wrapText="1"/>
    </xf>
    <xf numFmtId="4" fontId="9" fillId="0" borderId="131" xfId="0" applyNumberFormat="1" applyFont="1" applyBorder="1"/>
    <xf numFmtId="2" fontId="9" fillId="0" borderId="131" xfId="0" applyNumberFormat="1" applyFont="1" applyBorder="1"/>
    <xf numFmtId="4" fontId="9" fillId="0" borderId="116" xfId="0" applyNumberFormat="1" applyFont="1" applyBorder="1"/>
    <xf numFmtId="4" fontId="9" fillId="0" borderId="117" xfId="0" applyNumberFormat="1" applyFont="1" applyBorder="1"/>
    <xf numFmtId="4" fontId="7" fillId="0" borderId="205" xfId="0" applyNumberFormat="1" applyFont="1" applyBorder="1"/>
    <xf numFmtId="4" fontId="9" fillId="0" borderId="41" xfId="0" applyNumberFormat="1" applyFont="1" applyBorder="1"/>
    <xf numFmtId="4" fontId="9" fillId="0" borderId="43" xfId="0" applyNumberFormat="1" applyFont="1" applyBorder="1"/>
    <xf numFmtId="2" fontId="7" fillId="0" borderId="205" xfId="0" applyNumberFormat="1" applyFont="1" applyBorder="1" applyAlignment="1">
      <alignment horizontal="right" wrapText="1"/>
    </xf>
    <xf numFmtId="2" fontId="7" fillId="0" borderId="209" xfId="0" applyNumberFormat="1" applyFont="1" applyBorder="1" applyAlignment="1">
      <alignment horizontal="right" wrapText="1"/>
    </xf>
    <xf numFmtId="4" fontId="9" fillId="0" borderId="69" xfId="0" applyNumberFormat="1" applyFont="1" applyBorder="1"/>
    <xf numFmtId="4" fontId="9" fillId="0" borderId="75" xfId="0" applyNumberFormat="1" applyFont="1" applyBorder="1"/>
    <xf numFmtId="2" fontId="9" fillId="0" borderId="64" xfId="0" applyNumberFormat="1" applyFont="1" applyBorder="1" applyAlignment="1">
      <alignment horizontal="right"/>
    </xf>
    <xf numFmtId="2" fontId="9" fillId="0" borderId="68" xfId="0" applyNumberFormat="1" applyFont="1" applyBorder="1" applyAlignment="1">
      <alignment horizontal="right"/>
    </xf>
    <xf numFmtId="2" fontId="9" fillId="0" borderId="75" xfId="0" applyNumberFormat="1" applyFont="1" applyBorder="1" applyAlignment="1">
      <alignment horizontal="right"/>
    </xf>
    <xf numFmtId="2" fontId="9" fillId="0" borderId="139" xfId="0" applyNumberFormat="1" applyFont="1" applyBorder="1" applyAlignment="1">
      <alignment horizontal="right"/>
    </xf>
    <xf numFmtId="2" fontId="9" fillId="0" borderId="50" xfId="0" applyNumberFormat="1" applyFont="1" applyBorder="1" applyAlignment="1">
      <alignment horizontal="right"/>
    </xf>
    <xf numFmtId="0" fontId="7" fillId="0" borderId="28" xfId="0" applyFont="1" applyBorder="1" applyAlignment="1">
      <alignment horizontal="center"/>
    </xf>
    <xf numFmtId="2" fontId="7" fillId="0" borderId="205" xfId="0" applyNumberFormat="1" applyFont="1" applyBorder="1" applyAlignment="1">
      <alignment horizontal="right"/>
    </xf>
    <xf numFmtId="2" fontId="9" fillId="0" borderId="43" xfId="0" applyNumberFormat="1" applyFont="1" applyBorder="1" applyAlignment="1">
      <alignment horizontal="right"/>
    </xf>
    <xf numFmtId="2" fontId="7" fillId="0" borderId="209" xfId="0" applyNumberFormat="1" applyFont="1" applyBorder="1" applyAlignment="1">
      <alignment horizontal="right"/>
    </xf>
    <xf numFmtId="9" fontId="6" fillId="0" borderId="5" xfId="5" applyFont="1" applyBorder="1" applyAlignment="1">
      <alignment horizontal="right"/>
    </xf>
    <xf numFmtId="2" fontId="11" fillId="0" borderId="0" xfId="0" applyNumberFormat="1" applyFont="1" applyAlignment="1">
      <alignment horizontal="right" wrapText="1"/>
    </xf>
    <xf numFmtId="9" fontId="10" fillId="0" borderId="181" xfId="5" applyFont="1" applyBorder="1" applyAlignment="1">
      <alignment horizontal="right" wrapText="1"/>
    </xf>
    <xf numFmtId="9" fontId="10" fillId="0" borderId="101" xfId="5" applyFont="1" applyBorder="1" applyAlignment="1">
      <alignment horizontal="right" wrapText="1"/>
    </xf>
    <xf numFmtId="9" fontId="11" fillId="0" borderId="101" xfId="5" applyFont="1" applyBorder="1" applyAlignment="1">
      <alignment horizontal="right" wrapText="1"/>
    </xf>
    <xf numFmtId="2" fontId="11" fillId="0" borderId="24" xfId="0" applyNumberFormat="1" applyFont="1" applyBorder="1" applyAlignment="1">
      <alignment horizontal="right" wrapText="1"/>
    </xf>
    <xf numFmtId="2" fontId="11" fillId="0" borderId="30" xfId="0" applyNumberFormat="1" applyFont="1" applyBorder="1" applyAlignment="1">
      <alignment horizontal="right" wrapText="1"/>
    </xf>
    <xf numFmtId="9" fontId="11" fillId="0" borderId="142" xfId="5" applyFont="1" applyBorder="1" applyAlignment="1">
      <alignment horizontal="right" wrapText="1"/>
    </xf>
    <xf numFmtId="2" fontId="11" fillId="0" borderId="72" xfId="0" applyNumberFormat="1" applyFont="1" applyBorder="1" applyAlignment="1">
      <alignment horizontal="right" wrapText="1"/>
    </xf>
    <xf numFmtId="2" fontId="11" fillId="0" borderId="149" xfId="0" applyNumberFormat="1" applyFont="1" applyBorder="1" applyAlignment="1">
      <alignment horizontal="right" wrapText="1"/>
    </xf>
    <xf numFmtId="2" fontId="9" fillId="0" borderId="30" xfId="0" applyNumberFormat="1" applyFont="1" applyBorder="1" applyAlignment="1">
      <alignment horizontal="right" wrapText="1"/>
    </xf>
    <xf numFmtId="2" fontId="9" fillId="0" borderId="70" xfId="0" applyNumberFormat="1" applyFont="1" applyBorder="1" applyAlignment="1">
      <alignment horizontal="right" wrapText="1"/>
    </xf>
    <xf numFmtId="2" fontId="7" fillId="0" borderId="35" xfId="0" applyNumberFormat="1" applyFont="1" applyBorder="1" applyAlignment="1">
      <alignment horizontal="right" wrapText="1"/>
    </xf>
    <xf numFmtId="2" fontId="7" fillId="0" borderId="13" xfId="0" applyNumberFormat="1" applyFont="1" applyBorder="1" applyAlignment="1">
      <alignment horizontal="right" wrapText="1"/>
    </xf>
    <xf numFmtId="2" fontId="9" fillId="0" borderId="42" xfId="0" applyNumberFormat="1" applyFont="1" applyBorder="1" applyAlignment="1">
      <alignment horizontal="right" wrapText="1"/>
    </xf>
    <xf numFmtId="2" fontId="7" fillId="0" borderId="108" xfId="0" applyNumberFormat="1" applyFont="1" applyBorder="1" applyAlignment="1">
      <alignment horizontal="right" wrapText="1"/>
    </xf>
    <xf numFmtId="2" fontId="7" fillId="0" borderId="184" xfId="0" applyNumberFormat="1" applyFont="1" applyBorder="1" applyAlignment="1">
      <alignment horizontal="right" wrapText="1"/>
    </xf>
    <xf numFmtId="2" fontId="9" fillId="0" borderId="149" xfId="0" applyNumberFormat="1" applyFont="1" applyBorder="1" applyAlignment="1">
      <alignment horizontal="right" wrapText="1"/>
    </xf>
    <xf numFmtId="2" fontId="7" fillId="0" borderId="204" xfId="0" applyNumberFormat="1" applyFont="1" applyBorder="1" applyAlignment="1">
      <alignment horizontal="right" wrapText="1"/>
    </xf>
    <xf numFmtId="9" fontId="9" fillId="0" borderId="142" xfId="5" applyFont="1" applyBorder="1"/>
    <xf numFmtId="9" fontId="10" fillId="0" borderId="25" xfId="5" applyFont="1" applyBorder="1" applyAlignment="1">
      <alignment horizontal="right" wrapText="1"/>
    </xf>
    <xf numFmtId="2" fontId="9" fillId="0" borderId="117" xfId="0" applyNumberFormat="1" applyFont="1" applyBorder="1"/>
    <xf numFmtId="2" fontId="11" fillId="0" borderId="117" xfId="0" applyNumberFormat="1" applyFont="1" applyBorder="1" applyAlignment="1">
      <alignment horizontal="right" wrapText="1"/>
    </xf>
    <xf numFmtId="9" fontId="11" fillId="0" borderId="25" xfId="5" applyFont="1" applyBorder="1" applyAlignment="1">
      <alignment horizontal="right" wrapText="1"/>
    </xf>
    <xf numFmtId="2" fontId="9" fillId="0" borderId="192" xfId="0" applyNumberFormat="1" applyFont="1" applyBorder="1"/>
    <xf numFmtId="2" fontId="7" fillId="0" borderId="26" xfId="0" applyNumberFormat="1" applyFont="1" applyBorder="1"/>
    <xf numFmtId="0" fontId="6" fillId="0" borderId="0" xfId="0" applyFont="1" applyAlignment="1">
      <alignment wrapText="1"/>
    </xf>
    <xf numFmtId="3" fontId="11" fillId="0" borderId="67" xfId="0" applyNumberFormat="1" applyFont="1" applyBorder="1" applyAlignment="1">
      <alignment horizontal="right"/>
    </xf>
    <xf numFmtId="164" fontId="31" fillId="0" borderId="0" xfId="0" applyNumberFormat="1" applyFont="1"/>
    <xf numFmtId="0" fontId="7" fillId="0" borderId="49" xfId="0" applyFont="1" applyBorder="1"/>
    <xf numFmtId="2" fontId="11" fillId="0" borderId="183" xfId="0" applyNumberFormat="1" applyFont="1" applyBorder="1" applyAlignment="1">
      <alignment horizontal="right" wrapText="1"/>
    </xf>
    <xf numFmtId="2" fontId="9" fillId="0" borderId="148" xfId="0" applyNumberFormat="1" applyFont="1" applyBorder="1"/>
    <xf numFmtId="2" fontId="11" fillId="0" borderId="148" xfId="0" applyNumberFormat="1" applyFont="1" applyBorder="1" applyAlignment="1">
      <alignment horizontal="right" wrapText="1"/>
    </xf>
    <xf numFmtId="3" fontId="11" fillId="0" borderId="26" xfId="0" applyNumberFormat="1" applyFont="1" applyBorder="1" applyAlignment="1">
      <alignment horizontal="right" wrapText="1"/>
    </xf>
    <xf numFmtId="3" fontId="11" fillId="0" borderId="23" xfId="0" applyNumberFormat="1" applyFont="1" applyBorder="1" applyAlignment="1">
      <alignment horizontal="right" wrapText="1"/>
    </xf>
    <xf numFmtId="0" fontId="7" fillId="0" borderId="63" xfId="0" applyFont="1" applyBorder="1"/>
    <xf numFmtId="3" fontId="10" fillId="0" borderId="201" xfId="0" applyNumberFormat="1" applyFont="1" applyBorder="1" applyAlignment="1">
      <alignment horizontal="right" wrapText="1"/>
    </xf>
    <xf numFmtId="9" fontId="10" fillId="0" borderId="202" xfId="5" applyFont="1" applyBorder="1" applyAlignment="1">
      <alignment horizontal="right" wrapText="1"/>
    </xf>
    <xf numFmtId="3" fontId="11" fillId="0" borderId="67" xfId="0" applyNumberFormat="1" applyFont="1" applyBorder="1" applyAlignment="1">
      <alignment horizontal="right" wrapText="1"/>
    </xf>
    <xf numFmtId="3" fontId="11" fillId="0" borderId="65" xfId="0" applyNumberFormat="1" applyFont="1" applyBorder="1" applyAlignment="1">
      <alignment horizontal="right" wrapText="1"/>
    </xf>
    <xf numFmtId="2" fontId="7" fillId="0" borderId="10" xfId="0" applyNumberFormat="1" applyFont="1" applyBorder="1" applyAlignment="1">
      <alignment horizontal="right" wrapText="1"/>
    </xf>
    <xf numFmtId="2" fontId="7" fillId="0" borderId="12" xfId="0" applyNumberFormat="1" applyFont="1" applyBorder="1" applyAlignment="1">
      <alignment horizontal="right" wrapText="1"/>
    </xf>
    <xf numFmtId="2" fontId="9" fillId="0" borderId="26" xfId="0" applyNumberFormat="1" applyFont="1" applyBorder="1"/>
    <xf numFmtId="2" fontId="9" fillId="0" borderId="26" xfId="0" applyNumberFormat="1" applyFont="1" applyBorder="1" applyAlignment="1">
      <alignment horizontal="right" wrapText="1"/>
    </xf>
    <xf numFmtId="2" fontId="7" fillId="0" borderId="60" xfId="0" applyNumberFormat="1" applyFont="1" applyBorder="1" applyAlignment="1">
      <alignment horizontal="right" wrapText="1"/>
    </xf>
    <xf numFmtId="2" fontId="9" fillId="0" borderId="67" xfId="0" applyNumberFormat="1" applyFont="1" applyBorder="1" applyAlignment="1">
      <alignment horizontal="right" wrapText="1"/>
    </xf>
    <xf numFmtId="2" fontId="7" fillId="0" borderId="30" xfId="0" applyNumberFormat="1" applyFont="1" applyBorder="1" applyAlignment="1">
      <alignment horizontal="right" wrapText="1"/>
    </xf>
    <xf numFmtId="2" fontId="7" fillId="0" borderId="26" xfId="0" applyNumberFormat="1" applyFont="1" applyBorder="1" applyAlignment="1">
      <alignment horizontal="right" wrapText="1"/>
    </xf>
    <xf numFmtId="2" fontId="9" fillId="0" borderId="67" xfId="0" applyNumberFormat="1" applyFont="1" applyBorder="1" applyAlignment="1">
      <alignment horizontal="right"/>
    </xf>
    <xf numFmtId="2" fontId="9" fillId="0" borderId="70" xfId="0" applyNumberFormat="1" applyFont="1" applyBorder="1" applyAlignment="1">
      <alignment horizontal="right"/>
    </xf>
    <xf numFmtId="2" fontId="11" fillId="0" borderId="26" xfId="0" applyNumberFormat="1" applyFont="1" applyBorder="1" applyAlignment="1">
      <alignment horizontal="right" wrapText="1"/>
    </xf>
    <xf numFmtId="2" fontId="11" fillId="0" borderId="57" xfId="0" applyNumberFormat="1" applyFont="1" applyBorder="1" applyAlignment="1">
      <alignment horizontal="right" wrapText="1"/>
    </xf>
    <xf numFmtId="9" fontId="11" fillId="0" borderId="140" xfId="5" applyFont="1" applyBorder="1" applyAlignment="1">
      <alignment horizontal="right" wrapText="1"/>
    </xf>
    <xf numFmtId="2" fontId="11" fillId="0" borderId="80" xfId="0" applyNumberFormat="1" applyFont="1" applyBorder="1" applyAlignment="1">
      <alignment horizontal="right" wrapText="1"/>
    </xf>
    <xf numFmtId="2" fontId="11" fillId="0" borderId="87" xfId="0" applyNumberFormat="1" applyFont="1" applyBorder="1" applyAlignment="1">
      <alignment horizontal="right" wrapText="1"/>
    </xf>
    <xf numFmtId="3" fontId="11" fillId="0" borderId="80" xfId="0" applyNumberFormat="1" applyFont="1" applyBorder="1" applyAlignment="1">
      <alignment horizontal="right" wrapText="1"/>
    </xf>
    <xf numFmtId="3" fontId="11" fillId="0" borderId="73" xfId="0" applyNumberFormat="1" applyFont="1" applyBorder="1" applyAlignment="1">
      <alignment horizontal="right" wrapText="1"/>
    </xf>
    <xf numFmtId="9" fontId="11" fillId="0" borderId="74" xfId="5" applyFont="1" applyBorder="1" applyAlignment="1">
      <alignment horizontal="right" wrapText="1"/>
    </xf>
    <xf numFmtId="3" fontId="9" fillId="0" borderId="142" xfId="0" applyNumberFormat="1" applyFont="1" applyBorder="1" applyAlignment="1">
      <alignment horizontal="right" wrapText="1"/>
    </xf>
    <xf numFmtId="2" fontId="8" fillId="0" borderId="191" xfId="0" applyNumberFormat="1" applyFont="1" applyBorder="1"/>
    <xf numFmtId="2" fontId="6" fillId="0" borderId="16" xfId="0" applyNumberFormat="1" applyFont="1" applyBorder="1"/>
    <xf numFmtId="2" fontId="6" fillId="0" borderId="136" xfId="0" applyNumberFormat="1" applyFont="1" applyBorder="1"/>
    <xf numFmtId="2" fontId="6" fillId="0" borderId="210" xfId="0" applyNumberFormat="1" applyFont="1" applyBorder="1"/>
    <xf numFmtId="0" fontId="7" fillId="0" borderId="98" xfId="0" applyFont="1" applyBorder="1"/>
    <xf numFmtId="0" fontId="7" fillId="0" borderId="42" xfId="0" applyFont="1" applyBorder="1"/>
    <xf numFmtId="2" fontId="7" fillId="0" borderId="11" xfId="0" applyNumberFormat="1" applyFont="1" applyBorder="1" applyAlignment="1">
      <alignment horizontal="right"/>
    </xf>
    <xf numFmtId="2" fontId="7" fillId="0" borderId="16" xfId="0" applyNumberFormat="1" applyFont="1" applyBorder="1" applyAlignment="1">
      <alignment horizontal="right"/>
    </xf>
    <xf numFmtId="2" fontId="9" fillId="0" borderId="39" xfId="0" applyNumberFormat="1" applyFont="1" applyBorder="1" applyAlignment="1">
      <alignment horizontal="right"/>
    </xf>
    <xf numFmtId="2" fontId="7" fillId="0" borderId="35" xfId="0" applyNumberFormat="1" applyFont="1" applyBorder="1" applyAlignment="1">
      <alignment horizontal="right"/>
    </xf>
    <xf numFmtId="2" fontId="7" fillId="0" borderId="13" xfId="0" applyNumberFormat="1" applyFont="1" applyBorder="1" applyAlignment="1">
      <alignment horizontal="right"/>
    </xf>
    <xf numFmtId="2" fontId="9" fillId="0" borderId="42" xfId="0" applyNumberFormat="1" applyFont="1" applyBorder="1" applyAlignment="1">
      <alignment horizontal="right"/>
    </xf>
    <xf numFmtId="2" fontId="7" fillId="0" borderId="11" xfId="0" applyNumberFormat="1" applyFont="1" applyBorder="1" applyAlignment="1">
      <alignment horizontal="right" wrapText="1"/>
    </xf>
    <xf numFmtId="2" fontId="7" fillId="0" borderId="16" xfId="0" applyNumberFormat="1" applyFont="1" applyBorder="1" applyAlignment="1">
      <alignment horizontal="right" wrapText="1"/>
    </xf>
    <xf numFmtId="2" fontId="9" fillId="0" borderId="39" xfId="0" applyNumberFormat="1" applyFont="1" applyBorder="1" applyAlignment="1">
      <alignment horizontal="right" wrapText="1"/>
    </xf>
    <xf numFmtId="0" fontId="9" fillId="0" borderId="38" xfId="0" applyFont="1" applyBorder="1"/>
    <xf numFmtId="2" fontId="9" fillId="0" borderId="26" xfId="0" applyNumberFormat="1" applyFont="1" applyBorder="1" applyAlignment="1">
      <alignment horizontal="right"/>
    </xf>
    <xf numFmtId="2" fontId="9" fillId="0" borderId="57" xfId="0" applyNumberFormat="1" applyFont="1" applyBorder="1" applyAlignment="1">
      <alignment horizontal="right"/>
    </xf>
    <xf numFmtId="2" fontId="9" fillId="0" borderId="117" xfId="0" applyNumberFormat="1" applyFont="1" applyBorder="1" applyAlignment="1">
      <alignment horizontal="right"/>
    </xf>
    <xf numFmtId="2" fontId="9" fillId="0" borderId="24" xfId="0" applyNumberFormat="1" applyFont="1" applyBorder="1" applyAlignment="1">
      <alignment horizontal="right"/>
    </xf>
    <xf numFmtId="2" fontId="9" fillId="0" borderId="30" xfId="0" applyNumberFormat="1" applyFont="1" applyBorder="1" applyAlignment="1">
      <alignment horizontal="right"/>
    </xf>
    <xf numFmtId="2" fontId="9" fillId="0" borderId="38" xfId="0" applyNumberFormat="1" applyFont="1" applyBorder="1" applyAlignment="1">
      <alignment horizontal="right"/>
    </xf>
    <xf numFmtId="2" fontId="7" fillId="0" borderId="60" xfId="0" applyNumberFormat="1" applyFont="1" applyBorder="1" applyAlignment="1">
      <alignment horizontal="right"/>
    </xf>
    <xf numFmtId="2" fontId="7" fillId="0" borderId="108" xfId="0" applyNumberFormat="1" applyFont="1" applyBorder="1" applyAlignment="1">
      <alignment horizontal="right"/>
    </xf>
    <xf numFmtId="2" fontId="7" fillId="0" borderId="204" xfId="0" applyNumberFormat="1" applyFont="1" applyBorder="1" applyAlignment="1">
      <alignment horizontal="right"/>
    </xf>
    <xf numFmtId="0" fontId="9" fillId="0" borderId="50" xfId="0" applyFont="1" applyBorder="1"/>
    <xf numFmtId="2" fontId="9" fillId="0" borderId="183" xfId="0" applyNumberFormat="1" applyFont="1" applyBorder="1" applyAlignment="1">
      <alignment horizontal="right"/>
    </xf>
    <xf numFmtId="2" fontId="7" fillId="0" borderId="184" xfId="0" applyNumberFormat="1" applyFont="1" applyBorder="1" applyAlignment="1">
      <alignment horizontal="right"/>
    </xf>
    <xf numFmtId="2" fontId="9" fillId="0" borderId="192" xfId="0" applyNumberFormat="1" applyFont="1" applyBorder="1" applyAlignment="1">
      <alignment horizontal="right"/>
    </xf>
    <xf numFmtId="2" fontId="9" fillId="0" borderId="191" xfId="0" applyNumberFormat="1" applyFont="1" applyBorder="1" applyAlignment="1">
      <alignment horizontal="right"/>
    </xf>
    <xf numFmtId="2" fontId="9" fillId="0" borderId="182" xfId="0" applyNumberFormat="1" applyFont="1" applyBorder="1" applyAlignment="1">
      <alignment horizontal="right"/>
    </xf>
    <xf numFmtId="2" fontId="7" fillId="0" borderId="26" xfId="0" applyNumberFormat="1" applyFont="1" applyBorder="1" applyAlignment="1">
      <alignment horizontal="right"/>
    </xf>
    <xf numFmtId="2" fontId="7" fillId="0" borderId="57" xfId="0" applyNumberFormat="1" applyFont="1" applyBorder="1" applyAlignment="1">
      <alignment horizontal="right"/>
    </xf>
    <xf numFmtId="2" fontId="7" fillId="0" borderId="24" xfId="0" applyNumberFormat="1" applyFont="1" applyBorder="1" applyAlignment="1">
      <alignment horizontal="right"/>
    </xf>
    <xf numFmtId="2" fontId="7" fillId="0" borderId="30" xfId="0" applyNumberFormat="1" applyFont="1" applyBorder="1" applyAlignment="1">
      <alignment horizontal="right"/>
    </xf>
    <xf numFmtId="2" fontId="9" fillId="0" borderId="116" xfId="0" applyNumberFormat="1" applyFont="1" applyBorder="1" applyAlignment="1">
      <alignment horizontal="right"/>
    </xf>
    <xf numFmtId="2" fontId="9" fillId="0" borderId="0" xfId="0" applyNumberFormat="1" applyFont="1" applyAlignment="1">
      <alignment horizontal="right" wrapText="1"/>
    </xf>
    <xf numFmtId="2" fontId="9" fillId="0" borderId="116" xfId="0" applyNumberFormat="1" applyFont="1" applyBorder="1" applyAlignment="1">
      <alignment horizontal="right" wrapText="1"/>
    </xf>
    <xf numFmtId="2" fontId="9" fillId="0" borderId="182" xfId="0" applyNumberFormat="1" applyFont="1" applyBorder="1" applyAlignment="1">
      <alignment horizontal="right" wrapText="1"/>
    </xf>
    <xf numFmtId="2" fontId="9" fillId="0" borderId="8" xfId="0" applyNumberFormat="1" applyFont="1" applyBorder="1" applyAlignment="1">
      <alignment horizontal="right" wrapText="1"/>
    </xf>
    <xf numFmtId="2" fontId="9" fillId="0" borderId="191" xfId="0" applyNumberFormat="1" applyFont="1" applyBorder="1" applyAlignment="1">
      <alignment horizontal="right" wrapText="1"/>
    </xf>
    <xf numFmtId="2" fontId="9" fillId="0" borderId="41" xfId="0" applyNumberFormat="1" applyFont="1" applyBorder="1" applyAlignment="1">
      <alignment horizontal="right" wrapText="1"/>
    </xf>
    <xf numFmtId="2" fontId="9" fillId="0" borderId="135" xfId="0" applyNumberFormat="1" applyFont="1" applyBorder="1" applyAlignment="1">
      <alignment horizontal="right" wrapText="1"/>
    </xf>
    <xf numFmtId="2" fontId="9" fillId="0" borderId="49" xfId="0" applyNumberFormat="1" applyFont="1" applyBorder="1" applyAlignment="1">
      <alignment horizontal="right"/>
    </xf>
    <xf numFmtId="2" fontId="9" fillId="0" borderId="69" xfId="0" applyNumberFormat="1" applyFont="1" applyBorder="1" applyAlignment="1">
      <alignment horizontal="right"/>
    </xf>
    <xf numFmtId="9" fontId="7" fillId="0" borderId="98" xfId="5" applyFont="1" applyFill="1" applyBorder="1"/>
    <xf numFmtId="9" fontId="9" fillId="0" borderId="101" xfId="5" applyFont="1" applyFill="1" applyBorder="1"/>
    <xf numFmtId="2" fontId="9" fillId="0" borderId="80" xfId="0" applyNumberFormat="1" applyFont="1" applyBorder="1" applyAlignment="1">
      <alignment horizontal="right" wrapText="1"/>
    </xf>
    <xf numFmtId="2" fontId="9" fillId="0" borderId="133" xfId="0" applyNumberFormat="1" applyFont="1" applyBorder="1" applyAlignment="1">
      <alignment horizontal="right" wrapText="1"/>
    </xf>
    <xf numFmtId="9" fontId="9" fillId="0" borderId="142" xfId="5" applyFont="1" applyFill="1" applyBorder="1"/>
    <xf numFmtId="2" fontId="10" fillId="0" borderId="26" xfId="0" applyNumberFormat="1" applyFont="1" applyBorder="1" applyAlignment="1">
      <alignment horizontal="right" wrapText="1"/>
    </xf>
    <xf numFmtId="2" fontId="9" fillId="0" borderId="61" xfId="0" applyNumberFormat="1" applyFont="1" applyBorder="1"/>
    <xf numFmtId="9" fontId="7" fillId="0" borderId="101" xfId="5" applyFont="1" applyBorder="1"/>
    <xf numFmtId="2" fontId="7" fillId="0" borderId="0" xfId="0" applyNumberFormat="1" applyFont="1" applyAlignment="1">
      <alignment horizontal="right" wrapText="1"/>
    </xf>
    <xf numFmtId="2" fontId="9" fillId="0" borderId="69" xfId="0" applyNumberFormat="1" applyFont="1" applyBorder="1" applyAlignment="1">
      <alignment horizontal="right" wrapText="1"/>
    </xf>
    <xf numFmtId="2" fontId="7" fillId="0" borderId="16" xfId="0" applyNumberFormat="1" applyFont="1" applyBorder="1"/>
    <xf numFmtId="2" fontId="7" fillId="0" borderId="11" xfId="0" applyNumberFormat="1" applyFont="1" applyBorder="1"/>
    <xf numFmtId="2" fontId="7" fillId="0" borderId="13" xfId="0" applyNumberFormat="1" applyFont="1" applyBorder="1"/>
    <xf numFmtId="2" fontId="9" fillId="0" borderId="36" xfId="0" applyNumberFormat="1" applyFont="1" applyBorder="1"/>
    <xf numFmtId="0" fontId="7" fillId="0" borderId="190" xfId="0" applyFont="1" applyBorder="1" applyAlignment="1">
      <alignment horizontal="center"/>
    </xf>
    <xf numFmtId="2" fontId="9" fillId="0" borderId="27" xfId="0" applyNumberFormat="1" applyFont="1" applyBorder="1"/>
    <xf numFmtId="2" fontId="9" fillId="0" borderId="48" xfId="0" applyNumberFormat="1" applyFont="1" applyBorder="1" applyAlignment="1">
      <alignment horizontal="right"/>
    </xf>
    <xf numFmtId="2" fontId="9" fillId="0" borderId="132" xfId="0" applyNumberFormat="1" applyFont="1" applyBorder="1"/>
    <xf numFmtId="2" fontId="9" fillId="0" borderId="132" xfId="0" applyNumberFormat="1" applyFont="1" applyBorder="1" applyAlignment="1">
      <alignment horizontal="right" wrapText="1"/>
    </xf>
    <xf numFmtId="2" fontId="9" fillId="0" borderId="138" xfId="0" applyNumberFormat="1" applyFont="1" applyBorder="1" applyAlignment="1">
      <alignment horizontal="right"/>
    </xf>
    <xf numFmtId="0" fontId="9" fillId="0" borderId="130" xfId="0" applyFont="1" applyBorder="1" applyAlignment="1">
      <alignment horizontal="center"/>
    </xf>
    <xf numFmtId="4" fontId="10" fillId="0" borderId="26" xfId="0" applyNumberFormat="1" applyFont="1" applyBorder="1" applyAlignment="1">
      <alignment horizontal="right" wrapText="1"/>
    </xf>
    <xf numFmtId="4" fontId="11" fillId="0" borderId="26" xfId="0" applyNumberFormat="1" applyFont="1" applyBorder="1" applyAlignment="1">
      <alignment horizontal="right" wrapText="1"/>
    </xf>
    <xf numFmtId="2" fontId="9" fillId="0" borderId="0" xfId="0" applyNumberFormat="1" applyFont="1" applyAlignment="1">
      <alignment horizontal="right"/>
    </xf>
    <xf numFmtId="2" fontId="9" fillId="0" borderId="9" xfId="0" applyNumberFormat="1" applyFont="1" applyBorder="1" applyAlignment="1">
      <alignment horizontal="right"/>
    </xf>
    <xf numFmtId="2" fontId="9" fillId="0" borderId="40" xfId="0" applyNumberFormat="1" applyFont="1" applyBorder="1" applyAlignment="1">
      <alignment horizontal="right"/>
    </xf>
    <xf numFmtId="2" fontId="7" fillId="0" borderId="8" xfId="0" applyNumberFormat="1" applyFont="1" applyBorder="1" applyAlignment="1">
      <alignment horizontal="right" wrapText="1"/>
    </xf>
    <xf numFmtId="2" fontId="9" fillId="0" borderId="107" xfId="0" applyNumberFormat="1" applyFont="1" applyBorder="1" applyAlignment="1">
      <alignment horizontal="right"/>
    </xf>
    <xf numFmtId="2" fontId="9" fillId="0" borderId="61" xfId="0" applyNumberFormat="1" applyFont="1" applyBorder="1" applyAlignment="1">
      <alignment horizontal="right"/>
    </xf>
    <xf numFmtId="2" fontId="7" fillId="0" borderId="61" xfId="0" applyNumberFormat="1" applyFont="1" applyBorder="1" applyAlignment="1">
      <alignment horizontal="right" wrapText="1"/>
    </xf>
    <xf numFmtId="2" fontId="9" fillId="0" borderId="107" xfId="0" applyNumberFormat="1" applyFont="1" applyBorder="1" applyAlignment="1">
      <alignment horizontal="right" wrapText="1"/>
    </xf>
    <xf numFmtId="2" fontId="9" fillId="0" borderId="49" xfId="0" applyNumberFormat="1" applyFont="1" applyBorder="1" applyAlignment="1">
      <alignment horizontal="right" wrapText="1"/>
    </xf>
    <xf numFmtId="2" fontId="10" fillId="0" borderId="60" xfId="0" applyNumberFormat="1" applyFont="1" applyBorder="1" applyAlignment="1">
      <alignment horizontal="right" wrapText="1"/>
    </xf>
    <xf numFmtId="0" fontId="9" fillId="0" borderId="140" xfId="0" applyFont="1" applyBorder="1"/>
    <xf numFmtId="2" fontId="9" fillId="0" borderId="21" xfId="0" applyNumberFormat="1" applyFont="1" applyBorder="1" applyAlignment="1">
      <alignment horizontal="right"/>
    </xf>
    <xf numFmtId="2" fontId="9" fillId="0" borderId="22" xfId="0" applyNumberFormat="1" applyFont="1" applyBorder="1" applyAlignment="1">
      <alignment horizontal="right"/>
    </xf>
    <xf numFmtId="2" fontId="9" fillId="0" borderId="17" xfId="0" applyNumberFormat="1" applyFont="1" applyBorder="1" applyAlignment="1">
      <alignment horizontal="right"/>
    </xf>
    <xf numFmtId="2" fontId="9" fillId="0" borderId="14" xfId="0" applyNumberFormat="1" applyFont="1" applyBorder="1" applyAlignment="1">
      <alignment horizontal="right"/>
    </xf>
    <xf numFmtId="2" fontId="9" fillId="0" borderId="21" xfId="0" applyNumberFormat="1" applyFont="1" applyBorder="1" applyAlignment="1">
      <alignment horizontal="right" wrapText="1"/>
    </xf>
    <xf numFmtId="2" fontId="9" fillId="0" borderId="9" xfId="0" applyNumberFormat="1" applyFont="1" applyBorder="1" applyAlignment="1">
      <alignment horizontal="right" wrapText="1"/>
    </xf>
    <xf numFmtId="2" fontId="9" fillId="0" borderId="22" xfId="0" applyNumberFormat="1" applyFont="1" applyBorder="1" applyAlignment="1">
      <alignment horizontal="right" wrapText="1"/>
    </xf>
    <xf numFmtId="2" fontId="9" fillId="0" borderId="40" xfId="0" applyNumberFormat="1" applyFont="1" applyBorder="1" applyAlignment="1">
      <alignment horizontal="right" wrapText="1"/>
    </xf>
    <xf numFmtId="2" fontId="11" fillId="0" borderId="17" xfId="0" applyNumberFormat="1" applyFont="1" applyBorder="1" applyAlignment="1">
      <alignment horizontal="right" wrapText="1"/>
    </xf>
    <xf numFmtId="2" fontId="7" fillId="0" borderId="36" xfId="0" applyNumberFormat="1" applyFont="1" applyBorder="1" applyAlignment="1">
      <alignment horizontal="right" wrapText="1"/>
    </xf>
    <xf numFmtId="2" fontId="6" fillId="0" borderId="202" xfId="0" applyNumberFormat="1" applyFont="1" applyBorder="1"/>
    <xf numFmtId="0" fontId="9" fillId="0" borderId="150" xfId="0" applyFont="1" applyBorder="1" applyAlignment="1">
      <alignment horizontal="center"/>
    </xf>
    <xf numFmtId="2" fontId="9" fillId="0" borderId="72" xfId="0" applyNumberFormat="1" applyFont="1" applyBorder="1" applyAlignment="1">
      <alignment horizontal="right"/>
    </xf>
    <xf numFmtId="2" fontId="9" fillId="0" borderId="87" xfId="0" applyNumberFormat="1" applyFont="1" applyBorder="1" applyAlignment="1">
      <alignment horizontal="right"/>
    </xf>
    <xf numFmtId="2" fontId="9" fillId="0" borderId="135" xfId="0" applyNumberFormat="1" applyFont="1" applyBorder="1" applyAlignment="1">
      <alignment horizontal="right"/>
    </xf>
    <xf numFmtId="2" fontId="9" fillId="0" borderId="80" xfId="0" applyNumberFormat="1" applyFont="1" applyBorder="1" applyAlignment="1">
      <alignment horizontal="right"/>
    </xf>
    <xf numFmtId="2" fontId="9" fillId="0" borderId="149" xfId="0" applyNumberFormat="1" applyFont="1" applyBorder="1" applyAlignment="1">
      <alignment horizontal="right"/>
    </xf>
    <xf numFmtId="2" fontId="9" fillId="0" borderId="133" xfId="0" applyNumberFormat="1" applyFont="1" applyBorder="1" applyAlignment="1">
      <alignment horizontal="right"/>
    </xf>
    <xf numFmtId="4" fontId="11" fillId="0" borderId="72" xfId="0" applyNumberFormat="1" applyFont="1" applyBorder="1" applyAlignment="1">
      <alignment horizontal="right" wrapText="1"/>
    </xf>
    <xf numFmtId="2" fontId="8" fillId="0" borderId="23" xfId="0" applyNumberFormat="1" applyFont="1" applyBorder="1"/>
    <xf numFmtId="2" fontId="6" fillId="0" borderId="52" xfId="0" applyNumberFormat="1" applyFont="1" applyBorder="1"/>
    <xf numFmtId="1" fontId="6" fillId="0" borderId="81" xfId="0" applyNumberFormat="1" applyFont="1" applyBorder="1"/>
    <xf numFmtId="1" fontId="6" fillId="0" borderId="63" xfId="0" applyNumberFormat="1" applyFont="1" applyBorder="1"/>
    <xf numFmtId="1" fontId="8" fillId="0" borderId="83" xfId="0" applyNumberFormat="1" applyFont="1" applyBorder="1"/>
    <xf numFmtId="2" fontId="8" fillId="0" borderId="73" xfId="0" applyNumberFormat="1" applyFont="1" applyBorder="1"/>
    <xf numFmtId="1" fontId="8" fillId="0" borderId="27" xfId="0" applyNumberFormat="1" applyFont="1" applyBorder="1"/>
    <xf numFmtId="1" fontId="8" fillId="0" borderId="48" xfId="0" applyNumberFormat="1" applyFont="1" applyBorder="1"/>
    <xf numFmtId="3" fontId="8" fillId="0" borderId="131" xfId="0" applyNumberFormat="1" applyFont="1" applyBorder="1"/>
    <xf numFmtId="3" fontId="8" fillId="0" borderId="133" xfId="0" applyNumberFormat="1" applyFont="1" applyBorder="1"/>
    <xf numFmtId="3" fontId="6" fillId="0" borderId="205" xfId="0" applyNumberFormat="1" applyFont="1" applyBorder="1"/>
    <xf numFmtId="2" fontId="6" fillId="0" borderId="201" xfId="0" applyNumberFormat="1" applyFont="1" applyBorder="1"/>
    <xf numFmtId="9" fontId="7" fillId="0" borderId="98" xfId="5" applyFont="1" applyFill="1" applyBorder="1" applyAlignment="1">
      <alignment horizontal="right"/>
    </xf>
    <xf numFmtId="9" fontId="9" fillId="0" borderId="83" xfId="5" applyFont="1" applyFill="1" applyBorder="1" applyAlignment="1">
      <alignment horizontal="right"/>
    </xf>
    <xf numFmtId="9" fontId="7" fillId="0" borderId="181" xfId="5" applyFont="1" applyFill="1" applyBorder="1" applyAlignment="1">
      <alignment horizontal="right"/>
    </xf>
    <xf numFmtId="9" fontId="7" fillId="0" borderId="185" xfId="5" applyFont="1" applyFill="1" applyBorder="1" applyAlignment="1">
      <alignment horizontal="right"/>
    </xf>
    <xf numFmtId="9" fontId="7" fillId="0" borderId="101" xfId="5" applyFont="1" applyFill="1" applyBorder="1" applyAlignment="1">
      <alignment horizontal="right"/>
    </xf>
    <xf numFmtId="3" fontId="7" fillId="0" borderId="185" xfId="0" applyNumberFormat="1" applyFont="1" applyBorder="1" applyAlignment="1">
      <alignment horizontal="right" wrapText="1"/>
    </xf>
    <xf numFmtId="3" fontId="7" fillId="0" borderId="63" xfId="0" applyNumberFormat="1" applyFont="1" applyBorder="1" applyAlignment="1">
      <alignment horizontal="right" wrapText="1"/>
    </xf>
    <xf numFmtId="9" fontId="6" fillId="0" borderId="202" xfId="5" applyFont="1" applyBorder="1"/>
    <xf numFmtId="2" fontId="8" fillId="0" borderId="84" xfId="0" applyNumberFormat="1" applyFont="1" applyBorder="1"/>
    <xf numFmtId="9" fontId="8" fillId="0" borderId="74" xfId="5" applyFont="1" applyBorder="1"/>
    <xf numFmtId="3" fontId="7" fillId="0" borderId="3" xfId="4" applyNumberFormat="1" applyFont="1" applyBorder="1"/>
    <xf numFmtId="3" fontId="9" fillId="0" borderId="66" xfId="4" applyNumberFormat="1" applyFont="1" applyBorder="1"/>
    <xf numFmtId="3" fontId="7" fillId="0" borderId="53" xfId="4" applyNumberFormat="1" applyFont="1" applyBorder="1"/>
    <xf numFmtId="3" fontId="9" fillId="0" borderId="66" xfId="4" applyNumberFormat="1" applyFont="1" applyBorder="1" applyAlignment="1">
      <alignment horizontal="right"/>
    </xf>
    <xf numFmtId="3" fontId="7" fillId="0" borderId="15" xfId="4" applyNumberFormat="1" applyFont="1" applyBorder="1"/>
    <xf numFmtId="0" fontId="7" fillId="0" borderId="59" xfId="4" applyFont="1" applyBorder="1"/>
    <xf numFmtId="0" fontId="7" fillId="0" borderId="181" xfId="4" applyFont="1" applyBorder="1" applyAlignment="1">
      <alignment horizontal="center"/>
    </xf>
    <xf numFmtId="0" fontId="7" fillId="0" borderId="82" xfId="4" applyFont="1" applyBorder="1" applyAlignment="1">
      <alignment horizontal="center"/>
    </xf>
    <xf numFmtId="0" fontId="9" fillId="0" borderId="83" xfId="4" applyFont="1" applyBorder="1" applyAlignment="1">
      <alignment horizontal="center"/>
    </xf>
    <xf numFmtId="0" fontId="8" fillId="0" borderId="48" xfId="4" applyFont="1" applyBorder="1"/>
    <xf numFmtId="0" fontId="8" fillId="0" borderId="83" xfId="4" applyFont="1" applyBorder="1" applyAlignment="1">
      <alignment horizontal="center"/>
    </xf>
    <xf numFmtId="0" fontId="6" fillId="0" borderId="63" xfId="4" applyFont="1" applyBorder="1" applyAlignment="1">
      <alignment horizontal="center"/>
    </xf>
    <xf numFmtId="0" fontId="9" fillId="0" borderId="48" xfId="4" applyFont="1" applyBorder="1"/>
    <xf numFmtId="3" fontId="9" fillId="0" borderId="133" xfId="0" applyNumberFormat="1" applyFont="1" applyBorder="1" applyAlignment="1">
      <alignment horizontal="right"/>
    </xf>
    <xf numFmtId="3" fontId="7" fillId="0" borderId="27" xfId="0" applyNumberFormat="1" applyFont="1" applyBorder="1" applyAlignment="1">
      <alignment horizontal="right"/>
    </xf>
    <xf numFmtId="3" fontId="9" fillId="0" borderId="27" xfId="0" applyNumberFormat="1" applyFont="1" applyBorder="1" applyAlignment="1">
      <alignment horizontal="right"/>
    </xf>
    <xf numFmtId="3" fontId="9" fillId="0" borderId="48" xfId="0" applyNumberFormat="1" applyFont="1" applyBorder="1" applyAlignment="1">
      <alignment horizontal="right"/>
    </xf>
    <xf numFmtId="3" fontId="7" fillId="0" borderId="28" xfId="0" applyNumberFormat="1" applyFont="1" applyBorder="1" applyAlignment="1">
      <alignment horizontal="right"/>
    </xf>
    <xf numFmtId="3" fontId="7" fillId="0" borderId="37" xfId="0" applyNumberFormat="1" applyFont="1" applyBorder="1" applyAlignment="1">
      <alignment horizontal="right"/>
    </xf>
    <xf numFmtId="3" fontId="7" fillId="0" borderId="201" xfId="0" applyNumberFormat="1" applyFont="1" applyBorder="1" applyAlignment="1">
      <alignment horizontal="right"/>
    </xf>
    <xf numFmtId="3" fontId="9" fillId="0" borderId="24" xfId="0" applyNumberFormat="1" applyFont="1" applyBorder="1" applyAlignment="1">
      <alignment horizontal="right"/>
    </xf>
    <xf numFmtId="9" fontId="7" fillId="0" borderId="82" xfId="5" applyFont="1" applyFill="1" applyBorder="1"/>
    <xf numFmtId="9" fontId="6" fillId="0" borderId="202" xfId="5" applyFont="1" applyBorder="1" applyAlignment="1">
      <alignment horizontal="right"/>
    </xf>
    <xf numFmtId="164" fontId="7" fillId="0" borderId="201" xfId="0" applyNumberFormat="1" applyFont="1" applyBorder="1"/>
    <xf numFmtId="164" fontId="7" fillId="0" borderId="202" xfId="0" applyNumberFormat="1" applyFont="1" applyBorder="1"/>
    <xf numFmtId="3" fontId="6" fillId="0" borderId="61" xfId="0" applyNumberFormat="1" applyFont="1" applyBorder="1"/>
    <xf numFmtId="0" fontId="7" fillId="0" borderId="201" xfId="0" applyFont="1" applyBorder="1"/>
    <xf numFmtId="0" fontId="7" fillId="0" borderId="52" xfId="0" applyFont="1" applyBorder="1"/>
    <xf numFmtId="0" fontId="6" fillId="0" borderId="97" xfId="0" applyFont="1" applyBorder="1" applyAlignment="1">
      <alignment wrapText="1"/>
    </xf>
    <xf numFmtId="0" fontId="6" fillId="0" borderId="31" xfId="0" applyFont="1" applyBorder="1"/>
    <xf numFmtId="0" fontId="6" fillId="0" borderId="20" xfId="0" applyFont="1" applyBorder="1"/>
    <xf numFmtId="0" fontId="6" fillId="0" borderId="32" xfId="0" applyFont="1" applyBorder="1"/>
    <xf numFmtId="2" fontId="6" fillId="0" borderId="205" xfId="0" applyNumberFormat="1" applyFont="1" applyBorder="1"/>
    <xf numFmtId="2" fontId="8" fillId="0" borderId="57" xfId="0" applyNumberFormat="1" applyFont="1" applyBorder="1"/>
    <xf numFmtId="2" fontId="6" fillId="0" borderId="76" xfId="0" applyNumberFormat="1" applyFont="1" applyBorder="1"/>
    <xf numFmtId="2" fontId="8" fillId="0" borderId="68" xfId="0" applyNumberFormat="1" applyFont="1" applyBorder="1"/>
    <xf numFmtId="2" fontId="8" fillId="0" borderId="183" xfId="0" applyNumberFormat="1" applyFont="1" applyBorder="1"/>
    <xf numFmtId="2" fontId="6" fillId="0" borderId="106" xfId="0" applyNumberFormat="1" applyFont="1" applyBorder="1"/>
    <xf numFmtId="2" fontId="6" fillId="0" borderId="15" xfId="0" applyNumberFormat="1" applyFont="1" applyBorder="1"/>
    <xf numFmtId="2" fontId="8" fillId="0" borderId="113" xfId="0" applyNumberFormat="1" applyFont="1" applyBorder="1"/>
    <xf numFmtId="2" fontId="8" fillId="0" borderId="111" xfId="0" applyNumberFormat="1" applyFont="1" applyBorder="1"/>
    <xf numFmtId="2" fontId="8" fillId="0" borderId="114" xfId="0" applyNumberFormat="1" applyFont="1" applyBorder="1"/>
    <xf numFmtId="2" fontId="8" fillId="0" borderId="61" xfId="0" applyNumberFormat="1" applyFont="1" applyBorder="1"/>
    <xf numFmtId="2" fontId="8" fillId="0" borderId="115" xfId="0" applyNumberFormat="1" applyFont="1" applyBorder="1"/>
    <xf numFmtId="2" fontId="6" fillId="0" borderId="1" xfId="5" applyNumberFormat="1" applyFont="1" applyFill="1" applyBorder="1" applyAlignment="1">
      <alignment horizontal="right"/>
    </xf>
    <xf numFmtId="2" fontId="6" fillId="0" borderId="4" xfId="5" applyNumberFormat="1" applyFont="1" applyFill="1" applyBorder="1" applyAlignment="1">
      <alignment horizontal="right"/>
    </xf>
    <xf numFmtId="2" fontId="6" fillId="0" borderId="201" xfId="5" applyNumberFormat="1" applyFont="1" applyFill="1" applyBorder="1" applyAlignment="1">
      <alignment horizontal="right"/>
    </xf>
    <xf numFmtId="2" fontId="8" fillId="0" borderId="24" xfId="5" applyNumberFormat="1" applyFont="1" applyFill="1" applyBorder="1" applyAlignment="1">
      <alignment horizontal="right"/>
    </xf>
    <xf numFmtId="2" fontId="6" fillId="0" borderId="51" xfId="5" applyNumberFormat="1" applyFont="1" applyFill="1" applyBorder="1" applyAlignment="1">
      <alignment horizontal="right"/>
    </xf>
    <xf numFmtId="2" fontId="6" fillId="0" borderId="52" xfId="5" applyNumberFormat="1" applyFont="1" applyFill="1" applyBorder="1" applyAlignment="1">
      <alignment horizontal="right"/>
    </xf>
    <xf numFmtId="2" fontId="8" fillId="0" borderId="64" xfId="5" applyNumberFormat="1" applyFont="1" applyFill="1" applyBorder="1" applyAlignment="1">
      <alignment horizontal="right"/>
    </xf>
    <xf numFmtId="2" fontId="8" fillId="0" borderId="65" xfId="0" applyNumberFormat="1" applyFont="1" applyBorder="1"/>
    <xf numFmtId="2" fontId="6" fillId="0" borderId="103" xfId="5" applyNumberFormat="1" applyFont="1" applyFill="1" applyBorder="1" applyAlignment="1">
      <alignment horizontal="right"/>
    </xf>
    <xf numFmtId="2" fontId="6" fillId="0" borderId="112" xfId="5" applyNumberFormat="1" applyFont="1" applyFill="1" applyBorder="1" applyAlignment="1">
      <alignment horizontal="right"/>
    </xf>
    <xf numFmtId="2" fontId="6" fillId="0" borderId="112" xfId="0" applyNumberFormat="1" applyFont="1" applyBorder="1"/>
    <xf numFmtId="2" fontId="6" fillId="0" borderId="2" xfId="5" applyNumberFormat="1" applyFont="1" applyFill="1" applyBorder="1" applyAlignment="1">
      <alignment horizontal="right"/>
    </xf>
    <xf numFmtId="4" fontId="8" fillId="0" borderId="64" xfId="5" applyNumberFormat="1" applyFont="1" applyFill="1" applyBorder="1" applyAlignment="1">
      <alignment horizontal="right"/>
    </xf>
    <xf numFmtId="4" fontId="8" fillId="0" borderId="65" xfId="5" applyNumberFormat="1" applyFont="1" applyFill="1" applyBorder="1" applyAlignment="1">
      <alignment horizontal="right"/>
    </xf>
    <xf numFmtId="4" fontId="8" fillId="0" borderId="65" xfId="0" applyNumberFormat="1" applyFont="1" applyBorder="1"/>
    <xf numFmtId="4" fontId="8" fillId="0" borderId="49" xfId="5" applyNumberFormat="1" applyFont="1" applyFill="1" applyBorder="1" applyAlignment="1">
      <alignment horizontal="right"/>
    </xf>
    <xf numFmtId="2" fontId="6" fillId="0" borderId="110" xfId="0" applyNumberFormat="1" applyFont="1" applyBorder="1"/>
    <xf numFmtId="2" fontId="8" fillId="0" borderId="8" xfId="0" applyNumberFormat="1" applyFont="1" applyBorder="1"/>
    <xf numFmtId="9" fontId="8" fillId="0" borderId="142" xfId="5" applyFont="1" applyFill="1" applyBorder="1" applyAlignment="1">
      <alignment horizontal="right"/>
    </xf>
    <xf numFmtId="4" fontId="11" fillId="0" borderId="73" xfId="0" applyNumberFormat="1" applyFont="1" applyBorder="1" applyAlignment="1">
      <alignment horizontal="right" wrapText="1"/>
    </xf>
    <xf numFmtId="2" fontId="10" fillId="0" borderId="2" xfId="0" applyNumberFormat="1" applyFont="1" applyBorder="1" applyAlignment="1">
      <alignment horizontal="right" wrapText="1"/>
    </xf>
    <xf numFmtId="2" fontId="11" fillId="0" borderId="6" xfId="0" applyNumberFormat="1" applyFont="1" applyBorder="1" applyAlignment="1">
      <alignment horizontal="right" wrapText="1"/>
    </xf>
    <xf numFmtId="2" fontId="10" fillId="0" borderId="52" xfId="0" applyNumberFormat="1" applyFont="1" applyBorder="1" applyAlignment="1">
      <alignment horizontal="right" wrapText="1"/>
    </xf>
    <xf numFmtId="2" fontId="10" fillId="0" borderId="201" xfId="0" applyNumberFormat="1" applyFont="1" applyBorder="1" applyAlignment="1">
      <alignment horizontal="right" wrapText="1"/>
    </xf>
    <xf numFmtId="2" fontId="11" fillId="0" borderId="65" xfId="0" applyNumberFormat="1" applyFont="1" applyBorder="1" applyAlignment="1">
      <alignment horizontal="right" wrapText="1"/>
    </xf>
    <xf numFmtId="4" fontId="10" fillId="0" borderId="23" xfId="0" applyNumberFormat="1" applyFont="1" applyBorder="1" applyAlignment="1">
      <alignment horizontal="right" wrapText="1"/>
    </xf>
    <xf numFmtId="4" fontId="11" fillId="0" borderId="23" xfId="0" applyNumberFormat="1" applyFont="1" applyBorder="1" applyAlignment="1">
      <alignment horizontal="right" wrapText="1"/>
    </xf>
    <xf numFmtId="4" fontId="11" fillId="0" borderId="65" xfId="0" applyNumberFormat="1" applyFont="1" applyBorder="1" applyAlignment="1">
      <alignment horizontal="right"/>
    </xf>
    <xf numFmtId="1" fontId="6" fillId="0" borderId="82" xfId="0" applyNumberFormat="1" applyFont="1" applyBorder="1"/>
    <xf numFmtId="1" fontId="6" fillId="0" borderId="181" xfId="0" applyNumberFormat="1" applyFont="1" applyBorder="1"/>
    <xf numFmtId="1" fontId="8" fillId="0" borderId="132" xfId="0" applyNumberFormat="1" applyFont="1" applyBorder="1"/>
    <xf numFmtId="0" fontId="6" fillId="0" borderId="181" xfId="0" applyFont="1" applyBorder="1" applyAlignment="1">
      <alignment wrapText="1"/>
    </xf>
    <xf numFmtId="3" fontId="7" fillId="0" borderId="98" xfId="0" applyNumberFormat="1" applyFont="1" applyBorder="1" applyAlignment="1">
      <alignment horizontal="right"/>
    </xf>
    <xf numFmtId="0" fontId="6" fillId="0" borderId="49" xfId="0" applyFont="1" applyBorder="1"/>
    <xf numFmtId="3" fontId="6" fillId="0" borderId="223" xfId="0" applyNumberFormat="1" applyFont="1" applyBorder="1"/>
    <xf numFmtId="2" fontId="6" fillId="0" borderId="217" xfId="0" applyNumberFormat="1" applyFont="1" applyBorder="1"/>
    <xf numFmtId="2" fontId="8" fillId="0" borderId="19" xfId="0" applyNumberFormat="1" applyFont="1" applyBorder="1" applyAlignment="1">
      <alignment horizontal="right" wrapText="1"/>
    </xf>
    <xf numFmtId="2" fontId="8" fillId="0" borderId="43" xfId="0" applyNumberFormat="1" applyFont="1" applyBorder="1" applyAlignment="1">
      <alignment horizontal="right" wrapText="1"/>
    </xf>
    <xf numFmtId="2" fontId="11" fillId="0" borderId="133" xfId="0" applyNumberFormat="1" applyFont="1" applyBorder="1" applyAlignment="1">
      <alignment horizontal="right" wrapText="1"/>
    </xf>
    <xf numFmtId="9" fontId="10" fillId="0" borderId="98" xfId="5" applyFont="1" applyBorder="1" applyAlignment="1">
      <alignment horizontal="right" wrapText="1"/>
    </xf>
    <xf numFmtId="3" fontId="7" fillId="0" borderId="222" xfId="0" applyNumberFormat="1" applyFont="1" applyBorder="1"/>
    <xf numFmtId="2" fontId="11" fillId="0" borderId="116" xfId="0" applyNumberFormat="1" applyFont="1" applyBorder="1" applyAlignment="1">
      <alignment horizontal="right" wrapText="1"/>
    </xf>
    <xf numFmtId="164" fontId="7" fillId="0" borderId="215" xfId="0" applyNumberFormat="1" applyFont="1" applyBorder="1"/>
    <xf numFmtId="0" fontId="7" fillId="0" borderId="217" xfId="0" applyFont="1" applyBorder="1"/>
    <xf numFmtId="2" fontId="8" fillId="0" borderId="71" xfId="0" applyNumberFormat="1" applyFont="1" applyBorder="1" applyAlignment="1">
      <alignment horizontal="right" wrapText="1"/>
    </xf>
    <xf numFmtId="2" fontId="11" fillId="0" borderId="182" xfId="0" applyNumberFormat="1" applyFont="1" applyBorder="1" applyAlignment="1">
      <alignment horizontal="right" wrapText="1"/>
    </xf>
    <xf numFmtId="3" fontId="7" fillId="0" borderId="216" xfId="0" applyNumberFormat="1" applyFont="1" applyBorder="1"/>
    <xf numFmtId="3" fontId="7" fillId="0" borderId="217" xfId="0" applyNumberFormat="1" applyFont="1" applyBorder="1"/>
    <xf numFmtId="2" fontId="8" fillId="0" borderId="41" xfId="0" applyNumberFormat="1" applyFont="1" applyBorder="1" applyAlignment="1">
      <alignment horizontal="right" wrapText="1"/>
    </xf>
    <xf numFmtId="2" fontId="11" fillId="0" borderId="191" xfId="0" applyNumberFormat="1" applyFont="1" applyBorder="1" applyAlignment="1">
      <alignment horizontal="right" wrapText="1"/>
    </xf>
    <xf numFmtId="164" fontId="7" fillId="0" borderId="221" xfId="0" applyNumberFormat="1" applyFont="1" applyBorder="1"/>
    <xf numFmtId="164" fontId="7" fillId="0" borderId="216" xfId="0" applyNumberFormat="1" applyFont="1" applyBorder="1"/>
    <xf numFmtId="164" fontId="7" fillId="0" borderId="217" xfId="0" applyNumberFormat="1" applyFont="1" applyBorder="1"/>
    <xf numFmtId="2" fontId="6" fillId="0" borderId="219" xfId="0" applyNumberFormat="1" applyFont="1" applyBorder="1"/>
    <xf numFmtId="2" fontId="11" fillId="0" borderId="41" xfId="0" applyNumberFormat="1" applyFont="1" applyBorder="1" applyAlignment="1">
      <alignment horizontal="right" wrapText="1"/>
    </xf>
    <xf numFmtId="170" fontId="6" fillId="0" borderId="0" xfId="0" applyNumberFormat="1" applyFont="1"/>
    <xf numFmtId="2" fontId="6" fillId="0" borderId="215" xfId="0" applyNumberFormat="1" applyFont="1" applyBorder="1"/>
    <xf numFmtId="3" fontId="7" fillId="0" borderId="215" xfId="0" applyNumberFormat="1" applyFont="1" applyBorder="1"/>
    <xf numFmtId="3" fontId="10" fillId="0" borderId="26" xfId="0" applyNumberFormat="1" applyFont="1" applyBorder="1" applyAlignment="1">
      <alignment horizontal="right" wrapText="1"/>
    </xf>
    <xf numFmtId="3" fontId="10" fillId="0" borderId="23" xfId="0" applyNumberFormat="1" applyFont="1" applyBorder="1" applyAlignment="1">
      <alignment horizontal="right" wrapText="1"/>
    </xf>
    <xf numFmtId="2" fontId="7" fillId="0" borderId="215" xfId="0" applyNumberFormat="1" applyFont="1" applyBorder="1" applyAlignment="1">
      <alignment horizontal="right" wrapText="1"/>
    </xf>
    <xf numFmtId="2" fontId="10" fillId="0" borderId="24" xfId="0" applyNumberFormat="1" applyFont="1" applyBorder="1" applyAlignment="1">
      <alignment horizontal="right" wrapText="1"/>
    </xf>
    <xf numFmtId="2" fontId="10" fillId="0" borderId="30" xfId="0" applyNumberFormat="1" applyFont="1" applyBorder="1" applyAlignment="1">
      <alignment horizontal="right" wrapText="1"/>
    </xf>
    <xf numFmtId="2" fontId="8" fillId="0" borderId="218" xfId="0" applyNumberFormat="1" applyFont="1" applyBorder="1"/>
    <xf numFmtId="2" fontId="9" fillId="0" borderId="0" xfId="48" applyNumberFormat="1" applyFont="1" applyAlignment="1">
      <alignment horizontal="center" vertical="center"/>
    </xf>
    <xf numFmtId="3" fontId="9" fillId="0" borderId="219" xfId="47" applyNumberFormat="1" applyFont="1" applyBorder="1" applyAlignment="1">
      <alignment horizontal="center" vertical="center"/>
    </xf>
    <xf numFmtId="2" fontId="9" fillId="0" borderId="38" xfId="48" applyNumberFormat="1" applyFont="1" applyBorder="1" applyAlignment="1">
      <alignment horizontal="center" vertical="center"/>
    </xf>
    <xf numFmtId="3" fontId="28" fillId="0" borderId="219" xfId="47" applyNumberFormat="1" applyFont="1" applyBorder="1" applyAlignment="1">
      <alignment horizontal="center" vertical="center"/>
    </xf>
    <xf numFmtId="2" fontId="0" fillId="0" borderId="216" xfId="0" applyNumberFormat="1" applyBorder="1"/>
    <xf numFmtId="2" fontId="0" fillId="0" borderId="222" xfId="0" applyNumberFormat="1" applyBorder="1"/>
    <xf numFmtId="9" fontId="0" fillId="0" borderId="60" xfId="5" applyFont="1" applyBorder="1"/>
    <xf numFmtId="9" fontId="0" fillId="0" borderId="226" xfId="5" applyFont="1" applyBorder="1"/>
    <xf numFmtId="9" fontId="0" fillId="0" borderId="76" xfId="5" applyFont="1" applyBorder="1"/>
    <xf numFmtId="9" fontId="0" fillId="0" borderId="222" xfId="5" applyFont="1" applyBorder="1"/>
    <xf numFmtId="2" fontId="0" fillId="0" borderId="181" xfId="0" applyNumberFormat="1" applyBorder="1"/>
    <xf numFmtId="0" fontId="4" fillId="0" borderId="66" xfId="0" applyFont="1" applyBorder="1"/>
    <xf numFmtId="2" fontId="4" fillId="0" borderId="66" xfId="0" applyNumberFormat="1" applyFont="1" applyBorder="1"/>
    <xf numFmtId="9" fontId="4" fillId="0" borderId="67" xfId="5" applyFont="1" applyBorder="1"/>
    <xf numFmtId="9" fontId="4" fillId="0" borderId="68" xfId="5" applyFont="1" applyBorder="1"/>
    <xf numFmtId="2" fontId="0" fillId="0" borderId="63" xfId="0" applyNumberFormat="1" applyBorder="1"/>
    <xf numFmtId="3" fontId="0" fillId="0" borderId="51" xfId="0" applyNumberFormat="1" applyBorder="1"/>
    <xf numFmtId="3" fontId="0" fillId="0" borderId="215" xfId="0" applyNumberFormat="1" applyBorder="1"/>
    <xf numFmtId="3" fontId="0" fillId="0" borderId="4" xfId="0" applyNumberFormat="1" applyBorder="1"/>
    <xf numFmtId="3" fontId="4" fillId="0" borderId="64" xfId="0" applyNumberFormat="1" applyFont="1" applyBorder="1"/>
    <xf numFmtId="2" fontId="0" fillId="0" borderId="76" xfId="0" applyNumberFormat="1" applyBorder="1"/>
    <xf numFmtId="2" fontId="4" fillId="0" borderId="68" xfId="0" applyNumberFormat="1" applyFont="1" applyBorder="1"/>
    <xf numFmtId="2" fontId="0" fillId="0" borderId="53" xfId="0" applyNumberFormat="1" applyBorder="1"/>
    <xf numFmtId="2" fontId="0" fillId="0" borderId="81" xfId="0" applyNumberFormat="1" applyBorder="1"/>
    <xf numFmtId="2" fontId="4" fillId="0" borderId="83" xfId="0" applyNumberFormat="1" applyFont="1" applyBorder="1"/>
    <xf numFmtId="3" fontId="8" fillId="0" borderId="24" xfId="0" applyNumberFormat="1" applyFont="1" applyBorder="1"/>
    <xf numFmtId="3" fontId="8" fillId="0" borderId="64" xfId="0" applyNumberFormat="1" applyFont="1" applyBorder="1"/>
    <xf numFmtId="9" fontId="0" fillId="0" borderId="222" xfId="5" applyFont="1" applyBorder="1" applyAlignment="1">
      <alignment horizontal="right"/>
    </xf>
    <xf numFmtId="9" fontId="0" fillId="0" borderId="226" xfId="5" applyFont="1" applyBorder="1" applyAlignment="1">
      <alignment horizontal="right"/>
    </xf>
    <xf numFmtId="2" fontId="6" fillId="0" borderId="222" xfId="0" applyNumberFormat="1" applyFont="1" applyBorder="1"/>
    <xf numFmtId="3" fontId="6" fillId="0" borderId="4" xfId="0" applyNumberFormat="1" applyFont="1" applyBorder="1"/>
    <xf numFmtId="3" fontId="0" fillId="0" borderId="0" xfId="0" applyNumberFormat="1"/>
    <xf numFmtId="2" fontId="0" fillId="0" borderId="0" xfId="0" applyNumberFormat="1"/>
    <xf numFmtId="3" fontId="6" fillId="0" borderId="215" xfId="0" applyNumberFormat="1" applyFont="1" applyBorder="1"/>
    <xf numFmtId="164" fontId="9" fillId="0" borderId="6" xfId="0" applyNumberFormat="1" applyFont="1" applyBorder="1"/>
    <xf numFmtId="164" fontId="7" fillId="0" borderId="224" xfId="0" applyNumberFormat="1" applyFont="1" applyBorder="1"/>
    <xf numFmtId="164" fontId="7" fillId="0" borderId="201" xfId="0" applyNumberFormat="1" applyFont="1" applyBorder="1" applyAlignment="1">
      <alignment horizontal="right"/>
    </xf>
    <xf numFmtId="0" fontId="6" fillId="0" borderId="218" xfId="0" applyFont="1" applyBorder="1"/>
    <xf numFmtId="164" fontId="7" fillId="0" borderId="223" xfId="0" applyNumberFormat="1" applyFont="1" applyBorder="1"/>
    <xf numFmtId="2" fontId="6" fillId="0" borderId="226" xfId="0" applyNumberFormat="1" applyFont="1" applyBorder="1"/>
    <xf numFmtId="3" fontId="6" fillId="0" borderId="221" xfId="0" applyNumberFormat="1" applyFont="1" applyBorder="1"/>
    <xf numFmtId="3" fontId="6" fillId="0" borderId="217" xfId="0" applyNumberFormat="1" applyFont="1" applyBorder="1"/>
    <xf numFmtId="3" fontId="6" fillId="0" borderId="216" xfId="0" applyNumberFormat="1" applyFont="1" applyBorder="1"/>
    <xf numFmtId="2" fontId="8" fillId="0" borderId="220" xfId="0" applyNumberFormat="1" applyFont="1" applyBorder="1"/>
    <xf numFmtId="2" fontId="7" fillId="0" borderId="224" xfId="0" applyNumberFormat="1" applyFont="1" applyBorder="1"/>
    <xf numFmtId="2" fontId="9" fillId="0" borderId="220" xfId="0" applyNumberFormat="1" applyFont="1" applyBorder="1"/>
    <xf numFmtId="0" fontId="8" fillId="0" borderId="204" xfId="0" applyFont="1" applyBorder="1" applyAlignment="1">
      <alignment horizontal="center"/>
    </xf>
    <xf numFmtId="9" fontId="0" fillId="0" borderId="60" xfId="5" applyFont="1" applyBorder="1" applyAlignment="1">
      <alignment horizontal="right"/>
    </xf>
    <xf numFmtId="9" fontId="0" fillId="0" borderId="76" xfId="5" applyFont="1" applyBorder="1" applyAlignment="1">
      <alignment horizontal="right"/>
    </xf>
    <xf numFmtId="9" fontId="4" fillId="0" borderId="67" xfId="5" applyFont="1" applyBorder="1" applyAlignment="1">
      <alignment horizontal="right"/>
    </xf>
    <xf numFmtId="9" fontId="4" fillId="0" borderId="68" xfId="5" applyFont="1" applyBorder="1" applyAlignment="1">
      <alignment horizontal="right"/>
    </xf>
    <xf numFmtId="9" fontId="7" fillId="0" borderId="81" xfId="5" applyFont="1" applyFill="1" applyBorder="1" applyAlignment="1">
      <alignment vertical="center"/>
    </xf>
    <xf numFmtId="2" fontId="7" fillId="0" borderId="215" xfId="0" applyNumberFormat="1" applyFont="1" applyBorder="1"/>
    <xf numFmtId="2" fontId="7" fillId="0" borderId="222" xfId="0" applyNumberFormat="1" applyFont="1" applyBorder="1"/>
    <xf numFmtId="2" fontId="7" fillId="0" borderId="226" xfId="0" applyNumberFormat="1" applyFont="1" applyBorder="1"/>
    <xf numFmtId="2" fontId="10" fillId="0" borderId="57" xfId="0" applyNumberFormat="1" applyFont="1" applyBorder="1" applyAlignment="1">
      <alignment horizontal="right" wrapText="1"/>
    </xf>
    <xf numFmtId="3" fontId="7" fillId="0" borderId="202" xfId="4" applyNumberFormat="1" applyFont="1" applyBorder="1"/>
    <xf numFmtId="3" fontId="8" fillId="0" borderId="67" xfId="4" applyNumberFormat="1" applyFont="1" applyBorder="1" applyAlignment="1">
      <alignment horizontal="right"/>
    </xf>
    <xf numFmtId="3" fontId="6" fillId="0" borderId="215" xfId="4" applyNumberFormat="1" applyFont="1" applyBorder="1"/>
    <xf numFmtId="3" fontId="6" fillId="0" borderId="217" xfId="4" applyNumberFormat="1" applyFont="1" applyBorder="1"/>
    <xf numFmtId="3" fontId="6" fillId="0" borderId="216" xfId="4" applyNumberFormat="1" applyFont="1" applyBorder="1"/>
    <xf numFmtId="3" fontId="6" fillId="0" borderId="226" xfId="4" applyNumberFormat="1" applyFont="1" applyBorder="1"/>
    <xf numFmtId="3" fontId="7" fillId="0" borderId="216" xfId="4" applyNumberFormat="1" applyFont="1" applyBorder="1"/>
    <xf numFmtId="3" fontId="7" fillId="0" borderId="222" xfId="4" applyNumberFormat="1" applyFont="1" applyBorder="1"/>
    <xf numFmtId="3" fontId="6" fillId="0" borderId="219" xfId="4" applyNumberFormat="1" applyFont="1" applyBorder="1"/>
    <xf numFmtId="3" fontId="6" fillId="0" borderId="201" xfId="4" applyNumberFormat="1" applyFont="1" applyBorder="1"/>
    <xf numFmtId="3" fontId="6" fillId="0" borderId="202" xfId="4" applyNumberFormat="1" applyFont="1" applyBorder="1"/>
    <xf numFmtId="3" fontId="6" fillId="0" borderId="224" xfId="4" applyNumberFormat="1" applyFont="1" applyBorder="1"/>
    <xf numFmtId="3" fontId="7" fillId="0" borderId="205" xfId="4" applyNumberFormat="1" applyFont="1" applyBorder="1"/>
    <xf numFmtId="3" fontId="8" fillId="0" borderId="211" xfId="4" applyNumberFormat="1" applyFont="1" applyBorder="1"/>
    <xf numFmtId="3" fontId="8" fillId="0" borderId="213" xfId="4" applyNumberFormat="1" applyFont="1" applyBorder="1"/>
    <xf numFmtId="3" fontId="8" fillId="0" borderId="214" xfId="4" applyNumberFormat="1" applyFont="1" applyBorder="1"/>
    <xf numFmtId="3" fontId="8" fillId="0" borderId="171" xfId="4" applyNumberFormat="1" applyFont="1" applyBorder="1"/>
    <xf numFmtId="3" fontId="9" fillId="0" borderId="214" xfId="4" applyNumberFormat="1" applyFont="1" applyBorder="1"/>
    <xf numFmtId="3" fontId="9" fillId="0" borderId="212" xfId="4" applyNumberFormat="1" applyFont="1" applyBorder="1"/>
    <xf numFmtId="9" fontId="8" fillId="0" borderId="203" xfId="5" applyFont="1" applyBorder="1"/>
    <xf numFmtId="0" fontId="7" fillId="0" borderId="225" xfId="4" applyFont="1" applyBorder="1" applyAlignment="1">
      <alignment horizontal="center"/>
    </xf>
    <xf numFmtId="0" fontId="7" fillId="0" borderId="185" xfId="4" applyFont="1" applyBorder="1"/>
    <xf numFmtId="2" fontId="11" fillId="0" borderId="223" xfId="0" applyNumberFormat="1" applyFont="1" applyBorder="1" applyAlignment="1">
      <alignment horizontal="right" wrapText="1"/>
    </xf>
    <xf numFmtId="2" fontId="9" fillId="0" borderId="221" xfId="0" applyNumberFormat="1" applyFont="1" applyBorder="1" applyAlignment="1">
      <alignment horizontal="right" wrapText="1"/>
    </xf>
    <xf numFmtId="2" fontId="11" fillId="0" borderId="221" xfId="0" applyNumberFormat="1" applyFont="1" applyBorder="1" applyAlignment="1">
      <alignment horizontal="right" wrapText="1"/>
    </xf>
    <xf numFmtId="3" fontId="11" fillId="0" borderId="50" xfId="0" applyNumberFormat="1" applyFont="1" applyBorder="1" applyAlignment="1">
      <alignment horizontal="right"/>
    </xf>
    <xf numFmtId="3" fontId="10" fillId="0" borderId="0" xfId="0" applyNumberFormat="1" applyFont="1" applyAlignment="1">
      <alignment horizontal="right" wrapText="1"/>
    </xf>
    <xf numFmtId="2" fontId="9" fillId="0" borderId="218" xfId="0" applyNumberFormat="1" applyFont="1" applyBorder="1"/>
    <xf numFmtId="2" fontId="7" fillId="0" borderId="226" xfId="0" applyNumberFormat="1" applyFont="1" applyBorder="1" applyAlignment="1">
      <alignment horizontal="right" wrapText="1"/>
    </xf>
    <xf numFmtId="2" fontId="7" fillId="0" borderId="222" xfId="0" applyNumberFormat="1" applyFont="1" applyBorder="1" applyAlignment="1">
      <alignment horizontal="right" wrapText="1"/>
    </xf>
    <xf numFmtId="3" fontId="10" fillId="0" borderId="226" xfId="0" applyNumberFormat="1" applyFont="1" applyBorder="1" applyAlignment="1">
      <alignment horizontal="right" wrapText="1"/>
    </xf>
    <xf numFmtId="3" fontId="10" fillId="0" borderId="217" xfId="0" applyNumberFormat="1" applyFont="1" applyBorder="1" applyAlignment="1">
      <alignment horizontal="right" wrapText="1"/>
    </xf>
    <xf numFmtId="9" fontId="10" fillId="0" borderId="216" xfId="5" applyFont="1" applyBorder="1" applyAlignment="1">
      <alignment horizontal="right" wrapText="1"/>
    </xf>
    <xf numFmtId="2" fontId="10" fillId="0" borderId="226" xfId="0" applyNumberFormat="1" applyFont="1" applyBorder="1" applyAlignment="1">
      <alignment horizontal="right" wrapText="1"/>
    </xf>
    <xf numFmtId="2" fontId="10" fillId="0" borderId="222" xfId="0" applyNumberFormat="1" applyFont="1" applyBorder="1" applyAlignment="1">
      <alignment horizontal="right" wrapText="1"/>
    </xf>
    <xf numFmtId="2" fontId="10" fillId="0" borderId="215" xfId="0" applyNumberFormat="1" applyFont="1" applyBorder="1" applyAlignment="1">
      <alignment horizontal="right" wrapText="1"/>
    </xf>
    <xf numFmtId="2" fontId="7" fillId="0" borderId="219" xfId="0" applyNumberFormat="1" applyFont="1" applyBorder="1"/>
    <xf numFmtId="2" fontId="11" fillId="0" borderId="75" xfId="0" applyNumberFormat="1" applyFont="1" applyBorder="1" applyAlignment="1">
      <alignment horizontal="right" wrapText="1"/>
    </xf>
    <xf numFmtId="2" fontId="11" fillId="0" borderId="49" xfId="0" applyNumberFormat="1" applyFont="1" applyBorder="1" applyAlignment="1">
      <alignment horizontal="right" wrapText="1"/>
    </xf>
    <xf numFmtId="2" fontId="11" fillId="0" borderId="69" xfId="0" applyNumberFormat="1" applyFont="1" applyBorder="1" applyAlignment="1">
      <alignment horizontal="right" wrapText="1"/>
    </xf>
    <xf numFmtId="2" fontId="10" fillId="0" borderId="224" xfId="0" applyNumberFormat="1" applyFont="1" applyBorder="1" applyAlignment="1">
      <alignment horizontal="right" wrapText="1"/>
    </xf>
    <xf numFmtId="2" fontId="10" fillId="0" borderId="205" xfId="0" applyNumberFormat="1" applyFont="1" applyBorder="1" applyAlignment="1">
      <alignment horizontal="right" wrapText="1"/>
    </xf>
    <xf numFmtId="3" fontId="10" fillId="0" borderId="224" xfId="0" applyNumberFormat="1" applyFont="1" applyBorder="1" applyAlignment="1">
      <alignment horizontal="right" wrapText="1"/>
    </xf>
    <xf numFmtId="2" fontId="10" fillId="0" borderId="35" xfId="0" applyNumberFormat="1" applyFont="1" applyBorder="1" applyAlignment="1">
      <alignment horizontal="right" wrapText="1"/>
    </xf>
    <xf numFmtId="0" fontId="69" fillId="0" borderId="216" xfId="0" applyFont="1" applyBorder="1"/>
    <xf numFmtId="0" fontId="69" fillId="0" borderId="202" xfId="0" applyFont="1" applyBorder="1"/>
    <xf numFmtId="0" fontId="69" fillId="0" borderId="53" xfId="0" applyFont="1" applyBorder="1"/>
    <xf numFmtId="0" fontId="5" fillId="0" borderId="0" xfId="0" applyFont="1"/>
    <xf numFmtId="3" fontId="5" fillId="0" borderId="0" xfId="0" applyNumberFormat="1" applyFont="1"/>
    <xf numFmtId="0" fontId="31" fillId="0" borderId="0" xfId="0" applyFont="1" applyAlignment="1">
      <alignment horizontal="left" wrapText="1"/>
    </xf>
    <xf numFmtId="3" fontId="69" fillId="0" borderId="4" xfId="0" applyNumberFormat="1" applyFont="1" applyBorder="1"/>
    <xf numFmtId="2" fontId="69" fillId="0" borderId="63" xfId="0" applyNumberFormat="1" applyFont="1" applyBorder="1"/>
    <xf numFmtId="0" fontId="9" fillId="0" borderId="130" xfId="0" applyFont="1" applyBorder="1"/>
    <xf numFmtId="2" fontId="9" fillId="0" borderId="218" xfId="0" applyNumberFormat="1" applyFont="1" applyBorder="1" applyAlignment="1">
      <alignment horizontal="right" wrapText="1"/>
    </xf>
    <xf numFmtId="2" fontId="8" fillId="0" borderId="20" xfId="0" applyNumberFormat="1" applyFont="1" applyBorder="1" applyAlignment="1">
      <alignment horizontal="right" wrapText="1"/>
    </xf>
    <xf numFmtId="2" fontId="8" fillId="0" borderId="220" xfId="0" applyNumberFormat="1" applyFont="1" applyBorder="1" applyAlignment="1">
      <alignment horizontal="right" wrapText="1"/>
    </xf>
    <xf numFmtId="2" fontId="9" fillId="0" borderId="220" xfId="0" applyNumberFormat="1" applyFont="1" applyBorder="1" applyAlignment="1">
      <alignment horizontal="right" wrapText="1"/>
    </xf>
    <xf numFmtId="2" fontId="11" fillId="0" borderId="218" xfId="0" applyNumberFormat="1" applyFont="1" applyBorder="1" applyAlignment="1">
      <alignment horizontal="right" wrapText="1"/>
    </xf>
    <xf numFmtId="2" fontId="11" fillId="0" borderId="227" xfId="0" applyNumberFormat="1" applyFont="1" applyBorder="1" applyAlignment="1">
      <alignment horizontal="right" wrapText="1"/>
    </xf>
    <xf numFmtId="2" fontId="11" fillId="0" borderId="220" xfId="0" applyNumberFormat="1" applyFont="1" applyBorder="1" applyAlignment="1">
      <alignment horizontal="right" wrapText="1"/>
    </xf>
    <xf numFmtId="2" fontId="11" fillId="0" borderId="131" xfId="0" applyNumberFormat="1" applyFont="1" applyBorder="1" applyAlignment="1">
      <alignment horizontal="right" wrapText="1"/>
    </xf>
    <xf numFmtId="2" fontId="11" fillId="0" borderId="200" xfId="0" applyNumberFormat="1" applyFont="1" applyBorder="1" applyAlignment="1">
      <alignment horizontal="right" wrapText="1"/>
    </xf>
    <xf numFmtId="2" fontId="11" fillId="0" borderId="208" xfId="0" applyNumberFormat="1" applyFont="1" applyBorder="1" applyAlignment="1">
      <alignment horizontal="right" wrapText="1"/>
    </xf>
    <xf numFmtId="2" fontId="11" fillId="0" borderId="139" xfId="0" applyNumberFormat="1" applyFont="1" applyBorder="1" applyAlignment="1">
      <alignment horizontal="right"/>
    </xf>
    <xf numFmtId="2" fontId="11" fillId="0" borderId="139" xfId="0" applyNumberFormat="1" applyFont="1" applyBorder="1" applyAlignment="1">
      <alignment horizontal="right" wrapText="1"/>
    </xf>
    <xf numFmtId="2" fontId="11" fillId="0" borderId="64" xfId="0" applyNumberFormat="1" applyFont="1" applyBorder="1" applyAlignment="1">
      <alignment horizontal="right" wrapText="1"/>
    </xf>
    <xf numFmtId="2" fontId="10" fillId="0" borderId="196" xfId="0" applyNumberFormat="1" applyFont="1" applyBorder="1" applyAlignment="1">
      <alignment horizontal="right" wrapText="1"/>
    </xf>
    <xf numFmtId="2" fontId="10" fillId="0" borderId="219" xfId="0" applyNumberFormat="1" applyFont="1" applyBorder="1" applyAlignment="1">
      <alignment horizontal="right" wrapText="1"/>
    </xf>
    <xf numFmtId="2" fontId="10" fillId="0" borderId="209" xfId="0" applyNumberFormat="1" applyFont="1" applyBorder="1" applyAlignment="1">
      <alignment horizontal="right" wrapText="1"/>
    </xf>
    <xf numFmtId="2" fontId="10" fillId="0" borderId="200" xfId="0" applyNumberFormat="1" applyFont="1" applyBorder="1" applyAlignment="1">
      <alignment horizontal="right" wrapText="1"/>
    </xf>
    <xf numFmtId="2" fontId="6" fillId="0" borderId="1" xfId="0" applyNumberFormat="1" applyFont="1" applyBorder="1" applyAlignment="1">
      <alignment horizontal="right" wrapText="1"/>
    </xf>
    <xf numFmtId="2" fontId="6" fillId="0" borderId="7" xfId="0" applyNumberFormat="1" applyFont="1" applyBorder="1" applyAlignment="1">
      <alignment horizontal="right" wrapText="1"/>
    </xf>
    <xf numFmtId="2" fontId="6" fillId="0" borderId="4" xfId="0" applyNumberFormat="1" applyFont="1" applyBorder="1" applyAlignment="1">
      <alignment horizontal="right" wrapText="1"/>
    </xf>
    <xf numFmtId="2" fontId="6" fillId="0" borderId="209" xfId="0" applyNumberFormat="1" applyFont="1" applyBorder="1" applyAlignment="1">
      <alignment horizontal="right" wrapText="1"/>
    </xf>
    <xf numFmtId="2" fontId="7" fillId="0" borderId="210" xfId="0" applyNumberFormat="1" applyFont="1" applyBorder="1" applyAlignment="1">
      <alignment horizontal="right" wrapText="1"/>
    </xf>
    <xf numFmtId="3" fontId="10" fillId="0" borderId="20" xfId="0" applyNumberFormat="1" applyFont="1" applyBorder="1" applyAlignment="1">
      <alignment horizontal="right" wrapText="1"/>
    </xf>
    <xf numFmtId="3" fontId="10" fillId="0" borderId="220" xfId="0" applyNumberFormat="1" applyFont="1" applyBorder="1" applyAlignment="1">
      <alignment horizontal="right" wrapText="1"/>
    </xf>
    <xf numFmtId="3" fontId="11" fillId="0" borderId="38" xfId="0" applyNumberFormat="1" applyFont="1" applyBorder="1" applyAlignment="1">
      <alignment horizontal="right" wrapText="1"/>
    </xf>
    <xf numFmtId="3" fontId="10" fillId="0" borderId="62" xfId="0" applyNumberFormat="1" applyFont="1" applyBorder="1" applyAlignment="1">
      <alignment horizontal="right" wrapText="1"/>
    </xf>
    <xf numFmtId="3" fontId="11" fillId="0" borderId="50" xfId="0" applyNumberFormat="1" applyFont="1" applyBorder="1" applyAlignment="1">
      <alignment horizontal="right" wrapText="1"/>
    </xf>
    <xf numFmtId="3" fontId="10" fillId="0" borderId="218" xfId="0" applyNumberFormat="1" applyFont="1" applyBorder="1" applyAlignment="1">
      <alignment horizontal="right" wrapText="1"/>
    </xf>
    <xf numFmtId="3" fontId="10" fillId="0" borderId="227" xfId="0" applyNumberFormat="1" applyFont="1" applyBorder="1" applyAlignment="1">
      <alignment horizontal="right" wrapText="1"/>
    </xf>
    <xf numFmtId="3" fontId="11" fillId="0" borderId="131" xfId="0" applyNumberFormat="1" applyFont="1" applyBorder="1" applyAlignment="1">
      <alignment horizontal="right" wrapText="1"/>
    </xf>
    <xf numFmtId="3" fontId="10" fillId="0" borderId="38" xfId="0" applyNumberFormat="1" applyFont="1" applyBorder="1" applyAlignment="1">
      <alignment horizontal="right" wrapText="1"/>
    </xf>
    <xf numFmtId="3" fontId="69" fillId="0" borderId="60" xfId="0" applyNumberFormat="1" applyFont="1" applyBorder="1"/>
    <xf numFmtId="3" fontId="69" fillId="0" borderId="226" xfId="0" applyNumberFormat="1" applyFont="1" applyBorder="1"/>
    <xf numFmtId="3" fontId="70" fillId="0" borderId="67" xfId="0" applyNumberFormat="1" applyFont="1" applyBorder="1"/>
    <xf numFmtId="2" fontId="69" fillId="0" borderId="76" xfId="0" applyNumberFormat="1" applyFont="1" applyBorder="1"/>
    <xf numFmtId="2" fontId="69" fillId="0" borderId="222" xfId="0" applyNumberFormat="1" applyFont="1" applyBorder="1"/>
    <xf numFmtId="2" fontId="70" fillId="0" borderId="68" xfId="0" applyNumberFormat="1" applyFont="1" applyBorder="1"/>
    <xf numFmtId="3" fontId="69" fillId="0" borderId="51" xfId="0" applyNumberFormat="1" applyFont="1" applyBorder="1"/>
    <xf numFmtId="2" fontId="69" fillId="0" borderId="53" xfId="0" applyNumberFormat="1" applyFont="1" applyBorder="1"/>
    <xf numFmtId="3" fontId="69" fillId="0" borderId="215" xfId="0" applyNumberFormat="1" applyFont="1" applyBorder="1"/>
    <xf numFmtId="2" fontId="69" fillId="0" borderId="3" xfId="0" applyNumberFormat="1" applyFont="1" applyBorder="1"/>
    <xf numFmtId="2" fontId="69" fillId="0" borderId="216" xfId="0" applyNumberFormat="1" applyFont="1" applyBorder="1"/>
    <xf numFmtId="0" fontId="69" fillId="0" borderId="4" xfId="0" applyFont="1" applyBorder="1"/>
    <xf numFmtId="2" fontId="69" fillId="0" borderId="202" xfId="0" applyNumberFormat="1" applyFont="1" applyBorder="1"/>
    <xf numFmtId="3" fontId="70" fillId="0" borderId="64" xfId="0" applyNumberFormat="1" applyFont="1" applyBorder="1"/>
    <xf numFmtId="2" fontId="70" fillId="0" borderId="66" xfId="0" applyNumberFormat="1" applyFont="1" applyBorder="1"/>
    <xf numFmtId="2" fontId="0" fillId="0" borderId="15" xfId="0" applyNumberFormat="1" applyBorder="1"/>
    <xf numFmtId="3" fontId="69" fillId="0" borderId="56" xfId="0" applyNumberFormat="1" applyFont="1" applyBorder="1"/>
    <xf numFmtId="9" fontId="6" fillId="0" borderId="216" xfId="5" applyFont="1" applyBorder="1"/>
    <xf numFmtId="9" fontId="6" fillId="0" borderId="216" xfId="5" applyFont="1" applyBorder="1" applyAlignment="1">
      <alignment horizontal="right"/>
    </xf>
    <xf numFmtId="164" fontId="7" fillId="0" borderId="11" xfId="0" applyNumberFormat="1" applyFont="1" applyBorder="1"/>
    <xf numFmtId="164" fontId="7" fillId="0" borderId="31" xfId="0" applyNumberFormat="1" applyFont="1" applyBorder="1"/>
    <xf numFmtId="164" fontId="7" fillId="0" borderId="36" xfId="0" applyNumberFormat="1" applyFont="1" applyBorder="1"/>
    <xf numFmtId="0" fontId="6" fillId="0" borderId="82" xfId="0" applyFont="1" applyBorder="1" applyAlignment="1">
      <alignment wrapText="1"/>
    </xf>
    <xf numFmtId="0" fontId="8" fillId="0" borderId="73" xfId="0" applyFont="1" applyBorder="1" applyAlignment="1">
      <alignment horizontal="center"/>
    </xf>
    <xf numFmtId="3" fontId="6" fillId="0" borderId="218" xfId="0" applyNumberFormat="1" applyFont="1" applyBorder="1"/>
    <xf numFmtId="9" fontId="6" fillId="0" borderId="185" xfId="5" applyFont="1" applyFill="1" applyBorder="1" applyAlignment="1">
      <alignment horizontal="right"/>
    </xf>
    <xf numFmtId="3" fontId="8" fillId="0" borderId="80" xfId="0" applyNumberFormat="1" applyFont="1" applyBorder="1"/>
    <xf numFmtId="2" fontId="8" fillId="0" borderId="221" xfId="0" applyNumberFormat="1" applyFont="1" applyBorder="1"/>
    <xf numFmtId="9" fontId="6" fillId="0" borderId="185" xfId="5" applyFont="1" applyBorder="1" applyAlignment="1">
      <alignment horizontal="right"/>
    </xf>
    <xf numFmtId="4" fontId="6" fillId="0" borderId="226" xfId="0" applyNumberFormat="1" applyFont="1" applyBorder="1"/>
    <xf numFmtId="4" fontId="7" fillId="0" borderId="225" xfId="0" applyNumberFormat="1" applyFont="1" applyBorder="1"/>
    <xf numFmtId="2" fontId="8" fillId="0" borderId="227" xfId="0" applyNumberFormat="1" applyFont="1" applyBorder="1"/>
    <xf numFmtId="9" fontId="6" fillId="0" borderId="98" xfId="5" applyFont="1" applyBorder="1" applyAlignment="1">
      <alignment horizontal="right"/>
    </xf>
    <xf numFmtId="164" fontId="7" fillId="0" borderId="1" xfId="0" applyNumberFormat="1" applyFont="1" applyBorder="1" applyAlignment="1">
      <alignment horizontal="right"/>
    </xf>
    <xf numFmtId="164" fontId="7" fillId="0" borderId="2" xfId="0" applyNumberFormat="1" applyFont="1" applyBorder="1" applyAlignment="1">
      <alignment horizontal="right"/>
    </xf>
    <xf numFmtId="2" fontId="6" fillId="0" borderId="224" xfId="0" applyNumberFormat="1" applyFont="1" applyBorder="1"/>
    <xf numFmtId="9" fontId="6" fillId="0" borderId="42" xfId="5" applyFont="1" applyFill="1" applyBorder="1" applyAlignment="1">
      <alignment horizontal="right" vertical="center" wrapText="1"/>
    </xf>
    <xf numFmtId="9" fontId="6" fillId="0" borderId="218" xfId="5" applyFont="1" applyFill="1" applyBorder="1" applyAlignment="1">
      <alignment horizontal="right" vertical="center" wrapText="1"/>
    </xf>
    <xf numFmtId="0" fontId="8" fillId="0" borderId="223" xfId="0" applyFont="1" applyBorder="1" applyAlignment="1">
      <alignment horizontal="center"/>
    </xf>
    <xf numFmtId="3" fontId="7" fillId="0" borderId="63" xfId="0" applyNumberFormat="1" applyFont="1" applyBorder="1" applyAlignment="1">
      <alignment horizontal="right"/>
    </xf>
    <xf numFmtId="3" fontId="6" fillId="0" borderId="220" xfId="0" applyNumberFormat="1" applyFont="1" applyBorder="1"/>
    <xf numFmtId="3" fontId="7" fillId="0" borderId="20" xfId="0" applyNumberFormat="1" applyFont="1" applyBorder="1" applyAlignment="1">
      <alignment horizontal="right"/>
    </xf>
    <xf numFmtId="3" fontId="7" fillId="0" borderId="218" xfId="0" applyNumberFormat="1" applyFont="1" applyBorder="1" applyAlignment="1">
      <alignment horizontal="right"/>
    </xf>
    <xf numFmtId="3" fontId="7" fillId="0" borderId="62" xfId="0" applyNumberFormat="1" applyFont="1" applyBorder="1" applyAlignment="1">
      <alignment horizontal="right"/>
    </xf>
    <xf numFmtId="3" fontId="7" fillId="0" borderId="42" xfId="0" applyNumberFormat="1" applyFont="1" applyBorder="1" applyAlignment="1">
      <alignment horizontal="right"/>
    </xf>
    <xf numFmtId="0" fontId="6" fillId="0" borderId="220" xfId="0" applyFont="1" applyBorder="1"/>
    <xf numFmtId="0" fontId="9" fillId="0" borderId="212" xfId="0" applyFont="1" applyBorder="1" applyAlignment="1">
      <alignment horizontal="center"/>
    </xf>
    <xf numFmtId="164" fontId="7" fillId="0" borderId="51" xfId="0" applyNumberFormat="1" applyFont="1" applyBorder="1"/>
    <xf numFmtId="3" fontId="7" fillId="0" borderId="223" xfId="0" applyNumberFormat="1" applyFont="1" applyBorder="1" applyAlignment="1">
      <alignment horizontal="right" wrapText="1"/>
    </xf>
    <xf numFmtId="9" fontId="6" fillId="0" borderId="185" xfId="5" applyFont="1" applyFill="1" applyBorder="1" applyAlignment="1"/>
    <xf numFmtId="4" fontId="6" fillId="0" borderId="224" xfId="0" applyNumberFormat="1" applyFont="1" applyBorder="1"/>
    <xf numFmtId="4" fontId="6" fillId="0" borderId="204" xfId="0" applyNumberFormat="1" applyFont="1" applyBorder="1"/>
    <xf numFmtId="0" fontId="9" fillId="0" borderId="142" xfId="0" applyFont="1" applyBorder="1" applyAlignment="1">
      <alignment horizontal="center"/>
    </xf>
    <xf numFmtId="2" fontId="9" fillId="0" borderId="71" xfId="0" applyNumberFormat="1" applyFont="1" applyBorder="1" applyAlignment="1">
      <alignment horizontal="right"/>
    </xf>
    <xf numFmtId="9" fontId="10" fillId="0" borderId="221" xfId="5" applyFont="1" applyBorder="1" applyAlignment="1">
      <alignment horizontal="right" wrapText="1"/>
    </xf>
    <xf numFmtId="2" fontId="11" fillId="0" borderId="70" xfId="0" applyNumberFormat="1" applyFont="1" applyBorder="1" applyAlignment="1">
      <alignment horizontal="right" wrapText="1"/>
    </xf>
    <xf numFmtId="9" fontId="10" fillId="0" borderId="223" xfId="5" applyFont="1" applyBorder="1" applyAlignment="1">
      <alignment horizontal="right" wrapText="1"/>
    </xf>
    <xf numFmtId="3" fontId="7" fillId="0" borderId="3" xfId="0" applyNumberFormat="1" applyFont="1" applyBorder="1" applyAlignment="1">
      <alignment horizontal="right" wrapText="1"/>
    </xf>
    <xf numFmtId="3" fontId="9" fillId="0" borderId="172" xfId="0" applyNumberFormat="1" applyFont="1" applyBorder="1" applyAlignment="1">
      <alignment horizontal="right" wrapText="1"/>
    </xf>
    <xf numFmtId="3" fontId="7" fillId="0" borderId="53" xfId="0" applyNumberFormat="1" applyFont="1" applyBorder="1" applyAlignment="1">
      <alignment horizontal="right" wrapText="1"/>
    </xf>
    <xf numFmtId="3" fontId="7" fillId="0" borderId="5" xfId="0" applyNumberFormat="1" applyFont="1" applyBorder="1" applyAlignment="1">
      <alignment horizontal="right" wrapText="1"/>
    </xf>
    <xf numFmtId="3" fontId="9" fillId="0" borderId="66" xfId="0" applyNumberFormat="1" applyFont="1" applyBorder="1" applyAlignment="1">
      <alignment horizontal="right" wrapText="1"/>
    </xf>
    <xf numFmtId="3" fontId="7" fillId="0" borderId="202" xfId="0" applyNumberFormat="1" applyFont="1" applyBorder="1" applyAlignment="1">
      <alignment horizontal="right" wrapText="1"/>
    </xf>
    <xf numFmtId="3" fontId="9" fillId="0" borderId="25" xfId="0" applyNumberFormat="1" applyFont="1" applyBorder="1" applyAlignment="1">
      <alignment horizontal="right"/>
    </xf>
    <xf numFmtId="3" fontId="9" fillId="0" borderId="66" xfId="0" applyNumberFormat="1" applyFont="1" applyBorder="1" applyAlignment="1">
      <alignment horizontal="right"/>
    </xf>
    <xf numFmtId="2" fontId="9" fillId="0" borderId="79" xfId="0" applyNumberFormat="1" applyFont="1" applyBorder="1"/>
    <xf numFmtId="0" fontId="7" fillId="0" borderId="63" xfId="4" applyFont="1" applyBorder="1"/>
    <xf numFmtId="3" fontId="7" fillId="0" borderId="217" xfId="0" applyNumberFormat="1" applyFont="1" applyBorder="1" applyAlignment="1">
      <alignment horizontal="right"/>
    </xf>
    <xf numFmtId="2" fontId="11" fillId="0" borderId="116" xfId="0" applyNumberFormat="1" applyFont="1" applyBorder="1" applyAlignment="1">
      <alignment horizontal="right"/>
    </xf>
    <xf numFmtId="0" fontId="6" fillId="0" borderId="98" xfId="0" applyFont="1" applyBorder="1"/>
    <xf numFmtId="2" fontId="11" fillId="0" borderId="39" xfId="0" applyNumberFormat="1" applyFont="1" applyBorder="1" applyAlignment="1">
      <alignment horizontal="right"/>
    </xf>
    <xf numFmtId="2" fontId="11" fillId="0" borderId="42" xfId="0" applyNumberFormat="1" applyFont="1" applyBorder="1" applyAlignment="1">
      <alignment horizontal="right" wrapText="1"/>
    </xf>
    <xf numFmtId="9" fontId="6" fillId="0" borderId="5" xfId="5" applyFont="1" applyBorder="1"/>
    <xf numFmtId="9" fontId="11" fillId="0" borderId="131" xfId="5" applyFont="1" applyBorder="1" applyAlignment="1">
      <alignment horizontal="right" wrapText="1"/>
    </xf>
    <xf numFmtId="9" fontId="11" fillId="0" borderId="50" xfId="5" applyFont="1" applyBorder="1" applyAlignment="1">
      <alignment horizontal="right" wrapText="1"/>
    </xf>
    <xf numFmtId="2" fontId="7" fillId="0" borderId="229" xfId="0" applyNumberFormat="1" applyFont="1" applyBorder="1"/>
    <xf numFmtId="2" fontId="6" fillId="0" borderId="218" xfId="0" applyNumberFormat="1" applyFont="1" applyBorder="1"/>
    <xf numFmtId="2" fontId="11" fillId="0" borderId="43" xfId="0" applyNumberFormat="1" applyFont="1" applyBorder="1" applyAlignment="1">
      <alignment horizontal="right"/>
    </xf>
    <xf numFmtId="2" fontId="11" fillId="0" borderId="50" xfId="0" applyNumberFormat="1" applyFont="1" applyBorder="1" applyAlignment="1">
      <alignment horizontal="right" wrapText="1"/>
    </xf>
    <xf numFmtId="2" fontId="7" fillId="0" borderId="219" xfId="0" applyNumberFormat="1" applyFont="1" applyBorder="1" applyAlignment="1">
      <alignment horizontal="right" wrapText="1"/>
    </xf>
    <xf numFmtId="2" fontId="7" fillId="0" borderId="230" xfId="0" applyNumberFormat="1" applyFont="1" applyBorder="1" applyAlignment="1">
      <alignment horizontal="right" wrapText="1"/>
    </xf>
    <xf numFmtId="9" fontId="6" fillId="0" borderId="231" xfId="5" applyFont="1" applyBorder="1" applyAlignment="1">
      <alignment horizontal="right"/>
    </xf>
    <xf numFmtId="4" fontId="6" fillId="0" borderId="229" xfId="0" applyNumberFormat="1" applyFont="1" applyBorder="1"/>
    <xf numFmtId="4" fontId="7" fillId="0" borderId="221" xfId="0" applyNumberFormat="1" applyFont="1" applyBorder="1"/>
    <xf numFmtId="2" fontId="7" fillId="0" borderId="233" xfId="0" applyNumberFormat="1" applyFont="1" applyBorder="1" applyAlignment="1">
      <alignment horizontal="right" wrapText="1"/>
    </xf>
    <xf numFmtId="4" fontId="7" fillId="0" borderId="223" xfId="0" applyNumberFormat="1" applyFont="1" applyBorder="1"/>
    <xf numFmtId="4" fontId="7" fillId="0" borderId="204" xfId="0" applyNumberFormat="1" applyFont="1" applyBorder="1"/>
    <xf numFmtId="4" fontId="9" fillId="0" borderId="220" xfId="0" applyNumberFormat="1" applyFont="1" applyBorder="1"/>
    <xf numFmtId="3" fontId="7" fillId="0" borderId="38" xfId="0" applyNumberFormat="1" applyFont="1" applyBorder="1" applyAlignment="1">
      <alignment horizontal="right"/>
    </xf>
    <xf numFmtId="3" fontId="7" fillId="0" borderId="220" xfId="0" applyNumberFormat="1" applyFont="1" applyBorder="1" applyAlignment="1">
      <alignment horizontal="right"/>
    </xf>
    <xf numFmtId="3" fontId="9" fillId="0" borderId="38" xfId="0" applyNumberFormat="1" applyFont="1" applyBorder="1" applyAlignment="1">
      <alignment horizontal="right"/>
    </xf>
    <xf numFmtId="3" fontId="9" fillId="0" borderId="50" xfId="0" applyNumberFormat="1" applyFont="1" applyBorder="1" applyAlignment="1">
      <alignment horizontal="right"/>
    </xf>
    <xf numFmtId="3" fontId="7" fillId="0" borderId="215" xfId="0" applyNumberFormat="1" applyFont="1" applyBorder="1" applyAlignment="1">
      <alignment horizontal="right"/>
    </xf>
    <xf numFmtId="0" fontId="63" fillId="0" borderId="0" xfId="0" applyFont="1"/>
    <xf numFmtId="2" fontId="7" fillId="0" borderId="20" xfId="0" applyNumberFormat="1" applyFont="1" applyBorder="1" applyAlignment="1">
      <alignment horizontal="right" wrapText="1"/>
    </xf>
    <xf numFmtId="2" fontId="7" fillId="0" borderId="220" xfId="0" applyNumberFormat="1" applyFont="1" applyBorder="1" applyAlignment="1">
      <alignment horizontal="right" wrapText="1"/>
    </xf>
    <xf numFmtId="2" fontId="7" fillId="0" borderId="38" xfId="0" applyNumberFormat="1" applyFont="1" applyBorder="1" applyAlignment="1">
      <alignment horizontal="right" wrapText="1"/>
    </xf>
    <xf numFmtId="2" fontId="7" fillId="0" borderId="62" xfId="0" applyNumberFormat="1" applyFont="1" applyBorder="1" applyAlignment="1">
      <alignment horizontal="right" wrapText="1"/>
    </xf>
    <xf numFmtId="2" fontId="7" fillId="0" borderId="50" xfId="0" applyNumberFormat="1" applyFont="1" applyBorder="1" applyAlignment="1">
      <alignment horizontal="right" wrapText="1"/>
    </xf>
    <xf numFmtId="2" fontId="7" fillId="0" borderId="62" xfId="0" applyNumberFormat="1" applyFont="1" applyBorder="1" applyAlignment="1">
      <alignment horizontal="right"/>
    </xf>
    <xf numFmtId="2" fontId="7" fillId="0" borderId="42" xfId="0" applyNumberFormat="1" applyFont="1" applyBorder="1" applyAlignment="1">
      <alignment horizontal="right"/>
    </xf>
    <xf numFmtId="2" fontId="7" fillId="0" borderId="50" xfId="0" applyNumberFormat="1" applyFont="1" applyBorder="1" applyAlignment="1">
      <alignment horizontal="right"/>
    </xf>
    <xf numFmtId="2" fontId="7" fillId="0" borderId="218" xfId="0" applyNumberFormat="1" applyFont="1" applyBorder="1" applyAlignment="1">
      <alignment horizontal="right" wrapText="1"/>
    </xf>
    <xf numFmtId="4" fontId="6" fillId="0" borderId="1" xfId="0" applyNumberFormat="1" applyFont="1" applyBorder="1"/>
    <xf numFmtId="0" fontId="7" fillId="0" borderId="225" xfId="0" applyFont="1" applyBorder="1" applyAlignment="1">
      <alignment horizontal="center"/>
    </xf>
    <xf numFmtId="3" fontId="7" fillId="0" borderId="225" xfId="0" applyNumberFormat="1" applyFont="1" applyBorder="1" applyAlignment="1">
      <alignment horizontal="right"/>
    </xf>
    <xf numFmtId="4" fontId="7" fillId="0" borderId="222" xfId="0" applyNumberFormat="1" applyFont="1" applyBorder="1"/>
    <xf numFmtId="4" fontId="9" fillId="0" borderId="218" xfId="0" applyNumberFormat="1" applyFont="1" applyBorder="1"/>
    <xf numFmtId="0" fontId="7" fillId="0" borderId="63" xfId="0" applyFont="1" applyBorder="1" applyAlignment="1">
      <alignment horizontal="center"/>
    </xf>
    <xf numFmtId="4" fontId="6" fillId="0" borderId="4" xfId="0" applyNumberFormat="1" applyFont="1" applyBorder="1"/>
    <xf numFmtId="4" fontId="6" fillId="0" borderId="215" xfId="0" applyNumberFormat="1" applyFont="1" applyBorder="1"/>
    <xf numFmtId="4" fontId="8" fillId="0" borderId="64" xfId="0" applyNumberFormat="1" applyFont="1" applyBorder="1"/>
    <xf numFmtId="3" fontId="8" fillId="0" borderId="84" xfId="4" applyNumberFormat="1" applyFont="1" applyBorder="1"/>
    <xf numFmtId="3" fontId="6" fillId="0" borderId="4" xfId="4" applyNumberFormat="1" applyFont="1" applyBorder="1" applyAlignment="1">
      <alignment horizontal="right"/>
    </xf>
    <xf numFmtId="3" fontId="6" fillId="0" borderId="232" xfId="4" applyNumberFormat="1" applyFont="1" applyBorder="1"/>
    <xf numFmtId="3" fontId="7" fillId="0" borderId="231" xfId="4" applyNumberFormat="1" applyFont="1" applyBorder="1"/>
    <xf numFmtId="3" fontId="6" fillId="0" borderId="4" xfId="4" applyNumberFormat="1" applyFont="1" applyBorder="1"/>
    <xf numFmtId="3" fontId="7" fillId="0" borderId="201" xfId="4" applyNumberFormat="1" applyFont="1" applyBorder="1"/>
    <xf numFmtId="3" fontId="9" fillId="0" borderId="64" xfId="4" applyNumberFormat="1" applyFont="1" applyBorder="1"/>
    <xf numFmtId="3" fontId="9" fillId="0" borderId="65" xfId="4" applyNumberFormat="1" applyFont="1" applyBorder="1"/>
    <xf numFmtId="3" fontId="7" fillId="0" borderId="52" xfId="4" applyNumberFormat="1" applyFont="1" applyBorder="1"/>
    <xf numFmtId="3" fontId="7" fillId="0" borderId="2" xfId="4" applyNumberFormat="1" applyFont="1" applyBorder="1"/>
    <xf numFmtId="3" fontId="7" fillId="0" borderId="215" xfId="4" applyNumberFormat="1" applyFont="1" applyBorder="1"/>
    <xf numFmtId="3" fontId="7" fillId="0" borderId="217" xfId="4" applyNumberFormat="1" applyFont="1" applyBorder="1"/>
    <xf numFmtId="3" fontId="7" fillId="0" borderId="219" xfId="4" applyNumberFormat="1" applyFont="1" applyBorder="1"/>
    <xf numFmtId="3" fontId="7" fillId="0" borderId="232" xfId="4" applyNumberFormat="1" applyFont="1" applyBorder="1"/>
    <xf numFmtId="3" fontId="7" fillId="0" borderId="4" xfId="4" applyNumberFormat="1" applyFont="1" applyBorder="1"/>
    <xf numFmtId="0" fontId="7" fillId="0" borderId="27" xfId="0" applyFont="1" applyBorder="1"/>
    <xf numFmtId="0" fontId="9" fillId="0" borderId="27" xfId="0" applyFont="1" applyBorder="1"/>
    <xf numFmtId="3" fontId="6" fillId="0" borderId="222" xfId="0" applyNumberFormat="1" applyFont="1" applyBorder="1"/>
    <xf numFmtId="3" fontId="6" fillId="0" borderId="224" xfId="0" applyNumberFormat="1" applyFont="1" applyBorder="1"/>
    <xf numFmtId="3" fontId="6" fillId="0" borderId="226" xfId="0" applyNumberFormat="1" applyFont="1" applyBorder="1"/>
    <xf numFmtId="0" fontId="8" fillId="0" borderId="220" xfId="0" applyFont="1" applyBorder="1" applyAlignment="1">
      <alignment horizontal="center" vertical="center"/>
    </xf>
    <xf numFmtId="3" fontId="7" fillId="0" borderId="4" xfId="48" applyNumberFormat="1" applyBorder="1" applyAlignment="1">
      <alignment horizontal="right" vertical="center" wrapText="1"/>
    </xf>
    <xf numFmtId="3" fontId="7" fillId="0" borderId="201" xfId="48" applyNumberFormat="1" applyBorder="1" applyAlignment="1">
      <alignment horizontal="right" vertical="center" wrapText="1"/>
    </xf>
    <xf numFmtId="2" fontId="6" fillId="0" borderId="216" xfId="0" applyNumberFormat="1" applyFont="1" applyBorder="1"/>
    <xf numFmtId="2" fontId="6" fillId="0" borderId="20" xfId="0" applyNumberFormat="1" applyFont="1" applyBorder="1"/>
    <xf numFmtId="2" fontId="6" fillId="0" borderId="220" xfId="0" applyNumberFormat="1" applyFont="1" applyBorder="1"/>
    <xf numFmtId="2" fontId="6" fillId="0" borderId="62" xfId="0" applyNumberFormat="1" applyFont="1" applyBorder="1"/>
    <xf numFmtId="0" fontId="8" fillId="0" borderId="50" xfId="0" applyFont="1" applyBorder="1"/>
    <xf numFmtId="0" fontId="8" fillId="0" borderId="65" xfId="0" applyFont="1" applyBorder="1"/>
    <xf numFmtId="2" fontId="6" fillId="0" borderId="221" xfId="0" applyNumberFormat="1" applyFont="1" applyBorder="1"/>
    <xf numFmtId="2" fontId="6" fillId="0" borderId="8" xfId="0" applyNumberFormat="1" applyFont="1" applyBorder="1"/>
    <xf numFmtId="2" fontId="6" fillId="0" borderId="223" xfId="0" applyNumberFormat="1" applyFont="1" applyBorder="1"/>
    <xf numFmtId="3" fontId="8" fillId="0" borderId="48" xfId="0" applyNumberFormat="1" applyFont="1" applyBorder="1"/>
    <xf numFmtId="1" fontId="8" fillId="0" borderId="63" xfId="0" applyNumberFormat="1" applyFont="1" applyBorder="1"/>
    <xf numFmtId="1" fontId="8" fillId="0" borderId="101" xfId="0" applyNumberFormat="1" applyFont="1" applyBorder="1" applyAlignment="1">
      <alignment horizontal="right"/>
    </xf>
    <xf numFmtId="1" fontId="8" fillId="0" borderId="83" xfId="0" applyNumberFormat="1" applyFont="1" applyBorder="1" applyAlignment="1">
      <alignment horizontal="right"/>
    </xf>
    <xf numFmtId="1" fontId="8" fillId="0" borderId="142" xfId="0" applyNumberFormat="1" applyFont="1" applyBorder="1" applyAlignment="1">
      <alignment horizontal="right"/>
    </xf>
    <xf numFmtId="0" fontId="7" fillId="0" borderId="20" xfId="0" applyFont="1" applyBorder="1"/>
    <xf numFmtId="2" fontId="7" fillId="0" borderId="10" xfId="0" applyNumberFormat="1" applyFont="1" applyBorder="1" applyAlignment="1">
      <alignment horizontal="right"/>
    </xf>
    <xf numFmtId="2" fontId="7" fillId="0" borderId="15" xfId="0" applyNumberFormat="1" applyFont="1" applyBorder="1" applyAlignment="1">
      <alignment horizontal="right"/>
    </xf>
    <xf numFmtId="2" fontId="9" fillId="0" borderId="19" xfId="0" applyNumberFormat="1" applyFont="1" applyBorder="1" applyAlignment="1">
      <alignment horizontal="right"/>
    </xf>
    <xf numFmtId="2" fontId="7" fillId="0" borderId="1" xfId="0" applyNumberFormat="1" applyFont="1" applyBorder="1" applyAlignment="1">
      <alignment horizontal="right"/>
    </xf>
    <xf numFmtId="2" fontId="7" fillId="0" borderId="12" xfId="0" applyNumberFormat="1" applyFont="1" applyBorder="1" applyAlignment="1">
      <alignment horizontal="right"/>
    </xf>
    <xf numFmtId="2" fontId="9" fillId="0" borderId="20" xfId="0" applyNumberFormat="1" applyFont="1" applyBorder="1" applyAlignment="1">
      <alignment horizontal="right"/>
    </xf>
    <xf numFmtId="0" fontId="8" fillId="0" borderId="171" xfId="0" applyFont="1" applyBorder="1" applyAlignment="1">
      <alignment horizontal="center"/>
    </xf>
    <xf numFmtId="0" fontId="8" fillId="0" borderId="212" xfId="0" applyFont="1" applyBorder="1" applyAlignment="1">
      <alignment horizontal="center"/>
    </xf>
    <xf numFmtId="0" fontId="8" fillId="0" borderId="236" xfId="0" applyFont="1" applyBorder="1" applyAlignment="1">
      <alignment horizontal="center"/>
    </xf>
    <xf numFmtId="0" fontId="8" fillId="0" borderId="211" xfId="0" applyFont="1" applyBorder="1" applyAlignment="1">
      <alignment horizontal="center"/>
    </xf>
    <xf numFmtId="0" fontId="8" fillId="0" borderId="235" xfId="0" applyFont="1" applyBorder="1" applyAlignment="1">
      <alignment horizontal="center"/>
    </xf>
    <xf numFmtId="0" fontId="8" fillId="0" borderId="234" xfId="0" applyFont="1" applyBorder="1" applyAlignment="1">
      <alignment horizontal="center"/>
    </xf>
    <xf numFmtId="0" fontId="8" fillId="0" borderId="211" xfId="0" applyFont="1" applyBorder="1" applyAlignment="1">
      <alignment horizontal="center" vertical="center"/>
    </xf>
    <xf numFmtId="0" fontId="8" fillId="0" borderId="235" xfId="0" applyFont="1" applyBorder="1" applyAlignment="1">
      <alignment horizontal="center" vertical="center"/>
    </xf>
    <xf numFmtId="0" fontId="8" fillId="0" borderId="234" xfId="0" applyFont="1" applyBorder="1" applyAlignment="1">
      <alignment horizontal="center" vertical="center"/>
    </xf>
    <xf numFmtId="2" fontId="7" fillId="0" borderId="229" xfId="0" applyNumberFormat="1" applyFont="1" applyBorder="1" applyAlignment="1">
      <alignment horizontal="right" wrapText="1"/>
    </xf>
    <xf numFmtId="2" fontId="7" fillId="0" borderId="224" xfId="0" applyNumberFormat="1" applyFont="1" applyBorder="1" applyAlignment="1">
      <alignment horizontal="right" wrapText="1"/>
    </xf>
    <xf numFmtId="0" fontId="7" fillId="0" borderId="218" xfId="0" applyFont="1" applyBorder="1"/>
    <xf numFmtId="2" fontId="7" fillId="0" borderId="226" xfId="0" applyNumberFormat="1" applyFont="1" applyBorder="1" applyAlignment="1">
      <alignment horizontal="right"/>
    </xf>
    <xf numFmtId="2" fontId="7" fillId="0" borderId="222" xfId="0" applyNumberFormat="1" applyFont="1" applyBorder="1" applyAlignment="1">
      <alignment horizontal="right"/>
    </xf>
    <xf numFmtId="2" fontId="7" fillId="0" borderId="215" xfId="0" applyNumberFormat="1" applyFont="1" applyBorder="1" applyAlignment="1">
      <alignment horizontal="right"/>
    </xf>
    <xf numFmtId="2" fontId="9" fillId="0" borderId="218" xfId="0" applyNumberFormat="1" applyFont="1" applyBorder="1" applyAlignment="1">
      <alignment horizontal="right"/>
    </xf>
    <xf numFmtId="0" fontId="7" fillId="0" borderId="225" xfId="4" applyFont="1" applyBorder="1"/>
    <xf numFmtId="2" fontId="7" fillId="0" borderId="2" xfId="0" applyNumberFormat="1" applyFont="1" applyBorder="1"/>
    <xf numFmtId="2" fontId="7" fillId="0" borderId="52" xfId="0" applyNumberFormat="1" applyFont="1" applyBorder="1"/>
    <xf numFmtId="2" fontId="7" fillId="0" borderId="217" xfId="0" applyNumberFormat="1" applyFont="1" applyBorder="1"/>
    <xf numFmtId="2" fontId="7" fillId="0" borderId="201" xfId="0" applyNumberFormat="1" applyFont="1" applyBorder="1"/>
    <xf numFmtId="2" fontId="9" fillId="0" borderId="65" xfId="0" applyNumberFormat="1" applyFont="1" applyBorder="1"/>
    <xf numFmtId="2" fontId="9" fillId="0" borderId="27" xfId="0" applyNumberFormat="1" applyFont="1" applyBorder="1" applyAlignment="1">
      <alignment horizontal="right" wrapText="1"/>
    </xf>
    <xf numFmtId="2" fontId="9" fillId="0" borderId="223" xfId="0" applyNumberFormat="1" applyFont="1" applyBorder="1"/>
    <xf numFmtId="1" fontId="6" fillId="0" borderId="225" xfId="0" applyNumberFormat="1" applyFont="1" applyBorder="1"/>
    <xf numFmtId="1" fontId="6" fillId="0" borderId="0" xfId="0" applyNumberFormat="1" applyFont="1"/>
    <xf numFmtId="0" fontId="8" fillId="0" borderId="66" xfId="0" applyFont="1" applyBorder="1"/>
    <xf numFmtId="0" fontId="31" fillId="0" borderId="82" xfId="0" applyFont="1" applyBorder="1"/>
    <xf numFmtId="0" fontId="31" fillId="0" borderId="101" xfId="0" applyFont="1" applyBorder="1" applyAlignment="1">
      <alignment horizontal="center"/>
    </xf>
    <xf numFmtId="0" fontId="31" fillId="0" borderId="142" xfId="0" applyFont="1" applyBorder="1" applyAlignment="1">
      <alignment horizontal="center"/>
    </xf>
    <xf numFmtId="0" fontId="7" fillId="0" borderId="97" xfId="0" applyFont="1" applyBorder="1" applyAlignment="1">
      <alignment horizontal="center" wrapText="1"/>
    </xf>
    <xf numFmtId="164" fontId="7" fillId="0" borderId="37" xfId="0" applyNumberFormat="1" applyFont="1" applyBorder="1"/>
    <xf numFmtId="164" fontId="7" fillId="0" borderId="8" xfId="5" applyNumberFormat="1" applyFont="1" applyFill="1" applyBorder="1" applyAlignment="1">
      <alignment horizontal="right"/>
    </xf>
    <xf numFmtId="164" fontId="7" fillId="0" borderId="28" xfId="0" applyNumberFormat="1" applyFont="1" applyBorder="1"/>
    <xf numFmtId="0" fontId="7" fillId="0" borderId="45" xfId="0" applyFont="1" applyBorder="1"/>
    <xf numFmtId="164" fontId="9" fillId="0" borderId="77" xfId="0" applyNumberFormat="1" applyFont="1" applyBorder="1"/>
    <xf numFmtId="164" fontId="9" fillId="0" borderId="48" xfId="0" applyNumberFormat="1" applyFont="1" applyBorder="1"/>
    <xf numFmtId="164" fontId="9" fillId="0" borderId="49" xfId="5" applyNumberFormat="1" applyFont="1" applyFill="1" applyBorder="1" applyAlignment="1">
      <alignment horizontal="right"/>
    </xf>
    <xf numFmtId="164" fontId="7" fillId="0" borderId="59" xfId="0" applyNumberFormat="1" applyFont="1" applyBorder="1"/>
    <xf numFmtId="0" fontId="7" fillId="0" borderId="59" xfId="0" applyFont="1" applyBorder="1"/>
    <xf numFmtId="0" fontId="7" fillId="0" borderId="28" xfId="0" applyFont="1" applyBorder="1"/>
    <xf numFmtId="164" fontId="9" fillId="0" borderId="84" xfId="0" applyNumberFormat="1" applyFont="1" applyBorder="1"/>
    <xf numFmtId="164" fontId="9" fillId="0" borderId="86" xfId="0" applyNumberFormat="1" applyFont="1" applyBorder="1"/>
    <xf numFmtId="0" fontId="9" fillId="0" borderId="27" xfId="0" applyFont="1" applyBorder="1" applyAlignment="1">
      <alignment horizontal="right"/>
    </xf>
    <xf numFmtId="0" fontId="9" fillId="0" borderId="23" xfId="0" applyFont="1" applyBorder="1" applyAlignment="1">
      <alignment horizontal="right"/>
    </xf>
    <xf numFmtId="164" fontId="9" fillId="0" borderId="26" xfId="0" applyNumberFormat="1" applyFont="1" applyBorder="1" applyAlignment="1">
      <alignment horizontal="right"/>
    </xf>
    <xf numFmtId="0" fontId="7" fillId="0" borderId="8" xfId="0" applyFont="1" applyBorder="1"/>
    <xf numFmtId="0" fontId="7" fillId="0" borderId="97" xfId="0" applyFont="1" applyBorder="1" applyAlignment="1">
      <alignment wrapText="1"/>
    </xf>
    <xf numFmtId="0" fontId="7" fillId="0" borderId="113" xfId="0" applyFont="1" applyBorder="1"/>
    <xf numFmtId="0" fontId="7" fillId="0" borderId="32" xfId="0" applyFont="1" applyBorder="1"/>
    <xf numFmtId="0" fontId="7" fillId="0" borderId="31" xfId="0" applyFont="1" applyBorder="1"/>
    <xf numFmtId="164" fontId="9" fillId="0" borderId="48" xfId="0" applyNumberFormat="1" applyFont="1" applyBorder="1" applyAlignment="1">
      <alignment vertical="center"/>
    </xf>
    <xf numFmtId="164" fontId="9" fillId="0" borderId="49" xfId="0" applyNumberFormat="1" applyFont="1" applyBorder="1" applyAlignment="1">
      <alignment vertical="center"/>
    </xf>
    <xf numFmtId="166" fontId="9" fillId="0" borderId="132" xfId="0" applyNumberFormat="1" applyFont="1" applyBorder="1"/>
    <xf numFmtId="166" fontId="9" fillId="0" borderId="73" xfId="0" applyNumberFormat="1" applyFont="1" applyBorder="1"/>
    <xf numFmtId="166" fontId="9" fillId="0" borderId="133" xfId="5" applyNumberFormat="1" applyFont="1" applyFill="1" applyBorder="1" applyAlignment="1">
      <alignment horizontal="right"/>
    </xf>
    <xf numFmtId="0" fontId="9" fillId="0" borderId="65" xfId="0" applyFont="1" applyBorder="1"/>
    <xf numFmtId="4" fontId="7" fillId="0" borderId="27" xfId="0" applyNumberFormat="1" applyFont="1" applyBorder="1" applyAlignment="1">
      <alignment horizontal="right" vertical="center"/>
    </xf>
    <xf numFmtId="4" fontId="7" fillId="0" borderId="30" xfId="0" applyNumberFormat="1" applyFont="1" applyBorder="1" applyAlignment="1">
      <alignment horizontal="right" vertical="center"/>
    </xf>
    <xf numFmtId="4" fontId="7" fillId="0" borderId="204" xfId="0" applyNumberFormat="1" applyFont="1" applyBorder="1" applyAlignment="1">
      <alignment horizontal="right" vertical="center"/>
    </xf>
    <xf numFmtId="4" fontId="9" fillId="0" borderId="27" xfId="0" applyNumberFormat="1" applyFont="1" applyBorder="1" applyAlignment="1">
      <alignment horizontal="right"/>
    </xf>
    <xf numFmtId="4" fontId="9" fillId="0" borderId="30" xfId="0" applyNumberFormat="1" applyFont="1" applyBorder="1" applyAlignment="1">
      <alignment horizontal="right"/>
    </xf>
    <xf numFmtId="4" fontId="9" fillId="0" borderId="38" xfId="0" applyNumberFormat="1" applyFont="1" applyBorder="1" applyAlignment="1">
      <alignment horizontal="right"/>
    </xf>
    <xf numFmtId="9" fontId="9" fillId="0" borderId="82" xfId="5" applyFont="1" applyBorder="1"/>
    <xf numFmtId="9" fontId="7" fillId="0" borderId="98" xfId="5" applyFont="1" applyBorder="1"/>
    <xf numFmtId="9" fontId="9" fillId="0" borderId="143" xfId="5" applyFont="1" applyBorder="1"/>
    <xf numFmtId="4" fontId="7" fillId="0" borderId="24" xfId="0" applyNumberFormat="1" applyFont="1" applyBorder="1" applyAlignment="1">
      <alignment horizontal="right"/>
    </xf>
    <xf numFmtId="4" fontId="9" fillId="0" borderId="24" xfId="0" applyNumberFormat="1" applyFont="1" applyBorder="1" applyAlignment="1">
      <alignment horizontal="right"/>
    </xf>
    <xf numFmtId="0" fontId="7" fillId="0" borderId="101" xfId="0" applyFont="1" applyBorder="1" applyAlignment="1">
      <alignment wrapText="1"/>
    </xf>
    <xf numFmtId="0" fontId="7" fillId="0" borderId="27" xfId="0" applyFont="1" applyBorder="1" applyAlignment="1">
      <alignment horizontal="center" wrapText="1"/>
    </xf>
    <xf numFmtId="0" fontId="9" fillId="0" borderId="101" xfId="0" applyFont="1" applyBorder="1" applyAlignment="1">
      <alignment wrapText="1"/>
    </xf>
    <xf numFmtId="0" fontId="9" fillId="0" borderId="27" xfId="0" applyFont="1" applyBorder="1" applyAlignment="1">
      <alignment horizontal="center" wrapText="1"/>
    </xf>
    <xf numFmtId="0" fontId="7" fillId="0" borderId="102" xfId="0" applyFont="1" applyBorder="1" applyAlignment="1">
      <alignment horizontal="center" wrapText="1"/>
    </xf>
    <xf numFmtId="4" fontId="7" fillId="0" borderId="51" xfId="0" applyNumberFormat="1" applyFont="1" applyBorder="1"/>
    <xf numFmtId="2" fontId="7" fillId="0" borderId="61" xfId="0" applyNumberFormat="1" applyFont="1" applyBorder="1" applyAlignment="1">
      <alignment horizontal="right"/>
    </xf>
    <xf numFmtId="4" fontId="7" fillId="0" borderId="59" xfId="0" applyNumberFormat="1" applyFont="1" applyBorder="1" applyAlignment="1">
      <alignment horizontal="right"/>
    </xf>
    <xf numFmtId="4" fontId="7" fillId="0" borderId="108" xfId="0" applyNumberFormat="1" applyFont="1" applyBorder="1" applyAlignment="1">
      <alignment horizontal="right"/>
    </xf>
    <xf numFmtId="4" fontId="9" fillId="0" borderId="62" xfId="0" applyNumberFormat="1" applyFont="1" applyBorder="1" applyAlignment="1">
      <alignment horizontal="right"/>
    </xf>
    <xf numFmtId="4" fontId="7" fillId="0" borderId="0" xfId="0" applyNumberFormat="1" applyFont="1"/>
    <xf numFmtId="4" fontId="7" fillId="0" borderId="204" xfId="0" applyNumberFormat="1" applyFont="1" applyBorder="1" applyAlignment="1">
      <alignment horizontal="right"/>
    </xf>
    <xf numFmtId="0" fontId="9" fillId="0" borderId="83" xfId="0" applyFont="1" applyBorder="1" applyAlignment="1">
      <alignment wrapText="1"/>
    </xf>
    <xf numFmtId="2" fontId="7" fillId="0" borderId="8" xfId="0" applyNumberFormat="1" applyFont="1" applyBorder="1"/>
    <xf numFmtId="2" fontId="7" fillId="0" borderId="37" xfId="0" applyNumberFormat="1" applyFont="1" applyBorder="1"/>
    <xf numFmtId="0" fontId="9" fillId="0" borderId="130" xfId="0" applyFont="1" applyBorder="1" applyAlignment="1">
      <alignment horizontal="center" wrapText="1"/>
    </xf>
    <xf numFmtId="2" fontId="7" fillId="0" borderId="61" xfId="0" applyNumberFormat="1" applyFont="1" applyBorder="1"/>
    <xf numFmtId="4" fontId="7" fillId="0" borderId="28" xfId="0" applyNumberFormat="1" applyFont="1" applyBorder="1"/>
    <xf numFmtId="4" fontId="7" fillId="0" borderId="13" xfId="0" applyNumberFormat="1" applyFont="1" applyBorder="1"/>
    <xf numFmtId="4" fontId="9" fillId="0" borderId="156" xfId="0" applyNumberFormat="1" applyFont="1" applyBorder="1"/>
    <xf numFmtId="4" fontId="9" fillId="0" borderId="147" xfId="0" applyNumberFormat="1" applyFont="1" applyBorder="1"/>
    <xf numFmtId="2" fontId="9" fillId="0" borderId="145" xfId="0" applyNumberFormat="1" applyFont="1" applyBorder="1"/>
    <xf numFmtId="0" fontId="7" fillId="0" borderId="81" xfId="0" applyFont="1" applyBorder="1" applyAlignment="1">
      <alignment horizontal="center" wrapText="1"/>
    </xf>
    <xf numFmtId="2" fontId="7" fillId="0" borderId="36" xfId="0" applyNumberFormat="1" applyFont="1" applyBorder="1"/>
    <xf numFmtId="2" fontId="9" fillId="0" borderId="39" xfId="0" applyNumberFormat="1" applyFont="1" applyBorder="1"/>
    <xf numFmtId="0" fontId="9" fillId="0" borderId="143" xfId="0" applyFont="1" applyBorder="1" applyAlignment="1">
      <alignment wrapText="1"/>
    </xf>
    <xf numFmtId="0" fontId="9" fillId="0" borderId="143" xfId="0" applyFont="1" applyBorder="1" applyAlignment="1">
      <alignment horizontal="center" wrapText="1"/>
    </xf>
    <xf numFmtId="2" fontId="9" fillId="0" borderId="144" xfId="0" applyNumberFormat="1" applyFont="1" applyBorder="1"/>
    <xf numFmtId="2" fontId="9" fillId="0" borderId="151" xfId="0" applyNumberFormat="1" applyFont="1" applyBorder="1"/>
    <xf numFmtId="2" fontId="9" fillId="0" borderId="146" xfId="0" applyNumberFormat="1" applyFont="1" applyBorder="1"/>
    <xf numFmtId="2" fontId="9" fillId="0" borderId="157" xfId="0" applyNumberFormat="1" applyFont="1" applyBorder="1"/>
    <xf numFmtId="4" fontId="9" fillId="0" borderId="24" xfId="0" applyNumberFormat="1" applyFont="1" applyBorder="1"/>
    <xf numFmtId="2" fontId="9" fillId="0" borderId="135" xfId="0" applyNumberFormat="1" applyFont="1" applyBorder="1"/>
    <xf numFmtId="4" fontId="9" fillId="0" borderId="64" xfId="0" applyNumberFormat="1" applyFont="1" applyBorder="1"/>
    <xf numFmtId="2" fontId="11" fillId="0" borderId="68" xfId="0" applyNumberFormat="1" applyFont="1" applyBorder="1" applyAlignment="1">
      <alignment horizontal="right" wrapText="1"/>
    </xf>
    <xf numFmtId="2" fontId="7" fillId="0" borderId="27" xfId="0" applyNumberFormat="1" applyFont="1" applyBorder="1"/>
    <xf numFmtId="2" fontId="9" fillId="0" borderId="48" xfId="0" applyNumberFormat="1" applyFont="1" applyBorder="1"/>
    <xf numFmtId="2" fontId="7" fillId="0" borderId="225" xfId="0" applyNumberFormat="1" applyFont="1" applyBorder="1"/>
    <xf numFmtId="9" fontId="7" fillId="0" borderId="181" xfId="5" applyFont="1" applyBorder="1"/>
    <xf numFmtId="0" fontId="7" fillId="0" borderId="226" xfId="0" applyFont="1" applyBorder="1" applyAlignment="1">
      <alignment horizontal="center" wrapText="1"/>
    </xf>
    <xf numFmtId="0" fontId="7" fillId="0" borderId="224" xfId="0" applyFont="1" applyBorder="1" applyAlignment="1">
      <alignment horizontal="center" wrapText="1"/>
    </xf>
    <xf numFmtId="4" fontId="6" fillId="0" borderId="218" xfId="0" applyNumberFormat="1" applyFont="1" applyBorder="1"/>
    <xf numFmtId="4" fontId="6" fillId="0" borderId="38" xfId="0" applyNumberFormat="1" applyFont="1" applyBorder="1"/>
    <xf numFmtId="4" fontId="6" fillId="0" borderId="227" xfId="0" applyNumberFormat="1" applyFont="1" applyBorder="1"/>
    <xf numFmtId="4" fontId="6" fillId="0" borderId="217" xfId="0" applyNumberFormat="1" applyFont="1" applyBorder="1"/>
    <xf numFmtId="4" fontId="6" fillId="0" borderId="23" xfId="0" applyNumberFormat="1" applyFont="1" applyBorder="1"/>
    <xf numFmtId="4" fontId="6" fillId="0" borderId="232" xfId="0" applyNumberFormat="1" applyFont="1" applyBorder="1"/>
    <xf numFmtId="2" fontId="7" fillId="0" borderId="37" xfId="0" applyNumberFormat="1" applyFont="1" applyBorder="1" applyAlignment="1">
      <alignment horizontal="right" wrapText="1"/>
    </xf>
    <xf numFmtId="2" fontId="7" fillId="0" borderId="225" xfId="0" applyNumberFormat="1" applyFont="1" applyBorder="1" applyAlignment="1">
      <alignment horizontal="right" wrapText="1"/>
    </xf>
    <xf numFmtId="2" fontId="7" fillId="0" borderId="27" xfId="0" applyNumberFormat="1" applyFont="1" applyBorder="1" applyAlignment="1">
      <alignment horizontal="right" wrapText="1"/>
    </xf>
    <xf numFmtId="2" fontId="9" fillId="0" borderId="221" xfId="0" applyNumberFormat="1" applyFont="1" applyBorder="1" applyAlignment="1">
      <alignment horizontal="right"/>
    </xf>
    <xf numFmtId="4" fontId="10" fillId="0" borderId="226" xfId="0" applyNumberFormat="1" applyFont="1" applyBorder="1" applyAlignment="1">
      <alignment horizontal="right" wrapText="1"/>
    </xf>
    <xf numFmtId="4" fontId="10" fillId="0" borderId="217" xfId="0" applyNumberFormat="1" applyFont="1" applyBorder="1" applyAlignment="1">
      <alignment horizontal="right" wrapText="1"/>
    </xf>
    <xf numFmtId="2" fontId="7" fillId="0" borderId="219" xfId="0" applyNumberFormat="1" applyFont="1" applyBorder="1" applyAlignment="1">
      <alignment horizontal="right"/>
    </xf>
    <xf numFmtId="2" fontId="7" fillId="0" borderId="233" xfId="0" applyNumberFormat="1" applyFont="1" applyBorder="1" applyAlignment="1">
      <alignment horizontal="right"/>
    </xf>
    <xf numFmtId="2" fontId="7" fillId="0" borderId="229" xfId="0" applyNumberFormat="1" applyFont="1" applyBorder="1" applyAlignment="1">
      <alignment horizontal="right"/>
    </xf>
    <xf numFmtId="4" fontId="10" fillId="0" borderId="229" xfId="0" applyNumberFormat="1" applyFont="1" applyBorder="1" applyAlignment="1">
      <alignment horizontal="right" wrapText="1"/>
    </xf>
    <xf numFmtId="4" fontId="10" fillId="0" borderId="232" xfId="0" applyNumberFormat="1" applyFont="1" applyBorder="1" applyAlignment="1">
      <alignment horizontal="right" wrapText="1"/>
    </xf>
    <xf numFmtId="2" fontId="7" fillId="0" borderId="224" xfId="0" applyNumberFormat="1" applyFont="1" applyBorder="1" applyAlignment="1">
      <alignment horizontal="right"/>
    </xf>
    <xf numFmtId="2" fontId="9" fillId="0" borderId="223" xfId="0" applyNumberFormat="1" applyFont="1" applyBorder="1" applyAlignment="1">
      <alignment horizontal="right"/>
    </xf>
    <xf numFmtId="4" fontId="10" fillId="0" borderId="224" xfId="0" applyNumberFormat="1" applyFont="1" applyBorder="1" applyAlignment="1">
      <alignment horizontal="right" wrapText="1"/>
    </xf>
    <xf numFmtId="4" fontId="10" fillId="0" borderId="201" xfId="0" applyNumberFormat="1" applyFont="1" applyBorder="1" applyAlignment="1">
      <alignment horizontal="right" wrapText="1"/>
    </xf>
    <xf numFmtId="4" fontId="6" fillId="0" borderId="201" xfId="0" applyNumberFormat="1" applyFont="1" applyBorder="1"/>
    <xf numFmtId="4" fontId="6" fillId="0" borderId="220" xfId="0" applyNumberFormat="1" applyFont="1" applyBorder="1"/>
    <xf numFmtId="2" fontId="9" fillId="0" borderId="48" xfId="0" applyNumberFormat="1" applyFont="1" applyBorder="1" applyAlignment="1">
      <alignment horizontal="right" wrapText="1"/>
    </xf>
    <xf numFmtId="4" fontId="11" fillId="0" borderId="67" xfId="0" applyNumberFormat="1" applyFont="1" applyBorder="1" applyAlignment="1">
      <alignment horizontal="right" wrapText="1"/>
    </xf>
    <xf numFmtId="4" fontId="11" fillId="0" borderId="65" xfId="0" applyNumberFormat="1" applyFont="1" applyBorder="1" applyAlignment="1">
      <alignment horizontal="right" wrapText="1"/>
    </xf>
    <xf numFmtId="0" fontId="7" fillId="0" borderId="220" xfId="0" applyFont="1" applyBorder="1"/>
    <xf numFmtId="164" fontId="7" fillId="0" borderId="220" xfId="0" applyNumberFormat="1" applyFont="1" applyBorder="1" applyAlignment="1">
      <alignment horizontal="right"/>
    </xf>
    <xf numFmtId="164" fontId="9" fillId="0" borderId="24" xfId="0" applyNumberFormat="1" applyFont="1" applyBorder="1"/>
    <xf numFmtId="164" fontId="9" fillId="0" borderId="23" xfId="0" applyNumberFormat="1" applyFont="1" applyBorder="1"/>
    <xf numFmtId="164" fontId="9" fillId="0" borderId="25" xfId="0" applyNumberFormat="1" applyFont="1" applyBorder="1"/>
    <xf numFmtId="164" fontId="9" fillId="0" borderId="38" xfId="0" applyNumberFormat="1" applyFont="1" applyBorder="1"/>
    <xf numFmtId="164" fontId="7" fillId="0" borderId="62" xfId="0" applyNumberFormat="1" applyFont="1" applyBorder="1"/>
    <xf numFmtId="164" fontId="7" fillId="0" borderId="215" xfId="0" applyNumberFormat="1" applyFont="1" applyBorder="1" applyAlignment="1">
      <alignment horizontal="right"/>
    </xf>
    <xf numFmtId="164" fontId="7" fillId="0" borderId="217" xfId="0" applyNumberFormat="1" applyFont="1" applyBorder="1" applyAlignment="1">
      <alignment horizontal="right"/>
    </xf>
    <xf numFmtId="164" fontId="7" fillId="0" borderId="218" xfId="0" applyNumberFormat="1" applyFont="1" applyBorder="1" applyAlignment="1">
      <alignment horizontal="right"/>
    </xf>
    <xf numFmtId="164" fontId="7" fillId="0" borderId="218" xfId="0" applyNumberFormat="1" applyFont="1" applyBorder="1"/>
    <xf numFmtId="164" fontId="7" fillId="0" borderId="20" xfId="0" applyNumberFormat="1" applyFont="1" applyBorder="1"/>
    <xf numFmtId="164" fontId="7" fillId="0" borderId="220" xfId="0" applyNumberFormat="1" applyFont="1" applyBorder="1"/>
    <xf numFmtId="164" fontId="7" fillId="0" borderId="103" xfId="0" applyNumberFormat="1" applyFont="1" applyBorder="1"/>
    <xf numFmtId="164" fontId="7" fillId="0" borderId="104" xfId="0" applyNumberFormat="1" applyFont="1" applyBorder="1"/>
    <xf numFmtId="164" fontId="7" fillId="0" borderId="111" xfId="0" applyNumberFormat="1" applyFont="1" applyBorder="1"/>
    <xf numFmtId="164" fontId="9" fillId="0" borderId="128" xfId="0" applyNumberFormat="1" applyFont="1" applyBorder="1"/>
    <xf numFmtId="164" fontId="9" fillId="0" borderId="79" xfId="0" applyNumberFormat="1" applyFont="1" applyBorder="1"/>
    <xf numFmtId="166" fontId="9" fillId="0" borderId="72" xfId="0" applyNumberFormat="1" applyFont="1" applyBorder="1"/>
    <xf numFmtId="166" fontId="9" fillId="0" borderId="74" xfId="0" applyNumberFormat="1" applyFont="1" applyBorder="1"/>
    <xf numFmtId="166" fontId="9" fillId="0" borderId="131" xfId="0" applyNumberFormat="1" applyFont="1" applyBorder="1"/>
    <xf numFmtId="164" fontId="9" fillId="0" borderId="72" xfId="0" applyNumberFormat="1" applyFont="1" applyBorder="1"/>
    <xf numFmtId="164" fontId="9" fillId="0" borderId="74" xfId="0" applyNumberFormat="1" applyFont="1" applyBorder="1"/>
    <xf numFmtId="168" fontId="9" fillId="0" borderId="101" xfId="0" applyNumberFormat="1" applyFont="1" applyBorder="1"/>
    <xf numFmtId="168" fontId="9" fillId="0" borderId="27" xfId="0" applyNumberFormat="1" applyFont="1" applyBorder="1"/>
    <xf numFmtId="168" fontId="7" fillId="0" borderId="81" xfId="0" applyNumberFormat="1" applyFont="1" applyBorder="1"/>
    <xf numFmtId="168" fontId="7" fillId="0" borderId="181" xfId="0" applyNumberFormat="1" applyFont="1" applyBorder="1"/>
    <xf numFmtId="168" fontId="7" fillId="0" borderId="63" xfId="0" applyNumberFormat="1" applyFont="1" applyBorder="1"/>
    <xf numFmtId="2" fontId="9" fillId="0" borderId="194" xfId="0" applyNumberFormat="1" applyFont="1" applyBorder="1" applyAlignment="1">
      <alignment horizontal="right" wrapText="1"/>
    </xf>
    <xf numFmtId="2" fontId="9" fillId="0" borderId="150" xfId="0" applyNumberFormat="1" applyFont="1" applyBorder="1" applyAlignment="1">
      <alignment horizontal="right" wrapText="1"/>
    </xf>
    <xf numFmtId="2" fontId="7" fillId="0" borderId="59" xfId="0" applyNumberFormat="1" applyFont="1" applyBorder="1" applyAlignment="1">
      <alignment horizontal="right" wrapText="1"/>
    </xf>
    <xf numFmtId="2" fontId="7" fillId="0" borderId="28" xfId="0" applyNumberFormat="1" applyFont="1" applyBorder="1" applyAlignment="1">
      <alignment horizontal="right" wrapText="1"/>
    </xf>
    <xf numFmtId="2" fontId="8" fillId="0" borderId="18" xfId="0" applyNumberFormat="1" applyFont="1" applyBorder="1"/>
    <xf numFmtId="2" fontId="8" fillId="0" borderId="6" xfId="0" applyNumberFormat="1" applyFont="1" applyBorder="1"/>
    <xf numFmtId="4" fontId="8" fillId="0" borderId="23" xfId="0" applyNumberFormat="1" applyFont="1" applyBorder="1"/>
    <xf numFmtId="4" fontId="8" fillId="0" borderId="73" xfId="0" applyNumberFormat="1" applyFont="1" applyBorder="1"/>
    <xf numFmtId="2" fontId="6" fillId="0" borderId="111" xfId="0" applyNumberFormat="1" applyFont="1" applyBorder="1"/>
    <xf numFmtId="0" fontId="7" fillId="0" borderId="37" xfId="0" applyFont="1" applyBorder="1"/>
    <xf numFmtId="4" fontId="7" fillId="0" borderId="1" xfId="0" applyNumberFormat="1" applyFont="1" applyBorder="1"/>
    <xf numFmtId="9" fontId="7" fillId="0" borderId="1" xfId="5" applyFont="1" applyFill="1" applyBorder="1"/>
    <xf numFmtId="9" fontId="7" fillId="0" borderId="12" xfId="5" applyFont="1" applyFill="1" applyBorder="1"/>
    <xf numFmtId="9" fontId="9" fillId="0" borderId="8" xfId="5" applyFont="1" applyFill="1" applyBorder="1"/>
    <xf numFmtId="2" fontId="7" fillId="0" borderId="1" xfId="5" applyNumberFormat="1" applyFont="1" applyFill="1" applyBorder="1"/>
    <xf numFmtId="2" fontId="9" fillId="0" borderId="20" xfId="5" applyNumberFormat="1" applyFont="1" applyFill="1" applyBorder="1"/>
    <xf numFmtId="4" fontId="7" fillId="0" borderId="4" xfId="0" applyNumberFormat="1" applyFont="1" applyBorder="1"/>
    <xf numFmtId="9" fontId="7" fillId="0" borderId="4" xfId="5" applyFont="1" applyFill="1" applyBorder="1"/>
    <xf numFmtId="9" fontId="7" fillId="0" borderId="204" xfId="5" applyFont="1" applyFill="1" applyBorder="1"/>
    <xf numFmtId="2" fontId="7" fillId="0" borderId="4" xfId="5" applyNumberFormat="1" applyFont="1" applyFill="1" applyBorder="1"/>
    <xf numFmtId="2" fontId="7" fillId="0" borderId="204" xfId="5" applyNumberFormat="1" applyFont="1" applyFill="1" applyBorder="1"/>
    <xf numFmtId="2" fontId="9" fillId="0" borderId="41" xfId="5" applyNumberFormat="1" applyFont="1" applyFill="1" applyBorder="1"/>
    <xf numFmtId="2" fontId="7" fillId="0" borderId="63" xfId="0" applyNumberFormat="1" applyFont="1" applyBorder="1"/>
    <xf numFmtId="4" fontId="9" fillId="0" borderId="26" xfId="0" applyNumberFormat="1" applyFont="1" applyBorder="1"/>
    <xf numFmtId="9" fontId="9" fillId="0" borderId="24" xfId="5" applyFont="1" applyFill="1" applyBorder="1"/>
    <xf numFmtId="9" fontId="9" fillId="0" borderId="30" xfId="5" applyFont="1" applyFill="1" applyBorder="1"/>
    <xf numFmtId="9" fontId="9" fillId="0" borderId="0" xfId="5" applyFont="1" applyFill="1" applyBorder="1"/>
    <xf numFmtId="2" fontId="9" fillId="0" borderId="24" xfId="5" applyNumberFormat="1" applyFont="1" applyFill="1" applyBorder="1"/>
    <xf numFmtId="2" fontId="9" fillId="0" borderId="30" xfId="5" applyNumberFormat="1" applyFont="1" applyFill="1" applyBorder="1"/>
    <xf numFmtId="2" fontId="9" fillId="0" borderId="38" xfId="5" applyNumberFormat="1" applyFont="1" applyFill="1" applyBorder="1"/>
    <xf numFmtId="2" fontId="9" fillId="0" borderId="101" xfId="0" applyNumberFormat="1" applyFont="1" applyBorder="1"/>
    <xf numFmtId="9" fontId="7" fillId="0" borderId="51" xfId="5" applyFont="1" applyFill="1" applyBorder="1"/>
    <xf numFmtId="9" fontId="7" fillId="0" borderId="108" xfId="5" applyFont="1" applyFill="1" applyBorder="1"/>
    <xf numFmtId="9" fontId="9" fillId="0" borderId="61" xfId="5" applyFont="1" applyFill="1" applyBorder="1"/>
    <xf numFmtId="2" fontId="7" fillId="0" borderId="51" xfId="5" applyNumberFormat="1" applyFont="1" applyFill="1" applyBorder="1"/>
    <xf numFmtId="2" fontId="7" fillId="0" borderId="108" xfId="5" applyNumberFormat="1" applyFont="1" applyFill="1" applyBorder="1"/>
    <xf numFmtId="2" fontId="9" fillId="0" borderId="62" xfId="5" applyNumberFormat="1" applyFont="1" applyFill="1" applyBorder="1"/>
    <xf numFmtId="2" fontId="7" fillId="0" borderId="81" xfId="0" applyNumberFormat="1" applyFont="1" applyBorder="1"/>
    <xf numFmtId="9" fontId="7" fillId="0" borderId="4" xfId="5" applyFont="1" applyFill="1" applyBorder="1" applyAlignment="1">
      <alignment horizontal="right"/>
    </xf>
    <xf numFmtId="9" fontId="9" fillId="0" borderId="64" xfId="5" applyFont="1" applyFill="1" applyBorder="1"/>
    <xf numFmtId="9" fontId="9" fillId="0" borderId="70" xfId="5" applyFont="1" applyFill="1" applyBorder="1"/>
    <xf numFmtId="9" fontId="9" fillId="0" borderId="49" xfId="5" applyFont="1" applyFill="1" applyBorder="1"/>
    <xf numFmtId="2" fontId="9" fillId="0" borderId="64" xfId="5" applyNumberFormat="1" applyFont="1" applyFill="1" applyBorder="1"/>
    <xf numFmtId="2" fontId="9" fillId="0" borderId="70" xfId="5" applyNumberFormat="1" applyFont="1" applyFill="1" applyBorder="1"/>
    <xf numFmtId="2" fontId="9" fillId="0" borderId="50" xfId="5" applyNumberFormat="1" applyFont="1" applyFill="1" applyBorder="1"/>
    <xf numFmtId="2" fontId="9" fillId="0" borderId="83" xfId="0" applyNumberFormat="1" applyFont="1" applyBorder="1"/>
    <xf numFmtId="2" fontId="7" fillId="0" borderId="184" xfId="5" applyNumberFormat="1" applyFont="1" applyFill="1" applyBorder="1"/>
    <xf numFmtId="2" fontId="7" fillId="0" borderId="181" xfId="0" applyNumberFormat="1" applyFont="1" applyBorder="1"/>
    <xf numFmtId="9" fontId="7" fillId="0" borderId="184" xfId="5" applyFont="1" applyFill="1" applyBorder="1"/>
    <xf numFmtId="0" fontId="7" fillId="0" borderId="190" xfId="0" applyFont="1" applyBorder="1"/>
    <xf numFmtId="2" fontId="9" fillId="0" borderId="185" xfId="0" applyNumberFormat="1" applyFont="1" applyBorder="1"/>
    <xf numFmtId="4" fontId="9" fillId="0" borderId="72" xfId="0" applyNumberFormat="1" applyFont="1" applyBorder="1"/>
    <xf numFmtId="4" fontId="9" fillId="0" borderId="80" xfId="0" applyNumberFormat="1" applyFont="1" applyBorder="1"/>
    <xf numFmtId="9" fontId="9" fillId="0" borderId="72" xfId="5" applyFont="1" applyFill="1" applyBorder="1"/>
    <xf numFmtId="9" fontId="9" fillId="0" borderId="149" xfId="5" applyFont="1" applyFill="1" applyBorder="1"/>
    <xf numFmtId="9" fontId="9" fillId="0" borderId="133" xfId="5" applyFont="1" applyFill="1" applyBorder="1"/>
    <xf numFmtId="2" fontId="9" fillId="0" borderId="131" xfId="5" applyNumberFormat="1" applyFont="1" applyFill="1" applyBorder="1"/>
    <xf numFmtId="2" fontId="9" fillId="0" borderId="142" xfId="0" applyNumberFormat="1" applyFont="1" applyBorder="1"/>
    <xf numFmtId="4" fontId="9" fillId="0" borderId="50" xfId="5" applyNumberFormat="1" applyFont="1" applyFill="1" applyBorder="1"/>
    <xf numFmtId="4" fontId="7" fillId="0" borderId="224" xfId="0" applyNumberFormat="1" applyFont="1" applyBorder="1"/>
    <xf numFmtId="9" fontId="9" fillId="0" borderId="223" xfId="5" applyFont="1" applyFill="1" applyBorder="1"/>
    <xf numFmtId="2" fontId="9" fillId="0" borderId="220" xfId="5" applyNumberFormat="1" applyFont="1" applyFill="1" applyBorder="1"/>
    <xf numFmtId="4" fontId="7" fillId="0" borderId="215" xfId="0" applyNumberFormat="1" applyFont="1" applyBorder="1"/>
    <xf numFmtId="4" fontId="7" fillId="0" borderId="226" xfId="0" applyNumberFormat="1" applyFont="1" applyBorder="1"/>
    <xf numFmtId="9" fontId="7" fillId="0" borderId="215" xfId="5" applyFont="1" applyFill="1" applyBorder="1"/>
    <xf numFmtId="9" fontId="9" fillId="0" borderId="221" xfId="5" applyFont="1" applyFill="1" applyBorder="1"/>
    <xf numFmtId="2" fontId="7" fillId="0" borderId="215" xfId="5" applyNumberFormat="1" applyFont="1" applyFill="1" applyBorder="1"/>
    <xf numFmtId="2" fontId="9" fillId="0" borderId="218" xfId="5" applyNumberFormat="1" applyFont="1" applyFill="1" applyBorder="1"/>
    <xf numFmtId="4" fontId="7" fillId="0" borderId="24" xfId="0" applyNumberFormat="1" applyFont="1" applyBorder="1"/>
    <xf numFmtId="2" fontId="7" fillId="0" borderId="12" xfId="5" applyNumberFormat="1" applyFont="1" applyFill="1" applyBorder="1"/>
    <xf numFmtId="2" fontId="7" fillId="0" borderId="82" xfId="0" applyNumberFormat="1" applyFont="1" applyBorder="1"/>
    <xf numFmtId="0" fontId="7" fillId="0" borderId="225" xfId="0" applyFont="1" applyBorder="1"/>
    <xf numFmtId="4" fontId="7" fillId="0" borderId="26" xfId="0" applyNumberFormat="1" applyFont="1" applyBorder="1"/>
    <xf numFmtId="9" fontId="7" fillId="0" borderId="24" xfId="5" applyFont="1" applyFill="1" applyBorder="1"/>
    <xf numFmtId="9" fontId="7" fillId="0" borderId="30" xfId="5" applyFont="1" applyFill="1" applyBorder="1"/>
    <xf numFmtId="4" fontId="7" fillId="0" borderId="11" xfId="0" applyNumberFormat="1" applyFont="1" applyBorder="1"/>
    <xf numFmtId="4" fontId="7" fillId="0" borderId="35" xfId="0" applyNumberFormat="1" applyFont="1" applyBorder="1"/>
    <xf numFmtId="4" fontId="9" fillId="0" borderId="42" xfId="0" applyNumberFormat="1" applyFont="1" applyBorder="1"/>
    <xf numFmtId="4" fontId="9" fillId="0" borderId="36" xfId="0" applyNumberFormat="1" applyFont="1" applyBorder="1"/>
    <xf numFmtId="9" fontId="7" fillId="0" borderId="98" xfId="5" applyFont="1" applyBorder="1" applyAlignment="1">
      <alignment horizontal="right" wrapText="1"/>
    </xf>
    <xf numFmtId="9" fontId="7" fillId="0" borderId="101" xfId="5" applyFont="1" applyBorder="1" applyAlignment="1">
      <alignment horizontal="right" wrapText="1"/>
    </xf>
    <xf numFmtId="4" fontId="9" fillId="0" borderId="61" xfId="0" applyNumberFormat="1" applyFont="1" applyBorder="1"/>
    <xf numFmtId="9" fontId="7" fillId="0" borderId="81" xfId="5" applyFont="1" applyBorder="1" applyAlignment="1">
      <alignment horizontal="right" wrapText="1"/>
    </xf>
    <xf numFmtId="9" fontId="7" fillId="0" borderId="83" xfId="5" applyFont="1" applyBorder="1" applyAlignment="1">
      <alignment horizontal="right" wrapText="1"/>
    </xf>
    <xf numFmtId="9" fontId="7" fillId="0" borderId="82" xfId="5" applyFont="1" applyBorder="1" applyAlignment="1">
      <alignment horizontal="right" wrapText="1"/>
    </xf>
    <xf numFmtId="9" fontId="7" fillId="0" borderId="181" xfId="5" applyFont="1" applyBorder="1" applyAlignment="1">
      <alignment horizontal="right" wrapText="1"/>
    </xf>
    <xf numFmtId="9" fontId="9" fillId="0" borderId="101" xfId="5" applyFont="1" applyBorder="1" applyAlignment="1">
      <alignment horizontal="right" wrapText="1"/>
    </xf>
    <xf numFmtId="9" fontId="9" fillId="0" borderId="142" xfId="5" applyFont="1" applyBorder="1" applyAlignment="1">
      <alignment horizontal="right" wrapText="1"/>
    </xf>
    <xf numFmtId="4" fontId="9" fillId="0" borderId="64" xfId="0" applyNumberFormat="1" applyFont="1" applyBorder="1" applyAlignment="1">
      <alignment horizontal="right" wrapText="1"/>
    </xf>
    <xf numFmtId="4" fontId="9" fillId="0" borderId="70" xfId="0" applyNumberFormat="1" applyFont="1" applyBorder="1" applyAlignment="1">
      <alignment horizontal="right" wrapText="1"/>
    </xf>
    <xf numFmtId="4" fontId="9" fillId="0" borderId="50" xfId="0" applyNumberFormat="1" applyFont="1" applyBorder="1" applyAlignment="1">
      <alignment horizontal="right" wrapText="1"/>
    </xf>
    <xf numFmtId="4" fontId="9" fillId="0" borderId="49" xfId="0" applyNumberFormat="1" applyFont="1" applyBorder="1" applyAlignment="1">
      <alignment horizontal="right" wrapText="1"/>
    </xf>
    <xf numFmtId="9" fontId="9" fillId="0" borderId="83" xfId="5" applyFont="1" applyBorder="1" applyAlignment="1">
      <alignment horizontal="right" wrapText="1"/>
    </xf>
    <xf numFmtId="4" fontId="7" fillId="0" borderId="30" xfId="0" applyNumberFormat="1" applyFont="1" applyBorder="1"/>
    <xf numFmtId="9" fontId="7" fillId="0" borderId="63" xfId="5" applyFont="1" applyBorder="1" applyAlignment="1">
      <alignment horizontal="right" wrapText="1"/>
    </xf>
    <xf numFmtId="4" fontId="9" fillId="0" borderId="223" xfId="0" applyNumberFormat="1" applyFont="1" applyBorder="1"/>
    <xf numFmtId="164" fontId="6" fillId="0" borderId="61" xfId="5" applyNumberFormat="1" applyFont="1" applyFill="1" applyBorder="1" applyAlignment="1">
      <alignment horizontal="right"/>
    </xf>
    <xf numFmtId="0" fontId="6" fillId="0" borderId="99" xfId="0" applyFont="1" applyBorder="1"/>
    <xf numFmtId="0" fontId="6" fillId="0" borderId="112" xfId="0" applyFont="1" applyBorder="1"/>
    <xf numFmtId="164" fontId="6" fillId="0" borderId="112" xfId="0" applyNumberFormat="1" applyFont="1" applyBorder="1"/>
    <xf numFmtId="164" fontId="6" fillId="0" borderId="113" xfId="5" applyNumberFormat="1" applyFont="1" applyFill="1" applyBorder="1" applyAlignment="1">
      <alignment horizontal="right"/>
    </xf>
    <xf numFmtId="168" fontId="7" fillId="0" borderId="63" xfId="0" applyNumberFormat="1" applyFont="1" applyBorder="1" applyAlignment="1">
      <alignment horizontal="right"/>
    </xf>
    <xf numFmtId="168" fontId="9" fillId="0" borderId="83" xfId="0" applyNumberFormat="1" applyFont="1" applyBorder="1" applyAlignment="1">
      <alignment horizontal="right"/>
    </xf>
    <xf numFmtId="168" fontId="9" fillId="0" borderId="101" xfId="0" applyNumberFormat="1" applyFont="1" applyBorder="1" applyAlignment="1">
      <alignment horizontal="right"/>
    </xf>
    <xf numFmtId="168" fontId="9" fillId="0" borderId="27" xfId="0" applyNumberFormat="1" applyFont="1" applyBorder="1" applyAlignment="1">
      <alignment horizontal="right"/>
    </xf>
    <xf numFmtId="168" fontId="9" fillId="0" borderId="0" xfId="0" applyNumberFormat="1" applyFont="1" applyAlignment="1">
      <alignment horizontal="right"/>
    </xf>
    <xf numFmtId="168" fontId="9" fillId="0" borderId="49" xfId="0" applyNumberFormat="1" applyFont="1" applyBorder="1" applyAlignment="1">
      <alignment horizontal="right"/>
    </xf>
    <xf numFmtId="164" fontId="9" fillId="0" borderId="21" xfId="0" applyNumberFormat="1" applyFont="1" applyBorder="1"/>
    <xf numFmtId="164" fontId="9" fillId="0" borderId="26" xfId="0" applyNumberFormat="1" applyFont="1" applyBorder="1"/>
    <xf numFmtId="164" fontId="9" fillId="0" borderId="0" xfId="0" applyNumberFormat="1" applyFont="1"/>
    <xf numFmtId="164" fontId="9" fillId="0" borderId="27" xfId="0" applyNumberFormat="1" applyFont="1" applyBorder="1"/>
    <xf numFmtId="164" fontId="9" fillId="0" borderId="0" xfId="5" applyNumberFormat="1" applyFont="1" applyFill="1" applyBorder="1" applyAlignment="1">
      <alignment horizontal="right"/>
    </xf>
    <xf numFmtId="164" fontId="9" fillId="0" borderId="172" xfId="0" applyNumberFormat="1" applyFont="1" applyBorder="1"/>
    <xf numFmtId="164" fontId="9" fillId="0" borderId="18" xfId="0" applyNumberFormat="1" applyFont="1" applyBorder="1"/>
    <xf numFmtId="164" fontId="9" fillId="0" borderId="132" xfId="0" applyNumberFormat="1" applyFont="1" applyBorder="1" applyAlignment="1">
      <alignment vertical="center"/>
    </xf>
    <xf numFmtId="164" fontId="9" fillId="0" borderId="73" xfId="0" applyNumberFormat="1" applyFont="1" applyBorder="1" applyAlignment="1">
      <alignment vertical="center"/>
    </xf>
    <xf numFmtId="0" fontId="9" fillId="0" borderId="73" xfId="0" applyFont="1" applyBorder="1" applyAlignment="1">
      <alignment vertical="center"/>
    </xf>
    <xf numFmtId="164" fontId="9" fillId="0" borderId="80" xfId="0" applyNumberFormat="1" applyFont="1" applyBorder="1" applyAlignment="1">
      <alignment vertical="center"/>
    </xf>
    <xf numFmtId="164" fontId="9" fillId="0" borderId="133" xfId="0" applyNumberFormat="1" applyFont="1" applyBorder="1"/>
    <xf numFmtId="168" fontId="9" fillId="0" borderId="142" xfId="0" applyNumberFormat="1" applyFont="1" applyBorder="1" applyAlignment="1">
      <alignment horizontal="right"/>
    </xf>
    <xf numFmtId="168" fontId="9" fillId="0" borderId="133" xfId="0" applyNumberFormat="1" applyFont="1" applyBorder="1" applyAlignment="1">
      <alignment horizontal="right"/>
    </xf>
    <xf numFmtId="167" fontId="6" fillId="0" borderId="4" xfId="0" applyNumberFormat="1" applyFont="1" applyBorder="1"/>
    <xf numFmtId="167" fontId="6" fillId="0" borderId="201" xfId="0" applyNumberFormat="1" applyFont="1" applyBorder="1"/>
    <xf numFmtId="167" fontId="6" fillId="0" borderId="205" xfId="0" applyNumberFormat="1" applyFont="1" applyBorder="1"/>
    <xf numFmtId="167" fontId="7" fillId="0" borderId="201" xfId="0" applyNumberFormat="1" applyFont="1" applyBorder="1"/>
    <xf numFmtId="167" fontId="7" fillId="0" borderId="4" xfId="0" applyNumberFormat="1" applyFont="1" applyBorder="1"/>
    <xf numFmtId="167" fontId="7" fillId="0" borderId="205" xfId="0" applyNumberFormat="1" applyFont="1" applyBorder="1"/>
    <xf numFmtId="167" fontId="9" fillId="0" borderId="24" xfId="0" applyNumberFormat="1" applyFont="1" applyBorder="1"/>
    <xf numFmtId="167" fontId="9" fillId="0" borderId="23" xfId="0" applyNumberFormat="1" applyFont="1" applyBorder="1"/>
    <xf numFmtId="167" fontId="9" fillId="0" borderId="57" xfId="0" applyNumberFormat="1" applyFont="1" applyBorder="1"/>
    <xf numFmtId="167" fontId="7" fillId="0" borderId="1" xfId="0" applyNumberFormat="1" applyFont="1" applyBorder="1"/>
    <xf numFmtId="167" fontId="7" fillId="0" borderId="2" xfId="0" applyNumberFormat="1" applyFont="1" applyBorder="1"/>
    <xf numFmtId="167" fontId="6" fillId="0" borderId="202" xfId="0" applyNumberFormat="1" applyFont="1" applyBorder="1"/>
    <xf numFmtId="167" fontId="8" fillId="0" borderId="24" xfId="0" applyNumberFormat="1" applyFont="1" applyBorder="1"/>
    <xf numFmtId="167" fontId="8" fillId="0" borderId="23" xfId="0" applyNumberFormat="1" applyFont="1" applyBorder="1"/>
    <xf numFmtId="0" fontId="8" fillId="0" borderId="23" xfId="0" applyFont="1" applyBorder="1"/>
    <xf numFmtId="0" fontId="8" fillId="0" borderId="128" xfId="0" applyFont="1" applyBorder="1"/>
    <xf numFmtId="169" fontId="6" fillId="0" borderId="51" xfId="0" applyNumberFormat="1" applyFont="1" applyBorder="1"/>
    <xf numFmtId="169" fontId="6" fillId="0" borderId="52" xfId="0" applyNumberFormat="1" applyFont="1" applyBorder="1"/>
    <xf numFmtId="167" fontId="6" fillId="0" borderId="215" xfId="0" applyNumberFormat="1" applyFont="1" applyBorder="1"/>
    <xf numFmtId="167" fontId="6" fillId="0" borderId="217" xfId="0" applyNumberFormat="1" applyFont="1" applyBorder="1"/>
    <xf numFmtId="169" fontId="6" fillId="0" borderId="53" xfId="0" applyNumberFormat="1" applyFont="1" applyBorder="1"/>
    <xf numFmtId="169" fontId="8" fillId="0" borderId="24" xfId="0" applyNumberFormat="1" applyFont="1" applyBorder="1"/>
    <xf numFmtId="169" fontId="8" fillId="0" borderId="23" xfId="0" applyNumberFormat="1" applyFont="1" applyBorder="1"/>
    <xf numFmtId="169" fontId="8" fillId="0" borderId="77" xfId="0" applyNumberFormat="1" applyFont="1" applyBorder="1"/>
    <xf numFmtId="169" fontId="8" fillId="0" borderId="84" xfId="0" applyNumberFormat="1" applyFont="1" applyBorder="1"/>
    <xf numFmtId="169" fontId="8" fillId="0" borderId="79" xfId="0" applyNumberFormat="1" applyFont="1" applyBorder="1"/>
    <xf numFmtId="169" fontId="8" fillId="0" borderId="57" xfId="0" applyNumberFormat="1" applyFont="1" applyBorder="1"/>
    <xf numFmtId="167" fontId="6" fillId="0" borderId="216" xfId="0" applyNumberFormat="1" applyFont="1" applyBorder="1"/>
    <xf numFmtId="0" fontId="31" fillId="0" borderId="130" xfId="0" applyFont="1" applyBorder="1" applyAlignment="1">
      <alignment horizontal="center"/>
    </xf>
    <xf numFmtId="0" fontId="6" fillId="0" borderId="82" xfId="0" applyFont="1" applyBorder="1" applyAlignment="1">
      <alignment horizontal="center" wrapText="1"/>
    </xf>
    <xf numFmtId="168" fontId="6" fillId="0" borderId="82" xfId="0" applyNumberFormat="1" applyFont="1" applyBorder="1"/>
    <xf numFmtId="168" fontId="6" fillId="0" borderId="37" xfId="0" applyNumberFormat="1" applyFont="1" applyBorder="1"/>
    <xf numFmtId="167" fontId="6" fillId="0" borderId="1" xfId="0" applyNumberFormat="1" applyFont="1" applyBorder="1"/>
    <xf numFmtId="167" fontId="6" fillId="0" borderId="2" xfId="0" applyNumberFormat="1" applyFont="1" applyBorder="1"/>
    <xf numFmtId="167" fontId="6" fillId="0" borderId="53" xfId="0" applyNumberFormat="1" applyFont="1" applyBorder="1"/>
    <xf numFmtId="169" fontId="6" fillId="0" borderId="76" xfId="0" applyNumberFormat="1" applyFont="1" applyBorder="1"/>
    <xf numFmtId="169" fontId="6" fillId="0" borderId="222" xfId="0" applyNumberFormat="1" applyFont="1" applyBorder="1"/>
    <xf numFmtId="169" fontId="6" fillId="0" borderId="215" xfId="0" applyNumberFormat="1" applyFont="1" applyBorder="1"/>
    <xf numFmtId="169" fontId="6" fillId="0" borderId="217" xfId="0" applyNumberFormat="1" applyFont="1" applyBorder="1"/>
    <xf numFmtId="0" fontId="6" fillId="0" borderId="227" xfId="0" applyFont="1" applyBorder="1"/>
    <xf numFmtId="169" fontId="8" fillId="0" borderId="72" xfId="0" applyNumberFormat="1" applyFont="1" applyBorder="1"/>
    <xf numFmtId="169" fontId="8" fillId="0" borderId="73" xfId="0" applyNumberFormat="1" applyFont="1" applyBorder="1"/>
    <xf numFmtId="169" fontId="8" fillId="0" borderId="87" xfId="0" applyNumberFormat="1" applyFont="1" applyBorder="1"/>
    <xf numFmtId="169" fontId="8" fillId="0" borderId="64" xfId="0" applyNumberFormat="1" applyFont="1" applyBorder="1"/>
    <xf numFmtId="169" fontId="8" fillId="0" borderId="65" xfId="0" applyNumberFormat="1" applyFont="1" applyBorder="1"/>
    <xf numFmtId="169" fontId="8" fillId="0" borderId="68" xfId="0" applyNumberFormat="1" applyFont="1" applyBorder="1"/>
    <xf numFmtId="0" fontId="6" fillId="0" borderId="220" xfId="0" applyFont="1" applyBorder="1" applyAlignment="1">
      <alignment horizontal="left" wrapText="1"/>
    </xf>
    <xf numFmtId="0" fontId="6" fillId="0" borderId="111" xfId="0" applyFont="1" applyBorder="1"/>
    <xf numFmtId="0" fontId="7" fillId="0" borderId="111" xfId="0" applyFont="1" applyBorder="1"/>
    <xf numFmtId="167" fontId="7" fillId="0" borderId="112" xfId="0" applyNumberFormat="1" applyFont="1" applyBorder="1" applyAlignment="1">
      <alignment horizontal="right"/>
    </xf>
    <xf numFmtId="0" fontId="7" fillId="0" borderId="112" xfId="0" applyFont="1" applyBorder="1" applyAlignment="1">
      <alignment horizontal="right"/>
    </xf>
    <xf numFmtId="0" fontId="7" fillId="0" borderId="106" xfId="0" applyFont="1" applyBorder="1" applyAlignment="1">
      <alignment horizontal="right"/>
    </xf>
    <xf numFmtId="0" fontId="9" fillId="0" borderId="24" xfId="0" applyFont="1" applyBorder="1" applyAlignment="1">
      <alignment horizontal="right"/>
    </xf>
    <xf numFmtId="167" fontId="9" fillId="0" borderId="23" xfId="0" applyNumberFormat="1" applyFont="1" applyBorder="1" applyAlignment="1">
      <alignment horizontal="right"/>
    </xf>
    <xf numFmtId="0" fontId="9" fillId="0" borderId="57" xfId="0" applyFont="1" applyBorder="1" applyAlignment="1">
      <alignment horizontal="right"/>
    </xf>
    <xf numFmtId="168" fontId="7" fillId="0" borderId="97" xfId="0" applyNumberFormat="1" applyFont="1" applyBorder="1" applyAlignment="1">
      <alignment horizontal="right"/>
    </xf>
    <xf numFmtId="168" fontId="7" fillId="0" borderId="113" xfId="0" applyNumberFormat="1" applyFont="1" applyBorder="1" applyAlignment="1">
      <alignment horizontal="right"/>
    </xf>
    <xf numFmtId="0" fontId="7" fillId="0" borderId="220" xfId="0" applyFont="1" applyBorder="1" applyAlignment="1">
      <alignment horizontal="left" wrapText="1"/>
    </xf>
    <xf numFmtId="169" fontId="7" fillId="0" borderId="4" xfId="0" applyNumberFormat="1" applyFont="1" applyBorder="1"/>
    <xf numFmtId="169" fontId="7" fillId="0" borderId="201" xfId="0" applyNumberFormat="1" applyFont="1" applyBorder="1"/>
    <xf numFmtId="169" fontId="7" fillId="0" borderId="205" xfId="0" applyNumberFormat="1" applyFont="1" applyBorder="1"/>
    <xf numFmtId="169" fontId="9" fillId="0" borderId="24" xfId="0" applyNumberFormat="1" applyFont="1" applyBorder="1"/>
    <xf numFmtId="169" fontId="9" fillId="0" borderId="23" xfId="0" applyNumberFormat="1" applyFont="1" applyBorder="1"/>
    <xf numFmtId="169" fontId="9" fillId="0" borderId="57" xfId="0" applyNumberFormat="1" applyFont="1" applyBorder="1"/>
    <xf numFmtId="169" fontId="7" fillId="0" borderId="202" xfId="0" applyNumberFormat="1" applyFont="1" applyBorder="1"/>
    <xf numFmtId="169" fontId="9" fillId="0" borderId="38" xfId="0" applyNumberFormat="1" applyFont="1" applyBorder="1"/>
    <xf numFmtId="0" fontId="9" fillId="0" borderId="38" xfId="0" applyFont="1" applyBorder="1" applyAlignment="1">
      <alignment horizontal="right"/>
    </xf>
    <xf numFmtId="0" fontId="7" fillId="0" borderId="111" xfId="0" applyFont="1" applyBorder="1" applyAlignment="1">
      <alignment horizontal="right"/>
    </xf>
    <xf numFmtId="169" fontId="9" fillId="0" borderId="132" xfId="0" applyNumberFormat="1" applyFont="1" applyBorder="1"/>
    <xf numFmtId="169" fontId="9" fillId="0" borderId="73" xfId="0" applyNumberFormat="1" applyFont="1" applyBorder="1"/>
    <xf numFmtId="169" fontId="9" fillId="0" borderId="133" xfId="0" applyNumberFormat="1" applyFont="1" applyBorder="1"/>
    <xf numFmtId="0" fontId="8" fillId="0" borderId="205" xfId="0" applyFont="1" applyBorder="1" applyAlignment="1">
      <alignment horizontal="center"/>
    </xf>
    <xf numFmtId="0" fontId="8" fillId="0" borderId="41" xfId="0" applyFont="1" applyBorder="1" applyAlignment="1">
      <alignment horizontal="center"/>
    </xf>
    <xf numFmtId="0" fontId="8" fillId="0" borderId="224" xfId="0" applyFont="1" applyBorder="1" applyAlignment="1">
      <alignment horizontal="center"/>
    </xf>
    <xf numFmtId="4" fontId="8" fillId="0" borderId="204" xfId="0" applyNumberFormat="1" applyFont="1" applyBorder="1" applyAlignment="1">
      <alignment horizontal="center" vertical="center"/>
    </xf>
    <xf numFmtId="0" fontId="6" fillId="0" borderId="141" xfId="0" applyFont="1" applyBorder="1" applyAlignment="1">
      <alignment wrapText="1"/>
    </xf>
    <xf numFmtId="0" fontId="6" fillId="0" borderId="44" xfId="0" applyFont="1" applyBorder="1" applyAlignment="1">
      <alignment wrapText="1"/>
    </xf>
    <xf numFmtId="0" fontId="6" fillId="0" borderId="98" xfId="0" applyFont="1" applyBorder="1" applyAlignment="1">
      <alignment wrapText="1"/>
    </xf>
    <xf numFmtId="0" fontId="6" fillId="0" borderId="28" xfId="0" applyFont="1" applyBorder="1" applyAlignment="1">
      <alignment wrapText="1"/>
    </xf>
    <xf numFmtId="0" fontId="8" fillId="0" borderId="101" xfId="0" applyFont="1" applyBorder="1" applyAlignment="1">
      <alignment wrapText="1"/>
    </xf>
    <xf numFmtId="0" fontId="8" fillId="0" borderId="83" xfId="0" applyFont="1" applyBorder="1" applyAlignment="1">
      <alignment wrapText="1"/>
    </xf>
    <xf numFmtId="0" fontId="6" fillId="0" borderId="37" xfId="0" applyFont="1" applyBorder="1" applyAlignment="1">
      <alignment wrapText="1"/>
    </xf>
    <xf numFmtId="0" fontId="6" fillId="0" borderId="102" xfId="0" applyFont="1" applyBorder="1" applyAlignment="1">
      <alignment wrapText="1"/>
    </xf>
    <xf numFmtId="0" fontId="8" fillId="0" borderId="102" xfId="0" applyFont="1" applyBorder="1" applyAlignment="1">
      <alignment wrapText="1"/>
    </xf>
    <xf numFmtId="0" fontId="8" fillId="0" borderId="97" xfId="0" applyFont="1" applyBorder="1" applyAlignment="1">
      <alignment wrapText="1"/>
    </xf>
    <xf numFmtId="0" fontId="8" fillId="0" borderId="100" xfId="0" applyFont="1" applyBorder="1" applyAlignment="1">
      <alignment wrapText="1"/>
    </xf>
    <xf numFmtId="2" fontId="0" fillId="0" borderId="1" xfId="0" applyNumberFormat="1" applyBorder="1"/>
    <xf numFmtId="2" fontId="4" fillId="0" borderId="77" xfId="0" applyNumberFormat="1" applyFont="1" applyBorder="1"/>
    <xf numFmtId="2" fontId="4" fillId="0" borderId="20" xfId="0" applyNumberFormat="1" applyFont="1" applyBorder="1"/>
    <xf numFmtId="2" fontId="4" fillId="0" borderId="220" xfId="0" applyNumberFormat="1" applyFont="1" applyBorder="1"/>
    <xf numFmtId="2" fontId="4" fillId="0" borderId="79" xfId="0" applyNumberFormat="1" applyFont="1" applyBorder="1"/>
    <xf numFmtId="2" fontId="0" fillId="0" borderId="33" xfId="0" applyNumberFormat="1" applyBorder="1"/>
    <xf numFmtId="2" fontId="0" fillId="0" borderId="204" xfId="0" applyNumberFormat="1" applyBorder="1"/>
    <xf numFmtId="2" fontId="4" fillId="0" borderId="78" xfId="0" applyNumberFormat="1" applyFont="1" applyBorder="1"/>
    <xf numFmtId="0" fontId="8" fillId="0" borderId="130" xfId="0" applyFont="1" applyBorder="1" applyAlignment="1">
      <alignment wrapText="1"/>
    </xf>
    <xf numFmtId="0" fontId="6" fillId="0" borderId="142" xfId="0" applyFont="1" applyBorder="1" applyAlignment="1">
      <alignment wrapText="1"/>
    </xf>
    <xf numFmtId="2" fontId="0" fillId="0" borderId="12" xfId="0" applyNumberFormat="1" applyBorder="1"/>
    <xf numFmtId="2" fontId="4" fillId="0" borderId="72" xfId="0" applyNumberFormat="1" applyFont="1" applyBorder="1"/>
    <xf numFmtId="2" fontId="4" fillId="0" borderId="74" xfId="0" applyNumberFormat="1" applyFont="1" applyBorder="1"/>
    <xf numFmtId="2" fontId="4" fillId="0" borderId="103" xfId="0" applyNumberFormat="1" applyFont="1" applyBorder="1"/>
    <xf numFmtId="2" fontId="4" fillId="0" borderId="104" xfId="0" applyNumberFormat="1" applyFont="1" applyBorder="1"/>
    <xf numFmtId="2" fontId="4" fillId="0" borderId="64" xfId="0" applyNumberFormat="1" applyFont="1" applyBorder="1"/>
    <xf numFmtId="2" fontId="4" fillId="0" borderId="50" xfId="0" applyNumberFormat="1" applyFont="1" applyBorder="1"/>
    <xf numFmtId="9" fontId="4" fillId="0" borderId="79" xfId="0" applyNumberFormat="1" applyFont="1" applyBorder="1"/>
    <xf numFmtId="9" fontId="4" fillId="0" borderId="74" xfId="0" applyNumberFormat="1" applyFont="1" applyBorder="1"/>
    <xf numFmtId="9" fontId="4" fillId="0" borderId="104" xfId="0" applyNumberFormat="1" applyFont="1" applyBorder="1"/>
    <xf numFmtId="9" fontId="4" fillId="0" borderId="66" xfId="0" applyNumberFormat="1" applyFont="1" applyBorder="1"/>
    <xf numFmtId="0" fontId="6" fillId="0" borderId="225" xfId="0" applyFont="1" applyBorder="1" applyAlignment="1">
      <alignment wrapText="1"/>
    </xf>
    <xf numFmtId="2" fontId="0" fillId="0" borderId="215" xfId="0" applyNumberFormat="1" applyBorder="1"/>
    <xf numFmtId="2" fontId="0" fillId="0" borderId="184" xfId="0" applyNumberFormat="1" applyBorder="1"/>
    <xf numFmtId="2" fontId="4" fillId="0" borderId="218" xfId="0" applyNumberFormat="1" applyFont="1" applyBorder="1"/>
    <xf numFmtId="2" fontId="0" fillId="0" borderId="35" xfId="0" applyNumberFormat="1" applyBorder="1"/>
    <xf numFmtId="2" fontId="0" fillId="0" borderId="13" xfId="0" applyNumberFormat="1" applyBorder="1"/>
    <xf numFmtId="2" fontId="4" fillId="0" borderId="42" xfId="0" applyNumberFormat="1" applyFont="1" applyBorder="1"/>
    <xf numFmtId="2" fontId="9" fillId="0" borderId="100" xfId="0" applyNumberFormat="1" applyFont="1" applyBorder="1"/>
    <xf numFmtId="2" fontId="7" fillId="0" borderId="28" xfId="0" applyNumberFormat="1" applyFont="1" applyBorder="1"/>
    <xf numFmtId="2" fontId="7" fillId="0" borderId="223" xfId="0" applyNumberFormat="1" applyFont="1" applyBorder="1"/>
    <xf numFmtId="2" fontId="7" fillId="0" borderId="221" xfId="0" applyNumberFormat="1" applyFont="1" applyBorder="1"/>
    <xf numFmtId="2" fontId="10" fillId="0" borderId="221" xfId="0" applyNumberFormat="1" applyFont="1" applyBorder="1" applyAlignment="1">
      <alignment horizontal="right" wrapText="1"/>
    </xf>
    <xf numFmtId="2" fontId="10" fillId="0" borderId="36" xfId="0" applyNumberFormat="1" applyFont="1" applyBorder="1" applyAlignment="1">
      <alignment horizontal="right" wrapText="1"/>
    </xf>
    <xf numFmtId="2" fontId="9" fillId="0" borderId="78" xfId="0" applyNumberFormat="1" applyFont="1" applyBorder="1"/>
    <xf numFmtId="2" fontId="10" fillId="0" borderId="223" xfId="0" applyNumberFormat="1" applyFont="1" applyBorder="1" applyAlignment="1">
      <alignment horizontal="right" wrapText="1"/>
    </xf>
    <xf numFmtId="9" fontId="4" fillId="0" borderId="79" xfId="0" applyNumberFormat="1" applyFont="1" applyBorder="1" applyAlignment="1">
      <alignment horizontal="right"/>
    </xf>
    <xf numFmtId="2" fontId="4" fillId="0" borderId="131" xfId="0" applyNumberFormat="1" applyFont="1" applyBorder="1"/>
    <xf numFmtId="2" fontId="4" fillId="0" borderId="111" xfId="0" applyNumberFormat="1" applyFont="1" applyBorder="1"/>
    <xf numFmtId="2" fontId="4" fillId="0" borderId="149" xfId="0" applyNumberFormat="1" applyFont="1" applyBorder="1"/>
    <xf numFmtId="2" fontId="4" fillId="0" borderId="110" xfId="0" applyNumberFormat="1" applyFont="1" applyBorder="1"/>
    <xf numFmtId="2" fontId="4" fillId="0" borderId="70" xfId="0" applyNumberFormat="1" applyFont="1" applyBorder="1"/>
    <xf numFmtId="2" fontId="11" fillId="0" borderId="39" xfId="0" applyNumberFormat="1" applyFont="1" applyBorder="1" applyAlignment="1">
      <alignment horizontal="right" wrapText="1"/>
    </xf>
    <xf numFmtId="3" fontId="6" fillId="0" borderId="224" xfId="4" applyNumberFormat="1" applyFont="1" applyBorder="1" applyAlignment="1">
      <alignment horizontal="right"/>
    </xf>
    <xf numFmtId="3" fontId="6" fillId="0" borderId="60" xfId="4" applyNumberFormat="1" applyFont="1" applyBorder="1" applyAlignment="1">
      <alignment horizontal="right"/>
    </xf>
    <xf numFmtId="3" fontId="6" fillId="0" borderId="10" xfId="4" applyNumberFormat="1" applyFont="1" applyBorder="1" applyAlignment="1">
      <alignment horizontal="right"/>
    </xf>
    <xf numFmtId="3" fontId="6" fillId="0" borderId="229" xfId="4" applyNumberFormat="1" applyFont="1" applyBorder="1"/>
    <xf numFmtId="3" fontId="9" fillId="0" borderId="80" xfId="4" applyNumberFormat="1" applyFont="1" applyBorder="1"/>
    <xf numFmtId="0" fontId="7" fillId="0" borderId="98" xfId="4" applyFont="1" applyBorder="1" applyAlignment="1">
      <alignment horizontal="center"/>
    </xf>
    <xf numFmtId="2" fontId="9" fillId="0" borderId="220" xfId="0" applyNumberFormat="1" applyFont="1" applyBorder="1" applyAlignment="1">
      <alignment horizontal="right"/>
    </xf>
    <xf numFmtId="2" fontId="7" fillId="0" borderId="223" xfId="0" applyNumberFormat="1" applyFont="1" applyBorder="1" applyAlignment="1">
      <alignment horizontal="right"/>
    </xf>
    <xf numFmtId="2" fontId="9" fillId="0" borderId="136" xfId="0" applyNumberFormat="1" applyFont="1" applyBorder="1"/>
    <xf numFmtId="2" fontId="9" fillId="0" borderId="210" xfId="0" applyNumberFormat="1" applyFont="1" applyBorder="1"/>
    <xf numFmtId="2" fontId="9" fillId="0" borderId="237" xfId="0" applyNumberFormat="1" applyFont="1" applyBorder="1"/>
    <xf numFmtId="4" fontId="9" fillId="0" borderId="200" xfId="0" applyNumberFormat="1" applyFont="1" applyBorder="1"/>
    <xf numFmtId="2" fontId="9" fillId="0" borderId="208" xfId="0" applyNumberFormat="1" applyFont="1" applyBorder="1"/>
    <xf numFmtId="4" fontId="9" fillId="0" borderId="139" xfId="0" applyNumberFormat="1" applyFont="1" applyBorder="1"/>
    <xf numFmtId="3" fontId="7" fillId="0" borderId="20" xfId="4" applyNumberFormat="1" applyFont="1" applyBorder="1"/>
    <xf numFmtId="3" fontId="7" fillId="0" borderId="220" xfId="4" applyNumberFormat="1" applyFont="1" applyBorder="1"/>
    <xf numFmtId="3" fontId="9" fillId="0" borderId="50" xfId="4" applyNumberFormat="1" applyFont="1" applyBorder="1"/>
    <xf numFmtId="3" fontId="7" fillId="0" borderId="62" xfId="4" applyNumberFormat="1" applyFont="1" applyBorder="1"/>
    <xf numFmtId="3" fontId="7" fillId="0" borderId="218" xfId="4" applyNumberFormat="1" applyFont="1" applyBorder="1"/>
    <xf numFmtId="3" fontId="6" fillId="0" borderId="82" xfId="4" applyNumberFormat="1" applyFont="1" applyBorder="1"/>
    <xf numFmtId="3" fontId="9" fillId="0" borderId="83" xfId="4" applyNumberFormat="1" applyFont="1" applyBorder="1"/>
    <xf numFmtId="3" fontId="7" fillId="0" borderId="81" xfId="4" applyNumberFormat="1" applyFont="1" applyBorder="1"/>
    <xf numFmtId="3" fontId="7" fillId="0" borderId="82" xfId="4" applyNumberFormat="1" applyFont="1" applyBorder="1"/>
    <xf numFmtId="3" fontId="7" fillId="0" borderId="181" xfId="4" applyNumberFormat="1" applyFont="1" applyBorder="1"/>
    <xf numFmtId="3" fontId="7" fillId="0" borderId="185" xfId="4" applyNumberFormat="1" applyFont="1" applyBorder="1"/>
    <xf numFmtId="3" fontId="8" fillId="0" borderId="142" xfId="4" applyNumberFormat="1" applyFont="1" applyBorder="1"/>
    <xf numFmtId="3" fontId="6" fillId="0" borderId="37" xfId="4" applyNumberFormat="1" applyFont="1" applyBorder="1"/>
    <xf numFmtId="3" fontId="9" fillId="0" borderId="48" xfId="4" applyNumberFormat="1" applyFont="1" applyBorder="1"/>
    <xf numFmtId="3" fontId="7" fillId="0" borderId="59" xfId="4" applyNumberFormat="1" applyFont="1" applyBorder="1"/>
    <xf numFmtId="3" fontId="7" fillId="0" borderId="37" xfId="4" applyNumberFormat="1" applyFont="1" applyBorder="1"/>
    <xf numFmtId="3" fontId="7" fillId="0" borderId="225" xfId="4" applyNumberFormat="1" applyFont="1" applyBorder="1"/>
    <xf numFmtId="3" fontId="8" fillId="0" borderId="132" xfId="4" applyNumberFormat="1" applyFont="1" applyBorder="1"/>
    <xf numFmtId="3" fontId="6" fillId="0" borderId="225" xfId="4" applyNumberFormat="1" applyFont="1" applyBorder="1"/>
    <xf numFmtId="3" fontId="8" fillId="0" borderId="238" xfId="4" applyNumberFormat="1" applyFont="1" applyBorder="1"/>
    <xf numFmtId="3" fontId="9" fillId="0" borderId="234" xfId="4" applyNumberFormat="1" applyFont="1" applyBorder="1"/>
    <xf numFmtId="3" fontId="6" fillId="0" borderId="181" xfId="4" applyNumberFormat="1" applyFont="1" applyBorder="1"/>
    <xf numFmtId="3" fontId="8" fillId="0" borderId="203" xfId="4" applyNumberFormat="1" applyFont="1" applyBorder="1"/>
    <xf numFmtId="4" fontId="7" fillId="0" borderId="101" xfId="0" applyNumberFormat="1" applyFont="1" applyBorder="1" applyAlignment="1">
      <alignment horizontal="right" vertical="center"/>
    </xf>
    <xf numFmtId="4" fontId="9" fillId="0" borderId="101" xfId="0" applyNumberFormat="1" applyFont="1" applyBorder="1" applyAlignment="1">
      <alignment horizontal="right"/>
    </xf>
    <xf numFmtId="4" fontId="7" fillId="0" borderId="81" xfId="0" applyNumberFormat="1" applyFont="1" applyBorder="1" applyAlignment="1">
      <alignment horizontal="right"/>
    </xf>
    <xf numFmtId="2" fontId="9" fillId="0" borderId="83" xfId="0" applyNumberFormat="1" applyFont="1" applyBorder="1" applyAlignment="1">
      <alignment horizontal="right"/>
    </xf>
    <xf numFmtId="4" fontId="9" fillId="0" borderId="101" xfId="0" applyNumberFormat="1" applyFont="1" applyBorder="1"/>
    <xf numFmtId="4" fontId="7" fillId="0" borderId="81" xfId="0" applyNumberFormat="1" applyFont="1" applyBorder="1"/>
    <xf numFmtId="4" fontId="9" fillId="0" borderId="83" xfId="0" applyNumberFormat="1" applyFont="1" applyBorder="1"/>
    <xf numFmtId="4" fontId="7" fillId="0" borderId="98" xfId="0" applyNumberFormat="1" applyFont="1" applyBorder="1"/>
    <xf numFmtId="4" fontId="9" fillId="0" borderId="143" xfId="0" applyNumberFormat="1" applyFont="1" applyBorder="1"/>
    <xf numFmtId="4" fontId="9" fillId="0" borderId="142" xfId="0" applyNumberFormat="1" applyFont="1" applyBorder="1"/>
    <xf numFmtId="2" fontId="7" fillId="0" borderId="101" xfId="0" applyNumberFormat="1" applyFont="1" applyBorder="1"/>
    <xf numFmtId="2" fontId="9" fillId="0" borderId="51" xfId="0" applyNumberFormat="1" applyFont="1" applyBorder="1"/>
    <xf numFmtId="2" fontId="9" fillId="0" borderId="35" xfId="0" applyNumberFormat="1" applyFont="1" applyBorder="1"/>
    <xf numFmtId="2" fontId="9" fillId="0" borderId="118" xfId="0" applyNumberFormat="1" applyFont="1" applyBorder="1" applyAlignment="1">
      <alignment horizontal="right" wrapText="1"/>
    </xf>
    <xf numFmtId="2" fontId="7" fillId="0" borderId="221" xfId="0" applyNumberFormat="1" applyFont="1" applyBorder="1" applyAlignment="1">
      <alignment horizontal="right" wrapText="1"/>
    </xf>
    <xf numFmtId="2" fontId="9" fillId="0" borderId="18" xfId="0" applyNumberFormat="1" applyFont="1" applyBorder="1" applyAlignment="1">
      <alignment horizontal="right" wrapText="1"/>
    </xf>
    <xf numFmtId="2" fontId="9" fillId="0" borderId="14" xfId="0" applyNumberFormat="1" applyFont="1" applyBorder="1" applyAlignment="1">
      <alignment horizontal="right" wrapText="1"/>
    </xf>
    <xf numFmtId="2" fontId="7" fillId="0" borderId="239" xfId="0" applyNumberFormat="1" applyFont="1" applyBorder="1" applyAlignment="1">
      <alignment horizontal="right" wrapText="1"/>
    </xf>
    <xf numFmtId="2" fontId="7" fillId="0" borderId="98" xfId="0" applyNumberFormat="1" applyFont="1" applyBorder="1" applyAlignment="1">
      <alignment horizontal="right" wrapText="1"/>
    </xf>
    <xf numFmtId="2" fontId="9" fillId="0" borderId="101" xfId="0" applyNumberFormat="1" applyFont="1" applyBorder="1" applyAlignment="1">
      <alignment horizontal="right" wrapText="1"/>
    </xf>
    <xf numFmtId="2" fontId="7" fillId="0" borderId="81" xfId="0" applyNumberFormat="1" applyFont="1" applyBorder="1" applyAlignment="1">
      <alignment horizontal="right" wrapText="1"/>
    </xf>
    <xf numFmtId="2" fontId="9" fillId="0" borderId="83" xfId="0" applyNumberFormat="1" applyFont="1" applyBorder="1" applyAlignment="1">
      <alignment horizontal="right" wrapText="1"/>
    </xf>
    <xf numFmtId="2" fontId="7" fillId="0" borderId="181" xfId="0" applyNumberFormat="1" applyFont="1" applyBorder="1" applyAlignment="1">
      <alignment horizontal="right" wrapText="1"/>
    </xf>
    <xf numFmtId="2" fontId="9" fillId="0" borderId="142" xfId="0" applyNumberFormat="1" applyFont="1" applyBorder="1" applyAlignment="1">
      <alignment horizontal="right" wrapText="1"/>
    </xf>
    <xf numFmtId="4" fontId="9" fillId="0" borderId="83" xfId="0" applyNumberFormat="1" applyFont="1" applyBorder="1" applyAlignment="1">
      <alignment horizontal="right" wrapText="1"/>
    </xf>
    <xf numFmtId="2" fontId="7" fillId="0" borderId="101" xfId="0" applyNumberFormat="1" applyFont="1" applyBorder="1" applyAlignment="1">
      <alignment horizontal="right" wrapText="1"/>
    </xf>
    <xf numFmtId="2" fontId="7" fillId="0" borderId="223" xfId="0" applyNumberFormat="1" applyFont="1" applyBorder="1" applyAlignment="1">
      <alignment horizontal="right" wrapText="1"/>
    </xf>
    <xf numFmtId="2" fontId="7" fillId="0" borderId="49" xfId="0" applyNumberFormat="1" applyFont="1" applyBorder="1" applyAlignment="1">
      <alignment horizontal="right" wrapText="1"/>
    </xf>
    <xf numFmtId="2" fontId="7" fillId="0" borderId="36" xfId="0" applyNumberFormat="1" applyFont="1" applyBorder="1" applyAlignment="1">
      <alignment horizontal="right"/>
    </xf>
    <xf numFmtId="2" fontId="7" fillId="0" borderId="49" xfId="0" applyNumberFormat="1" applyFont="1" applyBorder="1" applyAlignment="1">
      <alignment horizontal="right"/>
    </xf>
    <xf numFmtId="2" fontId="7" fillId="0" borderId="240" xfId="0" applyNumberFormat="1" applyFont="1" applyBorder="1" applyAlignment="1">
      <alignment horizontal="right" wrapText="1"/>
    </xf>
    <xf numFmtId="2" fontId="7" fillId="0" borderId="70" xfId="0" applyNumberFormat="1" applyFont="1" applyBorder="1" applyAlignment="1">
      <alignment horizontal="right" wrapText="1"/>
    </xf>
    <xf numFmtId="2" fontId="7" fillId="0" borderId="70" xfId="0" applyNumberFormat="1" applyFont="1" applyBorder="1" applyAlignment="1">
      <alignment horizontal="right"/>
    </xf>
    <xf numFmtId="3" fontId="9" fillId="0" borderId="132" xfId="0" applyNumberFormat="1" applyFont="1" applyBorder="1" applyAlignment="1">
      <alignment horizontal="right"/>
    </xf>
    <xf numFmtId="9" fontId="8" fillId="0" borderId="142" xfId="5" applyFont="1" applyBorder="1" applyAlignment="1">
      <alignment horizontal="right"/>
    </xf>
    <xf numFmtId="9" fontId="8" fillId="0" borderId="128" xfId="5" applyFont="1" applyBorder="1"/>
    <xf numFmtId="0" fontId="8" fillId="0" borderId="27" xfId="0" applyFont="1" applyBorder="1"/>
    <xf numFmtId="2" fontId="9" fillId="0" borderId="130" xfId="0" applyNumberFormat="1" applyFont="1" applyBorder="1"/>
    <xf numFmtId="2" fontId="7" fillId="0" borderId="98" xfId="0" applyNumberFormat="1" applyFont="1" applyBorder="1"/>
    <xf numFmtId="2" fontId="7" fillId="0" borderId="185" xfId="0" applyNumberFormat="1" applyFont="1" applyBorder="1"/>
    <xf numFmtId="2" fontId="10" fillId="0" borderId="181" xfId="0" applyNumberFormat="1" applyFont="1" applyBorder="1" applyAlignment="1">
      <alignment horizontal="right" wrapText="1"/>
    </xf>
    <xf numFmtId="2" fontId="10" fillId="0" borderId="98" xfId="0" applyNumberFormat="1" applyFont="1" applyBorder="1" applyAlignment="1">
      <alignment horizontal="right" wrapText="1"/>
    </xf>
    <xf numFmtId="2" fontId="11" fillId="0" borderId="101" xfId="0" applyNumberFormat="1" applyFont="1" applyBorder="1" applyAlignment="1">
      <alignment horizontal="right"/>
    </xf>
    <xf numFmtId="2" fontId="11" fillId="0" borderId="102" xfId="0" applyNumberFormat="1" applyFont="1" applyBorder="1" applyAlignment="1">
      <alignment horizontal="right"/>
    </xf>
    <xf numFmtId="2" fontId="11" fillId="0" borderId="142" xfId="0" applyNumberFormat="1" applyFont="1" applyBorder="1" applyAlignment="1">
      <alignment horizontal="right"/>
    </xf>
    <xf numFmtId="2" fontId="11" fillId="0" borderId="83" xfId="0" applyNumberFormat="1" applyFont="1" applyBorder="1" applyAlignment="1">
      <alignment horizontal="right" wrapText="1"/>
    </xf>
    <xf numFmtId="2" fontId="6" fillId="0" borderId="63" xfId="0" applyNumberFormat="1" applyFont="1" applyBorder="1"/>
    <xf numFmtId="2" fontId="8" fillId="0" borderId="83" xfId="0" applyNumberFormat="1" applyFont="1" applyBorder="1"/>
    <xf numFmtId="2" fontId="6" fillId="0" borderId="81" xfId="0" applyNumberFormat="1" applyFont="1" applyBorder="1"/>
    <xf numFmtId="2" fontId="6" fillId="0" borderId="82" xfId="0" applyNumberFormat="1" applyFont="1" applyBorder="1"/>
    <xf numFmtId="2" fontId="6" fillId="0" borderId="181" xfId="0" applyNumberFormat="1" applyFont="1" applyBorder="1"/>
    <xf numFmtId="2" fontId="6" fillId="0" borderId="185" xfId="0" applyNumberFormat="1" applyFont="1" applyBorder="1"/>
    <xf numFmtId="2" fontId="8" fillId="0" borderId="101" xfId="0" applyNumberFormat="1" applyFont="1" applyBorder="1"/>
    <xf numFmtId="2" fontId="8" fillId="0" borderId="142" xfId="0" applyNumberFormat="1" applyFont="1" applyBorder="1"/>
    <xf numFmtId="2" fontId="6" fillId="0" borderId="97" xfId="0" applyNumberFormat="1" applyFont="1" applyBorder="1"/>
    <xf numFmtId="2" fontId="7" fillId="0" borderId="82" xfId="0" applyNumberFormat="1" applyFont="1" applyBorder="1" applyAlignment="1">
      <alignment horizontal="right" wrapText="1"/>
    </xf>
    <xf numFmtId="2" fontId="10" fillId="0" borderId="101" xfId="0" applyNumberFormat="1" applyFont="1" applyBorder="1" applyAlignment="1">
      <alignment horizontal="right" wrapText="1"/>
    </xf>
    <xf numFmtId="2" fontId="10" fillId="0" borderId="63" xfId="0" applyNumberFormat="1" applyFont="1" applyBorder="1" applyAlignment="1">
      <alignment horizontal="right" wrapText="1"/>
    </xf>
    <xf numFmtId="3" fontId="10" fillId="0" borderId="181" xfId="0" applyNumberFormat="1" applyFont="1" applyBorder="1" applyAlignment="1">
      <alignment horizontal="right" wrapText="1"/>
    </xf>
    <xf numFmtId="3" fontId="10" fillId="0" borderId="101" xfId="0" applyNumberFormat="1" applyFont="1" applyBorder="1" applyAlignment="1">
      <alignment horizontal="right" wrapText="1"/>
    </xf>
    <xf numFmtId="3" fontId="10" fillId="0" borderId="63" xfId="0" applyNumberFormat="1" applyFont="1" applyBorder="1" applyAlignment="1">
      <alignment horizontal="right" wrapText="1"/>
    </xf>
    <xf numFmtId="3" fontId="11" fillId="0" borderId="83" xfId="0" applyNumberFormat="1" applyFont="1" applyBorder="1" applyAlignment="1">
      <alignment horizontal="right" wrapText="1"/>
    </xf>
    <xf numFmtId="3" fontId="10" fillId="0" borderId="82" xfId="0" applyNumberFormat="1" applyFont="1" applyBorder="1" applyAlignment="1">
      <alignment horizontal="right" wrapText="1"/>
    </xf>
    <xf numFmtId="3" fontId="11" fillId="0" borderId="101" xfId="0" applyNumberFormat="1" applyFont="1" applyBorder="1" applyAlignment="1">
      <alignment horizontal="right" wrapText="1"/>
    </xf>
    <xf numFmtId="3" fontId="10" fillId="0" borderId="81" xfId="0" applyNumberFormat="1" applyFont="1" applyBorder="1" applyAlignment="1">
      <alignment horizontal="right" wrapText="1"/>
    </xf>
    <xf numFmtId="3" fontId="10" fillId="0" borderId="185" xfId="0" applyNumberFormat="1" applyFont="1" applyBorder="1" applyAlignment="1">
      <alignment horizontal="right" wrapText="1"/>
    </xf>
    <xf numFmtId="3" fontId="11" fillId="0" borderId="142" xfId="0" applyNumberFormat="1" applyFont="1" applyBorder="1" applyAlignment="1">
      <alignment horizontal="right" wrapText="1"/>
    </xf>
    <xf numFmtId="3" fontId="11" fillId="0" borderId="83" xfId="0" applyNumberFormat="1" applyFont="1" applyBorder="1" applyAlignment="1">
      <alignment horizontal="right"/>
    </xf>
    <xf numFmtId="2" fontId="9" fillId="0" borderId="211" xfId="48" applyNumberFormat="1" applyFont="1" applyBorder="1" applyAlignment="1">
      <alignment horizontal="center" vertical="center"/>
    </xf>
    <xf numFmtId="2" fontId="9" fillId="0" borderId="50" xfId="48" applyNumberFormat="1" applyFont="1" applyBorder="1" applyAlignment="1">
      <alignment horizontal="center" vertical="center"/>
    </xf>
    <xf numFmtId="3" fontId="0" fillId="0" borderId="1" xfId="0" applyNumberFormat="1" applyBorder="1"/>
    <xf numFmtId="2" fontId="0" fillId="0" borderId="3" xfId="0" applyNumberFormat="1" applyBorder="1"/>
    <xf numFmtId="0" fontId="69" fillId="0" borderId="3" xfId="0" applyFont="1" applyBorder="1"/>
    <xf numFmtId="3" fontId="69" fillId="0" borderId="10" xfId="0" applyNumberFormat="1" applyFont="1" applyBorder="1"/>
    <xf numFmtId="9" fontId="0" fillId="0" borderId="10" xfId="5" applyFont="1" applyBorder="1" applyAlignment="1">
      <alignment horizontal="right"/>
    </xf>
    <xf numFmtId="9" fontId="0" fillId="0" borderId="15" xfId="5" applyFont="1" applyBorder="1" applyAlignment="1">
      <alignment horizontal="right"/>
    </xf>
    <xf numFmtId="2" fontId="0" fillId="0" borderId="82" xfId="0" applyNumberFormat="1" applyBorder="1"/>
    <xf numFmtId="2" fontId="7" fillId="0" borderId="200" xfId="0" applyNumberFormat="1" applyFont="1" applyBorder="1" applyAlignment="1">
      <alignment horizontal="right"/>
    </xf>
    <xf numFmtId="0" fontId="9" fillId="0" borderId="211" xfId="0" applyFont="1" applyBorder="1" applyAlignment="1">
      <alignment horizontal="center"/>
    </xf>
    <xf numFmtId="0" fontId="9" fillId="0" borderId="236" xfId="0" applyFont="1" applyBorder="1" applyAlignment="1">
      <alignment horizontal="center"/>
    </xf>
    <xf numFmtId="0" fontId="9" fillId="0" borderId="235" xfId="0" applyFont="1" applyBorder="1" applyAlignment="1">
      <alignment horizontal="center"/>
    </xf>
    <xf numFmtId="0" fontId="9" fillId="0" borderId="234" xfId="0" applyFont="1" applyBorder="1" applyAlignment="1">
      <alignment horizontal="center"/>
    </xf>
    <xf numFmtId="0" fontId="9" fillId="0" borderId="241" xfId="0" applyFont="1" applyBorder="1" applyAlignment="1">
      <alignment horizontal="center"/>
    </xf>
    <xf numFmtId="0" fontId="9" fillId="0" borderId="242" xfId="0" applyFont="1" applyBorder="1" applyAlignment="1">
      <alignment horizontal="center"/>
    </xf>
    <xf numFmtId="0" fontId="9" fillId="0" borderId="195" xfId="0" applyFont="1" applyBorder="1" applyAlignment="1">
      <alignment horizontal="center"/>
    </xf>
    <xf numFmtId="4" fontId="9" fillId="0" borderId="211" xfId="0" applyNumberFormat="1" applyFont="1" applyBorder="1" applyAlignment="1">
      <alignment horizontal="center" vertical="center"/>
    </xf>
    <xf numFmtId="4" fontId="9" fillId="0" borderId="235" xfId="0" applyNumberFormat="1" applyFont="1" applyBorder="1" applyAlignment="1">
      <alignment horizontal="center" vertical="center"/>
    </xf>
    <xf numFmtId="0" fontId="9" fillId="0" borderId="234" xfId="0" applyFont="1" applyBorder="1" applyAlignment="1">
      <alignment horizontal="center" vertical="center"/>
    </xf>
    <xf numFmtId="0" fontId="7" fillId="0" borderId="0" xfId="0" applyFont="1" applyAlignment="1">
      <alignment horizontal="center" wrapText="1"/>
    </xf>
    <xf numFmtId="0" fontId="9" fillId="0" borderId="238" xfId="0" applyFont="1" applyBorder="1" applyAlignment="1">
      <alignment horizontal="center"/>
    </xf>
    <xf numFmtId="4" fontId="9" fillId="0" borderId="20" xfId="0" applyNumberFormat="1" applyFont="1" applyBorder="1"/>
    <xf numFmtId="4" fontId="9" fillId="0" borderId="8" xfId="0" applyNumberFormat="1" applyFont="1" applyBorder="1"/>
    <xf numFmtId="0" fontId="9" fillId="0" borderId="171" xfId="0" applyFont="1" applyBorder="1" applyAlignment="1">
      <alignment horizontal="center"/>
    </xf>
    <xf numFmtId="0" fontId="9" fillId="0" borderId="211" xfId="0" applyFont="1" applyBorder="1" applyAlignment="1">
      <alignment horizontal="center" vertical="center"/>
    </xf>
    <xf numFmtId="2" fontId="9" fillId="0" borderId="235" xfId="0" applyNumberFormat="1" applyFont="1" applyBorder="1" applyAlignment="1">
      <alignment horizontal="center" vertical="center"/>
    </xf>
    <xf numFmtId="0" fontId="7" fillId="0" borderId="82" xfId="0" applyFont="1" applyBorder="1" applyAlignment="1">
      <alignment horizontal="center"/>
    </xf>
    <xf numFmtId="4" fontId="7" fillId="0" borderId="57" xfId="0" applyNumberFormat="1" applyFont="1" applyBorder="1"/>
    <xf numFmtId="4" fontId="7" fillId="0" borderId="27" xfId="0" applyNumberFormat="1" applyFont="1" applyBorder="1"/>
    <xf numFmtId="4" fontId="9" fillId="0" borderId="71" xfId="0" applyNumberFormat="1" applyFont="1" applyBorder="1"/>
    <xf numFmtId="0" fontId="9" fillId="0" borderId="64" xfId="4" applyFont="1" applyBorder="1" applyAlignment="1">
      <alignment horizontal="center" vertical="center"/>
    </xf>
    <xf numFmtId="0" fontId="9" fillId="0" borderId="65" xfId="4" applyFont="1" applyBorder="1" applyAlignment="1">
      <alignment horizontal="center" vertical="center"/>
    </xf>
    <xf numFmtId="0" fontId="9" fillId="0" borderId="73" xfId="4" applyFont="1" applyBorder="1" applyAlignment="1">
      <alignment horizontal="center" vertical="center"/>
    </xf>
    <xf numFmtId="4" fontId="9" fillId="0" borderId="243" xfId="0" applyNumberFormat="1" applyFont="1" applyBorder="1"/>
    <xf numFmtId="0" fontId="8" fillId="0" borderId="195" xfId="0" applyFont="1" applyBorder="1" applyAlignment="1">
      <alignment horizontal="center"/>
    </xf>
    <xf numFmtId="0" fontId="8" fillId="0" borderId="241" xfId="0" applyFont="1" applyBorder="1" applyAlignment="1">
      <alignment horizontal="center"/>
    </xf>
    <xf numFmtId="0" fontId="8" fillId="0" borderId="65" xfId="0" applyFont="1" applyBorder="1" applyAlignment="1">
      <alignment horizontal="center"/>
    </xf>
    <xf numFmtId="0" fontId="8" fillId="0" borderId="238" xfId="0" applyFont="1" applyBorder="1" applyAlignment="1">
      <alignment horizontal="center"/>
    </xf>
    <xf numFmtId="0" fontId="8" fillId="0" borderId="74" xfId="0" applyFont="1" applyBorder="1" applyAlignment="1">
      <alignment horizontal="center"/>
    </xf>
    <xf numFmtId="9" fontId="6" fillId="0" borderId="20" xfId="5" applyFont="1" applyFill="1" applyBorder="1"/>
    <xf numFmtId="9" fontId="6" fillId="0" borderId="38" xfId="5" applyFont="1" applyFill="1" applyBorder="1" applyAlignment="1">
      <alignment horizontal="right" vertical="center" wrapText="1"/>
    </xf>
    <xf numFmtId="0" fontId="8" fillId="0" borderId="171" xfId="0" applyFont="1" applyBorder="1" applyAlignment="1">
      <alignment horizontal="center" vertical="center" wrapText="1"/>
    </xf>
    <xf numFmtId="0" fontId="8" fillId="0" borderId="213" xfId="0" applyFont="1" applyBorder="1" applyAlignment="1">
      <alignment horizontal="center" vertical="center" wrapText="1"/>
    </xf>
    <xf numFmtId="2" fontId="9" fillId="0" borderId="71" xfId="0" applyNumberFormat="1" applyFont="1" applyBorder="1" applyAlignment="1">
      <alignment horizontal="right" wrapText="1"/>
    </xf>
    <xf numFmtId="2" fontId="11" fillId="0" borderId="71" xfId="0" applyNumberFormat="1" applyFont="1" applyBorder="1" applyAlignment="1">
      <alignment horizontal="right" wrapText="1"/>
    </xf>
    <xf numFmtId="3" fontId="9" fillId="0" borderId="171" xfId="47" applyNumberFormat="1" applyFont="1" applyBorder="1" applyAlignment="1">
      <alignment horizontal="center" vertical="center"/>
    </xf>
    <xf numFmtId="2" fontId="9" fillId="0" borderId="49" xfId="48" applyNumberFormat="1" applyFont="1" applyBorder="1" applyAlignment="1">
      <alignment horizontal="center" vertical="center"/>
    </xf>
    <xf numFmtId="3" fontId="9" fillId="0" borderId="211" xfId="47" applyNumberFormat="1" applyFont="1" applyBorder="1" applyAlignment="1">
      <alignment horizontal="center" vertical="center"/>
    </xf>
    <xf numFmtId="3" fontId="28" fillId="0" borderId="211" xfId="47" applyNumberFormat="1" applyFont="1" applyBorder="1" applyAlignment="1">
      <alignment horizontal="center" vertical="center"/>
    </xf>
    <xf numFmtId="3" fontId="28" fillId="0" borderId="171" xfId="47" applyNumberFormat="1" applyFont="1" applyBorder="1" applyAlignment="1">
      <alignment horizontal="center" vertical="center"/>
    </xf>
    <xf numFmtId="2" fontId="9" fillId="0" borderId="171" xfId="48" applyNumberFormat="1" applyFont="1" applyBorder="1" applyAlignment="1">
      <alignment horizontal="center" vertical="center"/>
    </xf>
    <xf numFmtId="0" fontId="8" fillId="0" borderId="213" xfId="0" applyFont="1" applyBorder="1" applyAlignment="1">
      <alignment horizontal="center"/>
    </xf>
    <xf numFmtId="9" fontId="8" fillId="0" borderId="38" xfId="0" applyNumberFormat="1" applyFont="1" applyBorder="1"/>
    <xf numFmtId="9" fontId="8" fillId="0" borderId="50" xfId="0" applyNumberFormat="1" applyFont="1" applyBorder="1"/>
    <xf numFmtId="9" fontId="8" fillId="0" borderId="79" xfId="0" applyNumberFormat="1" applyFont="1" applyBorder="1"/>
    <xf numFmtId="9" fontId="8" fillId="0" borderId="131" xfId="0" applyNumberFormat="1" applyFont="1" applyBorder="1"/>
    <xf numFmtId="9" fontId="6" fillId="0" borderId="62" xfId="0" applyNumberFormat="1" applyFont="1" applyBorder="1"/>
    <xf numFmtId="9" fontId="6" fillId="0" borderId="20" xfId="0" applyNumberFormat="1" applyFont="1" applyBorder="1"/>
    <xf numFmtId="9" fontId="6" fillId="0" borderId="218" xfId="0" applyNumberFormat="1" applyFont="1" applyBorder="1"/>
    <xf numFmtId="9" fontId="6" fillId="0" borderId="220" xfId="0" applyNumberFormat="1" applyFont="1" applyBorder="1"/>
    <xf numFmtId="9" fontId="6" fillId="0" borderId="20" xfId="0" applyNumberFormat="1" applyFont="1" applyBorder="1" applyAlignment="1">
      <alignment horizontal="right"/>
    </xf>
    <xf numFmtId="0" fontId="8" fillId="0" borderId="70" xfId="0" applyFont="1" applyBorder="1" applyAlignment="1">
      <alignment horizontal="center"/>
    </xf>
    <xf numFmtId="9" fontId="6" fillId="0" borderId="223" xfId="0" applyNumberFormat="1" applyFont="1" applyBorder="1" applyAlignment="1">
      <alignment horizontal="right"/>
    </xf>
    <xf numFmtId="9" fontId="8" fillId="0" borderId="49" xfId="0" applyNumberFormat="1" applyFont="1" applyBorder="1"/>
    <xf numFmtId="9" fontId="6" fillId="0" borderId="8" xfId="0" applyNumberFormat="1" applyFont="1" applyBorder="1" applyAlignment="1">
      <alignment horizontal="right"/>
    </xf>
    <xf numFmtId="9" fontId="8" fillId="0" borderId="133" xfId="0" applyNumberFormat="1" applyFont="1" applyBorder="1"/>
    <xf numFmtId="9" fontId="6" fillId="0" borderId="220" xfId="0" applyNumberFormat="1" applyFont="1" applyBorder="1" applyAlignment="1">
      <alignment horizontal="right"/>
    </xf>
    <xf numFmtId="9" fontId="6" fillId="0" borderId="201" xfId="0" applyNumberFormat="1" applyFont="1" applyBorder="1" applyAlignment="1">
      <alignment horizontal="right"/>
    </xf>
    <xf numFmtId="9" fontId="8" fillId="0" borderId="65" xfId="0" applyNumberFormat="1" applyFont="1" applyBorder="1"/>
    <xf numFmtId="9" fontId="6" fillId="0" borderId="2" xfId="0" applyNumberFormat="1" applyFont="1" applyBorder="1" applyAlignment="1">
      <alignment horizontal="right"/>
    </xf>
    <xf numFmtId="9" fontId="8" fillId="0" borderId="73" xfId="0" applyNumberFormat="1" applyFont="1" applyBorder="1"/>
    <xf numFmtId="9" fontId="6" fillId="0" borderId="8" xfId="5" applyFont="1" applyBorder="1" applyAlignment="1">
      <alignment horizontal="right"/>
    </xf>
    <xf numFmtId="9" fontId="6" fillId="0" borderId="2" xfId="5" applyFont="1" applyBorder="1" applyAlignment="1">
      <alignment horizontal="right"/>
    </xf>
    <xf numFmtId="9" fontId="8" fillId="0" borderId="0" xfId="0" applyNumberFormat="1" applyFont="1" applyAlignment="1">
      <alignment horizontal="right"/>
    </xf>
    <xf numFmtId="9" fontId="8" fillId="0" borderId="23" xfId="0" applyNumberFormat="1" applyFont="1" applyBorder="1" applyAlignment="1">
      <alignment horizontal="right"/>
    </xf>
    <xf numFmtId="9" fontId="8" fillId="0" borderId="38" xfId="0" applyNumberFormat="1" applyFont="1" applyBorder="1" applyAlignment="1">
      <alignment horizontal="right"/>
    </xf>
    <xf numFmtId="9" fontId="6" fillId="0" borderId="61" xfId="0" applyNumberFormat="1" applyFont="1" applyBorder="1" applyAlignment="1">
      <alignment horizontal="right"/>
    </xf>
    <xf numFmtId="9" fontId="6" fillId="0" borderId="52" xfId="0" applyNumberFormat="1" applyFont="1" applyBorder="1" applyAlignment="1">
      <alignment horizontal="right"/>
    </xf>
    <xf numFmtId="9" fontId="6" fillId="0" borderId="62" xfId="0" applyNumberFormat="1" applyFont="1" applyBorder="1" applyAlignment="1">
      <alignment horizontal="right"/>
    </xf>
    <xf numFmtId="9" fontId="8" fillId="0" borderId="49" xfId="0" applyNumberFormat="1" applyFont="1" applyBorder="1" applyAlignment="1">
      <alignment horizontal="right"/>
    </xf>
    <xf numFmtId="9" fontId="8" fillId="0" borderId="65" xfId="0" applyNumberFormat="1" applyFont="1" applyBorder="1" applyAlignment="1">
      <alignment horizontal="right"/>
    </xf>
    <xf numFmtId="9" fontId="8" fillId="0" borderId="50" xfId="0" applyNumberFormat="1" applyFont="1" applyBorder="1" applyAlignment="1">
      <alignment horizontal="right"/>
    </xf>
    <xf numFmtId="9" fontId="8" fillId="0" borderId="129" xfId="0" applyNumberFormat="1" applyFont="1" applyBorder="1" applyAlignment="1">
      <alignment horizontal="right"/>
    </xf>
    <xf numFmtId="9" fontId="8" fillId="0" borderId="84" xfId="0" applyNumberFormat="1" applyFont="1" applyBorder="1" applyAlignment="1">
      <alignment horizontal="right"/>
    </xf>
    <xf numFmtId="9" fontId="8" fillId="0" borderId="79" xfId="0" applyNumberFormat="1" applyFont="1" applyBorder="1" applyAlignment="1">
      <alignment horizontal="right"/>
    </xf>
    <xf numFmtId="9" fontId="6" fillId="0" borderId="221" xfId="0" applyNumberFormat="1" applyFont="1" applyBorder="1" applyAlignment="1">
      <alignment horizontal="right"/>
    </xf>
    <xf numFmtId="9" fontId="6" fillId="0" borderId="217" xfId="0" applyNumberFormat="1" applyFont="1" applyBorder="1" applyAlignment="1">
      <alignment horizontal="right"/>
    </xf>
    <xf numFmtId="9" fontId="6" fillId="0" borderId="218" xfId="0" applyNumberFormat="1" applyFont="1" applyBorder="1" applyAlignment="1">
      <alignment horizontal="right"/>
    </xf>
    <xf numFmtId="2" fontId="8" fillId="0" borderId="223" xfId="0" applyNumberFormat="1" applyFont="1" applyBorder="1"/>
    <xf numFmtId="9" fontId="6" fillId="0" borderId="223" xfId="5" applyFont="1" applyBorder="1" applyAlignment="1">
      <alignment horizontal="right"/>
    </xf>
    <xf numFmtId="9" fontId="6" fillId="0" borderId="201" xfId="5" applyFont="1" applyBorder="1" applyAlignment="1">
      <alignment horizontal="right"/>
    </xf>
    <xf numFmtId="9" fontId="6" fillId="0" borderId="220" xfId="5" applyFont="1" applyBorder="1" applyAlignment="1">
      <alignment horizontal="right"/>
    </xf>
    <xf numFmtId="9" fontId="8" fillId="0" borderId="49" xfId="5" applyFont="1" applyBorder="1" applyAlignment="1">
      <alignment horizontal="right"/>
    </xf>
    <xf numFmtId="9" fontId="8" fillId="0" borderId="65" xfId="5" applyFont="1" applyBorder="1" applyAlignment="1">
      <alignment horizontal="right"/>
    </xf>
    <xf numFmtId="9" fontId="7" fillId="0" borderId="82" xfId="5" applyFont="1" applyFill="1" applyBorder="1" applyAlignment="1">
      <alignment horizontal="right"/>
    </xf>
    <xf numFmtId="2" fontId="7" fillId="0" borderId="63" xfId="0" applyNumberFormat="1" applyFont="1" applyBorder="1" applyAlignment="1">
      <alignment horizontal="right" wrapText="1"/>
    </xf>
    <xf numFmtId="2" fontId="7" fillId="0" borderId="185" xfId="0" applyNumberFormat="1" applyFont="1" applyBorder="1" applyAlignment="1">
      <alignment horizontal="right" wrapText="1"/>
    </xf>
    <xf numFmtId="0" fontId="9" fillId="0" borderId="213" xfId="0" applyFont="1" applyBorder="1" applyAlignment="1">
      <alignment horizontal="center" vertical="center"/>
    </xf>
    <xf numFmtId="0" fontId="9" fillId="0" borderId="212" xfId="0" applyFont="1" applyBorder="1" applyAlignment="1">
      <alignment horizontal="center" vertical="center"/>
    </xf>
    <xf numFmtId="0" fontId="8" fillId="0" borderId="212" xfId="0" applyFont="1" applyBorder="1" applyAlignment="1">
      <alignment horizontal="center" vertical="center"/>
    </xf>
    <xf numFmtId="0" fontId="8" fillId="0" borderId="171" xfId="0" applyFont="1" applyBorder="1" applyAlignment="1">
      <alignment horizontal="center" vertical="center"/>
    </xf>
    <xf numFmtId="0" fontId="8" fillId="0" borderId="195" xfId="0" applyFont="1" applyBorder="1" applyAlignment="1">
      <alignment horizontal="center" vertical="center"/>
    </xf>
    <xf numFmtId="0" fontId="8" fillId="0" borderId="214" xfId="0" applyFont="1" applyBorder="1" applyAlignment="1">
      <alignment horizontal="center" vertical="center"/>
    </xf>
    <xf numFmtId="0" fontId="8" fillId="0" borderId="73" xfId="0" applyFont="1" applyBorder="1" applyAlignment="1">
      <alignment horizontal="center" vertical="center"/>
    </xf>
    <xf numFmtId="0" fontId="8" fillId="0" borderId="65" xfId="0" applyFont="1" applyBorder="1" applyAlignment="1">
      <alignment horizontal="center" vertical="center"/>
    </xf>
    <xf numFmtId="9" fontId="7" fillId="0" borderId="82" xfId="5" applyFont="1" applyBorder="1" applyAlignment="1">
      <alignment horizontal="right"/>
    </xf>
    <xf numFmtId="2" fontId="9" fillId="0" borderId="8" xfId="0" applyNumberFormat="1" applyFont="1" applyBorder="1"/>
    <xf numFmtId="2" fontId="9" fillId="0" borderId="221" xfId="0" applyNumberFormat="1" applyFont="1" applyBorder="1"/>
    <xf numFmtId="9" fontId="7" fillId="0" borderId="181" xfId="5" applyFont="1" applyBorder="1" applyAlignment="1"/>
    <xf numFmtId="9" fontId="7" fillId="0" borderId="101" xfId="5" applyFont="1" applyBorder="1" applyAlignment="1"/>
    <xf numFmtId="9" fontId="7" fillId="0" borderId="63" xfId="5" applyFont="1" applyBorder="1" applyAlignment="1"/>
    <xf numFmtId="0" fontId="8" fillId="0" borderId="64" xfId="0" applyFont="1" applyBorder="1" applyAlignment="1">
      <alignment horizontal="center" vertical="center"/>
    </xf>
    <xf numFmtId="0" fontId="8" fillId="0" borderId="68" xfId="0" applyFont="1" applyBorder="1" applyAlignment="1">
      <alignment horizontal="center" vertical="center"/>
    </xf>
    <xf numFmtId="0" fontId="8" fillId="0" borderId="66"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73" xfId="0" applyFont="1" applyBorder="1" applyAlignment="1">
      <alignment horizontal="center" vertical="center"/>
    </xf>
    <xf numFmtId="0" fontId="6" fillId="0" borderId="29" xfId="4" applyFont="1" applyBorder="1"/>
    <xf numFmtId="0" fontId="7" fillId="0" borderId="29" xfId="4" applyFont="1" applyBorder="1"/>
    <xf numFmtId="1" fontId="6" fillId="0" borderId="29" xfId="0" applyNumberFormat="1" applyFont="1" applyBorder="1"/>
    <xf numFmtId="2" fontId="9" fillId="0" borderId="8" xfId="0" applyNumberFormat="1" applyFont="1" applyBorder="1" applyAlignment="1">
      <alignment horizontal="right"/>
    </xf>
    <xf numFmtId="0" fontId="8" fillId="0" borderId="67" xfId="0" applyFont="1" applyBorder="1" applyAlignment="1">
      <alignment horizontal="center" vertical="center"/>
    </xf>
    <xf numFmtId="4" fontId="10" fillId="0" borderId="10" xfId="0" applyNumberFormat="1" applyFont="1" applyBorder="1" applyAlignment="1">
      <alignment horizontal="right" wrapText="1"/>
    </xf>
    <xf numFmtId="4" fontId="10" fillId="0" borderId="2" xfId="0" applyNumberFormat="1" applyFont="1" applyBorder="1" applyAlignment="1">
      <alignment horizontal="right" wrapText="1"/>
    </xf>
    <xf numFmtId="4" fontId="6" fillId="0" borderId="2" xfId="0" applyNumberFormat="1" applyFont="1" applyBorder="1"/>
    <xf numFmtId="4" fontId="6" fillId="0" borderId="20" xfId="0" applyNumberFormat="1" applyFont="1" applyBorder="1"/>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2" fontId="11" fillId="0" borderId="83" xfId="0" applyNumberFormat="1" applyFont="1" applyBorder="1" applyAlignment="1">
      <alignment horizontal="right"/>
    </xf>
    <xf numFmtId="167" fontId="7" fillId="0" borderId="15" xfId="0" applyNumberFormat="1" applyFont="1" applyBorder="1"/>
    <xf numFmtId="168" fontId="7" fillId="0" borderId="82" xfId="0" applyNumberFormat="1" applyFont="1" applyBorder="1" applyAlignment="1">
      <alignment horizontal="right"/>
    </xf>
    <xf numFmtId="168" fontId="7" fillId="0" borderId="37" xfId="0" applyNumberFormat="1" applyFont="1" applyBorder="1" applyAlignment="1">
      <alignment horizontal="right"/>
    </xf>
    <xf numFmtId="164" fontId="7" fillId="0" borderId="20" xfId="0" applyNumberFormat="1" applyFont="1" applyBorder="1" applyAlignment="1">
      <alignment horizontal="right"/>
    </xf>
    <xf numFmtId="0" fontId="9" fillId="0" borderId="80"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72" xfId="0" applyFont="1" applyBorder="1" applyAlignment="1">
      <alignment horizontal="center" vertical="center"/>
    </xf>
    <xf numFmtId="0" fontId="9" fillId="0" borderId="66" xfId="0" applyFont="1" applyBorder="1" applyAlignment="1">
      <alignment horizontal="center" vertical="center"/>
    </xf>
    <xf numFmtId="0" fontId="7" fillId="0" borderId="181" xfId="0" applyFont="1" applyBorder="1" applyAlignment="1">
      <alignment horizontal="center" wrapText="1"/>
    </xf>
    <xf numFmtId="0" fontId="6" fillId="0" borderId="98" xfId="0" applyFont="1" applyBorder="1" applyAlignment="1">
      <alignment horizontal="center" wrapText="1"/>
    </xf>
    <xf numFmtId="167" fontId="6" fillId="0" borderId="76" xfId="0" applyNumberFormat="1" applyFont="1" applyBorder="1"/>
    <xf numFmtId="0" fontId="9" fillId="0" borderId="235" xfId="0" applyFont="1" applyBorder="1" applyAlignment="1">
      <alignment horizontal="center" vertical="center" wrapText="1"/>
    </xf>
    <xf numFmtId="0" fontId="9" fillId="0" borderId="212" xfId="0" applyFont="1" applyBorder="1" applyAlignment="1">
      <alignment horizontal="center" vertical="center" wrapText="1"/>
    </xf>
    <xf numFmtId="0" fontId="9" fillId="0" borderId="241" xfId="0" applyFont="1" applyBorder="1" applyAlignment="1">
      <alignment horizontal="center" vertical="center"/>
    </xf>
    <xf numFmtId="0" fontId="9" fillId="0" borderId="236" xfId="0" applyFont="1" applyBorder="1" applyAlignment="1">
      <alignment horizontal="center" vertical="center"/>
    </xf>
    <xf numFmtId="0" fontId="9" fillId="0" borderId="195" xfId="0" applyFont="1" applyBorder="1" applyAlignment="1">
      <alignment horizontal="center" vertical="center"/>
    </xf>
    <xf numFmtId="9" fontId="7" fillId="0" borderId="215" xfId="5" applyFont="1" applyFill="1" applyBorder="1" applyAlignment="1">
      <alignment horizontal="right"/>
    </xf>
    <xf numFmtId="0" fontId="7" fillId="0" borderId="29" xfId="0" applyFont="1" applyBorder="1"/>
    <xf numFmtId="4" fontId="9" fillId="0" borderId="211" xfId="0" applyNumberFormat="1" applyFont="1" applyBorder="1"/>
    <xf numFmtId="2" fontId="9" fillId="0" borderId="235" xfId="0" applyNumberFormat="1" applyFont="1" applyBorder="1"/>
    <xf numFmtId="2" fontId="9" fillId="0" borderId="234" xfId="0" applyNumberFormat="1" applyFont="1" applyBorder="1"/>
    <xf numFmtId="2" fontId="9" fillId="0" borderId="212" xfId="0" applyNumberFormat="1" applyFont="1" applyBorder="1"/>
    <xf numFmtId="2" fontId="9" fillId="0" borderId="241" xfId="0" applyNumberFormat="1" applyFont="1" applyBorder="1"/>
    <xf numFmtId="4" fontId="9" fillId="0" borderId="171" xfId="0" applyNumberFormat="1" applyFont="1" applyBorder="1"/>
    <xf numFmtId="2" fontId="9" fillId="0" borderId="236" xfId="0" applyNumberFormat="1" applyFont="1" applyBorder="1"/>
    <xf numFmtId="2" fontId="9" fillId="0" borderId="211" xfId="0" applyNumberFormat="1" applyFont="1" applyBorder="1" applyAlignment="1">
      <alignment horizontal="right" wrapText="1"/>
    </xf>
    <xf numFmtId="2" fontId="9" fillId="0" borderId="235" xfId="0" applyNumberFormat="1" applyFont="1" applyBorder="1" applyAlignment="1">
      <alignment horizontal="right" wrapText="1"/>
    </xf>
    <xf numFmtId="2" fontId="9" fillId="0" borderId="171" xfId="0" applyNumberFormat="1" applyFont="1" applyBorder="1" applyAlignment="1">
      <alignment horizontal="right" wrapText="1"/>
    </xf>
    <xf numFmtId="2" fontId="9" fillId="0" borderId="212" xfId="0" applyNumberFormat="1" applyFont="1" applyBorder="1" applyAlignment="1">
      <alignment horizontal="right" wrapText="1"/>
    </xf>
    <xf numFmtId="9" fontId="9" fillId="0" borderId="211" xfId="5" applyFont="1" applyFill="1" applyBorder="1"/>
    <xf numFmtId="9" fontId="9" fillId="0" borderId="235" xfId="5" applyFont="1" applyFill="1" applyBorder="1"/>
    <xf numFmtId="9" fontId="9" fillId="0" borderId="195" xfId="5" applyFont="1" applyFill="1" applyBorder="1"/>
    <xf numFmtId="2" fontId="9" fillId="0" borderId="211" xfId="5" applyNumberFormat="1" applyFont="1" applyFill="1" applyBorder="1"/>
    <xf numFmtId="2" fontId="9" fillId="0" borderId="235" xfId="5" applyNumberFormat="1" applyFont="1" applyFill="1" applyBorder="1"/>
    <xf numFmtId="2" fontId="9" fillId="0" borderId="234" xfId="5" applyNumberFormat="1" applyFont="1" applyFill="1" applyBorder="1"/>
    <xf numFmtId="0" fontId="9" fillId="0" borderId="45" xfId="0" applyFont="1" applyBorder="1" applyAlignment="1">
      <alignment horizontal="center"/>
    </xf>
    <xf numFmtId="0" fontId="9" fillId="0" borderId="142" xfId="0" applyFont="1" applyBorder="1" applyAlignment="1">
      <alignment horizontal="center" vertical="center" wrapText="1"/>
    </xf>
    <xf numFmtId="9" fontId="0" fillId="0" borderId="20" xfId="0" applyNumberFormat="1" applyBorder="1"/>
    <xf numFmtId="9" fontId="0" fillId="0" borderId="218" xfId="0" applyNumberFormat="1" applyBorder="1"/>
    <xf numFmtId="9" fontId="0" fillId="0" borderId="42" xfId="0" applyNumberFormat="1" applyBorder="1" applyAlignment="1">
      <alignment horizontal="right"/>
    </xf>
    <xf numFmtId="9" fontId="0" fillId="0" borderId="42" xfId="0" applyNumberFormat="1" applyBorder="1"/>
    <xf numFmtId="4" fontId="8" fillId="0" borderId="211" xfId="0" applyNumberFormat="1" applyFont="1" applyBorder="1" applyAlignment="1">
      <alignment horizontal="center" vertical="center"/>
    </xf>
    <xf numFmtId="4" fontId="8" fillId="0" borderId="235" xfId="0" applyNumberFormat="1" applyFont="1" applyBorder="1" applyAlignment="1">
      <alignment horizontal="center" vertical="center"/>
    </xf>
    <xf numFmtId="9" fontId="0" fillId="0" borderId="220" xfId="0" applyNumberFormat="1" applyBorder="1"/>
    <xf numFmtId="9" fontId="0" fillId="0" borderId="220" xfId="0" applyNumberFormat="1" applyBorder="1" applyAlignment="1">
      <alignment horizontal="right"/>
    </xf>
    <xf numFmtId="9" fontId="0" fillId="0" borderId="20" xfId="0" applyNumberFormat="1" applyBorder="1" applyAlignment="1">
      <alignment horizontal="right"/>
    </xf>
    <xf numFmtId="2" fontId="0" fillId="0" borderId="98" xfId="0" applyNumberFormat="1" applyBorder="1"/>
    <xf numFmtId="2" fontId="4" fillId="0" borderId="130" xfId="0" applyNumberFormat="1" applyFont="1" applyBorder="1"/>
    <xf numFmtId="2" fontId="4" fillId="0" borderId="142" xfId="0" applyNumberFormat="1" applyFont="1" applyBorder="1"/>
    <xf numFmtId="2" fontId="4" fillId="0" borderId="97" xfId="0" applyNumberFormat="1" applyFont="1" applyBorder="1"/>
    <xf numFmtId="169" fontId="6" fillId="0" borderId="216" xfId="0" applyNumberFormat="1" applyFont="1" applyBorder="1"/>
    <xf numFmtId="0" fontId="6" fillId="0" borderId="63" xfId="4" applyFont="1" applyBorder="1"/>
    <xf numFmtId="3" fontId="7" fillId="0" borderId="29" xfId="4" applyNumberFormat="1" applyFont="1" applyBorder="1"/>
    <xf numFmtId="3" fontId="7" fillId="0" borderId="63" xfId="4" applyNumberFormat="1" applyFont="1" applyBorder="1"/>
    <xf numFmtId="3" fontId="6" fillId="0" borderId="231" xfId="4" applyNumberFormat="1" applyFont="1" applyBorder="1"/>
    <xf numFmtId="3" fontId="7" fillId="0" borderId="190" xfId="4" applyNumberFormat="1" applyFont="1" applyBorder="1"/>
    <xf numFmtId="3" fontId="7" fillId="0" borderId="227" xfId="4" applyNumberFormat="1" applyFont="1" applyBorder="1"/>
    <xf numFmtId="3" fontId="6" fillId="0" borderId="29" xfId="4" applyNumberFormat="1" applyFont="1" applyBorder="1"/>
    <xf numFmtId="3" fontId="6" fillId="0" borderId="63" xfId="4" applyNumberFormat="1" applyFont="1" applyBorder="1"/>
    <xf numFmtId="0" fontId="7" fillId="0" borderId="29" xfId="0" applyFont="1" applyBorder="1" applyAlignment="1">
      <alignment horizontal="center" wrapText="1"/>
    </xf>
    <xf numFmtId="4" fontId="7" fillId="0" borderId="4" xfId="0" applyNumberFormat="1" applyFont="1" applyBorder="1" applyAlignment="1">
      <alignment horizontal="right"/>
    </xf>
    <xf numFmtId="4" fontId="7" fillId="0" borderId="29" xfId="0" applyNumberFormat="1" applyFont="1" applyBorder="1" applyAlignment="1">
      <alignment horizontal="right" vertical="center"/>
    </xf>
    <xf numFmtId="0" fontId="9" fillId="0" borderId="220" xfId="0" applyFont="1" applyBorder="1" applyAlignment="1">
      <alignment horizontal="right" vertical="center"/>
    </xf>
    <xf numFmtId="4" fontId="7" fillId="0" borderId="63" xfId="0" applyNumberFormat="1" applyFont="1" applyBorder="1" applyAlignment="1">
      <alignment horizontal="right" vertical="center"/>
    </xf>
    <xf numFmtId="4" fontId="7" fillId="0" borderId="29" xfId="0" applyNumberFormat="1" applyFont="1" applyBorder="1" applyAlignment="1">
      <alignment horizontal="right"/>
    </xf>
    <xf numFmtId="4" fontId="9" fillId="0" borderId="220" xfId="0" applyNumberFormat="1" applyFont="1" applyBorder="1" applyAlignment="1">
      <alignment horizontal="right"/>
    </xf>
    <xf numFmtId="4" fontId="7" fillId="0" borderId="63" xfId="0" applyNumberFormat="1" applyFont="1" applyBorder="1" applyAlignment="1">
      <alignment horizontal="right"/>
    </xf>
    <xf numFmtId="9" fontId="9" fillId="0" borderId="63" xfId="5" applyFont="1" applyBorder="1"/>
    <xf numFmtId="2" fontId="7" fillId="0" borderId="29" xfId="0" applyNumberFormat="1" applyFont="1" applyBorder="1"/>
    <xf numFmtId="4" fontId="7" fillId="0" borderId="63" xfId="0" applyNumberFormat="1" applyFont="1" applyBorder="1"/>
    <xf numFmtId="9" fontId="7" fillId="0" borderId="63" xfId="5" applyFont="1" applyBorder="1" applyAlignment="1">
      <alignment horizontal="right"/>
    </xf>
    <xf numFmtId="4" fontId="9" fillId="0" borderId="221" xfId="0" applyNumberFormat="1" applyFont="1" applyBorder="1"/>
    <xf numFmtId="4" fontId="7" fillId="0" borderId="229" xfId="0" applyNumberFormat="1" applyFont="1" applyBorder="1"/>
    <xf numFmtId="3" fontId="7" fillId="0" borderId="29" xfId="0" applyNumberFormat="1" applyFont="1" applyBorder="1" applyAlignment="1">
      <alignment horizontal="right"/>
    </xf>
    <xf numFmtId="0" fontId="7" fillId="0" borderId="29" xfId="0" applyFont="1" applyBorder="1" applyAlignment="1">
      <alignment horizontal="center"/>
    </xf>
    <xf numFmtId="0" fontId="7" fillId="0" borderId="29" xfId="0" applyFont="1" applyBorder="1" applyAlignment="1">
      <alignment horizontal="right"/>
    </xf>
    <xf numFmtId="4" fontId="7" fillId="0" borderId="233" xfId="0" applyNumberFormat="1" applyFont="1" applyBorder="1"/>
    <xf numFmtId="4" fontId="7" fillId="0" borderId="239" xfId="0" applyNumberFormat="1" applyFont="1" applyBorder="1"/>
    <xf numFmtId="4" fontId="9" fillId="0" borderId="227" xfId="0" applyNumberFormat="1" applyFont="1" applyBorder="1"/>
    <xf numFmtId="4" fontId="7" fillId="0" borderId="240" xfId="0" applyNumberFormat="1" applyFont="1" applyBorder="1"/>
    <xf numFmtId="2" fontId="9" fillId="0" borderId="227" xfId="0" applyNumberFormat="1" applyFont="1" applyBorder="1" applyAlignment="1">
      <alignment horizontal="right" wrapText="1"/>
    </xf>
    <xf numFmtId="4" fontId="6" fillId="0" borderId="239" xfId="0" applyNumberFormat="1" applyFont="1" applyBorder="1"/>
    <xf numFmtId="2" fontId="7" fillId="0" borderId="227" xfId="0" applyNumberFormat="1" applyFont="1" applyBorder="1" applyAlignment="1">
      <alignment horizontal="right" wrapText="1"/>
    </xf>
    <xf numFmtId="0" fontId="7" fillId="0" borderId="226" xfId="0" applyFont="1" applyBorder="1"/>
    <xf numFmtId="0" fontId="7" fillId="0" borderId="224" xfId="0" applyFont="1" applyBorder="1"/>
    <xf numFmtId="9" fontId="6" fillId="0" borderId="181" xfId="5" applyFont="1" applyFill="1" applyBorder="1"/>
    <xf numFmtId="9" fontId="6" fillId="0" borderId="181" xfId="5" applyFont="1" applyFill="1" applyBorder="1" applyAlignment="1"/>
    <xf numFmtId="9" fontId="7" fillId="0" borderId="181" xfId="5" applyFont="1" applyFill="1" applyBorder="1" applyAlignment="1"/>
    <xf numFmtId="0" fontId="7" fillId="0" borderId="29" xfId="4" applyFont="1" applyBorder="1" applyAlignment="1">
      <alignment horizontal="center"/>
    </xf>
    <xf numFmtId="9" fontId="10" fillId="0" borderId="240" xfId="5" applyFont="1" applyBorder="1" applyAlignment="1">
      <alignment horizontal="right" wrapText="1"/>
    </xf>
    <xf numFmtId="2" fontId="7" fillId="0" borderId="233" xfId="0" applyNumberFormat="1" applyFont="1" applyBorder="1"/>
    <xf numFmtId="2" fontId="7" fillId="0" borderId="239" xfId="0" applyNumberFormat="1" applyFont="1" applyBorder="1"/>
    <xf numFmtId="2" fontId="9" fillId="0" borderId="227" xfId="0" applyNumberFormat="1" applyFont="1" applyBorder="1"/>
    <xf numFmtId="2" fontId="7" fillId="0" borderId="240" xfId="0" applyNumberFormat="1" applyFont="1" applyBorder="1"/>
    <xf numFmtId="2" fontId="10" fillId="0" borderId="239" xfId="0" applyNumberFormat="1" applyFont="1" applyBorder="1" applyAlignment="1">
      <alignment horizontal="right" wrapText="1"/>
    </xf>
    <xf numFmtId="9" fontId="6" fillId="0" borderId="220" xfId="5" applyFont="1" applyFill="1" applyBorder="1"/>
    <xf numFmtId="2" fontId="6" fillId="0" borderId="239" xfId="0" applyNumberFormat="1" applyFont="1" applyBorder="1"/>
    <xf numFmtId="0" fontId="6" fillId="0" borderId="223" xfId="0" applyFont="1" applyBorder="1"/>
    <xf numFmtId="164" fontId="7" fillId="0" borderId="4" xfId="0" applyNumberFormat="1" applyFont="1" applyBorder="1"/>
    <xf numFmtId="3" fontId="10" fillId="0" borderId="229" xfId="0" applyNumberFormat="1" applyFont="1" applyBorder="1" applyAlignment="1">
      <alignment horizontal="right" wrapText="1"/>
    </xf>
    <xf numFmtId="3" fontId="10" fillId="0" borderId="232" xfId="0" applyNumberFormat="1" applyFont="1" applyBorder="1" applyAlignment="1">
      <alignment horizontal="right" wrapText="1"/>
    </xf>
    <xf numFmtId="2" fontId="10" fillId="0" borderId="229" xfId="0" applyNumberFormat="1" applyFont="1" applyBorder="1" applyAlignment="1">
      <alignment horizontal="right" wrapText="1"/>
    </xf>
    <xf numFmtId="2" fontId="10" fillId="0" borderId="233" xfId="0" applyNumberFormat="1" applyFont="1" applyBorder="1" applyAlignment="1">
      <alignment horizontal="right" wrapText="1"/>
    </xf>
    <xf numFmtId="2" fontId="10" fillId="0" borderId="230" xfId="0" applyNumberFormat="1" applyFont="1" applyBorder="1" applyAlignment="1">
      <alignment horizontal="right" wrapText="1"/>
    </xf>
    <xf numFmtId="0" fontId="69" fillId="0" borderId="224" xfId="0" applyFont="1" applyBorder="1"/>
    <xf numFmtId="2" fontId="0" fillId="0" borderId="205" xfId="0" applyNumberFormat="1" applyBorder="1"/>
    <xf numFmtId="2" fontId="69" fillId="0" borderId="205" xfId="0" applyNumberFormat="1" applyFont="1" applyBorder="1"/>
    <xf numFmtId="9" fontId="69" fillId="0" borderId="224" xfId="5" applyFont="1" applyBorder="1" applyAlignment="1">
      <alignment horizontal="right"/>
    </xf>
    <xf numFmtId="9" fontId="69" fillId="0" borderId="205" xfId="5" applyFont="1" applyBorder="1" applyAlignment="1">
      <alignment horizontal="right"/>
    </xf>
    <xf numFmtId="2" fontId="0" fillId="0" borderId="202" xfId="0" applyNumberFormat="1" applyBorder="1"/>
    <xf numFmtId="9" fontId="0" fillId="0" borderId="224" xfId="5" applyFont="1" applyBorder="1" applyAlignment="1">
      <alignment horizontal="right"/>
    </xf>
    <xf numFmtId="9" fontId="0" fillId="0" borderId="205" xfId="5" applyFont="1" applyBorder="1"/>
    <xf numFmtId="9" fontId="0" fillId="0" borderId="205" xfId="5" applyFont="1" applyBorder="1" applyAlignment="1">
      <alignment horizontal="right"/>
    </xf>
    <xf numFmtId="3" fontId="9" fillId="0" borderId="229" xfId="47" applyNumberFormat="1" applyFont="1" applyBorder="1" applyAlignment="1">
      <alignment horizontal="center" vertical="center"/>
    </xf>
    <xf numFmtId="3" fontId="28" fillId="0" borderId="229" xfId="47" applyNumberFormat="1" applyFont="1" applyBorder="1" applyAlignment="1">
      <alignment horizontal="center" vertical="center"/>
    </xf>
    <xf numFmtId="2" fontId="9" fillId="0" borderId="229" xfId="48" applyNumberFormat="1" applyFont="1" applyBorder="1" applyAlignment="1">
      <alignment horizontal="center" vertical="center"/>
    </xf>
    <xf numFmtId="0" fontId="7" fillId="0" borderId="227" xfId="0" applyFont="1" applyBorder="1"/>
    <xf numFmtId="2" fontId="7" fillId="0" borderId="239" xfId="0" applyNumberFormat="1" applyFont="1" applyBorder="1" applyAlignment="1">
      <alignment horizontal="right"/>
    </xf>
    <xf numFmtId="2" fontId="9" fillId="0" borderId="227" xfId="0" applyNumberFormat="1" applyFont="1" applyBorder="1" applyAlignment="1">
      <alignment horizontal="right"/>
    </xf>
    <xf numFmtId="2" fontId="6" fillId="0" borderId="233" xfId="0" applyNumberFormat="1" applyFont="1" applyBorder="1"/>
    <xf numFmtId="2" fontId="9" fillId="0" borderId="240" xfId="0" applyNumberFormat="1" applyFont="1" applyBorder="1" applyAlignment="1">
      <alignment horizontal="right" wrapText="1"/>
    </xf>
    <xf numFmtId="0" fontId="6" fillId="0" borderId="29" xfId="4" applyFont="1" applyBorder="1" applyAlignment="1">
      <alignment horizontal="center"/>
    </xf>
    <xf numFmtId="9" fontId="7" fillId="0" borderId="181" xfId="5" applyFont="1" applyBorder="1" applyAlignment="1">
      <alignment horizontal="right"/>
    </xf>
    <xf numFmtId="2" fontId="9" fillId="0" borderId="240" xfId="0" applyNumberFormat="1" applyFont="1" applyBorder="1"/>
    <xf numFmtId="2" fontId="9" fillId="0" borderId="240" xfId="0" applyNumberFormat="1" applyFont="1" applyBorder="1" applyAlignment="1">
      <alignment horizontal="right"/>
    </xf>
    <xf numFmtId="0" fontId="7" fillId="0" borderId="184" xfId="0" applyFont="1" applyBorder="1" applyAlignment="1">
      <alignment horizontal="right"/>
    </xf>
    <xf numFmtId="2" fontId="7" fillId="0" borderId="29" xfId="0" applyNumberFormat="1" applyFont="1" applyBorder="1" applyAlignment="1">
      <alignment horizontal="right" wrapText="1"/>
    </xf>
    <xf numFmtId="0" fontId="7" fillId="0" borderId="221" xfId="0" applyFont="1" applyBorder="1"/>
    <xf numFmtId="2" fontId="6" fillId="0" borderId="215" xfId="5" applyNumberFormat="1" applyFont="1" applyFill="1" applyBorder="1" applyAlignment="1">
      <alignment horizontal="right"/>
    </xf>
    <xf numFmtId="2" fontId="6" fillId="0" borderId="217" xfId="5" applyNumberFormat="1" applyFont="1" applyFill="1" applyBorder="1" applyAlignment="1">
      <alignment horizontal="right"/>
    </xf>
    <xf numFmtId="0" fontId="7" fillId="0" borderId="223" xfId="0" applyFont="1" applyBorder="1"/>
    <xf numFmtId="164" fontId="7" fillId="0" borderId="29" xfId="0" applyNumberFormat="1" applyFont="1" applyBorder="1"/>
    <xf numFmtId="164" fontId="7" fillId="0" borderId="223" xfId="5" applyNumberFormat="1" applyFont="1" applyFill="1" applyBorder="1" applyAlignment="1">
      <alignment horizontal="right"/>
    </xf>
    <xf numFmtId="0" fontId="31" fillId="0" borderId="63" xfId="0" applyFont="1" applyBorder="1" applyAlignment="1">
      <alignment horizontal="center" wrapText="1"/>
    </xf>
    <xf numFmtId="168" fontId="7" fillId="0" borderId="29" xfId="0" applyNumberFormat="1" applyFont="1" applyBorder="1" applyAlignment="1">
      <alignment horizontal="right"/>
    </xf>
    <xf numFmtId="164" fontId="7" fillId="0" borderId="4" xfId="0" applyNumberFormat="1" applyFont="1" applyBorder="1" applyAlignment="1">
      <alignment horizontal="right"/>
    </xf>
    <xf numFmtId="164" fontId="7" fillId="0" borderId="221" xfId="5" applyNumberFormat="1" applyFont="1" applyFill="1" applyBorder="1" applyAlignment="1">
      <alignment horizontal="right"/>
    </xf>
    <xf numFmtId="164" fontId="6" fillId="0" borderId="221" xfId="5" applyNumberFormat="1" applyFont="1" applyFill="1" applyBorder="1" applyAlignment="1">
      <alignment horizontal="right"/>
    </xf>
    <xf numFmtId="164" fontId="6" fillId="0" borderId="223" xfId="5" applyNumberFormat="1" applyFont="1" applyFill="1" applyBorder="1" applyAlignment="1">
      <alignment horizontal="right"/>
    </xf>
    <xf numFmtId="0" fontId="31" fillId="0" borderId="63" xfId="0" applyFont="1" applyBorder="1" applyAlignment="1">
      <alignment horizontal="center"/>
    </xf>
    <xf numFmtId="168" fontId="7" fillId="0" borderId="29" xfId="0" applyNumberFormat="1" applyFont="1" applyBorder="1"/>
    <xf numFmtId="4" fontId="7" fillId="0" borderId="219" xfId="0" applyNumberFormat="1" applyFont="1" applyBorder="1"/>
    <xf numFmtId="9" fontId="7" fillId="0" borderId="219" xfId="5" applyFont="1" applyFill="1" applyBorder="1"/>
    <xf numFmtId="9" fontId="7" fillId="0" borderId="239" xfId="5" applyFont="1" applyFill="1" applyBorder="1"/>
    <xf numFmtId="0" fontId="8" fillId="0" borderId="4" xfId="0" applyFont="1" applyBorder="1" applyAlignment="1">
      <alignment horizontal="center"/>
    </xf>
    <xf numFmtId="4" fontId="8" fillId="0" borderId="4" xfId="0" applyNumberFormat="1" applyFont="1" applyBorder="1" applyAlignment="1">
      <alignment horizontal="center" vertical="center"/>
    </xf>
    <xf numFmtId="2" fontId="0" fillId="0" borderId="4" xfId="0" applyNumberFormat="1" applyBorder="1"/>
    <xf numFmtId="3" fontId="8" fillId="0" borderId="67" xfId="4" applyNumberFormat="1" applyFont="1" applyBorder="1"/>
    <xf numFmtId="0" fontId="7" fillId="0" borderId="0" xfId="0" applyFont="1" applyAlignment="1">
      <alignment horizontal="left"/>
    </xf>
    <xf numFmtId="3" fontId="6" fillId="0" borderId="11" xfId="4" applyNumberFormat="1" applyFont="1" applyBorder="1" applyAlignment="1">
      <alignment horizontal="right"/>
    </xf>
    <xf numFmtId="3" fontId="6" fillId="0" borderId="26" xfId="4" applyNumberFormat="1" applyFont="1" applyBorder="1"/>
    <xf numFmtId="3" fontId="8" fillId="0" borderId="251" xfId="4" applyNumberFormat="1" applyFont="1" applyBorder="1"/>
    <xf numFmtId="3" fontId="9" fillId="0" borderId="67" xfId="4" applyNumberFormat="1" applyFont="1" applyBorder="1"/>
    <xf numFmtId="3" fontId="7" fillId="0" borderId="226" xfId="4" applyNumberFormat="1" applyFont="1" applyBorder="1"/>
    <xf numFmtId="9" fontId="6" fillId="0" borderId="202" xfId="5" applyFont="1" applyFill="1" applyBorder="1"/>
    <xf numFmtId="3" fontId="7" fillId="0" borderId="62" xfId="0" applyNumberFormat="1" applyFont="1" applyBorder="1" applyAlignment="1">
      <alignment horizontal="right" wrapText="1"/>
    </xf>
    <xf numFmtId="3" fontId="7" fillId="0" borderId="38" xfId="0" applyNumberFormat="1" applyFont="1" applyBorder="1" applyAlignment="1">
      <alignment horizontal="right" wrapText="1"/>
    </xf>
    <xf numFmtId="3" fontId="7" fillId="0" borderId="20" xfId="0" applyNumberFormat="1" applyFont="1" applyBorder="1" applyAlignment="1">
      <alignment horizontal="right" wrapText="1"/>
    </xf>
    <xf numFmtId="3" fontId="7" fillId="0" borderId="220" xfId="0" applyNumberFormat="1" applyFont="1" applyBorder="1" applyAlignment="1">
      <alignment horizontal="right" wrapText="1"/>
    </xf>
    <xf numFmtId="0" fontId="6" fillId="0" borderId="63" xfId="0" applyFont="1" applyBorder="1" applyAlignment="1">
      <alignment horizontal="center"/>
    </xf>
    <xf numFmtId="0" fontId="6" fillId="0" borderId="101" xfId="0" applyFont="1" applyBorder="1" applyAlignment="1">
      <alignment horizontal="center"/>
    </xf>
    <xf numFmtId="0" fontId="6" fillId="0" borderId="181" xfId="0" applyFont="1" applyBorder="1" applyAlignment="1">
      <alignment horizontal="center"/>
    </xf>
    <xf numFmtId="0" fontId="6" fillId="0" borderId="82" xfId="0" applyFont="1" applyBorder="1" applyAlignment="1">
      <alignment horizontal="center"/>
    </xf>
    <xf numFmtId="0" fontId="6" fillId="0" borderId="98" xfId="0" applyFont="1" applyBorder="1" applyAlignment="1">
      <alignment horizontal="center"/>
    </xf>
    <xf numFmtId="3" fontId="7" fillId="0" borderId="4" xfId="0" applyNumberFormat="1" applyFont="1" applyBorder="1" applyAlignment="1">
      <alignment horizontal="right" wrapText="1"/>
    </xf>
    <xf numFmtId="3" fontId="7" fillId="0" borderId="29" xfId="0" applyNumberFormat="1" applyFont="1" applyBorder="1" applyAlignment="1">
      <alignment horizontal="right" wrapText="1"/>
    </xf>
    <xf numFmtId="0" fontId="9" fillId="0" borderId="171" xfId="0" applyFont="1" applyBorder="1" applyAlignment="1">
      <alignment horizontal="center" vertical="center" wrapText="1"/>
    </xf>
    <xf numFmtId="0" fontId="9" fillId="0" borderId="211" xfId="0" applyFont="1" applyBorder="1" applyAlignment="1">
      <alignment horizontal="center" vertical="center" wrapText="1"/>
    </xf>
    <xf numFmtId="0" fontId="9" fillId="0" borderId="50" xfId="0" applyFont="1" applyBorder="1" applyAlignment="1">
      <alignment horizontal="center" vertical="center"/>
    </xf>
    <xf numFmtId="0" fontId="8" fillId="0" borderId="64" xfId="0" applyFont="1" applyBorder="1" applyAlignment="1">
      <alignment horizontal="center"/>
    </xf>
    <xf numFmtId="3" fontId="6" fillId="0" borderId="26" xfId="4" applyNumberFormat="1" applyFont="1" applyBorder="1" applyAlignment="1">
      <alignment horizontal="right"/>
    </xf>
    <xf numFmtId="3" fontId="6" fillId="0" borderId="226" xfId="4" applyNumberFormat="1" applyFont="1" applyBorder="1" applyAlignment="1">
      <alignment horizontal="right"/>
    </xf>
    <xf numFmtId="3" fontId="6" fillId="0" borderId="229" xfId="4" applyNumberFormat="1" applyFont="1" applyBorder="1" applyAlignment="1">
      <alignment horizontal="right"/>
    </xf>
    <xf numFmtId="3" fontId="7" fillId="0" borderId="226" xfId="4" applyNumberFormat="1" applyFont="1" applyBorder="1" applyAlignment="1">
      <alignment horizontal="right"/>
    </xf>
    <xf numFmtId="3" fontId="7" fillId="0" borderId="224" xfId="4" applyNumberFormat="1" applyFont="1" applyBorder="1" applyAlignment="1">
      <alignment horizontal="right"/>
    </xf>
    <xf numFmtId="0" fontId="7" fillId="0" borderId="215" xfId="0" applyFont="1" applyBorder="1" applyAlignment="1">
      <alignment horizontal="left"/>
    </xf>
    <xf numFmtId="0" fontId="7" fillId="0" borderId="222" xfId="0" applyFont="1" applyBorder="1" applyAlignment="1">
      <alignment horizontal="center" vertical="center"/>
    </xf>
    <xf numFmtId="3" fontId="7" fillId="0" borderId="181" xfId="0" applyNumberFormat="1" applyFont="1" applyBorder="1"/>
    <xf numFmtId="3" fontId="7" fillId="0" borderId="226" xfId="0" applyNumberFormat="1" applyFont="1" applyBorder="1"/>
    <xf numFmtId="4" fontId="6" fillId="0" borderId="221" xfId="0" applyNumberFormat="1" applyFont="1" applyBorder="1"/>
    <xf numFmtId="4" fontId="6" fillId="0" borderId="222" xfId="0" applyNumberFormat="1" applyFont="1" applyBorder="1"/>
    <xf numFmtId="4" fontId="6" fillId="0" borderId="225" xfId="0" applyNumberFormat="1" applyFont="1" applyBorder="1"/>
    <xf numFmtId="3" fontId="6" fillId="0" borderId="221" xfId="0" applyNumberFormat="1" applyFont="1" applyBorder="1" applyAlignment="1">
      <alignment horizontal="center" vertical="center" wrapText="1"/>
    </xf>
    <xf numFmtId="3" fontId="7" fillId="0" borderId="225" xfId="0" applyNumberFormat="1" applyFont="1" applyBorder="1"/>
    <xf numFmtId="4" fontId="6" fillId="0" borderId="181" xfId="0" applyNumberFormat="1" applyFont="1" applyBorder="1"/>
    <xf numFmtId="0" fontId="7" fillId="0" borderId="35" xfId="0" applyFont="1" applyBorder="1" applyAlignment="1">
      <alignment horizontal="left"/>
    </xf>
    <xf numFmtId="0" fontId="7" fillId="0" borderId="16" xfId="0" applyFont="1" applyBorder="1" applyAlignment="1">
      <alignment horizontal="center" vertical="center"/>
    </xf>
    <xf numFmtId="3" fontId="7" fillId="0" borderId="98" xfId="0" applyNumberFormat="1" applyFont="1" applyBorder="1"/>
    <xf numFmtId="3" fontId="7" fillId="0" borderId="11" xfId="0" applyNumberFormat="1" applyFont="1" applyBorder="1"/>
    <xf numFmtId="3" fontId="7" fillId="0" borderId="31" xfId="0" applyNumberFormat="1" applyFont="1" applyBorder="1"/>
    <xf numFmtId="3" fontId="7" fillId="0" borderId="16" xfId="0" applyNumberFormat="1" applyFont="1" applyBorder="1"/>
    <xf numFmtId="3" fontId="7" fillId="0" borderId="5" xfId="0" applyNumberFormat="1" applyFont="1" applyBorder="1"/>
    <xf numFmtId="3" fontId="6" fillId="0" borderId="98" xfId="0" applyNumberFormat="1" applyFont="1" applyBorder="1"/>
    <xf numFmtId="4" fontId="6" fillId="0" borderId="36" xfId="0" applyNumberFormat="1" applyFont="1" applyBorder="1"/>
    <xf numFmtId="4" fontId="6" fillId="0" borderId="16" xfId="0" applyNumberFormat="1" applyFont="1" applyBorder="1"/>
    <xf numFmtId="4" fontId="6" fillId="0" borderId="11" xfId="0" applyNumberFormat="1" applyFont="1" applyBorder="1"/>
    <xf numFmtId="4" fontId="6" fillId="0" borderId="28" xfId="0" applyNumberFormat="1" applyFont="1" applyBorder="1"/>
    <xf numFmtId="4" fontId="6" fillId="0" borderId="13" xfId="0" applyNumberFormat="1" applyFont="1" applyBorder="1"/>
    <xf numFmtId="2" fontId="8" fillId="0" borderId="36" xfId="0" applyNumberFormat="1" applyFont="1" applyBorder="1"/>
    <xf numFmtId="3" fontId="6" fillId="0" borderId="36" xfId="0" applyNumberFormat="1" applyFont="1" applyBorder="1" applyAlignment="1">
      <alignment horizontal="center" vertical="center" wrapText="1"/>
    </xf>
    <xf numFmtId="3" fontId="7" fillId="0" borderId="28" xfId="0" applyNumberFormat="1" applyFont="1" applyBorder="1"/>
    <xf numFmtId="4" fontId="6" fillId="0" borderId="98" xfId="0" applyNumberFormat="1" applyFont="1" applyBorder="1"/>
    <xf numFmtId="3" fontId="9" fillId="0" borderId="83" xfId="0" applyNumberFormat="1" applyFont="1" applyBorder="1"/>
    <xf numFmtId="3" fontId="9" fillId="0" borderId="67" xfId="0" applyNumberFormat="1" applyFont="1" applyBorder="1"/>
    <xf numFmtId="3" fontId="9" fillId="0" borderId="65" xfId="0" applyNumberFormat="1" applyFont="1" applyBorder="1"/>
    <xf numFmtId="3" fontId="9" fillId="0" borderId="68" xfId="0" applyNumberFormat="1" applyFont="1" applyBorder="1"/>
    <xf numFmtId="3" fontId="9" fillId="0" borderId="66" xfId="0" applyNumberFormat="1" applyFont="1" applyBorder="1"/>
    <xf numFmtId="3" fontId="8" fillId="0" borderId="83" xfId="0" applyNumberFormat="1" applyFont="1" applyBorder="1"/>
    <xf numFmtId="4" fontId="8" fillId="0" borderId="68" xfId="0" applyNumberFormat="1" applyFont="1" applyBorder="1"/>
    <xf numFmtId="4" fontId="8" fillId="0" borderId="48" xfId="0" applyNumberFormat="1" applyFont="1" applyBorder="1"/>
    <xf numFmtId="3" fontId="9" fillId="0" borderId="48" xfId="0" applyNumberFormat="1" applyFont="1" applyBorder="1"/>
    <xf numFmtId="4" fontId="8" fillId="0" borderId="83" xfId="0" applyNumberFormat="1" applyFont="1" applyBorder="1"/>
    <xf numFmtId="0" fontId="7" fillId="0" borderId="35" xfId="0" applyFont="1" applyBorder="1" applyAlignment="1">
      <alignment horizontal="left" vertical="center"/>
    </xf>
    <xf numFmtId="3" fontId="7" fillId="0" borderId="97" xfId="0" applyNumberFormat="1" applyFont="1" applyBorder="1"/>
    <xf numFmtId="3" fontId="6" fillId="0" borderId="97" xfId="0" applyNumberFormat="1" applyFont="1" applyBorder="1"/>
    <xf numFmtId="3" fontId="6" fillId="0" borderId="36" xfId="0" applyNumberFormat="1" applyFont="1" applyBorder="1" applyAlignment="1">
      <alignment horizontal="center" vertical="center"/>
    </xf>
    <xf numFmtId="0" fontId="7" fillId="0" borderId="103" xfId="0" applyFont="1" applyBorder="1" applyAlignment="1">
      <alignment horizontal="left" vertical="center"/>
    </xf>
    <xf numFmtId="0" fontId="7" fillId="0" borderId="106" xfId="0" applyFont="1" applyBorder="1" applyAlignment="1">
      <alignment horizontal="center" vertical="center"/>
    </xf>
    <xf numFmtId="3" fontId="7" fillId="0" borderId="105" xfId="0" applyNumberFormat="1" applyFont="1" applyBorder="1"/>
    <xf numFmtId="3" fontId="7" fillId="0" borderId="112" xfId="0" applyNumberFormat="1" applyFont="1" applyBorder="1"/>
    <xf numFmtId="3" fontId="7" fillId="0" borderId="106" xfId="0" applyNumberFormat="1" applyFont="1" applyBorder="1"/>
    <xf numFmtId="3" fontId="7" fillId="0" borderId="104" xfId="0" applyNumberFormat="1" applyFont="1" applyBorder="1"/>
    <xf numFmtId="4" fontId="6" fillId="0" borderId="113" xfId="0" applyNumberFormat="1" applyFont="1" applyBorder="1"/>
    <xf numFmtId="4" fontId="6" fillId="0" borderId="106" xfId="0" applyNumberFormat="1" applyFont="1" applyBorder="1"/>
    <xf numFmtId="2" fontId="9" fillId="0" borderId="109" xfId="0" applyNumberFormat="1" applyFont="1" applyBorder="1"/>
    <xf numFmtId="4" fontId="6" fillId="0" borderId="105" xfId="0" applyNumberFormat="1" applyFont="1" applyBorder="1"/>
    <xf numFmtId="4" fontId="6" fillId="0" borderId="99" xfId="0" applyNumberFormat="1" applyFont="1" applyBorder="1"/>
    <xf numFmtId="4" fontId="6" fillId="0" borderId="110" xfId="0" applyNumberFormat="1" applyFont="1" applyBorder="1"/>
    <xf numFmtId="3" fontId="6" fillId="0" borderId="113" xfId="0" applyNumberFormat="1" applyFont="1" applyBorder="1" applyAlignment="1">
      <alignment horizontal="center" vertical="center"/>
    </xf>
    <xf numFmtId="3" fontId="7" fillId="0" borderId="99" xfId="0" applyNumberFormat="1" applyFont="1" applyBorder="1"/>
    <xf numFmtId="4" fontId="6" fillId="0" borderId="97" xfId="0" applyNumberFormat="1" applyFont="1" applyBorder="1"/>
    <xf numFmtId="49" fontId="7" fillId="0" borderId="226" xfId="0" applyNumberFormat="1" applyFont="1" applyBorder="1" applyAlignment="1">
      <alignment wrapText="1"/>
    </xf>
    <xf numFmtId="49" fontId="7" fillId="0" borderId="222" xfId="0" applyNumberFormat="1" applyFont="1" applyBorder="1" applyAlignment="1">
      <alignment horizontal="center" wrapText="1"/>
    </xf>
    <xf numFmtId="2" fontId="8" fillId="0" borderId="182" xfId="0" applyNumberFormat="1" applyFont="1" applyBorder="1" applyAlignment="1">
      <alignment horizontal="right"/>
    </xf>
    <xf numFmtId="2" fontId="8" fillId="0" borderId="221" xfId="0" applyNumberFormat="1" applyFont="1" applyBorder="1" applyAlignment="1">
      <alignment horizontal="right"/>
    </xf>
    <xf numFmtId="2" fontId="8" fillId="0" borderId="218" xfId="0" applyNumberFormat="1" applyFont="1" applyBorder="1" applyAlignment="1">
      <alignment horizontal="right"/>
    </xf>
    <xf numFmtId="1" fontId="6" fillId="0" borderId="221" xfId="0" applyNumberFormat="1" applyFont="1" applyBorder="1" applyAlignment="1">
      <alignment horizontal="center" wrapText="1"/>
    </xf>
    <xf numFmtId="49" fontId="7" fillId="0" borderId="229" xfId="0" applyNumberFormat="1" applyFont="1" applyBorder="1" applyAlignment="1">
      <alignment wrapText="1"/>
    </xf>
    <xf numFmtId="49" fontId="7" fillId="0" borderId="233" xfId="0" applyNumberFormat="1" applyFont="1" applyBorder="1" applyAlignment="1">
      <alignment horizontal="center" wrapText="1"/>
    </xf>
    <xf numFmtId="3" fontId="7" fillId="0" borderId="185" xfId="0" applyNumberFormat="1" applyFont="1" applyBorder="1"/>
    <xf numFmtId="3" fontId="7" fillId="0" borderId="229" xfId="0" applyNumberFormat="1" applyFont="1" applyBorder="1"/>
    <xf numFmtId="3" fontId="7" fillId="0" borderId="232" xfId="0" applyNumberFormat="1" applyFont="1" applyBorder="1"/>
    <xf numFmtId="3" fontId="7" fillId="0" borderId="233" xfId="0" applyNumberFormat="1" applyFont="1" applyBorder="1"/>
    <xf numFmtId="3" fontId="7" fillId="0" borderId="231" xfId="0" applyNumberFormat="1" applyFont="1" applyBorder="1"/>
    <xf numFmtId="3" fontId="6" fillId="0" borderId="185" xfId="0" applyNumberFormat="1" applyFont="1" applyBorder="1"/>
    <xf numFmtId="4" fontId="6" fillId="0" borderId="240" xfId="0" applyNumberFormat="1" applyFont="1" applyBorder="1"/>
    <xf numFmtId="4" fontId="6" fillId="0" borderId="233" xfId="0" applyNumberFormat="1" applyFont="1" applyBorder="1"/>
    <xf numFmtId="4" fontId="6" fillId="0" borderId="190" xfId="0" applyNumberFormat="1" applyFont="1" applyBorder="1"/>
    <xf numFmtId="2" fontId="8" fillId="0" borderId="240" xfId="0" applyNumberFormat="1" applyFont="1" applyBorder="1" applyAlignment="1">
      <alignment horizontal="right"/>
    </xf>
    <xf numFmtId="2" fontId="8" fillId="0" borderId="227" xfId="0" applyNumberFormat="1" applyFont="1" applyBorder="1" applyAlignment="1">
      <alignment horizontal="right"/>
    </xf>
    <xf numFmtId="1" fontId="6" fillId="0" borderId="240" xfId="0" applyNumberFormat="1" applyFont="1" applyBorder="1" applyAlignment="1">
      <alignment horizontal="center" wrapText="1"/>
    </xf>
    <xf numFmtId="3" fontId="7" fillId="0" borderId="190" xfId="0" applyNumberFormat="1" applyFont="1" applyBorder="1"/>
    <xf numFmtId="4" fontId="6" fillId="0" borderId="185" xfId="0" applyNumberFormat="1" applyFont="1" applyBorder="1"/>
    <xf numFmtId="49" fontId="7" fillId="0" borderId="4" xfId="0" applyNumberFormat="1" applyFont="1" applyBorder="1" applyAlignment="1">
      <alignment wrapText="1"/>
    </xf>
    <xf numFmtId="49" fontId="7" fillId="0" borderId="205" xfId="0" applyNumberFormat="1" applyFont="1" applyBorder="1" applyAlignment="1">
      <alignment horizontal="center" wrapText="1"/>
    </xf>
    <xf numFmtId="3" fontId="7" fillId="0" borderId="63" xfId="0" applyNumberFormat="1" applyFont="1" applyBorder="1"/>
    <xf numFmtId="3" fontId="7" fillId="0" borderId="224" xfId="0" applyNumberFormat="1" applyFont="1" applyBorder="1"/>
    <xf numFmtId="3" fontId="7" fillId="0" borderId="201" xfId="0" applyNumberFormat="1" applyFont="1" applyBorder="1"/>
    <xf numFmtId="3" fontId="7" fillId="0" borderId="205" xfId="0" applyNumberFormat="1" applyFont="1" applyBorder="1"/>
    <xf numFmtId="3" fontId="7" fillId="0" borderId="202" xfId="0" applyNumberFormat="1" applyFont="1" applyBorder="1"/>
    <xf numFmtId="3" fontId="6" fillId="0" borderId="63" xfId="0" applyNumberFormat="1" applyFont="1" applyBorder="1"/>
    <xf numFmtId="4" fontId="6" fillId="0" borderId="223" xfId="0" applyNumberFormat="1" applyFont="1" applyBorder="1"/>
    <xf numFmtId="4" fontId="6" fillId="0" borderId="205" xfId="0" applyNumberFormat="1" applyFont="1" applyBorder="1"/>
    <xf numFmtId="2" fontId="8" fillId="0" borderId="43" xfId="0" applyNumberFormat="1" applyFont="1" applyBorder="1" applyAlignment="1">
      <alignment horizontal="right"/>
    </xf>
    <xf numFmtId="4" fontId="6" fillId="0" borderId="29" xfId="0" applyNumberFormat="1" applyFont="1" applyBorder="1"/>
    <xf numFmtId="2" fontId="8" fillId="0" borderId="41" xfId="0" applyNumberFormat="1" applyFont="1" applyBorder="1" applyAlignment="1">
      <alignment horizontal="right"/>
    </xf>
    <xf numFmtId="2" fontId="8" fillId="0" borderId="223" xfId="0" applyNumberFormat="1" applyFont="1" applyBorder="1" applyAlignment="1">
      <alignment horizontal="right"/>
    </xf>
    <xf numFmtId="2" fontId="8" fillId="0" borderId="220" xfId="0" applyNumberFormat="1" applyFont="1" applyBorder="1" applyAlignment="1">
      <alignment horizontal="right"/>
    </xf>
    <xf numFmtId="1" fontId="6" fillId="0" borderId="223" xfId="0" applyNumberFormat="1" applyFont="1" applyBorder="1" applyAlignment="1">
      <alignment horizontal="center" wrapText="1"/>
    </xf>
    <xf numFmtId="3" fontId="7" fillId="0" borderId="29" xfId="0" applyNumberFormat="1" applyFont="1" applyBorder="1"/>
    <xf numFmtId="4" fontId="6" fillId="0" borderId="63" xfId="0" applyNumberFormat="1" applyFont="1" applyBorder="1"/>
    <xf numFmtId="3" fontId="7" fillId="0" borderId="81" xfId="0" applyNumberFormat="1" applyFont="1" applyBorder="1"/>
    <xf numFmtId="49" fontId="7" fillId="0" borderId="215" xfId="0" applyNumberFormat="1" applyFont="1" applyBorder="1" applyAlignment="1">
      <alignment wrapText="1"/>
    </xf>
    <xf numFmtId="0" fontId="9" fillId="0" borderId="49" xfId="0" applyFont="1" applyBorder="1"/>
    <xf numFmtId="0" fontId="63" fillId="0" borderId="49" xfId="0" applyFont="1" applyBorder="1"/>
    <xf numFmtId="0" fontId="9" fillId="0" borderId="133" xfId="0" applyFont="1" applyBorder="1" applyAlignment="1">
      <alignment horizontal="center"/>
    </xf>
    <xf numFmtId="0" fontId="7" fillId="0" borderId="10" xfId="0" applyFont="1" applyBorder="1" applyAlignment="1">
      <alignment horizontal="left" vertical="center"/>
    </xf>
    <xf numFmtId="0" fontId="7" fillId="0" borderId="15" xfId="0" applyFont="1" applyBorder="1" applyAlignment="1">
      <alignment horizontal="center" vertical="center"/>
    </xf>
    <xf numFmtId="3" fontId="7" fillId="0" borderId="82" xfId="0" applyNumberFormat="1" applyFont="1" applyBorder="1" applyAlignment="1">
      <alignment horizontal="right"/>
    </xf>
    <xf numFmtId="3" fontId="7" fillId="0" borderId="10" xfId="0" applyNumberFormat="1" applyFont="1" applyBorder="1" applyAlignment="1">
      <alignment horizontal="right"/>
    </xf>
    <xf numFmtId="3" fontId="7" fillId="0" borderId="8" xfId="0" applyNumberFormat="1" applyFont="1" applyBorder="1" applyAlignment="1">
      <alignment horizontal="right"/>
    </xf>
    <xf numFmtId="3" fontId="7" fillId="0" borderId="15" xfId="0" applyNumberFormat="1" applyFont="1" applyBorder="1" applyAlignment="1">
      <alignment horizontal="right"/>
    </xf>
    <xf numFmtId="3" fontId="6" fillId="0" borderId="101" xfId="0" applyNumberFormat="1" applyFont="1" applyBorder="1" applyAlignment="1">
      <alignment horizontal="right"/>
    </xf>
    <xf numFmtId="4" fontId="6" fillId="0" borderId="0" xfId="0" applyNumberFormat="1" applyFont="1" applyAlignment="1">
      <alignment horizontal="right"/>
    </xf>
    <xf numFmtId="4" fontId="6" fillId="0" borderId="57" xfId="0" applyNumberFormat="1" applyFont="1" applyBorder="1" applyAlignment="1">
      <alignment horizontal="right"/>
    </xf>
    <xf numFmtId="4" fontId="6" fillId="0" borderId="26" xfId="0" applyNumberFormat="1" applyFont="1" applyBorder="1" applyAlignment="1">
      <alignment horizontal="right"/>
    </xf>
    <xf numFmtId="4" fontId="6" fillId="0" borderId="30" xfId="0" applyNumberFormat="1" applyFont="1" applyBorder="1" applyAlignment="1">
      <alignment horizontal="right"/>
    </xf>
    <xf numFmtId="2" fontId="8" fillId="0" borderId="0" xfId="0" applyNumberFormat="1" applyFont="1" applyAlignment="1">
      <alignment horizontal="right"/>
    </xf>
    <xf numFmtId="4" fontId="6" fillId="0" borderId="27" xfId="0" applyNumberFormat="1" applyFont="1" applyBorder="1" applyAlignment="1">
      <alignment horizontal="right"/>
    </xf>
    <xf numFmtId="2" fontId="8" fillId="0" borderId="116" xfId="0" applyNumberFormat="1" applyFont="1" applyBorder="1" applyAlignment="1">
      <alignment horizontal="right"/>
    </xf>
    <xf numFmtId="2" fontId="8" fillId="0" borderId="117" xfId="0" applyNumberFormat="1" applyFont="1" applyBorder="1" applyAlignment="1">
      <alignment horizontal="right"/>
    </xf>
    <xf numFmtId="2" fontId="8" fillId="0" borderId="38" xfId="0" applyNumberFormat="1" applyFont="1" applyBorder="1" applyAlignment="1">
      <alignment horizontal="right"/>
    </xf>
    <xf numFmtId="3" fontId="6" fillId="0" borderId="82" xfId="0" applyNumberFormat="1" applyFont="1" applyBorder="1" applyAlignment="1">
      <alignment horizontal="center" vertical="center"/>
    </xf>
    <xf numFmtId="4" fontId="6" fillId="0" borderId="101" xfId="0" applyNumberFormat="1" applyFont="1" applyBorder="1" applyAlignment="1">
      <alignment horizontal="right"/>
    </xf>
    <xf numFmtId="3" fontId="6" fillId="0" borderId="181" xfId="0" applyNumberFormat="1" applyFont="1" applyBorder="1" applyAlignment="1">
      <alignment horizontal="right"/>
    </xf>
    <xf numFmtId="4" fontId="6" fillId="0" borderId="221" xfId="0" applyNumberFormat="1" applyFont="1" applyBorder="1" applyAlignment="1">
      <alignment horizontal="right"/>
    </xf>
    <xf numFmtId="4" fontId="6" fillId="0" borderId="222" xfId="0" applyNumberFormat="1" applyFont="1" applyBorder="1" applyAlignment="1">
      <alignment horizontal="right"/>
    </xf>
    <xf numFmtId="4" fontId="6" fillId="0" borderId="226" xfId="0" applyNumberFormat="1" applyFont="1" applyBorder="1" applyAlignment="1">
      <alignment horizontal="right"/>
    </xf>
    <xf numFmtId="4" fontId="6" fillId="0" borderId="184" xfId="0" applyNumberFormat="1" applyFont="1" applyBorder="1" applyAlignment="1">
      <alignment horizontal="right"/>
    </xf>
    <xf numFmtId="4" fontId="6" fillId="0" borderId="225" xfId="0" applyNumberFormat="1" applyFont="1" applyBorder="1" applyAlignment="1">
      <alignment horizontal="right"/>
    </xf>
    <xf numFmtId="3" fontId="6" fillId="0" borderId="8" xfId="0" applyNumberFormat="1" applyFont="1" applyBorder="1" applyAlignment="1">
      <alignment horizontal="center" vertical="center"/>
    </xf>
    <xf numFmtId="4" fontId="6" fillId="0" borderId="181" xfId="0" applyNumberFormat="1" applyFont="1" applyBorder="1" applyAlignment="1">
      <alignment horizontal="right"/>
    </xf>
    <xf numFmtId="3" fontId="7" fillId="0" borderId="226" xfId="0" applyNumberFormat="1" applyFont="1" applyBorder="1" applyAlignment="1">
      <alignment horizontal="right"/>
    </xf>
    <xf numFmtId="3" fontId="7" fillId="0" borderId="222" xfId="0" applyNumberFormat="1" applyFont="1" applyBorder="1" applyAlignment="1">
      <alignment horizontal="right"/>
    </xf>
    <xf numFmtId="0" fontId="7" fillId="0" borderId="205" xfId="0" applyFont="1" applyBorder="1" applyAlignment="1">
      <alignment horizontal="center" vertical="center"/>
    </xf>
    <xf numFmtId="3" fontId="7" fillId="0" borderId="205" xfId="0" applyNumberFormat="1" applyFont="1" applyBorder="1" applyAlignment="1">
      <alignment horizontal="right"/>
    </xf>
    <xf numFmtId="3" fontId="6" fillId="0" borderId="63" xfId="0" applyNumberFormat="1" applyFont="1" applyBorder="1" applyAlignment="1">
      <alignment horizontal="right"/>
    </xf>
    <xf numFmtId="4" fontId="6" fillId="0" borderId="223" xfId="0" applyNumberFormat="1" applyFont="1" applyBorder="1" applyAlignment="1">
      <alignment horizontal="right"/>
    </xf>
    <xf numFmtId="4" fontId="6" fillId="0" borderId="205" xfId="0" applyNumberFormat="1" applyFont="1" applyBorder="1" applyAlignment="1">
      <alignment horizontal="right"/>
    </xf>
    <xf numFmtId="4" fontId="6" fillId="0" borderId="224" xfId="0" applyNumberFormat="1" applyFont="1" applyBorder="1" applyAlignment="1">
      <alignment horizontal="right"/>
    </xf>
    <xf numFmtId="4" fontId="6" fillId="0" borderId="204" xfId="0" applyNumberFormat="1" applyFont="1" applyBorder="1" applyAlignment="1">
      <alignment horizontal="right"/>
    </xf>
    <xf numFmtId="4" fontId="6" fillId="0" borderId="29" xfId="0" applyNumberFormat="1" applyFont="1" applyBorder="1" applyAlignment="1">
      <alignment horizontal="right"/>
    </xf>
    <xf numFmtId="3" fontId="6" fillId="0" borderId="223" xfId="0" applyNumberFormat="1" applyFont="1" applyBorder="1" applyAlignment="1">
      <alignment horizontal="center" vertical="center"/>
    </xf>
    <xf numFmtId="4" fontId="6" fillId="0" borderId="63" xfId="0" applyNumberFormat="1" applyFont="1" applyBorder="1" applyAlignment="1">
      <alignment horizontal="right"/>
    </xf>
    <xf numFmtId="3" fontId="9" fillId="0" borderId="67" xfId="0" applyNumberFormat="1" applyFont="1" applyBorder="1" applyAlignment="1">
      <alignment horizontal="right"/>
    </xf>
    <xf numFmtId="3" fontId="9" fillId="0" borderId="68" xfId="0" applyNumberFormat="1" applyFont="1" applyBorder="1" applyAlignment="1">
      <alignment horizontal="right"/>
    </xf>
    <xf numFmtId="3" fontId="8" fillId="0" borderId="83" xfId="0" applyNumberFormat="1" applyFont="1" applyBorder="1" applyAlignment="1">
      <alignment horizontal="right"/>
    </xf>
    <xf numFmtId="4" fontId="8" fillId="0" borderId="49" xfId="0" applyNumberFormat="1" applyFont="1" applyBorder="1" applyAlignment="1">
      <alignment horizontal="right"/>
    </xf>
    <xf numFmtId="4" fontId="8" fillId="0" borderId="68" xfId="0" applyNumberFormat="1" applyFont="1" applyBorder="1" applyAlignment="1">
      <alignment horizontal="right"/>
    </xf>
    <xf numFmtId="4" fontId="8" fillId="0" borderId="67" xfId="0" applyNumberFormat="1" applyFont="1" applyBorder="1" applyAlignment="1">
      <alignment horizontal="right"/>
    </xf>
    <xf numFmtId="4" fontId="8" fillId="0" borderId="70" xfId="0" applyNumberFormat="1" applyFont="1" applyBorder="1" applyAlignment="1">
      <alignment horizontal="right"/>
    </xf>
    <xf numFmtId="2" fontId="8" fillId="0" borderId="49" xfId="0" applyNumberFormat="1" applyFont="1" applyBorder="1" applyAlignment="1">
      <alignment horizontal="right"/>
    </xf>
    <xf numFmtId="4" fontId="8" fillId="0" borderId="48" xfId="0" applyNumberFormat="1" applyFont="1" applyBorder="1" applyAlignment="1">
      <alignment horizontal="right"/>
    </xf>
    <xf numFmtId="2" fontId="8" fillId="0" borderId="69" xfId="0" applyNumberFormat="1" applyFont="1" applyBorder="1" applyAlignment="1">
      <alignment horizontal="right"/>
    </xf>
    <xf numFmtId="2" fontId="8" fillId="0" borderId="75" xfId="0" applyNumberFormat="1" applyFont="1" applyBorder="1" applyAlignment="1">
      <alignment horizontal="right"/>
    </xf>
    <xf numFmtId="2" fontId="8" fillId="0" borderId="50" xfId="0" applyNumberFormat="1" applyFont="1" applyBorder="1" applyAlignment="1">
      <alignment horizontal="right"/>
    </xf>
    <xf numFmtId="4" fontId="8" fillId="0" borderId="83" xfId="0" applyNumberFormat="1" applyFont="1" applyBorder="1" applyAlignment="1">
      <alignment horizontal="right"/>
    </xf>
    <xf numFmtId="0" fontId="7" fillId="0" borderId="229" xfId="0" applyFont="1" applyBorder="1"/>
    <xf numFmtId="0" fontId="7" fillId="0" borderId="233" xfId="0" applyFont="1" applyBorder="1" applyAlignment="1">
      <alignment horizontal="center" vertical="center"/>
    </xf>
    <xf numFmtId="3" fontId="7" fillId="0" borderId="185" xfId="0" applyNumberFormat="1" applyFont="1" applyBorder="1" applyAlignment="1">
      <alignment horizontal="right"/>
    </xf>
    <xf numFmtId="3" fontId="7" fillId="0" borderId="229" xfId="0" applyNumberFormat="1" applyFont="1" applyBorder="1" applyAlignment="1">
      <alignment horizontal="right"/>
    </xf>
    <xf numFmtId="3" fontId="7" fillId="0" borderId="232" xfId="0" applyNumberFormat="1" applyFont="1" applyBorder="1" applyAlignment="1">
      <alignment horizontal="right"/>
    </xf>
    <xf numFmtId="3" fontId="7" fillId="0" borderId="233" xfId="0" applyNumberFormat="1" applyFont="1" applyBorder="1" applyAlignment="1">
      <alignment horizontal="right"/>
    </xf>
    <xf numFmtId="3" fontId="6" fillId="0" borderId="185" xfId="0" applyNumberFormat="1" applyFont="1" applyBorder="1" applyAlignment="1">
      <alignment horizontal="right"/>
    </xf>
    <xf numFmtId="4" fontId="6" fillId="0" borderId="240" xfId="0" applyNumberFormat="1" applyFont="1" applyBorder="1" applyAlignment="1">
      <alignment horizontal="right"/>
    </xf>
    <xf numFmtId="4" fontId="6" fillId="0" borderId="233" xfId="0" applyNumberFormat="1" applyFont="1" applyBorder="1" applyAlignment="1">
      <alignment horizontal="right"/>
    </xf>
    <xf numFmtId="4" fontId="6" fillId="0" borderId="229" xfId="0" applyNumberFormat="1" applyFont="1" applyBorder="1" applyAlignment="1">
      <alignment horizontal="right"/>
    </xf>
    <xf numFmtId="4" fontId="6" fillId="0" borderId="239" xfId="0" applyNumberFormat="1" applyFont="1" applyBorder="1" applyAlignment="1">
      <alignment horizontal="right"/>
    </xf>
    <xf numFmtId="4" fontId="6" fillId="0" borderId="190" xfId="0" applyNumberFormat="1" applyFont="1" applyBorder="1" applyAlignment="1">
      <alignment horizontal="right"/>
    </xf>
    <xf numFmtId="3" fontId="6" fillId="0" borderId="240" xfId="0" applyNumberFormat="1" applyFont="1" applyBorder="1" applyAlignment="1">
      <alignment horizontal="center" vertical="center"/>
    </xf>
    <xf numFmtId="3" fontId="7" fillId="0" borderId="190" xfId="0" applyNumberFormat="1" applyFont="1" applyBorder="1" applyAlignment="1">
      <alignment horizontal="right"/>
    </xf>
    <xf numFmtId="4" fontId="6" fillId="0" borderId="185" xfId="0" applyNumberFormat="1" applyFont="1" applyBorder="1" applyAlignment="1">
      <alignment horizontal="right"/>
    </xf>
    <xf numFmtId="0" fontId="7" fillId="0" borderId="4" xfId="0" applyFont="1" applyBorder="1" applyAlignment="1">
      <alignment horizontal="left" vertical="center"/>
    </xf>
    <xf numFmtId="3" fontId="7" fillId="0" borderId="224" xfId="0" applyNumberFormat="1" applyFont="1" applyBorder="1" applyAlignment="1">
      <alignment horizontal="right"/>
    </xf>
    <xf numFmtId="3" fontId="9" fillId="0" borderId="26" xfId="0" applyNumberFormat="1" applyFont="1" applyBorder="1" applyAlignment="1">
      <alignment horizontal="right"/>
    </xf>
    <xf numFmtId="3" fontId="9" fillId="0" borderId="57" xfId="0" applyNumberFormat="1" applyFont="1" applyBorder="1" applyAlignment="1">
      <alignment horizontal="right"/>
    </xf>
    <xf numFmtId="0" fontId="7" fillId="0" borderId="76" xfId="0" applyFont="1" applyBorder="1" applyAlignment="1">
      <alignment horizontal="center" vertical="center"/>
    </xf>
    <xf numFmtId="3" fontId="7" fillId="0" borderId="76" xfId="0" applyNumberFormat="1" applyFont="1" applyBorder="1" applyAlignment="1">
      <alignment horizontal="right"/>
    </xf>
    <xf numFmtId="3" fontId="6" fillId="0" borderId="81" xfId="0" applyNumberFormat="1" applyFont="1" applyBorder="1" applyAlignment="1">
      <alignment horizontal="right"/>
    </xf>
    <xf numFmtId="4" fontId="6" fillId="0" borderId="61" xfId="0" applyNumberFormat="1" applyFont="1" applyBorder="1" applyAlignment="1">
      <alignment horizontal="right"/>
    </xf>
    <xf numFmtId="4" fontId="6" fillId="0" borderId="76" xfId="0" applyNumberFormat="1" applyFont="1" applyBorder="1" applyAlignment="1">
      <alignment horizontal="right"/>
    </xf>
    <xf numFmtId="4" fontId="6" fillId="0" borderId="60" xfId="0" applyNumberFormat="1" applyFont="1" applyBorder="1" applyAlignment="1">
      <alignment horizontal="right"/>
    </xf>
    <xf numFmtId="4" fontId="6" fillId="0" borderId="108" xfId="0" applyNumberFormat="1" applyFont="1" applyBorder="1" applyAlignment="1">
      <alignment horizontal="right"/>
    </xf>
    <xf numFmtId="2" fontId="8" fillId="0" borderId="61" xfId="0" applyNumberFormat="1" applyFont="1" applyBorder="1" applyAlignment="1">
      <alignment horizontal="right"/>
    </xf>
    <xf numFmtId="4" fontId="6" fillId="0" borderId="59" xfId="0" applyNumberFormat="1" applyFont="1" applyBorder="1" applyAlignment="1">
      <alignment horizontal="right"/>
    </xf>
    <xf numFmtId="2" fontId="8" fillId="0" borderId="107" xfId="0" applyNumberFormat="1" applyFont="1" applyBorder="1" applyAlignment="1">
      <alignment horizontal="right"/>
    </xf>
    <xf numFmtId="2" fontId="8" fillId="0" borderId="62" xfId="0" applyNumberFormat="1" applyFont="1" applyBorder="1" applyAlignment="1">
      <alignment horizontal="right"/>
    </xf>
    <xf numFmtId="1" fontId="6" fillId="0" borderId="61" xfId="0" applyNumberFormat="1" applyFont="1" applyBorder="1" applyAlignment="1">
      <alignment horizontal="center" wrapText="1"/>
    </xf>
    <xf numFmtId="4" fontId="6" fillId="0" borderId="81" xfId="0" applyNumberFormat="1" applyFont="1" applyBorder="1" applyAlignment="1">
      <alignment horizontal="right"/>
    </xf>
    <xf numFmtId="0" fontId="7" fillId="0" borderId="105" xfId="0" applyFont="1" applyBorder="1"/>
    <xf numFmtId="3" fontId="7" fillId="0" borderId="97" xfId="0" applyNumberFormat="1" applyFont="1" applyBorder="1" applyAlignment="1">
      <alignment horizontal="right"/>
    </xf>
    <xf numFmtId="3" fontId="7" fillId="0" borderId="105" xfId="0" applyNumberFormat="1" applyFont="1" applyBorder="1" applyAlignment="1">
      <alignment horizontal="right"/>
    </xf>
    <xf numFmtId="3" fontId="7" fillId="0" borderId="112" xfId="0" applyNumberFormat="1" applyFont="1" applyBorder="1" applyAlignment="1">
      <alignment horizontal="right"/>
    </xf>
    <xf numFmtId="3" fontId="7" fillId="0" borderId="106" xfId="0" applyNumberFormat="1" applyFont="1" applyBorder="1" applyAlignment="1">
      <alignment horizontal="right"/>
    </xf>
    <xf numFmtId="3" fontId="6" fillId="0" borderId="97" xfId="0" applyNumberFormat="1" applyFont="1" applyBorder="1" applyAlignment="1">
      <alignment horizontal="right"/>
    </xf>
    <xf numFmtId="4" fontId="6" fillId="0" borderId="113" xfId="0" applyNumberFormat="1" applyFont="1" applyBorder="1" applyAlignment="1">
      <alignment horizontal="right"/>
    </xf>
    <xf numFmtId="4" fontId="6" fillId="0" borderId="106" xfId="0" applyNumberFormat="1" applyFont="1" applyBorder="1" applyAlignment="1">
      <alignment horizontal="right"/>
    </xf>
    <xf numFmtId="2" fontId="9" fillId="0" borderId="109" xfId="0" applyNumberFormat="1" applyFont="1" applyBorder="1" applyAlignment="1">
      <alignment horizontal="right"/>
    </xf>
    <xf numFmtId="4" fontId="6" fillId="0" borderId="105" xfId="0" applyNumberFormat="1" applyFont="1" applyBorder="1" applyAlignment="1">
      <alignment horizontal="right"/>
    </xf>
    <xf numFmtId="4" fontId="6" fillId="0" borderId="110" xfId="0" applyNumberFormat="1" applyFont="1" applyBorder="1" applyAlignment="1">
      <alignment horizontal="right"/>
    </xf>
    <xf numFmtId="2" fontId="8" fillId="0" borderId="113" xfId="0" applyNumberFormat="1" applyFont="1" applyBorder="1" applyAlignment="1">
      <alignment horizontal="right"/>
    </xf>
    <xf numFmtId="4" fontId="6" fillId="0" borderId="99" xfId="0" applyNumberFormat="1" applyFont="1" applyBorder="1" applyAlignment="1">
      <alignment horizontal="right"/>
    </xf>
    <xf numFmtId="2" fontId="8" fillId="0" borderId="114" xfId="0" applyNumberFormat="1" applyFont="1" applyBorder="1" applyAlignment="1">
      <alignment horizontal="right"/>
    </xf>
    <xf numFmtId="1" fontId="6" fillId="0" borderId="36" xfId="0" applyNumberFormat="1" applyFont="1" applyBorder="1" applyAlignment="1">
      <alignment horizontal="center" wrapText="1"/>
    </xf>
    <xf numFmtId="3" fontId="7" fillId="0" borderId="99" xfId="0" applyNumberFormat="1" applyFont="1" applyBorder="1" applyAlignment="1">
      <alignment horizontal="right"/>
    </xf>
    <xf numFmtId="4" fontId="6" fillId="0" borderId="97" xfId="0" applyNumberFormat="1" applyFont="1" applyBorder="1" applyAlignment="1">
      <alignment horizontal="right"/>
    </xf>
    <xf numFmtId="0" fontId="7" fillId="0" borderId="219" xfId="0" applyFont="1" applyBorder="1" applyAlignment="1">
      <alignment horizontal="left"/>
    </xf>
    <xf numFmtId="4" fontId="8" fillId="0" borderId="27" xfId="0" applyNumberFormat="1" applyFont="1" applyBorder="1" applyAlignment="1">
      <alignment horizontal="right"/>
    </xf>
    <xf numFmtId="4" fontId="8" fillId="0" borderId="30" xfId="0" applyNumberFormat="1" applyFont="1" applyBorder="1" applyAlignment="1">
      <alignment horizontal="right"/>
    </xf>
    <xf numFmtId="3" fontId="6" fillId="0" borderId="0" xfId="0" applyNumberFormat="1" applyFont="1" applyAlignment="1">
      <alignment horizontal="center" vertical="center" wrapText="1"/>
    </xf>
    <xf numFmtId="0" fontId="7" fillId="0" borderId="4" xfId="0" applyFont="1" applyBorder="1" applyAlignment="1">
      <alignment horizontal="left"/>
    </xf>
    <xf numFmtId="3" fontId="6" fillId="0" borderId="223" xfId="0" applyNumberFormat="1" applyFont="1" applyBorder="1" applyAlignment="1">
      <alignment horizontal="center" vertical="center" wrapText="1"/>
    </xf>
    <xf numFmtId="3" fontId="8" fillId="0" borderId="101" xfId="0" applyNumberFormat="1" applyFont="1" applyBorder="1" applyAlignment="1">
      <alignment horizontal="right"/>
    </xf>
    <xf numFmtId="4" fontId="8" fillId="0" borderId="0" xfId="0" applyNumberFormat="1" applyFont="1" applyAlignment="1">
      <alignment horizontal="right"/>
    </xf>
    <xf numFmtId="4" fontId="8" fillId="0" borderId="57" xfId="0" applyNumberFormat="1" applyFont="1" applyBorder="1" applyAlignment="1">
      <alignment horizontal="right"/>
    </xf>
    <xf numFmtId="4" fontId="8" fillId="0" borderId="26" xfId="0" applyNumberFormat="1" applyFont="1" applyBorder="1" applyAlignment="1">
      <alignment horizontal="right"/>
    </xf>
    <xf numFmtId="0" fontId="8" fillId="0" borderId="130" xfId="0" applyFont="1" applyBorder="1" applyAlignment="1">
      <alignment horizontal="center" vertical="center" wrapText="1"/>
    </xf>
    <xf numFmtId="4" fontId="8" fillId="0" borderId="101" xfId="0" applyNumberFormat="1" applyFont="1" applyBorder="1" applyAlignment="1">
      <alignment horizontal="right"/>
    </xf>
    <xf numFmtId="49" fontId="7" fillId="0" borderId="60" xfId="0" applyNumberFormat="1" applyFont="1" applyBorder="1" applyAlignment="1">
      <alignment wrapText="1"/>
    </xf>
    <xf numFmtId="49" fontId="7" fillId="0" borderId="76" xfId="0" applyNumberFormat="1" applyFont="1" applyBorder="1" applyAlignment="1">
      <alignment horizontal="center" wrapText="1"/>
    </xf>
    <xf numFmtId="3" fontId="7" fillId="0" borderId="102" xfId="0" applyNumberFormat="1" applyFont="1" applyBorder="1" applyAlignment="1">
      <alignment horizontal="right"/>
    </xf>
    <xf numFmtId="3" fontId="7" fillId="0" borderId="60" xfId="0" applyNumberFormat="1" applyFont="1" applyBorder="1"/>
    <xf numFmtId="3" fontId="7" fillId="0" borderId="52" xfId="0" applyNumberFormat="1" applyFont="1" applyBorder="1"/>
    <xf numFmtId="3" fontId="7" fillId="0" borderId="76" xfId="0" applyNumberFormat="1" applyFont="1" applyBorder="1"/>
    <xf numFmtId="3" fontId="6" fillId="0" borderId="81" xfId="0" applyNumberFormat="1" applyFont="1" applyBorder="1"/>
    <xf numFmtId="4" fontId="6" fillId="0" borderId="61" xfId="0" applyNumberFormat="1" applyFont="1" applyBorder="1"/>
    <xf numFmtId="4" fontId="6" fillId="0" borderId="76" xfId="0" applyNumberFormat="1" applyFont="1" applyBorder="1"/>
    <xf numFmtId="4" fontId="6" fillId="0" borderId="59" xfId="0" applyNumberFormat="1" applyFont="1" applyBorder="1"/>
    <xf numFmtId="1" fontId="6" fillId="0" borderId="8" xfId="0" applyNumberFormat="1" applyFont="1" applyBorder="1" applyAlignment="1">
      <alignment horizontal="center" wrapText="1"/>
    </xf>
    <xf numFmtId="3" fontId="7" fillId="0" borderId="59" xfId="0" applyNumberFormat="1" applyFont="1" applyBorder="1"/>
    <xf numFmtId="4" fontId="6" fillId="0" borderId="81" xfId="0" applyNumberFormat="1" applyFont="1" applyBorder="1"/>
    <xf numFmtId="49" fontId="7" fillId="0" borderId="224" xfId="0" applyNumberFormat="1" applyFont="1" applyBorder="1" applyAlignment="1">
      <alignment wrapText="1"/>
    </xf>
    <xf numFmtId="3" fontId="9" fillId="0" borderId="26" xfId="0" applyNumberFormat="1" applyFont="1" applyBorder="1"/>
    <xf numFmtId="3" fontId="9" fillId="0" borderId="23" xfId="0" applyNumberFormat="1" applyFont="1" applyBorder="1"/>
    <xf numFmtId="3" fontId="9" fillId="0" borderId="57" xfId="0" applyNumberFormat="1" applyFont="1" applyBorder="1"/>
    <xf numFmtId="3" fontId="8" fillId="0" borderId="101" xfId="0" applyNumberFormat="1" applyFont="1" applyBorder="1"/>
    <xf numFmtId="4" fontId="8" fillId="0" borderId="0" xfId="0" applyNumberFormat="1" applyFont="1"/>
    <xf numFmtId="4" fontId="8" fillId="0" borderId="57" xfId="0" applyNumberFormat="1" applyFont="1" applyBorder="1"/>
    <xf numFmtId="4" fontId="8" fillId="0" borderId="27" xfId="0" applyNumberFormat="1" applyFont="1" applyBorder="1"/>
    <xf numFmtId="3" fontId="9" fillId="0" borderId="27" xfId="0" applyNumberFormat="1" applyFont="1" applyBorder="1"/>
    <xf numFmtId="4" fontId="8" fillId="0" borderId="101" xfId="0" applyNumberFormat="1" applyFont="1" applyBorder="1"/>
    <xf numFmtId="49" fontId="7" fillId="0" borderId="76" xfId="0" applyNumberFormat="1" applyFont="1" applyBorder="1" applyAlignment="1">
      <alignment horizontal="center"/>
    </xf>
    <xf numFmtId="3" fontId="6" fillId="0" borderId="0" xfId="0" applyNumberFormat="1" applyFont="1" applyAlignment="1">
      <alignment horizontal="center"/>
    </xf>
    <xf numFmtId="49" fontId="7" fillId="0" borderId="222" xfId="0" applyNumberFormat="1" applyFont="1" applyBorder="1" applyAlignment="1">
      <alignment horizontal="center"/>
    </xf>
    <xf numFmtId="3" fontId="6" fillId="0" borderId="221" xfId="0" applyNumberFormat="1" applyFont="1" applyBorder="1" applyAlignment="1">
      <alignment horizontal="center"/>
    </xf>
    <xf numFmtId="49" fontId="7" fillId="0" borderId="226" xfId="0" applyNumberFormat="1" applyFont="1" applyBorder="1"/>
    <xf numFmtId="0" fontId="7" fillId="0" borderId="226" xfId="0" applyFont="1" applyBorder="1" applyAlignment="1">
      <alignment wrapText="1"/>
    </xf>
    <xf numFmtId="1" fontId="7" fillId="0" borderId="221" xfId="0" applyNumberFormat="1" applyFont="1" applyBorder="1" applyAlignment="1">
      <alignment horizontal="center"/>
    </xf>
    <xf numFmtId="3" fontId="6" fillId="0" borderId="8" xfId="0" applyNumberFormat="1" applyFont="1" applyBorder="1" applyAlignment="1">
      <alignment horizontal="center"/>
    </xf>
    <xf numFmtId="49" fontId="7" fillId="0" borderId="205" xfId="0" applyNumberFormat="1" applyFont="1" applyBorder="1" applyAlignment="1">
      <alignment horizontal="center"/>
    </xf>
    <xf numFmtId="3" fontId="9" fillId="0" borderId="101" xfId="0" applyNumberFormat="1" applyFont="1" applyBorder="1"/>
    <xf numFmtId="9" fontId="8" fillId="0" borderId="83" xfId="5" applyFont="1" applyFill="1" applyBorder="1" applyAlignment="1"/>
    <xf numFmtId="0" fontId="8" fillId="0" borderId="130" xfId="0" applyFont="1" applyBorder="1" applyAlignment="1">
      <alignment horizontal="center" vertical="center"/>
    </xf>
    <xf numFmtId="49" fontId="7" fillId="0" borderId="60" xfId="0" applyNumberFormat="1" applyFont="1" applyBorder="1"/>
    <xf numFmtId="2" fontId="6" fillId="0" borderId="221" xfId="0" applyNumberFormat="1" applyFont="1" applyBorder="1" applyAlignment="1">
      <alignment horizontal="right"/>
    </xf>
    <xf numFmtId="2" fontId="6" fillId="0" borderId="222" xfId="0" applyNumberFormat="1" applyFont="1" applyBorder="1" applyAlignment="1">
      <alignment horizontal="right"/>
    </xf>
    <xf numFmtId="2" fontId="6" fillId="0" borderId="184" xfId="0" applyNumberFormat="1" applyFont="1" applyBorder="1" applyAlignment="1">
      <alignment horizontal="right"/>
    </xf>
    <xf numFmtId="0" fontId="7" fillId="0" borderId="215" xfId="0" applyFont="1" applyBorder="1"/>
    <xf numFmtId="49" fontId="7" fillId="0" borderId="233" xfId="0" applyNumberFormat="1" applyFont="1" applyBorder="1" applyAlignment="1">
      <alignment horizontal="center"/>
    </xf>
    <xf numFmtId="3" fontId="6" fillId="0" borderId="240" xfId="0" applyNumberFormat="1" applyFont="1" applyBorder="1" applyAlignment="1">
      <alignment horizontal="center"/>
    </xf>
    <xf numFmtId="0" fontId="7" fillId="0" borderId="222" xfId="0" applyFont="1" applyBorder="1" applyAlignment="1">
      <alignment horizontal="center"/>
    </xf>
    <xf numFmtId="0" fontId="7" fillId="0" borderId="205" xfId="0" applyFont="1" applyBorder="1" applyAlignment="1">
      <alignment horizontal="center"/>
    </xf>
    <xf numFmtId="3" fontId="6" fillId="0" borderId="63" xfId="0" applyNumberFormat="1" applyFont="1" applyBorder="1" applyAlignment="1">
      <alignment horizontal="center"/>
    </xf>
    <xf numFmtId="0" fontId="7" fillId="0" borderId="58" xfId="0" applyFont="1" applyBorder="1" applyAlignment="1">
      <alignment horizontal="left" vertical="center"/>
    </xf>
    <xf numFmtId="0" fontId="7" fillId="0" borderId="55" xfId="0" applyFont="1" applyBorder="1" applyAlignment="1">
      <alignment horizontal="center" vertical="center"/>
    </xf>
    <xf numFmtId="3" fontId="7" fillId="0" borderId="102" xfId="0" applyNumberFormat="1" applyFont="1" applyBorder="1"/>
    <xf numFmtId="3" fontId="7" fillId="0" borderId="56" xfId="0" applyNumberFormat="1" applyFont="1" applyBorder="1"/>
    <xf numFmtId="3" fontId="7" fillId="0" borderId="32" xfId="0" applyNumberFormat="1" applyFont="1" applyBorder="1"/>
    <xf numFmtId="3" fontId="7" fillId="0" borderId="55" xfId="0" applyNumberFormat="1" applyFont="1" applyBorder="1"/>
    <xf numFmtId="3" fontId="6" fillId="0" borderId="102" xfId="0" applyNumberFormat="1" applyFont="1" applyBorder="1"/>
    <xf numFmtId="4" fontId="6" fillId="0" borderId="46" xfId="0" applyNumberFormat="1" applyFont="1" applyBorder="1"/>
    <xf numFmtId="4" fontId="6" fillId="0" borderId="55" xfId="0" applyNumberFormat="1" applyFont="1" applyBorder="1"/>
    <xf numFmtId="2" fontId="9" fillId="0" borderId="166" xfId="0" applyNumberFormat="1" applyFont="1" applyBorder="1"/>
    <xf numFmtId="4" fontId="6" fillId="0" borderId="56" xfId="0" applyNumberFormat="1" applyFont="1" applyBorder="1"/>
    <xf numFmtId="4" fontId="6" fillId="0" borderId="45" xfId="0" applyNumberFormat="1" applyFont="1" applyBorder="1"/>
    <xf numFmtId="2" fontId="8" fillId="0" borderId="166" xfId="0" applyNumberFormat="1" applyFont="1" applyBorder="1"/>
    <xf numFmtId="4" fontId="6" fillId="0" borderId="193" xfId="0" applyNumberFormat="1" applyFont="1" applyBorder="1"/>
    <xf numFmtId="2" fontId="8" fillId="0" borderId="46" xfId="0" applyNumberFormat="1" applyFont="1" applyBorder="1"/>
    <xf numFmtId="2" fontId="8" fillId="0" borderId="47" xfId="0" applyNumberFormat="1" applyFont="1" applyBorder="1"/>
    <xf numFmtId="3" fontId="6" fillId="0" borderId="46" xfId="0" applyNumberFormat="1" applyFont="1" applyBorder="1" applyAlignment="1">
      <alignment horizontal="center" vertical="center"/>
    </xf>
    <xf numFmtId="3" fontId="7" fillId="0" borderId="45" xfId="0" applyNumberFormat="1" applyFont="1" applyBorder="1"/>
    <xf numFmtId="4" fontId="6" fillId="0" borderId="102" xfId="0" applyNumberFormat="1" applyFont="1" applyBorder="1"/>
    <xf numFmtId="4" fontId="6" fillId="0" borderId="0" xfId="0" applyNumberFormat="1" applyFont="1"/>
    <xf numFmtId="4" fontId="6" fillId="0" borderId="57" xfId="0" applyNumberFormat="1" applyFont="1" applyBorder="1"/>
    <xf numFmtId="4" fontId="6" fillId="0" borderId="26" xfId="0" applyNumberFormat="1" applyFont="1" applyBorder="1"/>
    <xf numFmtId="4" fontId="6" fillId="0" borderId="27" xfId="0" applyNumberFormat="1" applyFont="1" applyBorder="1"/>
    <xf numFmtId="4" fontId="6" fillId="0" borderId="30" xfId="0" applyNumberFormat="1" applyFont="1" applyBorder="1"/>
    <xf numFmtId="3" fontId="6" fillId="0" borderId="0" xfId="0" applyNumberFormat="1" applyFont="1" applyAlignment="1">
      <alignment horizontal="center" vertical="center"/>
    </xf>
    <xf numFmtId="4" fontId="6" fillId="0" borderId="101" xfId="0" applyNumberFormat="1" applyFont="1" applyBorder="1"/>
    <xf numFmtId="3" fontId="6" fillId="0" borderId="221" xfId="0" applyNumberFormat="1" applyFont="1" applyBorder="1" applyAlignment="1">
      <alignment horizontal="center" vertical="center"/>
    </xf>
    <xf numFmtId="3" fontId="6" fillId="0" borderId="61" xfId="0" applyNumberFormat="1" applyFont="1" applyBorder="1" applyAlignment="1">
      <alignment horizontal="center" vertical="center"/>
    </xf>
    <xf numFmtId="1" fontId="6" fillId="0" borderId="221" xfId="0" applyNumberFormat="1" applyFont="1" applyBorder="1" applyAlignment="1">
      <alignment horizontal="center" vertical="center"/>
    </xf>
    <xf numFmtId="1" fontId="6" fillId="0" borderId="223" xfId="0" applyNumberFormat="1" applyFont="1" applyBorder="1" applyAlignment="1">
      <alignment horizontal="center" vertical="center"/>
    </xf>
    <xf numFmtId="2" fontId="8" fillId="0" borderId="137" xfId="0" applyNumberFormat="1" applyFont="1" applyBorder="1"/>
    <xf numFmtId="4" fontId="8" fillId="0" borderId="100" xfId="0" applyNumberFormat="1" applyFont="1" applyBorder="1"/>
    <xf numFmtId="4" fontId="8" fillId="0" borderId="85" xfId="0" applyNumberFormat="1" applyFont="1" applyBorder="1"/>
    <xf numFmtId="2" fontId="8" fillId="0" borderId="134" xfId="0" applyNumberFormat="1" applyFont="1" applyBorder="1"/>
    <xf numFmtId="4" fontId="8" fillId="0" borderId="129" xfId="0" applyNumberFormat="1" applyFont="1" applyBorder="1"/>
    <xf numFmtId="4" fontId="8" fillId="0" borderId="78" xfId="0" applyNumberFormat="1" applyFont="1" applyBorder="1"/>
    <xf numFmtId="0" fontId="7" fillId="0" borderId="51" xfId="0" applyFont="1" applyBorder="1" applyAlignment="1">
      <alignment horizontal="left" vertical="center"/>
    </xf>
    <xf numFmtId="2" fontId="9" fillId="0" borderId="107" xfId="337" applyNumberFormat="1" applyFont="1" applyBorder="1" applyAlignment="1">
      <alignment vertical="center"/>
    </xf>
    <xf numFmtId="2" fontId="7" fillId="0" borderId="108" xfId="337" applyNumberFormat="1" applyBorder="1" applyAlignment="1">
      <alignment vertical="center"/>
    </xf>
    <xf numFmtId="2" fontId="9" fillId="0" borderId="61" xfId="337" applyNumberFormat="1" applyFont="1" applyBorder="1" applyAlignment="1">
      <alignment vertical="center"/>
    </xf>
    <xf numFmtId="2" fontId="7" fillId="0" borderId="76" xfId="337" applyNumberFormat="1" applyBorder="1" applyAlignment="1">
      <alignment vertical="center"/>
    </xf>
    <xf numFmtId="2" fontId="9" fillId="0" borderId="62" xfId="337" applyNumberFormat="1" applyFont="1" applyBorder="1" applyAlignment="1">
      <alignment vertical="center"/>
    </xf>
    <xf numFmtId="3" fontId="7" fillId="0" borderId="61" xfId="0" applyNumberFormat="1" applyFont="1" applyBorder="1" applyAlignment="1">
      <alignment horizontal="center"/>
    </xf>
    <xf numFmtId="0" fontId="7" fillId="0" borderId="10" xfId="337" applyBorder="1" applyAlignment="1">
      <alignment horizontal="left"/>
    </xf>
    <xf numFmtId="0" fontId="7" fillId="0" borderId="15" xfId="337" applyBorder="1" applyAlignment="1">
      <alignment horizontal="center"/>
    </xf>
    <xf numFmtId="3" fontId="7" fillId="0" borderId="82" xfId="0" applyNumberFormat="1" applyFont="1" applyBorder="1"/>
    <xf numFmtId="3" fontId="7" fillId="0" borderId="10" xfId="0" applyNumberFormat="1" applyFont="1" applyBorder="1"/>
    <xf numFmtId="3" fontId="7" fillId="0" borderId="15" xfId="0" applyNumberFormat="1" applyFont="1" applyBorder="1"/>
    <xf numFmtId="3" fontId="6" fillId="0" borderId="82" xfId="0" applyNumberFormat="1" applyFont="1" applyBorder="1"/>
    <xf numFmtId="2" fontId="8" fillId="0" borderId="8" xfId="0" applyNumberFormat="1" applyFont="1" applyBorder="1" applyAlignment="1">
      <alignment horizontal="right"/>
    </xf>
    <xf numFmtId="2" fontId="8" fillId="0" borderId="20" xfId="0" applyNumberFormat="1" applyFont="1" applyBorder="1" applyAlignment="1">
      <alignment horizontal="right"/>
    </xf>
    <xf numFmtId="3" fontId="7" fillId="0" borderId="8" xfId="0" applyNumberFormat="1" applyFont="1" applyBorder="1" applyAlignment="1">
      <alignment horizontal="center"/>
    </xf>
    <xf numFmtId="3" fontId="7" fillId="0" borderId="37" xfId="0" applyNumberFormat="1" applyFont="1" applyBorder="1"/>
    <xf numFmtId="4" fontId="7" fillId="0" borderId="82" xfId="0" applyNumberFormat="1" applyFont="1" applyBorder="1"/>
    <xf numFmtId="0" fontId="7" fillId="0" borderId="222" xfId="337" applyBorder="1" applyAlignment="1">
      <alignment horizontal="center"/>
    </xf>
    <xf numFmtId="4" fontId="7" fillId="0" borderId="181" xfId="0" applyNumberFormat="1" applyFont="1" applyBorder="1"/>
    <xf numFmtId="0" fontId="7" fillId="0" borderId="226" xfId="337" applyBorder="1" applyAlignment="1">
      <alignment horizontal="left"/>
    </xf>
    <xf numFmtId="0" fontId="7" fillId="0" borderId="205" xfId="337" applyBorder="1" applyAlignment="1">
      <alignment horizontal="center"/>
    </xf>
    <xf numFmtId="1" fontId="7" fillId="0" borderId="223" xfId="0" applyNumberFormat="1" applyFont="1" applyBorder="1" applyAlignment="1">
      <alignment horizontal="center"/>
    </xf>
    <xf numFmtId="3" fontId="8" fillId="0" borderId="49" xfId="0" applyNumberFormat="1" applyFont="1" applyBorder="1" applyAlignment="1">
      <alignment horizontal="center"/>
    </xf>
    <xf numFmtId="0" fontId="7" fillId="0" borderId="215" xfId="337" applyBorder="1" applyAlignment="1">
      <alignment horizontal="left"/>
    </xf>
    <xf numFmtId="3" fontId="9" fillId="0" borderId="86" xfId="0" applyNumberFormat="1" applyFont="1" applyBorder="1"/>
    <xf numFmtId="3" fontId="9" fillId="0" borderId="84" xfId="0" applyNumberFormat="1" applyFont="1" applyBorder="1"/>
    <xf numFmtId="3" fontId="9" fillId="0" borderId="85" xfId="0" applyNumberFormat="1" applyFont="1" applyBorder="1"/>
    <xf numFmtId="2" fontId="9" fillId="0" borderId="69" xfId="337" applyNumberFormat="1" applyFont="1" applyBorder="1"/>
    <xf numFmtId="2" fontId="9" fillId="0" borderId="75" xfId="337" applyNumberFormat="1" applyFont="1" applyBorder="1"/>
    <xf numFmtId="2" fontId="9" fillId="0" borderId="49" xfId="337" applyNumberFormat="1" applyFont="1" applyBorder="1"/>
    <xf numFmtId="2" fontId="9" fillId="0" borderId="50" xfId="337" applyNumberFormat="1" applyFont="1" applyBorder="1"/>
    <xf numFmtId="3" fontId="9" fillId="0" borderId="100" xfId="0" applyNumberFormat="1" applyFont="1" applyBorder="1"/>
    <xf numFmtId="1" fontId="6" fillId="0" borderId="81" xfId="0" applyNumberFormat="1" applyFont="1" applyBorder="1" applyAlignment="1">
      <alignment horizontal="center"/>
    </xf>
    <xf numFmtId="0" fontId="30" fillId="0" borderId="0" xfId="0" applyFont="1"/>
    <xf numFmtId="0" fontId="7" fillId="0" borderId="233" xfId="0" applyFont="1" applyBorder="1" applyAlignment="1">
      <alignment horizontal="center"/>
    </xf>
    <xf numFmtId="1" fontId="6" fillId="0" borderId="185" xfId="0" applyNumberFormat="1" applyFont="1" applyBorder="1" applyAlignment="1">
      <alignment horizontal="center"/>
    </xf>
    <xf numFmtId="1" fontId="6" fillId="0" borderId="181" xfId="0" applyNumberFormat="1" applyFont="1" applyBorder="1" applyAlignment="1">
      <alignment horizontal="center"/>
    </xf>
    <xf numFmtId="0" fontId="7" fillId="0" borderId="4" xfId="0" applyFont="1" applyBorder="1"/>
    <xf numFmtId="1" fontId="6" fillId="0" borderId="63" xfId="0" applyNumberFormat="1" applyFont="1" applyBorder="1" applyAlignment="1">
      <alignment horizontal="center"/>
    </xf>
    <xf numFmtId="0" fontId="8" fillId="0" borderId="83" xfId="0" applyFont="1" applyBorder="1" applyAlignment="1">
      <alignment horizontal="center"/>
    </xf>
    <xf numFmtId="4" fontId="9" fillId="0" borderId="67" xfId="0" applyNumberFormat="1" applyFont="1" applyBorder="1" applyAlignment="1">
      <alignment horizontal="right"/>
    </xf>
    <xf numFmtId="4" fontId="9" fillId="0" borderId="50" xfId="0" applyNumberFormat="1" applyFont="1" applyBorder="1" applyAlignment="1">
      <alignment horizontal="right"/>
    </xf>
    <xf numFmtId="4" fontId="9" fillId="0" borderId="69" xfId="0" applyNumberFormat="1" applyFont="1" applyBorder="1" applyAlignment="1">
      <alignment horizontal="right"/>
    </xf>
    <xf numFmtId="4" fontId="9" fillId="0" borderId="64" xfId="0" applyNumberFormat="1" applyFont="1" applyBorder="1" applyAlignment="1">
      <alignment horizontal="right"/>
    </xf>
    <xf numFmtId="4" fontId="9" fillId="0" borderId="83" xfId="0" applyNumberFormat="1" applyFont="1" applyBorder="1" applyAlignment="1">
      <alignment horizontal="right"/>
    </xf>
    <xf numFmtId="4" fontId="9" fillId="0" borderId="80" xfId="0" applyNumberFormat="1" applyFont="1" applyBorder="1" applyAlignment="1">
      <alignment horizontal="right"/>
    </xf>
    <xf numFmtId="4" fontId="9" fillId="0" borderId="131" xfId="0" applyNumberFormat="1" applyFont="1" applyBorder="1" applyAlignment="1">
      <alignment horizontal="right"/>
    </xf>
    <xf numFmtId="4" fontId="9" fillId="0" borderId="135" xfId="0" applyNumberFormat="1" applyFont="1" applyBorder="1" applyAlignment="1">
      <alignment horizontal="right"/>
    </xf>
    <xf numFmtId="4" fontId="9" fillId="0" borderId="72" xfId="0" applyNumberFormat="1" applyFont="1" applyBorder="1" applyAlignment="1">
      <alignment horizontal="right"/>
    </xf>
    <xf numFmtId="4" fontId="9" fillId="0" borderId="142" xfId="0" applyNumberFormat="1" applyFont="1" applyBorder="1" applyAlignment="1">
      <alignment horizontal="right"/>
    </xf>
    <xf numFmtId="3" fontId="31" fillId="0" borderId="0" xfId="0" applyNumberFormat="1" applyFont="1"/>
    <xf numFmtId="166" fontId="6" fillId="0" borderId="0" xfId="0" applyNumberFormat="1" applyFont="1"/>
    <xf numFmtId="0" fontId="7" fillId="0" borderId="1" xfId="0" applyFont="1" applyBorder="1" applyAlignment="1">
      <alignment horizontal="left"/>
    </xf>
    <xf numFmtId="4" fontId="6" fillId="0" borderId="8" xfId="0" applyNumberFormat="1" applyFont="1" applyBorder="1"/>
    <xf numFmtId="4" fontId="6" fillId="0" borderId="15" xfId="0" applyNumberFormat="1" applyFont="1" applyBorder="1"/>
    <xf numFmtId="4" fontId="6" fillId="0" borderId="37" xfId="0" applyNumberFormat="1" applyFont="1" applyBorder="1"/>
    <xf numFmtId="3" fontId="6" fillId="0" borderId="8" xfId="0" applyNumberFormat="1" applyFont="1" applyBorder="1" applyAlignment="1">
      <alignment horizontal="center" vertical="center" wrapText="1"/>
    </xf>
    <xf numFmtId="4" fontId="6" fillId="0" borderId="82" xfId="0" applyNumberFormat="1" applyFont="1" applyBorder="1"/>
    <xf numFmtId="2" fontId="8" fillId="0" borderId="240" xfId="0" applyNumberFormat="1" applyFont="1" applyBorder="1"/>
    <xf numFmtId="3" fontId="6" fillId="0" borderId="240" xfId="0" applyNumberFormat="1" applyFont="1" applyBorder="1" applyAlignment="1">
      <alignment horizontal="center" vertical="center" wrapText="1"/>
    </xf>
    <xf numFmtId="49" fontId="7" fillId="0" borderId="10" xfId="0" applyNumberFormat="1" applyFont="1" applyBorder="1" applyAlignment="1">
      <alignment wrapText="1"/>
    </xf>
    <xf numFmtId="49" fontId="7" fillId="0" borderId="15" xfId="0" applyNumberFormat="1" applyFont="1" applyBorder="1" applyAlignment="1">
      <alignment horizontal="center" wrapText="1"/>
    </xf>
    <xf numFmtId="3" fontId="6" fillId="0" borderId="46" xfId="0" applyNumberFormat="1" applyFont="1" applyBorder="1" applyAlignment="1">
      <alignment horizontal="center"/>
    </xf>
    <xf numFmtId="1" fontId="6" fillId="0" borderId="223" xfId="0" applyNumberFormat="1" applyFont="1" applyBorder="1" applyAlignment="1">
      <alignment horizontal="center"/>
    </xf>
    <xf numFmtId="1" fontId="9" fillId="0" borderId="213" xfId="0" applyNumberFormat="1" applyFont="1" applyBorder="1" applyAlignment="1">
      <alignment horizontal="center" vertical="center"/>
    </xf>
    <xf numFmtId="1" fontId="9" fillId="0" borderId="195" xfId="0" applyNumberFormat="1" applyFont="1" applyBorder="1" applyAlignment="1">
      <alignment horizontal="center" vertical="center"/>
    </xf>
    <xf numFmtId="1" fontId="9" fillId="0" borderId="214" xfId="0" applyNumberFormat="1" applyFont="1" applyBorder="1" applyAlignment="1">
      <alignment horizontal="center" vertical="center"/>
    </xf>
    <xf numFmtId="1" fontId="9" fillId="0" borderId="212" xfId="0" applyNumberFormat="1" applyFont="1" applyBorder="1" applyAlignment="1">
      <alignment horizontal="center" vertical="center"/>
    </xf>
    <xf numFmtId="1" fontId="9" fillId="0" borderId="49" xfId="0" applyNumberFormat="1" applyFont="1" applyBorder="1" applyAlignment="1">
      <alignment horizontal="center" vertical="center"/>
    </xf>
    <xf numFmtId="0" fontId="7" fillId="0" borderId="1" xfId="0" applyFont="1" applyBorder="1" applyAlignment="1">
      <alignment wrapText="1"/>
    </xf>
    <xf numFmtId="0" fontId="7" fillId="0" borderId="2" xfId="0" applyFont="1" applyBorder="1" applyAlignment="1">
      <alignment wrapText="1"/>
    </xf>
    <xf numFmtId="0" fontId="7" fillId="0" borderId="10" xfId="0" applyFont="1" applyBorder="1" applyAlignment="1">
      <alignment wrapText="1"/>
    </xf>
    <xf numFmtId="0" fontId="7" fillId="0" borderId="15" xfId="0" applyFont="1" applyBorder="1" applyAlignment="1">
      <alignment wrapText="1"/>
    </xf>
    <xf numFmtId="3" fontId="7" fillId="0" borderId="8" xfId="0" applyNumberFormat="1" applyFont="1" applyBorder="1"/>
    <xf numFmtId="0" fontId="7" fillId="0" borderId="20" xfId="0" applyFont="1" applyBorder="1" applyAlignment="1">
      <alignment wrapText="1"/>
    </xf>
    <xf numFmtId="0" fontId="7" fillId="0" borderId="215" xfId="0" applyFont="1" applyBorder="1" applyAlignment="1">
      <alignment wrapText="1"/>
    </xf>
    <xf numFmtId="0" fontId="7" fillId="0" borderId="217" xfId="0" applyFont="1" applyBorder="1" applyAlignment="1">
      <alignment wrapText="1"/>
    </xf>
    <xf numFmtId="0" fontId="7" fillId="0" borderId="222" xfId="0" applyFont="1" applyBorder="1" applyAlignment="1">
      <alignment wrapText="1"/>
    </xf>
    <xf numFmtId="0" fontId="7" fillId="0" borderId="218" xfId="0" applyFont="1" applyBorder="1" applyAlignment="1">
      <alignment wrapText="1"/>
    </xf>
    <xf numFmtId="0" fontId="7" fillId="0" borderId="4" xfId="0" applyFont="1" applyBorder="1" applyAlignment="1">
      <alignment horizontal="right" wrapText="1"/>
    </xf>
    <xf numFmtId="0" fontId="7" fillId="0" borderId="201" xfId="0" applyFont="1" applyBorder="1" applyAlignment="1">
      <alignment wrapText="1"/>
    </xf>
    <xf numFmtId="0" fontId="7" fillId="0" borderId="224" xfId="0" applyFont="1" applyBorder="1" applyAlignment="1">
      <alignment wrapText="1"/>
    </xf>
    <xf numFmtId="0" fontId="7" fillId="0" borderId="205" xfId="0" applyFont="1" applyBorder="1" applyAlignment="1">
      <alignment wrapText="1"/>
    </xf>
    <xf numFmtId="164" fontId="7" fillId="0" borderId="231" xfId="0" applyNumberFormat="1" applyFont="1" applyBorder="1"/>
    <xf numFmtId="3" fontId="7" fillId="0" borderId="240" xfId="0" applyNumberFormat="1" applyFont="1" applyBorder="1"/>
    <xf numFmtId="0" fontId="7" fillId="0" borderId="220" xfId="0" applyFont="1" applyBorder="1" applyAlignment="1">
      <alignment wrapText="1"/>
    </xf>
    <xf numFmtId="164" fontId="8" fillId="0" borderId="26" xfId="0" applyNumberFormat="1" applyFont="1" applyBorder="1"/>
    <xf numFmtId="164" fontId="8" fillId="0" borderId="23" xfId="0" applyNumberFormat="1" applyFont="1" applyBorder="1"/>
    <xf numFmtId="3" fontId="9" fillId="0" borderId="6" xfId="0" applyNumberFormat="1" applyFont="1" applyBorder="1"/>
    <xf numFmtId="3" fontId="9" fillId="0" borderId="22" xfId="0" applyNumberFormat="1" applyFont="1" applyBorder="1"/>
    <xf numFmtId="3" fontId="9" fillId="0" borderId="9" xfId="0" applyNumberFormat="1" applyFont="1" applyBorder="1"/>
    <xf numFmtId="3" fontId="9" fillId="0" borderId="140" xfId="0" applyNumberFormat="1" applyFont="1" applyBorder="1"/>
    <xf numFmtId="0" fontId="7" fillId="0" borderId="38" xfId="0" applyFont="1" applyBorder="1" applyAlignment="1">
      <alignment wrapText="1"/>
    </xf>
    <xf numFmtId="0" fontId="7" fillId="0" borderId="51" xfId="0" applyFont="1" applyBorder="1" applyAlignment="1">
      <alignment horizontal="right"/>
    </xf>
    <xf numFmtId="0" fontId="7" fillId="0" borderId="53" xfId="0" applyFont="1" applyBorder="1" applyAlignment="1">
      <alignment horizontal="left" wrapText="1"/>
    </xf>
    <xf numFmtId="0" fontId="7" fillId="0" borderId="62" xfId="0" applyFont="1" applyBorder="1" applyAlignment="1">
      <alignment wrapText="1"/>
    </xf>
    <xf numFmtId="3" fontId="7" fillId="0" borderId="76" xfId="27807" applyNumberFormat="1" applyFont="1" applyBorder="1" applyAlignment="1"/>
    <xf numFmtId="3" fontId="7" fillId="0" borderId="52" xfId="27807" applyNumberFormat="1" applyFont="1" applyBorder="1" applyAlignment="1"/>
    <xf numFmtId="3" fontId="7" fillId="0" borderId="61" xfId="27807" applyNumberFormat="1" applyFont="1" applyBorder="1" applyAlignment="1"/>
    <xf numFmtId="0" fontId="7" fillId="0" borderId="215" xfId="0" applyFont="1" applyBorder="1" applyAlignment="1">
      <alignment horizontal="right"/>
    </xf>
    <xf numFmtId="0" fontId="6" fillId="0" borderId="217" xfId="0" applyFont="1" applyBorder="1"/>
    <xf numFmtId="0" fontId="7" fillId="0" borderId="216" xfId="0" applyFont="1" applyBorder="1" applyAlignment="1">
      <alignment horizontal="left" wrapText="1"/>
    </xf>
    <xf numFmtId="164" fontId="6" fillId="0" borderId="217" xfId="0" applyNumberFormat="1" applyFont="1" applyBorder="1"/>
    <xf numFmtId="164" fontId="6" fillId="0" borderId="221" xfId="0" applyNumberFormat="1" applyFont="1" applyBorder="1"/>
    <xf numFmtId="3" fontId="7" fillId="0" borderId="222" xfId="27807" applyNumberFormat="1" applyFont="1" applyBorder="1" applyAlignment="1"/>
    <xf numFmtId="3" fontId="7" fillId="0" borderId="217" xfId="27807" applyNumberFormat="1" applyFont="1" applyBorder="1" applyAlignment="1"/>
    <xf numFmtId="3" fontId="7" fillId="0" borderId="8" xfId="27807" applyNumberFormat="1" applyFont="1" applyBorder="1" applyAlignment="1"/>
    <xf numFmtId="0" fontId="7" fillId="0" borderId="219" xfId="0" applyFont="1" applyBorder="1" applyAlignment="1">
      <alignment horizontal="right"/>
    </xf>
    <xf numFmtId="0" fontId="6" fillId="0" borderId="232" xfId="0" applyFont="1" applyBorder="1"/>
    <xf numFmtId="0" fontId="7" fillId="0" borderId="231" xfId="0" applyFont="1" applyBorder="1" applyAlignment="1">
      <alignment horizontal="left" wrapText="1"/>
    </xf>
    <xf numFmtId="0" fontId="7" fillId="0" borderId="227" xfId="0" applyFont="1" applyBorder="1" applyAlignment="1">
      <alignment wrapText="1"/>
    </xf>
    <xf numFmtId="3" fontId="7" fillId="0" borderId="233" xfId="27807" applyNumberFormat="1" applyFont="1" applyBorder="1" applyAlignment="1"/>
    <xf numFmtId="3" fontId="7" fillId="0" borderId="232" xfId="27807" applyNumberFormat="1" applyFont="1" applyBorder="1" applyAlignment="1"/>
    <xf numFmtId="3" fontId="7" fillId="0" borderId="240" xfId="27807" applyNumberFormat="1" applyFont="1" applyBorder="1" applyAlignment="1"/>
    <xf numFmtId="0" fontId="7" fillId="0" borderId="185" xfId="0" applyFont="1" applyBorder="1" applyAlignment="1">
      <alignment wrapText="1"/>
    </xf>
    <xf numFmtId="0" fontId="7" fillId="0" borderId="4" xfId="0" applyFont="1" applyBorder="1" applyAlignment="1">
      <alignment horizontal="right"/>
    </xf>
    <xf numFmtId="0" fontId="6" fillId="0" borderId="201" xfId="0" applyFont="1" applyBorder="1" applyAlignment="1">
      <alignment horizontal="left"/>
    </xf>
    <xf numFmtId="0" fontId="7" fillId="0" borderId="202" xfId="0" applyFont="1" applyBorder="1" applyAlignment="1">
      <alignment horizontal="left" wrapText="1"/>
    </xf>
    <xf numFmtId="164" fontId="6" fillId="0" borderId="201" xfId="0" applyNumberFormat="1" applyFont="1" applyBorder="1"/>
    <xf numFmtId="164" fontId="6" fillId="0" borderId="223" xfId="0" applyNumberFormat="1" applyFont="1" applyBorder="1"/>
    <xf numFmtId="3" fontId="7" fillId="0" borderId="205" xfId="27807" applyNumberFormat="1" applyFont="1" applyBorder="1" applyAlignment="1"/>
    <xf numFmtId="3" fontId="7" fillId="0" borderId="201" xfId="27807" applyNumberFormat="1" applyFont="1" applyBorder="1" applyAlignment="1"/>
    <xf numFmtId="3" fontId="7" fillId="0" borderId="223" xfId="27807" applyNumberFormat="1" applyFont="1" applyBorder="1" applyAlignment="1"/>
    <xf numFmtId="164" fontId="8" fillId="0" borderId="65" xfId="0" applyNumberFormat="1" applyFont="1" applyBorder="1"/>
    <xf numFmtId="164" fontId="8" fillId="0" borderId="49" xfId="0" applyNumberFormat="1" applyFont="1" applyBorder="1"/>
    <xf numFmtId="3" fontId="9" fillId="0" borderId="49" xfId="0" applyNumberFormat="1" applyFont="1" applyBorder="1"/>
    <xf numFmtId="0" fontId="7" fillId="0" borderId="83" xfId="0" applyFont="1" applyBorder="1" applyAlignment="1">
      <alignment wrapText="1"/>
    </xf>
    <xf numFmtId="0" fontId="7" fillId="0" borderId="51" xfId="0" applyFont="1" applyBorder="1" applyAlignment="1">
      <alignment wrapText="1"/>
    </xf>
    <xf numFmtId="0" fontId="7" fillId="0" borderId="52" xfId="0" applyFont="1" applyBorder="1" applyAlignment="1">
      <alignment wrapText="1"/>
    </xf>
    <xf numFmtId="0" fontId="7" fillId="0" borderId="60" xfId="0" applyFont="1" applyBorder="1" applyAlignment="1">
      <alignment wrapText="1"/>
    </xf>
    <xf numFmtId="0" fontId="7" fillId="0" borderId="53" xfId="0" applyFont="1" applyBorder="1" applyAlignment="1">
      <alignment wrapText="1"/>
    </xf>
    <xf numFmtId="3" fontId="7" fillId="0" borderId="61" xfId="0" applyNumberFormat="1" applyFont="1" applyBorder="1"/>
    <xf numFmtId="0" fontId="7" fillId="0" borderId="4" xfId="0" applyFont="1" applyBorder="1" applyAlignment="1">
      <alignment wrapText="1"/>
    </xf>
    <xf numFmtId="0" fontId="7" fillId="0" borderId="202" xfId="0" applyFont="1" applyBorder="1" applyAlignment="1">
      <alignment wrapText="1"/>
    </xf>
    <xf numFmtId="3" fontId="7" fillId="0" borderId="223" xfId="0" applyNumberFormat="1" applyFont="1" applyBorder="1"/>
    <xf numFmtId="164" fontId="9" fillId="0" borderId="66" xfId="0" applyNumberFormat="1" applyFont="1" applyBorder="1"/>
    <xf numFmtId="3" fontId="9" fillId="0" borderId="130" xfId="0" applyNumberFormat="1" applyFont="1" applyBorder="1"/>
    <xf numFmtId="0" fontId="7" fillId="0" borderId="50" xfId="0" applyFont="1" applyBorder="1" applyAlignment="1">
      <alignment wrapText="1"/>
    </xf>
    <xf numFmtId="0" fontId="7" fillId="0" borderId="52" xfId="0" applyFont="1" applyBorder="1" applyAlignment="1">
      <alignment horizontal="left" wrapText="1"/>
    </xf>
    <xf numFmtId="0" fontId="7" fillId="0" borderId="76" xfId="0" applyFont="1" applyBorder="1" applyAlignment="1">
      <alignment horizontal="left" wrapText="1"/>
    </xf>
    <xf numFmtId="164" fontId="6" fillId="0" borderId="61" xfId="0" applyNumberFormat="1" applyFont="1" applyBorder="1"/>
    <xf numFmtId="0" fontId="7" fillId="0" borderId="201" xfId="0" applyFont="1" applyBorder="1" applyAlignment="1">
      <alignment horizontal="left" wrapText="1"/>
    </xf>
    <xf numFmtId="0" fontId="7" fillId="0" borderId="205" xfId="0" applyFont="1" applyBorder="1" applyAlignment="1">
      <alignment horizontal="left" wrapText="1"/>
    </xf>
    <xf numFmtId="164" fontId="8" fillId="0" borderId="67" xfId="0" applyNumberFormat="1" applyFont="1" applyBorder="1"/>
    <xf numFmtId="0" fontId="7" fillId="0" borderId="1" xfId="0" applyFont="1" applyBorder="1" applyAlignment="1">
      <alignment horizontal="right" wrapText="1"/>
    </xf>
    <xf numFmtId="0" fontId="7" fillId="0" borderId="219" xfId="0" applyFont="1" applyBorder="1" applyAlignment="1">
      <alignment wrapText="1"/>
    </xf>
    <xf numFmtId="0" fontId="7" fillId="0" borderId="232" xfId="0" applyFont="1" applyBorder="1" applyAlignment="1">
      <alignment wrapText="1"/>
    </xf>
    <xf numFmtId="0" fontId="7" fillId="0" borderId="233" xfId="0" applyFont="1" applyBorder="1" applyAlignment="1">
      <alignment wrapText="1"/>
    </xf>
    <xf numFmtId="164" fontId="7" fillId="0" borderId="219" xfId="0" applyNumberFormat="1" applyFont="1" applyBorder="1"/>
    <xf numFmtId="164" fontId="7" fillId="0" borderId="232" xfId="0" applyNumberFormat="1" applyFont="1" applyBorder="1"/>
    <xf numFmtId="164" fontId="7" fillId="0" borderId="240" xfId="0" applyNumberFormat="1" applyFont="1" applyBorder="1"/>
    <xf numFmtId="3" fontId="9" fillId="0" borderId="129" xfId="0" applyNumberFormat="1" applyFont="1" applyBorder="1"/>
    <xf numFmtId="0" fontId="7" fillId="0" borderId="79" xfId="0" applyFont="1" applyBorder="1" applyAlignment="1">
      <alignment wrapText="1"/>
    </xf>
    <xf numFmtId="0" fontId="7" fillId="0" borderId="51" xfId="0" applyFont="1" applyBorder="1" applyAlignment="1">
      <alignment horizontal="right" wrapText="1"/>
    </xf>
    <xf numFmtId="0" fontId="7" fillId="0" borderId="81" xfId="0" applyFont="1" applyBorder="1" applyAlignment="1">
      <alignment horizontal="left"/>
    </xf>
    <xf numFmtId="0" fontId="7" fillId="0" borderId="215" xfId="0" applyFont="1" applyBorder="1" applyAlignment="1">
      <alignment horizontal="right" wrapText="1"/>
    </xf>
    <xf numFmtId="0" fontId="7" fillId="0" borderId="222" xfId="0" applyFont="1" applyBorder="1" applyAlignment="1">
      <alignment horizontal="left" wrapText="1"/>
    </xf>
    <xf numFmtId="0" fontId="7" fillId="0" borderId="181" xfId="0" applyFont="1" applyBorder="1" applyAlignment="1">
      <alignment horizontal="left"/>
    </xf>
    <xf numFmtId="164" fontId="7" fillId="0" borderId="15" xfId="0" applyNumberFormat="1" applyFont="1" applyBorder="1"/>
    <xf numFmtId="3" fontId="7" fillId="0" borderId="20" xfId="0" applyNumberFormat="1" applyFont="1" applyBorder="1"/>
    <xf numFmtId="164" fontId="7" fillId="0" borderId="222" xfId="0" applyNumberFormat="1" applyFont="1" applyBorder="1"/>
    <xf numFmtId="164" fontId="7" fillId="0" borderId="205" xfId="0" applyNumberFormat="1" applyFont="1" applyBorder="1"/>
    <xf numFmtId="3" fontId="7" fillId="0" borderId="4" xfId="0" applyNumberFormat="1" applyFont="1" applyBorder="1"/>
    <xf numFmtId="3" fontId="7" fillId="0" borderId="220" xfId="0" applyNumberFormat="1" applyFont="1" applyBorder="1"/>
    <xf numFmtId="164" fontId="8" fillId="0" borderId="68" xfId="0" applyNumberFormat="1" applyFont="1" applyBorder="1"/>
    <xf numFmtId="3" fontId="9" fillId="0" borderId="64" xfId="0" applyNumberFormat="1" applyFont="1" applyBorder="1"/>
    <xf numFmtId="3" fontId="9" fillId="0" borderId="50" xfId="0" applyNumberFormat="1" applyFont="1" applyBorder="1"/>
    <xf numFmtId="0" fontId="7" fillId="0" borderId="76" xfId="0" applyFont="1" applyBorder="1" applyAlignment="1">
      <alignment wrapText="1"/>
    </xf>
    <xf numFmtId="164" fontId="8" fillId="0" borderId="0" xfId="0" applyNumberFormat="1" applyFont="1"/>
    <xf numFmtId="164" fontId="8" fillId="0" borderId="57" xfId="0" applyNumberFormat="1" applyFont="1" applyBorder="1"/>
    <xf numFmtId="3" fontId="9" fillId="0" borderId="77" xfId="0" applyNumberFormat="1" applyFont="1" applyBorder="1"/>
    <xf numFmtId="164" fontId="7" fillId="0" borderId="76" xfId="0" applyNumberFormat="1" applyFont="1" applyBorder="1"/>
    <xf numFmtId="3" fontId="7" fillId="0" borderId="62" xfId="27807" applyNumberFormat="1" applyFont="1" applyBorder="1" applyAlignment="1"/>
    <xf numFmtId="0" fontId="7" fillId="0" borderId="35" xfId="0" applyFont="1" applyBorder="1" applyAlignment="1">
      <alignment horizontal="right"/>
    </xf>
    <xf numFmtId="0" fontId="9" fillId="0" borderId="16" xfId="0" applyFont="1" applyBorder="1" applyAlignment="1">
      <alignment horizontal="center" wrapText="1"/>
    </xf>
    <xf numFmtId="0" fontId="7" fillId="0" borderId="98" xfId="0" applyFont="1" applyBorder="1" applyAlignment="1">
      <alignment horizontal="left"/>
    </xf>
    <xf numFmtId="164" fontId="6" fillId="0" borderId="31" xfId="0" applyNumberFormat="1" applyFont="1" applyBorder="1"/>
    <xf numFmtId="164" fontId="6" fillId="0" borderId="16" xfId="0" applyNumberFormat="1" applyFont="1" applyBorder="1"/>
    <xf numFmtId="3" fontId="7" fillId="0" borderId="16" xfId="27807" applyNumberFormat="1" applyFont="1" applyBorder="1" applyAlignment="1"/>
    <xf numFmtId="3" fontId="7" fillId="0" borderId="31" xfId="27807" applyNumberFormat="1" applyFont="1" applyBorder="1" applyAlignment="1"/>
    <xf numFmtId="3" fontId="7" fillId="0" borderId="42" xfId="27807" applyNumberFormat="1" applyFont="1" applyBorder="1" applyAlignment="1"/>
    <xf numFmtId="3" fontId="9" fillId="0" borderId="21" xfId="0" applyNumberFormat="1" applyFont="1" applyBorder="1"/>
    <xf numFmtId="3" fontId="9" fillId="0" borderId="18" xfId="0" applyNumberFormat="1" applyFont="1" applyBorder="1"/>
    <xf numFmtId="0" fontId="7" fillId="0" borderId="140" xfId="0" applyFont="1" applyBorder="1" applyAlignment="1">
      <alignment wrapText="1"/>
    </xf>
    <xf numFmtId="0" fontId="7" fillId="0" borderId="52" xfId="0" applyFont="1" applyBorder="1" applyAlignment="1">
      <alignment horizontal="left"/>
    </xf>
    <xf numFmtId="164" fontId="6" fillId="0" borderId="76" xfId="0" applyNumberFormat="1" applyFont="1" applyBorder="1"/>
    <xf numFmtId="0" fontId="7" fillId="0" borderId="217" xfId="0" applyFont="1" applyBorder="1" applyAlignment="1">
      <alignment horizontal="left"/>
    </xf>
    <xf numFmtId="0" fontId="7" fillId="0" borderId="222" xfId="0" applyFont="1" applyBorder="1" applyAlignment="1">
      <alignment horizontal="left"/>
    </xf>
    <xf numFmtId="164" fontId="6" fillId="0" borderId="222" xfId="0" applyNumberFormat="1" applyFont="1" applyBorder="1"/>
    <xf numFmtId="3" fontId="7" fillId="0" borderId="218" xfId="27807" applyNumberFormat="1" applyFont="1" applyBorder="1" applyAlignment="1"/>
    <xf numFmtId="0" fontId="6" fillId="0" borderId="201" xfId="0" applyFont="1" applyBorder="1"/>
    <xf numFmtId="0" fontId="7" fillId="0" borderId="63" xfId="0" applyFont="1" applyBorder="1" applyAlignment="1">
      <alignment horizontal="left"/>
    </xf>
    <xf numFmtId="164" fontId="6" fillId="0" borderId="205" xfId="0" applyNumberFormat="1" applyFont="1" applyBorder="1"/>
    <xf numFmtId="3" fontId="7" fillId="0" borderId="220" xfId="27807" applyNumberFormat="1" applyFont="1" applyBorder="1" applyAlignment="1"/>
    <xf numFmtId="164" fontId="7" fillId="0" borderId="10" xfId="0" applyNumberFormat="1" applyFont="1" applyBorder="1"/>
    <xf numFmtId="164" fontId="7" fillId="0" borderId="226" xfId="0" applyNumberFormat="1" applyFont="1" applyBorder="1"/>
    <xf numFmtId="3" fontId="7" fillId="0" borderId="218" xfId="0" applyNumberFormat="1" applyFont="1" applyBorder="1"/>
    <xf numFmtId="0" fontId="9" fillId="0" borderId="61" xfId="0" applyFont="1" applyBorder="1" applyAlignment="1">
      <alignment horizontal="center" wrapText="1"/>
    </xf>
    <xf numFmtId="3" fontId="7" fillId="0" borderId="51" xfId="0" applyNumberFormat="1" applyFont="1" applyBorder="1"/>
    <xf numFmtId="3" fontId="7" fillId="0" borderId="62" xfId="0" applyNumberFormat="1" applyFont="1" applyBorder="1"/>
    <xf numFmtId="0" fontId="7" fillId="0" borderId="232" xfId="0" applyFont="1" applyBorder="1" applyAlignment="1">
      <alignment horizontal="left"/>
    </xf>
    <xf numFmtId="0" fontId="7" fillId="0" borderId="233" xfId="0" applyFont="1" applyBorder="1" applyAlignment="1">
      <alignment horizontal="left" wrapText="1"/>
    </xf>
    <xf numFmtId="0" fontId="7" fillId="0" borderId="185" xfId="0" applyFont="1" applyBorder="1" applyAlignment="1">
      <alignment horizontal="left"/>
    </xf>
    <xf numFmtId="3" fontId="7" fillId="0" borderId="227" xfId="27807" applyNumberFormat="1" applyFont="1" applyBorder="1" applyAlignment="1"/>
    <xf numFmtId="0" fontId="7" fillId="0" borderId="201" xfId="0" applyFont="1" applyBorder="1" applyAlignment="1">
      <alignment horizontal="left"/>
    </xf>
    <xf numFmtId="0" fontId="7" fillId="0" borderId="31" xfId="0" applyFont="1" applyBorder="1" applyAlignment="1">
      <alignment horizontal="left"/>
    </xf>
    <xf numFmtId="0" fontId="7" fillId="0" borderId="16" xfId="0" applyFont="1" applyBorder="1" applyAlignment="1">
      <alignment horizontal="left" wrapText="1"/>
    </xf>
    <xf numFmtId="164" fontId="9" fillId="0" borderId="56" xfId="0" applyNumberFormat="1" applyFont="1" applyBorder="1"/>
    <xf numFmtId="164" fontId="9" fillId="0" borderId="32" xfId="0" applyNumberFormat="1" applyFont="1" applyBorder="1"/>
    <xf numFmtId="164" fontId="9" fillId="0" borderId="55" xfId="0" applyNumberFormat="1" applyFont="1" applyBorder="1"/>
    <xf numFmtId="3" fontId="9" fillId="0" borderId="58" xfId="0" applyNumberFormat="1" applyFont="1" applyBorder="1"/>
    <xf numFmtId="3" fontId="9" fillId="0" borderId="32" xfId="0" applyNumberFormat="1" applyFont="1" applyBorder="1"/>
    <xf numFmtId="3" fontId="9" fillId="0" borderId="55" xfId="0" applyNumberFormat="1" applyFont="1" applyBorder="1"/>
    <xf numFmtId="3" fontId="9" fillId="0" borderId="47" xfId="0" applyNumberFormat="1" applyFont="1" applyBorder="1"/>
    <xf numFmtId="3" fontId="9" fillId="0" borderId="142" xfId="0" applyNumberFormat="1" applyFont="1" applyBorder="1"/>
    <xf numFmtId="0" fontId="7" fillId="0" borderId="131" xfId="0" applyFont="1" applyBorder="1" applyAlignment="1">
      <alignment wrapText="1"/>
    </xf>
    <xf numFmtId="164" fontId="9" fillId="0" borderId="80" xfId="0" applyNumberFormat="1" applyFont="1" applyBorder="1"/>
    <xf numFmtId="164" fontId="9" fillId="0" borderId="87" xfId="0" applyNumberFormat="1" applyFont="1" applyBorder="1"/>
    <xf numFmtId="3" fontId="9" fillId="0" borderId="72" xfId="0" applyNumberFormat="1" applyFont="1" applyBorder="1"/>
    <xf numFmtId="3" fontId="9" fillId="0" borderId="73" xfId="0" applyNumberFormat="1" applyFont="1" applyBorder="1"/>
    <xf numFmtId="3" fontId="9" fillId="0" borderId="131" xfId="0" applyNumberFormat="1" applyFont="1" applyBorder="1"/>
    <xf numFmtId="164" fontId="7" fillId="0" borderId="0" xfId="0" applyNumberFormat="1" applyFont="1"/>
    <xf numFmtId="0" fontId="7" fillId="0" borderId="1" xfId="0" applyFont="1" applyBorder="1" applyAlignment="1">
      <alignment horizontal="right"/>
    </xf>
    <xf numFmtId="0" fontId="7" fillId="0" borderId="2" xfId="0" applyFont="1" applyBorder="1" applyAlignment="1">
      <alignment horizontal="left"/>
    </xf>
    <xf numFmtId="0" fontId="7" fillId="0" borderId="3" xfId="0" applyFont="1" applyBorder="1" applyAlignment="1">
      <alignment horizontal="left" wrapText="1"/>
    </xf>
    <xf numFmtId="0" fontId="7" fillId="0" borderId="82" xfId="0" applyFont="1" applyBorder="1" applyAlignment="1">
      <alignment horizontal="left"/>
    </xf>
    <xf numFmtId="164" fontId="6" fillId="0" borderId="2" xfId="0" applyNumberFormat="1" applyFont="1" applyBorder="1"/>
    <xf numFmtId="3" fontId="7" fillId="0" borderId="15" xfId="27807" applyNumberFormat="1" applyFont="1" applyBorder="1" applyAlignment="1"/>
    <xf numFmtId="3" fontId="7" fillId="0" borderId="2" xfId="27807" applyNumberFormat="1" applyFont="1" applyBorder="1" applyAlignment="1"/>
    <xf numFmtId="0" fontId="7" fillId="0" borderId="216" xfId="0" applyFont="1" applyBorder="1" applyAlignment="1">
      <alignment horizontal="left"/>
    </xf>
    <xf numFmtId="3" fontId="7" fillId="0" borderId="221" xfId="0" applyNumberFormat="1" applyFont="1" applyBorder="1"/>
    <xf numFmtId="0" fontId="7" fillId="0" borderId="202" xfId="0" applyFont="1" applyBorder="1" applyAlignment="1">
      <alignment horizontal="left"/>
    </xf>
    <xf numFmtId="164" fontId="9" fillId="0" borderId="17" xfId="0" applyNumberFormat="1" applyFont="1" applyBorder="1"/>
    <xf numFmtId="0" fontId="7" fillId="0" borderId="130" xfId="0" applyFont="1" applyBorder="1" applyAlignment="1">
      <alignment wrapText="1"/>
    </xf>
    <xf numFmtId="0" fontId="7" fillId="0" borderId="112" xfId="0" applyFont="1" applyBorder="1" applyAlignment="1">
      <alignment horizontal="left"/>
    </xf>
    <xf numFmtId="0" fontId="7" fillId="0" borderId="104" xfId="0" applyFont="1" applyBorder="1" applyAlignment="1">
      <alignment horizontal="left" wrapText="1"/>
    </xf>
    <xf numFmtId="0" fontId="7" fillId="0" borderId="97" xfId="0" applyFont="1" applyBorder="1" applyAlignment="1">
      <alignment horizontal="left"/>
    </xf>
    <xf numFmtId="164" fontId="7" fillId="0" borderId="105" xfId="0" applyNumberFormat="1" applyFont="1" applyBorder="1"/>
    <xf numFmtId="164" fontId="7" fillId="0" borderId="113" xfId="0" applyNumberFormat="1" applyFont="1" applyBorder="1"/>
    <xf numFmtId="164" fontId="7" fillId="0" borderId="106" xfId="0" applyNumberFormat="1" applyFont="1" applyBorder="1"/>
    <xf numFmtId="3" fontId="7" fillId="0" borderId="106" xfId="27807" applyNumberFormat="1" applyFont="1" applyBorder="1" applyAlignment="1">
      <alignment horizontal="right"/>
    </xf>
    <xf numFmtId="3" fontId="7" fillId="0" borderId="112" xfId="27807" applyNumberFormat="1" applyFont="1" applyBorder="1" applyAlignment="1">
      <alignment horizontal="right"/>
    </xf>
    <xf numFmtId="164" fontId="9" fillId="0" borderId="85" xfId="0" applyNumberFormat="1" applyFont="1" applyBorder="1"/>
    <xf numFmtId="164" fontId="6" fillId="0" borderId="226" xfId="0" applyNumberFormat="1" applyFont="1" applyBorder="1"/>
    <xf numFmtId="0" fontId="7" fillId="0" borderId="15" xfId="0" applyFont="1" applyBorder="1" applyAlignment="1">
      <alignment horizontal="left" wrapText="1"/>
    </xf>
    <xf numFmtId="164" fontId="6" fillId="0" borderId="15" xfId="0" applyNumberFormat="1" applyFont="1" applyBorder="1"/>
    <xf numFmtId="164" fontId="6" fillId="0" borderId="224" xfId="0" applyNumberFormat="1" applyFont="1" applyBorder="1"/>
    <xf numFmtId="164" fontId="6" fillId="0" borderId="60" xfId="0" applyNumberFormat="1" applyFont="1" applyBorder="1"/>
    <xf numFmtId="164" fontId="9" fillId="0" borderId="9" xfId="0" applyNumberFormat="1" applyFont="1" applyBorder="1"/>
    <xf numFmtId="3" fontId="7" fillId="0" borderId="52" xfId="15066" applyNumberFormat="1" applyBorder="1"/>
    <xf numFmtId="3" fontId="7" fillId="0" borderId="217" xfId="15066" applyNumberFormat="1" applyBorder="1"/>
    <xf numFmtId="0" fontId="7" fillId="0" borderId="232" xfId="0" applyFont="1" applyBorder="1"/>
    <xf numFmtId="3" fontId="7" fillId="0" borderId="232" xfId="15066" applyNumberFormat="1" applyBorder="1"/>
    <xf numFmtId="3" fontId="7" fillId="0" borderId="201" xfId="15066" applyNumberFormat="1" applyBorder="1"/>
    <xf numFmtId="164" fontId="9" fillId="0" borderId="129" xfId="0" applyNumberFormat="1" applyFont="1" applyBorder="1"/>
    <xf numFmtId="164" fontId="7" fillId="0" borderId="52" xfId="0" applyNumberFormat="1" applyFont="1" applyBorder="1" applyAlignment="1">
      <alignment horizontal="right"/>
    </xf>
    <xf numFmtId="3" fontId="7" fillId="0" borderId="52" xfId="15066" applyNumberFormat="1" applyBorder="1" applyAlignment="1">
      <alignment horizontal="right"/>
    </xf>
    <xf numFmtId="164" fontId="9" fillId="0" borderId="57" xfId="0" applyNumberFormat="1" applyFont="1" applyBorder="1"/>
    <xf numFmtId="3" fontId="7" fillId="0" borderId="51" xfId="15066" applyNumberFormat="1" applyBorder="1"/>
    <xf numFmtId="164" fontId="7" fillId="0" borderId="35" xfId="0" applyNumberFormat="1" applyFont="1" applyBorder="1"/>
    <xf numFmtId="164" fontId="7" fillId="0" borderId="16" xfId="0" applyNumberFormat="1" applyFont="1" applyBorder="1"/>
    <xf numFmtId="3" fontId="7" fillId="0" borderId="35" xfId="15066" applyNumberFormat="1" applyBorder="1"/>
    <xf numFmtId="3" fontId="7" fillId="0" borderId="31" xfId="15066" applyNumberFormat="1" applyBorder="1"/>
    <xf numFmtId="164" fontId="9" fillId="0" borderId="22" xfId="0" applyNumberFormat="1" applyFont="1" applyBorder="1"/>
    <xf numFmtId="3" fontId="7" fillId="0" borderId="215" xfId="15066" applyNumberFormat="1" applyBorder="1"/>
    <xf numFmtId="3" fontId="7" fillId="0" borderId="4" xfId="15066" applyNumberFormat="1" applyBorder="1"/>
    <xf numFmtId="3" fontId="7" fillId="0" borderId="219" xfId="15066" applyNumberFormat="1" applyBorder="1"/>
    <xf numFmtId="164" fontId="9" fillId="0" borderId="64" xfId="0" applyNumberFormat="1" applyFont="1" applyBorder="1"/>
    <xf numFmtId="164" fontId="7" fillId="0" borderId="5" xfId="0" applyNumberFormat="1" applyFont="1" applyBorder="1"/>
    <xf numFmtId="3" fontId="7" fillId="0" borderId="2" xfId="15066" applyNumberFormat="1" applyBorder="1"/>
    <xf numFmtId="3" fontId="7" fillId="0" borderId="112" xfId="15066" applyNumberFormat="1" applyBorder="1" applyAlignment="1">
      <alignment horizontal="right"/>
    </xf>
    <xf numFmtId="0" fontId="7" fillId="0" borderId="203" xfId="0" applyFont="1" applyBorder="1" applyAlignment="1">
      <alignment wrapText="1"/>
    </xf>
    <xf numFmtId="3" fontId="7" fillId="0" borderId="113" xfId="27807" applyNumberFormat="1" applyFont="1" applyBorder="1" applyAlignment="1">
      <alignment horizontal="right"/>
    </xf>
    <xf numFmtId="3" fontId="7" fillId="0" borderId="221" xfId="27807" applyNumberFormat="1" applyFont="1" applyBorder="1" applyAlignment="1"/>
    <xf numFmtId="3" fontId="7" fillId="0" borderId="36" xfId="27807" applyNumberFormat="1" applyFont="1" applyBorder="1" applyAlignment="1"/>
    <xf numFmtId="0" fontId="7" fillId="0" borderId="42" xfId="0" applyFont="1" applyBorder="1" applyAlignment="1">
      <alignment wrapText="1"/>
    </xf>
    <xf numFmtId="1" fontId="9" fillId="0" borderId="171" xfId="0" applyNumberFormat="1" applyFont="1" applyBorder="1" applyAlignment="1">
      <alignment horizontal="center" vertical="center"/>
    </xf>
    <xf numFmtId="3" fontId="7" fillId="0" borderId="10" xfId="15066" applyNumberFormat="1" applyBorder="1"/>
    <xf numFmtId="3" fontId="7" fillId="0" borderId="105" xfId="15066" applyNumberFormat="1" applyBorder="1" applyAlignment="1">
      <alignment horizontal="right"/>
    </xf>
    <xf numFmtId="3" fontId="7" fillId="0" borderId="60" xfId="15066" applyNumberFormat="1" applyBorder="1"/>
    <xf numFmtId="3" fontId="7" fillId="0" borderId="226" xfId="15066" applyNumberFormat="1" applyBorder="1"/>
    <xf numFmtId="3" fontId="7" fillId="0" borderId="11" xfId="15066" applyNumberFormat="1" applyBorder="1"/>
    <xf numFmtId="1" fontId="9" fillId="0" borderId="211" xfId="0" applyNumberFormat="1" applyFont="1" applyBorder="1" applyAlignment="1">
      <alignment horizontal="center" vertical="center"/>
    </xf>
    <xf numFmtId="164" fontId="9" fillId="0" borderId="50" xfId="0" applyNumberFormat="1" applyFont="1" applyBorder="1"/>
    <xf numFmtId="3" fontId="7" fillId="0" borderId="103" xfId="15066" applyNumberFormat="1" applyBorder="1"/>
    <xf numFmtId="3" fontId="7" fillId="0" borderId="112" xfId="15066" applyNumberFormat="1" applyBorder="1"/>
    <xf numFmtId="3" fontId="7" fillId="0" borderId="106" xfId="27807" applyNumberFormat="1" applyFont="1" applyBorder="1" applyAlignment="1"/>
    <xf numFmtId="3" fontId="7" fillId="0" borderId="112" xfId="27807" applyNumberFormat="1" applyFont="1" applyBorder="1" applyAlignment="1"/>
    <xf numFmtId="3" fontId="7" fillId="0" borderId="113" xfId="27807" applyNumberFormat="1" applyFont="1" applyBorder="1" applyAlignment="1"/>
    <xf numFmtId="164" fontId="7" fillId="0" borderId="97" xfId="0" applyNumberFormat="1" applyFont="1" applyBorder="1" applyAlignment="1">
      <alignment horizontal="right"/>
    </xf>
    <xf numFmtId="3" fontId="9" fillId="0" borderId="74" xfId="0" applyNumberFormat="1" applyFont="1" applyBorder="1"/>
    <xf numFmtId="3" fontId="9" fillId="0" borderId="87" xfId="0" applyNumberFormat="1" applyFont="1" applyBorder="1"/>
    <xf numFmtId="0" fontId="31" fillId="0" borderId="0" xfId="0" applyFont="1" applyAlignment="1">
      <alignment horizontal="left"/>
    </xf>
    <xf numFmtId="9" fontId="6" fillId="0" borderId="37" xfId="5" applyFont="1" applyFill="1" applyBorder="1"/>
    <xf numFmtId="3" fontId="6" fillId="0" borderId="82" xfId="0" applyNumberFormat="1" applyFont="1" applyBorder="1" applyAlignment="1">
      <alignment horizontal="center"/>
    </xf>
    <xf numFmtId="9" fontId="6" fillId="0" borderId="29" xfId="5" applyFont="1" applyFill="1" applyBorder="1"/>
    <xf numFmtId="0" fontId="9" fillId="0" borderId="101" xfId="4" applyFont="1" applyBorder="1"/>
    <xf numFmtId="0" fontId="9" fillId="0" borderId="27" xfId="4" applyFont="1" applyBorder="1" applyAlignment="1">
      <alignment horizontal="center"/>
    </xf>
    <xf numFmtId="3" fontId="9" fillId="0" borderId="24" xfId="0" applyNumberFormat="1" applyFont="1" applyBorder="1"/>
    <xf numFmtId="3" fontId="9" fillId="0" borderId="38" xfId="0" applyNumberFormat="1" applyFont="1" applyBorder="1"/>
    <xf numFmtId="2" fontId="8" fillId="0" borderId="228" xfId="0" applyNumberFormat="1" applyFont="1" applyBorder="1"/>
    <xf numFmtId="9" fontId="8" fillId="0" borderId="27" xfId="5" applyFont="1" applyFill="1" applyBorder="1"/>
    <xf numFmtId="3" fontId="8" fillId="0" borderId="101" xfId="0" applyNumberFormat="1" applyFont="1" applyBorder="1" applyAlignment="1">
      <alignment horizontal="center"/>
    </xf>
    <xf numFmtId="9" fontId="6" fillId="0" borderId="62" xfId="5" applyFont="1" applyFill="1" applyBorder="1"/>
    <xf numFmtId="9" fontId="6" fillId="0" borderId="59" xfId="5" applyFont="1" applyFill="1" applyBorder="1"/>
    <xf numFmtId="3" fontId="6" fillId="0" borderId="81" xfId="0" applyNumberFormat="1" applyFont="1" applyBorder="1" applyAlignment="1">
      <alignment horizontal="center"/>
    </xf>
    <xf numFmtId="2" fontId="6" fillId="0" borderId="13" xfId="0" applyNumberFormat="1" applyFont="1" applyBorder="1"/>
    <xf numFmtId="9" fontId="6" fillId="0" borderId="28" xfId="5" applyFont="1" applyFill="1" applyBorder="1"/>
    <xf numFmtId="0" fontId="9" fillId="0" borderId="48" xfId="4" applyFont="1" applyBorder="1" applyAlignment="1">
      <alignment horizontal="center"/>
    </xf>
    <xf numFmtId="9" fontId="8" fillId="0" borderId="50" xfId="5" applyFont="1" applyFill="1" applyBorder="1"/>
    <xf numFmtId="9" fontId="8" fillId="0" borderId="48" xfId="5" applyFont="1" applyFill="1" applyBorder="1"/>
    <xf numFmtId="3" fontId="8" fillId="0" borderId="83" xfId="0" applyNumberFormat="1" applyFont="1" applyBorder="1" applyAlignment="1">
      <alignment horizontal="center"/>
    </xf>
    <xf numFmtId="9" fontId="6" fillId="0" borderId="218" xfId="5" applyFont="1" applyFill="1" applyBorder="1"/>
    <xf numFmtId="3" fontId="6" fillId="0" borderId="181" xfId="0" applyNumberFormat="1" applyFont="1" applyBorder="1" applyAlignment="1">
      <alignment horizontal="center"/>
    </xf>
    <xf numFmtId="3" fontId="7" fillId="0" borderId="219" xfId="0" applyNumberFormat="1" applyFont="1" applyBorder="1"/>
    <xf numFmtId="3" fontId="7" fillId="0" borderId="227" xfId="0" applyNumberFormat="1" applyFont="1" applyBorder="1"/>
    <xf numFmtId="9" fontId="6" fillId="0" borderId="227" xfId="5" applyFont="1" applyFill="1" applyBorder="1"/>
    <xf numFmtId="2" fontId="6" fillId="0" borderId="229" xfId="0" applyNumberFormat="1" applyFont="1" applyBorder="1"/>
    <xf numFmtId="3" fontId="6" fillId="0" borderId="185" xfId="0" applyNumberFormat="1" applyFont="1" applyBorder="1" applyAlignment="1">
      <alignment horizontal="center"/>
    </xf>
    <xf numFmtId="0" fontId="6" fillId="0" borderId="37" xfId="0" applyFont="1" applyBorder="1" applyAlignment="1">
      <alignment horizontal="center"/>
    </xf>
    <xf numFmtId="0" fontId="6" fillId="0" borderId="225" xfId="0" applyFont="1" applyBorder="1" applyAlignment="1">
      <alignment horizontal="center"/>
    </xf>
    <xf numFmtId="9" fontId="6" fillId="0" borderId="225" xfId="5" applyFont="1" applyFill="1" applyBorder="1"/>
    <xf numFmtId="0" fontId="6" fillId="0" borderId="29" xfId="0" applyFont="1" applyBorder="1" applyAlignment="1">
      <alignment horizontal="center"/>
    </xf>
    <xf numFmtId="2" fontId="8" fillId="0" borderId="24" xfId="0" applyNumberFormat="1" applyFont="1" applyBorder="1" applyAlignment="1">
      <alignment horizontal="right"/>
    </xf>
    <xf numFmtId="2" fontId="8" fillId="0" borderId="30" xfId="0" applyNumberFormat="1" applyFont="1" applyBorder="1" applyAlignment="1">
      <alignment horizontal="right"/>
    </xf>
    <xf numFmtId="2" fontId="8" fillId="0" borderId="26" xfId="0" applyNumberFormat="1" applyFont="1" applyBorder="1" applyAlignment="1">
      <alignment horizontal="right"/>
    </xf>
    <xf numFmtId="2" fontId="8" fillId="0" borderId="57" xfId="0" applyNumberFormat="1" applyFont="1" applyBorder="1" applyAlignment="1">
      <alignment horizontal="right"/>
    </xf>
    <xf numFmtId="9" fontId="8" fillId="0" borderId="0" xfId="5" applyFont="1" applyFill="1" applyBorder="1"/>
    <xf numFmtId="0" fontId="8" fillId="0" borderId="101" xfId="0" applyFont="1" applyBorder="1" applyAlignment="1">
      <alignment horizontal="center"/>
    </xf>
    <xf numFmtId="3" fontId="9" fillId="0" borderId="132" xfId="5" applyNumberFormat="1" applyFont="1" applyFill="1" applyBorder="1"/>
    <xf numFmtId="9" fontId="8" fillId="0" borderId="131" xfId="5" applyFont="1" applyFill="1" applyBorder="1"/>
    <xf numFmtId="2" fontId="9" fillId="0" borderId="148" xfId="0" applyNumberFormat="1" applyFont="1" applyBorder="1" applyAlignment="1">
      <alignment horizontal="right"/>
    </xf>
    <xf numFmtId="2" fontId="8" fillId="0" borderId="72" xfId="0" applyNumberFormat="1" applyFont="1" applyBorder="1" applyAlignment="1">
      <alignment horizontal="right"/>
    </xf>
    <xf numFmtId="2" fontId="8" fillId="0" borderId="149" xfId="0" applyNumberFormat="1" applyFont="1" applyBorder="1" applyAlignment="1">
      <alignment horizontal="right"/>
    </xf>
    <xf numFmtId="2" fontId="8" fillId="0" borderId="131" xfId="0" applyNumberFormat="1" applyFont="1" applyBorder="1" applyAlignment="1">
      <alignment horizontal="right"/>
    </xf>
    <xf numFmtId="2" fontId="8" fillId="0" borderId="80" xfId="0" applyNumberFormat="1" applyFont="1" applyBorder="1" applyAlignment="1">
      <alignment horizontal="right"/>
    </xf>
    <xf numFmtId="2" fontId="8" fillId="0" borderId="87" xfId="0" applyNumberFormat="1" applyFont="1" applyBorder="1" applyAlignment="1">
      <alignment horizontal="right"/>
    </xf>
    <xf numFmtId="2" fontId="8" fillId="0" borderId="148" xfId="0" applyNumberFormat="1" applyFont="1" applyBorder="1" applyAlignment="1">
      <alignment horizontal="right"/>
    </xf>
    <xf numFmtId="2" fontId="8" fillId="0" borderId="80" xfId="5" applyNumberFormat="1" applyFont="1" applyFill="1" applyBorder="1" applyAlignment="1">
      <alignment horizontal="right"/>
    </xf>
    <xf numFmtId="9" fontId="8" fillId="0" borderId="133" xfId="5" applyFont="1" applyFill="1" applyBorder="1"/>
    <xf numFmtId="9" fontId="8" fillId="0" borderId="142" xfId="0" applyNumberFormat="1" applyFont="1" applyBorder="1" applyAlignment="1">
      <alignment horizontal="center"/>
    </xf>
    <xf numFmtId="2" fontId="8" fillId="0" borderId="80" xfId="0" applyNumberFormat="1" applyFont="1" applyBorder="1"/>
    <xf numFmtId="3" fontId="8" fillId="0" borderId="142" xfId="0" applyNumberFormat="1" applyFont="1" applyBorder="1"/>
    <xf numFmtId="3" fontId="8" fillId="0" borderId="48" xfId="5" applyNumberFormat="1" applyFont="1" applyFill="1" applyBorder="1"/>
    <xf numFmtId="9" fontId="8" fillId="0" borderId="50" xfId="5" applyFont="1" applyFill="1" applyBorder="1" applyAlignment="1">
      <alignment horizontal="right"/>
    </xf>
    <xf numFmtId="2" fontId="8" fillId="0" borderId="64" xfId="0" applyNumberFormat="1" applyFont="1" applyBorder="1" applyAlignment="1">
      <alignment horizontal="right"/>
    </xf>
    <xf numFmtId="2" fontId="8" fillId="0" borderId="70" xfId="0" applyNumberFormat="1" applyFont="1" applyBorder="1" applyAlignment="1">
      <alignment horizontal="right"/>
    </xf>
    <xf numFmtId="2" fontId="8" fillId="0" borderId="67" xfId="0" applyNumberFormat="1" applyFont="1" applyBorder="1" applyAlignment="1">
      <alignment horizontal="right"/>
    </xf>
    <xf numFmtId="2" fontId="8" fillId="0" borderId="68" xfId="0" applyNumberFormat="1" applyFont="1" applyBorder="1" applyAlignment="1">
      <alignment horizontal="right"/>
    </xf>
    <xf numFmtId="2" fontId="8" fillId="0" borderId="67" xfId="5" applyNumberFormat="1" applyFont="1" applyFill="1" applyBorder="1" applyAlignment="1">
      <alignment horizontal="right"/>
    </xf>
    <xf numFmtId="9" fontId="8" fillId="0" borderId="49" xfId="5" applyFont="1" applyFill="1" applyBorder="1"/>
    <xf numFmtId="9" fontId="8" fillId="0" borderId="83" xfId="0" applyNumberFormat="1" applyFont="1" applyBorder="1" applyAlignment="1">
      <alignment horizontal="center"/>
    </xf>
    <xf numFmtId="3" fontId="29" fillId="0" borderId="0" xfId="0" applyNumberFormat="1" applyFont="1"/>
    <xf numFmtId="9" fontId="6" fillId="0" borderId="0" xfId="5" applyFont="1" applyFill="1" applyBorder="1"/>
    <xf numFmtId="0" fontId="6" fillId="0" borderId="27" xfId="0" applyFont="1" applyBorder="1" applyAlignment="1">
      <alignment horizontal="center"/>
    </xf>
    <xf numFmtId="3" fontId="7" fillId="0" borderId="101" xfId="0" applyNumberFormat="1" applyFont="1" applyBorder="1"/>
    <xf numFmtId="3" fontId="7" fillId="0" borderId="24" xfId="0" applyNumberFormat="1" applyFont="1" applyBorder="1"/>
    <xf numFmtId="3" fontId="7" fillId="0" borderId="23" xfId="0" applyNumberFormat="1" applyFont="1" applyBorder="1"/>
    <xf numFmtId="3" fontId="7" fillId="0" borderId="38" xfId="0" applyNumberFormat="1" applyFont="1" applyBorder="1"/>
    <xf numFmtId="9" fontId="6" fillId="0" borderId="38" xfId="5" applyFont="1" applyFill="1" applyBorder="1"/>
    <xf numFmtId="1" fontId="6" fillId="0" borderId="101" xfId="0" applyNumberFormat="1" applyFont="1" applyBorder="1" applyAlignment="1">
      <alignment horizontal="center"/>
    </xf>
    <xf numFmtId="2" fontId="6" fillId="0" borderId="101" xfId="0" applyNumberFormat="1" applyFont="1" applyBorder="1"/>
    <xf numFmtId="0" fontId="6" fillId="0" borderId="49" xfId="0" applyFont="1" applyBorder="1" applyAlignment="1">
      <alignment horizontal="left"/>
    </xf>
    <xf numFmtId="0" fontId="6" fillId="0" borderId="24" xfId="0" applyFont="1" applyBorder="1" applyAlignment="1">
      <alignment horizontal="left"/>
    </xf>
    <xf numFmtId="0" fontId="6" fillId="0" borderId="26" xfId="0" applyFont="1" applyBorder="1" applyAlignment="1">
      <alignment horizontal="right"/>
    </xf>
    <xf numFmtId="0" fontId="6" fillId="0" borderId="101" xfId="0" applyFont="1" applyBorder="1" applyAlignment="1">
      <alignment horizontal="right"/>
    </xf>
    <xf numFmtId="1" fontId="6" fillId="0" borderId="24" xfId="0" applyNumberFormat="1" applyFont="1" applyBorder="1" applyAlignment="1">
      <alignment horizontal="right"/>
    </xf>
    <xf numFmtId="1" fontId="6" fillId="0" borderId="23" xfId="0" applyNumberFormat="1" applyFont="1" applyBorder="1" applyAlignment="1">
      <alignment horizontal="right"/>
    </xf>
    <xf numFmtId="1" fontId="6" fillId="0" borderId="38" xfId="0" applyNumberFormat="1" applyFont="1" applyBorder="1" applyAlignment="1">
      <alignment horizontal="right"/>
    </xf>
    <xf numFmtId="0" fontId="6" fillId="0" borderId="38" xfId="0" applyFont="1" applyBorder="1" applyAlignment="1">
      <alignment horizontal="right" vertical="center"/>
    </xf>
    <xf numFmtId="2" fontId="6" fillId="0" borderId="57" xfId="0" applyNumberFormat="1" applyFont="1" applyBorder="1" applyAlignment="1">
      <alignment horizontal="right"/>
    </xf>
    <xf numFmtId="2" fontId="6" fillId="0" borderId="24" xfId="0" applyNumberFormat="1" applyFont="1" applyBorder="1" applyAlignment="1">
      <alignment horizontal="right"/>
    </xf>
    <xf numFmtId="3" fontId="6" fillId="0" borderId="27" xfId="0" applyNumberFormat="1" applyFont="1" applyBorder="1" applyAlignment="1">
      <alignment horizontal="center" vertical="center" wrapText="1"/>
    </xf>
    <xf numFmtId="1" fontId="6" fillId="0" borderId="101" xfId="0" applyNumberFormat="1" applyFont="1" applyBorder="1" applyAlignment="1">
      <alignment horizontal="right"/>
    </xf>
    <xf numFmtId="2" fontId="6" fillId="0" borderId="101" xfId="0" applyNumberFormat="1" applyFont="1" applyBorder="1" applyAlignment="1">
      <alignment horizontal="right"/>
    </xf>
    <xf numFmtId="0" fontId="6" fillId="0" borderId="215" xfId="0" applyFont="1" applyBorder="1" applyAlignment="1">
      <alignment horizontal="left"/>
    </xf>
    <xf numFmtId="0" fontId="6" fillId="0" borderId="226" xfId="0" applyFont="1" applyBorder="1" applyAlignment="1">
      <alignment horizontal="right"/>
    </xf>
    <xf numFmtId="0" fontId="6" fillId="0" borderId="181" xfId="0" applyFont="1" applyBorder="1" applyAlignment="1">
      <alignment horizontal="right"/>
    </xf>
    <xf numFmtId="1" fontId="6" fillId="0" borderId="215" xfId="0" applyNumberFormat="1" applyFont="1" applyBorder="1" applyAlignment="1">
      <alignment horizontal="right"/>
    </xf>
    <xf numFmtId="1" fontId="6" fillId="0" borderId="217" xfId="0" applyNumberFormat="1" applyFont="1" applyBorder="1" applyAlignment="1">
      <alignment horizontal="right"/>
    </xf>
    <xf numFmtId="1" fontId="6" fillId="0" borderId="218" xfId="0" applyNumberFormat="1" applyFont="1" applyBorder="1" applyAlignment="1">
      <alignment horizontal="right"/>
    </xf>
    <xf numFmtId="0" fontId="6" fillId="0" borderId="218" xfId="0" applyFont="1" applyBorder="1" applyAlignment="1">
      <alignment horizontal="right" vertical="center"/>
    </xf>
    <xf numFmtId="2" fontId="6" fillId="0" borderId="215" xfId="0" applyNumberFormat="1" applyFont="1" applyBorder="1" applyAlignment="1">
      <alignment horizontal="right"/>
    </xf>
    <xf numFmtId="3" fontId="6" fillId="0" borderId="225" xfId="0" applyNumberFormat="1" applyFont="1" applyBorder="1" applyAlignment="1">
      <alignment horizontal="center" vertical="center" wrapText="1"/>
    </xf>
    <xf numFmtId="1" fontId="6" fillId="0" borderId="181" xfId="0" applyNumberFormat="1" applyFont="1" applyBorder="1" applyAlignment="1">
      <alignment horizontal="right"/>
    </xf>
    <xf numFmtId="2" fontId="6" fillId="0" borderId="181" xfId="0" applyNumberFormat="1" applyFont="1" applyBorder="1" applyAlignment="1">
      <alignment horizontal="right"/>
    </xf>
    <xf numFmtId="0" fontId="6" fillId="0" borderId="35" xfId="0" applyFont="1" applyBorder="1" applyAlignment="1">
      <alignment horizontal="left"/>
    </xf>
    <xf numFmtId="0" fontId="6" fillId="0" borderId="36" xfId="0" applyFont="1" applyBorder="1" applyAlignment="1">
      <alignment horizontal="right"/>
    </xf>
    <xf numFmtId="0" fontId="6" fillId="0" borderId="98" xfId="0" applyFont="1" applyBorder="1" applyAlignment="1">
      <alignment horizontal="right"/>
    </xf>
    <xf numFmtId="1" fontId="6" fillId="0" borderId="35" xfId="0" applyNumberFormat="1" applyFont="1" applyBorder="1" applyAlignment="1">
      <alignment horizontal="right"/>
    </xf>
    <xf numFmtId="1" fontId="6" fillId="0" borderId="31" xfId="0" applyNumberFormat="1" applyFont="1" applyBorder="1" applyAlignment="1">
      <alignment horizontal="right"/>
    </xf>
    <xf numFmtId="1" fontId="6" fillId="0" borderId="42" xfId="0" applyNumberFormat="1" applyFont="1" applyBorder="1" applyAlignment="1">
      <alignment horizontal="right"/>
    </xf>
    <xf numFmtId="0" fontId="6" fillId="0" borderId="42" xfId="0" applyFont="1" applyBorder="1" applyAlignment="1">
      <alignment horizontal="right" vertical="center"/>
    </xf>
    <xf numFmtId="2" fontId="6" fillId="0" borderId="11" xfId="0" applyNumberFormat="1" applyFont="1" applyBorder="1"/>
    <xf numFmtId="2" fontId="6" fillId="0" borderId="16" xfId="0" applyNumberFormat="1" applyFont="1" applyBorder="1" applyAlignment="1">
      <alignment horizontal="right"/>
    </xf>
    <xf numFmtId="2" fontId="8" fillId="0" borderId="118" xfId="0" applyNumberFormat="1" applyFont="1" applyBorder="1" applyAlignment="1">
      <alignment horizontal="right"/>
    </xf>
    <xf numFmtId="2" fontId="6" fillId="0" borderId="35" xfId="0" applyNumberFormat="1" applyFont="1" applyBorder="1" applyAlignment="1">
      <alignment horizontal="right"/>
    </xf>
    <xf numFmtId="3" fontId="6" fillId="0" borderId="28" xfId="0" applyNumberFormat="1" applyFont="1" applyBorder="1" applyAlignment="1">
      <alignment horizontal="center" vertical="center" wrapText="1"/>
    </xf>
    <xf numFmtId="1" fontId="6" fillId="0" borderId="98" xfId="0" applyNumberFormat="1" applyFont="1" applyBorder="1" applyAlignment="1">
      <alignment horizontal="right"/>
    </xf>
    <xf numFmtId="2" fontId="6" fillId="0" borderId="98" xfId="0" applyNumberFormat="1" applyFont="1" applyBorder="1" applyAlignment="1">
      <alignment horizontal="right"/>
    </xf>
    <xf numFmtId="0" fontId="8" fillId="0" borderId="83" xfId="0" applyFont="1" applyBorder="1" applyAlignment="1">
      <alignment horizontal="right"/>
    </xf>
    <xf numFmtId="1" fontId="8" fillId="0" borderId="64" xfId="0" applyNumberFormat="1" applyFont="1" applyBorder="1" applyAlignment="1">
      <alignment horizontal="right"/>
    </xf>
    <xf numFmtId="0" fontId="8" fillId="0" borderId="65" xfId="0" applyFont="1" applyBorder="1" applyAlignment="1">
      <alignment horizontal="right"/>
    </xf>
    <xf numFmtId="1" fontId="8" fillId="0" borderId="50" xfId="0" applyNumberFormat="1" applyFont="1" applyBorder="1" applyAlignment="1">
      <alignment horizontal="right"/>
    </xf>
    <xf numFmtId="0" fontId="8" fillId="0" borderId="50" xfId="0" applyFont="1" applyBorder="1" applyAlignment="1">
      <alignment horizontal="right" vertical="center"/>
    </xf>
    <xf numFmtId="2" fontId="8" fillId="0" borderId="83" xfId="0" applyNumberFormat="1" applyFont="1" applyBorder="1" applyAlignment="1">
      <alignment horizontal="right"/>
    </xf>
    <xf numFmtId="0" fontId="6" fillId="0" borderId="51" xfId="0" applyFont="1" applyBorder="1" applyAlignment="1">
      <alignment horizontal="left" vertical="center"/>
    </xf>
    <xf numFmtId="0" fontId="6" fillId="0" borderId="61" xfId="0" applyFont="1" applyBorder="1" applyAlignment="1">
      <alignment horizontal="right" vertical="center"/>
    </xf>
    <xf numFmtId="0" fontId="6" fillId="0" borderId="81" xfId="0" applyFont="1" applyBorder="1" applyAlignment="1">
      <alignment horizontal="right"/>
    </xf>
    <xf numFmtId="1" fontId="6" fillId="0" borderId="51" xfId="0" applyNumberFormat="1" applyFont="1" applyBorder="1" applyAlignment="1">
      <alignment horizontal="right"/>
    </xf>
    <xf numFmtId="1" fontId="6" fillId="0" borderId="52" xfId="0" applyNumberFormat="1" applyFont="1" applyBorder="1" applyAlignment="1">
      <alignment horizontal="right"/>
    </xf>
    <xf numFmtId="1" fontId="6" fillId="0" borderId="62" xfId="0" applyNumberFormat="1" applyFont="1" applyBorder="1" applyAlignment="1">
      <alignment horizontal="right"/>
    </xf>
    <xf numFmtId="2" fontId="6" fillId="0" borderId="76" xfId="0" applyNumberFormat="1" applyFont="1" applyBorder="1" applyAlignment="1">
      <alignment horizontal="right"/>
    </xf>
    <xf numFmtId="0" fontId="6" fillId="0" borderId="59" xfId="0" applyFont="1" applyBorder="1" applyAlignment="1">
      <alignment horizontal="center"/>
    </xf>
    <xf numFmtId="2" fontId="6" fillId="0" borderId="51" xfId="0" applyNumberFormat="1" applyFont="1" applyBorder="1" applyAlignment="1">
      <alignment horizontal="right"/>
    </xf>
    <xf numFmtId="1" fontId="6" fillId="0" borderId="81" xfId="0" applyNumberFormat="1" applyFont="1" applyBorder="1" applyAlignment="1">
      <alignment horizontal="right"/>
    </xf>
    <xf numFmtId="2" fontId="6" fillId="0" borderId="81" xfId="0" applyNumberFormat="1" applyFont="1" applyBorder="1" applyAlignment="1">
      <alignment horizontal="right"/>
    </xf>
    <xf numFmtId="0" fontId="6" fillId="0" borderId="24" xfId="0" applyFont="1" applyBorder="1" applyAlignment="1">
      <alignment horizontal="left" vertical="center"/>
    </xf>
    <xf numFmtId="0" fontId="6" fillId="0" borderId="0" xfId="0" applyFont="1" applyAlignment="1">
      <alignment horizontal="right" vertical="center"/>
    </xf>
    <xf numFmtId="3" fontId="6" fillId="0" borderId="227" xfId="0" applyNumberFormat="1" applyFont="1" applyBorder="1"/>
    <xf numFmtId="0" fontId="6" fillId="0" borderId="4" xfId="0" applyFont="1" applyBorder="1" applyAlignment="1">
      <alignment horizontal="left" vertical="center"/>
    </xf>
    <xf numFmtId="0" fontId="6" fillId="0" borderId="223" xfId="0" applyFont="1" applyBorder="1" applyAlignment="1">
      <alignment horizontal="right" vertical="center"/>
    </xf>
    <xf numFmtId="0" fontId="6" fillId="0" borderId="63" xfId="0" applyFont="1" applyBorder="1" applyAlignment="1">
      <alignment horizontal="right"/>
    </xf>
    <xf numFmtId="1" fontId="6" fillId="0" borderId="4" xfId="0" applyNumberFormat="1" applyFont="1" applyBorder="1" applyAlignment="1">
      <alignment horizontal="right"/>
    </xf>
    <xf numFmtId="1" fontId="6" fillId="0" borderId="201" xfId="0" applyNumberFormat="1" applyFont="1" applyBorder="1" applyAlignment="1">
      <alignment horizontal="right"/>
    </xf>
    <xf numFmtId="1" fontId="6" fillId="0" borderId="220" xfId="0" applyNumberFormat="1" applyFont="1" applyBorder="1" applyAlignment="1">
      <alignment horizontal="right"/>
    </xf>
    <xf numFmtId="2" fontId="6" fillId="0" borderId="205" xfId="0" applyNumberFormat="1" applyFont="1" applyBorder="1" applyAlignment="1">
      <alignment horizontal="right"/>
    </xf>
    <xf numFmtId="2" fontId="6" fillId="0" borderId="4" xfId="0" applyNumberFormat="1" applyFont="1" applyBorder="1" applyAlignment="1">
      <alignment horizontal="right"/>
    </xf>
    <xf numFmtId="1" fontId="6" fillId="0" borderId="63" xfId="0" applyNumberFormat="1" applyFont="1" applyBorder="1" applyAlignment="1">
      <alignment horizontal="right"/>
    </xf>
    <xf numFmtId="2" fontId="6" fillId="0" borderId="63" xfId="0" applyNumberFormat="1" applyFont="1" applyBorder="1" applyAlignment="1">
      <alignment horizontal="right"/>
    </xf>
    <xf numFmtId="0" fontId="6" fillId="0" borderId="1" xfId="0" applyFont="1" applyBorder="1" applyAlignment="1">
      <alignment wrapText="1"/>
    </xf>
    <xf numFmtId="9" fontId="6" fillId="0" borderId="20" xfId="5" applyFont="1" applyFill="1" applyBorder="1" applyAlignment="1">
      <alignment horizontal="right"/>
    </xf>
    <xf numFmtId="3" fontId="6" fillId="0" borderId="37" xfId="0" applyNumberFormat="1" applyFont="1" applyBorder="1" applyAlignment="1">
      <alignment horizontal="center"/>
    </xf>
    <xf numFmtId="0" fontId="6" fillId="0" borderId="215" xfId="0" applyFont="1" applyBorder="1"/>
    <xf numFmtId="0" fontId="6" fillId="0" borderId="221" xfId="0" applyFont="1" applyBorder="1"/>
    <xf numFmtId="3" fontId="6" fillId="0" borderId="225" xfId="0" applyNumberFormat="1" applyFont="1" applyBorder="1" applyAlignment="1">
      <alignment horizontal="center"/>
    </xf>
    <xf numFmtId="0" fontId="6" fillId="0" borderId="4" xfId="0" applyFont="1" applyBorder="1"/>
    <xf numFmtId="3" fontId="6" fillId="0" borderId="29" xfId="0" applyNumberFormat="1" applyFont="1" applyBorder="1" applyAlignment="1">
      <alignment horizontal="center"/>
    </xf>
    <xf numFmtId="0" fontId="6" fillId="0" borderId="58" xfId="0" applyFont="1" applyBorder="1"/>
    <xf numFmtId="3" fontId="6" fillId="0" borderId="58" xfId="0" applyNumberFormat="1" applyFont="1" applyBorder="1"/>
    <xf numFmtId="3" fontId="6" fillId="0" borderId="32" xfId="0" applyNumberFormat="1" applyFont="1" applyBorder="1"/>
    <xf numFmtId="3" fontId="6" fillId="0" borderId="47" xfId="0" applyNumberFormat="1" applyFont="1" applyBorder="1"/>
    <xf numFmtId="2" fontId="8" fillId="0" borderId="246" xfId="0" applyNumberFormat="1" applyFont="1" applyBorder="1"/>
    <xf numFmtId="2" fontId="8" fillId="0" borderId="247" xfId="0" applyNumberFormat="1" applyFont="1" applyBorder="1"/>
    <xf numFmtId="0" fontId="6" fillId="0" borderId="221" xfId="0" applyFont="1" applyBorder="1" applyAlignment="1">
      <alignment horizontal="right"/>
    </xf>
    <xf numFmtId="0" fontId="6" fillId="0" borderId="215" xfId="0" applyFont="1" applyBorder="1" applyAlignment="1">
      <alignment wrapText="1"/>
    </xf>
    <xf numFmtId="0" fontId="6" fillId="0" borderId="103" xfId="0" applyFont="1" applyBorder="1" applyAlignment="1">
      <alignment wrapText="1"/>
    </xf>
    <xf numFmtId="3" fontId="6" fillId="0" borderId="103" xfId="0" applyNumberFormat="1" applyFont="1" applyBorder="1"/>
    <xf numFmtId="3" fontId="6" fillId="0" borderId="112" xfId="0" applyNumberFormat="1" applyFont="1" applyBorder="1"/>
    <xf numFmtId="3" fontId="6" fillId="0" borderId="111" xfId="0" applyNumberFormat="1" applyFont="1" applyBorder="1"/>
    <xf numFmtId="9" fontId="6" fillId="0" borderId="111" xfId="5" applyFont="1" applyFill="1" applyBorder="1"/>
    <xf numFmtId="3" fontId="6" fillId="0" borderId="99" xfId="0" applyNumberFormat="1" applyFont="1" applyBorder="1" applyAlignment="1">
      <alignment horizontal="center"/>
    </xf>
    <xf numFmtId="0" fontId="6" fillId="0" borderId="60" xfId="0" applyFont="1" applyBorder="1"/>
    <xf numFmtId="0" fontId="6" fillId="0" borderId="56" xfId="0" applyFont="1" applyBorder="1"/>
    <xf numFmtId="9" fontId="6" fillId="0" borderId="102" xfId="5" applyFont="1" applyFill="1" applyBorder="1"/>
    <xf numFmtId="2" fontId="6" fillId="0" borderId="56" xfId="0" applyNumberFormat="1" applyFont="1" applyBorder="1"/>
    <xf numFmtId="2" fontId="6" fillId="0" borderId="58" xfId="0" applyNumberFormat="1" applyFont="1" applyBorder="1"/>
    <xf numFmtId="2" fontId="8" fillId="0" borderId="244" xfId="0" applyNumberFormat="1" applyFont="1" applyBorder="1"/>
    <xf numFmtId="9" fontId="6" fillId="0" borderId="47" xfId="5" applyFont="1" applyFill="1" applyBorder="1"/>
    <xf numFmtId="3" fontId="6" fillId="0" borderId="45" xfId="0" applyNumberFormat="1" applyFont="1" applyBorder="1" applyAlignment="1">
      <alignment horizontal="center"/>
    </xf>
    <xf numFmtId="2" fontId="6" fillId="0" borderId="102" xfId="0" applyNumberFormat="1" applyFont="1" applyBorder="1"/>
    <xf numFmtId="0" fontId="6" fillId="0" borderId="226" xfId="0" applyFont="1" applyBorder="1" applyAlignment="1">
      <alignment wrapText="1"/>
    </xf>
    <xf numFmtId="0" fontId="6" fillId="0" borderId="226" xfId="0" applyFont="1" applyBorder="1"/>
    <xf numFmtId="2" fontId="8" fillId="0" borderId="245" xfId="0" applyNumberFormat="1" applyFont="1" applyBorder="1"/>
    <xf numFmtId="9" fontId="6" fillId="0" borderId="218" xfId="5" applyFont="1" applyFill="1" applyBorder="1" applyAlignment="1">
      <alignment horizontal="right"/>
    </xf>
    <xf numFmtId="0" fontId="6" fillId="0" borderId="224" xfId="0" applyFont="1" applyBorder="1"/>
    <xf numFmtId="0" fontId="6" fillId="0" borderId="11" xfId="0" applyFont="1" applyBorder="1"/>
    <xf numFmtId="3" fontId="6" fillId="0" borderId="35" xfId="0" applyNumberFormat="1" applyFont="1" applyBorder="1"/>
    <xf numFmtId="3" fontId="6" fillId="0" borderId="31" xfId="0" applyNumberFormat="1" applyFont="1" applyBorder="1"/>
    <xf numFmtId="3" fontId="6" fillId="0" borderId="42" xfId="0" applyNumberFormat="1" applyFont="1" applyBorder="1"/>
    <xf numFmtId="9" fontId="8" fillId="0" borderId="98" xfId="5" applyFont="1" applyFill="1" applyBorder="1"/>
    <xf numFmtId="2" fontId="8" fillId="0" borderId="11" xfId="0" applyNumberFormat="1" applyFont="1" applyBorder="1"/>
    <xf numFmtId="4" fontId="8" fillId="0" borderId="16" xfId="0" applyNumberFormat="1" applyFont="1" applyBorder="1"/>
    <xf numFmtId="2" fontId="8" fillId="0" borderId="248" xfId="0" applyNumberFormat="1" applyFont="1" applyBorder="1"/>
    <xf numFmtId="9" fontId="6" fillId="0" borderId="42" xfId="5" applyFont="1" applyFill="1" applyBorder="1"/>
    <xf numFmtId="3" fontId="6" fillId="0" borderId="28" xfId="0" applyNumberFormat="1" applyFont="1" applyBorder="1" applyAlignment="1">
      <alignment horizontal="center"/>
    </xf>
    <xf numFmtId="2" fontId="6" fillId="0" borderId="98" xfId="0" applyNumberFormat="1" applyFont="1" applyBorder="1"/>
    <xf numFmtId="3" fontId="8" fillId="0" borderId="48" xfId="0" applyNumberFormat="1" applyFont="1" applyBorder="1" applyAlignment="1">
      <alignment horizontal="center"/>
    </xf>
    <xf numFmtId="0" fontId="7" fillId="0" borderId="1" xfId="0" applyFont="1" applyBorder="1"/>
    <xf numFmtId="0" fontId="7" fillId="0" borderId="3" xfId="0" applyFont="1" applyBorder="1"/>
    <xf numFmtId="9" fontId="6" fillId="0" borderId="82" xfId="5" applyFont="1" applyFill="1" applyBorder="1"/>
    <xf numFmtId="0" fontId="7" fillId="0" borderId="216" xfId="0" applyFont="1" applyBorder="1"/>
    <xf numFmtId="0" fontId="7" fillId="0" borderId="216" xfId="0" applyFont="1" applyBorder="1" applyAlignment="1">
      <alignment horizontal="right"/>
    </xf>
    <xf numFmtId="0" fontId="7" fillId="0" borderId="3" xfId="0" applyFont="1" applyBorder="1" applyAlignment="1">
      <alignment horizontal="right"/>
    </xf>
    <xf numFmtId="0" fontId="7" fillId="0" borderId="202" xfId="0" applyFont="1" applyBorder="1" applyAlignment="1">
      <alignment horizontal="right"/>
    </xf>
    <xf numFmtId="9" fontId="6" fillId="0" borderId="220" xfId="5" applyFont="1" applyFill="1" applyBorder="1" applyAlignment="1">
      <alignment horizontal="right"/>
    </xf>
    <xf numFmtId="3" fontId="8" fillId="0" borderId="79" xfId="0" applyNumberFormat="1" applyFont="1" applyBorder="1"/>
    <xf numFmtId="9" fontId="8" fillId="0" borderId="38" xfId="5" applyFont="1" applyFill="1" applyBorder="1" applyAlignment="1">
      <alignment horizontal="right"/>
    </xf>
    <xf numFmtId="3" fontId="8" fillId="0" borderId="27" xfId="0" applyNumberFormat="1" applyFont="1" applyBorder="1" applyAlignment="1">
      <alignment horizontal="center"/>
    </xf>
    <xf numFmtId="9" fontId="6" fillId="0" borderId="62" xfId="5" applyFont="1" applyFill="1" applyBorder="1" applyAlignment="1">
      <alignment horizontal="right"/>
    </xf>
    <xf numFmtId="3" fontId="6" fillId="0" borderId="59" xfId="0" applyNumberFormat="1" applyFont="1" applyBorder="1" applyAlignment="1">
      <alignment horizontal="center"/>
    </xf>
    <xf numFmtId="9" fontId="8" fillId="0" borderId="102" xfId="5" applyFont="1" applyFill="1" applyBorder="1"/>
    <xf numFmtId="2" fontId="8" fillId="0" borderId="58" xfId="0" applyNumberFormat="1" applyFont="1" applyBorder="1"/>
    <xf numFmtId="4" fontId="8" fillId="0" borderId="55" xfId="0" applyNumberFormat="1" applyFont="1" applyBorder="1"/>
    <xf numFmtId="2" fontId="8" fillId="0" borderId="56" xfId="0" applyNumberFormat="1" applyFont="1" applyBorder="1"/>
    <xf numFmtId="4" fontId="8" fillId="0" borderId="193" xfId="0" applyNumberFormat="1" applyFont="1" applyBorder="1"/>
    <xf numFmtId="9" fontId="8" fillId="0" borderId="142" xfId="5" applyFont="1" applyFill="1" applyBorder="1"/>
    <xf numFmtId="2" fontId="8" fillId="0" borderId="133" xfId="0" applyNumberFormat="1" applyFont="1" applyBorder="1"/>
    <xf numFmtId="4" fontId="8" fillId="0" borderId="87" xfId="0" applyNumberFormat="1" applyFont="1" applyBorder="1"/>
    <xf numFmtId="2" fontId="8" fillId="0" borderId="135" xfId="0" applyNumberFormat="1" applyFont="1" applyBorder="1"/>
    <xf numFmtId="9" fontId="8" fillId="0" borderId="132" xfId="5" applyFont="1" applyFill="1" applyBorder="1"/>
    <xf numFmtId="3" fontId="8" fillId="0" borderId="142" xfId="0" applyNumberFormat="1" applyFont="1" applyBorder="1" applyAlignment="1">
      <alignment horizontal="center"/>
    </xf>
    <xf numFmtId="0" fontId="6" fillId="0" borderId="0" xfId="0" applyFont="1" applyAlignment="1">
      <alignment horizontal="center"/>
    </xf>
    <xf numFmtId="0" fontId="6" fillId="0" borderId="1" xfId="0" applyFont="1" applyBorder="1"/>
    <xf numFmtId="2" fontId="6" fillId="0" borderId="71" xfId="0" applyNumberFormat="1" applyFont="1" applyBorder="1"/>
    <xf numFmtId="2" fontId="6" fillId="0" borderId="182" xfId="0" applyNumberFormat="1" applyFont="1" applyBorder="1"/>
    <xf numFmtId="2" fontId="6" fillId="0" borderId="41" xfId="0" applyNumberFormat="1" applyFont="1" applyBorder="1"/>
    <xf numFmtId="0" fontId="6" fillId="0" borderId="103" xfId="0" applyFont="1" applyBorder="1" applyAlignment="1">
      <alignment horizontal="left" wrapText="1"/>
    </xf>
    <xf numFmtId="0" fontId="6" fillId="0" borderId="51" xfId="0" applyFont="1" applyBorder="1" applyAlignment="1">
      <alignment horizontal="left"/>
    </xf>
    <xf numFmtId="0" fontId="6" fillId="0" borderId="61" xfId="0" applyFont="1" applyBorder="1" applyAlignment="1">
      <alignment horizontal="right"/>
    </xf>
    <xf numFmtId="1" fontId="6" fillId="0" borderId="26" xfId="0" applyNumberFormat="1" applyFont="1" applyBorder="1" applyAlignment="1">
      <alignment horizontal="right"/>
    </xf>
    <xf numFmtId="3" fontId="6" fillId="0" borderId="38" xfId="0" applyNumberFormat="1" applyFont="1" applyBorder="1" applyAlignment="1">
      <alignment horizontal="right"/>
    </xf>
    <xf numFmtId="9" fontId="6" fillId="0" borderId="101" xfId="5" applyFont="1" applyFill="1" applyBorder="1"/>
    <xf numFmtId="1" fontId="6" fillId="0" borderId="102" xfId="0" applyNumberFormat="1" applyFont="1" applyBorder="1" applyAlignment="1">
      <alignment horizontal="right"/>
    </xf>
    <xf numFmtId="0" fontId="6" fillId="0" borderId="215" xfId="0" applyFont="1" applyBorder="1" applyAlignment="1">
      <alignment horizontal="left" vertical="center"/>
    </xf>
    <xf numFmtId="1" fontId="6" fillId="0" borderId="226" xfId="0" applyNumberFormat="1" applyFont="1" applyBorder="1" applyAlignment="1">
      <alignment horizontal="right"/>
    </xf>
    <xf numFmtId="3" fontId="6" fillId="0" borderId="218" xfId="0" applyNumberFormat="1" applyFont="1" applyBorder="1" applyAlignment="1">
      <alignment horizontal="right"/>
    </xf>
    <xf numFmtId="2" fontId="8" fillId="0" borderId="222" xfId="0" applyNumberFormat="1" applyFont="1" applyBorder="1" applyAlignment="1">
      <alignment horizontal="right"/>
    </xf>
    <xf numFmtId="1" fontId="6" fillId="0" borderId="224" xfId="0" applyNumberFormat="1" applyFont="1" applyBorder="1" applyAlignment="1">
      <alignment horizontal="right"/>
    </xf>
    <xf numFmtId="3" fontId="6" fillId="0" borderId="220" xfId="0" applyNumberFormat="1" applyFont="1" applyBorder="1" applyAlignment="1">
      <alignment horizontal="right"/>
    </xf>
    <xf numFmtId="2" fontId="8" fillId="0" borderId="205" xfId="0" applyNumberFormat="1" applyFont="1" applyBorder="1" applyAlignment="1">
      <alignment horizontal="right"/>
    </xf>
    <xf numFmtId="3" fontId="8" fillId="0" borderId="67" xfId="0" applyNumberFormat="1" applyFont="1" applyBorder="1" applyAlignment="1">
      <alignment horizontal="right"/>
    </xf>
    <xf numFmtId="3" fontId="8" fillId="0" borderId="65" xfId="0" applyNumberFormat="1" applyFont="1" applyBorder="1" applyAlignment="1">
      <alignment horizontal="right"/>
    </xf>
    <xf numFmtId="3" fontId="8" fillId="0" borderId="50" xfId="0" applyNumberFormat="1" applyFont="1" applyBorder="1" applyAlignment="1">
      <alignment horizontal="right"/>
    </xf>
    <xf numFmtId="0" fontId="7" fillId="0" borderId="61" xfId="0" applyFont="1" applyBorder="1" applyAlignment="1">
      <alignment horizontal="right"/>
    </xf>
    <xf numFmtId="0" fontId="6" fillId="0" borderId="60" xfId="0" applyFont="1" applyBorder="1" applyAlignment="1">
      <alignment horizontal="right"/>
    </xf>
    <xf numFmtId="0" fontId="6" fillId="0" borderId="52" xfId="0" applyFont="1" applyBorder="1" applyAlignment="1">
      <alignment horizontal="right"/>
    </xf>
    <xf numFmtId="0" fontId="6" fillId="0" borderId="62" xfId="0" applyFont="1" applyBorder="1" applyAlignment="1">
      <alignment horizontal="right"/>
    </xf>
    <xf numFmtId="3" fontId="6" fillId="0" borderId="62" xfId="0" applyNumberFormat="1" applyFont="1" applyBorder="1" applyAlignment="1">
      <alignment horizontal="right"/>
    </xf>
    <xf numFmtId="9" fontId="8" fillId="0" borderId="81" xfId="5" applyFont="1" applyFill="1" applyBorder="1" applyAlignment="1">
      <alignment horizontal="right"/>
    </xf>
    <xf numFmtId="0" fontId="6" fillId="0" borderId="35" xfId="0" applyFont="1" applyBorder="1"/>
    <xf numFmtId="0" fontId="7" fillId="0" borderId="36" xfId="0" applyFont="1" applyBorder="1" applyAlignment="1">
      <alignment horizontal="right"/>
    </xf>
    <xf numFmtId="3" fontId="6" fillId="0" borderId="83" xfId="0" applyNumberFormat="1" applyFont="1" applyBorder="1" applyAlignment="1">
      <alignment horizontal="right"/>
    </xf>
    <xf numFmtId="0" fontId="6" fillId="0" borderId="67" xfId="0" applyFont="1" applyBorder="1" applyAlignment="1">
      <alignment horizontal="right"/>
    </xf>
    <xf numFmtId="0" fontId="6" fillId="0" borderId="65" xfId="0" applyFont="1" applyBorder="1" applyAlignment="1">
      <alignment horizontal="right"/>
    </xf>
    <xf numFmtId="0" fontId="6" fillId="0" borderId="50" xfId="0" applyFont="1" applyBorder="1" applyAlignment="1">
      <alignment horizontal="right"/>
    </xf>
    <xf numFmtId="3" fontId="6" fillId="0" borderId="50" xfId="0" applyNumberFormat="1" applyFont="1" applyBorder="1" applyAlignment="1">
      <alignment horizontal="right"/>
    </xf>
    <xf numFmtId="2" fontId="6" fillId="0" borderId="67" xfId="0" applyNumberFormat="1" applyFont="1" applyBorder="1"/>
    <xf numFmtId="2" fontId="6" fillId="0" borderId="68" xfId="0" applyNumberFormat="1" applyFont="1" applyBorder="1" applyAlignment="1">
      <alignment horizontal="right"/>
    </xf>
    <xf numFmtId="2" fontId="6" fillId="0" borderId="64" xfId="0" applyNumberFormat="1" applyFont="1" applyBorder="1"/>
    <xf numFmtId="9" fontId="6" fillId="0" borderId="83" xfId="5" applyFont="1" applyFill="1" applyBorder="1" applyAlignment="1">
      <alignment horizontal="right"/>
    </xf>
    <xf numFmtId="0" fontId="6" fillId="0" borderId="48" xfId="0" applyFont="1" applyBorder="1" applyAlignment="1">
      <alignment horizontal="center"/>
    </xf>
    <xf numFmtId="2" fontId="6" fillId="0" borderId="64" xfId="0" applyNumberFormat="1" applyFont="1" applyBorder="1" applyAlignment="1">
      <alignment horizontal="right"/>
    </xf>
    <xf numFmtId="0" fontId="6" fillId="0" borderId="83" xfId="0" applyFont="1" applyBorder="1" applyAlignment="1">
      <alignment horizontal="right"/>
    </xf>
    <xf numFmtId="2" fontId="6" fillId="0" borderId="83" xfId="0" applyNumberFormat="1" applyFont="1" applyBorder="1"/>
    <xf numFmtId="0" fontId="8" fillId="0" borderId="67" xfId="0" applyFont="1" applyBorder="1" applyAlignment="1">
      <alignment horizontal="right"/>
    </xf>
    <xf numFmtId="0" fontId="8" fillId="0" borderId="50" xfId="0" applyFont="1" applyBorder="1" applyAlignment="1">
      <alignment horizontal="right"/>
    </xf>
    <xf numFmtId="3" fontId="6" fillId="0" borderId="98" xfId="0" applyNumberFormat="1" applyFont="1" applyBorder="1" applyAlignment="1">
      <alignment horizontal="right"/>
    </xf>
    <xf numFmtId="0" fontId="6" fillId="0" borderId="11" xfId="0" applyFont="1" applyBorder="1" applyAlignment="1">
      <alignment horizontal="right"/>
    </xf>
    <xf numFmtId="0" fontId="6" fillId="0" borderId="31" xfId="0" applyFont="1" applyBorder="1" applyAlignment="1">
      <alignment horizontal="right"/>
    </xf>
    <xf numFmtId="0" fontId="6" fillId="0" borderId="42" xfId="0" applyFont="1" applyBorder="1" applyAlignment="1">
      <alignment horizontal="right"/>
    </xf>
    <xf numFmtId="3" fontId="6" fillId="0" borderId="42" xfId="0" applyNumberFormat="1" applyFont="1" applyBorder="1" applyAlignment="1">
      <alignment horizontal="right"/>
    </xf>
    <xf numFmtId="9" fontId="8" fillId="0" borderId="98" xfId="5" applyFont="1" applyFill="1" applyBorder="1" applyAlignment="1">
      <alignment horizontal="right"/>
    </xf>
    <xf numFmtId="0" fontId="6" fillId="0" borderId="28" xfId="0" applyFont="1" applyBorder="1" applyAlignment="1">
      <alignment horizontal="center"/>
    </xf>
    <xf numFmtId="0" fontId="8" fillId="0" borderId="72" xfId="0" applyFont="1" applyBorder="1" applyAlignment="1">
      <alignment horizontal="center" wrapText="1"/>
    </xf>
    <xf numFmtId="0" fontId="8" fillId="0" borderId="87" xfId="0" applyFont="1" applyBorder="1" applyAlignment="1">
      <alignment horizontal="center" wrapText="1"/>
    </xf>
    <xf numFmtId="0" fontId="8" fillId="0" borderId="142" xfId="0" applyFont="1" applyBorder="1" applyAlignment="1">
      <alignment horizontal="center" wrapText="1"/>
    </xf>
    <xf numFmtId="164" fontId="9" fillId="0" borderId="73" xfId="0" applyNumberFormat="1" applyFont="1" applyBorder="1" applyAlignment="1">
      <alignment horizontal="center" wrapText="1"/>
    </xf>
    <xf numFmtId="164" fontId="9" fillId="0" borderId="87" xfId="0" applyNumberFormat="1" applyFont="1" applyBorder="1" applyAlignment="1">
      <alignment horizontal="center" wrapText="1"/>
    </xf>
    <xf numFmtId="0" fontId="9" fillId="0" borderId="72" xfId="0" applyFont="1" applyBorder="1" applyAlignment="1">
      <alignment horizontal="center" wrapText="1"/>
    </xf>
    <xf numFmtId="0" fontId="9" fillId="0" borderId="73" xfId="0" applyFont="1" applyBorder="1" applyAlignment="1">
      <alignment horizontal="center" wrapText="1"/>
    </xf>
    <xf numFmtId="0" fontId="9" fillId="0" borderId="87" xfId="0" applyFont="1" applyBorder="1" applyAlignment="1">
      <alignment horizontal="center" wrapText="1"/>
    </xf>
    <xf numFmtId="0" fontId="9" fillId="0" borderId="142" xfId="0" applyFont="1" applyBorder="1" applyAlignment="1">
      <alignment horizontal="center" wrapText="1"/>
    </xf>
    <xf numFmtId="0" fontId="6" fillId="0" borderId="24" xfId="0" applyFont="1" applyBorder="1" applyAlignment="1">
      <alignment horizontal="right"/>
    </xf>
    <xf numFmtId="0" fontId="6" fillId="0" borderId="23" xfId="0" applyFont="1" applyBorder="1" applyAlignment="1">
      <alignment horizontal="left"/>
    </xf>
    <xf numFmtId="0" fontId="8" fillId="0" borderId="76" xfId="0" applyFont="1" applyBorder="1" applyAlignment="1">
      <alignment horizontal="center"/>
    </xf>
    <xf numFmtId="0" fontId="6" fillId="0" borderId="81" xfId="0" applyFont="1" applyBorder="1" applyAlignment="1">
      <alignment horizontal="left"/>
    </xf>
    <xf numFmtId="164" fontId="7" fillId="0" borderId="51" xfId="0" applyNumberFormat="1" applyFont="1" applyBorder="1" applyAlignment="1">
      <alignment horizontal="right"/>
    </xf>
    <xf numFmtId="164" fontId="7" fillId="0" borderId="76" xfId="0" applyNumberFormat="1" applyFont="1" applyBorder="1" applyAlignment="1">
      <alignment horizontal="right"/>
    </xf>
    <xf numFmtId="164" fontId="7" fillId="0" borderId="61" xfId="0" applyNumberFormat="1" applyFont="1" applyBorder="1" applyAlignment="1">
      <alignment horizontal="right"/>
    </xf>
    <xf numFmtId="164" fontId="7" fillId="0" borderId="53" xfId="0" applyNumberFormat="1" applyFont="1" applyBorder="1" applyAlignment="1">
      <alignment horizontal="right"/>
    </xf>
    <xf numFmtId="0" fontId="7" fillId="0" borderId="76" xfId="0" applyFont="1" applyBorder="1" applyAlignment="1">
      <alignment horizontal="right"/>
    </xf>
    <xf numFmtId="0" fontId="7" fillId="0" borderId="52" xfId="0" applyFont="1" applyBorder="1" applyAlignment="1">
      <alignment horizontal="right"/>
    </xf>
    <xf numFmtId="0" fontId="7" fillId="0" borderId="53" xfId="0" applyFont="1" applyBorder="1" applyAlignment="1">
      <alignment horizontal="right"/>
    </xf>
    <xf numFmtId="3" fontId="7" fillId="0" borderId="81" xfId="0" applyNumberFormat="1" applyFont="1" applyBorder="1" applyAlignment="1">
      <alignment horizontal="right"/>
    </xf>
    <xf numFmtId="0" fontId="6" fillId="0" borderId="215" xfId="0" applyFont="1" applyBorder="1" applyAlignment="1">
      <alignment horizontal="right"/>
    </xf>
    <xf numFmtId="0" fontId="6" fillId="0" borderId="217" xfId="0" applyFont="1" applyBorder="1" applyAlignment="1">
      <alignment horizontal="left"/>
    </xf>
    <xf numFmtId="0" fontId="8" fillId="0" borderId="15" xfId="0" applyFont="1" applyBorder="1" applyAlignment="1">
      <alignment horizontal="center"/>
    </xf>
    <xf numFmtId="0" fontId="6" fillId="0" borderId="181" xfId="0" applyFont="1" applyBorder="1" applyAlignment="1">
      <alignment horizontal="left"/>
    </xf>
    <xf numFmtId="164" fontId="7" fillId="0" borderId="15" xfId="0" applyNumberFormat="1" applyFont="1" applyBorder="1" applyAlignment="1">
      <alignment horizontal="right"/>
    </xf>
    <xf numFmtId="164" fontId="7" fillId="0" borderId="8" xfId="0" applyNumberFormat="1" applyFont="1" applyBorder="1" applyAlignment="1">
      <alignment horizontal="right"/>
    </xf>
    <xf numFmtId="164" fontId="7" fillId="0" borderId="3" xfId="0" applyNumberFormat="1" applyFont="1" applyBorder="1" applyAlignment="1">
      <alignment horizontal="right"/>
    </xf>
    <xf numFmtId="0" fontId="7" fillId="0" borderId="15" xfId="0" applyFont="1" applyBorder="1" applyAlignment="1">
      <alignment horizontal="right"/>
    </xf>
    <xf numFmtId="0" fontId="7" fillId="0" borderId="2" xfId="0" applyFont="1" applyBorder="1" applyAlignment="1">
      <alignment horizontal="right"/>
    </xf>
    <xf numFmtId="0" fontId="8" fillId="0" borderId="181" xfId="0" applyFont="1" applyBorder="1" applyAlignment="1">
      <alignment horizontal="center"/>
    </xf>
    <xf numFmtId="0" fontId="6" fillId="0" borderId="35" xfId="0" applyFont="1" applyBorder="1" applyAlignment="1">
      <alignment horizontal="right"/>
    </xf>
    <xf numFmtId="0" fontId="6" fillId="0" borderId="31" xfId="0" applyFont="1" applyBorder="1" applyAlignment="1">
      <alignment horizontal="left"/>
    </xf>
    <xf numFmtId="0" fontId="6" fillId="0" borderId="16" xfId="0" applyFont="1" applyBorder="1" applyAlignment="1">
      <alignment horizontal="left"/>
    </xf>
    <xf numFmtId="0" fontId="6" fillId="0" borderId="98" xfId="0" applyFont="1" applyBorder="1" applyAlignment="1">
      <alignment horizontal="left"/>
    </xf>
    <xf numFmtId="164" fontId="7" fillId="0" borderId="35" xfId="0" applyNumberFormat="1" applyFont="1" applyBorder="1" applyAlignment="1">
      <alignment horizontal="right"/>
    </xf>
    <xf numFmtId="164" fontId="7" fillId="0" borderId="16" xfId="0" applyNumberFormat="1" applyFont="1" applyBorder="1" applyAlignment="1">
      <alignment horizontal="right"/>
    </xf>
    <xf numFmtId="164" fontId="7" fillId="0" borderId="31" xfId="0" applyNumberFormat="1" applyFont="1" applyBorder="1" applyAlignment="1">
      <alignment horizontal="right"/>
    </xf>
    <xf numFmtId="164" fontId="7" fillId="0" borderId="36" xfId="0" applyNumberFormat="1" applyFont="1" applyBorder="1" applyAlignment="1">
      <alignment horizontal="right"/>
    </xf>
    <xf numFmtId="164" fontId="7" fillId="0" borderId="5" xfId="0" applyNumberFormat="1" applyFont="1" applyBorder="1" applyAlignment="1">
      <alignment horizontal="right"/>
    </xf>
    <xf numFmtId="0" fontId="7" fillId="0" borderId="16" xfId="0" applyFont="1" applyBorder="1" applyAlignment="1">
      <alignment horizontal="right"/>
    </xf>
    <xf numFmtId="0" fontId="7" fillId="0" borderId="31" xfId="0" applyFont="1" applyBorder="1" applyAlignment="1">
      <alignment horizontal="right"/>
    </xf>
    <xf numFmtId="0" fontId="7" fillId="0" borderId="5" xfId="0" applyFont="1" applyBorder="1" applyAlignment="1">
      <alignment horizontal="right"/>
    </xf>
    <xf numFmtId="3" fontId="7" fillId="0" borderId="101" xfId="0" applyNumberFormat="1" applyFont="1" applyBorder="1" applyAlignment="1">
      <alignment horizontal="right"/>
    </xf>
    <xf numFmtId="164" fontId="9" fillId="0" borderId="21" xfId="0" applyNumberFormat="1" applyFont="1" applyBorder="1" applyAlignment="1">
      <alignment horizontal="right"/>
    </xf>
    <xf numFmtId="164" fontId="9" fillId="0" borderId="6" xfId="0" applyNumberFormat="1" applyFont="1" applyBorder="1" applyAlignment="1">
      <alignment horizontal="right"/>
    </xf>
    <xf numFmtId="164" fontId="9" fillId="0" borderId="9" xfId="0" applyNumberFormat="1" applyFont="1" applyBorder="1" applyAlignment="1">
      <alignment horizontal="right"/>
    </xf>
    <xf numFmtId="164" fontId="9" fillId="0" borderId="25" xfId="0" applyNumberFormat="1" applyFont="1" applyBorder="1" applyAlignment="1">
      <alignment horizontal="right"/>
    </xf>
    <xf numFmtId="3" fontId="9" fillId="0" borderId="140" xfId="0" applyNumberFormat="1" applyFont="1" applyBorder="1" applyAlignment="1">
      <alignment horizontal="right"/>
    </xf>
    <xf numFmtId="0" fontId="6" fillId="0" borderId="51" xfId="0" applyFont="1" applyBorder="1" applyAlignment="1">
      <alignment horizontal="right"/>
    </xf>
    <xf numFmtId="0" fontId="6" fillId="0" borderId="52" xfId="0" applyFont="1" applyBorder="1" applyAlignment="1">
      <alignment horizontal="left"/>
    </xf>
    <xf numFmtId="0" fontId="6" fillId="0" borderId="76" xfId="0" applyFont="1" applyBorder="1" applyAlignment="1">
      <alignment horizontal="left"/>
    </xf>
    <xf numFmtId="0" fontId="7" fillId="0" borderId="62" xfId="0" applyFont="1" applyBorder="1" applyAlignment="1">
      <alignment horizontal="right"/>
    </xf>
    <xf numFmtId="0" fontId="8" fillId="0" borderId="81" xfId="0" applyFont="1" applyBorder="1" applyAlignment="1">
      <alignment horizontal="center"/>
    </xf>
    <xf numFmtId="0" fontId="6" fillId="0" borderId="57" xfId="0" applyFont="1" applyBorder="1" applyAlignment="1">
      <alignment horizontal="center"/>
    </xf>
    <xf numFmtId="0" fontId="6" fillId="0" borderId="101" xfId="0" applyFont="1" applyBorder="1" applyAlignment="1">
      <alignment horizontal="left"/>
    </xf>
    <xf numFmtId="164" fontId="7" fillId="0" borderId="23" xfId="0" applyNumberFormat="1" applyFont="1" applyBorder="1" applyAlignment="1">
      <alignment horizontal="right"/>
    </xf>
    <xf numFmtId="164" fontId="7" fillId="0" borderId="57" xfId="0" applyNumberFormat="1" applyFont="1" applyBorder="1" applyAlignment="1">
      <alignment horizontal="right"/>
    </xf>
    <xf numFmtId="164" fontId="7" fillId="0" borderId="0" xfId="0" applyNumberFormat="1" applyFont="1" applyAlignment="1">
      <alignment horizontal="right"/>
    </xf>
    <xf numFmtId="0" fontId="7" fillId="0" borderId="24" xfId="0" applyFont="1" applyBorder="1" applyAlignment="1">
      <alignment horizontal="right"/>
    </xf>
    <xf numFmtId="0" fontId="7" fillId="0" borderId="57" xfId="0" applyFont="1" applyBorder="1" applyAlignment="1">
      <alignment horizontal="right"/>
    </xf>
    <xf numFmtId="0" fontId="7" fillId="0" borderId="23" xfId="0" applyFont="1" applyBorder="1" applyAlignment="1">
      <alignment horizontal="right"/>
    </xf>
    <xf numFmtId="0" fontId="7" fillId="0" borderId="38" xfId="0" applyFont="1" applyBorder="1" applyAlignment="1">
      <alignment horizontal="right"/>
    </xf>
    <xf numFmtId="0" fontId="6" fillId="0" borderId="4" xfId="0" applyFont="1" applyBorder="1" applyAlignment="1">
      <alignment horizontal="right"/>
    </xf>
    <xf numFmtId="0" fontId="6" fillId="0" borderId="205" xfId="0" applyFont="1" applyBorder="1" applyAlignment="1">
      <alignment horizontal="left"/>
    </xf>
    <xf numFmtId="0" fontId="6" fillId="0" borderId="63" xfId="0" applyFont="1" applyBorder="1" applyAlignment="1">
      <alignment horizontal="left"/>
    </xf>
    <xf numFmtId="164" fontId="7" fillId="0" borderId="223" xfId="0" applyNumberFormat="1" applyFont="1" applyBorder="1" applyAlignment="1">
      <alignment horizontal="right"/>
    </xf>
    <xf numFmtId="164" fontId="7" fillId="0" borderId="205" xfId="0" applyNumberFormat="1" applyFont="1" applyBorder="1" applyAlignment="1">
      <alignment horizontal="right"/>
    </xf>
    <xf numFmtId="0" fontId="7" fillId="0" borderId="205" xfId="0" applyFont="1" applyBorder="1" applyAlignment="1">
      <alignment horizontal="right"/>
    </xf>
    <xf numFmtId="0" fontId="7" fillId="0" borderId="201" xfId="0" applyFont="1" applyBorder="1" applyAlignment="1">
      <alignment horizontal="right"/>
    </xf>
    <xf numFmtId="0" fontId="7" fillId="0" borderId="220" xfId="0" applyFont="1" applyBorder="1" applyAlignment="1">
      <alignment horizontal="right"/>
    </xf>
    <xf numFmtId="0" fontId="8" fillId="0" borderId="63" xfId="0" applyFont="1" applyBorder="1" applyAlignment="1">
      <alignment horizontal="center"/>
    </xf>
    <xf numFmtId="164" fontId="9" fillId="0" borderId="65" xfId="0" applyNumberFormat="1" applyFont="1" applyBorder="1" applyAlignment="1">
      <alignment horizontal="right"/>
    </xf>
    <xf numFmtId="164" fontId="9" fillId="0" borderId="49" xfId="0" applyNumberFormat="1" applyFont="1" applyBorder="1" applyAlignment="1">
      <alignment horizontal="right"/>
    </xf>
    <xf numFmtId="164" fontId="9" fillId="0" borderId="68" xfId="0" applyNumberFormat="1" applyFont="1" applyBorder="1" applyAlignment="1">
      <alignment horizontal="right"/>
    </xf>
    <xf numFmtId="0" fontId="9" fillId="0" borderId="64" xfId="0" applyFont="1" applyBorder="1" applyAlignment="1">
      <alignment horizontal="right"/>
    </xf>
    <xf numFmtId="0" fontId="9" fillId="0" borderId="65" xfId="0" applyFont="1" applyBorder="1" applyAlignment="1">
      <alignment horizontal="right"/>
    </xf>
    <xf numFmtId="0" fontId="9" fillId="0" borderId="68" xfId="0" applyFont="1" applyBorder="1" applyAlignment="1">
      <alignment horizontal="right"/>
    </xf>
    <xf numFmtId="0" fontId="9" fillId="0" borderId="50" xfId="0" applyFont="1" applyBorder="1" applyAlignment="1">
      <alignment horizontal="right"/>
    </xf>
    <xf numFmtId="3" fontId="7" fillId="0" borderId="83" xfId="0" applyNumberFormat="1" applyFont="1" applyBorder="1" applyAlignment="1">
      <alignment horizontal="right"/>
    </xf>
    <xf numFmtId="0" fontId="6" fillId="0" borderId="2" xfId="0" applyFont="1" applyBorder="1"/>
    <xf numFmtId="0" fontId="6" fillId="0" borderId="15" xfId="0" applyFont="1" applyBorder="1"/>
    <xf numFmtId="0" fontId="6" fillId="0" borderId="82" xfId="0" applyFont="1" applyBorder="1" applyAlignment="1">
      <alignment horizontal="left"/>
    </xf>
    <xf numFmtId="0" fontId="6" fillId="0" borderId="76" xfId="0" applyFont="1" applyBorder="1"/>
    <xf numFmtId="0" fontId="6" fillId="0" borderId="62" xfId="0" applyFont="1" applyBorder="1"/>
    <xf numFmtId="0" fontId="6" fillId="0" borderId="81" xfId="0" applyFont="1" applyBorder="1"/>
    <xf numFmtId="0" fontId="6" fillId="0" borderId="222" xfId="0" applyFont="1" applyBorder="1"/>
    <xf numFmtId="0" fontId="6" fillId="0" borderId="205" xfId="0" applyFont="1" applyBorder="1"/>
    <xf numFmtId="0" fontId="6" fillId="0" borderId="83" xfId="0" applyFont="1" applyBorder="1"/>
    <xf numFmtId="0" fontId="6" fillId="0" borderId="229" xfId="0" applyFont="1" applyBorder="1"/>
    <xf numFmtId="0" fontId="6" fillId="0" borderId="102" xfId="0" applyFont="1" applyBorder="1" applyAlignment="1">
      <alignment horizontal="left"/>
    </xf>
    <xf numFmtId="164" fontId="6" fillId="0" borderId="26" xfId="0" applyNumberFormat="1" applyFont="1" applyBorder="1"/>
    <xf numFmtId="164" fontId="6" fillId="0" borderId="23" xfId="0" applyNumberFormat="1" applyFont="1" applyBorder="1"/>
    <xf numFmtId="164" fontId="6" fillId="0" borderId="57" xfId="0" applyNumberFormat="1" applyFont="1" applyBorder="1"/>
    <xf numFmtId="3" fontId="7" fillId="0" borderId="57" xfId="0" applyNumberFormat="1" applyFont="1" applyBorder="1"/>
    <xf numFmtId="0" fontId="8" fillId="0" borderId="221" xfId="0" applyFont="1" applyBorder="1" applyAlignment="1">
      <alignment horizontal="center"/>
    </xf>
    <xf numFmtId="0" fontId="6" fillId="0" borderId="226" xfId="0" applyFont="1" applyBorder="1" applyAlignment="1">
      <alignment horizontal="left"/>
    </xf>
    <xf numFmtId="0" fontId="6" fillId="0" borderId="221" xfId="0" applyFont="1" applyBorder="1" applyAlignment="1">
      <alignment horizontal="left"/>
    </xf>
    <xf numFmtId="0" fontId="6" fillId="0" borderId="217" xfId="0" applyFont="1" applyBorder="1" applyAlignment="1">
      <alignment wrapText="1"/>
    </xf>
    <xf numFmtId="0" fontId="6" fillId="0" borderId="103" xfId="0" applyFont="1" applyBorder="1"/>
    <xf numFmtId="0" fontId="6" fillId="0" borderId="106" xfId="0" applyFont="1" applyBorder="1"/>
    <xf numFmtId="0" fontId="6" fillId="0" borderId="97" xfId="0" applyFont="1" applyBorder="1" applyAlignment="1">
      <alignment horizontal="left"/>
    </xf>
    <xf numFmtId="3" fontId="7" fillId="0" borderId="103" xfId="0" applyNumberFormat="1" applyFont="1" applyBorder="1"/>
    <xf numFmtId="3" fontId="7" fillId="0" borderId="111" xfId="0" applyNumberFormat="1" applyFont="1" applyBorder="1"/>
    <xf numFmtId="0" fontId="6" fillId="0" borderId="97" xfId="0" applyFont="1" applyBorder="1"/>
    <xf numFmtId="0" fontId="8" fillId="0" borderId="61" xfId="0" applyFont="1" applyBorder="1" applyAlignment="1">
      <alignment horizontal="center"/>
    </xf>
    <xf numFmtId="3" fontId="7" fillId="0" borderId="49" xfId="0" applyNumberFormat="1" applyFont="1" applyBorder="1"/>
    <xf numFmtId="0" fontId="7" fillId="0" borderId="51" xfId="0" applyFont="1" applyBorder="1"/>
    <xf numFmtId="0" fontId="7" fillId="0" borderId="76" xfId="0" applyFont="1" applyBorder="1"/>
    <xf numFmtId="0" fontId="7" fillId="0" borderId="222" xfId="0" applyFont="1" applyBorder="1"/>
    <xf numFmtId="0" fontId="7" fillId="0" borderId="181" xfId="0" applyFont="1" applyBorder="1" applyAlignment="1">
      <alignment horizontal="left" wrapText="1"/>
    </xf>
    <xf numFmtId="0" fontId="7" fillId="0" borderId="82" xfId="0" applyFont="1" applyBorder="1" applyAlignment="1">
      <alignment horizontal="left" wrapText="1"/>
    </xf>
    <xf numFmtId="0" fontId="6" fillId="0" borderId="82" xfId="0" applyFont="1" applyBorder="1"/>
    <xf numFmtId="0" fontId="7" fillId="0" borderId="63" xfId="0" applyFont="1" applyBorder="1" applyAlignment="1">
      <alignment horizontal="left" wrapText="1"/>
    </xf>
    <xf numFmtId="3" fontId="9" fillId="0" borderId="0" xfId="0" applyNumberFormat="1" applyFont="1"/>
    <xf numFmtId="0" fontId="7" fillId="0" borderId="76" xfId="0" applyFont="1" applyBorder="1" applyAlignment="1">
      <alignment horizontal="left"/>
    </xf>
    <xf numFmtId="0" fontId="9" fillId="0" borderId="222" xfId="0" applyFont="1" applyBorder="1" applyAlignment="1">
      <alignment horizontal="center"/>
    </xf>
    <xf numFmtId="0" fontId="9" fillId="0" borderId="205" xfId="0" applyFont="1" applyBorder="1" applyAlignment="1">
      <alignment horizontal="center"/>
    </xf>
    <xf numFmtId="0" fontId="6" fillId="0" borderId="50" xfId="0" applyFont="1" applyBorder="1"/>
    <xf numFmtId="0" fontId="9" fillId="0" borderId="76" xfId="0" applyFont="1" applyBorder="1" applyAlignment="1">
      <alignment horizontal="center"/>
    </xf>
    <xf numFmtId="164" fontId="8" fillId="0" borderId="56" xfId="0" applyNumberFormat="1" applyFont="1" applyBorder="1"/>
    <xf numFmtId="164" fontId="8" fillId="0" borderId="32" xfId="0" applyNumberFormat="1" applyFont="1" applyBorder="1"/>
    <xf numFmtId="164" fontId="8" fillId="0" borderId="55" xfId="0" applyNumberFormat="1" applyFont="1" applyBorder="1"/>
    <xf numFmtId="3" fontId="8" fillId="0" borderId="58" xfId="0" applyNumberFormat="1" applyFont="1" applyBorder="1"/>
    <xf numFmtId="3" fontId="8" fillId="0" borderId="32" xfId="0" applyNumberFormat="1" applyFont="1" applyBorder="1"/>
    <xf numFmtId="3" fontId="8" fillId="0" borderId="56" xfId="0" applyNumberFormat="1" applyFont="1" applyBorder="1"/>
    <xf numFmtId="3" fontId="8" fillId="0" borderId="47" xfId="0" applyNumberFormat="1" applyFont="1" applyBorder="1"/>
    <xf numFmtId="0" fontId="6" fillId="0" borderId="131" xfId="0" applyFont="1" applyBorder="1"/>
    <xf numFmtId="164" fontId="8" fillId="0" borderId="80" xfId="0" applyNumberFormat="1" applyFont="1" applyBorder="1"/>
    <xf numFmtId="0" fontId="6" fillId="0" borderId="142" xfId="0" applyFont="1" applyBorder="1"/>
    <xf numFmtId="3" fontId="7" fillId="0" borderId="35" xfId="0" applyNumberFormat="1" applyFont="1" applyBorder="1"/>
    <xf numFmtId="0" fontId="8" fillId="0" borderId="83" xfId="0" applyFont="1" applyBorder="1"/>
    <xf numFmtId="0" fontId="6" fillId="0" borderId="45" xfId="0" applyFont="1" applyBorder="1"/>
    <xf numFmtId="0" fontId="6" fillId="0" borderId="46" xfId="0" applyFont="1" applyBorder="1"/>
    <xf numFmtId="0" fontId="8" fillId="0" borderId="55" xfId="0" applyFont="1" applyBorder="1" applyAlignment="1">
      <alignment horizontal="center"/>
    </xf>
    <xf numFmtId="164" fontId="6" fillId="0" borderId="56" xfId="0" applyNumberFormat="1" applyFont="1" applyBorder="1"/>
    <xf numFmtId="164" fontId="6" fillId="0" borderId="46" xfId="0" applyNumberFormat="1" applyFont="1" applyBorder="1"/>
    <xf numFmtId="164" fontId="6" fillId="0" borderId="55" xfId="0" applyNumberFormat="1" applyFont="1" applyBorder="1"/>
    <xf numFmtId="3" fontId="7" fillId="0" borderId="58" xfId="0" applyNumberFormat="1" applyFont="1" applyBorder="1"/>
    <xf numFmtId="0" fontId="6" fillId="0" borderId="102" xfId="0" applyFont="1" applyBorder="1"/>
    <xf numFmtId="0" fontId="7" fillId="0" borderId="225" xfId="0" applyFont="1" applyBorder="1" applyAlignment="1">
      <alignment horizontal="right"/>
    </xf>
    <xf numFmtId="0" fontId="7" fillId="0" borderId="221" xfId="0" applyFont="1" applyBorder="1" applyAlignment="1">
      <alignment horizontal="left"/>
    </xf>
    <xf numFmtId="0" fontId="8" fillId="0" borderId="181" xfId="0" applyFont="1" applyBorder="1"/>
    <xf numFmtId="0" fontId="7" fillId="0" borderId="37" xfId="0" applyFont="1" applyBorder="1" applyAlignment="1">
      <alignment horizontal="right"/>
    </xf>
    <xf numFmtId="0" fontId="7" fillId="0" borderId="15" xfId="0" applyFont="1" applyBorder="1" applyAlignment="1">
      <alignment horizontal="left"/>
    </xf>
    <xf numFmtId="0" fontId="8" fillId="0" borderId="82" xfId="0" applyFont="1" applyBorder="1"/>
    <xf numFmtId="0" fontId="7" fillId="0" borderId="8" xfId="0" applyFont="1" applyBorder="1" applyAlignment="1">
      <alignment horizontal="left"/>
    </xf>
    <xf numFmtId="0" fontId="6" fillId="0" borderId="28" xfId="0" applyFont="1" applyBorder="1"/>
    <xf numFmtId="0" fontId="6" fillId="0" borderId="36" xfId="0" applyFont="1" applyBorder="1"/>
    <xf numFmtId="0" fontId="9" fillId="0" borderId="16" xfId="0" applyFont="1" applyBorder="1" applyAlignment="1">
      <alignment horizontal="center"/>
    </xf>
    <xf numFmtId="0" fontId="8" fillId="0" borderId="98" xfId="0" applyFont="1" applyBorder="1"/>
    <xf numFmtId="0" fontId="7" fillId="0" borderId="59" xfId="0" applyFont="1" applyBorder="1" applyAlignment="1">
      <alignment horizontal="right"/>
    </xf>
    <xf numFmtId="0" fontId="8" fillId="0" borderId="81" xfId="0" applyFont="1" applyBorder="1"/>
    <xf numFmtId="0" fontId="7" fillId="0" borderId="28" xfId="0" applyFont="1" applyBorder="1" applyAlignment="1">
      <alignment horizontal="right"/>
    </xf>
    <xf numFmtId="3" fontId="7" fillId="0" borderId="36" xfId="0" applyNumberFormat="1" applyFont="1" applyBorder="1"/>
    <xf numFmtId="3" fontId="7" fillId="0" borderId="46" xfId="0" applyNumberFormat="1" applyFont="1" applyBorder="1"/>
    <xf numFmtId="0" fontId="6" fillId="0" borderId="31" xfId="0" applyFont="1" applyBorder="1" applyAlignment="1">
      <alignment horizontal="left" wrapText="1"/>
    </xf>
    <xf numFmtId="3" fontId="9" fillId="0" borderId="128" xfId="0" applyNumberFormat="1" applyFont="1" applyBorder="1"/>
    <xf numFmtId="3" fontId="9" fillId="0" borderId="79" xfId="0" applyNumberFormat="1" applyFont="1" applyBorder="1"/>
    <xf numFmtId="0" fontId="6" fillId="0" borderId="130" xfId="0" applyFont="1" applyBorder="1"/>
    <xf numFmtId="0" fontId="7" fillId="0" borderId="38" xfId="0" applyFont="1" applyBorder="1"/>
    <xf numFmtId="0" fontId="7" fillId="0" borderId="23" xfId="0" applyFont="1" applyBorder="1"/>
    <xf numFmtId="0" fontId="7" fillId="0" borderId="26" xfId="0" applyFont="1" applyBorder="1"/>
    <xf numFmtId="164" fontId="7" fillId="0" borderId="27" xfId="0" applyNumberFormat="1" applyFont="1" applyBorder="1"/>
    <xf numFmtId="164" fontId="7" fillId="0" borderId="0" xfId="5" applyNumberFormat="1" applyFont="1" applyFill="1" applyBorder="1" applyAlignment="1">
      <alignment horizontal="right"/>
    </xf>
    <xf numFmtId="0" fontId="31" fillId="0" borderId="101" xfId="0" applyFont="1" applyBorder="1"/>
    <xf numFmtId="167" fontId="7" fillId="0" borderId="24" xfId="0" applyNumberFormat="1" applyFont="1" applyBorder="1"/>
    <xf numFmtId="167" fontId="7" fillId="0" borderId="23" xfId="0" applyNumberFormat="1" applyFont="1" applyBorder="1"/>
    <xf numFmtId="167" fontId="7" fillId="0" borderId="57" xfId="0" applyNumberFormat="1" applyFont="1" applyBorder="1"/>
    <xf numFmtId="167" fontId="7" fillId="0" borderId="25" xfId="0" applyNumberFormat="1" applyFont="1" applyBorder="1"/>
    <xf numFmtId="0" fontId="7" fillId="0" borderId="27" xfId="0" applyFont="1" applyBorder="1" applyAlignment="1">
      <alignment wrapText="1"/>
    </xf>
    <xf numFmtId="0" fontId="6" fillId="0" borderId="42" xfId="0" applyFont="1" applyBorder="1"/>
    <xf numFmtId="0" fontId="7" fillId="0" borderId="258" xfId="0" applyFont="1" applyBorder="1"/>
    <xf numFmtId="164" fontId="9" fillId="0" borderId="74" xfId="0" applyNumberFormat="1" applyFont="1" applyBorder="1" applyAlignment="1">
      <alignment vertical="center"/>
    </xf>
    <xf numFmtId="166" fontId="9" fillId="0" borderId="133" xfId="0" applyNumberFormat="1" applyFont="1" applyBorder="1"/>
    <xf numFmtId="169" fontId="8" fillId="0" borderId="133" xfId="0" applyNumberFormat="1" applyFont="1" applyBorder="1"/>
    <xf numFmtId="169" fontId="8" fillId="0" borderId="74" xfId="0" applyNumberFormat="1" applyFont="1" applyBorder="1"/>
    <xf numFmtId="169" fontId="9" fillId="0" borderId="74" xfId="0" applyNumberFormat="1" applyFont="1" applyBorder="1"/>
    <xf numFmtId="169" fontId="9" fillId="0" borderId="87" xfId="0" applyNumberFormat="1" applyFont="1" applyBorder="1"/>
    <xf numFmtId="166" fontId="9" fillId="0" borderId="80" xfId="0" applyNumberFormat="1" applyFont="1" applyBorder="1"/>
    <xf numFmtId="166" fontId="9" fillId="0" borderId="87" xfId="0" applyNumberFormat="1" applyFont="1" applyBorder="1"/>
    <xf numFmtId="0" fontId="31" fillId="0" borderId="27" xfId="0" applyFont="1" applyBorder="1"/>
    <xf numFmtId="164" fontId="7" fillId="0" borderId="37" xfId="0" applyNumberFormat="1" applyFont="1" applyBorder="1" applyAlignment="1">
      <alignment horizontal="right"/>
    </xf>
    <xf numFmtId="164" fontId="7" fillId="0" borderId="222" xfId="0" applyNumberFormat="1" applyFont="1" applyBorder="1" applyAlignment="1">
      <alignment horizontal="right"/>
    </xf>
    <xf numFmtId="4" fontId="6" fillId="0" borderId="51" xfId="0" applyNumberFormat="1" applyFont="1" applyBorder="1"/>
    <xf numFmtId="0" fontId="7" fillId="0" borderId="15" xfId="0" applyFont="1" applyBorder="1" applyAlignment="1">
      <alignment horizontal="center" wrapText="1"/>
    </xf>
    <xf numFmtId="3" fontId="6" fillId="0" borderId="225" xfId="0" applyNumberFormat="1" applyFont="1" applyBorder="1"/>
    <xf numFmtId="3" fontId="6" fillId="0" borderId="101" xfId="0" applyNumberFormat="1" applyFont="1" applyBorder="1"/>
    <xf numFmtId="0" fontId="6" fillId="0" borderId="29" xfId="0" applyFont="1" applyBorder="1"/>
    <xf numFmtId="0" fontId="6" fillId="0" borderId="185" xfId="0" applyFont="1" applyBorder="1" applyAlignment="1">
      <alignment horizontal="left"/>
    </xf>
    <xf numFmtId="0" fontId="6" fillId="0" borderId="16" xfId="0" applyFont="1" applyBorder="1"/>
    <xf numFmtId="9" fontId="8" fillId="0" borderId="130" xfId="5" applyFont="1" applyFill="1" applyBorder="1"/>
    <xf numFmtId="2" fontId="8" fillId="0" borderId="129" xfId="0" applyNumberFormat="1" applyFont="1" applyBorder="1"/>
    <xf numFmtId="3" fontId="8" fillId="0" borderId="77" xfId="0" applyNumberFormat="1" applyFont="1" applyBorder="1"/>
    <xf numFmtId="2" fontId="9" fillId="0" borderId="166" xfId="0" applyNumberFormat="1" applyFont="1" applyBorder="1" applyAlignment="1">
      <alignment horizontal="right"/>
    </xf>
    <xf numFmtId="0" fontId="8" fillId="0" borderId="130" xfId="0" applyFont="1" applyBorder="1" applyAlignment="1">
      <alignment vertical="center" wrapText="1"/>
    </xf>
    <xf numFmtId="3" fontId="8" fillId="0" borderId="130" xfId="0" applyNumberFormat="1" applyFont="1" applyBorder="1"/>
    <xf numFmtId="9" fontId="8" fillId="0" borderId="79" xfId="5" applyFont="1" applyFill="1" applyBorder="1"/>
    <xf numFmtId="164" fontId="8" fillId="0" borderId="86" xfId="0" applyNumberFormat="1" applyFont="1" applyBorder="1"/>
    <xf numFmtId="164" fontId="8" fillId="0" borderId="129" xfId="0" applyNumberFormat="1" applyFont="1" applyBorder="1"/>
    <xf numFmtId="3" fontId="8" fillId="0" borderId="86" xfId="0" applyNumberFormat="1" applyFont="1" applyBorder="1"/>
    <xf numFmtId="3" fontId="9" fillId="0" borderId="130" xfId="0" applyNumberFormat="1" applyFont="1" applyBorder="1" applyAlignment="1">
      <alignment horizontal="right"/>
    </xf>
    <xf numFmtId="0" fontId="8" fillId="0" borderId="202" xfId="0" applyFont="1" applyBorder="1" applyAlignment="1">
      <alignment horizontal="center"/>
    </xf>
    <xf numFmtId="49" fontId="7" fillId="0" borderId="219" xfId="0" applyNumberFormat="1" applyFont="1" applyBorder="1" applyAlignment="1">
      <alignment wrapText="1"/>
    </xf>
    <xf numFmtId="0" fontId="7" fillId="0" borderId="233" xfId="0" applyFont="1" applyBorder="1" applyAlignment="1">
      <alignment horizontal="left"/>
    </xf>
    <xf numFmtId="164" fontId="7" fillId="0" borderId="233" xfId="0" applyNumberFormat="1" applyFont="1" applyBorder="1"/>
    <xf numFmtId="0" fontId="6" fillId="0" borderId="219" xfId="0" applyFont="1" applyBorder="1"/>
    <xf numFmtId="3" fontId="6" fillId="0" borderId="219" xfId="0" applyNumberFormat="1" applyFont="1" applyBorder="1"/>
    <xf numFmtId="3" fontId="6" fillId="0" borderId="232" xfId="0" applyNumberFormat="1" applyFont="1" applyBorder="1"/>
    <xf numFmtId="0" fontId="8" fillId="0" borderId="240" xfId="0" applyFont="1" applyBorder="1" applyAlignment="1">
      <alignment horizontal="center"/>
    </xf>
    <xf numFmtId="164" fontId="6" fillId="0" borderId="229" xfId="0" applyNumberFormat="1" applyFont="1" applyBorder="1"/>
    <xf numFmtId="164" fontId="6" fillId="0" borderId="240" xfId="0" applyNumberFormat="1" applyFont="1" applyBorder="1"/>
    <xf numFmtId="164" fontId="6" fillId="0" borderId="232" xfId="0" applyNumberFormat="1" applyFont="1" applyBorder="1"/>
    <xf numFmtId="164" fontId="6" fillId="0" borderId="233" xfId="0" applyNumberFormat="1" applyFont="1" applyBorder="1"/>
    <xf numFmtId="0" fontId="8" fillId="0" borderId="53" xfId="4" applyFont="1" applyBorder="1" applyAlignment="1">
      <alignment horizontal="center" wrapText="1"/>
    </xf>
    <xf numFmtId="0" fontId="7" fillId="0" borderId="0" xfId="0" applyFont="1" applyAlignment="1">
      <alignment horizontal="left" wrapText="1"/>
    </xf>
    <xf numFmtId="0" fontId="9" fillId="0" borderId="203" xfId="0" applyFont="1" applyBorder="1" applyAlignment="1">
      <alignment horizontal="center" vertical="center" wrapText="1"/>
    </xf>
    <xf numFmtId="0" fontId="9" fillId="0" borderId="132" xfId="0" applyFont="1" applyBorder="1" applyAlignment="1">
      <alignment horizontal="center" vertical="center" wrapText="1"/>
    </xf>
    <xf numFmtId="0" fontId="9" fillId="0" borderId="48" xfId="0" applyFont="1" applyBorder="1" applyAlignment="1">
      <alignment horizontal="center"/>
    </xf>
    <xf numFmtId="0" fontId="9" fillId="0" borderId="50" xfId="4" applyFont="1" applyBorder="1" applyAlignment="1">
      <alignment horizontal="center" vertical="center"/>
    </xf>
    <xf numFmtId="0" fontId="9" fillId="0" borderId="27" xfId="0" applyFont="1" applyBorder="1" applyAlignment="1">
      <alignment horizontal="center"/>
    </xf>
    <xf numFmtId="0" fontId="8" fillId="0" borderId="234" xfId="0" applyFont="1" applyBorder="1" applyAlignment="1">
      <alignment horizontal="center" vertical="center" wrapText="1"/>
    </xf>
    <xf numFmtId="0" fontId="8" fillId="0" borderId="132" xfId="0" applyFont="1" applyBorder="1" applyAlignment="1">
      <alignment horizontal="center" vertical="center" wrapText="1"/>
    </xf>
    <xf numFmtId="0" fontId="9" fillId="0" borderId="48" xfId="4" applyFont="1" applyBorder="1" applyAlignment="1">
      <alignment horizontal="center" vertical="center"/>
    </xf>
    <xf numFmtId="0" fontId="8" fillId="0" borderId="83" xfId="0" applyFont="1" applyBorder="1" applyAlignment="1">
      <alignment horizontal="center" vertical="center" wrapText="1"/>
    </xf>
    <xf numFmtId="0" fontId="6" fillId="0" borderId="0" xfId="0" applyFont="1" applyAlignment="1">
      <alignment horizontal="left" wrapText="1"/>
    </xf>
    <xf numFmtId="0" fontId="8" fillId="0" borderId="0" xfId="0" applyFont="1" applyAlignment="1">
      <alignment horizontal="center" vertical="center" wrapText="1"/>
    </xf>
    <xf numFmtId="0" fontId="8" fillId="0" borderId="49" xfId="0" applyFont="1" applyBorder="1" applyAlignment="1">
      <alignment horizontal="center" vertical="center" wrapText="1"/>
    </xf>
    <xf numFmtId="0" fontId="9" fillId="0" borderId="72" xfId="0" applyFont="1" applyBorder="1" applyAlignment="1">
      <alignment horizontal="center"/>
    </xf>
    <xf numFmtId="0" fontId="9" fillId="0" borderId="73" xfId="0" applyFont="1" applyBorder="1" applyAlignment="1">
      <alignment horizontal="center"/>
    </xf>
    <xf numFmtId="0" fontId="9" fillId="0" borderId="64" xfId="0" applyFont="1" applyBorder="1" applyAlignment="1">
      <alignment horizontal="center"/>
    </xf>
    <xf numFmtId="0" fontId="9" fillId="0" borderId="65" xfId="0" applyFont="1" applyBorder="1" applyAlignment="1">
      <alignment horizontal="center"/>
    </xf>
    <xf numFmtId="0" fontId="9" fillId="0" borderId="68" xfId="0" applyFont="1" applyBorder="1" applyAlignment="1">
      <alignment horizontal="center"/>
    </xf>
    <xf numFmtId="0" fontId="9" fillId="0" borderId="133" xfId="0" applyFont="1" applyBorder="1" applyAlignment="1">
      <alignment horizontal="center" wrapText="1"/>
    </xf>
    <xf numFmtId="0" fontId="9" fillId="0" borderId="131" xfId="0" applyFont="1" applyBorder="1" applyAlignment="1">
      <alignment horizontal="center" wrapText="1"/>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0" xfId="0" applyFont="1" applyAlignment="1">
      <alignment horizontal="center" vertical="center"/>
    </xf>
    <xf numFmtId="0" fontId="9" fillId="0" borderId="74" xfId="0" applyFont="1" applyBorder="1" applyAlignment="1">
      <alignment horizontal="center"/>
    </xf>
    <xf numFmtId="0" fontId="8" fillId="0" borderId="27" xfId="0" applyFont="1" applyBorder="1" applyAlignment="1">
      <alignment horizontal="center"/>
    </xf>
    <xf numFmtId="0" fontId="8" fillId="0" borderId="0" xfId="0" applyFont="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8" fillId="0" borderId="50" xfId="0" applyFont="1" applyBorder="1" applyAlignment="1">
      <alignment horizontal="center"/>
    </xf>
    <xf numFmtId="0" fontId="8" fillId="0" borderId="100"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8" fillId="0" borderId="132" xfId="0" applyFont="1" applyBorder="1" applyAlignment="1">
      <alignment horizontal="center"/>
    </xf>
    <xf numFmtId="0" fontId="8" fillId="0" borderId="131" xfId="0" applyFont="1" applyBorder="1" applyAlignment="1">
      <alignment horizontal="center"/>
    </xf>
    <xf numFmtId="0" fontId="8" fillId="0" borderId="213" xfId="0" applyFont="1" applyBorder="1" applyAlignment="1">
      <alignment horizontal="center" vertical="center"/>
    </xf>
    <xf numFmtId="0" fontId="8" fillId="0" borderId="133" xfId="0" applyFont="1" applyBorder="1" applyAlignment="1">
      <alignment horizontal="center" vertical="center"/>
    </xf>
    <xf numFmtId="0" fontId="8" fillId="0" borderId="131" xfId="0" applyFont="1" applyBorder="1" applyAlignment="1">
      <alignment horizontal="center" vertical="center"/>
    </xf>
    <xf numFmtId="0" fontId="9" fillId="0" borderId="133" xfId="0" applyFont="1" applyBorder="1" applyAlignment="1">
      <alignment horizontal="center" vertical="center"/>
    </xf>
    <xf numFmtId="0" fontId="9" fillId="0" borderId="73" xfId="0" applyFont="1" applyBorder="1" applyAlignment="1">
      <alignment horizontal="center" vertical="center" wrapText="1"/>
    </xf>
    <xf numFmtId="3" fontId="6" fillId="0" borderId="240" xfId="0" applyNumberFormat="1" applyFont="1" applyBorder="1"/>
    <xf numFmtId="0" fontId="6" fillId="0" borderId="190" xfId="0" applyFont="1" applyBorder="1"/>
    <xf numFmtId="0" fontId="6" fillId="0" borderId="240" xfId="0" applyFont="1" applyBorder="1"/>
    <xf numFmtId="0" fontId="8" fillId="0" borderId="216" xfId="0" applyFont="1" applyBorder="1" applyAlignment="1">
      <alignment horizontal="center"/>
    </xf>
    <xf numFmtId="164" fontId="6" fillId="0" borderId="215" xfId="0" applyNumberFormat="1" applyFont="1" applyBorder="1"/>
    <xf numFmtId="0" fontId="6" fillId="0" borderId="216" xfId="0" applyFont="1" applyBorder="1"/>
    <xf numFmtId="0" fontId="7" fillId="0" borderId="53" xfId="0" applyFont="1" applyBorder="1"/>
    <xf numFmtId="164" fontId="6" fillId="0" borderId="60" xfId="129" applyNumberFormat="1" applyFont="1" applyBorder="1"/>
    <xf numFmtId="0" fontId="7" fillId="0" borderId="36" xfId="0" applyFont="1" applyBorder="1"/>
    <xf numFmtId="164" fontId="6" fillId="0" borderId="11" xfId="129" applyNumberFormat="1" applyFont="1" applyBorder="1"/>
    <xf numFmtId="3" fontId="7" fillId="0" borderId="42" xfId="0" applyNumberFormat="1" applyFont="1" applyBorder="1"/>
    <xf numFmtId="0" fontId="7" fillId="0" borderId="205" xfId="0" applyFont="1" applyBorder="1"/>
    <xf numFmtId="0" fontId="7" fillId="0" borderId="202" xfId="0" applyFont="1" applyBorder="1"/>
    <xf numFmtId="9" fontId="6" fillId="0" borderId="98" xfId="5" applyFont="1" applyFill="1" applyBorder="1"/>
    <xf numFmtId="4" fontId="9" fillId="0" borderId="49" xfId="0" applyNumberFormat="1" applyFont="1" applyBorder="1" applyAlignment="1">
      <alignment horizontal="right"/>
    </xf>
    <xf numFmtId="4" fontId="9" fillId="0" borderId="133" xfId="0" applyNumberFormat="1" applyFont="1" applyBorder="1" applyAlignment="1">
      <alignment horizontal="right"/>
    </xf>
    <xf numFmtId="0" fontId="8" fillId="0" borderId="261" xfId="0" applyFont="1" applyBorder="1" applyAlignment="1">
      <alignment horizontal="center"/>
    </xf>
    <xf numFmtId="2" fontId="8" fillId="0" borderId="262" xfId="0" applyNumberFormat="1" applyFont="1" applyBorder="1"/>
    <xf numFmtId="2" fontId="8" fillId="0" borderId="263" xfId="0" applyNumberFormat="1" applyFont="1" applyBorder="1"/>
    <xf numFmtId="2" fontId="8" fillId="0" borderId="34" xfId="0" applyNumberFormat="1" applyFont="1" applyBorder="1"/>
    <xf numFmtId="2" fontId="8" fillId="0" borderId="138" xfId="0" applyNumberFormat="1" applyFont="1" applyBorder="1"/>
    <xf numFmtId="2" fontId="8" fillId="0" borderId="199" xfId="0" applyNumberFormat="1" applyFont="1" applyBorder="1"/>
    <xf numFmtId="2" fontId="8" fillId="0" borderId="197" xfId="0" applyNumberFormat="1" applyFont="1" applyBorder="1"/>
    <xf numFmtId="2" fontId="8" fillId="0" borderId="198" xfId="0" applyNumberFormat="1" applyFont="1" applyBorder="1"/>
    <xf numFmtId="2" fontId="8" fillId="0" borderId="34" xfId="0" applyNumberFormat="1" applyFont="1" applyBorder="1" applyAlignment="1">
      <alignment horizontal="right"/>
    </xf>
    <xf numFmtId="2" fontId="8" fillId="0" borderId="264" xfId="0" applyNumberFormat="1" applyFont="1" applyBorder="1" applyAlignment="1">
      <alignment horizontal="right"/>
    </xf>
    <xf numFmtId="2" fontId="8" fillId="0" borderId="197" xfId="0" applyNumberFormat="1" applyFont="1" applyBorder="1" applyAlignment="1">
      <alignment horizontal="right"/>
    </xf>
    <xf numFmtId="2" fontId="9" fillId="0" borderId="264" xfId="337" applyNumberFormat="1" applyFont="1" applyBorder="1" applyAlignment="1">
      <alignment vertical="center"/>
    </xf>
    <xf numFmtId="2" fontId="8" fillId="0" borderId="243" xfId="0" applyNumberFormat="1" applyFont="1" applyBorder="1" applyAlignment="1">
      <alignment horizontal="right"/>
    </xf>
    <xf numFmtId="2" fontId="8" fillId="0" borderId="228" xfId="0" applyNumberFormat="1" applyFont="1" applyBorder="1" applyAlignment="1">
      <alignment horizontal="right"/>
    </xf>
    <xf numFmtId="2" fontId="8" fillId="0" borderId="198" xfId="0" applyNumberFormat="1" applyFont="1" applyBorder="1" applyAlignment="1">
      <alignment horizontal="right"/>
    </xf>
    <xf numFmtId="2" fontId="8" fillId="0" borderId="265" xfId="0" applyNumberFormat="1" applyFont="1" applyBorder="1" applyAlignment="1">
      <alignment horizontal="right"/>
    </xf>
    <xf numFmtId="4" fontId="9" fillId="0" borderId="207" xfId="0" applyNumberFormat="1" applyFont="1" applyBorder="1" applyAlignment="1">
      <alignment horizontal="right"/>
    </xf>
    <xf numFmtId="2" fontId="8" fillId="0" borderId="263" xfId="0" applyNumberFormat="1" applyFont="1" applyBorder="1" applyAlignment="1">
      <alignment horizontal="right"/>
    </xf>
    <xf numFmtId="0" fontId="8" fillId="0" borderId="214" xfId="0" applyFont="1" applyBorder="1" applyAlignment="1">
      <alignment horizontal="center"/>
    </xf>
    <xf numFmtId="2" fontId="8" fillId="0" borderId="54" xfId="0" applyNumberFormat="1" applyFont="1" applyBorder="1" applyAlignment="1">
      <alignment horizontal="right"/>
    </xf>
    <xf numFmtId="2" fontId="8" fillId="0" borderId="216" xfId="0" applyNumberFormat="1" applyFont="1" applyBorder="1" applyAlignment="1">
      <alignment horizontal="right"/>
    </xf>
    <xf numFmtId="2" fontId="8" fillId="0" borderId="202" xfId="0" applyNumberFormat="1" applyFont="1" applyBorder="1" applyAlignment="1">
      <alignment horizontal="right"/>
    </xf>
    <xf numFmtId="2" fontId="8" fillId="0" borderId="128" xfId="0" applyNumberFormat="1" applyFont="1" applyBorder="1" applyAlignment="1">
      <alignment horizontal="right"/>
    </xf>
    <xf numFmtId="2" fontId="8" fillId="0" borderId="231" xfId="0" applyNumberFormat="1" applyFont="1" applyBorder="1" applyAlignment="1">
      <alignment horizontal="right"/>
    </xf>
    <xf numFmtId="2" fontId="8" fillId="0" borderId="53" xfId="0" applyNumberFormat="1" applyFont="1" applyBorder="1" applyAlignment="1">
      <alignment horizontal="right"/>
    </xf>
    <xf numFmtId="2" fontId="8" fillId="0" borderId="104" xfId="0" applyNumberFormat="1" applyFont="1" applyBorder="1" applyAlignment="1">
      <alignment horizontal="right"/>
    </xf>
    <xf numFmtId="2" fontId="8" fillId="0" borderId="25" xfId="0" applyNumberFormat="1" applyFont="1" applyBorder="1" applyAlignment="1">
      <alignment horizontal="right"/>
    </xf>
    <xf numFmtId="2" fontId="8" fillId="0" borderId="3" xfId="0" applyNumberFormat="1" applyFont="1" applyBorder="1" applyAlignment="1">
      <alignment horizontal="right"/>
    </xf>
    <xf numFmtId="2" fontId="8" fillId="0" borderId="128" xfId="0" applyNumberFormat="1" applyFont="1" applyBorder="1"/>
    <xf numFmtId="2" fontId="8" fillId="0" borderId="66" xfId="0" applyNumberFormat="1" applyFont="1" applyBorder="1"/>
    <xf numFmtId="2" fontId="8" fillId="0" borderId="172" xfId="0" applyNumberFormat="1" applyFont="1" applyBorder="1"/>
    <xf numFmtId="2" fontId="8" fillId="0" borderId="54" xfId="0" applyNumberFormat="1" applyFont="1" applyBorder="1"/>
    <xf numFmtId="2" fontId="8" fillId="0" borderId="202" xfId="0" applyNumberFormat="1" applyFont="1" applyBorder="1"/>
    <xf numFmtId="2" fontId="8" fillId="0" borderId="25" xfId="0" applyNumberFormat="1" applyFont="1" applyBorder="1"/>
    <xf numFmtId="2" fontId="8" fillId="0" borderId="216" xfId="0" applyNumberFormat="1" applyFont="1" applyBorder="1"/>
    <xf numFmtId="2" fontId="9" fillId="0" borderId="53" xfId="337" applyNumberFormat="1" applyFont="1" applyBorder="1" applyAlignment="1">
      <alignment vertical="center"/>
    </xf>
    <xf numFmtId="2" fontId="9" fillId="0" borderId="128" xfId="337" applyNumberFormat="1" applyFont="1" applyBorder="1"/>
    <xf numFmtId="2" fontId="8" fillId="0" borderId="66" xfId="0" applyNumberFormat="1" applyFont="1" applyBorder="1" applyAlignment="1">
      <alignment horizontal="right"/>
    </xf>
    <xf numFmtId="2" fontId="8" fillId="0" borderId="199" xfId="0" applyNumberFormat="1" applyFont="1" applyBorder="1" applyAlignment="1">
      <alignment horizontal="right"/>
    </xf>
    <xf numFmtId="2" fontId="8" fillId="0" borderId="138" xfId="0" applyNumberFormat="1" applyFont="1" applyBorder="1" applyAlignment="1">
      <alignment horizontal="right"/>
    </xf>
    <xf numFmtId="2" fontId="9" fillId="0" borderId="138" xfId="337" applyNumberFormat="1" applyFont="1" applyBorder="1"/>
    <xf numFmtId="4" fontId="9" fillId="0" borderId="138" xfId="0" applyNumberFormat="1" applyFont="1" applyBorder="1" applyAlignment="1">
      <alignment horizontal="right"/>
    </xf>
    <xf numFmtId="2" fontId="9" fillId="0" borderId="228" xfId="337" applyNumberFormat="1" applyFont="1" applyBorder="1"/>
    <xf numFmtId="2" fontId="8" fillId="0" borderId="262" xfId="0" applyNumberFormat="1" applyFont="1" applyBorder="1" applyAlignment="1">
      <alignment horizontal="right"/>
    </xf>
    <xf numFmtId="2" fontId="8" fillId="0" borderId="42" xfId="0" applyNumberFormat="1" applyFont="1" applyBorder="1" applyAlignment="1">
      <alignment horizontal="right"/>
    </xf>
    <xf numFmtId="2" fontId="8" fillId="0" borderId="47" xfId="0" applyNumberFormat="1" applyFont="1" applyBorder="1" applyAlignment="1">
      <alignment horizontal="right"/>
    </xf>
    <xf numFmtId="2" fontId="8" fillId="0" borderId="243" xfId="0" applyNumberFormat="1" applyFont="1" applyBorder="1"/>
    <xf numFmtId="2" fontId="8" fillId="0" borderId="266" xfId="0" applyNumberFormat="1" applyFont="1" applyBorder="1"/>
    <xf numFmtId="2" fontId="8" fillId="0" borderId="265" xfId="0" applyNumberFormat="1" applyFont="1" applyBorder="1"/>
    <xf numFmtId="0" fontId="6" fillId="0" borderId="38" xfId="0" applyFont="1" applyBorder="1"/>
    <xf numFmtId="0" fontId="8" fillId="0" borderId="231" xfId="0" applyFont="1" applyBorder="1" applyAlignment="1">
      <alignment horizontal="center"/>
    </xf>
    <xf numFmtId="2" fontId="8" fillId="0" borderId="3" xfId="0" applyNumberFormat="1" applyFont="1" applyBorder="1"/>
    <xf numFmtId="2" fontId="8" fillId="0" borderId="231" xfId="0" applyNumberFormat="1" applyFont="1" applyBorder="1"/>
    <xf numFmtId="2" fontId="9" fillId="0" borderId="25" xfId="337" applyNumberFormat="1" applyFont="1" applyBorder="1" applyAlignment="1">
      <alignment vertical="center"/>
    </xf>
    <xf numFmtId="4" fontId="9" fillId="0" borderId="25" xfId="0" applyNumberFormat="1" applyFont="1" applyBorder="1" applyAlignment="1">
      <alignment horizontal="right"/>
    </xf>
    <xf numFmtId="4" fontId="9" fillId="0" borderId="74" xfId="0" applyNumberFormat="1" applyFont="1" applyBorder="1" applyAlignment="1">
      <alignment horizontal="right"/>
    </xf>
    <xf numFmtId="4" fontId="9" fillId="0" borderId="66" xfId="0" applyNumberFormat="1" applyFont="1" applyBorder="1" applyAlignment="1">
      <alignment horizontal="right"/>
    </xf>
    <xf numFmtId="2" fontId="8" fillId="0" borderId="74" xfId="0" applyNumberFormat="1" applyFont="1" applyBorder="1" applyAlignment="1">
      <alignment horizontal="right"/>
    </xf>
    <xf numFmtId="4" fontId="9" fillId="0" borderId="240" xfId="0" applyNumberFormat="1" applyFont="1" applyBorder="1"/>
    <xf numFmtId="2" fontId="9" fillId="0" borderId="223" xfId="0" applyNumberFormat="1" applyFont="1" applyBorder="1" applyAlignment="1">
      <alignment horizontal="right" wrapText="1"/>
    </xf>
    <xf numFmtId="2" fontId="9" fillId="0" borderId="61" xfId="0" applyNumberFormat="1" applyFont="1" applyBorder="1" applyAlignment="1">
      <alignment horizontal="right" wrapText="1"/>
    </xf>
    <xf numFmtId="0" fontId="9" fillId="0" borderId="261" xfId="0" applyFont="1" applyBorder="1" applyAlignment="1">
      <alignment horizontal="center"/>
    </xf>
    <xf numFmtId="4" fontId="9" fillId="0" borderId="264" xfId="0" applyNumberFormat="1" applyFont="1" applyBorder="1"/>
    <xf numFmtId="0" fontId="9" fillId="0" borderId="214" xfId="0" applyFont="1" applyBorder="1" applyAlignment="1">
      <alignment horizontal="center"/>
    </xf>
    <xf numFmtId="4" fontId="9" fillId="0" borderId="202" xfId="0" applyNumberFormat="1" applyFont="1" applyBorder="1"/>
    <xf numFmtId="4" fontId="9" fillId="0" borderId="262" xfId="0" applyNumberFormat="1" applyFont="1" applyBorder="1"/>
    <xf numFmtId="2" fontId="9" fillId="0" borderId="243" xfId="0" applyNumberFormat="1" applyFont="1" applyBorder="1" applyAlignment="1">
      <alignment horizontal="right" wrapText="1"/>
    </xf>
    <xf numFmtId="2" fontId="9" fillId="0" borderId="34" xfId="0" applyNumberFormat="1" applyFont="1" applyBorder="1" applyAlignment="1">
      <alignment horizontal="right" wrapText="1"/>
    </xf>
    <xf numFmtId="2" fontId="9" fillId="0" borderId="199" xfId="0" applyNumberFormat="1" applyFont="1" applyBorder="1" applyAlignment="1">
      <alignment horizontal="right" wrapText="1"/>
    </xf>
    <xf numFmtId="2" fontId="9" fillId="0" borderId="264" xfId="0" applyNumberFormat="1" applyFont="1" applyBorder="1" applyAlignment="1">
      <alignment horizontal="right" wrapText="1"/>
    </xf>
    <xf numFmtId="2" fontId="9" fillId="0" borderId="138" xfId="0" applyNumberFormat="1" applyFont="1" applyBorder="1" applyAlignment="1">
      <alignment horizontal="right" wrapText="1"/>
    </xf>
    <xf numFmtId="2" fontId="9" fillId="0" borderId="264" xfId="0" applyNumberFormat="1" applyFont="1" applyBorder="1" applyAlignment="1">
      <alignment horizontal="right"/>
    </xf>
    <xf numFmtId="2" fontId="9" fillId="0" borderId="34" xfId="0" applyNumberFormat="1" applyFont="1" applyBorder="1" applyAlignment="1">
      <alignment horizontal="right"/>
    </xf>
    <xf numFmtId="2" fontId="9" fillId="0" borderId="197" xfId="0" applyNumberFormat="1" applyFont="1" applyBorder="1" applyAlignment="1">
      <alignment horizontal="right" wrapText="1"/>
    </xf>
    <xf numFmtId="2" fontId="9" fillId="0" borderId="198" xfId="0" applyNumberFormat="1" applyFont="1" applyBorder="1" applyAlignment="1">
      <alignment horizontal="right" wrapText="1"/>
    </xf>
    <xf numFmtId="2" fontId="9" fillId="0" borderId="207" xfId="0" applyNumberFormat="1" applyFont="1" applyBorder="1" applyAlignment="1">
      <alignment horizontal="right" wrapText="1"/>
    </xf>
    <xf numFmtId="2" fontId="9" fillId="0" borderId="266" xfId="0" applyNumberFormat="1" applyFont="1" applyBorder="1" applyAlignment="1">
      <alignment horizontal="right"/>
    </xf>
    <xf numFmtId="0" fontId="8" fillId="0" borderId="261" xfId="0" applyFont="1" applyBorder="1" applyAlignment="1">
      <alignment horizontal="center" vertical="center"/>
    </xf>
    <xf numFmtId="4" fontId="8" fillId="0" borderId="243" xfId="0" applyNumberFormat="1" applyFont="1" applyBorder="1"/>
    <xf numFmtId="4" fontId="8" fillId="0" borderId="34" xfId="0" applyNumberFormat="1" applyFont="1" applyBorder="1"/>
    <xf numFmtId="4" fontId="8" fillId="0" borderId="199" xfId="0" applyNumberFormat="1" applyFont="1" applyBorder="1"/>
    <xf numFmtId="4" fontId="8" fillId="0" borderId="264" xfId="0" applyNumberFormat="1" applyFont="1" applyBorder="1"/>
    <xf numFmtId="4" fontId="8" fillId="0" borderId="138" xfId="0" applyNumberFormat="1" applyFont="1" applyBorder="1"/>
    <xf numFmtId="4" fontId="8" fillId="0" borderId="197" xfId="0" applyNumberFormat="1" applyFont="1" applyBorder="1"/>
    <xf numFmtId="4" fontId="8" fillId="0" borderId="198" xfId="0" applyNumberFormat="1" applyFont="1" applyBorder="1"/>
    <xf numFmtId="4" fontId="8" fillId="0" borderId="207" xfId="0" applyNumberFormat="1" applyFont="1" applyBorder="1"/>
    <xf numFmtId="4" fontId="8" fillId="0" borderId="54" xfId="0" applyNumberFormat="1" applyFont="1" applyBorder="1"/>
    <xf numFmtId="4" fontId="8" fillId="0" borderId="231" xfId="0" applyNumberFormat="1" applyFont="1" applyBorder="1"/>
    <xf numFmtId="4" fontId="8" fillId="0" borderId="25" xfId="0" applyNumberFormat="1" applyFont="1" applyBorder="1"/>
    <xf numFmtId="4" fontId="8" fillId="0" borderId="3" xfId="0" applyNumberFormat="1" applyFont="1" applyBorder="1"/>
    <xf numFmtId="4" fontId="8" fillId="0" borderId="216" xfId="0" applyNumberFormat="1" applyFont="1" applyBorder="1"/>
    <xf numFmtId="4" fontId="8" fillId="0" borderId="66" xfId="0" applyNumberFormat="1" applyFont="1" applyBorder="1"/>
    <xf numFmtId="4" fontId="8" fillId="0" borderId="74" xfId="0" applyNumberFormat="1" applyFont="1" applyBorder="1"/>
    <xf numFmtId="4" fontId="8" fillId="0" borderId="53" xfId="0" applyNumberFormat="1" applyFont="1" applyBorder="1"/>
    <xf numFmtId="2" fontId="9" fillId="0" borderId="53" xfId="0" applyNumberFormat="1" applyFont="1" applyBorder="1" applyAlignment="1">
      <alignment horizontal="right" wrapText="1"/>
    </xf>
    <xf numFmtId="2" fontId="9" fillId="0" borderId="202" xfId="0" applyNumberFormat="1" applyFont="1" applyBorder="1" applyAlignment="1">
      <alignment horizontal="right" wrapText="1"/>
    </xf>
    <xf numFmtId="2" fontId="9" fillId="0" borderId="25" xfId="0" applyNumberFormat="1" applyFont="1" applyBorder="1" applyAlignment="1">
      <alignment horizontal="right" wrapText="1"/>
    </xf>
    <xf numFmtId="2" fontId="9" fillId="0" borderId="66" xfId="0" applyNumberFormat="1" applyFont="1" applyBorder="1" applyAlignment="1">
      <alignment horizontal="right" wrapText="1"/>
    </xf>
    <xf numFmtId="2" fontId="9" fillId="0" borderId="53" xfId="0" applyNumberFormat="1" applyFont="1" applyBorder="1" applyAlignment="1">
      <alignment horizontal="right"/>
    </xf>
    <xf numFmtId="2" fontId="9" fillId="0" borderId="5" xfId="0" applyNumberFormat="1" applyFont="1" applyBorder="1" applyAlignment="1">
      <alignment horizontal="right"/>
    </xf>
    <xf numFmtId="2" fontId="9" fillId="0" borderId="66" xfId="0" applyNumberFormat="1" applyFont="1" applyBorder="1" applyAlignment="1">
      <alignment horizontal="right"/>
    </xf>
    <xf numFmtId="2" fontId="9" fillId="0" borderId="3" xfId="0" applyNumberFormat="1" applyFont="1" applyBorder="1" applyAlignment="1">
      <alignment horizontal="right" wrapText="1"/>
    </xf>
    <xf numFmtId="2" fontId="9" fillId="0" borderId="216" xfId="0" applyNumberFormat="1" applyFont="1" applyBorder="1" applyAlignment="1">
      <alignment horizontal="right" wrapText="1"/>
    </xf>
    <xf numFmtId="2" fontId="9" fillId="0" borderId="231" xfId="0" applyNumberFormat="1" applyFont="1" applyBorder="1" applyAlignment="1">
      <alignment horizontal="right" wrapText="1"/>
    </xf>
    <xf numFmtId="2" fontId="9" fillId="0" borderId="74" xfId="0" applyNumberFormat="1" applyFont="1" applyBorder="1" applyAlignment="1">
      <alignment horizontal="right" wrapText="1"/>
    </xf>
    <xf numFmtId="4" fontId="8" fillId="0" borderId="128" xfId="0" applyNumberFormat="1" applyFont="1" applyBorder="1"/>
    <xf numFmtId="4" fontId="8" fillId="0" borderId="202" xfId="0" applyNumberFormat="1" applyFont="1" applyBorder="1"/>
    <xf numFmtId="4" fontId="9" fillId="0" borderId="38" xfId="0" applyNumberFormat="1" applyFont="1" applyBorder="1" applyAlignment="1">
      <alignment horizontal="right" vertical="center"/>
    </xf>
    <xf numFmtId="0" fontId="7" fillId="0" borderId="0" xfId="0" applyFont="1" applyAlignment="1">
      <alignment horizontal="left" wrapText="1"/>
    </xf>
    <xf numFmtId="0" fontId="9" fillId="0" borderId="48" xfId="4" applyFont="1" applyBorder="1" applyAlignment="1">
      <alignment horizontal="center" wrapText="1"/>
    </xf>
    <xf numFmtId="0" fontId="9" fillId="0" borderId="49" xfId="4" applyFont="1" applyBorder="1" applyAlignment="1">
      <alignment horizontal="center" wrapText="1"/>
    </xf>
    <xf numFmtId="0" fontId="8" fillId="0" borderId="81" xfId="4" applyFont="1" applyBorder="1" applyAlignment="1">
      <alignment horizontal="center" vertical="center"/>
    </xf>
    <xf numFmtId="0" fontId="8" fillId="0" borderId="203" xfId="4" applyFont="1" applyBorder="1" applyAlignment="1">
      <alignment horizontal="center" vertical="center"/>
    </xf>
    <xf numFmtId="0" fontId="8" fillId="0" borderId="47" xfId="4" applyFont="1" applyBorder="1" applyAlignment="1">
      <alignment horizontal="center" vertical="center" wrapText="1"/>
    </xf>
    <xf numFmtId="0" fontId="8" fillId="0" borderId="50" xfId="4" applyFont="1" applyBorder="1" applyAlignment="1">
      <alignment horizontal="center" vertical="center" wrapText="1"/>
    </xf>
    <xf numFmtId="0" fontId="8" fillId="0" borderId="238" xfId="4" applyFont="1" applyBorder="1" applyAlignment="1">
      <alignment horizontal="center"/>
    </xf>
    <xf numFmtId="0" fontId="8" fillId="0" borderId="195" xfId="4" applyFont="1" applyBorder="1" applyAlignment="1">
      <alignment horizontal="center"/>
    </xf>
    <xf numFmtId="0" fontId="8" fillId="0" borderId="234" xfId="4" applyFont="1" applyBorder="1" applyAlignment="1">
      <alignment horizontal="center"/>
    </xf>
    <xf numFmtId="0" fontId="9" fillId="0" borderId="132" xfId="4" applyFont="1" applyBorder="1" applyAlignment="1">
      <alignment horizontal="center"/>
    </xf>
    <xf numFmtId="0" fontId="9" fillId="0" borderId="131" xfId="4" applyFont="1" applyBorder="1" applyAlignment="1">
      <alignment horizontal="center"/>
    </xf>
    <xf numFmtId="0" fontId="9" fillId="0" borderId="48" xfId="4" applyFont="1" applyBorder="1" applyAlignment="1">
      <alignment horizontal="center"/>
    </xf>
    <xf numFmtId="0" fontId="9" fillId="0" borderId="50" xfId="4" applyFont="1" applyBorder="1" applyAlignment="1">
      <alignment horizontal="center"/>
    </xf>
    <xf numFmtId="0" fontId="8" fillId="0" borderId="53" xfId="4" applyFont="1" applyBorder="1" applyAlignment="1">
      <alignment horizontal="center" vertical="center" wrapText="1"/>
    </xf>
    <xf numFmtId="0" fontId="8" fillId="0" borderId="214" xfId="4" applyFont="1" applyBorder="1" applyAlignment="1">
      <alignment horizontal="center" vertical="center" wrapText="1"/>
    </xf>
    <xf numFmtId="0" fontId="8" fillId="0" borderId="81" xfId="4" applyFont="1" applyBorder="1" applyAlignment="1">
      <alignment horizontal="center" wrapText="1"/>
    </xf>
    <xf numFmtId="0" fontId="8" fillId="0" borderId="203" xfId="4" applyFont="1" applyBorder="1" applyAlignment="1">
      <alignment horizontal="center" wrapText="1"/>
    </xf>
    <xf numFmtId="0" fontId="8" fillId="0" borderId="53" xfId="4" applyFont="1" applyBorder="1" applyAlignment="1">
      <alignment horizontal="center" wrapText="1"/>
    </xf>
    <xf numFmtId="0" fontId="8" fillId="0" borderId="214" xfId="4" applyFont="1" applyBorder="1" applyAlignment="1">
      <alignment horizontal="center" wrapText="1"/>
    </xf>
    <xf numFmtId="0" fontId="8" fillId="0" borderId="59" xfId="4" applyFont="1" applyBorder="1" applyAlignment="1">
      <alignment horizontal="center" wrapText="1"/>
    </xf>
    <xf numFmtId="0" fontId="8" fillId="0" borderId="238" xfId="4" applyFont="1" applyBorder="1" applyAlignment="1">
      <alignment horizontal="center" wrapText="1"/>
    </xf>
    <xf numFmtId="0" fontId="8" fillId="0" borderId="62" xfId="4" applyFont="1" applyBorder="1" applyAlignment="1">
      <alignment horizontal="center" wrapText="1"/>
    </xf>
    <xf numFmtId="0" fontId="8" fillId="0" borderId="234" xfId="4" applyFont="1" applyBorder="1" applyAlignment="1">
      <alignment horizontal="center" wrapText="1"/>
    </xf>
    <xf numFmtId="0" fontId="9" fillId="0" borderId="48" xfId="0" applyFont="1" applyBorder="1" applyAlignment="1">
      <alignment horizontal="center"/>
    </xf>
    <xf numFmtId="0" fontId="9" fillId="0" borderId="50" xfId="0" applyFont="1" applyBorder="1" applyAlignment="1">
      <alignment horizontal="center"/>
    </xf>
    <xf numFmtId="0" fontId="9" fillId="0" borderId="81" xfId="4" applyFont="1" applyBorder="1" applyAlignment="1">
      <alignment horizontal="center" vertical="center"/>
    </xf>
    <xf numFmtId="0" fontId="9" fillId="0" borderId="181" xfId="4" applyFont="1" applyBorder="1" applyAlignment="1">
      <alignment horizontal="center" vertical="center"/>
    </xf>
    <xf numFmtId="0" fontId="9" fillId="0" borderId="102" xfId="4" applyFont="1" applyBorder="1" applyAlignment="1">
      <alignment horizontal="center" vertical="center"/>
    </xf>
    <xf numFmtId="0" fontId="9" fillId="0" borderId="101" xfId="4" applyFont="1" applyBorder="1" applyAlignment="1">
      <alignment horizontal="center" vertical="center"/>
    </xf>
    <xf numFmtId="0" fontId="9" fillId="0" borderId="83" xfId="4" applyFont="1" applyBorder="1" applyAlignment="1">
      <alignment horizontal="center" vertical="center"/>
    </xf>
    <xf numFmtId="0" fontId="9" fillId="0" borderId="81" xfId="0" applyFont="1" applyBorder="1" applyAlignment="1">
      <alignment horizontal="center" vertical="center" wrapText="1"/>
    </xf>
    <xf numFmtId="0" fontId="9" fillId="0" borderId="218" xfId="0" applyFont="1" applyBorder="1" applyAlignment="1">
      <alignment horizontal="center" vertical="center" wrapText="1"/>
    </xf>
    <xf numFmtId="0" fontId="9" fillId="0" borderId="203"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249" xfId="0" applyFont="1" applyBorder="1" applyAlignment="1">
      <alignment horizontal="center" vertical="center" wrapText="1"/>
    </xf>
    <xf numFmtId="0" fontId="9" fillId="0" borderId="132" xfId="0" applyFont="1" applyBorder="1" applyAlignment="1">
      <alignment horizontal="center" vertical="center" wrapText="1"/>
    </xf>
    <xf numFmtId="0" fontId="9" fillId="0" borderId="133" xfId="0" applyFont="1" applyBorder="1" applyAlignment="1">
      <alignment horizontal="center" vertical="center" wrapText="1"/>
    </xf>
    <xf numFmtId="0" fontId="9" fillId="0" borderId="131" xfId="0" applyFont="1" applyBorder="1" applyAlignment="1">
      <alignment horizontal="center" vertical="center" wrapText="1"/>
    </xf>
    <xf numFmtId="0" fontId="7" fillId="0" borderId="49" xfId="0" applyFont="1" applyBorder="1" applyAlignment="1">
      <alignment horizontal="left" wrapText="1"/>
    </xf>
    <xf numFmtId="0" fontId="9" fillId="0" borderId="47" xfId="4" applyFont="1" applyBorder="1" applyAlignment="1">
      <alignment horizontal="center" vertical="center"/>
    </xf>
    <xf numFmtId="0" fontId="9" fillId="0" borderId="38" xfId="4" applyFont="1" applyBorder="1" applyAlignment="1">
      <alignment horizontal="center" vertical="center"/>
    </xf>
    <xf numFmtId="0" fontId="9" fillId="0" borderId="50" xfId="4" applyFont="1" applyBorder="1" applyAlignment="1">
      <alignment horizontal="center" vertical="center"/>
    </xf>
    <xf numFmtId="0" fontId="9" fillId="0" borderId="181" xfId="0" applyFont="1" applyBorder="1" applyAlignment="1">
      <alignment horizontal="center" vertical="center" wrapText="1"/>
    </xf>
    <xf numFmtId="0" fontId="9" fillId="0" borderId="132" xfId="0" applyFont="1" applyBorder="1" applyAlignment="1">
      <alignment horizontal="center"/>
    </xf>
    <xf numFmtId="0" fontId="9" fillId="0" borderId="131" xfId="0" applyFont="1" applyBorder="1" applyAlignment="1">
      <alignment horizontal="center"/>
    </xf>
    <xf numFmtId="0" fontId="9" fillId="0" borderId="27" xfId="0" applyFont="1" applyBorder="1" applyAlignment="1">
      <alignment horizontal="center"/>
    </xf>
    <xf numFmtId="0" fontId="9" fillId="0" borderId="38" xfId="0" applyFont="1" applyBorder="1" applyAlignment="1">
      <alignment horizontal="center"/>
    </xf>
    <xf numFmtId="0" fontId="9" fillId="0" borderId="102" xfId="0" applyFont="1" applyBorder="1" applyAlignment="1">
      <alignment horizontal="center" vertical="center"/>
    </xf>
    <xf numFmtId="0" fontId="9" fillId="0" borderId="101" xfId="0" applyFont="1" applyBorder="1" applyAlignment="1">
      <alignment horizontal="center" vertical="center"/>
    </xf>
    <xf numFmtId="0" fontId="9" fillId="0" borderId="83" xfId="0" applyFont="1" applyBorder="1" applyAlignment="1">
      <alignment horizontal="center" vertical="center"/>
    </xf>
    <xf numFmtId="0" fontId="9" fillId="0" borderId="48" xfId="0" applyFont="1" applyBorder="1" applyAlignment="1">
      <alignment horizontal="center" wrapText="1"/>
    </xf>
    <xf numFmtId="0" fontId="9" fillId="0" borderId="50" xfId="0" applyFont="1" applyBorder="1" applyAlignment="1">
      <alignment horizontal="center" wrapText="1"/>
    </xf>
    <xf numFmtId="0" fontId="9" fillId="0" borderId="102"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45" xfId="4" applyFont="1" applyBorder="1" applyAlignment="1">
      <alignment horizontal="center" vertical="center"/>
    </xf>
    <xf numFmtId="0" fontId="9" fillId="0" borderId="46" xfId="4" applyFont="1" applyBorder="1" applyAlignment="1">
      <alignment horizontal="center" vertical="center"/>
    </xf>
    <xf numFmtId="0" fontId="9" fillId="0" borderId="48" xfId="4" applyFont="1" applyBorder="1" applyAlignment="1">
      <alignment horizontal="center" vertical="center"/>
    </xf>
    <xf numFmtId="0" fontId="9" fillId="0" borderId="49" xfId="4" applyFont="1" applyBorder="1" applyAlignment="1">
      <alignment horizontal="center" vertical="center"/>
    </xf>
    <xf numFmtId="0" fontId="8" fillId="0" borderId="62" xfId="0" applyFont="1" applyBorder="1" applyAlignment="1">
      <alignment horizontal="center" vertical="center" wrapText="1"/>
    </xf>
    <xf numFmtId="0" fontId="8" fillId="0" borderId="218" xfId="0" applyFont="1" applyBorder="1" applyAlignment="1">
      <alignment horizontal="center" vertical="center" wrapText="1"/>
    </xf>
    <xf numFmtId="0" fontId="8" fillId="0" borderId="234"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02" xfId="4" applyFont="1" applyBorder="1" applyAlignment="1">
      <alignment horizontal="center" vertical="center" wrapText="1"/>
    </xf>
    <xf numFmtId="0" fontId="9" fillId="0" borderId="83" xfId="4" applyFont="1" applyBorder="1" applyAlignment="1">
      <alignment horizontal="center" vertical="center" wrapText="1"/>
    </xf>
    <xf numFmtId="0" fontId="9" fillId="0" borderId="48" xfId="0" applyFont="1" applyBorder="1" applyAlignment="1">
      <alignment horizontal="left" wrapText="1"/>
    </xf>
    <xf numFmtId="0" fontId="9" fillId="0" borderId="50" xfId="0" applyFont="1" applyBorder="1" applyAlignment="1">
      <alignment horizontal="left" wrapText="1"/>
    </xf>
    <xf numFmtId="0" fontId="8" fillId="0" borderId="81"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203"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25" xfId="0" applyFont="1" applyBorder="1" applyAlignment="1">
      <alignment horizontal="center" vertical="center" wrapText="1"/>
    </xf>
    <xf numFmtId="0" fontId="8" fillId="0" borderId="238" xfId="0" applyFont="1" applyBorder="1" applyAlignment="1">
      <alignment horizontal="center" vertical="center" wrapText="1"/>
    </xf>
    <xf numFmtId="0" fontId="8" fillId="0" borderId="132" xfId="0" applyFont="1" applyBorder="1" applyAlignment="1">
      <alignment horizontal="center" vertical="center" wrapText="1"/>
    </xf>
    <xf numFmtId="0" fontId="8" fillId="0" borderId="133" xfId="0" applyFont="1" applyBorder="1" applyAlignment="1">
      <alignment horizontal="center" vertical="center" wrapText="1"/>
    </xf>
    <xf numFmtId="0" fontId="8" fillId="0" borderId="131"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72" xfId="0" applyFont="1" applyBorder="1" applyAlignment="1">
      <alignment horizontal="center"/>
    </xf>
    <xf numFmtId="0" fontId="9" fillId="0" borderId="73" xfId="0" applyFont="1" applyBorder="1" applyAlignment="1">
      <alignment horizontal="center"/>
    </xf>
    <xf numFmtId="0" fontId="9" fillId="0" borderId="87" xfId="0" applyFont="1" applyBorder="1" applyAlignment="1">
      <alignment horizontal="center"/>
    </xf>
    <xf numFmtId="0" fontId="7" fillId="0" borderId="102"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83" xfId="0" applyFont="1" applyBorder="1" applyAlignment="1">
      <alignment horizontal="center" vertical="center" wrapText="1"/>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8" fillId="0" borderId="0" xfId="0" applyFont="1" applyAlignment="1">
      <alignment horizontal="center" vertical="center" wrapText="1"/>
    </xf>
    <xf numFmtId="0" fontId="8" fillId="0" borderId="49" xfId="0" applyFont="1" applyBorder="1" applyAlignment="1">
      <alignment horizontal="center" vertical="center" wrapText="1"/>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7" fillId="0" borderId="181" xfId="0" applyFont="1" applyBorder="1" applyAlignment="1">
      <alignment horizontal="center" vertical="center" wrapText="1"/>
    </xf>
    <xf numFmtId="0" fontId="7" fillId="0" borderId="185" xfId="0" applyFont="1" applyBorder="1" applyAlignment="1">
      <alignment horizontal="center" vertical="center" wrapText="1"/>
    </xf>
    <xf numFmtId="0" fontId="7" fillId="0" borderId="203" xfId="0" applyFont="1" applyBorder="1" applyAlignment="1">
      <alignment horizontal="center" vertical="center" wrapText="1"/>
    </xf>
    <xf numFmtId="0" fontId="8" fillId="0" borderId="132" xfId="0" applyFont="1" applyBorder="1" applyAlignment="1">
      <alignment horizontal="center" vertical="center"/>
    </xf>
    <xf numFmtId="0" fontId="8" fillId="0" borderId="133" xfId="0" applyFont="1" applyBorder="1" applyAlignment="1">
      <alignment horizontal="center" vertical="center"/>
    </xf>
    <xf numFmtId="0" fontId="8" fillId="0" borderId="131" xfId="0" applyFont="1" applyBorder="1" applyAlignment="1">
      <alignment horizontal="center" vertical="center"/>
    </xf>
    <xf numFmtId="0" fontId="7" fillId="0" borderId="81"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8" fillId="0" borderId="102" xfId="0" applyFont="1" applyBorder="1" applyAlignment="1">
      <alignment horizontal="center" vertical="center"/>
    </xf>
    <xf numFmtId="0" fontId="8" fillId="0" borderId="101" xfId="0" applyFont="1" applyBorder="1" applyAlignment="1">
      <alignment horizontal="center" vertical="center"/>
    </xf>
    <xf numFmtId="0" fontId="8" fillId="0" borderId="83" xfId="0" applyFont="1" applyBorder="1" applyAlignment="1">
      <alignment horizontal="center" vertical="center"/>
    </xf>
    <xf numFmtId="0" fontId="8" fillId="0" borderId="102"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83" xfId="0" applyFont="1" applyBorder="1" applyAlignment="1">
      <alignment horizontal="center" vertical="center" wrapText="1"/>
    </xf>
    <xf numFmtId="0" fontId="7" fillId="0" borderId="82" xfId="0" applyFont="1" applyBorder="1" applyAlignment="1">
      <alignment horizontal="center" vertical="center" wrapText="1"/>
    </xf>
    <xf numFmtId="0" fontId="6" fillId="0" borderId="0" xfId="0" applyFont="1" applyAlignment="1">
      <alignment horizontal="left" wrapText="1"/>
    </xf>
    <xf numFmtId="0" fontId="8" fillId="0" borderId="59" xfId="0" applyFont="1" applyBorder="1" applyAlignment="1">
      <alignment horizontal="center" vertical="center"/>
    </xf>
    <xf numFmtId="0" fontId="9" fillId="0" borderId="0" xfId="0" applyFont="1" applyAlignment="1">
      <alignment horizontal="center" vertical="center"/>
    </xf>
    <xf numFmtId="0" fontId="9" fillId="0" borderId="64" xfId="0" applyFont="1" applyBorder="1" applyAlignment="1">
      <alignment horizontal="center"/>
    </xf>
    <xf numFmtId="0" fontId="9" fillId="0" borderId="65" xfId="0" applyFont="1" applyBorder="1" applyAlignment="1">
      <alignment horizontal="center"/>
    </xf>
    <xf numFmtId="0" fontId="9" fillId="0" borderId="68" xfId="0" applyFont="1" applyBorder="1" applyAlignment="1">
      <alignment horizontal="center"/>
    </xf>
    <xf numFmtId="0" fontId="9" fillId="0" borderId="26" xfId="0" applyFont="1" applyBorder="1" applyAlignment="1">
      <alignment horizontal="center" vertical="center"/>
    </xf>
    <xf numFmtId="0" fontId="9" fillId="0" borderId="57" xfId="0" applyFont="1" applyBorder="1" applyAlignment="1">
      <alignment horizontal="center" vertical="center"/>
    </xf>
    <xf numFmtId="0" fontId="9" fillId="0" borderId="252" xfId="0" applyFont="1" applyBorder="1" applyAlignment="1">
      <alignment horizontal="center" vertical="center"/>
    </xf>
    <xf numFmtId="0" fontId="9" fillId="0" borderId="253" xfId="0" applyFont="1" applyBorder="1" applyAlignment="1">
      <alignment horizontal="center" vertical="center"/>
    </xf>
    <xf numFmtId="0" fontId="9" fillId="0" borderId="254" xfId="0" applyFont="1" applyBorder="1" applyAlignment="1">
      <alignment horizontal="center" vertical="center"/>
    </xf>
    <xf numFmtId="0" fontId="9" fillId="0" borderId="255" xfId="0" applyFont="1" applyBorder="1" applyAlignment="1">
      <alignment horizontal="center" vertical="center"/>
    </xf>
    <xf numFmtId="0" fontId="9" fillId="0" borderId="256" xfId="0" applyFont="1" applyBorder="1" applyAlignment="1">
      <alignment horizontal="center" vertical="center"/>
    </xf>
    <xf numFmtId="0" fontId="9" fillId="0" borderId="257" xfId="0" applyFont="1" applyBorder="1" applyAlignment="1">
      <alignment horizontal="center" vertical="center"/>
    </xf>
    <xf numFmtId="0" fontId="8" fillId="0" borderId="47" xfId="0" applyFont="1" applyBorder="1" applyAlignment="1">
      <alignment horizontal="center" vertical="center"/>
    </xf>
    <xf numFmtId="0" fontId="8" fillId="0" borderId="38" xfId="0" applyFont="1" applyBorder="1" applyAlignment="1">
      <alignment horizontal="center" vertical="center"/>
    </xf>
    <xf numFmtId="0" fontId="9" fillId="0" borderId="48" xfId="0" applyFont="1" applyBorder="1" applyAlignment="1">
      <alignment horizontal="center" vertical="center" wrapText="1"/>
    </xf>
    <xf numFmtId="0" fontId="9" fillId="0" borderId="150" xfId="0" applyFont="1" applyBorder="1" applyAlignment="1">
      <alignment horizontal="center" wrapText="1"/>
    </xf>
    <xf numFmtId="0" fontId="9" fillId="0" borderId="9" xfId="0" applyFont="1" applyBorder="1" applyAlignment="1">
      <alignment horizontal="center" wrapText="1"/>
    </xf>
    <xf numFmtId="0" fontId="9" fillId="0" borderId="18" xfId="0" applyFont="1" applyBorder="1" applyAlignment="1">
      <alignment horizontal="center" wrapText="1"/>
    </xf>
    <xf numFmtId="0" fontId="9" fillId="0" borderId="49" xfId="0" applyFont="1" applyBorder="1" applyAlignment="1">
      <alignment horizontal="center" wrapText="1"/>
    </xf>
    <xf numFmtId="0" fontId="9" fillId="0" borderId="132" xfId="0" applyFont="1" applyBorder="1" applyAlignment="1">
      <alignment horizontal="center" wrapText="1"/>
    </xf>
    <xf numFmtId="0" fontId="9" fillId="0" borderId="133" xfId="0" applyFont="1" applyBorder="1" applyAlignment="1">
      <alignment horizontal="center" wrapText="1"/>
    </xf>
    <xf numFmtId="0" fontId="9" fillId="0" borderId="131" xfId="0" applyFont="1" applyBorder="1" applyAlignment="1">
      <alignment horizontal="center" wrapText="1"/>
    </xf>
    <xf numFmtId="0" fontId="9" fillId="0" borderId="171" xfId="0" applyFont="1" applyBorder="1" applyAlignment="1">
      <alignment horizontal="center" vertical="center" wrapText="1"/>
    </xf>
    <xf numFmtId="0" fontId="9" fillId="0" borderId="214" xfId="0" applyFont="1" applyBorder="1" applyAlignment="1">
      <alignment horizontal="center" vertical="center" wrapText="1"/>
    </xf>
    <xf numFmtId="0" fontId="9" fillId="0" borderId="211" xfId="0" applyFont="1" applyBorder="1" applyAlignment="1">
      <alignment horizontal="center" vertical="center" wrapText="1"/>
    </xf>
    <xf numFmtId="0" fontId="9" fillId="0" borderId="213" xfId="0" applyFont="1" applyBorder="1" applyAlignment="1">
      <alignment horizontal="center" vertical="center" wrapText="1"/>
    </xf>
    <xf numFmtId="164" fontId="9" fillId="0" borderId="61" xfId="0" applyNumberFormat="1" applyFont="1" applyBorder="1" applyAlignment="1">
      <alignment horizontal="center" vertical="center"/>
    </xf>
    <xf numFmtId="164" fontId="9" fillId="0" borderId="62" xfId="0" applyNumberFormat="1"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24" xfId="0" applyFont="1" applyBorder="1" applyAlignment="1">
      <alignment horizontal="center" wrapText="1"/>
    </xf>
    <xf numFmtId="0" fontId="9" fillId="0" borderId="23" xfId="0" applyFont="1" applyBorder="1" applyAlignment="1">
      <alignment horizontal="center" wrapText="1"/>
    </xf>
    <xf numFmtId="0" fontId="9" fillId="0" borderId="25" xfId="0" applyFont="1" applyBorder="1" applyAlignment="1">
      <alignment horizontal="center" wrapText="1"/>
    </xf>
    <xf numFmtId="0" fontId="9" fillId="0" borderId="64" xfId="0" applyFont="1" applyBorder="1" applyAlignment="1">
      <alignment horizontal="center" wrapText="1"/>
    </xf>
    <xf numFmtId="0" fontId="9" fillId="0" borderId="65" xfId="0" applyFont="1" applyBorder="1" applyAlignment="1">
      <alignment horizontal="center" wrapText="1"/>
    </xf>
    <xf numFmtId="0" fontId="9" fillId="0" borderId="66" xfId="0" applyFont="1" applyBorder="1" applyAlignment="1">
      <alignment horizontal="center" wrapText="1"/>
    </xf>
    <xf numFmtId="164" fontId="9" fillId="0" borderId="59" xfId="0" applyNumberFormat="1" applyFont="1" applyBorder="1" applyAlignment="1">
      <alignment horizontal="center" vertical="center"/>
    </xf>
    <xf numFmtId="0" fontId="9" fillId="0" borderId="234" xfId="0" applyFont="1" applyBorder="1" applyAlignment="1">
      <alignment horizontal="center" vertical="center" wrapText="1"/>
    </xf>
    <xf numFmtId="0" fontId="9" fillId="0" borderId="59" xfId="0" applyFont="1" applyBorder="1" applyAlignment="1">
      <alignment horizontal="center" vertical="center"/>
    </xf>
    <xf numFmtId="0" fontId="9" fillId="0" borderId="100" xfId="0" applyFont="1" applyBorder="1" applyAlignment="1">
      <alignment horizontal="center" wrapText="1"/>
    </xf>
    <xf numFmtId="0" fontId="9" fillId="0" borderId="129" xfId="0" applyFont="1" applyBorder="1" applyAlignment="1">
      <alignment horizontal="center" wrapText="1"/>
    </xf>
    <xf numFmtId="0" fontId="9" fillId="0" borderId="79" xfId="0" applyFont="1" applyBorder="1" applyAlignment="1">
      <alignment horizontal="center" wrapText="1"/>
    </xf>
    <xf numFmtId="0" fontId="8" fillId="0" borderId="6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64" xfId="0" applyFont="1" applyBorder="1" applyAlignment="1">
      <alignment horizontal="center" wrapText="1"/>
    </xf>
    <xf numFmtId="0" fontId="8" fillId="0" borderId="68" xfId="0" applyFont="1" applyBorder="1" applyAlignment="1">
      <alignment horizontal="center" wrapText="1"/>
    </xf>
    <xf numFmtId="0" fontId="8" fillId="0" borderId="181" xfId="4" applyFont="1" applyBorder="1" applyAlignment="1">
      <alignment horizontal="center" vertical="center"/>
    </xf>
    <xf numFmtId="0" fontId="8" fillId="0" borderId="102" xfId="4" applyFont="1" applyBorder="1" applyAlignment="1">
      <alignment horizontal="center" vertical="center"/>
    </xf>
    <xf numFmtId="0" fontId="8" fillId="0" borderId="101" xfId="4" applyFont="1" applyBorder="1" applyAlignment="1">
      <alignment horizontal="center" vertical="center"/>
    </xf>
    <xf numFmtId="0" fontId="8" fillId="0" borderId="83" xfId="4"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27" xfId="0" applyFont="1" applyBorder="1" applyAlignment="1">
      <alignment horizontal="center"/>
    </xf>
    <xf numFmtId="0" fontId="8" fillId="0" borderId="38" xfId="0" applyFont="1" applyBorder="1" applyAlignment="1">
      <alignment horizontal="center"/>
    </xf>
    <xf numFmtId="0" fontId="8" fillId="0" borderId="58" xfId="0" applyFont="1" applyBorder="1" applyAlignment="1">
      <alignment horizontal="center"/>
    </xf>
    <xf numFmtId="0" fontId="8" fillId="0" borderId="55" xfId="0" applyFont="1" applyBorder="1" applyAlignment="1">
      <alignment horizontal="center"/>
    </xf>
    <xf numFmtId="0" fontId="8" fillId="0" borderId="51" xfId="0" applyFont="1" applyBorder="1" applyAlignment="1">
      <alignment horizontal="center" vertical="center" wrapText="1"/>
    </xf>
    <xf numFmtId="0" fontId="8" fillId="0" borderId="50" xfId="0" applyFont="1" applyBorder="1" applyAlignment="1">
      <alignment horizontal="center" vertical="center"/>
    </xf>
    <xf numFmtId="0" fontId="8" fillId="0" borderId="72" xfId="0" applyFont="1" applyBorder="1" applyAlignment="1">
      <alignment horizontal="center"/>
    </xf>
    <xf numFmtId="0" fontId="8" fillId="0" borderId="87" xfId="0" applyFont="1" applyBorder="1" applyAlignment="1">
      <alignment horizontal="center"/>
    </xf>
    <xf numFmtId="0" fontId="8" fillId="0" borderId="50"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8" xfId="0" applyFont="1" applyBorder="1" applyAlignment="1">
      <alignment horizontal="center" vertical="center" wrapText="1"/>
    </xf>
    <xf numFmtId="0" fontId="9" fillId="0" borderId="47" xfId="0" applyFont="1" applyBorder="1" applyAlignment="1">
      <alignment horizontal="center" vertical="center"/>
    </xf>
    <xf numFmtId="0" fontId="9" fillId="0" borderId="50" xfId="0" applyFont="1" applyBorder="1" applyAlignment="1">
      <alignment horizontal="center" vertical="center"/>
    </xf>
    <xf numFmtId="0" fontId="8" fillId="0" borderId="64" xfId="0" applyFont="1" applyBorder="1" applyAlignment="1">
      <alignment horizontal="center"/>
    </xf>
    <xf numFmtId="0" fontId="8" fillId="0" borderId="68" xfId="0" applyFont="1" applyBorder="1" applyAlignment="1">
      <alignment horizontal="center"/>
    </xf>
    <xf numFmtId="0" fontId="8" fillId="0" borderId="24" xfId="0" applyFont="1" applyBorder="1" applyAlignment="1">
      <alignment horizontal="center"/>
    </xf>
    <xf numFmtId="0" fontId="8" fillId="0" borderId="57" xfId="0" applyFont="1" applyBorder="1" applyAlignment="1">
      <alignment horizontal="center"/>
    </xf>
    <xf numFmtId="0" fontId="9" fillId="0" borderId="59" xfId="4" applyFont="1" applyBorder="1" applyAlignment="1">
      <alignment horizontal="center" vertical="center"/>
    </xf>
    <xf numFmtId="0" fontId="9" fillId="0" borderId="225" xfId="4" applyFont="1" applyBorder="1" applyAlignment="1">
      <alignment horizontal="center" vertical="center"/>
    </xf>
    <xf numFmtId="0" fontId="8" fillId="0" borderId="0" xfId="0" applyFont="1" applyAlignment="1">
      <alignment horizontal="center" vertical="center"/>
    </xf>
    <xf numFmtId="0" fontId="8" fillId="0" borderId="5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8" fillId="0" borderId="67" xfId="0" applyFont="1" applyBorder="1" applyAlignment="1">
      <alignment horizontal="center" wrapText="1"/>
    </xf>
    <xf numFmtId="0" fontId="8" fillId="0" borderId="66" xfId="0" applyFont="1" applyBorder="1" applyAlignment="1">
      <alignment horizontal="center" wrapText="1"/>
    </xf>
    <xf numFmtId="0" fontId="8" fillId="0" borderId="24" xfId="0" applyFont="1" applyBorder="1" applyAlignment="1">
      <alignment horizontal="center" wrapText="1"/>
    </xf>
    <xf numFmtId="0" fontId="8" fillId="0" borderId="57" xfId="0" applyFont="1" applyBorder="1" applyAlignment="1">
      <alignment horizontal="center" wrapText="1"/>
    </xf>
    <xf numFmtId="0" fontId="8" fillId="0" borderId="98" xfId="0" applyFont="1" applyBorder="1" applyAlignment="1">
      <alignment horizontal="center" vertical="center" wrapText="1"/>
    </xf>
    <xf numFmtId="0" fontId="8" fillId="0" borderId="250" xfId="0" applyFont="1" applyBorder="1" applyAlignment="1">
      <alignment horizontal="center" vertical="center"/>
    </xf>
    <xf numFmtId="0" fontId="9" fillId="0" borderId="49" xfId="0" applyFont="1" applyBorder="1" applyAlignment="1">
      <alignment horizontal="center"/>
    </xf>
    <xf numFmtId="0" fontId="6" fillId="0" borderId="49" xfId="0" applyFont="1" applyBorder="1" applyAlignment="1">
      <alignment horizontal="left" wrapText="1"/>
    </xf>
    <xf numFmtId="0" fontId="9" fillId="0" borderId="74" xfId="0" applyFont="1" applyBorder="1" applyAlignment="1">
      <alignment horizontal="center"/>
    </xf>
    <xf numFmtId="0" fontId="9" fillId="0" borderId="66" xfId="0" applyFont="1" applyBorder="1" applyAlignment="1">
      <alignment horizontal="center"/>
    </xf>
    <xf numFmtId="0" fontId="8" fillId="0" borderId="0" xfId="0" applyFont="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8" fillId="0" borderId="50" xfId="0" applyFont="1" applyBorder="1" applyAlignment="1">
      <alignment horizontal="center"/>
    </xf>
    <xf numFmtId="0" fontId="8" fillId="0" borderId="100" xfId="0" applyFont="1" applyBorder="1" applyAlignment="1">
      <alignment horizontal="center"/>
    </xf>
    <xf numFmtId="0" fontId="8" fillId="0" borderId="129" xfId="0" applyFont="1" applyBorder="1" applyAlignment="1">
      <alignment horizontal="center"/>
    </xf>
    <xf numFmtId="0" fontId="8" fillId="0" borderId="79" xfId="0" applyFont="1" applyBorder="1" applyAlignment="1">
      <alignment horizontal="center"/>
    </xf>
    <xf numFmtId="0" fontId="9" fillId="0" borderId="0" xfId="0" applyFont="1" applyAlignment="1">
      <alignment horizontal="center"/>
    </xf>
    <xf numFmtId="0" fontId="9" fillId="0" borderId="100" xfId="0" applyFont="1" applyBorder="1" applyAlignment="1">
      <alignment horizontal="center"/>
    </xf>
    <xf numFmtId="0" fontId="9" fillId="0" borderId="129" xfId="0" applyFont="1" applyBorder="1" applyAlignment="1">
      <alignment horizontal="center"/>
    </xf>
    <xf numFmtId="0" fontId="9" fillId="0" borderId="79" xfId="0" applyFont="1" applyBorder="1" applyAlignment="1">
      <alignment horizontal="center"/>
    </xf>
    <xf numFmtId="0" fontId="8" fillId="0" borderId="102" xfId="0" applyFont="1" applyBorder="1" applyAlignment="1">
      <alignment horizontal="center"/>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216" xfId="0" applyFont="1" applyBorder="1" applyAlignment="1">
      <alignment horizontal="center" vertical="center" wrapText="1"/>
    </xf>
    <xf numFmtId="0" fontId="8" fillId="0" borderId="214"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1" xfId="0" applyFont="1" applyBorder="1" applyAlignment="1">
      <alignment horizontal="center" vertical="center" wrapText="1"/>
    </xf>
    <xf numFmtId="0" fontId="8" fillId="0" borderId="48" xfId="0" applyFont="1" applyBorder="1" applyAlignment="1">
      <alignment horizontal="center" wrapText="1"/>
    </xf>
    <xf numFmtId="0" fontId="8" fillId="0" borderId="50" xfId="0" applyFont="1" applyBorder="1" applyAlignment="1">
      <alignment horizontal="center" wrapText="1"/>
    </xf>
    <xf numFmtId="0" fontId="9" fillId="0" borderId="3" xfId="0" applyFont="1" applyBorder="1" applyAlignment="1">
      <alignment horizontal="center" vertical="center" wrapText="1"/>
    </xf>
    <xf numFmtId="0" fontId="8" fillId="0" borderId="132" xfId="0" applyFont="1" applyBorder="1" applyAlignment="1">
      <alignment horizontal="center"/>
    </xf>
    <xf numFmtId="0" fontId="8" fillId="0" borderId="131" xfId="0" applyFont="1" applyBorder="1" applyAlignment="1">
      <alignment horizontal="center"/>
    </xf>
    <xf numFmtId="0" fontId="4" fillId="0" borderId="51" xfId="0" applyFont="1" applyBorder="1" applyAlignment="1">
      <alignment horizontal="center" vertical="center"/>
    </xf>
    <xf numFmtId="0" fontId="4" fillId="0" borderId="219" xfId="0" applyFont="1" applyBorder="1" applyAlignment="1">
      <alignment horizontal="center" vertical="center"/>
    </xf>
    <xf numFmtId="0" fontId="4" fillId="0" borderId="53" xfId="0" applyFont="1" applyBorder="1" applyAlignment="1">
      <alignment horizontal="center" vertical="center"/>
    </xf>
    <xf numFmtId="0" fontId="4" fillId="0" borderId="231" xfId="0" applyFont="1" applyBorder="1" applyAlignment="1">
      <alignment horizontal="center" vertical="center"/>
    </xf>
    <xf numFmtId="2" fontId="8" fillId="0" borderId="102" xfId="0" applyNumberFormat="1" applyFont="1" applyBorder="1" applyAlignment="1">
      <alignment horizontal="center" vertical="center" wrapText="1"/>
    </xf>
    <xf numFmtId="2" fontId="8" fillId="0" borderId="101" xfId="0" applyNumberFormat="1" applyFont="1" applyBorder="1" applyAlignment="1">
      <alignment horizontal="center" vertical="center" wrapText="1"/>
    </xf>
    <xf numFmtId="0" fontId="4" fillId="0" borderId="51" xfId="0" applyFont="1" applyBorder="1" applyAlignment="1">
      <alignment horizontal="center" vertical="center" wrapText="1"/>
    </xf>
    <xf numFmtId="0" fontId="4" fillId="0" borderId="215" xfId="0" applyFont="1" applyBorder="1" applyAlignment="1">
      <alignment horizontal="center" vertical="center" wrapText="1"/>
    </xf>
    <xf numFmtId="0" fontId="4" fillId="0" borderId="211" xfId="0" applyFont="1" applyBorder="1" applyAlignment="1">
      <alignment horizontal="center" vertical="center" wrapText="1"/>
    </xf>
    <xf numFmtId="0" fontId="4" fillId="0" borderId="1" xfId="0" applyFont="1" applyBorder="1" applyAlignment="1">
      <alignment horizontal="center" vertical="center" wrapText="1"/>
    </xf>
    <xf numFmtId="2" fontId="8" fillId="0" borderId="83" xfId="0" applyNumberFormat="1" applyFont="1" applyBorder="1" applyAlignment="1">
      <alignment horizontal="center" vertical="center" wrapText="1"/>
    </xf>
    <xf numFmtId="0" fontId="4" fillId="0" borderId="214" xfId="0" applyFont="1" applyBorder="1" applyAlignment="1">
      <alignment horizontal="center" vertical="center"/>
    </xf>
    <xf numFmtId="0" fontId="4" fillId="0" borderId="211" xfId="0" applyFont="1" applyBorder="1" applyAlignment="1">
      <alignment horizontal="center" vertical="center"/>
    </xf>
    <xf numFmtId="0" fontId="8" fillId="0" borderId="102" xfId="0" applyFont="1" applyBorder="1" applyAlignment="1">
      <alignment horizontal="center" wrapText="1"/>
    </xf>
    <xf numFmtId="0" fontId="8" fillId="0" borderId="101" xfId="0" applyFont="1" applyBorder="1" applyAlignment="1">
      <alignment horizontal="center" wrapText="1"/>
    </xf>
    <xf numFmtId="0" fontId="8" fillId="0" borderId="83" xfId="0" applyFont="1" applyBorder="1" applyAlignment="1">
      <alignment horizontal="center" wrapText="1"/>
    </xf>
    <xf numFmtId="0" fontId="8" fillId="0" borderId="133" xfId="0" applyFont="1" applyBorder="1" applyAlignment="1">
      <alignment horizontal="center"/>
    </xf>
    <xf numFmtId="0" fontId="8" fillId="0" borderId="60"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226" xfId="0" applyFont="1" applyBorder="1" applyAlignment="1">
      <alignment horizontal="center" vertical="center"/>
    </xf>
    <xf numFmtId="0" fontId="8" fillId="0" borderId="217" xfId="0" applyFont="1" applyBorder="1" applyAlignment="1">
      <alignment horizontal="center" vertical="center"/>
    </xf>
    <xf numFmtId="0" fontId="8" fillId="0" borderId="216" xfId="0" applyFont="1" applyBorder="1" applyAlignment="1">
      <alignment horizontal="center" vertical="center"/>
    </xf>
    <xf numFmtId="0" fontId="8" fillId="0" borderId="211" xfId="0" applyFont="1" applyBorder="1" applyAlignment="1">
      <alignment horizontal="center" vertical="center" wrapText="1"/>
    </xf>
    <xf numFmtId="0" fontId="9" fillId="0" borderId="64" xfId="4" applyFont="1" applyBorder="1" applyAlignment="1">
      <alignment horizontal="center" wrapText="1"/>
    </xf>
    <xf numFmtId="0" fontId="9" fillId="0" borderId="68" xfId="4" applyFont="1" applyBorder="1" applyAlignment="1">
      <alignment horizontal="center" wrapText="1"/>
    </xf>
    <xf numFmtId="0" fontId="8" fillId="0" borderId="213" xfId="0" applyFont="1" applyBorder="1" applyAlignment="1">
      <alignment horizontal="center" vertical="center"/>
    </xf>
    <xf numFmtId="0" fontId="9" fillId="0" borderId="24" xfId="4" applyFont="1" applyBorder="1" applyAlignment="1">
      <alignment horizontal="center"/>
    </xf>
    <xf numFmtId="0" fontId="9" fillId="0" borderId="57" xfId="4" applyFont="1" applyBorder="1" applyAlignment="1">
      <alignment horizontal="center"/>
    </xf>
    <xf numFmtId="0" fontId="9" fillId="0" borderId="72" xfId="4" applyFont="1" applyBorder="1" applyAlignment="1">
      <alignment horizontal="center"/>
    </xf>
    <xf numFmtId="0" fontId="9" fillId="0" borderId="87" xfId="4" applyFont="1" applyBorder="1" applyAlignment="1">
      <alignment horizontal="center"/>
    </xf>
    <xf numFmtId="0" fontId="8" fillId="0" borderId="46" xfId="4" applyFont="1" applyBorder="1" applyAlignment="1">
      <alignment horizontal="center" vertical="center" wrapText="1"/>
    </xf>
    <xf numFmtId="0" fontId="8" fillId="0" borderId="49" xfId="4" applyFont="1" applyBorder="1" applyAlignment="1">
      <alignment horizontal="center" vertical="center" wrapText="1"/>
    </xf>
    <xf numFmtId="0" fontId="9" fillId="0" borderId="64" xfId="4" applyFont="1" applyBorder="1" applyAlignment="1">
      <alignment horizontal="center"/>
    </xf>
    <xf numFmtId="0" fontId="9" fillId="0" borderId="68" xfId="4" applyFont="1" applyBorder="1" applyAlignment="1">
      <alignment horizontal="center"/>
    </xf>
    <xf numFmtId="0" fontId="9" fillId="0" borderId="185" xfId="0" applyFont="1" applyBorder="1" applyAlignment="1">
      <alignment horizontal="center" vertical="center" wrapText="1"/>
    </xf>
    <xf numFmtId="0" fontId="9" fillId="0" borderId="238" xfId="0" applyFont="1" applyBorder="1" applyAlignment="1">
      <alignment horizontal="center" vertical="center" wrapText="1"/>
    </xf>
    <xf numFmtId="0" fontId="8" fillId="0" borderId="59" xfId="4" applyFont="1" applyBorder="1" applyAlignment="1">
      <alignment horizontal="center" vertical="center"/>
    </xf>
    <xf numFmtId="0" fontId="8" fillId="0" borderId="238" xfId="4" applyFont="1" applyBorder="1" applyAlignment="1">
      <alignment horizontal="center" vertical="center"/>
    </xf>
    <xf numFmtId="0" fontId="8" fillId="0" borderId="102" xfId="4" applyFont="1" applyBorder="1" applyAlignment="1">
      <alignment horizontal="center" vertical="center" wrapText="1"/>
    </xf>
    <xf numFmtId="0" fontId="8" fillId="0" borderId="83" xfId="4" applyFont="1" applyBorder="1" applyAlignment="1">
      <alignment horizontal="center" vertical="center" wrapText="1"/>
    </xf>
    <xf numFmtId="0" fontId="8" fillId="0" borderId="185"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8" fillId="0" borderId="259" xfId="0" applyFont="1" applyBorder="1" applyAlignment="1">
      <alignment horizontal="center" vertical="center"/>
    </xf>
    <xf numFmtId="0" fontId="8" fillId="0" borderId="260" xfId="0" applyFont="1" applyBorder="1" applyAlignment="1">
      <alignment horizontal="center" vertical="center"/>
    </xf>
    <xf numFmtId="0" fontId="8" fillId="0" borderId="156" xfId="0" applyFont="1" applyBorder="1" applyAlignment="1">
      <alignment horizontal="center"/>
    </xf>
    <xf numFmtId="0" fontId="8" fillId="0" borderId="145" xfId="0" applyFont="1" applyBorder="1" applyAlignment="1">
      <alignment horizontal="center"/>
    </xf>
    <xf numFmtId="0" fontId="9" fillId="0" borderId="133" xfId="0" applyFont="1" applyBorder="1" applyAlignment="1">
      <alignment horizontal="center"/>
    </xf>
    <xf numFmtId="0" fontId="9" fillId="0" borderId="132" xfId="0" applyFont="1" applyBorder="1" applyAlignment="1">
      <alignment horizontal="center" vertical="center"/>
    </xf>
    <xf numFmtId="0" fontId="9" fillId="0" borderId="133" xfId="0" applyFont="1" applyBorder="1" applyAlignment="1">
      <alignment horizontal="center" vertical="center"/>
    </xf>
    <xf numFmtId="0" fontId="8" fillId="0" borderId="100" xfId="0" applyFont="1" applyBorder="1" applyAlignment="1">
      <alignment horizontal="center" wrapText="1"/>
    </xf>
    <xf numFmtId="0" fontId="8" fillId="0" borderId="79" xfId="0" applyFont="1" applyBorder="1" applyAlignment="1">
      <alignment horizontal="center" wrapText="1"/>
    </xf>
    <xf numFmtId="0" fontId="8" fillId="0" borderId="63" xfId="0" applyFont="1" applyBorder="1" applyAlignment="1">
      <alignment horizontal="center" vertical="center" wrapText="1"/>
    </xf>
    <xf numFmtId="0" fontId="9" fillId="0" borderId="98" xfId="4" applyFont="1" applyBorder="1" applyAlignment="1">
      <alignment horizontal="center" vertical="center"/>
    </xf>
    <xf numFmtId="0" fontId="9" fillId="0" borderId="203" xfId="0" applyFont="1" applyBorder="1" applyAlignment="1"/>
    <xf numFmtId="0" fontId="69" fillId="0" borderId="9" xfId="0" applyFont="1" applyBorder="1" applyAlignment="1"/>
    <xf numFmtId="0" fontId="69" fillId="0" borderId="18" xfId="0" applyFont="1" applyBorder="1" applyAlignment="1"/>
    <xf numFmtId="0" fontId="8" fillId="0" borderId="203" xfId="0" applyFont="1" applyBorder="1" applyAlignment="1"/>
    <xf numFmtId="0" fontId="9" fillId="0" borderId="238" xfId="0" applyFont="1" applyBorder="1" applyAlignment="1"/>
    <xf numFmtId="0" fontId="9" fillId="0" borderId="63" xfId="0" applyFont="1" applyBorder="1" applyAlignment="1"/>
  </cellXfs>
  <cellStyles count="31377">
    <cellStyle name="20% - Accent1" xfId="24" builtinId="30" customBuiltin="1"/>
    <cellStyle name="20% - Accent1 10" xfId="1649" xr:uid="{00000000-0005-0000-0000-000001000000}"/>
    <cellStyle name="20% - Accent1 11" xfId="1650" xr:uid="{00000000-0005-0000-0000-000002000000}"/>
    <cellStyle name="20% - Accent1 12" xfId="1651" xr:uid="{00000000-0005-0000-0000-000003000000}"/>
    <cellStyle name="20% - Accent1 12 2" xfId="27192" xr:uid="{00000000-0005-0000-0000-000004000000}"/>
    <cellStyle name="20% - Accent1 13" xfId="1652" xr:uid="{00000000-0005-0000-0000-000005000000}"/>
    <cellStyle name="20% - Accent1 13 2" xfId="27193" xr:uid="{00000000-0005-0000-0000-000006000000}"/>
    <cellStyle name="20% - Accent1 14" xfId="1653" xr:uid="{00000000-0005-0000-0000-000007000000}"/>
    <cellStyle name="20% - Accent1 14 2" xfId="27194" xr:uid="{00000000-0005-0000-0000-000008000000}"/>
    <cellStyle name="20% - Accent1 15" xfId="1654" xr:uid="{00000000-0005-0000-0000-000009000000}"/>
    <cellStyle name="20% - Accent1 15 2" xfId="27195" xr:uid="{00000000-0005-0000-0000-00000A000000}"/>
    <cellStyle name="20% - Accent1 16" xfId="1655" xr:uid="{00000000-0005-0000-0000-00000B000000}"/>
    <cellStyle name="20% - Accent1 16 2" xfId="27196" xr:uid="{00000000-0005-0000-0000-00000C000000}"/>
    <cellStyle name="20% - Accent1 17" xfId="1656" xr:uid="{00000000-0005-0000-0000-00000D000000}"/>
    <cellStyle name="20% - Accent1 17 2" xfId="27197" xr:uid="{00000000-0005-0000-0000-00000E000000}"/>
    <cellStyle name="20% - Accent1 18" xfId="1657" xr:uid="{00000000-0005-0000-0000-00000F000000}"/>
    <cellStyle name="20% - Accent1 18 2" xfId="27198" xr:uid="{00000000-0005-0000-0000-000010000000}"/>
    <cellStyle name="20% - Accent1 19" xfId="1658" xr:uid="{00000000-0005-0000-0000-000011000000}"/>
    <cellStyle name="20% - Accent1 19 2" xfId="27199" xr:uid="{00000000-0005-0000-0000-000012000000}"/>
    <cellStyle name="20% - Accent1 2" xfId="1526" xr:uid="{00000000-0005-0000-0000-000013000000}"/>
    <cellStyle name="20% - Accent1 2 10" xfId="1659" xr:uid="{00000000-0005-0000-0000-000014000000}"/>
    <cellStyle name="20% - Accent1 2 11" xfId="1660" xr:uid="{00000000-0005-0000-0000-000015000000}"/>
    <cellStyle name="20% - Accent1 2 12" xfId="1661" xr:uid="{00000000-0005-0000-0000-000016000000}"/>
    <cellStyle name="20% - Accent1 2 13" xfId="1662" xr:uid="{00000000-0005-0000-0000-000017000000}"/>
    <cellStyle name="20% - Accent1 2 14" xfId="1663" xr:uid="{00000000-0005-0000-0000-000018000000}"/>
    <cellStyle name="20% - Accent1 2 15" xfId="1664" xr:uid="{00000000-0005-0000-0000-000019000000}"/>
    <cellStyle name="20% - Accent1 2 16" xfId="31352" xr:uid="{00000000-0005-0000-0000-00001A000000}"/>
    <cellStyle name="20% - Accent1 2 2" xfId="1665" xr:uid="{00000000-0005-0000-0000-00001B000000}"/>
    <cellStyle name="20% - Accent1 2 3" xfId="1666" xr:uid="{00000000-0005-0000-0000-00001C000000}"/>
    <cellStyle name="20% - Accent1 2 4" xfId="1667" xr:uid="{00000000-0005-0000-0000-00001D000000}"/>
    <cellStyle name="20% - Accent1 2 5" xfId="1668" xr:uid="{00000000-0005-0000-0000-00001E000000}"/>
    <cellStyle name="20% - Accent1 2 6" xfId="1669" xr:uid="{00000000-0005-0000-0000-00001F000000}"/>
    <cellStyle name="20% - Accent1 2 7" xfId="1670" xr:uid="{00000000-0005-0000-0000-000020000000}"/>
    <cellStyle name="20% - Accent1 2 8" xfId="1671" xr:uid="{00000000-0005-0000-0000-000021000000}"/>
    <cellStyle name="20% - Accent1 2 9" xfId="1672" xr:uid="{00000000-0005-0000-0000-000022000000}"/>
    <cellStyle name="20% - Accent1 20" xfId="1673" xr:uid="{00000000-0005-0000-0000-000023000000}"/>
    <cellStyle name="20% - Accent1 20 2" xfId="27200" xr:uid="{00000000-0005-0000-0000-000024000000}"/>
    <cellStyle name="20% - Accent1 21" xfId="1674" xr:uid="{00000000-0005-0000-0000-000025000000}"/>
    <cellStyle name="20% - Accent1 21 2" xfId="27201" xr:uid="{00000000-0005-0000-0000-000026000000}"/>
    <cellStyle name="20% - Accent1 22" xfId="1675" xr:uid="{00000000-0005-0000-0000-000027000000}"/>
    <cellStyle name="20% - Accent1 22 2" xfId="27202" xr:uid="{00000000-0005-0000-0000-000028000000}"/>
    <cellStyle name="20% - Accent1 23" xfId="1676" xr:uid="{00000000-0005-0000-0000-000029000000}"/>
    <cellStyle name="20% - Accent1 23 2" xfId="27203" xr:uid="{00000000-0005-0000-0000-00002A000000}"/>
    <cellStyle name="20% - Accent1 24" xfId="1677" xr:uid="{00000000-0005-0000-0000-00002B000000}"/>
    <cellStyle name="20% - Accent1 24 2" xfId="27204" xr:uid="{00000000-0005-0000-0000-00002C000000}"/>
    <cellStyle name="20% - Accent1 3" xfId="1527" xr:uid="{00000000-0005-0000-0000-00002D000000}"/>
    <cellStyle name="20% - Accent1 3 2" xfId="31365" xr:uid="{00000000-0005-0000-0000-00002E000000}"/>
    <cellStyle name="20% - Accent1 4" xfId="1678" xr:uid="{00000000-0005-0000-0000-00002F000000}"/>
    <cellStyle name="20% - Accent1 5" xfId="1679" xr:uid="{00000000-0005-0000-0000-000030000000}"/>
    <cellStyle name="20% - Accent1 6" xfId="1680" xr:uid="{00000000-0005-0000-0000-000031000000}"/>
    <cellStyle name="20% - Accent1 7" xfId="1681" xr:uid="{00000000-0005-0000-0000-000032000000}"/>
    <cellStyle name="20% - Accent1 8" xfId="1682" xr:uid="{00000000-0005-0000-0000-000033000000}"/>
    <cellStyle name="20% - Accent1 9" xfId="1683" xr:uid="{00000000-0005-0000-0000-000034000000}"/>
    <cellStyle name="20% - Accent2" xfId="28" builtinId="34" customBuiltin="1"/>
    <cellStyle name="20% - Accent2 10" xfId="1684" xr:uid="{00000000-0005-0000-0000-000036000000}"/>
    <cellStyle name="20% - Accent2 11" xfId="1685" xr:uid="{00000000-0005-0000-0000-000037000000}"/>
    <cellStyle name="20% - Accent2 12" xfId="1686" xr:uid="{00000000-0005-0000-0000-000038000000}"/>
    <cellStyle name="20% - Accent2 12 2" xfId="27205" xr:uid="{00000000-0005-0000-0000-000039000000}"/>
    <cellStyle name="20% - Accent2 13" xfId="1687" xr:uid="{00000000-0005-0000-0000-00003A000000}"/>
    <cellStyle name="20% - Accent2 13 2" xfId="27206" xr:uid="{00000000-0005-0000-0000-00003B000000}"/>
    <cellStyle name="20% - Accent2 14" xfId="1688" xr:uid="{00000000-0005-0000-0000-00003C000000}"/>
    <cellStyle name="20% - Accent2 14 2" xfId="27207" xr:uid="{00000000-0005-0000-0000-00003D000000}"/>
    <cellStyle name="20% - Accent2 15" xfId="1689" xr:uid="{00000000-0005-0000-0000-00003E000000}"/>
    <cellStyle name="20% - Accent2 15 2" xfId="27208" xr:uid="{00000000-0005-0000-0000-00003F000000}"/>
    <cellStyle name="20% - Accent2 16" xfId="1690" xr:uid="{00000000-0005-0000-0000-000040000000}"/>
    <cellStyle name="20% - Accent2 16 2" xfId="27209" xr:uid="{00000000-0005-0000-0000-000041000000}"/>
    <cellStyle name="20% - Accent2 17" xfId="1691" xr:uid="{00000000-0005-0000-0000-000042000000}"/>
    <cellStyle name="20% - Accent2 17 2" xfId="27210" xr:uid="{00000000-0005-0000-0000-000043000000}"/>
    <cellStyle name="20% - Accent2 18" xfId="1692" xr:uid="{00000000-0005-0000-0000-000044000000}"/>
    <cellStyle name="20% - Accent2 18 2" xfId="27211" xr:uid="{00000000-0005-0000-0000-000045000000}"/>
    <cellStyle name="20% - Accent2 19" xfId="1693" xr:uid="{00000000-0005-0000-0000-000046000000}"/>
    <cellStyle name="20% - Accent2 19 2" xfId="27212" xr:uid="{00000000-0005-0000-0000-000047000000}"/>
    <cellStyle name="20% - Accent2 2" xfId="1528" xr:uid="{00000000-0005-0000-0000-000048000000}"/>
    <cellStyle name="20% - Accent2 2 10" xfId="1694" xr:uid="{00000000-0005-0000-0000-000049000000}"/>
    <cellStyle name="20% - Accent2 2 11" xfId="1695" xr:uid="{00000000-0005-0000-0000-00004A000000}"/>
    <cellStyle name="20% - Accent2 2 12" xfId="1696" xr:uid="{00000000-0005-0000-0000-00004B000000}"/>
    <cellStyle name="20% - Accent2 2 13" xfId="1697" xr:uid="{00000000-0005-0000-0000-00004C000000}"/>
    <cellStyle name="20% - Accent2 2 14" xfId="1698" xr:uid="{00000000-0005-0000-0000-00004D000000}"/>
    <cellStyle name="20% - Accent2 2 15" xfId="1699" xr:uid="{00000000-0005-0000-0000-00004E000000}"/>
    <cellStyle name="20% - Accent2 2 16" xfId="31354" xr:uid="{00000000-0005-0000-0000-00004F000000}"/>
    <cellStyle name="20% - Accent2 2 2" xfId="1700" xr:uid="{00000000-0005-0000-0000-000050000000}"/>
    <cellStyle name="20% - Accent2 2 3" xfId="1701" xr:uid="{00000000-0005-0000-0000-000051000000}"/>
    <cellStyle name="20% - Accent2 2 4" xfId="1702" xr:uid="{00000000-0005-0000-0000-000052000000}"/>
    <cellStyle name="20% - Accent2 2 5" xfId="1703" xr:uid="{00000000-0005-0000-0000-000053000000}"/>
    <cellStyle name="20% - Accent2 2 6" xfId="1704" xr:uid="{00000000-0005-0000-0000-000054000000}"/>
    <cellStyle name="20% - Accent2 2 7" xfId="1705" xr:uid="{00000000-0005-0000-0000-000055000000}"/>
    <cellStyle name="20% - Accent2 2 8" xfId="1706" xr:uid="{00000000-0005-0000-0000-000056000000}"/>
    <cellStyle name="20% - Accent2 2 9" xfId="1707" xr:uid="{00000000-0005-0000-0000-000057000000}"/>
    <cellStyle name="20% - Accent2 20" xfId="1708" xr:uid="{00000000-0005-0000-0000-000058000000}"/>
    <cellStyle name="20% - Accent2 20 2" xfId="27213" xr:uid="{00000000-0005-0000-0000-000059000000}"/>
    <cellStyle name="20% - Accent2 21" xfId="1709" xr:uid="{00000000-0005-0000-0000-00005A000000}"/>
    <cellStyle name="20% - Accent2 21 2" xfId="27214" xr:uid="{00000000-0005-0000-0000-00005B000000}"/>
    <cellStyle name="20% - Accent2 22" xfId="1710" xr:uid="{00000000-0005-0000-0000-00005C000000}"/>
    <cellStyle name="20% - Accent2 22 2" xfId="27215" xr:uid="{00000000-0005-0000-0000-00005D000000}"/>
    <cellStyle name="20% - Accent2 23" xfId="1711" xr:uid="{00000000-0005-0000-0000-00005E000000}"/>
    <cellStyle name="20% - Accent2 23 2" xfId="27216" xr:uid="{00000000-0005-0000-0000-00005F000000}"/>
    <cellStyle name="20% - Accent2 24" xfId="1712" xr:uid="{00000000-0005-0000-0000-000060000000}"/>
    <cellStyle name="20% - Accent2 24 2" xfId="27217" xr:uid="{00000000-0005-0000-0000-000061000000}"/>
    <cellStyle name="20% - Accent2 3" xfId="1529" xr:uid="{00000000-0005-0000-0000-000062000000}"/>
    <cellStyle name="20% - Accent2 3 2" xfId="31367" xr:uid="{00000000-0005-0000-0000-000063000000}"/>
    <cellStyle name="20% - Accent2 4" xfId="1713" xr:uid="{00000000-0005-0000-0000-000064000000}"/>
    <cellStyle name="20% - Accent2 5" xfId="1714" xr:uid="{00000000-0005-0000-0000-000065000000}"/>
    <cellStyle name="20% - Accent2 6" xfId="1715" xr:uid="{00000000-0005-0000-0000-000066000000}"/>
    <cellStyle name="20% - Accent2 7" xfId="1716" xr:uid="{00000000-0005-0000-0000-000067000000}"/>
    <cellStyle name="20% - Accent2 8" xfId="1717" xr:uid="{00000000-0005-0000-0000-000068000000}"/>
    <cellStyle name="20% - Accent2 9" xfId="1718" xr:uid="{00000000-0005-0000-0000-000069000000}"/>
    <cellStyle name="20% - Accent3" xfId="32" builtinId="38" customBuiltin="1"/>
    <cellStyle name="20% - Accent3 10" xfId="1719" xr:uid="{00000000-0005-0000-0000-00006B000000}"/>
    <cellStyle name="20% - Accent3 11" xfId="1720" xr:uid="{00000000-0005-0000-0000-00006C000000}"/>
    <cellStyle name="20% - Accent3 12" xfId="1721" xr:uid="{00000000-0005-0000-0000-00006D000000}"/>
    <cellStyle name="20% - Accent3 12 2" xfId="27218" xr:uid="{00000000-0005-0000-0000-00006E000000}"/>
    <cellStyle name="20% - Accent3 13" xfId="1722" xr:uid="{00000000-0005-0000-0000-00006F000000}"/>
    <cellStyle name="20% - Accent3 13 2" xfId="27219" xr:uid="{00000000-0005-0000-0000-000070000000}"/>
    <cellStyle name="20% - Accent3 14" xfId="1723" xr:uid="{00000000-0005-0000-0000-000071000000}"/>
    <cellStyle name="20% - Accent3 14 2" xfId="27220" xr:uid="{00000000-0005-0000-0000-000072000000}"/>
    <cellStyle name="20% - Accent3 15" xfId="1724" xr:uid="{00000000-0005-0000-0000-000073000000}"/>
    <cellStyle name="20% - Accent3 15 2" xfId="27221" xr:uid="{00000000-0005-0000-0000-000074000000}"/>
    <cellStyle name="20% - Accent3 16" xfId="1725" xr:uid="{00000000-0005-0000-0000-000075000000}"/>
    <cellStyle name="20% - Accent3 16 2" xfId="27222" xr:uid="{00000000-0005-0000-0000-000076000000}"/>
    <cellStyle name="20% - Accent3 17" xfId="1726" xr:uid="{00000000-0005-0000-0000-000077000000}"/>
    <cellStyle name="20% - Accent3 17 2" xfId="27223" xr:uid="{00000000-0005-0000-0000-000078000000}"/>
    <cellStyle name="20% - Accent3 18" xfId="1727" xr:uid="{00000000-0005-0000-0000-000079000000}"/>
    <cellStyle name="20% - Accent3 18 2" xfId="27224" xr:uid="{00000000-0005-0000-0000-00007A000000}"/>
    <cellStyle name="20% - Accent3 19" xfId="1728" xr:uid="{00000000-0005-0000-0000-00007B000000}"/>
    <cellStyle name="20% - Accent3 19 2" xfId="27225" xr:uid="{00000000-0005-0000-0000-00007C000000}"/>
    <cellStyle name="20% - Accent3 2" xfId="1530" xr:uid="{00000000-0005-0000-0000-00007D000000}"/>
    <cellStyle name="20% - Accent3 2 10" xfId="1729" xr:uid="{00000000-0005-0000-0000-00007E000000}"/>
    <cellStyle name="20% - Accent3 2 11" xfId="1730" xr:uid="{00000000-0005-0000-0000-00007F000000}"/>
    <cellStyle name="20% - Accent3 2 12" xfId="1731" xr:uid="{00000000-0005-0000-0000-000080000000}"/>
    <cellStyle name="20% - Accent3 2 13" xfId="1732" xr:uid="{00000000-0005-0000-0000-000081000000}"/>
    <cellStyle name="20% - Accent3 2 14" xfId="1733" xr:uid="{00000000-0005-0000-0000-000082000000}"/>
    <cellStyle name="20% - Accent3 2 15" xfId="1734" xr:uid="{00000000-0005-0000-0000-000083000000}"/>
    <cellStyle name="20% - Accent3 2 16" xfId="31356" xr:uid="{00000000-0005-0000-0000-000084000000}"/>
    <cellStyle name="20% - Accent3 2 2" xfId="1735" xr:uid="{00000000-0005-0000-0000-000085000000}"/>
    <cellStyle name="20% - Accent3 2 3" xfId="1736" xr:uid="{00000000-0005-0000-0000-000086000000}"/>
    <cellStyle name="20% - Accent3 2 4" xfId="1737" xr:uid="{00000000-0005-0000-0000-000087000000}"/>
    <cellStyle name="20% - Accent3 2 5" xfId="1738" xr:uid="{00000000-0005-0000-0000-000088000000}"/>
    <cellStyle name="20% - Accent3 2 6" xfId="1739" xr:uid="{00000000-0005-0000-0000-000089000000}"/>
    <cellStyle name="20% - Accent3 2 7" xfId="1740" xr:uid="{00000000-0005-0000-0000-00008A000000}"/>
    <cellStyle name="20% - Accent3 2 8" xfId="1741" xr:uid="{00000000-0005-0000-0000-00008B000000}"/>
    <cellStyle name="20% - Accent3 2 9" xfId="1742" xr:uid="{00000000-0005-0000-0000-00008C000000}"/>
    <cellStyle name="20% - Accent3 20" xfId="1743" xr:uid="{00000000-0005-0000-0000-00008D000000}"/>
    <cellStyle name="20% - Accent3 20 2" xfId="27226" xr:uid="{00000000-0005-0000-0000-00008E000000}"/>
    <cellStyle name="20% - Accent3 21" xfId="1744" xr:uid="{00000000-0005-0000-0000-00008F000000}"/>
    <cellStyle name="20% - Accent3 21 2" xfId="27227" xr:uid="{00000000-0005-0000-0000-000090000000}"/>
    <cellStyle name="20% - Accent3 22" xfId="1745" xr:uid="{00000000-0005-0000-0000-000091000000}"/>
    <cellStyle name="20% - Accent3 22 2" xfId="27228" xr:uid="{00000000-0005-0000-0000-000092000000}"/>
    <cellStyle name="20% - Accent3 23" xfId="1746" xr:uid="{00000000-0005-0000-0000-000093000000}"/>
    <cellStyle name="20% - Accent3 23 2" xfId="27229" xr:uid="{00000000-0005-0000-0000-000094000000}"/>
    <cellStyle name="20% - Accent3 24" xfId="1747" xr:uid="{00000000-0005-0000-0000-000095000000}"/>
    <cellStyle name="20% - Accent3 24 2" xfId="27230" xr:uid="{00000000-0005-0000-0000-000096000000}"/>
    <cellStyle name="20% - Accent3 3" xfId="1531" xr:uid="{00000000-0005-0000-0000-000097000000}"/>
    <cellStyle name="20% - Accent3 3 2" xfId="31369" xr:uid="{00000000-0005-0000-0000-000098000000}"/>
    <cellStyle name="20% - Accent3 4" xfId="1748" xr:uid="{00000000-0005-0000-0000-000099000000}"/>
    <cellStyle name="20% - Accent3 5" xfId="1749" xr:uid="{00000000-0005-0000-0000-00009A000000}"/>
    <cellStyle name="20% - Accent3 6" xfId="1750" xr:uid="{00000000-0005-0000-0000-00009B000000}"/>
    <cellStyle name="20% - Accent3 7" xfId="1751" xr:uid="{00000000-0005-0000-0000-00009C000000}"/>
    <cellStyle name="20% - Accent3 8" xfId="1752" xr:uid="{00000000-0005-0000-0000-00009D000000}"/>
    <cellStyle name="20% - Accent3 9" xfId="1753" xr:uid="{00000000-0005-0000-0000-00009E000000}"/>
    <cellStyle name="20% - Accent4" xfId="36" builtinId="42" customBuiltin="1"/>
    <cellStyle name="20% - Accent4 10" xfId="1754" xr:uid="{00000000-0005-0000-0000-0000A0000000}"/>
    <cellStyle name="20% - Accent4 11" xfId="1755" xr:uid="{00000000-0005-0000-0000-0000A1000000}"/>
    <cellStyle name="20% - Accent4 12" xfId="1756" xr:uid="{00000000-0005-0000-0000-0000A2000000}"/>
    <cellStyle name="20% - Accent4 12 2" xfId="27231" xr:uid="{00000000-0005-0000-0000-0000A3000000}"/>
    <cellStyle name="20% - Accent4 13" xfId="1757" xr:uid="{00000000-0005-0000-0000-0000A4000000}"/>
    <cellStyle name="20% - Accent4 13 2" xfId="27232" xr:uid="{00000000-0005-0000-0000-0000A5000000}"/>
    <cellStyle name="20% - Accent4 14" xfId="1758" xr:uid="{00000000-0005-0000-0000-0000A6000000}"/>
    <cellStyle name="20% - Accent4 14 2" xfId="27233" xr:uid="{00000000-0005-0000-0000-0000A7000000}"/>
    <cellStyle name="20% - Accent4 15" xfId="1759" xr:uid="{00000000-0005-0000-0000-0000A8000000}"/>
    <cellStyle name="20% - Accent4 15 2" xfId="27234" xr:uid="{00000000-0005-0000-0000-0000A9000000}"/>
    <cellStyle name="20% - Accent4 16" xfId="1760" xr:uid="{00000000-0005-0000-0000-0000AA000000}"/>
    <cellStyle name="20% - Accent4 16 2" xfId="27235" xr:uid="{00000000-0005-0000-0000-0000AB000000}"/>
    <cellStyle name="20% - Accent4 17" xfId="1761" xr:uid="{00000000-0005-0000-0000-0000AC000000}"/>
    <cellStyle name="20% - Accent4 17 2" xfId="27236" xr:uid="{00000000-0005-0000-0000-0000AD000000}"/>
    <cellStyle name="20% - Accent4 18" xfId="1762" xr:uid="{00000000-0005-0000-0000-0000AE000000}"/>
    <cellStyle name="20% - Accent4 18 2" xfId="27237" xr:uid="{00000000-0005-0000-0000-0000AF000000}"/>
    <cellStyle name="20% - Accent4 19" xfId="1763" xr:uid="{00000000-0005-0000-0000-0000B0000000}"/>
    <cellStyle name="20% - Accent4 19 2" xfId="27238" xr:uid="{00000000-0005-0000-0000-0000B1000000}"/>
    <cellStyle name="20% - Accent4 2" xfId="1532" xr:uid="{00000000-0005-0000-0000-0000B2000000}"/>
    <cellStyle name="20% - Accent4 2 10" xfId="1764" xr:uid="{00000000-0005-0000-0000-0000B3000000}"/>
    <cellStyle name="20% - Accent4 2 11" xfId="1765" xr:uid="{00000000-0005-0000-0000-0000B4000000}"/>
    <cellStyle name="20% - Accent4 2 12" xfId="1766" xr:uid="{00000000-0005-0000-0000-0000B5000000}"/>
    <cellStyle name="20% - Accent4 2 13" xfId="1767" xr:uid="{00000000-0005-0000-0000-0000B6000000}"/>
    <cellStyle name="20% - Accent4 2 14" xfId="1768" xr:uid="{00000000-0005-0000-0000-0000B7000000}"/>
    <cellStyle name="20% - Accent4 2 15" xfId="1769" xr:uid="{00000000-0005-0000-0000-0000B8000000}"/>
    <cellStyle name="20% - Accent4 2 16" xfId="31358" xr:uid="{00000000-0005-0000-0000-0000B9000000}"/>
    <cellStyle name="20% - Accent4 2 2" xfId="1770" xr:uid="{00000000-0005-0000-0000-0000BA000000}"/>
    <cellStyle name="20% - Accent4 2 3" xfId="1771" xr:uid="{00000000-0005-0000-0000-0000BB000000}"/>
    <cellStyle name="20% - Accent4 2 4" xfId="1772" xr:uid="{00000000-0005-0000-0000-0000BC000000}"/>
    <cellStyle name="20% - Accent4 2 5" xfId="1773" xr:uid="{00000000-0005-0000-0000-0000BD000000}"/>
    <cellStyle name="20% - Accent4 2 6" xfId="1774" xr:uid="{00000000-0005-0000-0000-0000BE000000}"/>
    <cellStyle name="20% - Accent4 2 7" xfId="1775" xr:uid="{00000000-0005-0000-0000-0000BF000000}"/>
    <cellStyle name="20% - Accent4 2 8" xfId="1776" xr:uid="{00000000-0005-0000-0000-0000C0000000}"/>
    <cellStyle name="20% - Accent4 2 9" xfId="1777" xr:uid="{00000000-0005-0000-0000-0000C1000000}"/>
    <cellStyle name="20% - Accent4 20" xfId="1778" xr:uid="{00000000-0005-0000-0000-0000C2000000}"/>
    <cellStyle name="20% - Accent4 20 2" xfId="27239" xr:uid="{00000000-0005-0000-0000-0000C3000000}"/>
    <cellStyle name="20% - Accent4 21" xfId="1779" xr:uid="{00000000-0005-0000-0000-0000C4000000}"/>
    <cellStyle name="20% - Accent4 21 2" xfId="27240" xr:uid="{00000000-0005-0000-0000-0000C5000000}"/>
    <cellStyle name="20% - Accent4 22" xfId="1780" xr:uid="{00000000-0005-0000-0000-0000C6000000}"/>
    <cellStyle name="20% - Accent4 22 2" xfId="27241" xr:uid="{00000000-0005-0000-0000-0000C7000000}"/>
    <cellStyle name="20% - Accent4 23" xfId="1781" xr:uid="{00000000-0005-0000-0000-0000C8000000}"/>
    <cellStyle name="20% - Accent4 23 2" xfId="27242" xr:uid="{00000000-0005-0000-0000-0000C9000000}"/>
    <cellStyle name="20% - Accent4 24" xfId="1782" xr:uid="{00000000-0005-0000-0000-0000CA000000}"/>
    <cellStyle name="20% - Accent4 24 2" xfId="27243" xr:uid="{00000000-0005-0000-0000-0000CB000000}"/>
    <cellStyle name="20% - Accent4 3" xfId="1533" xr:uid="{00000000-0005-0000-0000-0000CC000000}"/>
    <cellStyle name="20% - Accent4 3 2" xfId="31371" xr:uid="{00000000-0005-0000-0000-0000CD000000}"/>
    <cellStyle name="20% - Accent4 4" xfId="1783" xr:uid="{00000000-0005-0000-0000-0000CE000000}"/>
    <cellStyle name="20% - Accent4 5" xfId="1784" xr:uid="{00000000-0005-0000-0000-0000CF000000}"/>
    <cellStyle name="20% - Accent4 6" xfId="1785" xr:uid="{00000000-0005-0000-0000-0000D0000000}"/>
    <cellStyle name="20% - Accent4 7" xfId="1786" xr:uid="{00000000-0005-0000-0000-0000D1000000}"/>
    <cellStyle name="20% - Accent4 8" xfId="1787" xr:uid="{00000000-0005-0000-0000-0000D2000000}"/>
    <cellStyle name="20% - Accent4 9" xfId="1788" xr:uid="{00000000-0005-0000-0000-0000D3000000}"/>
    <cellStyle name="20% - Accent5" xfId="40" builtinId="46" customBuiltin="1"/>
    <cellStyle name="20% - Accent5 10" xfId="1789" xr:uid="{00000000-0005-0000-0000-0000D5000000}"/>
    <cellStyle name="20% - Accent5 11" xfId="1790" xr:uid="{00000000-0005-0000-0000-0000D6000000}"/>
    <cellStyle name="20% - Accent5 12" xfId="1791" xr:uid="{00000000-0005-0000-0000-0000D7000000}"/>
    <cellStyle name="20% - Accent5 12 2" xfId="27244" xr:uid="{00000000-0005-0000-0000-0000D8000000}"/>
    <cellStyle name="20% - Accent5 13" xfId="1792" xr:uid="{00000000-0005-0000-0000-0000D9000000}"/>
    <cellStyle name="20% - Accent5 13 2" xfId="27245" xr:uid="{00000000-0005-0000-0000-0000DA000000}"/>
    <cellStyle name="20% - Accent5 14" xfId="1793" xr:uid="{00000000-0005-0000-0000-0000DB000000}"/>
    <cellStyle name="20% - Accent5 14 2" xfId="27246" xr:uid="{00000000-0005-0000-0000-0000DC000000}"/>
    <cellStyle name="20% - Accent5 15" xfId="1794" xr:uid="{00000000-0005-0000-0000-0000DD000000}"/>
    <cellStyle name="20% - Accent5 15 2" xfId="27247" xr:uid="{00000000-0005-0000-0000-0000DE000000}"/>
    <cellStyle name="20% - Accent5 16" xfId="1795" xr:uid="{00000000-0005-0000-0000-0000DF000000}"/>
    <cellStyle name="20% - Accent5 16 2" xfId="27248" xr:uid="{00000000-0005-0000-0000-0000E0000000}"/>
    <cellStyle name="20% - Accent5 17" xfId="1796" xr:uid="{00000000-0005-0000-0000-0000E1000000}"/>
    <cellStyle name="20% - Accent5 17 2" xfId="27249" xr:uid="{00000000-0005-0000-0000-0000E2000000}"/>
    <cellStyle name="20% - Accent5 18" xfId="1797" xr:uid="{00000000-0005-0000-0000-0000E3000000}"/>
    <cellStyle name="20% - Accent5 18 2" xfId="27250" xr:uid="{00000000-0005-0000-0000-0000E4000000}"/>
    <cellStyle name="20% - Accent5 19" xfId="1798" xr:uid="{00000000-0005-0000-0000-0000E5000000}"/>
    <cellStyle name="20% - Accent5 19 2" xfId="27251" xr:uid="{00000000-0005-0000-0000-0000E6000000}"/>
    <cellStyle name="20% - Accent5 2" xfId="1534" xr:uid="{00000000-0005-0000-0000-0000E7000000}"/>
    <cellStyle name="20% - Accent5 2 10" xfId="1799" xr:uid="{00000000-0005-0000-0000-0000E8000000}"/>
    <cellStyle name="20% - Accent5 2 11" xfId="1800" xr:uid="{00000000-0005-0000-0000-0000E9000000}"/>
    <cellStyle name="20% - Accent5 2 12" xfId="1801" xr:uid="{00000000-0005-0000-0000-0000EA000000}"/>
    <cellStyle name="20% - Accent5 2 13" xfId="1802" xr:uid="{00000000-0005-0000-0000-0000EB000000}"/>
    <cellStyle name="20% - Accent5 2 14" xfId="1803" xr:uid="{00000000-0005-0000-0000-0000EC000000}"/>
    <cellStyle name="20% - Accent5 2 15" xfId="1804" xr:uid="{00000000-0005-0000-0000-0000ED000000}"/>
    <cellStyle name="20% - Accent5 2 16" xfId="31360" xr:uid="{00000000-0005-0000-0000-0000EE000000}"/>
    <cellStyle name="20% - Accent5 2 2" xfId="1805" xr:uid="{00000000-0005-0000-0000-0000EF000000}"/>
    <cellStyle name="20% - Accent5 2 3" xfId="1806" xr:uid="{00000000-0005-0000-0000-0000F0000000}"/>
    <cellStyle name="20% - Accent5 2 4" xfId="1807" xr:uid="{00000000-0005-0000-0000-0000F1000000}"/>
    <cellStyle name="20% - Accent5 2 5" xfId="1808" xr:uid="{00000000-0005-0000-0000-0000F2000000}"/>
    <cellStyle name="20% - Accent5 2 6" xfId="1809" xr:uid="{00000000-0005-0000-0000-0000F3000000}"/>
    <cellStyle name="20% - Accent5 2 7" xfId="1810" xr:uid="{00000000-0005-0000-0000-0000F4000000}"/>
    <cellStyle name="20% - Accent5 2 8" xfId="1811" xr:uid="{00000000-0005-0000-0000-0000F5000000}"/>
    <cellStyle name="20% - Accent5 2 9" xfId="1812" xr:uid="{00000000-0005-0000-0000-0000F6000000}"/>
    <cellStyle name="20% - Accent5 20" xfId="1813" xr:uid="{00000000-0005-0000-0000-0000F7000000}"/>
    <cellStyle name="20% - Accent5 20 2" xfId="27252" xr:uid="{00000000-0005-0000-0000-0000F8000000}"/>
    <cellStyle name="20% - Accent5 21" xfId="1814" xr:uid="{00000000-0005-0000-0000-0000F9000000}"/>
    <cellStyle name="20% - Accent5 21 2" xfId="27253" xr:uid="{00000000-0005-0000-0000-0000FA000000}"/>
    <cellStyle name="20% - Accent5 22" xfId="1815" xr:uid="{00000000-0005-0000-0000-0000FB000000}"/>
    <cellStyle name="20% - Accent5 22 2" xfId="27254" xr:uid="{00000000-0005-0000-0000-0000FC000000}"/>
    <cellStyle name="20% - Accent5 23" xfId="1816" xr:uid="{00000000-0005-0000-0000-0000FD000000}"/>
    <cellStyle name="20% - Accent5 23 2" xfId="27255" xr:uid="{00000000-0005-0000-0000-0000FE000000}"/>
    <cellStyle name="20% - Accent5 24" xfId="1817" xr:uid="{00000000-0005-0000-0000-0000FF000000}"/>
    <cellStyle name="20% - Accent5 24 2" xfId="27256" xr:uid="{00000000-0005-0000-0000-000000010000}"/>
    <cellStyle name="20% - Accent5 3" xfId="1535" xr:uid="{00000000-0005-0000-0000-000001010000}"/>
    <cellStyle name="20% - Accent5 3 2" xfId="31373" xr:uid="{00000000-0005-0000-0000-000002010000}"/>
    <cellStyle name="20% - Accent5 4" xfId="1818" xr:uid="{00000000-0005-0000-0000-000003010000}"/>
    <cellStyle name="20% - Accent5 5" xfId="1819" xr:uid="{00000000-0005-0000-0000-000004010000}"/>
    <cellStyle name="20% - Accent5 6" xfId="1820" xr:uid="{00000000-0005-0000-0000-000005010000}"/>
    <cellStyle name="20% - Accent5 7" xfId="1821" xr:uid="{00000000-0005-0000-0000-000006010000}"/>
    <cellStyle name="20% - Accent5 8" xfId="1822" xr:uid="{00000000-0005-0000-0000-000007010000}"/>
    <cellStyle name="20% - Accent5 9" xfId="1823" xr:uid="{00000000-0005-0000-0000-000008010000}"/>
    <cellStyle name="20% - Accent6" xfId="44" builtinId="50" customBuiltin="1"/>
    <cellStyle name="20% - Accent6 10" xfId="1824" xr:uid="{00000000-0005-0000-0000-00000A010000}"/>
    <cellStyle name="20% - Accent6 11" xfId="1825" xr:uid="{00000000-0005-0000-0000-00000B010000}"/>
    <cellStyle name="20% - Accent6 12" xfId="1826" xr:uid="{00000000-0005-0000-0000-00000C010000}"/>
    <cellStyle name="20% - Accent6 12 2" xfId="27257" xr:uid="{00000000-0005-0000-0000-00000D010000}"/>
    <cellStyle name="20% - Accent6 13" xfId="1827" xr:uid="{00000000-0005-0000-0000-00000E010000}"/>
    <cellStyle name="20% - Accent6 13 2" xfId="27258" xr:uid="{00000000-0005-0000-0000-00000F010000}"/>
    <cellStyle name="20% - Accent6 14" xfId="1828" xr:uid="{00000000-0005-0000-0000-000010010000}"/>
    <cellStyle name="20% - Accent6 14 2" xfId="27259" xr:uid="{00000000-0005-0000-0000-000011010000}"/>
    <cellStyle name="20% - Accent6 15" xfId="1829" xr:uid="{00000000-0005-0000-0000-000012010000}"/>
    <cellStyle name="20% - Accent6 15 2" xfId="27260" xr:uid="{00000000-0005-0000-0000-000013010000}"/>
    <cellStyle name="20% - Accent6 16" xfId="1830" xr:uid="{00000000-0005-0000-0000-000014010000}"/>
    <cellStyle name="20% - Accent6 16 2" xfId="27261" xr:uid="{00000000-0005-0000-0000-000015010000}"/>
    <cellStyle name="20% - Accent6 17" xfId="1831" xr:uid="{00000000-0005-0000-0000-000016010000}"/>
    <cellStyle name="20% - Accent6 17 2" xfId="27262" xr:uid="{00000000-0005-0000-0000-000017010000}"/>
    <cellStyle name="20% - Accent6 18" xfId="1832" xr:uid="{00000000-0005-0000-0000-000018010000}"/>
    <cellStyle name="20% - Accent6 18 2" xfId="27263" xr:uid="{00000000-0005-0000-0000-000019010000}"/>
    <cellStyle name="20% - Accent6 19" xfId="1833" xr:uid="{00000000-0005-0000-0000-00001A010000}"/>
    <cellStyle name="20% - Accent6 19 2" xfId="27264" xr:uid="{00000000-0005-0000-0000-00001B010000}"/>
    <cellStyle name="20% - Accent6 2" xfId="1536" xr:uid="{00000000-0005-0000-0000-00001C010000}"/>
    <cellStyle name="20% - Accent6 2 10" xfId="1834" xr:uid="{00000000-0005-0000-0000-00001D010000}"/>
    <cellStyle name="20% - Accent6 2 11" xfId="1835" xr:uid="{00000000-0005-0000-0000-00001E010000}"/>
    <cellStyle name="20% - Accent6 2 12" xfId="1836" xr:uid="{00000000-0005-0000-0000-00001F010000}"/>
    <cellStyle name="20% - Accent6 2 13" xfId="1837" xr:uid="{00000000-0005-0000-0000-000020010000}"/>
    <cellStyle name="20% - Accent6 2 14" xfId="1838" xr:uid="{00000000-0005-0000-0000-000021010000}"/>
    <cellStyle name="20% - Accent6 2 15" xfId="1839" xr:uid="{00000000-0005-0000-0000-000022010000}"/>
    <cellStyle name="20% - Accent6 2 16" xfId="31362" xr:uid="{00000000-0005-0000-0000-000023010000}"/>
    <cellStyle name="20% - Accent6 2 2" xfId="1840" xr:uid="{00000000-0005-0000-0000-000024010000}"/>
    <cellStyle name="20% - Accent6 2 3" xfId="1841" xr:uid="{00000000-0005-0000-0000-000025010000}"/>
    <cellStyle name="20% - Accent6 2 4" xfId="1842" xr:uid="{00000000-0005-0000-0000-000026010000}"/>
    <cellStyle name="20% - Accent6 2 5" xfId="1843" xr:uid="{00000000-0005-0000-0000-000027010000}"/>
    <cellStyle name="20% - Accent6 2 6" xfId="1844" xr:uid="{00000000-0005-0000-0000-000028010000}"/>
    <cellStyle name="20% - Accent6 2 7" xfId="1845" xr:uid="{00000000-0005-0000-0000-000029010000}"/>
    <cellStyle name="20% - Accent6 2 8" xfId="1846" xr:uid="{00000000-0005-0000-0000-00002A010000}"/>
    <cellStyle name="20% - Accent6 2 9" xfId="1847" xr:uid="{00000000-0005-0000-0000-00002B010000}"/>
    <cellStyle name="20% - Accent6 20" xfId="1848" xr:uid="{00000000-0005-0000-0000-00002C010000}"/>
    <cellStyle name="20% - Accent6 20 2" xfId="27265" xr:uid="{00000000-0005-0000-0000-00002D010000}"/>
    <cellStyle name="20% - Accent6 21" xfId="1849" xr:uid="{00000000-0005-0000-0000-00002E010000}"/>
    <cellStyle name="20% - Accent6 21 2" xfId="27266" xr:uid="{00000000-0005-0000-0000-00002F010000}"/>
    <cellStyle name="20% - Accent6 22" xfId="1850" xr:uid="{00000000-0005-0000-0000-000030010000}"/>
    <cellStyle name="20% - Accent6 22 2" xfId="27267" xr:uid="{00000000-0005-0000-0000-000031010000}"/>
    <cellStyle name="20% - Accent6 23" xfId="1851" xr:uid="{00000000-0005-0000-0000-000032010000}"/>
    <cellStyle name="20% - Accent6 23 2" xfId="27268" xr:uid="{00000000-0005-0000-0000-000033010000}"/>
    <cellStyle name="20% - Accent6 24" xfId="1852" xr:uid="{00000000-0005-0000-0000-000034010000}"/>
    <cellStyle name="20% - Accent6 24 2" xfId="27269" xr:uid="{00000000-0005-0000-0000-000035010000}"/>
    <cellStyle name="20% - Accent6 3" xfId="1537" xr:uid="{00000000-0005-0000-0000-000036010000}"/>
    <cellStyle name="20% - Accent6 3 2" xfId="31375" xr:uid="{00000000-0005-0000-0000-000037010000}"/>
    <cellStyle name="20% - Accent6 4" xfId="1853" xr:uid="{00000000-0005-0000-0000-000038010000}"/>
    <cellStyle name="20% - Accent6 5" xfId="1854" xr:uid="{00000000-0005-0000-0000-000039010000}"/>
    <cellStyle name="20% - Accent6 6" xfId="1855" xr:uid="{00000000-0005-0000-0000-00003A010000}"/>
    <cellStyle name="20% - Accent6 7" xfId="1856" xr:uid="{00000000-0005-0000-0000-00003B010000}"/>
    <cellStyle name="20% - Accent6 8" xfId="1857" xr:uid="{00000000-0005-0000-0000-00003C010000}"/>
    <cellStyle name="20% - Accent6 9" xfId="1858" xr:uid="{00000000-0005-0000-0000-00003D010000}"/>
    <cellStyle name="40% - Accent1" xfId="25" builtinId="31" customBuiltin="1"/>
    <cellStyle name="40% - Accent1 10" xfId="1859" xr:uid="{00000000-0005-0000-0000-00003F010000}"/>
    <cellStyle name="40% - Accent1 11" xfId="1860" xr:uid="{00000000-0005-0000-0000-000040010000}"/>
    <cellStyle name="40% - Accent1 12" xfId="1861" xr:uid="{00000000-0005-0000-0000-000041010000}"/>
    <cellStyle name="40% - Accent1 12 2" xfId="27270" xr:uid="{00000000-0005-0000-0000-000042010000}"/>
    <cellStyle name="40% - Accent1 13" xfId="1862" xr:uid="{00000000-0005-0000-0000-000043010000}"/>
    <cellStyle name="40% - Accent1 13 2" xfId="27271" xr:uid="{00000000-0005-0000-0000-000044010000}"/>
    <cellStyle name="40% - Accent1 14" xfId="1863" xr:uid="{00000000-0005-0000-0000-000045010000}"/>
    <cellStyle name="40% - Accent1 14 2" xfId="27272" xr:uid="{00000000-0005-0000-0000-000046010000}"/>
    <cellStyle name="40% - Accent1 15" xfId="1864" xr:uid="{00000000-0005-0000-0000-000047010000}"/>
    <cellStyle name="40% - Accent1 15 2" xfId="27273" xr:uid="{00000000-0005-0000-0000-000048010000}"/>
    <cellStyle name="40% - Accent1 16" xfId="1865" xr:uid="{00000000-0005-0000-0000-000049010000}"/>
    <cellStyle name="40% - Accent1 16 2" xfId="27274" xr:uid="{00000000-0005-0000-0000-00004A010000}"/>
    <cellStyle name="40% - Accent1 17" xfId="1866" xr:uid="{00000000-0005-0000-0000-00004B010000}"/>
    <cellStyle name="40% - Accent1 17 2" xfId="27275" xr:uid="{00000000-0005-0000-0000-00004C010000}"/>
    <cellStyle name="40% - Accent1 18" xfId="1867" xr:uid="{00000000-0005-0000-0000-00004D010000}"/>
    <cellStyle name="40% - Accent1 18 2" xfId="27276" xr:uid="{00000000-0005-0000-0000-00004E010000}"/>
    <cellStyle name="40% - Accent1 19" xfId="1868" xr:uid="{00000000-0005-0000-0000-00004F010000}"/>
    <cellStyle name="40% - Accent1 19 2" xfId="27277" xr:uid="{00000000-0005-0000-0000-000050010000}"/>
    <cellStyle name="40% - Accent1 2" xfId="1538" xr:uid="{00000000-0005-0000-0000-000051010000}"/>
    <cellStyle name="40% - Accent1 2 10" xfId="1869" xr:uid="{00000000-0005-0000-0000-000052010000}"/>
    <cellStyle name="40% - Accent1 2 11" xfId="1870" xr:uid="{00000000-0005-0000-0000-000053010000}"/>
    <cellStyle name="40% - Accent1 2 12" xfId="1871" xr:uid="{00000000-0005-0000-0000-000054010000}"/>
    <cellStyle name="40% - Accent1 2 13" xfId="1872" xr:uid="{00000000-0005-0000-0000-000055010000}"/>
    <cellStyle name="40% - Accent1 2 14" xfId="1873" xr:uid="{00000000-0005-0000-0000-000056010000}"/>
    <cellStyle name="40% - Accent1 2 15" xfId="1874" xr:uid="{00000000-0005-0000-0000-000057010000}"/>
    <cellStyle name="40% - Accent1 2 16" xfId="31353" xr:uid="{00000000-0005-0000-0000-000058010000}"/>
    <cellStyle name="40% - Accent1 2 2" xfId="1875" xr:uid="{00000000-0005-0000-0000-000059010000}"/>
    <cellStyle name="40% - Accent1 2 3" xfId="1876" xr:uid="{00000000-0005-0000-0000-00005A010000}"/>
    <cellStyle name="40% - Accent1 2 4" xfId="1877" xr:uid="{00000000-0005-0000-0000-00005B010000}"/>
    <cellStyle name="40% - Accent1 2 5" xfId="1878" xr:uid="{00000000-0005-0000-0000-00005C010000}"/>
    <cellStyle name="40% - Accent1 2 6" xfId="1879" xr:uid="{00000000-0005-0000-0000-00005D010000}"/>
    <cellStyle name="40% - Accent1 2 7" xfId="1880" xr:uid="{00000000-0005-0000-0000-00005E010000}"/>
    <cellStyle name="40% - Accent1 2 8" xfId="1881" xr:uid="{00000000-0005-0000-0000-00005F010000}"/>
    <cellStyle name="40% - Accent1 2 9" xfId="1882" xr:uid="{00000000-0005-0000-0000-000060010000}"/>
    <cellStyle name="40% - Accent1 20" xfId="1883" xr:uid="{00000000-0005-0000-0000-000061010000}"/>
    <cellStyle name="40% - Accent1 20 2" xfId="27278" xr:uid="{00000000-0005-0000-0000-000062010000}"/>
    <cellStyle name="40% - Accent1 21" xfId="1884" xr:uid="{00000000-0005-0000-0000-000063010000}"/>
    <cellStyle name="40% - Accent1 21 2" xfId="27279" xr:uid="{00000000-0005-0000-0000-000064010000}"/>
    <cellStyle name="40% - Accent1 22" xfId="1885" xr:uid="{00000000-0005-0000-0000-000065010000}"/>
    <cellStyle name="40% - Accent1 22 2" xfId="27280" xr:uid="{00000000-0005-0000-0000-000066010000}"/>
    <cellStyle name="40% - Accent1 23" xfId="1886" xr:uid="{00000000-0005-0000-0000-000067010000}"/>
    <cellStyle name="40% - Accent1 23 2" xfId="27281" xr:uid="{00000000-0005-0000-0000-000068010000}"/>
    <cellStyle name="40% - Accent1 24" xfId="1887" xr:uid="{00000000-0005-0000-0000-000069010000}"/>
    <cellStyle name="40% - Accent1 24 2" xfId="27282" xr:uid="{00000000-0005-0000-0000-00006A010000}"/>
    <cellStyle name="40% - Accent1 3" xfId="1539" xr:uid="{00000000-0005-0000-0000-00006B010000}"/>
    <cellStyle name="40% - Accent1 3 2" xfId="31366" xr:uid="{00000000-0005-0000-0000-00006C010000}"/>
    <cellStyle name="40% - Accent1 4" xfId="1888" xr:uid="{00000000-0005-0000-0000-00006D010000}"/>
    <cellStyle name="40% - Accent1 5" xfId="1889" xr:uid="{00000000-0005-0000-0000-00006E010000}"/>
    <cellStyle name="40% - Accent1 6" xfId="1890" xr:uid="{00000000-0005-0000-0000-00006F010000}"/>
    <cellStyle name="40% - Accent1 7" xfId="1891" xr:uid="{00000000-0005-0000-0000-000070010000}"/>
    <cellStyle name="40% - Accent1 8" xfId="1892" xr:uid="{00000000-0005-0000-0000-000071010000}"/>
    <cellStyle name="40% - Accent1 9" xfId="1893" xr:uid="{00000000-0005-0000-0000-000072010000}"/>
    <cellStyle name="40% - Accent2" xfId="29" builtinId="35" customBuiltin="1"/>
    <cellStyle name="40% - Accent2 10" xfId="1894" xr:uid="{00000000-0005-0000-0000-000074010000}"/>
    <cellStyle name="40% - Accent2 11" xfId="1895" xr:uid="{00000000-0005-0000-0000-000075010000}"/>
    <cellStyle name="40% - Accent2 12" xfId="1896" xr:uid="{00000000-0005-0000-0000-000076010000}"/>
    <cellStyle name="40% - Accent2 12 2" xfId="27283" xr:uid="{00000000-0005-0000-0000-000077010000}"/>
    <cellStyle name="40% - Accent2 13" xfId="1897" xr:uid="{00000000-0005-0000-0000-000078010000}"/>
    <cellStyle name="40% - Accent2 13 2" xfId="27284" xr:uid="{00000000-0005-0000-0000-000079010000}"/>
    <cellStyle name="40% - Accent2 14" xfId="1898" xr:uid="{00000000-0005-0000-0000-00007A010000}"/>
    <cellStyle name="40% - Accent2 14 2" xfId="27285" xr:uid="{00000000-0005-0000-0000-00007B010000}"/>
    <cellStyle name="40% - Accent2 15" xfId="1899" xr:uid="{00000000-0005-0000-0000-00007C010000}"/>
    <cellStyle name="40% - Accent2 15 2" xfId="27286" xr:uid="{00000000-0005-0000-0000-00007D010000}"/>
    <cellStyle name="40% - Accent2 16" xfId="1900" xr:uid="{00000000-0005-0000-0000-00007E010000}"/>
    <cellStyle name="40% - Accent2 16 2" xfId="27287" xr:uid="{00000000-0005-0000-0000-00007F010000}"/>
    <cellStyle name="40% - Accent2 17" xfId="1901" xr:uid="{00000000-0005-0000-0000-000080010000}"/>
    <cellStyle name="40% - Accent2 17 2" xfId="27288" xr:uid="{00000000-0005-0000-0000-000081010000}"/>
    <cellStyle name="40% - Accent2 18" xfId="1902" xr:uid="{00000000-0005-0000-0000-000082010000}"/>
    <cellStyle name="40% - Accent2 18 2" xfId="27289" xr:uid="{00000000-0005-0000-0000-000083010000}"/>
    <cellStyle name="40% - Accent2 19" xfId="1903" xr:uid="{00000000-0005-0000-0000-000084010000}"/>
    <cellStyle name="40% - Accent2 19 2" xfId="27290" xr:uid="{00000000-0005-0000-0000-000085010000}"/>
    <cellStyle name="40% - Accent2 2" xfId="1540" xr:uid="{00000000-0005-0000-0000-000086010000}"/>
    <cellStyle name="40% - Accent2 2 10" xfId="1904" xr:uid="{00000000-0005-0000-0000-000087010000}"/>
    <cellStyle name="40% - Accent2 2 11" xfId="1905" xr:uid="{00000000-0005-0000-0000-000088010000}"/>
    <cellStyle name="40% - Accent2 2 12" xfId="1906" xr:uid="{00000000-0005-0000-0000-000089010000}"/>
    <cellStyle name="40% - Accent2 2 13" xfId="1907" xr:uid="{00000000-0005-0000-0000-00008A010000}"/>
    <cellStyle name="40% - Accent2 2 14" xfId="1908" xr:uid="{00000000-0005-0000-0000-00008B010000}"/>
    <cellStyle name="40% - Accent2 2 15" xfId="1909" xr:uid="{00000000-0005-0000-0000-00008C010000}"/>
    <cellStyle name="40% - Accent2 2 16" xfId="31355" xr:uid="{00000000-0005-0000-0000-00008D010000}"/>
    <cellStyle name="40% - Accent2 2 2" xfId="1910" xr:uid="{00000000-0005-0000-0000-00008E010000}"/>
    <cellStyle name="40% - Accent2 2 3" xfId="1911" xr:uid="{00000000-0005-0000-0000-00008F010000}"/>
    <cellStyle name="40% - Accent2 2 4" xfId="1912" xr:uid="{00000000-0005-0000-0000-000090010000}"/>
    <cellStyle name="40% - Accent2 2 5" xfId="1913" xr:uid="{00000000-0005-0000-0000-000091010000}"/>
    <cellStyle name="40% - Accent2 2 6" xfId="1914" xr:uid="{00000000-0005-0000-0000-000092010000}"/>
    <cellStyle name="40% - Accent2 2 7" xfId="1915" xr:uid="{00000000-0005-0000-0000-000093010000}"/>
    <cellStyle name="40% - Accent2 2 8" xfId="1916" xr:uid="{00000000-0005-0000-0000-000094010000}"/>
    <cellStyle name="40% - Accent2 2 9" xfId="1917" xr:uid="{00000000-0005-0000-0000-000095010000}"/>
    <cellStyle name="40% - Accent2 20" xfId="1918" xr:uid="{00000000-0005-0000-0000-000096010000}"/>
    <cellStyle name="40% - Accent2 20 2" xfId="27291" xr:uid="{00000000-0005-0000-0000-000097010000}"/>
    <cellStyle name="40% - Accent2 21" xfId="1919" xr:uid="{00000000-0005-0000-0000-000098010000}"/>
    <cellStyle name="40% - Accent2 21 2" xfId="27292" xr:uid="{00000000-0005-0000-0000-000099010000}"/>
    <cellStyle name="40% - Accent2 22" xfId="1920" xr:uid="{00000000-0005-0000-0000-00009A010000}"/>
    <cellStyle name="40% - Accent2 22 2" xfId="27293" xr:uid="{00000000-0005-0000-0000-00009B010000}"/>
    <cellStyle name="40% - Accent2 23" xfId="1921" xr:uid="{00000000-0005-0000-0000-00009C010000}"/>
    <cellStyle name="40% - Accent2 23 2" xfId="27294" xr:uid="{00000000-0005-0000-0000-00009D010000}"/>
    <cellStyle name="40% - Accent2 24" xfId="1922" xr:uid="{00000000-0005-0000-0000-00009E010000}"/>
    <cellStyle name="40% - Accent2 24 2" xfId="27295" xr:uid="{00000000-0005-0000-0000-00009F010000}"/>
    <cellStyle name="40% - Accent2 3" xfId="1541" xr:uid="{00000000-0005-0000-0000-0000A0010000}"/>
    <cellStyle name="40% - Accent2 3 2" xfId="31368" xr:uid="{00000000-0005-0000-0000-0000A1010000}"/>
    <cellStyle name="40% - Accent2 4" xfId="1923" xr:uid="{00000000-0005-0000-0000-0000A2010000}"/>
    <cellStyle name="40% - Accent2 5" xfId="1924" xr:uid="{00000000-0005-0000-0000-0000A3010000}"/>
    <cellStyle name="40% - Accent2 6" xfId="1925" xr:uid="{00000000-0005-0000-0000-0000A4010000}"/>
    <cellStyle name="40% - Accent2 7" xfId="1926" xr:uid="{00000000-0005-0000-0000-0000A5010000}"/>
    <cellStyle name="40% - Accent2 8" xfId="1927" xr:uid="{00000000-0005-0000-0000-0000A6010000}"/>
    <cellStyle name="40% - Accent2 9" xfId="1928" xr:uid="{00000000-0005-0000-0000-0000A7010000}"/>
    <cellStyle name="40% - Accent3" xfId="33" builtinId="39" customBuiltin="1"/>
    <cellStyle name="40% - Accent3 10" xfId="1929" xr:uid="{00000000-0005-0000-0000-0000A9010000}"/>
    <cellStyle name="40% - Accent3 11" xfId="1930" xr:uid="{00000000-0005-0000-0000-0000AA010000}"/>
    <cellStyle name="40% - Accent3 12" xfId="1931" xr:uid="{00000000-0005-0000-0000-0000AB010000}"/>
    <cellStyle name="40% - Accent3 12 2" xfId="27296" xr:uid="{00000000-0005-0000-0000-0000AC010000}"/>
    <cellStyle name="40% - Accent3 13" xfId="1932" xr:uid="{00000000-0005-0000-0000-0000AD010000}"/>
    <cellStyle name="40% - Accent3 13 2" xfId="27297" xr:uid="{00000000-0005-0000-0000-0000AE010000}"/>
    <cellStyle name="40% - Accent3 14" xfId="1933" xr:uid="{00000000-0005-0000-0000-0000AF010000}"/>
    <cellStyle name="40% - Accent3 14 2" xfId="27298" xr:uid="{00000000-0005-0000-0000-0000B0010000}"/>
    <cellStyle name="40% - Accent3 15" xfId="1934" xr:uid="{00000000-0005-0000-0000-0000B1010000}"/>
    <cellStyle name="40% - Accent3 15 2" xfId="27299" xr:uid="{00000000-0005-0000-0000-0000B2010000}"/>
    <cellStyle name="40% - Accent3 16" xfId="1935" xr:uid="{00000000-0005-0000-0000-0000B3010000}"/>
    <cellStyle name="40% - Accent3 16 2" xfId="27300" xr:uid="{00000000-0005-0000-0000-0000B4010000}"/>
    <cellStyle name="40% - Accent3 17" xfId="1936" xr:uid="{00000000-0005-0000-0000-0000B5010000}"/>
    <cellStyle name="40% - Accent3 17 2" xfId="27301" xr:uid="{00000000-0005-0000-0000-0000B6010000}"/>
    <cellStyle name="40% - Accent3 18" xfId="1937" xr:uid="{00000000-0005-0000-0000-0000B7010000}"/>
    <cellStyle name="40% - Accent3 18 2" xfId="27302" xr:uid="{00000000-0005-0000-0000-0000B8010000}"/>
    <cellStyle name="40% - Accent3 19" xfId="1938" xr:uid="{00000000-0005-0000-0000-0000B9010000}"/>
    <cellStyle name="40% - Accent3 19 2" xfId="27303" xr:uid="{00000000-0005-0000-0000-0000BA010000}"/>
    <cellStyle name="40% - Accent3 2" xfId="1542" xr:uid="{00000000-0005-0000-0000-0000BB010000}"/>
    <cellStyle name="40% - Accent3 2 10" xfId="1939" xr:uid="{00000000-0005-0000-0000-0000BC010000}"/>
    <cellStyle name="40% - Accent3 2 11" xfId="1940" xr:uid="{00000000-0005-0000-0000-0000BD010000}"/>
    <cellStyle name="40% - Accent3 2 12" xfId="1941" xr:uid="{00000000-0005-0000-0000-0000BE010000}"/>
    <cellStyle name="40% - Accent3 2 13" xfId="1942" xr:uid="{00000000-0005-0000-0000-0000BF010000}"/>
    <cellStyle name="40% - Accent3 2 14" xfId="1943" xr:uid="{00000000-0005-0000-0000-0000C0010000}"/>
    <cellStyle name="40% - Accent3 2 15" xfId="1944" xr:uid="{00000000-0005-0000-0000-0000C1010000}"/>
    <cellStyle name="40% - Accent3 2 16" xfId="31357" xr:uid="{00000000-0005-0000-0000-0000C2010000}"/>
    <cellStyle name="40% - Accent3 2 2" xfId="1945" xr:uid="{00000000-0005-0000-0000-0000C3010000}"/>
    <cellStyle name="40% - Accent3 2 3" xfId="1946" xr:uid="{00000000-0005-0000-0000-0000C4010000}"/>
    <cellStyle name="40% - Accent3 2 4" xfId="1947" xr:uid="{00000000-0005-0000-0000-0000C5010000}"/>
    <cellStyle name="40% - Accent3 2 5" xfId="1948" xr:uid="{00000000-0005-0000-0000-0000C6010000}"/>
    <cellStyle name="40% - Accent3 2 6" xfId="1949" xr:uid="{00000000-0005-0000-0000-0000C7010000}"/>
    <cellStyle name="40% - Accent3 2 7" xfId="1950" xr:uid="{00000000-0005-0000-0000-0000C8010000}"/>
    <cellStyle name="40% - Accent3 2 8" xfId="1951" xr:uid="{00000000-0005-0000-0000-0000C9010000}"/>
    <cellStyle name="40% - Accent3 2 9" xfId="1952" xr:uid="{00000000-0005-0000-0000-0000CA010000}"/>
    <cellStyle name="40% - Accent3 20" xfId="1953" xr:uid="{00000000-0005-0000-0000-0000CB010000}"/>
    <cellStyle name="40% - Accent3 20 2" xfId="27304" xr:uid="{00000000-0005-0000-0000-0000CC010000}"/>
    <cellStyle name="40% - Accent3 21" xfId="1954" xr:uid="{00000000-0005-0000-0000-0000CD010000}"/>
    <cellStyle name="40% - Accent3 21 2" xfId="27305" xr:uid="{00000000-0005-0000-0000-0000CE010000}"/>
    <cellStyle name="40% - Accent3 22" xfId="1955" xr:uid="{00000000-0005-0000-0000-0000CF010000}"/>
    <cellStyle name="40% - Accent3 22 2" xfId="27306" xr:uid="{00000000-0005-0000-0000-0000D0010000}"/>
    <cellStyle name="40% - Accent3 23" xfId="1956" xr:uid="{00000000-0005-0000-0000-0000D1010000}"/>
    <cellStyle name="40% - Accent3 23 2" xfId="27307" xr:uid="{00000000-0005-0000-0000-0000D2010000}"/>
    <cellStyle name="40% - Accent3 24" xfId="1957" xr:uid="{00000000-0005-0000-0000-0000D3010000}"/>
    <cellStyle name="40% - Accent3 24 2" xfId="27308" xr:uid="{00000000-0005-0000-0000-0000D4010000}"/>
    <cellStyle name="40% - Accent3 3" xfId="1543" xr:uid="{00000000-0005-0000-0000-0000D5010000}"/>
    <cellStyle name="40% - Accent3 3 2" xfId="31370" xr:uid="{00000000-0005-0000-0000-0000D6010000}"/>
    <cellStyle name="40% - Accent3 4" xfId="1958" xr:uid="{00000000-0005-0000-0000-0000D7010000}"/>
    <cellStyle name="40% - Accent3 5" xfId="1959" xr:uid="{00000000-0005-0000-0000-0000D8010000}"/>
    <cellStyle name="40% - Accent3 6" xfId="1960" xr:uid="{00000000-0005-0000-0000-0000D9010000}"/>
    <cellStyle name="40% - Accent3 7" xfId="1961" xr:uid="{00000000-0005-0000-0000-0000DA010000}"/>
    <cellStyle name="40% - Accent3 8" xfId="1962" xr:uid="{00000000-0005-0000-0000-0000DB010000}"/>
    <cellStyle name="40% - Accent3 9" xfId="1963" xr:uid="{00000000-0005-0000-0000-0000DC010000}"/>
    <cellStyle name="40% - Accent4" xfId="37" builtinId="43" customBuiltin="1"/>
    <cellStyle name="40% - Accent4 10" xfId="1964" xr:uid="{00000000-0005-0000-0000-0000DE010000}"/>
    <cellStyle name="40% - Accent4 11" xfId="1965" xr:uid="{00000000-0005-0000-0000-0000DF010000}"/>
    <cellStyle name="40% - Accent4 12" xfId="1966" xr:uid="{00000000-0005-0000-0000-0000E0010000}"/>
    <cellStyle name="40% - Accent4 12 2" xfId="27309" xr:uid="{00000000-0005-0000-0000-0000E1010000}"/>
    <cellStyle name="40% - Accent4 13" xfId="1967" xr:uid="{00000000-0005-0000-0000-0000E2010000}"/>
    <cellStyle name="40% - Accent4 13 2" xfId="27310" xr:uid="{00000000-0005-0000-0000-0000E3010000}"/>
    <cellStyle name="40% - Accent4 14" xfId="1968" xr:uid="{00000000-0005-0000-0000-0000E4010000}"/>
    <cellStyle name="40% - Accent4 14 2" xfId="27311" xr:uid="{00000000-0005-0000-0000-0000E5010000}"/>
    <cellStyle name="40% - Accent4 15" xfId="1969" xr:uid="{00000000-0005-0000-0000-0000E6010000}"/>
    <cellStyle name="40% - Accent4 15 2" xfId="27312" xr:uid="{00000000-0005-0000-0000-0000E7010000}"/>
    <cellStyle name="40% - Accent4 16" xfId="1970" xr:uid="{00000000-0005-0000-0000-0000E8010000}"/>
    <cellStyle name="40% - Accent4 16 2" xfId="27313" xr:uid="{00000000-0005-0000-0000-0000E9010000}"/>
    <cellStyle name="40% - Accent4 17" xfId="1971" xr:uid="{00000000-0005-0000-0000-0000EA010000}"/>
    <cellStyle name="40% - Accent4 17 2" xfId="27314" xr:uid="{00000000-0005-0000-0000-0000EB010000}"/>
    <cellStyle name="40% - Accent4 18" xfId="1972" xr:uid="{00000000-0005-0000-0000-0000EC010000}"/>
    <cellStyle name="40% - Accent4 18 2" xfId="27315" xr:uid="{00000000-0005-0000-0000-0000ED010000}"/>
    <cellStyle name="40% - Accent4 19" xfId="1973" xr:uid="{00000000-0005-0000-0000-0000EE010000}"/>
    <cellStyle name="40% - Accent4 19 2" xfId="27316" xr:uid="{00000000-0005-0000-0000-0000EF010000}"/>
    <cellStyle name="40% - Accent4 2" xfId="1544" xr:uid="{00000000-0005-0000-0000-0000F0010000}"/>
    <cellStyle name="40% - Accent4 2 10" xfId="1974" xr:uid="{00000000-0005-0000-0000-0000F1010000}"/>
    <cellStyle name="40% - Accent4 2 11" xfId="1975" xr:uid="{00000000-0005-0000-0000-0000F2010000}"/>
    <cellStyle name="40% - Accent4 2 12" xfId="1976" xr:uid="{00000000-0005-0000-0000-0000F3010000}"/>
    <cellStyle name="40% - Accent4 2 13" xfId="1977" xr:uid="{00000000-0005-0000-0000-0000F4010000}"/>
    <cellStyle name="40% - Accent4 2 14" xfId="1978" xr:uid="{00000000-0005-0000-0000-0000F5010000}"/>
    <cellStyle name="40% - Accent4 2 15" xfId="1979" xr:uid="{00000000-0005-0000-0000-0000F6010000}"/>
    <cellStyle name="40% - Accent4 2 16" xfId="31359" xr:uid="{00000000-0005-0000-0000-0000F7010000}"/>
    <cellStyle name="40% - Accent4 2 2" xfId="1980" xr:uid="{00000000-0005-0000-0000-0000F8010000}"/>
    <cellStyle name="40% - Accent4 2 3" xfId="1981" xr:uid="{00000000-0005-0000-0000-0000F9010000}"/>
    <cellStyle name="40% - Accent4 2 4" xfId="1982" xr:uid="{00000000-0005-0000-0000-0000FA010000}"/>
    <cellStyle name="40% - Accent4 2 5" xfId="1983" xr:uid="{00000000-0005-0000-0000-0000FB010000}"/>
    <cellStyle name="40% - Accent4 2 6" xfId="1984" xr:uid="{00000000-0005-0000-0000-0000FC010000}"/>
    <cellStyle name="40% - Accent4 2 7" xfId="1985" xr:uid="{00000000-0005-0000-0000-0000FD010000}"/>
    <cellStyle name="40% - Accent4 2 8" xfId="1986" xr:uid="{00000000-0005-0000-0000-0000FE010000}"/>
    <cellStyle name="40% - Accent4 2 9" xfId="1987" xr:uid="{00000000-0005-0000-0000-0000FF010000}"/>
    <cellStyle name="40% - Accent4 20" xfId="1988" xr:uid="{00000000-0005-0000-0000-000000020000}"/>
    <cellStyle name="40% - Accent4 20 2" xfId="27317" xr:uid="{00000000-0005-0000-0000-000001020000}"/>
    <cellStyle name="40% - Accent4 21" xfId="1989" xr:uid="{00000000-0005-0000-0000-000002020000}"/>
    <cellStyle name="40% - Accent4 21 2" xfId="27318" xr:uid="{00000000-0005-0000-0000-000003020000}"/>
    <cellStyle name="40% - Accent4 22" xfId="1990" xr:uid="{00000000-0005-0000-0000-000004020000}"/>
    <cellStyle name="40% - Accent4 22 2" xfId="27319" xr:uid="{00000000-0005-0000-0000-000005020000}"/>
    <cellStyle name="40% - Accent4 23" xfId="1991" xr:uid="{00000000-0005-0000-0000-000006020000}"/>
    <cellStyle name="40% - Accent4 23 2" xfId="27320" xr:uid="{00000000-0005-0000-0000-000007020000}"/>
    <cellStyle name="40% - Accent4 24" xfId="1992" xr:uid="{00000000-0005-0000-0000-000008020000}"/>
    <cellStyle name="40% - Accent4 24 2" xfId="27321" xr:uid="{00000000-0005-0000-0000-000009020000}"/>
    <cellStyle name="40% - Accent4 3" xfId="1545" xr:uid="{00000000-0005-0000-0000-00000A020000}"/>
    <cellStyle name="40% - Accent4 3 2" xfId="31372" xr:uid="{00000000-0005-0000-0000-00000B020000}"/>
    <cellStyle name="40% - Accent4 4" xfId="1993" xr:uid="{00000000-0005-0000-0000-00000C020000}"/>
    <cellStyle name="40% - Accent4 5" xfId="1994" xr:uid="{00000000-0005-0000-0000-00000D020000}"/>
    <cellStyle name="40% - Accent4 6" xfId="1995" xr:uid="{00000000-0005-0000-0000-00000E020000}"/>
    <cellStyle name="40% - Accent4 7" xfId="1996" xr:uid="{00000000-0005-0000-0000-00000F020000}"/>
    <cellStyle name="40% - Accent4 8" xfId="1997" xr:uid="{00000000-0005-0000-0000-000010020000}"/>
    <cellStyle name="40% - Accent4 9" xfId="1998" xr:uid="{00000000-0005-0000-0000-000011020000}"/>
    <cellStyle name="40% - Accent5" xfId="41" builtinId="47" customBuiltin="1"/>
    <cellStyle name="40% - Accent5 10" xfId="1999" xr:uid="{00000000-0005-0000-0000-000013020000}"/>
    <cellStyle name="40% - Accent5 11" xfId="2000" xr:uid="{00000000-0005-0000-0000-000014020000}"/>
    <cellStyle name="40% - Accent5 12" xfId="2001" xr:uid="{00000000-0005-0000-0000-000015020000}"/>
    <cellStyle name="40% - Accent5 12 2" xfId="27322" xr:uid="{00000000-0005-0000-0000-000016020000}"/>
    <cellStyle name="40% - Accent5 13" xfId="2002" xr:uid="{00000000-0005-0000-0000-000017020000}"/>
    <cellStyle name="40% - Accent5 13 2" xfId="27323" xr:uid="{00000000-0005-0000-0000-000018020000}"/>
    <cellStyle name="40% - Accent5 14" xfId="2003" xr:uid="{00000000-0005-0000-0000-000019020000}"/>
    <cellStyle name="40% - Accent5 14 2" xfId="27324" xr:uid="{00000000-0005-0000-0000-00001A020000}"/>
    <cellStyle name="40% - Accent5 15" xfId="2004" xr:uid="{00000000-0005-0000-0000-00001B020000}"/>
    <cellStyle name="40% - Accent5 15 2" xfId="27325" xr:uid="{00000000-0005-0000-0000-00001C020000}"/>
    <cellStyle name="40% - Accent5 16" xfId="2005" xr:uid="{00000000-0005-0000-0000-00001D020000}"/>
    <cellStyle name="40% - Accent5 16 2" xfId="27326" xr:uid="{00000000-0005-0000-0000-00001E020000}"/>
    <cellStyle name="40% - Accent5 17" xfId="2006" xr:uid="{00000000-0005-0000-0000-00001F020000}"/>
    <cellStyle name="40% - Accent5 17 2" xfId="27327" xr:uid="{00000000-0005-0000-0000-000020020000}"/>
    <cellStyle name="40% - Accent5 18" xfId="2007" xr:uid="{00000000-0005-0000-0000-000021020000}"/>
    <cellStyle name="40% - Accent5 18 2" xfId="27328" xr:uid="{00000000-0005-0000-0000-000022020000}"/>
    <cellStyle name="40% - Accent5 19" xfId="2008" xr:uid="{00000000-0005-0000-0000-000023020000}"/>
    <cellStyle name="40% - Accent5 19 2" xfId="27329" xr:uid="{00000000-0005-0000-0000-000024020000}"/>
    <cellStyle name="40% - Accent5 2" xfId="1546" xr:uid="{00000000-0005-0000-0000-000025020000}"/>
    <cellStyle name="40% - Accent5 2 10" xfId="2009" xr:uid="{00000000-0005-0000-0000-000026020000}"/>
    <cellStyle name="40% - Accent5 2 11" xfId="2010" xr:uid="{00000000-0005-0000-0000-000027020000}"/>
    <cellStyle name="40% - Accent5 2 12" xfId="2011" xr:uid="{00000000-0005-0000-0000-000028020000}"/>
    <cellStyle name="40% - Accent5 2 13" xfId="2012" xr:uid="{00000000-0005-0000-0000-000029020000}"/>
    <cellStyle name="40% - Accent5 2 14" xfId="2013" xr:uid="{00000000-0005-0000-0000-00002A020000}"/>
    <cellStyle name="40% - Accent5 2 15" xfId="2014" xr:uid="{00000000-0005-0000-0000-00002B020000}"/>
    <cellStyle name="40% - Accent5 2 16" xfId="31361" xr:uid="{00000000-0005-0000-0000-00002C020000}"/>
    <cellStyle name="40% - Accent5 2 2" xfId="2015" xr:uid="{00000000-0005-0000-0000-00002D020000}"/>
    <cellStyle name="40% - Accent5 2 3" xfId="2016" xr:uid="{00000000-0005-0000-0000-00002E020000}"/>
    <cellStyle name="40% - Accent5 2 4" xfId="2017" xr:uid="{00000000-0005-0000-0000-00002F020000}"/>
    <cellStyle name="40% - Accent5 2 5" xfId="2018" xr:uid="{00000000-0005-0000-0000-000030020000}"/>
    <cellStyle name="40% - Accent5 2 6" xfId="2019" xr:uid="{00000000-0005-0000-0000-000031020000}"/>
    <cellStyle name="40% - Accent5 2 7" xfId="2020" xr:uid="{00000000-0005-0000-0000-000032020000}"/>
    <cellStyle name="40% - Accent5 2 8" xfId="2021" xr:uid="{00000000-0005-0000-0000-000033020000}"/>
    <cellStyle name="40% - Accent5 2 9" xfId="2022" xr:uid="{00000000-0005-0000-0000-000034020000}"/>
    <cellStyle name="40% - Accent5 20" xfId="2023" xr:uid="{00000000-0005-0000-0000-000035020000}"/>
    <cellStyle name="40% - Accent5 20 2" xfId="27330" xr:uid="{00000000-0005-0000-0000-000036020000}"/>
    <cellStyle name="40% - Accent5 21" xfId="2024" xr:uid="{00000000-0005-0000-0000-000037020000}"/>
    <cellStyle name="40% - Accent5 21 2" xfId="27331" xr:uid="{00000000-0005-0000-0000-000038020000}"/>
    <cellStyle name="40% - Accent5 22" xfId="2025" xr:uid="{00000000-0005-0000-0000-000039020000}"/>
    <cellStyle name="40% - Accent5 22 2" xfId="27332" xr:uid="{00000000-0005-0000-0000-00003A020000}"/>
    <cellStyle name="40% - Accent5 23" xfId="2026" xr:uid="{00000000-0005-0000-0000-00003B020000}"/>
    <cellStyle name="40% - Accent5 23 2" xfId="27333" xr:uid="{00000000-0005-0000-0000-00003C020000}"/>
    <cellStyle name="40% - Accent5 24" xfId="2027" xr:uid="{00000000-0005-0000-0000-00003D020000}"/>
    <cellStyle name="40% - Accent5 24 2" xfId="27334" xr:uid="{00000000-0005-0000-0000-00003E020000}"/>
    <cellStyle name="40% - Accent5 3" xfId="1547" xr:uid="{00000000-0005-0000-0000-00003F020000}"/>
    <cellStyle name="40% - Accent5 3 2" xfId="31374" xr:uid="{00000000-0005-0000-0000-000040020000}"/>
    <cellStyle name="40% - Accent5 4" xfId="2028" xr:uid="{00000000-0005-0000-0000-000041020000}"/>
    <cellStyle name="40% - Accent5 5" xfId="2029" xr:uid="{00000000-0005-0000-0000-000042020000}"/>
    <cellStyle name="40% - Accent5 6" xfId="2030" xr:uid="{00000000-0005-0000-0000-000043020000}"/>
    <cellStyle name="40% - Accent5 7" xfId="2031" xr:uid="{00000000-0005-0000-0000-000044020000}"/>
    <cellStyle name="40% - Accent5 8" xfId="2032" xr:uid="{00000000-0005-0000-0000-000045020000}"/>
    <cellStyle name="40% - Accent5 9" xfId="2033" xr:uid="{00000000-0005-0000-0000-000046020000}"/>
    <cellStyle name="40% - Accent6" xfId="45" builtinId="51" customBuiltin="1"/>
    <cellStyle name="40% - Accent6 10" xfId="2034" xr:uid="{00000000-0005-0000-0000-000048020000}"/>
    <cellStyle name="40% - Accent6 11" xfId="2035" xr:uid="{00000000-0005-0000-0000-000049020000}"/>
    <cellStyle name="40% - Accent6 12" xfId="2036" xr:uid="{00000000-0005-0000-0000-00004A020000}"/>
    <cellStyle name="40% - Accent6 12 2" xfId="27335" xr:uid="{00000000-0005-0000-0000-00004B020000}"/>
    <cellStyle name="40% - Accent6 13" xfId="2037" xr:uid="{00000000-0005-0000-0000-00004C020000}"/>
    <cellStyle name="40% - Accent6 13 2" xfId="27336" xr:uid="{00000000-0005-0000-0000-00004D020000}"/>
    <cellStyle name="40% - Accent6 14" xfId="2038" xr:uid="{00000000-0005-0000-0000-00004E020000}"/>
    <cellStyle name="40% - Accent6 14 2" xfId="27337" xr:uid="{00000000-0005-0000-0000-00004F020000}"/>
    <cellStyle name="40% - Accent6 15" xfId="2039" xr:uid="{00000000-0005-0000-0000-000050020000}"/>
    <cellStyle name="40% - Accent6 15 2" xfId="27338" xr:uid="{00000000-0005-0000-0000-000051020000}"/>
    <cellStyle name="40% - Accent6 16" xfId="2040" xr:uid="{00000000-0005-0000-0000-000052020000}"/>
    <cellStyle name="40% - Accent6 16 2" xfId="27339" xr:uid="{00000000-0005-0000-0000-000053020000}"/>
    <cellStyle name="40% - Accent6 17" xfId="2041" xr:uid="{00000000-0005-0000-0000-000054020000}"/>
    <cellStyle name="40% - Accent6 17 2" xfId="27340" xr:uid="{00000000-0005-0000-0000-000055020000}"/>
    <cellStyle name="40% - Accent6 18" xfId="2042" xr:uid="{00000000-0005-0000-0000-000056020000}"/>
    <cellStyle name="40% - Accent6 18 2" xfId="27341" xr:uid="{00000000-0005-0000-0000-000057020000}"/>
    <cellStyle name="40% - Accent6 19" xfId="2043" xr:uid="{00000000-0005-0000-0000-000058020000}"/>
    <cellStyle name="40% - Accent6 19 2" xfId="27342" xr:uid="{00000000-0005-0000-0000-000059020000}"/>
    <cellStyle name="40% - Accent6 2" xfId="1548" xr:uid="{00000000-0005-0000-0000-00005A020000}"/>
    <cellStyle name="40% - Accent6 2 10" xfId="2044" xr:uid="{00000000-0005-0000-0000-00005B020000}"/>
    <cellStyle name="40% - Accent6 2 11" xfId="2045" xr:uid="{00000000-0005-0000-0000-00005C020000}"/>
    <cellStyle name="40% - Accent6 2 12" xfId="2046" xr:uid="{00000000-0005-0000-0000-00005D020000}"/>
    <cellStyle name="40% - Accent6 2 13" xfId="2047" xr:uid="{00000000-0005-0000-0000-00005E020000}"/>
    <cellStyle name="40% - Accent6 2 14" xfId="2048" xr:uid="{00000000-0005-0000-0000-00005F020000}"/>
    <cellStyle name="40% - Accent6 2 15" xfId="2049" xr:uid="{00000000-0005-0000-0000-000060020000}"/>
    <cellStyle name="40% - Accent6 2 16" xfId="31363" xr:uid="{00000000-0005-0000-0000-000061020000}"/>
    <cellStyle name="40% - Accent6 2 2" xfId="2050" xr:uid="{00000000-0005-0000-0000-000062020000}"/>
    <cellStyle name="40% - Accent6 2 3" xfId="2051" xr:uid="{00000000-0005-0000-0000-000063020000}"/>
    <cellStyle name="40% - Accent6 2 4" xfId="2052" xr:uid="{00000000-0005-0000-0000-000064020000}"/>
    <cellStyle name="40% - Accent6 2 5" xfId="2053" xr:uid="{00000000-0005-0000-0000-000065020000}"/>
    <cellStyle name="40% - Accent6 2 6" xfId="2054" xr:uid="{00000000-0005-0000-0000-000066020000}"/>
    <cellStyle name="40% - Accent6 2 7" xfId="2055" xr:uid="{00000000-0005-0000-0000-000067020000}"/>
    <cellStyle name="40% - Accent6 2 8" xfId="2056" xr:uid="{00000000-0005-0000-0000-000068020000}"/>
    <cellStyle name="40% - Accent6 2 9" xfId="2057" xr:uid="{00000000-0005-0000-0000-000069020000}"/>
    <cellStyle name="40% - Accent6 20" xfId="2058" xr:uid="{00000000-0005-0000-0000-00006A020000}"/>
    <cellStyle name="40% - Accent6 20 2" xfId="27343" xr:uid="{00000000-0005-0000-0000-00006B020000}"/>
    <cellStyle name="40% - Accent6 21" xfId="2059" xr:uid="{00000000-0005-0000-0000-00006C020000}"/>
    <cellStyle name="40% - Accent6 21 2" xfId="27344" xr:uid="{00000000-0005-0000-0000-00006D020000}"/>
    <cellStyle name="40% - Accent6 22" xfId="2060" xr:uid="{00000000-0005-0000-0000-00006E020000}"/>
    <cellStyle name="40% - Accent6 22 2" xfId="27345" xr:uid="{00000000-0005-0000-0000-00006F020000}"/>
    <cellStyle name="40% - Accent6 23" xfId="2061" xr:uid="{00000000-0005-0000-0000-000070020000}"/>
    <cellStyle name="40% - Accent6 23 2" xfId="27346" xr:uid="{00000000-0005-0000-0000-000071020000}"/>
    <cellStyle name="40% - Accent6 24" xfId="2062" xr:uid="{00000000-0005-0000-0000-000072020000}"/>
    <cellStyle name="40% - Accent6 24 2" xfId="27347" xr:uid="{00000000-0005-0000-0000-000073020000}"/>
    <cellStyle name="40% - Accent6 3" xfId="1549" xr:uid="{00000000-0005-0000-0000-000074020000}"/>
    <cellStyle name="40% - Accent6 3 2" xfId="31376" xr:uid="{00000000-0005-0000-0000-000075020000}"/>
    <cellStyle name="40% - Accent6 4" xfId="2063" xr:uid="{00000000-0005-0000-0000-000076020000}"/>
    <cellStyle name="40% - Accent6 5" xfId="2064" xr:uid="{00000000-0005-0000-0000-000077020000}"/>
    <cellStyle name="40% - Accent6 6" xfId="2065" xr:uid="{00000000-0005-0000-0000-000078020000}"/>
    <cellStyle name="40% - Accent6 7" xfId="2066" xr:uid="{00000000-0005-0000-0000-000079020000}"/>
    <cellStyle name="40% - Accent6 8" xfId="2067" xr:uid="{00000000-0005-0000-0000-00007A020000}"/>
    <cellStyle name="40% - Accent6 9" xfId="2068" xr:uid="{00000000-0005-0000-0000-00007B020000}"/>
    <cellStyle name="60% - Accent1" xfId="26" builtinId="32" customBuiltin="1"/>
    <cellStyle name="60% - Accent1 10" xfId="2069" xr:uid="{00000000-0005-0000-0000-00007D020000}"/>
    <cellStyle name="60% - Accent1 11" xfId="2070" xr:uid="{00000000-0005-0000-0000-00007E020000}"/>
    <cellStyle name="60% - Accent1 12" xfId="2071" xr:uid="{00000000-0005-0000-0000-00007F020000}"/>
    <cellStyle name="60% - Accent1 13" xfId="2072" xr:uid="{00000000-0005-0000-0000-000080020000}"/>
    <cellStyle name="60% - Accent1 14" xfId="2073" xr:uid="{00000000-0005-0000-0000-000081020000}"/>
    <cellStyle name="60% - Accent1 15" xfId="2074" xr:uid="{00000000-0005-0000-0000-000082020000}"/>
    <cellStyle name="60% - Accent1 16" xfId="2075" xr:uid="{00000000-0005-0000-0000-000083020000}"/>
    <cellStyle name="60% - Accent1 17" xfId="2076" xr:uid="{00000000-0005-0000-0000-000084020000}"/>
    <cellStyle name="60% - Accent1 18" xfId="2077" xr:uid="{00000000-0005-0000-0000-000085020000}"/>
    <cellStyle name="60% - Accent1 19" xfId="2078" xr:uid="{00000000-0005-0000-0000-000086020000}"/>
    <cellStyle name="60% - Accent1 2" xfId="1550" xr:uid="{00000000-0005-0000-0000-000087020000}"/>
    <cellStyle name="60% - Accent1 2 10" xfId="2079" xr:uid="{00000000-0005-0000-0000-000088020000}"/>
    <cellStyle name="60% - Accent1 2 11" xfId="2080" xr:uid="{00000000-0005-0000-0000-000089020000}"/>
    <cellStyle name="60% - Accent1 2 12" xfId="2081" xr:uid="{00000000-0005-0000-0000-00008A020000}"/>
    <cellStyle name="60% - Accent1 2 13" xfId="2082" xr:uid="{00000000-0005-0000-0000-00008B020000}"/>
    <cellStyle name="60% - Accent1 2 14" xfId="2083" xr:uid="{00000000-0005-0000-0000-00008C020000}"/>
    <cellStyle name="60% - Accent1 2 15" xfId="2084" xr:uid="{00000000-0005-0000-0000-00008D020000}"/>
    <cellStyle name="60% - Accent1 2 2" xfId="2085" xr:uid="{00000000-0005-0000-0000-00008E020000}"/>
    <cellStyle name="60% - Accent1 2 3" xfId="2086" xr:uid="{00000000-0005-0000-0000-00008F020000}"/>
    <cellStyle name="60% - Accent1 2 4" xfId="2087" xr:uid="{00000000-0005-0000-0000-000090020000}"/>
    <cellStyle name="60% - Accent1 2 5" xfId="2088" xr:uid="{00000000-0005-0000-0000-000091020000}"/>
    <cellStyle name="60% - Accent1 2 6" xfId="2089" xr:uid="{00000000-0005-0000-0000-000092020000}"/>
    <cellStyle name="60% - Accent1 2 7" xfId="2090" xr:uid="{00000000-0005-0000-0000-000093020000}"/>
    <cellStyle name="60% - Accent1 2 8" xfId="2091" xr:uid="{00000000-0005-0000-0000-000094020000}"/>
    <cellStyle name="60% - Accent1 2 9" xfId="2092" xr:uid="{00000000-0005-0000-0000-000095020000}"/>
    <cellStyle name="60% - Accent1 20" xfId="2093" xr:uid="{00000000-0005-0000-0000-000096020000}"/>
    <cellStyle name="60% - Accent1 21" xfId="2094" xr:uid="{00000000-0005-0000-0000-000097020000}"/>
    <cellStyle name="60% - Accent1 22" xfId="2095" xr:uid="{00000000-0005-0000-0000-000098020000}"/>
    <cellStyle name="60% - Accent1 23" xfId="2096" xr:uid="{00000000-0005-0000-0000-000099020000}"/>
    <cellStyle name="60% - Accent1 24" xfId="2097" xr:uid="{00000000-0005-0000-0000-00009A020000}"/>
    <cellStyle name="60% - Accent1 3" xfId="1551" xr:uid="{00000000-0005-0000-0000-00009B020000}"/>
    <cellStyle name="60% - Accent1 4" xfId="2098" xr:uid="{00000000-0005-0000-0000-00009C020000}"/>
    <cellStyle name="60% - Accent1 5" xfId="2099" xr:uid="{00000000-0005-0000-0000-00009D020000}"/>
    <cellStyle name="60% - Accent1 6" xfId="2100" xr:uid="{00000000-0005-0000-0000-00009E020000}"/>
    <cellStyle name="60% - Accent1 7" xfId="2101" xr:uid="{00000000-0005-0000-0000-00009F020000}"/>
    <cellStyle name="60% - Accent1 8" xfId="2102" xr:uid="{00000000-0005-0000-0000-0000A0020000}"/>
    <cellStyle name="60% - Accent1 9" xfId="2103" xr:uid="{00000000-0005-0000-0000-0000A1020000}"/>
    <cellStyle name="60% - Accent2" xfId="30" builtinId="36" customBuiltin="1"/>
    <cellStyle name="60% - Accent2 10" xfId="2104" xr:uid="{00000000-0005-0000-0000-0000A3020000}"/>
    <cellStyle name="60% - Accent2 11" xfId="2105" xr:uid="{00000000-0005-0000-0000-0000A4020000}"/>
    <cellStyle name="60% - Accent2 12" xfId="2106" xr:uid="{00000000-0005-0000-0000-0000A5020000}"/>
    <cellStyle name="60% - Accent2 13" xfId="2107" xr:uid="{00000000-0005-0000-0000-0000A6020000}"/>
    <cellStyle name="60% - Accent2 14" xfId="2108" xr:uid="{00000000-0005-0000-0000-0000A7020000}"/>
    <cellStyle name="60% - Accent2 15" xfId="2109" xr:uid="{00000000-0005-0000-0000-0000A8020000}"/>
    <cellStyle name="60% - Accent2 16" xfId="2110" xr:uid="{00000000-0005-0000-0000-0000A9020000}"/>
    <cellStyle name="60% - Accent2 17" xfId="2111" xr:uid="{00000000-0005-0000-0000-0000AA020000}"/>
    <cellStyle name="60% - Accent2 18" xfId="2112" xr:uid="{00000000-0005-0000-0000-0000AB020000}"/>
    <cellStyle name="60% - Accent2 19" xfId="2113" xr:uid="{00000000-0005-0000-0000-0000AC020000}"/>
    <cellStyle name="60% - Accent2 2" xfId="1552" xr:uid="{00000000-0005-0000-0000-0000AD020000}"/>
    <cellStyle name="60% - Accent2 2 10" xfId="2114" xr:uid="{00000000-0005-0000-0000-0000AE020000}"/>
    <cellStyle name="60% - Accent2 2 11" xfId="2115" xr:uid="{00000000-0005-0000-0000-0000AF020000}"/>
    <cellStyle name="60% - Accent2 2 12" xfId="2116" xr:uid="{00000000-0005-0000-0000-0000B0020000}"/>
    <cellStyle name="60% - Accent2 2 13" xfId="2117" xr:uid="{00000000-0005-0000-0000-0000B1020000}"/>
    <cellStyle name="60% - Accent2 2 14" xfId="2118" xr:uid="{00000000-0005-0000-0000-0000B2020000}"/>
    <cellStyle name="60% - Accent2 2 15" xfId="2119" xr:uid="{00000000-0005-0000-0000-0000B3020000}"/>
    <cellStyle name="60% - Accent2 2 2" xfId="2120" xr:uid="{00000000-0005-0000-0000-0000B4020000}"/>
    <cellStyle name="60% - Accent2 2 3" xfId="2121" xr:uid="{00000000-0005-0000-0000-0000B5020000}"/>
    <cellStyle name="60% - Accent2 2 4" xfId="2122" xr:uid="{00000000-0005-0000-0000-0000B6020000}"/>
    <cellStyle name="60% - Accent2 2 5" xfId="2123" xr:uid="{00000000-0005-0000-0000-0000B7020000}"/>
    <cellStyle name="60% - Accent2 2 6" xfId="2124" xr:uid="{00000000-0005-0000-0000-0000B8020000}"/>
    <cellStyle name="60% - Accent2 2 7" xfId="2125" xr:uid="{00000000-0005-0000-0000-0000B9020000}"/>
    <cellStyle name="60% - Accent2 2 8" xfId="2126" xr:uid="{00000000-0005-0000-0000-0000BA020000}"/>
    <cellStyle name="60% - Accent2 2 9" xfId="2127" xr:uid="{00000000-0005-0000-0000-0000BB020000}"/>
    <cellStyle name="60% - Accent2 20" xfId="2128" xr:uid="{00000000-0005-0000-0000-0000BC020000}"/>
    <cellStyle name="60% - Accent2 21" xfId="2129" xr:uid="{00000000-0005-0000-0000-0000BD020000}"/>
    <cellStyle name="60% - Accent2 22" xfId="2130" xr:uid="{00000000-0005-0000-0000-0000BE020000}"/>
    <cellStyle name="60% - Accent2 23" xfId="2131" xr:uid="{00000000-0005-0000-0000-0000BF020000}"/>
    <cellStyle name="60% - Accent2 24" xfId="2132" xr:uid="{00000000-0005-0000-0000-0000C0020000}"/>
    <cellStyle name="60% - Accent2 3" xfId="1553" xr:uid="{00000000-0005-0000-0000-0000C1020000}"/>
    <cellStyle name="60% - Accent2 4" xfId="2133" xr:uid="{00000000-0005-0000-0000-0000C2020000}"/>
    <cellStyle name="60% - Accent2 5" xfId="2134" xr:uid="{00000000-0005-0000-0000-0000C3020000}"/>
    <cellStyle name="60% - Accent2 6" xfId="2135" xr:uid="{00000000-0005-0000-0000-0000C4020000}"/>
    <cellStyle name="60% - Accent2 7" xfId="2136" xr:uid="{00000000-0005-0000-0000-0000C5020000}"/>
    <cellStyle name="60% - Accent2 8" xfId="2137" xr:uid="{00000000-0005-0000-0000-0000C6020000}"/>
    <cellStyle name="60% - Accent2 9" xfId="2138" xr:uid="{00000000-0005-0000-0000-0000C7020000}"/>
    <cellStyle name="60% - Accent3" xfId="34" builtinId="40" customBuiltin="1"/>
    <cellStyle name="60% - Accent3 10" xfId="2139" xr:uid="{00000000-0005-0000-0000-0000C9020000}"/>
    <cellStyle name="60% - Accent3 11" xfId="2140" xr:uid="{00000000-0005-0000-0000-0000CA020000}"/>
    <cellStyle name="60% - Accent3 12" xfId="2141" xr:uid="{00000000-0005-0000-0000-0000CB020000}"/>
    <cellStyle name="60% - Accent3 13" xfId="2142" xr:uid="{00000000-0005-0000-0000-0000CC020000}"/>
    <cellStyle name="60% - Accent3 14" xfId="2143" xr:uid="{00000000-0005-0000-0000-0000CD020000}"/>
    <cellStyle name="60% - Accent3 15" xfId="2144" xr:uid="{00000000-0005-0000-0000-0000CE020000}"/>
    <cellStyle name="60% - Accent3 16" xfId="2145" xr:uid="{00000000-0005-0000-0000-0000CF020000}"/>
    <cellStyle name="60% - Accent3 17" xfId="2146" xr:uid="{00000000-0005-0000-0000-0000D0020000}"/>
    <cellStyle name="60% - Accent3 18" xfId="2147" xr:uid="{00000000-0005-0000-0000-0000D1020000}"/>
    <cellStyle name="60% - Accent3 19" xfId="2148" xr:uid="{00000000-0005-0000-0000-0000D2020000}"/>
    <cellStyle name="60% - Accent3 2" xfId="1554" xr:uid="{00000000-0005-0000-0000-0000D3020000}"/>
    <cellStyle name="60% - Accent3 2 10" xfId="2149" xr:uid="{00000000-0005-0000-0000-0000D4020000}"/>
    <cellStyle name="60% - Accent3 2 11" xfId="2150" xr:uid="{00000000-0005-0000-0000-0000D5020000}"/>
    <cellStyle name="60% - Accent3 2 12" xfId="2151" xr:uid="{00000000-0005-0000-0000-0000D6020000}"/>
    <cellStyle name="60% - Accent3 2 13" xfId="2152" xr:uid="{00000000-0005-0000-0000-0000D7020000}"/>
    <cellStyle name="60% - Accent3 2 14" xfId="2153" xr:uid="{00000000-0005-0000-0000-0000D8020000}"/>
    <cellStyle name="60% - Accent3 2 15" xfId="2154" xr:uid="{00000000-0005-0000-0000-0000D9020000}"/>
    <cellStyle name="60% - Accent3 2 2" xfId="2155" xr:uid="{00000000-0005-0000-0000-0000DA020000}"/>
    <cellStyle name="60% - Accent3 2 3" xfId="2156" xr:uid="{00000000-0005-0000-0000-0000DB020000}"/>
    <cellStyle name="60% - Accent3 2 4" xfId="2157" xr:uid="{00000000-0005-0000-0000-0000DC020000}"/>
    <cellStyle name="60% - Accent3 2 5" xfId="2158" xr:uid="{00000000-0005-0000-0000-0000DD020000}"/>
    <cellStyle name="60% - Accent3 2 6" xfId="2159" xr:uid="{00000000-0005-0000-0000-0000DE020000}"/>
    <cellStyle name="60% - Accent3 2 7" xfId="2160" xr:uid="{00000000-0005-0000-0000-0000DF020000}"/>
    <cellStyle name="60% - Accent3 2 8" xfId="2161" xr:uid="{00000000-0005-0000-0000-0000E0020000}"/>
    <cellStyle name="60% - Accent3 2 9" xfId="2162" xr:uid="{00000000-0005-0000-0000-0000E1020000}"/>
    <cellStyle name="60% - Accent3 20" xfId="2163" xr:uid="{00000000-0005-0000-0000-0000E2020000}"/>
    <cellStyle name="60% - Accent3 21" xfId="2164" xr:uid="{00000000-0005-0000-0000-0000E3020000}"/>
    <cellStyle name="60% - Accent3 22" xfId="2165" xr:uid="{00000000-0005-0000-0000-0000E4020000}"/>
    <cellStyle name="60% - Accent3 23" xfId="2166" xr:uid="{00000000-0005-0000-0000-0000E5020000}"/>
    <cellStyle name="60% - Accent3 24" xfId="2167" xr:uid="{00000000-0005-0000-0000-0000E6020000}"/>
    <cellStyle name="60% - Accent3 3" xfId="1555" xr:uid="{00000000-0005-0000-0000-0000E7020000}"/>
    <cellStyle name="60% - Accent3 4" xfId="2168" xr:uid="{00000000-0005-0000-0000-0000E8020000}"/>
    <cellStyle name="60% - Accent3 5" xfId="2169" xr:uid="{00000000-0005-0000-0000-0000E9020000}"/>
    <cellStyle name="60% - Accent3 6" xfId="2170" xr:uid="{00000000-0005-0000-0000-0000EA020000}"/>
    <cellStyle name="60% - Accent3 7" xfId="2171" xr:uid="{00000000-0005-0000-0000-0000EB020000}"/>
    <cellStyle name="60% - Accent3 8" xfId="2172" xr:uid="{00000000-0005-0000-0000-0000EC020000}"/>
    <cellStyle name="60% - Accent3 9" xfId="2173" xr:uid="{00000000-0005-0000-0000-0000ED020000}"/>
    <cellStyle name="60% - Accent4" xfId="38" builtinId="44" customBuiltin="1"/>
    <cellStyle name="60% - Accent4 10" xfId="2174" xr:uid="{00000000-0005-0000-0000-0000EF020000}"/>
    <cellStyle name="60% - Accent4 11" xfId="2175" xr:uid="{00000000-0005-0000-0000-0000F0020000}"/>
    <cellStyle name="60% - Accent4 12" xfId="2176" xr:uid="{00000000-0005-0000-0000-0000F1020000}"/>
    <cellStyle name="60% - Accent4 13" xfId="2177" xr:uid="{00000000-0005-0000-0000-0000F2020000}"/>
    <cellStyle name="60% - Accent4 14" xfId="2178" xr:uid="{00000000-0005-0000-0000-0000F3020000}"/>
    <cellStyle name="60% - Accent4 15" xfId="2179" xr:uid="{00000000-0005-0000-0000-0000F4020000}"/>
    <cellStyle name="60% - Accent4 16" xfId="2180" xr:uid="{00000000-0005-0000-0000-0000F5020000}"/>
    <cellStyle name="60% - Accent4 17" xfId="2181" xr:uid="{00000000-0005-0000-0000-0000F6020000}"/>
    <cellStyle name="60% - Accent4 18" xfId="2182" xr:uid="{00000000-0005-0000-0000-0000F7020000}"/>
    <cellStyle name="60% - Accent4 19" xfId="2183" xr:uid="{00000000-0005-0000-0000-0000F8020000}"/>
    <cellStyle name="60% - Accent4 2" xfId="1556" xr:uid="{00000000-0005-0000-0000-0000F9020000}"/>
    <cellStyle name="60% - Accent4 2 10" xfId="2184" xr:uid="{00000000-0005-0000-0000-0000FA020000}"/>
    <cellStyle name="60% - Accent4 2 11" xfId="2185" xr:uid="{00000000-0005-0000-0000-0000FB020000}"/>
    <cellStyle name="60% - Accent4 2 12" xfId="2186" xr:uid="{00000000-0005-0000-0000-0000FC020000}"/>
    <cellStyle name="60% - Accent4 2 13" xfId="2187" xr:uid="{00000000-0005-0000-0000-0000FD020000}"/>
    <cellStyle name="60% - Accent4 2 14" xfId="2188" xr:uid="{00000000-0005-0000-0000-0000FE020000}"/>
    <cellStyle name="60% - Accent4 2 15" xfId="2189" xr:uid="{00000000-0005-0000-0000-0000FF020000}"/>
    <cellStyle name="60% - Accent4 2 2" xfId="2190" xr:uid="{00000000-0005-0000-0000-000000030000}"/>
    <cellStyle name="60% - Accent4 2 3" xfId="2191" xr:uid="{00000000-0005-0000-0000-000001030000}"/>
    <cellStyle name="60% - Accent4 2 4" xfId="2192" xr:uid="{00000000-0005-0000-0000-000002030000}"/>
    <cellStyle name="60% - Accent4 2 5" xfId="2193" xr:uid="{00000000-0005-0000-0000-000003030000}"/>
    <cellStyle name="60% - Accent4 2 6" xfId="2194" xr:uid="{00000000-0005-0000-0000-000004030000}"/>
    <cellStyle name="60% - Accent4 2 7" xfId="2195" xr:uid="{00000000-0005-0000-0000-000005030000}"/>
    <cellStyle name="60% - Accent4 2 8" xfId="2196" xr:uid="{00000000-0005-0000-0000-000006030000}"/>
    <cellStyle name="60% - Accent4 2 9" xfId="2197" xr:uid="{00000000-0005-0000-0000-000007030000}"/>
    <cellStyle name="60% - Accent4 20" xfId="2198" xr:uid="{00000000-0005-0000-0000-000008030000}"/>
    <cellStyle name="60% - Accent4 21" xfId="2199" xr:uid="{00000000-0005-0000-0000-000009030000}"/>
    <cellStyle name="60% - Accent4 22" xfId="2200" xr:uid="{00000000-0005-0000-0000-00000A030000}"/>
    <cellStyle name="60% - Accent4 23" xfId="2201" xr:uid="{00000000-0005-0000-0000-00000B030000}"/>
    <cellStyle name="60% - Accent4 24" xfId="2202" xr:uid="{00000000-0005-0000-0000-00000C030000}"/>
    <cellStyle name="60% - Accent4 3" xfId="1557" xr:uid="{00000000-0005-0000-0000-00000D030000}"/>
    <cellStyle name="60% - Accent4 4" xfId="2203" xr:uid="{00000000-0005-0000-0000-00000E030000}"/>
    <cellStyle name="60% - Accent4 5" xfId="2204" xr:uid="{00000000-0005-0000-0000-00000F030000}"/>
    <cellStyle name="60% - Accent4 6" xfId="2205" xr:uid="{00000000-0005-0000-0000-000010030000}"/>
    <cellStyle name="60% - Accent4 7" xfId="2206" xr:uid="{00000000-0005-0000-0000-000011030000}"/>
    <cellStyle name="60% - Accent4 8" xfId="2207" xr:uid="{00000000-0005-0000-0000-000012030000}"/>
    <cellStyle name="60% - Accent4 9" xfId="2208" xr:uid="{00000000-0005-0000-0000-000013030000}"/>
    <cellStyle name="60% - Accent5" xfId="42" builtinId="48" customBuiltin="1"/>
    <cellStyle name="60% - Accent5 10" xfId="2209" xr:uid="{00000000-0005-0000-0000-000015030000}"/>
    <cellStyle name="60% - Accent5 11" xfId="2210" xr:uid="{00000000-0005-0000-0000-000016030000}"/>
    <cellStyle name="60% - Accent5 12" xfId="2211" xr:uid="{00000000-0005-0000-0000-000017030000}"/>
    <cellStyle name="60% - Accent5 13" xfId="2212" xr:uid="{00000000-0005-0000-0000-000018030000}"/>
    <cellStyle name="60% - Accent5 14" xfId="2213" xr:uid="{00000000-0005-0000-0000-000019030000}"/>
    <cellStyle name="60% - Accent5 15" xfId="2214" xr:uid="{00000000-0005-0000-0000-00001A030000}"/>
    <cellStyle name="60% - Accent5 16" xfId="2215" xr:uid="{00000000-0005-0000-0000-00001B030000}"/>
    <cellStyle name="60% - Accent5 17" xfId="2216" xr:uid="{00000000-0005-0000-0000-00001C030000}"/>
    <cellStyle name="60% - Accent5 18" xfId="2217" xr:uid="{00000000-0005-0000-0000-00001D030000}"/>
    <cellStyle name="60% - Accent5 19" xfId="2218" xr:uid="{00000000-0005-0000-0000-00001E030000}"/>
    <cellStyle name="60% - Accent5 2" xfId="1558" xr:uid="{00000000-0005-0000-0000-00001F030000}"/>
    <cellStyle name="60% - Accent5 2 10" xfId="2219" xr:uid="{00000000-0005-0000-0000-000020030000}"/>
    <cellStyle name="60% - Accent5 2 11" xfId="2220" xr:uid="{00000000-0005-0000-0000-000021030000}"/>
    <cellStyle name="60% - Accent5 2 12" xfId="2221" xr:uid="{00000000-0005-0000-0000-000022030000}"/>
    <cellStyle name="60% - Accent5 2 13" xfId="2222" xr:uid="{00000000-0005-0000-0000-000023030000}"/>
    <cellStyle name="60% - Accent5 2 14" xfId="2223" xr:uid="{00000000-0005-0000-0000-000024030000}"/>
    <cellStyle name="60% - Accent5 2 15" xfId="2224" xr:uid="{00000000-0005-0000-0000-000025030000}"/>
    <cellStyle name="60% - Accent5 2 2" xfId="2225" xr:uid="{00000000-0005-0000-0000-000026030000}"/>
    <cellStyle name="60% - Accent5 2 3" xfId="2226" xr:uid="{00000000-0005-0000-0000-000027030000}"/>
    <cellStyle name="60% - Accent5 2 4" xfId="2227" xr:uid="{00000000-0005-0000-0000-000028030000}"/>
    <cellStyle name="60% - Accent5 2 5" xfId="2228" xr:uid="{00000000-0005-0000-0000-000029030000}"/>
    <cellStyle name="60% - Accent5 2 6" xfId="2229" xr:uid="{00000000-0005-0000-0000-00002A030000}"/>
    <cellStyle name="60% - Accent5 2 7" xfId="2230" xr:uid="{00000000-0005-0000-0000-00002B030000}"/>
    <cellStyle name="60% - Accent5 2 8" xfId="2231" xr:uid="{00000000-0005-0000-0000-00002C030000}"/>
    <cellStyle name="60% - Accent5 2 9" xfId="2232" xr:uid="{00000000-0005-0000-0000-00002D030000}"/>
    <cellStyle name="60% - Accent5 20" xfId="2233" xr:uid="{00000000-0005-0000-0000-00002E030000}"/>
    <cellStyle name="60% - Accent5 21" xfId="2234" xr:uid="{00000000-0005-0000-0000-00002F030000}"/>
    <cellStyle name="60% - Accent5 22" xfId="2235" xr:uid="{00000000-0005-0000-0000-000030030000}"/>
    <cellStyle name="60% - Accent5 23" xfId="2236" xr:uid="{00000000-0005-0000-0000-000031030000}"/>
    <cellStyle name="60% - Accent5 24" xfId="2237" xr:uid="{00000000-0005-0000-0000-000032030000}"/>
    <cellStyle name="60% - Accent5 3" xfId="1559" xr:uid="{00000000-0005-0000-0000-000033030000}"/>
    <cellStyle name="60% - Accent5 4" xfId="2238" xr:uid="{00000000-0005-0000-0000-000034030000}"/>
    <cellStyle name="60% - Accent5 5" xfId="2239" xr:uid="{00000000-0005-0000-0000-000035030000}"/>
    <cellStyle name="60% - Accent5 6" xfId="2240" xr:uid="{00000000-0005-0000-0000-000036030000}"/>
    <cellStyle name="60% - Accent5 7" xfId="2241" xr:uid="{00000000-0005-0000-0000-000037030000}"/>
    <cellStyle name="60% - Accent5 8" xfId="2242" xr:uid="{00000000-0005-0000-0000-000038030000}"/>
    <cellStyle name="60% - Accent5 9" xfId="2243" xr:uid="{00000000-0005-0000-0000-000039030000}"/>
    <cellStyle name="60% - Accent6" xfId="46" builtinId="52" customBuiltin="1"/>
    <cellStyle name="60% - Accent6 10" xfId="2244" xr:uid="{00000000-0005-0000-0000-00003B030000}"/>
    <cellStyle name="60% - Accent6 11" xfId="2245" xr:uid="{00000000-0005-0000-0000-00003C030000}"/>
    <cellStyle name="60% - Accent6 12" xfId="2246" xr:uid="{00000000-0005-0000-0000-00003D030000}"/>
    <cellStyle name="60% - Accent6 13" xfId="2247" xr:uid="{00000000-0005-0000-0000-00003E030000}"/>
    <cellStyle name="60% - Accent6 14" xfId="2248" xr:uid="{00000000-0005-0000-0000-00003F030000}"/>
    <cellStyle name="60% - Accent6 15" xfId="2249" xr:uid="{00000000-0005-0000-0000-000040030000}"/>
    <cellStyle name="60% - Accent6 16" xfId="2250" xr:uid="{00000000-0005-0000-0000-000041030000}"/>
    <cellStyle name="60% - Accent6 17" xfId="2251" xr:uid="{00000000-0005-0000-0000-000042030000}"/>
    <cellStyle name="60% - Accent6 18" xfId="2252" xr:uid="{00000000-0005-0000-0000-000043030000}"/>
    <cellStyle name="60% - Accent6 19" xfId="2253" xr:uid="{00000000-0005-0000-0000-000044030000}"/>
    <cellStyle name="60% - Accent6 2" xfId="1560" xr:uid="{00000000-0005-0000-0000-000045030000}"/>
    <cellStyle name="60% - Accent6 2 10" xfId="2254" xr:uid="{00000000-0005-0000-0000-000046030000}"/>
    <cellStyle name="60% - Accent6 2 11" xfId="2255" xr:uid="{00000000-0005-0000-0000-000047030000}"/>
    <cellStyle name="60% - Accent6 2 12" xfId="2256" xr:uid="{00000000-0005-0000-0000-000048030000}"/>
    <cellStyle name="60% - Accent6 2 13" xfId="2257" xr:uid="{00000000-0005-0000-0000-000049030000}"/>
    <cellStyle name="60% - Accent6 2 14" xfId="2258" xr:uid="{00000000-0005-0000-0000-00004A030000}"/>
    <cellStyle name="60% - Accent6 2 15" xfId="2259" xr:uid="{00000000-0005-0000-0000-00004B030000}"/>
    <cellStyle name="60% - Accent6 2 2" xfId="2260" xr:uid="{00000000-0005-0000-0000-00004C030000}"/>
    <cellStyle name="60% - Accent6 2 3" xfId="2261" xr:uid="{00000000-0005-0000-0000-00004D030000}"/>
    <cellStyle name="60% - Accent6 2 4" xfId="2262" xr:uid="{00000000-0005-0000-0000-00004E030000}"/>
    <cellStyle name="60% - Accent6 2 5" xfId="2263" xr:uid="{00000000-0005-0000-0000-00004F030000}"/>
    <cellStyle name="60% - Accent6 2 6" xfId="2264" xr:uid="{00000000-0005-0000-0000-000050030000}"/>
    <cellStyle name="60% - Accent6 2 7" xfId="2265" xr:uid="{00000000-0005-0000-0000-000051030000}"/>
    <cellStyle name="60% - Accent6 2 8" xfId="2266" xr:uid="{00000000-0005-0000-0000-000052030000}"/>
    <cellStyle name="60% - Accent6 2 9" xfId="2267" xr:uid="{00000000-0005-0000-0000-000053030000}"/>
    <cellStyle name="60% - Accent6 20" xfId="2268" xr:uid="{00000000-0005-0000-0000-000054030000}"/>
    <cellStyle name="60% - Accent6 21" xfId="2269" xr:uid="{00000000-0005-0000-0000-000055030000}"/>
    <cellStyle name="60% - Accent6 22" xfId="2270" xr:uid="{00000000-0005-0000-0000-000056030000}"/>
    <cellStyle name="60% - Accent6 23" xfId="2271" xr:uid="{00000000-0005-0000-0000-000057030000}"/>
    <cellStyle name="60% - Accent6 24" xfId="2272" xr:uid="{00000000-0005-0000-0000-000058030000}"/>
    <cellStyle name="60% - Accent6 3" xfId="1561" xr:uid="{00000000-0005-0000-0000-000059030000}"/>
    <cellStyle name="60% - Accent6 4" xfId="2273" xr:uid="{00000000-0005-0000-0000-00005A030000}"/>
    <cellStyle name="60% - Accent6 5" xfId="2274" xr:uid="{00000000-0005-0000-0000-00005B030000}"/>
    <cellStyle name="60% - Accent6 6" xfId="2275" xr:uid="{00000000-0005-0000-0000-00005C030000}"/>
    <cellStyle name="60% - Accent6 7" xfId="2276" xr:uid="{00000000-0005-0000-0000-00005D030000}"/>
    <cellStyle name="60% - Accent6 8" xfId="2277" xr:uid="{00000000-0005-0000-0000-00005E030000}"/>
    <cellStyle name="60% - Accent6 9" xfId="2278" xr:uid="{00000000-0005-0000-0000-00005F030000}"/>
    <cellStyle name="Accent1" xfId="23" builtinId="29" customBuiltin="1"/>
    <cellStyle name="Accent1 10" xfId="2279" xr:uid="{00000000-0005-0000-0000-000061030000}"/>
    <cellStyle name="Accent1 11" xfId="2280" xr:uid="{00000000-0005-0000-0000-000062030000}"/>
    <cellStyle name="Accent1 12" xfId="2281" xr:uid="{00000000-0005-0000-0000-000063030000}"/>
    <cellStyle name="Accent1 13" xfId="2282" xr:uid="{00000000-0005-0000-0000-000064030000}"/>
    <cellStyle name="Accent1 14" xfId="2283" xr:uid="{00000000-0005-0000-0000-000065030000}"/>
    <cellStyle name="Accent1 15" xfId="2284" xr:uid="{00000000-0005-0000-0000-000066030000}"/>
    <cellStyle name="Accent1 16" xfId="2285" xr:uid="{00000000-0005-0000-0000-000067030000}"/>
    <cellStyle name="Accent1 17" xfId="2286" xr:uid="{00000000-0005-0000-0000-000068030000}"/>
    <cellStyle name="Accent1 18" xfId="2287" xr:uid="{00000000-0005-0000-0000-000069030000}"/>
    <cellStyle name="Accent1 19" xfId="2288" xr:uid="{00000000-0005-0000-0000-00006A030000}"/>
    <cellStyle name="Accent1 2" xfId="1562" xr:uid="{00000000-0005-0000-0000-00006B030000}"/>
    <cellStyle name="Accent1 2 10" xfId="2289" xr:uid="{00000000-0005-0000-0000-00006C030000}"/>
    <cellStyle name="Accent1 2 11" xfId="2290" xr:uid="{00000000-0005-0000-0000-00006D030000}"/>
    <cellStyle name="Accent1 2 12" xfId="2291" xr:uid="{00000000-0005-0000-0000-00006E030000}"/>
    <cellStyle name="Accent1 2 13" xfId="2292" xr:uid="{00000000-0005-0000-0000-00006F030000}"/>
    <cellStyle name="Accent1 2 14" xfId="2293" xr:uid="{00000000-0005-0000-0000-000070030000}"/>
    <cellStyle name="Accent1 2 15" xfId="2294" xr:uid="{00000000-0005-0000-0000-000071030000}"/>
    <cellStyle name="Accent1 2 2" xfId="2295" xr:uid="{00000000-0005-0000-0000-000072030000}"/>
    <cellStyle name="Accent1 2 3" xfId="2296" xr:uid="{00000000-0005-0000-0000-000073030000}"/>
    <cellStyle name="Accent1 2 4" xfId="2297" xr:uid="{00000000-0005-0000-0000-000074030000}"/>
    <cellStyle name="Accent1 2 5" xfId="2298" xr:uid="{00000000-0005-0000-0000-000075030000}"/>
    <cellStyle name="Accent1 2 6" xfId="2299" xr:uid="{00000000-0005-0000-0000-000076030000}"/>
    <cellStyle name="Accent1 2 7" xfId="2300" xr:uid="{00000000-0005-0000-0000-000077030000}"/>
    <cellStyle name="Accent1 2 8" xfId="2301" xr:uid="{00000000-0005-0000-0000-000078030000}"/>
    <cellStyle name="Accent1 2 9" xfId="2302" xr:uid="{00000000-0005-0000-0000-000079030000}"/>
    <cellStyle name="Accent1 20" xfId="2303" xr:uid="{00000000-0005-0000-0000-00007A030000}"/>
    <cellStyle name="Accent1 21" xfId="2304" xr:uid="{00000000-0005-0000-0000-00007B030000}"/>
    <cellStyle name="Accent1 22" xfId="2305" xr:uid="{00000000-0005-0000-0000-00007C030000}"/>
    <cellStyle name="Accent1 23" xfId="2306" xr:uid="{00000000-0005-0000-0000-00007D030000}"/>
    <cellStyle name="Accent1 24" xfId="2307" xr:uid="{00000000-0005-0000-0000-00007E030000}"/>
    <cellStyle name="Accent1 3" xfId="1563" xr:uid="{00000000-0005-0000-0000-00007F030000}"/>
    <cellStyle name="Accent1 4" xfId="2308" xr:uid="{00000000-0005-0000-0000-000080030000}"/>
    <cellStyle name="Accent1 5" xfId="2309" xr:uid="{00000000-0005-0000-0000-000081030000}"/>
    <cellStyle name="Accent1 6" xfId="2310" xr:uid="{00000000-0005-0000-0000-000082030000}"/>
    <cellStyle name="Accent1 7" xfId="2311" xr:uid="{00000000-0005-0000-0000-000083030000}"/>
    <cellStyle name="Accent1 8" xfId="2312" xr:uid="{00000000-0005-0000-0000-000084030000}"/>
    <cellStyle name="Accent1 9" xfId="2313" xr:uid="{00000000-0005-0000-0000-000085030000}"/>
    <cellStyle name="Accent2" xfId="27" builtinId="33" customBuiltin="1"/>
    <cellStyle name="Accent2 10" xfId="2314" xr:uid="{00000000-0005-0000-0000-000087030000}"/>
    <cellStyle name="Accent2 11" xfId="2315" xr:uid="{00000000-0005-0000-0000-000088030000}"/>
    <cellStyle name="Accent2 12" xfId="2316" xr:uid="{00000000-0005-0000-0000-000089030000}"/>
    <cellStyle name="Accent2 13" xfId="2317" xr:uid="{00000000-0005-0000-0000-00008A030000}"/>
    <cellStyle name="Accent2 14" xfId="2318" xr:uid="{00000000-0005-0000-0000-00008B030000}"/>
    <cellStyle name="Accent2 15" xfId="2319" xr:uid="{00000000-0005-0000-0000-00008C030000}"/>
    <cellStyle name="Accent2 16" xfId="2320" xr:uid="{00000000-0005-0000-0000-00008D030000}"/>
    <cellStyle name="Accent2 17" xfId="2321" xr:uid="{00000000-0005-0000-0000-00008E030000}"/>
    <cellStyle name="Accent2 18" xfId="2322" xr:uid="{00000000-0005-0000-0000-00008F030000}"/>
    <cellStyle name="Accent2 19" xfId="2323" xr:uid="{00000000-0005-0000-0000-000090030000}"/>
    <cellStyle name="Accent2 2" xfId="1564" xr:uid="{00000000-0005-0000-0000-000091030000}"/>
    <cellStyle name="Accent2 2 10" xfId="2324" xr:uid="{00000000-0005-0000-0000-000092030000}"/>
    <cellStyle name="Accent2 2 11" xfId="2325" xr:uid="{00000000-0005-0000-0000-000093030000}"/>
    <cellStyle name="Accent2 2 12" xfId="2326" xr:uid="{00000000-0005-0000-0000-000094030000}"/>
    <cellStyle name="Accent2 2 13" xfId="2327" xr:uid="{00000000-0005-0000-0000-000095030000}"/>
    <cellStyle name="Accent2 2 14" xfId="2328" xr:uid="{00000000-0005-0000-0000-000096030000}"/>
    <cellStyle name="Accent2 2 15" xfId="2329" xr:uid="{00000000-0005-0000-0000-000097030000}"/>
    <cellStyle name="Accent2 2 2" xfId="2330" xr:uid="{00000000-0005-0000-0000-000098030000}"/>
    <cellStyle name="Accent2 2 3" xfId="2331" xr:uid="{00000000-0005-0000-0000-000099030000}"/>
    <cellStyle name="Accent2 2 4" xfId="2332" xr:uid="{00000000-0005-0000-0000-00009A030000}"/>
    <cellStyle name="Accent2 2 5" xfId="2333" xr:uid="{00000000-0005-0000-0000-00009B030000}"/>
    <cellStyle name="Accent2 2 6" xfId="2334" xr:uid="{00000000-0005-0000-0000-00009C030000}"/>
    <cellStyle name="Accent2 2 7" xfId="2335" xr:uid="{00000000-0005-0000-0000-00009D030000}"/>
    <cellStyle name="Accent2 2 8" xfId="2336" xr:uid="{00000000-0005-0000-0000-00009E030000}"/>
    <cellStyle name="Accent2 2 9" xfId="2337" xr:uid="{00000000-0005-0000-0000-00009F030000}"/>
    <cellStyle name="Accent2 20" xfId="2338" xr:uid="{00000000-0005-0000-0000-0000A0030000}"/>
    <cellStyle name="Accent2 21" xfId="2339" xr:uid="{00000000-0005-0000-0000-0000A1030000}"/>
    <cellStyle name="Accent2 22" xfId="2340" xr:uid="{00000000-0005-0000-0000-0000A2030000}"/>
    <cellStyle name="Accent2 23" xfId="2341" xr:uid="{00000000-0005-0000-0000-0000A3030000}"/>
    <cellStyle name="Accent2 24" xfId="2342" xr:uid="{00000000-0005-0000-0000-0000A4030000}"/>
    <cellStyle name="Accent2 3" xfId="1565" xr:uid="{00000000-0005-0000-0000-0000A5030000}"/>
    <cellStyle name="Accent2 4" xfId="2343" xr:uid="{00000000-0005-0000-0000-0000A6030000}"/>
    <cellStyle name="Accent2 5" xfId="2344" xr:uid="{00000000-0005-0000-0000-0000A7030000}"/>
    <cellStyle name="Accent2 6" xfId="2345" xr:uid="{00000000-0005-0000-0000-0000A8030000}"/>
    <cellStyle name="Accent2 7" xfId="2346" xr:uid="{00000000-0005-0000-0000-0000A9030000}"/>
    <cellStyle name="Accent2 8" xfId="2347" xr:uid="{00000000-0005-0000-0000-0000AA030000}"/>
    <cellStyle name="Accent2 9" xfId="2348" xr:uid="{00000000-0005-0000-0000-0000AB030000}"/>
    <cellStyle name="Accent3" xfId="31" builtinId="37" customBuiltin="1"/>
    <cellStyle name="Accent3 10" xfId="2349" xr:uid="{00000000-0005-0000-0000-0000AD030000}"/>
    <cellStyle name="Accent3 11" xfId="2350" xr:uid="{00000000-0005-0000-0000-0000AE030000}"/>
    <cellStyle name="Accent3 12" xfId="2351" xr:uid="{00000000-0005-0000-0000-0000AF030000}"/>
    <cellStyle name="Accent3 13" xfId="2352" xr:uid="{00000000-0005-0000-0000-0000B0030000}"/>
    <cellStyle name="Accent3 14" xfId="2353" xr:uid="{00000000-0005-0000-0000-0000B1030000}"/>
    <cellStyle name="Accent3 15" xfId="2354" xr:uid="{00000000-0005-0000-0000-0000B2030000}"/>
    <cellStyle name="Accent3 16" xfId="2355" xr:uid="{00000000-0005-0000-0000-0000B3030000}"/>
    <cellStyle name="Accent3 17" xfId="2356" xr:uid="{00000000-0005-0000-0000-0000B4030000}"/>
    <cellStyle name="Accent3 18" xfId="2357" xr:uid="{00000000-0005-0000-0000-0000B5030000}"/>
    <cellStyle name="Accent3 19" xfId="2358" xr:uid="{00000000-0005-0000-0000-0000B6030000}"/>
    <cellStyle name="Accent3 2" xfId="1566" xr:uid="{00000000-0005-0000-0000-0000B7030000}"/>
    <cellStyle name="Accent3 2 10" xfId="2359" xr:uid="{00000000-0005-0000-0000-0000B8030000}"/>
    <cellStyle name="Accent3 2 11" xfId="2360" xr:uid="{00000000-0005-0000-0000-0000B9030000}"/>
    <cellStyle name="Accent3 2 12" xfId="2361" xr:uid="{00000000-0005-0000-0000-0000BA030000}"/>
    <cellStyle name="Accent3 2 13" xfId="2362" xr:uid="{00000000-0005-0000-0000-0000BB030000}"/>
    <cellStyle name="Accent3 2 14" xfId="2363" xr:uid="{00000000-0005-0000-0000-0000BC030000}"/>
    <cellStyle name="Accent3 2 15" xfId="2364" xr:uid="{00000000-0005-0000-0000-0000BD030000}"/>
    <cellStyle name="Accent3 2 2" xfId="2365" xr:uid="{00000000-0005-0000-0000-0000BE030000}"/>
    <cellStyle name="Accent3 2 3" xfId="2366" xr:uid="{00000000-0005-0000-0000-0000BF030000}"/>
    <cellStyle name="Accent3 2 4" xfId="2367" xr:uid="{00000000-0005-0000-0000-0000C0030000}"/>
    <cellStyle name="Accent3 2 5" xfId="2368" xr:uid="{00000000-0005-0000-0000-0000C1030000}"/>
    <cellStyle name="Accent3 2 6" xfId="2369" xr:uid="{00000000-0005-0000-0000-0000C2030000}"/>
    <cellStyle name="Accent3 2 7" xfId="2370" xr:uid="{00000000-0005-0000-0000-0000C3030000}"/>
    <cellStyle name="Accent3 2 8" xfId="2371" xr:uid="{00000000-0005-0000-0000-0000C4030000}"/>
    <cellStyle name="Accent3 2 9" xfId="2372" xr:uid="{00000000-0005-0000-0000-0000C5030000}"/>
    <cellStyle name="Accent3 20" xfId="2373" xr:uid="{00000000-0005-0000-0000-0000C6030000}"/>
    <cellStyle name="Accent3 21" xfId="2374" xr:uid="{00000000-0005-0000-0000-0000C7030000}"/>
    <cellStyle name="Accent3 22" xfId="2375" xr:uid="{00000000-0005-0000-0000-0000C8030000}"/>
    <cellStyle name="Accent3 23" xfId="2376" xr:uid="{00000000-0005-0000-0000-0000C9030000}"/>
    <cellStyle name="Accent3 24" xfId="2377" xr:uid="{00000000-0005-0000-0000-0000CA030000}"/>
    <cellStyle name="Accent3 3" xfId="1567" xr:uid="{00000000-0005-0000-0000-0000CB030000}"/>
    <cellStyle name="Accent3 4" xfId="2378" xr:uid="{00000000-0005-0000-0000-0000CC030000}"/>
    <cellStyle name="Accent3 5" xfId="2379" xr:uid="{00000000-0005-0000-0000-0000CD030000}"/>
    <cellStyle name="Accent3 6" xfId="2380" xr:uid="{00000000-0005-0000-0000-0000CE030000}"/>
    <cellStyle name="Accent3 7" xfId="2381" xr:uid="{00000000-0005-0000-0000-0000CF030000}"/>
    <cellStyle name="Accent3 8" xfId="2382" xr:uid="{00000000-0005-0000-0000-0000D0030000}"/>
    <cellStyle name="Accent3 9" xfId="2383" xr:uid="{00000000-0005-0000-0000-0000D1030000}"/>
    <cellStyle name="Accent4" xfId="35" builtinId="41" customBuiltin="1"/>
    <cellStyle name="Accent4 10" xfId="2384" xr:uid="{00000000-0005-0000-0000-0000D3030000}"/>
    <cellStyle name="Accent4 11" xfId="2385" xr:uid="{00000000-0005-0000-0000-0000D4030000}"/>
    <cellStyle name="Accent4 12" xfId="2386" xr:uid="{00000000-0005-0000-0000-0000D5030000}"/>
    <cellStyle name="Accent4 13" xfId="2387" xr:uid="{00000000-0005-0000-0000-0000D6030000}"/>
    <cellStyle name="Accent4 14" xfId="2388" xr:uid="{00000000-0005-0000-0000-0000D7030000}"/>
    <cellStyle name="Accent4 15" xfId="2389" xr:uid="{00000000-0005-0000-0000-0000D8030000}"/>
    <cellStyle name="Accent4 16" xfId="2390" xr:uid="{00000000-0005-0000-0000-0000D9030000}"/>
    <cellStyle name="Accent4 17" xfId="2391" xr:uid="{00000000-0005-0000-0000-0000DA030000}"/>
    <cellStyle name="Accent4 18" xfId="2392" xr:uid="{00000000-0005-0000-0000-0000DB030000}"/>
    <cellStyle name="Accent4 19" xfId="2393" xr:uid="{00000000-0005-0000-0000-0000DC030000}"/>
    <cellStyle name="Accent4 2" xfId="1568" xr:uid="{00000000-0005-0000-0000-0000DD030000}"/>
    <cellStyle name="Accent4 2 10" xfId="2394" xr:uid="{00000000-0005-0000-0000-0000DE030000}"/>
    <cellStyle name="Accent4 2 11" xfId="2395" xr:uid="{00000000-0005-0000-0000-0000DF030000}"/>
    <cellStyle name="Accent4 2 12" xfId="2396" xr:uid="{00000000-0005-0000-0000-0000E0030000}"/>
    <cellStyle name="Accent4 2 13" xfId="2397" xr:uid="{00000000-0005-0000-0000-0000E1030000}"/>
    <cellStyle name="Accent4 2 14" xfId="2398" xr:uid="{00000000-0005-0000-0000-0000E2030000}"/>
    <cellStyle name="Accent4 2 15" xfId="2399" xr:uid="{00000000-0005-0000-0000-0000E3030000}"/>
    <cellStyle name="Accent4 2 2" xfId="2400" xr:uid="{00000000-0005-0000-0000-0000E4030000}"/>
    <cellStyle name="Accent4 2 3" xfId="2401" xr:uid="{00000000-0005-0000-0000-0000E5030000}"/>
    <cellStyle name="Accent4 2 4" xfId="2402" xr:uid="{00000000-0005-0000-0000-0000E6030000}"/>
    <cellStyle name="Accent4 2 5" xfId="2403" xr:uid="{00000000-0005-0000-0000-0000E7030000}"/>
    <cellStyle name="Accent4 2 6" xfId="2404" xr:uid="{00000000-0005-0000-0000-0000E8030000}"/>
    <cellStyle name="Accent4 2 7" xfId="2405" xr:uid="{00000000-0005-0000-0000-0000E9030000}"/>
    <cellStyle name="Accent4 2 8" xfId="2406" xr:uid="{00000000-0005-0000-0000-0000EA030000}"/>
    <cellStyle name="Accent4 2 9" xfId="2407" xr:uid="{00000000-0005-0000-0000-0000EB030000}"/>
    <cellStyle name="Accent4 20" xfId="2408" xr:uid="{00000000-0005-0000-0000-0000EC030000}"/>
    <cellStyle name="Accent4 21" xfId="2409" xr:uid="{00000000-0005-0000-0000-0000ED030000}"/>
    <cellStyle name="Accent4 22" xfId="2410" xr:uid="{00000000-0005-0000-0000-0000EE030000}"/>
    <cellStyle name="Accent4 23" xfId="2411" xr:uid="{00000000-0005-0000-0000-0000EF030000}"/>
    <cellStyle name="Accent4 24" xfId="2412" xr:uid="{00000000-0005-0000-0000-0000F0030000}"/>
    <cellStyle name="Accent4 3" xfId="1569" xr:uid="{00000000-0005-0000-0000-0000F1030000}"/>
    <cellStyle name="Accent4 4" xfId="2413" xr:uid="{00000000-0005-0000-0000-0000F2030000}"/>
    <cellStyle name="Accent4 5" xfId="2414" xr:uid="{00000000-0005-0000-0000-0000F3030000}"/>
    <cellStyle name="Accent4 6" xfId="2415" xr:uid="{00000000-0005-0000-0000-0000F4030000}"/>
    <cellStyle name="Accent4 7" xfId="2416" xr:uid="{00000000-0005-0000-0000-0000F5030000}"/>
    <cellStyle name="Accent4 8" xfId="2417" xr:uid="{00000000-0005-0000-0000-0000F6030000}"/>
    <cellStyle name="Accent4 9" xfId="2418" xr:uid="{00000000-0005-0000-0000-0000F7030000}"/>
    <cellStyle name="Accent5" xfId="39" builtinId="45" customBuiltin="1"/>
    <cellStyle name="Accent5 10" xfId="2419" xr:uid="{00000000-0005-0000-0000-0000F9030000}"/>
    <cellStyle name="Accent5 11" xfId="2420" xr:uid="{00000000-0005-0000-0000-0000FA030000}"/>
    <cellStyle name="Accent5 12" xfId="2421" xr:uid="{00000000-0005-0000-0000-0000FB030000}"/>
    <cellStyle name="Accent5 13" xfId="2422" xr:uid="{00000000-0005-0000-0000-0000FC030000}"/>
    <cellStyle name="Accent5 14" xfId="2423" xr:uid="{00000000-0005-0000-0000-0000FD030000}"/>
    <cellStyle name="Accent5 15" xfId="2424" xr:uid="{00000000-0005-0000-0000-0000FE030000}"/>
    <cellStyle name="Accent5 16" xfId="2425" xr:uid="{00000000-0005-0000-0000-0000FF030000}"/>
    <cellStyle name="Accent5 17" xfId="2426" xr:uid="{00000000-0005-0000-0000-000000040000}"/>
    <cellStyle name="Accent5 18" xfId="2427" xr:uid="{00000000-0005-0000-0000-000001040000}"/>
    <cellStyle name="Accent5 19" xfId="2428" xr:uid="{00000000-0005-0000-0000-000002040000}"/>
    <cellStyle name="Accent5 2" xfId="1570" xr:uid="{00000000-0005-0000-0000-000003040000}"/>
    <cellStyle name="Accent5 2 10" xfId="2429" xr:uid="{00000000-0005-0000-0000-000004040000}"/>
    <cellStyle name="Accent5 2 11" xfId="2430" xr:uid="{00000000-0005-0000-0000-000005040000}"/>
    <cellStyle name="Accent5 2 12" xfId="2431" xr:uid="{00000000-0005-0000-0000-000006040000}"/>
    <cellStyle name="Accent5 2 13" xfId="2432" xr:uid="{00000000-0005-0000-0000-000007040000}"/>
    <cellStyle name="Accent5 2 14" xfId="2433" xr:uid="{00000000-0005-0000-0000-000008040000}"/>
    <cellStyle name="Accent5 2 15" xfId="2434" xr:uid="{00000000-0005-0000-0000-000009040000}"/>
    <cellStyle name="Accent5 2 2" xfId="2435" xr:uid="{00000000-0005-0000-0000-00000A040000}"/>
    <cellStyle name="Accent5 2 3" xfId="2436" xr:uid="{00000000-0005-0000-0000-00000B040000}"/>
    <cellStyle name="Accent5 2 4" xfId="2437" xr:uid="{00000000-0005-0000-0000-00000C040000}"/>
    <cellStyle name="Accent5 2 5" xfId="2438" xr:uid="{00000000-0005-0000-0000-00000D040000}"/>
    <cellStyle name="Accent5 2 6" xfId="2439" xr:uid="{00000000-0005-0000-0000-00000E040000}"/>
    <cellStyle name="Accent5 2 7" xfId="2440" xr:uid="{00000000-0005-0000-0000-00000F040000}"/>
    <cellStyle name="Accent5 2 8" xfId="2441" xr:uid="{00000000-0005-0000-0000-000010040000}"/>
    <cellStyle name="Accent5 2 9" xfId="2442" xr:uid="{00000000-0005-0000-0000-000011040000}"/>
    <cellStyle name="Accent5 20" xfId="2443" xr:uid="{00000000-0005-0000-0000-000012040000}"/>
    <cellStyle name="Accent5 21" xfId="2444" xr:uid="{00000000-0005-0000-0000-000013040000}"/>
    <cellStyle name="Accent5 22" xfId="2445" xr:uid="{00000000-0005-0000-0000-000014040000}"/>
    <cellStyle name="Accent5 23" xfId="2446" xr:uid="{00000000-0005-0000-0000-000015040000}"/>
    <cellStyle name="Accent5 24" xfId="2447" xr:uid="{00000000-0005-0000-0000-000016040000}"/>
    <cellStyle name="Accent5 3" xfId="1571" xr:uid="{00000000-0005-0000-0000-000017040000}"/>
    <cellStyle name="Accent5 4" xfId="2448" xr:uid="{00000000-0005-0000-0000-000018040000}"/>
    <cellStyle name="Accent5 5" xfId="2449" xr:uid="{00000000-0005-0000-0000-000019040000}"/>
    <cellStyle name="Accent5 6" xfId="2450" xr:uid="{00000000-0005-0000-0000-00001A040000}"/>
    <cellStyle name="Accent5 7" xfId="2451" xr:uid="{00000000-0005-0000-0000-00001B040000}"/>
    <cellStyle name="Accent5 8" xfId="2452" xr:uid="{00000000-0005-0000-0000-00001C040000}"/>
    <cellStyle name="Accent5 9" xfId="2453" xr:uid="{00000000-0005-0000-0000-00001D040000}"/>
    <cellStyle name="Accent6" xfId="43" builtinId="49" customBuiltin="1"/>
    <cellStyle name="Accent6 10" xfId="2454" xr:uid="{00000000-0005-0000-0000-00001F040000}"/>
    <cellStyle name="Accent6 11" xfId="2455" xr:uid="{00000000-0005-0000-0000-000020040000}"/>
    <cellStyle name="Accent6 12" xfId="2456" xr:uid="{00000000-0005-0000-0000-000021040000}"/>
    <cellStyle name="Accent6 13" xfId="2457" xr:uid="{00000000-0005-0000-0000-000022040000}"/>
    <cellStyle name="Accent6 14" xfId="2458" xr:uid="{00000000-0005-0000-0000-000023040000}"/>
    <cellStyle name="Accent6 15" xfId="2459" xr:uid="{00000000-0005-0000-0000-000024040000}"/>
    <cellStyle name="Accent6 16" xfId="2460" xr:uid="{00000000-0005-0000-0000-000025040000}"/>
    <cellStyle name="Accent6 17" xfId="2461" xr:uid="{00000000-0005-0000-0000-000026040000}"/>
    <cellStyle name="Accent6 18" xfId="2462" xr:uid="{00000000-0005-0000-0000-000027040000}"/>
    <cellStyle name="Accent6 19" xfId="2463" xr:uid="{00000000-0005-0000-0000-000028040000}"/>
    <cellStyle name="Accent6 2" xfId="1572" xr:uid="{00000000-0005-0000-0000-000029040000}"/>
    <cellStyle name="Accent6 2 10" xfId="2464" xr:uid="{00000000-0005-0000-0000-00002A040000}"/>
    <cellStyle name="Accent6 2 11" xfId="2465" xr:uid="{00000000-0005-0000-0000-00002B040000}"/>
    <cellStyle name="Accent6 2 12" xfId="2466" xr:uid="{00000000-0005-0000-0000-00002C040000}"/>
    <cellStyle name="Accent6 2 13" xfId="2467" xr:uid="{00000000-0005-0000-0000-00002D040000}"/>
    <cellStyle name="Accent6 2 14" xfId="2468" xr:uid="{00000000-0005-0000-0000-00002E040000}"/>
    <cellStyle name="Accent6 2 15" xfId="2469" xr:uid="{00000000-0005-0000-0000-00002F040000}"/>
    <cellStyle name="Accent6 2 2" xfId="2470" xr:uid="{00000000-0005-0000-0000-000030040000}"/>
    <cellStyle name="Accent6 2 3" xfId="2471" xr:uid="{00000000-0005-0000-0000-000031040000}"/>
    <cellStyle name="Accent6 2 4" xfId="2472" xr:uid="{00000000-0005-0000-0000-000032040000}"/>
    <cellStyle name="Accent6 2 5" xfId="2473" xr:uid="{00000000-0005-0000-0000-000033040000}"/>
    <cellStyle name="Accent6 2 6" xfId="2474" xr:uid="{00000000-0005-0000-0000-000034040000}"/>
    <cellStyle name="Accent6 2 7" xfId="2475" xr:uid="{00000000-0005-0000-0000-000035040000}"/>
    <cellStyle name="Accent6 2 8" xfId="2476" xr:uid="{00000000-0005-0000-0000-000036040000}"/>
    <cellStyle name="Accent6 2 9" xfId="2477" xr:uid="{00000000-0005-0000-0000-000037040000}"/>
    <cellStyle name="Accent6 20" xfId="2478" xr:uid="{00000000-0005-0000-0000-000038040000}"/>
    <cellStyle name="Accent6 21" xfId="2479" xr:uid="{00000000-0005-0000-0000-000039040000}"/>
    <cellStyle name="Accent6 22" xfId="2480" xr:uid="{00000000-0005-0000-0000-00003A040000}"/>
    <cellStyle name="Accent6 23" xfId="2481" xr:uid="{00000000-0005-0000-0000-00003B040000}"/>
    <cellStyle name="Accent6 24" xfId="2482" xr:uid="{00000000-0005-0000-0000-00003C040000}"/>
    <cellStyle name="Accent6 3" xfId="1573" xr:uid="{00000000-0005-0000-0000-00003D040000}"/>
    <cellStyle name="Accent6 4" xfId="2483" xr:uid="{00000000-0005-0000-0000-00003E040000}"/>
    <cellStyle name="Accent6 5" xfId="2484" xr:uid="{00000000-0005-0000-0000-00003F040000}"/>
    <cellStyle name="Accent6 6" xfId="2485" xr:uid="{00000000-0005-0000-0000-000040040000}"/>
    <cellStyle name="Accent6 7" xfId="2486" xr:uid="{00000000-0005-0000-0000-000041040000}"/>
    <cellStyle name="Accent6 8" xfId="2487" xr:uid="{00000000-0005-0000-0000-000042040000}"/>
    <cellStyle name="Accent6 9" xfId="2488" xr:uid="{00000000-0005-0000-0000-000043040000}"/>
    <cellStyle name="Bad" xfId="12" builtinId="27" customBuiltin="1"/>
    <cellStyle name="Bad 10" xfId="2489" xr:uid="{00000000-0005-0000-0000-000045040000}"/>
    <cellStyle name="Bad 11" xfId="2490" xr:uid="{00000000-0005-0000-0000-000046040000}"/>
    <cellStyle name="Bad 12" xfId="2491" xr:uid="{00000000-0005-0000-0000-000047040000}"/>
    <cellStyle name="Bad 13" xfId="2492" xr:uid="{00000000-0005-0000-0000-000048040000}"/>
    <cellStyle name="Bad 14" xfId="2493" xr:uid="{00000000-0005-0000-0000-000049040000}"/>
    <cellStyle name="Bad 15" xfId="2494" xr:uid="{00000000-0005-0000-0000-00004A040000}"/>
    <cellStyle name="Bad 16" xfId="2495" xr:uid="{00000000-0005-0000-0000-00004B040000}"/>
    <cellStyle name="Bad 17" xfId="2496" xr:uid="{00000000-0005-0000-0000-00004C040000}"/>
    <cellStyle name="Bad 18" xfId="2497" xr:uid="{00000000-0005-0000-0000-00004D040000}"/>
    <cellStyle name="Bad 19" xfId="2498" xr:uid="{00000000-0005-0000-0000-00004E040000}"/>
    <cellStyle name="Bad 2" xfId="1574" xr:uid="{00000000-0005-0000-0000-00004F040000}"/>
    <cellStyle name="Bad 2 10" xfId="2499" xr:uid="{00000000-0005-0000-0000-000050040000}"/>
    <cellStyle name="Bad 2 11" xfId="2500" xr:uid="{00000000-0005-0000-0000-000051040000}"/>
    <cellStyle name="Bad 2 12" xfId="2501" xr:uid="{00000000-0005-0000-0000-000052040000}"/>
    <cellStyle name="Bad 2 13" xfId="2502" xr:uid="{00000000-0005-0000-0000-000053040000}"/>
    <cellStyle name="Bad 2 14" xfId="2503" xr:uid="{00000000-0005-0000-0000-000054040000}"/>
    <cellStyle name="Bad 2 15" xfId="2504" xr:uid="{00000000-0005-0000-0000-000055040000}"/>
    <cellStyle name="Bad 2 2" xfId="2505" xr:uid="{00000000-0005-0000-0000-000056040000}"/>
    <cellStyle name="Bad 2 3" xfId="2506" xr:uid="{00000000-0005-0000-0000-000057040000}"/>
    <cellStyle name="Bad 2 4" xfId="2507" xr:uid="{00000000-0005-0000-0000-000058040000}"/>
    <cellStyle name="Bad 2 5" xfId="2508" xr:uid="{00000000-0005-0000-0000-000059040000}"/>
    <cellStyle name="Bad 2 6" xfId="2509" xr:uid="{00000000-0005-0000-0000-00005A040000}"/>
    <cellStyle name="Bad 2 7" xfId="2510" xr:uid="{00000000-0005-0000-0000-00005B040000}"/>
    <cellStyle name="Bad 2 8" xfId="2511" xr:uid="{00000000-0005-0000-0000-00005C040000}"/>
    <cellStyle name="Bad 2 9" xfId="2512" xr:uid="{00000000-0005-0000-0000-00005D040000}"/>
    <cellStyle name="Bad 20" xfId="2513" xr:uid="{00000000-0005-0000-0000-00005E040000}"/>
    <cellStyle name="Bad 21" xfId="2514" xr:uid="{00000000-0005-0000-0000-00005F040000}"/>
    <cellStyle name="Bad 22" xfId="2515" xr:uid="{00000000-0005-0000-0000-000060040000}"/>
    <cellStyle name="Bad 23" xfId="2516" xr:uid="{00000000-0005-0000-0000-000061040000}"/>
    <cellStyle name="Bad 24" xfId="2517" xr:uid="{00000000-0005-0000-0000-000062040000}"/>
    <cellStyle name="Bad 3" xfId="1575" xr:uid="{00000000-0005-0000-0000-000063040000}"/>
    <cellStyle name="Bad 4" xfId="2518" xr:uid="{00000000-0005-0000-0000-000064040000}"/>
    <cellStyle name="Bad 5" xfId="2519" xr:uid="{00000000-0005-0000-0000-000065040000}"/>
    <cellStyle name="Bad 6" xfId="2520" xr:uid="{00000000-0005-0000-0000-000066040000}"/>
    <cellStyle name="Bad 7" xfId="2521" xr:uid="{00000000-0005-0000-0000-000067040000}"/>
    <cellStyle name="Bad 8" xfId="2522" xr:uid="{00000000-0005-0000-0000-000068040000}"/>
    <cellStyle name="Bad 9" xfId="2523" xr:uid="{00000000-0005-0000-0000-000069040000}"/>
    <cellStyle name="Calculation" xfId="16" builtinId="22" customBuiltin="1"/>
    <cellStyle name="Calculation 10" xfId="2524" xr:uid="{00000000-0005-0000-0000-00006B040000}"/>
    <cellStyle name="Calculation 11" xfId="2525" xr:uid="{00000000-0005-0000-0000-00006C040000}"/>
    <cellStyle name="Calculation 12" xfId="2526" xr:uid="{00000000-0005-0000-0000-00006D040000}"/>
    <cellStyle name="Calculation 13" xfId="2527" xr:uid="{00000000-0005-0000-0000-00006E040000}"/>
    <cellStyle name="Calculation 14" xfId="2528" xr:uid="{00000000-0005-0000-0000-00006F040000}"/>
    <cellStyle name="Calculation 15" xfId="2529" xr:uid="{00000000-0005-0000-0000-000070040000}"/>
    <cellStyle name="Calculation 16" xfId="2530" xr:uid="{00000000-0005-0000-0000-000071040000}"/>
    <cellStyle name="Calculation 17" xfId="2531" xr:uid="{00000000-0005-0000-0000-000072040000}"/>
    <cellStyle name="Calculation 18" xfId="2532" xr:uid="{00000000-0005-0000-0000-000073040000}"/>
    <cellStyle name="Calculation 19" xfId="2533" xr:uid="{00000000-0005-0000-0000-000074040000}"/>
    <cellStyle name="Calculation 2" xfId="1576" xr:uid="{00000000-0005-0000-0000-000075040000}"/>
    <cellStyle name="Calculation 2 10" xfId="2534" xr:uid="{00000000-0005-0000-0000-000076040000}"/>
    <cellStyle name="Calculation 2 11" xfId="2535" xr:uid="{00000000-0005-0000-0000-000077040000}"/>
    <cellStyle name="Calculation 2 12" xfId="2536" xr:uid="{00000000-0005-0000-0000-000078040000}"/>
    <cellStyle name="Calculation 2 13" xfId="2537" xr:uid="{00000000-0005-0000-0000-000079040000}"/>
    <cellStyle name="Calculation 2 14" xfId="2538" xr:uid="{00000000-0005-0000-0000-00007A040000}"/>
    <cellStyle name="Calculation 2 15" xfId="2539" xr:uid="{00000000-0005-0000-0000-00007B040000}"/>
    <cellStyle name="Calculation 2 16" xfId="14959" xr:uid="{00000000-0005-0000-0000-00007C040000}"/>
    <cellStyle name="Calculation 2 16 10" xfId="31269" xr:uid="{00000000-0005-0000-0000-00007D040000}"/>
    <cellStyle name="Calculation 2 16 2" xfId="15011" xr:uid="{00000000-0005-0000-0000-00007E040000}"/>
    <cellStyle name="Calculation 2 16 2 2" xfId="27396" xr:uid="{00000000-0005-0000-0000-00007F040000}"/>
    <cellStyle name="Calculation 2 16 2 2 2" xfId="27507" xr:uid="{00000000-0005-0000-0000-000080040000}"/>
    <cellStyle name="Calculation 2 16 2 2 2 2" xfId="27973" xr:uid="{00000000-0005-0000-0000-000081040000}"/>
    <cellStyle name="Calculation 2 16 2 2 2 2 2" xfId="28960" xr:uid="{00000000-0005-0000-0000-000082040000}"/>
    <cellStyle name="Calculation 2 16 2 2 2 2 2 2" xfId="30920" xr:uid="{00000000-0005-0000-0000-000083040000}"/>
    <cellStyle name="Calculation 2 16 2 2 2 2 3" xfId="29940" xr:uid="{00000000-0005-0000-0000-000084040000}"/>
    <cellStyle name="Calculation 2 16 2 2 2 3" xfId="28495" xr:uid="{00000000-0005-0000-0000-000085040000}"/>
    <cellStyle name="Calculation 2 16 2 2 2 3 2" xfId="30455" xr:uid="{00000000-0005-0000-0000-000086040000}"/>
    <cellStyle name="Calculation 2 16 2 2 2 4" xfId="29475" xr:uid="{00000000-0005-0000-0000-000087040000}"/>
    <cellStyle name="Calculation 2 16 2 2 3" xfId="27605" xr:uid="{00000000-0005-0000-0000-000088040000}"/>
    <cellStyle name="Calculation 2 16 2 2 3 2" xfId="28071" xr:uid="{00000000-0005-0000-0000-000089040000}"/>
    <cellStyle name="Calculation 2 16 2 2 3 2 2" xfId="29058" xr:uid="{00000000-0005-0000-0000-00008A040000}"/>
    <cellStyle name="Calculation 2 16 2 2 3 2 2 2" xfId="31018" xr:uid="{00000000-0005-0000-0000-00008B040000}"/>
    <cellStyle name="Calculation 2 16 2 2 3 2 3" xfId="30038" xr:uid="{00000000-0005-0000-0000-00008C040000}"/>
    <cellStyle name="Calculation 2 16 2 2 3 3" xfId="27759" xr:uid="{00000000-0005-0000-0000-00008D040000}"/>
    <cellStyle name="Calculation 2 16 2 2 3 3 2" xfId="28747" xr:uid="{00000000-0005-0000-0000-00008E040000}"/>
    <cellStyle name="Calculation 2 16 2 2 3 3 2 2" xfId="30707" xr:uid="{00000000-0005-0000-0000-00008F040000}"/>
    <cellStyle name="Calculation 2 16 2 2 3 3 3" xfId="29727" xr:uid="{00000000-0005-0000-0000-000090040000}"/>
    <cellStyle name="Calculation 2 16 2 2 3 4" xfId="28593" xr:uid="{00000000-0005-0000-0000-000091040000}"/>
    <cellStyle name="Calculation 2 16 2 2 3 4 2" xfId="30553" xr:uid="{00000000-0005-0000-0000-000092040000}"/>
    <cellStyle name="Calculation 2 16 2 2 3 5" xfId="29573" xr:uid="{00000000-0005-0000-0000-000093040000}"/>
    <cellStyle name="Calculation 2 16 2 2 4" xfId="27703" xr:uid="{00000000-0005-0000-0000-000094040000}"/>
    <cellStyle name="Calculation 2 16 2 2 4 2" xfId="28169" xr:uid="{00000000-0005-0000-0000-000095040000}"/>
    <cellStyle name="Calculation 2 16 2 2 4 2 2" xfId="29156" xr:uid="{00000000-0005-0000-0000-000096040000}"/>
    <cellStyle name="Calculation 2 16 2 2 4 2 2 2" xfId="31116" xr:uid="{00000000-0005-0000-0000-000097040000}"/>
    <cellStyle name="Calculation 2 16 2 2 4 2 3" xfId="30136" xr:uid="{00000000-0005-0000-0000-000098040000}"/>
    <cellStyle name="Calculation 2 16 2 2 4 3" xfId="28296" xr:uid="{00000000-0005-0000-0000-000099040000}"/>
    <cellStyle name="Calculation 2 16 2 2 4 3 2" xfId="29283" xr:uid="{00000000-0005-0000-0000-00009A040000}"/>
    <cellStyle name="Calculation 2 16 2 2 4 3 2 2" xfId="31243" xr:uid="{00000000-0005-0000-0000-00009B040000}"/>
    <cellStyle name="Calculation 2 16 2 2 4 3 3" xfId="30263" xr:uid="{00000000-0005-0000-0000-00009C040000}"/>
    <cellStyle name="Calculation 2 16 2 2 4 4" xfId="28691" xr:uid="{00000000-0005-0000-0000-00009D040000}"/>
    <cellStyle name="Calculation 2 16 2 2 4 4 2" xfId="30651" xr:uid="{00000000-0005-0000-0000-00009E040000}"/>
    <cellStyle name="Calculation 2 16 2 2 4 5" xfId="29671" xr:uid="{00000000-0005-0000-0000-00009F040000}"/>
    <cellStyle name="Calculation 2 16 2 2 5" xfId="27875" xr:uid="{00000000-0005-0000-0000-0000A0040000}"/>
    <cellStyle name="Calculation 2 16 2 2 5 2" xfId="28862" xr:uid="{00000000-0005-0000-0000-0000A1040000}"/>
    <cellStyle name="Calculation 2 16 2 2 5 2 2" xfId="30822" xr:uid="{00000000-0005-0000-0000-0000A2040000}"/>
    <cellStyle name="Calculation 2 16 2 2 5 3" xfId="29842" xr:uid="{00000000-0005-0000-0000-0000A3040000}"/>
    <cellStyle name="Calculation 2 16 2 2 6" xfId="28397" xr:uid="{00000000-0005-0000-0000-0000A4040000}"/>
    <cellStyle name="Calculation 2 16 2 2 6 2" xfId="30357" xr:uid="{00000000-0005-0000-0000-0000A5040000}"/>
    <cellStyle name="Calculation 2 16 2 2 7" xfId="29377" xr:uid="{00000000-0005-0000-0000-0000A6040000}"/>
    <cellStyle name="Calculation 2 16 2 2 8" xfId="31337" xr:uid="{00000000-0005-0000-0000-0000A7040000}"/>
    <cellStyle name="Calculation 2 16 2 3" xfId="27463" xr:uid="{00000000-0005-0000-0000-0000A8040000}"/>
    <cellStyle name="Calculation 2 16 2 3 2" xfId="27929" xr:uid="{00000000-0005-0000-0000-0000A9040000}"/>
    <cellStyle name="Calculation 2 16 2 3 2 2" xfId="28916" xr:uid="{00000000-0005-0000-0000-0000AA040000}"/>
    <cellStyle name="Calculation 2 16 2 3 2 2 2" xfId="30876" xr:uid="{00000000-0005-0000-0000-0000AB040000}"/>
    <cellStyle name="Calculation 2 16 2 3 2 3" xfId="29896" xr:uid="{00000000-0005-0000-0000-0000AC040000}"/>
    <cellStyle name="Calculation 2 16 2 3 3" xfId="28451" xr:uid="{00000000-0005-0000-0000-0000AD040000}"/>
    <cellStyle name="Calculation 2 16 2 3 3 2" xfId="30411" xr:uid="{00000000-0005-0000-0000-0000AE040000}"/>
    <cellStyle name="Calculation 2 16 2 3 4" xfId="29431" xr:uid="{00000000-0005-0000-0000-0000AF040000}"/>
    <cellStyle name="Calculation 2 16 2 4" xfId="27561" xr:uid="{00000000-0005-0000-0000-0000B0040000}"/>
    <cellStyle name="Calculation 2 16 2 4 2" xfId="28027" xr:uid="{00000000-0005-0000-0000-0000B1040000}"/>
    <cellStyle name="Calculation 2 16 2 4 2 2" xfId="29014" xr:uid="{00000000-0005-0000-0000-0000B2040000}"/>
    <cellStyle name="Calculation 2 16 2 4 2 2 2" xfId="30974" xr:uid="{00000000-0005-0000-0000-0000B3040000}"/>
    <cellStyle name="Calculation 2 16 2 4 2 3" xfId="29994" xr:uid="{00000000-0005-0000-0000-0000B4040000}"/>
    <cellStyle name="Calculation 2 16 2 4 3" xfId="27749" xr:uid="{00000000-0005-0000-0000-0000B5040000}"/>
    <cellStyle name="Calculation 2 16 2 4 3 2" xfId="28737" xr:uid="{00000000-0005-0000-0000-0000B6040000}"/>
    <cellStyle name="Calculation 2 16 2 4 3 2 2" xfId="30697" xr:uid="{00000000-0005-0000-0000-0000B7040000}"/>
    <cellStyle name="Calculation 2 16 2 4 3 3" xfId="29717" xr:uid="{00000000-0005-0000-0000-0000B8040000}"/>
    <cellStyle name="Calculation 2 16 2 4 4" xfId="28549" xr:uid="{00000000-0005-0000-0000-0000B9040000}"/>
    <cellStyle name="Calculation 2 16 2 4 4 2" xfId="30509" xr:uid="{00000000-0005-0000-0000-0000BA040000}"/>
    <cellStyle name="Calculation 2 16 2 4 5" xfId="29529" xr:uid="{00000000-0005-0000-0000-0000BB040000}"/>
    <cellStyle name="Calculation 2 16 2 5" xfId="27659" xr:uid="{00000000-0005-0000-0000-0000BC040000}"/>
    <cellStyle name="Calculation 2 16 2 5 2" xfId="28125" xr:uid="{00000000-0005-0000-0000-0000BD040000}"/>
    <cellStyle name="Calculation 2 16 2 5 2 2" xfId="29112" xr:uid="{00000000-0005-0000-0000-0000BE040000}"/>
    <cellStyle name="Calculation 2 16 2 5 2 2 2" xfId="31072" xr:uid="{00000000-0005-0000-0000-0000BF040000}"/>
    <cellStyle name="Calculation 2 16 2 5 2 3" xfId="30092" xr:uid="{00000000-0005-0000-0000-0000C0040000}"/>
    <cellStyle name="Calculation 2 16 2 5 3" xfId="28268" xr:uid="{00000000-0005-0000-0000-0000C1040000}"/>
    <cellStyle name="Calculation 2 16 2 5 3 2" xfId="29255" xr:uid="{00000000-0005-0000-0000-0000C2040000}"/>
    <cellStyle name="Calculation 2 16 2 5 3 2 2" xfId="31215" xr:uid="{00000000-0005-0000-0000-0000C3040000}"/>
    <cellStyle name="Calculation 2 16 2 5 3 3" xfId="30235" xr:uid="{00000000-0005-0000-0000-0000C4040000}"/>
    <cellStyle name="Calculation 2 16 2 5 4" xfId="28647" xr:uid="{00000000-0005-0000-0000-0000C5040000}"/>
    <cellStyle name="Calculation 2 16 2 5 4 2" xfId="30607" xr:uid="{00000000-0005-0000-0000-0000C6040000}"/>
    <cellStyle name="Calculation 2 16 2 5 5" xfId="29627" xr:uid="{00000000-0005-0000-0000-0000C7040000}"/>
    <cellStyle name="Calculation 2 16 2 6" xfId="27799" xr:uid="{00000000-0005-0000-0000-0000C8040000}"/>
    <cellStyle name="Calculation 2 16 2 6 2" xfId="28787" xr:uid="{00000000-0005-0000-0000-0000C9040000}"/>
    <cellStyle name="Calculation 2 16 2 6 2 2" xfId="30747" xr:uid="{00000000-0005-0000-0000-0000CA040000}"/>
    <cellStyle name="Calculation 2 16 2 6 3" xfId="29767" xr:uid="{00000000-0005-0000-0000-0000CB040000}"/>
    <cellStyle name="Calculation 2 16 2 7" xfId="28353" xr:uid="{00000000-0005-0000-0000-0000CC040000}"/>
    <cellStyle name="Calculation 2 16 2 7 2" xfId="30313" xr:uid="{00000000-0005-0000-0000-0000CD040000}"/>
    <cellStyle name="Calculation 2 16 2 8" xfId="29333" xr:uid="{00000000-0005-0000-0000-0000CE040000}"/>
    <cellStyle name="Calculation 2 16 2 9" xfId="31293" xr:uid="{00000000-0005-0000-0000-0000CF040000}"/>
    <cellStyle name="Calculation 2 16 3" xfId="27372" xr:uid="{00000000-0005-0000-0000-0000D0040000}"/>
    <cellStyle name="Calculation 2 16 3 2" xfId="27483" xr:uid="{00000000-0005-0000-0000-0000D1040000}"/>
    <cellStyle name="Calculation 2 16 3 2 2" xfId="27949" xr:uid="{00000000-0005-0000-0000-0000D2040000}"/>
    <cellStyle name="Calculation 2 16 3 2 2 2" xfId="28936" xr:uid="{00000000-0005-0000-0000-0000D3040000}"/>
    <cellStyle name="Calculation 2 16 3 2 2 2 2" xfId="30896" xr:uid="{00000000-0005-0000-0000-0000D4040000}"/>
    <cellStyle name="Calculation 2 16 3 2 2 3" xfId="29916" xr:uid="{00000000-0005-0000-0000-0000D5040000}"/>
    <cellStyle name="Calculation 2 16 3 2 3" xfId="28471" xr:uid="{00000000-0005-0000-0000-0000D6040000}"/>
    <cellStyle name="Calculation 2 16 3 2 3 2" xfId="30431" xr:uid="{00000000-0005-0000-0000-0000D7040000}"/>
    <cellStyle name="Calculation 2 16 3 2 4" xfId="29451" xr:uid="{00000000-0005-0000-0000-0000D8040000}"/>
    <cellStyle name="Calculation 2 16 3 3" xfId="27581" xr:uid="{00000000-0005-0000-0000-0000D9040000}"/>
    <cellStyle name="Calculation 2 16 3 3 2" xfId="28047" xr:uid="{00000000-0005-0000-0000-0000DA040000}"/>
    <cellStyle name="Calculation 2 16 3 3 2 2" xfId="29034" xr:uid="{00000000-0005-0000-0000-0000DB040000}"/>
    <cellStyle name="Calculation 2 16 3 3 2 2 2" xfId="30994" xr:uid="{00000000-0005-0000-0000-0000DC040000}"/>
    <cellStyle name="Calculation 2 16 3 3 2 3" xfId="30014" xr:uid="{00000000-0005-0000-0000-0000DD040000}"/>
    <cellStyle name="Calculation 2 16 3 3 3" xfId="27753" xr:uid="{00000000-0005-0000-0000-0000DE040000}"/>
    <cellStyle name="Calculation 2 16 3 3 3 2" xfId="28741" xr:uid="{00000000-0005-0000-0000-0000DF040000}"/>
    <cellStyle name="Calculation 2 16 3 3 3 2 2" xfId="30701" xr:uid="{00000000-0005-0000-0000-0000E0040000}"/>
    <cellStyle name="Calculation 2 16 3 3 3 3" xfId="29721" xr:uid="{00000000-0005-0000-0000-0000E1040000}"/>
    <cellStyle name="Calculation 2 16 3 3 4" xfId="28569" xr:uid="{00000000-0005-0000-0000-0000E2040000}"/>
    <cellStyle name="Calculation 2 16 3 3 4 2" xfId="30529" xr:uid="{00000000-0005-0000-0000-0000E3040000}"/>
    <cellStyle name="Calculation 2 16 3 3 5" xfId="29549" xr:uid="{00000000-0005-0000-0000-0000E4040000}"/>
    <cellStyle name="Calculation 2 16 3 4" xfId="27679" xr:uid="{00000000-0005-0000-0000-0000E5040000}"/>
    <cellStyle name="Calculation 2 16 3 4 2" xfId="28145" xr:uid="{00000000-0005-0000-0000-0000E6040000}"/>
    <cellStyle name="Calculation 2 16 3 4 2 2" xfId="29132" xr:uid="{00000000-0005-0000-0000-0000E7040000}"/>
    <cellStyle name="Calculation 2 16 3 4 2 2 2" xfId="31092" xr:uid="{00000000-0005-0000-0000-0000E8040000}"/>
    <cellStyle name="Calculation 2 16 3 4 2 3" xfId="30112" xr:uid="{00000000-0005-0000-0000-0000E9040000}"/>
    <cellStyle name="Calculation 2 16 3 4 3" xfId="28280" xr:uid="{00000000-0005-0000-0000-0000EA040000}"/>
    <cellStyle name="Calculation 2 16 3 4 3 2" xfId="29267" xr:uid="{00000000-0005-0000-0000-0000EB040000}"/>
    <cellStyle name="Calculation 2 16 3 4 3 2 2" xfId="31227" xr:uid="{00000000-0005-0000-0000-0000EC040000}"/>
    <cellStyle name="Calculation 2 16 3 4 3 3" xfId="30247" xr:uid="{00000000-0005-0000-0000-0000ED040000}"/>
    <cellStyle name="Calculation 2 16 3 4 4" xfId="28667" xr:uid="{00000000-0005-0000-0000-0000EE040000}"/>
    <cellStyle name="Calculation 2 16 3 4 4 2" xfId="30627" xr:uid="{00000000-0005-0000-0000-0000EF040000}"/>
    <cellStyle name="Calculation 2 16 3 4 5" xfId="29647" xr:uid="{00000000-0005-0000-0000-0000F0040000}"/>
    <cellStyle name="Calculation 2 16 3 5" xfId="27851" xr:uid="{00000000-0005-0000-0000-0000F1040000}"/>
    <cellStyle name="Calculation 2 16 3 5 2" xfId="28838" xr:uid="{00000000-0005-0000-0000-0000F2040000}"/>
    <cellStyle name="Calculation 2 16 3 5 2 2" xfId="30798" xr:uid="{00000000-0005-0000-0000-0000F3040000}"/>
    <cellStyle name="Calculation 2 16 3 5 3" xfId="29818" xr:uid="{00000000-0005-0000-0000-0000F4040000}"/>
    <cellStyle name="Calculation 2 16 3 6" xfId="28373" xr:uid="{00000000-0005-0000-0000-0000F5040000}"/>
    <cellStyle name="Calculation 2 16 3 6 2" xfId="30333" xr:uid="{00000000-0005-0000-0000-0000F6040000}"/>
    <cellStyle name="Calculation 2 16 3 7" xfId="29353" xr:uid="{00000000-0005-0000-0000-0000F7040000}"/>
    <cellStyle name="Calculation 2 16 3 8" xfId="31313" xr:uid="{00000000-0005-0000-0000-0000F8040000}"/>
    <cellStyle name="Calculation 2 16 4" xfId="27439" xr:uid="{00000000-0005-0000-0000-0000F9040000}"/>
    <cellStyle name="Calculation 2 16 4 2" xfId="27905" xr:uid="{00000000-0005-0000-0000-0000FA040000}"/>
    <cellStyle name="Calculation 2 16 4 2 2" xfId="28892" xr:uid="{00000000-0005-0000-0000-0000FB040000}"/>
    <cellStyle name="Calculation 2 16 4 2 2 2" xfId="30852" xr:uid="{00000000-0005-0000-0000-0000FC040000}"/>
    <cellStyle name="Calculation 2 16 4 2 3" xfId="29872" xr:uid="{00000000-0005-0000-0000-0000FD040000}"/>
    <cellStyle name="Calculation 2 16 4 3" xfId="28427" xr:uid="{00000000-0005-0000-0000-0000FE040000}"/>
    <cellStyle name="Calculation 2 16 4 3 2" xfId="30387" xr:uid="{00000000-0005-0000-0000-0000FF040000}"/>
    <cellStyle name="Calculation 2 16 4 4" xfId="29407" xr:uid="{00000000-0005-0000-0000-000000050000}"/>
    <cellStyle name="Calculation 2 16 5" xfId="27537" xr:uid="{00000000-0005-0000-0000-000001050000}"/>
    <cellStyle name="Calculation 2 16 5 2" xfId="28003" xr:uid="{00000000-0005-0000-0000-000002050000}"/>
    <cellStyle name="Calculation 2 16 5 2 2" xfId="28990" xr:uid="{00000000-0005-0000-0000-000003050000}"/>
    <cellStyle name="Calculation 2 16 5 2 2 2" xfId="30950" xr:uid="{00000000-0005-0000-0000-000004050000}"/>
    <cellStyle name="Calculation 2 16 5 2 3" xfId="29970" xr:uid="{00000000-0005-0000-0000-000005050000}"/>
    <cellStyle name="Calculation 2 16 5 3" xfId="27727" xr:uid="{00000000-0005-0000-0000-000006050000}"/>
    <cellStyle name="Calculation 2 16 5 3 2" xfId="28715" xr:uid="{00000000-0005-0000-0000-000007050000}"/>
    <cellStyle name="Calculation 2 16 5 3 2 2" xfId="30675" xr:uid="{00000000-0005-0000-0000-000008050000}"/>
    <cellStyle name="Calculation 2 16 5 3 3" xfId="29695" xr:uid="{00000000-0005-0000-0000-000009050000}"/>
    <cellStyle name="Calculation 2 16 5 4" xfId="28525" xr:uid="{00000000-0005-0000-0000-00000A050000}"/>
    <cellStyle name="Calculation 2 16 5 4 2" xfId="30485" xr:uid="{00000000-0005-0000-0000-00000B050000}"/>
    <cellStyle name="Calculation 2 16 5 5" xfId="29505" xr:uid="{00000000-0005-0000-0000-00000C050000}"/>
    <cellStyle name="Calculation 2 16 6" xfId="27635" xr:uid="{00000000-0005-0000-0000-00000D050000}"/>
    <cellStyle name="Calculation 2 16 6 2" xfId="28101" xr:uid="{00000000-0005-0000-0000-00000E050000}"/>
    <cellStyle name="Calculation 2 16 6 2 2" xfId="29088" xr:uid="{00000000-0005-0000-0000-00000F050000}"/>
    <cellStyle name="Calculation 2 16 6 2 2 2" xfId="31048" xr:uid="{00000000-0005-0000-0000-000010050000}"/>
    <cellStyle name="Calculation 2 16 6 2 3" xfId="30068" xr:uid="{00000000-0005-0000-0000-000011050000}"/>
    <cellStyle name="Calculation 2 16 6 3" xfId="28252" xr:uid="{00000000-0005-0000-0000-000012050000}"/>
    <cellStyle name="Calculation 2 16 6 3 2" xfId="29239" xr:uid="{00000000-0005-0000-0000-000013050000}"/>
    <cellStyle name="Calculation 2 16 6 3 2 2" xfId="31199" xr:uid="{00000000-0005-0000-0000-000014050000}"/>
    <cellStyle name="Calculation 2 16 6 3 3" xfId="30219" xr:uid="{00000000-0005-0000-0000-000015050000}"/>
    <cellStyle name="Calculation 2 16 6 4" xfId="28623" xr:uid="{00000000-0005-0000-0000-000016050000}"/>
    <cellStyle name="Calculation 2 16 6 4 2" xfId="30583" xr:uid="{00000000-0005-0000-0000-000017050000}"/>
    <cellStyle name="Calculation 2 16 6 5" xfId="29603" xr:uid="{00000000-0005-0000-0000-000018050000}"/>
    <cellStyle name="Calculation 2 16 7" xfId="27775" xr:uid="{00000000-0005-0000-0000-000019050000}"/>
    <cellStyle name="Calculation 2 16 7 2" xfId="28763" xr:uid="{00000000-0005-0000-0000-00001A050000}"/>
    <cellStyle name="Calculation 2 16 7 2 2" xfId="30723" xr:uid="{00000000-0005-0000-0000-00001B050000}"/>
    <cellStyle name="Calculation 2 16 7 3" xfId="29743" xr:uid="{00000000-0005-0000-0000-00001C050000}"/>
    <cellStyle name="Calculation 2 16 8" xfId="28329" xr:uid="{00000000-0005-0000-0000-00001D050000}"/>
    <cellStyle name="Calculation 2 16 8 2" xfId="30289" xr:uid="{00000000-0005-0000-0000-00001E050000}"/>
    <cellStyle name="Calculation 2 16 9" xfId="29309" xr:uid="{00000000-0005-0000-0000-00001F050000}"/>
    <cellStyle name="Calculation 2 17" xfId="14942" xr:uid="{00000000-0005-0000-0000-000020050000}"/>
    <cellStyle name="Calculation 2 17 2" xfId="27362" xr:uid="{00000000-0005-0000-0000-000021050000}"/>
    <cellStyle name="Calculation 2 17 2 2" xfId="27473" xr:uid="{00000000-0005-0000-0000-000022050000}"/>
    <cellStyle name="Calculation 2 17 2 2 2" xfId="27939" xr:uid="{00000000-0005-0000-0000-000023050000}"/>
    <cellStyle name="Calculation 2 17 2 2 2 2" xfId="28926" xr:uid="{00000000-0005-0000-0000-000024050000}"/>
    <cellStyle name="Calculation 2 17 2 2 2 2 2" xfId="30886" xr:uid="{00000000-0005-0000-0000-000025050000}"/>
    <cellStyle name="Calculation 2 17 2 2 2 3" xfId="29906" xr:uid="{00000000-0005-0000-0000-000026050000}"/>
    <cellStyle name="Calculation 2 17 2 2 3" xfId="28461" xr:uid="{00000000-0005-0000-0000-000027050000}"/>
    <cellStyle name="Calculation 2 17 2 2 3 2" xfId="30421" xr:uid="{00000000-0005-0000-0000-000028050000}"/>
    <cellStyle name="Calculation 2 17 2 2 4" xfId="29441" xr:uid="{00000000-0005-0000-0000-000029050000}"/>
    <cellStyle name="Calculation 2 17 2 3" xfId="27571" xr:uid="{00000000-0005-0000-0000-00002A050000}"/>
    <cellStyle name="Calculation 2 17 2 3 2" xfId="28037" xr:uid="{00000000-0005-0000-0000-00002B050000}"/>
    <cellStyle name="Calculation 2 17 2 3 2 2" xfId="29024" xr:uid="{00000000-0005-0000-0000-00002C050000}"/>
    <cellStyle name="Calculation 2 17 2 3 2 2 2" xfId="30984" xr:uid="{00000000-0005-0000-0000-00002D050000}"/>
    <cellStyle name="Calculation 2 17 2 3 2 3" xfId="30004" xr:uid="{00000000-0005-0000-0000-00002E050000}"/>
    <cellStyle name="Calculation 2 17 2 3 3" xfId="27819" xr:uid="{00000000-0005-0000-0000-00002F050000}"/>
    <cellStyle name="Calculation 2 17 2 3 3 2" xfId="28806" xr:uid="{00000000-0005-0000-0000-000030050000}"/>
    <cellStyle name="Calculation 2 17 2 3 3 2 2" xfId="30766" xr:uid="{00000000-0005-0000-0000-000031050000}"/>
    <cellStyle name="Calculation 2 17 2 3 3 3" xfId="29786" xr:uid="{00000000-0005-0000-0000-000032050000}"/>
    <cellStyle name="Calculation 2 17 2 3 4" xfId="28559" xr:uid="{00000000-0005-0000-0000-000033050000}"/>
    <cellStyle name="Calculation 2 17 2 3 4 2" xfId="30519" xr:uid="{00000000-0005-0000-0000-000034050000}"/>
    <cellStyle name="Calculation 2 17 2 3 5" xfId="29539" xr:uid="{00000000-0005-0000-0000-000035050000}"/>
    <cellStyle name="Calculation 2 17 2 4" xfId="27669" xr:uid="{00000000-0005-0000-0000-000036050000}"/>
    <cellStyle name="Calculation 2 17 2 4 2" xfId="28135" xr:uid="{00000000-0005-0000-0000-000037050000}"/>
    <cellStyle name="Calculation 2 17 2 4 2 2" xfId="29122" xr:uid="{00000000-0005-0000-0000-000038050000}"/>
    <cellStyle name="Calculation 2 17 2 4 2 2 2" xfId="31082" xr:uid="{00000000-0005-0000-0000-000039050000}"/>
    <cellStyle name="Calculation 2 17 2 4 2 3" xfId="30102" xr:uid="{00000000-0005-0000-0000-00003A050000}"/>
    <cellStyle name="Calculation 2 17 2 4 3" xfId="28274" xr:uid="{00000000-0005-0000-0000-00003B050000}"/>
    <cellStyle name="Calculation 2 17 2 4 3 2" xfId="29261" xr:uid="{00000000-0005-0000-0000-00003C050000}"/>
    <cellStyle name="Calculation 2 17 2 4 3 2 2" xfId="31221" xr:uid="{00000000-0005-0000-0000-00003D050000}"/>
    <cellStyle name="Calculation 2 17 2 4 3 3" xfId="30241" xr:uid="{00000000-0005-0000-0000-00003E050000}"/>
    <cellStyle name="Calculation 2 17 2 4 4" xfId="28657" xr:uid="{00000000-0005-0000-0000-00003F050000}"/>
    <cellStyle name="Calculation 2 17 2 4 4 2" xfId="30617" xr:uid="{00000000-0005-0000-0000-000040050000}"/>
    <cellStyle name="Calculation 2 17 2 4 5" xfId="29637" xr:uid="{00000000-0005-0000-0000-000041050000}"/>
    <cellStyle name="Calculation 2 17 2 5" xfId="27841" xr:uid="{00000000-0005-0000-0000-000042050000}"/>
    <cellStyle name="Calculation 2 17 2 5 2" xfId="28828" xr:uid="{00000000-0005-0000-0000-000043050000}"/>
    <cellStyle name="Calculation 2 17 2 5 2 2" xfId="30788" xr:uid="{00000000-0005-0000-0000-000044050000}"/>
    <cellStyle name="Calculation 2 17 2 5 3" xfId="29808" xr:uid="{00000000-0005-0000-0000-000045050000}"/>
    <cellStyle name="Calculation 2 17 2 6" xfId="28363" xr:uid="{00000000-0005-0000-0000-000046050000}"/>
    <cellStyle name="Calculation 2 17 2 6 2" xfId="30323" xr:uid="{00000000-0005-0000-0000-000047050000}"/>
    <cellStyle name="Calculation 2 17 2 7" xfId="29343" xr:uid="{00000000-0005-0000-0000-000048050000}"/>
    <cellStyle name="Calculation 2 17 2 8" xfId="31303" xr:uid="{00000000-0005-0000-0000-000049050000}"/>
    <cellStyle name="Calculation 2 17 3" xfId="27429" xr:uid="{00000000-0005-0000-0000-00004A050000}"/>
    <cellStyle name="Calculation 2 17 3 2" xfId="27895" xr:uid="{00000000-0005-0000-0000-00004B050000}"/>
    <cellStyle name="Calculation 2 17 3 2 2" xfId="28882" xr:uid="{00000000-0005-0000-0000-00004C050000}"/>
    <cellStyle name="Calculation 2 17 3 2 2 2" xfId="30842" xr:uid="{00000000-0005-0000-0000-00004D050000}"/>
    <cellStyle name="Calculation 2 17 3 2 3" xfId="29862" xr:uid="{00000000-0005-0000-0000-00004E050000}"/>
    <cellStyle name="Calculation 2 17 3 3" xfId="28417" xr:uid="{00000000-0005-0000-0000-00004F050000}"/>
    <cellStyle name="Calculation 2 17 3 3 2" xfId="30377" xr:uid="{00000000-0005-0000-0000-000050050000}"/>
    <cellStyle name="Calculation 2 17 3 4" xfId="29397" xr:uid="{00000000-0005-0000-0000-000051050000}"/>
    <cellStyle name="Calculation 2 17 4" xfId="27527" xr:uid="{00000000-0005-0000-0000-000052050000}"/>
    <cellStyle name="Calculation 2 17 4 2" xfId="27993" xr:uid="{00000000-0005-0000-0000-000053050000}"/>
    <cellStyle name="Calculation 2 17 4 2 2" xfId="28980" xr:uid="{00000000-0005-0000-0000-000054050000}"/>
    <cellStyle name="Calculation 2 17 4 2 2 2" xfId="30940" xr:uid="{00000000-0005-0000-0000-000055050000}"/>
    <cellStyle name="Calculation 2 17 4 2 3" xfId="29960" xr:uid="{00000000-0005-0000-0000-000056050000}"/>
    <cellStyle name="Calculation 2 17 4 3" xfId="27738" xr:uid="{00000000-0005-0000-0000-000057050000}"/>
    <cellStyle name="Calculation 2 17 4 3 2" xfId="28726" xr:uid="{00000000-0005-0000-0000-000058050000}"/>
    <cellStyle name="Calculation 2 17 4 3 2 2" xfId="30686" xr:uid="{00000000-0005-0000-0000-000059050000}"/>
    <cellStyle name="Calculation 2 17 4 3 3" xfId="29706" xr:uid="{00000000-0005-0000-0000-00005A050000}"/>
    <cellStyle name="Calculation 2 17 4 4" xfId="28515" xr:uid="{00000000-0005-0000-0000-00005B050000}"/>
    <cellStyle name="Calculation 2 17 4 4 2" xfId="30475" xr:uid="{00000000-0005-0000-0000-00005C050000}"/>
    <cellStyle name="Calculation 2 17 4 5" xfId="29495" xr:uid="{00000000-0005-0000-0000-00005D050000}"/>
    <cellStyle name="Calculation 2 17 5" xfId="27625" xr:uid="{00000000-0005-0000-0000-00005E050000}"/>
    <cellStyle name="Calculation 2 17 5 2" xfId="28091" xr:uid="{00000000-0005-0000-0000-00005F050000}"/>
    <cellStyle name="Calculation 2 17 5 2 2" xfId="29078" xr:uid="{00000000-0005-0000-0000-000060050000}"/>
    <cellStyle name="Calculation 2 17 5 2 2 2" xfId="31038" xr:uid="{00000000-0005-0000-0000-000061050000}"/>
    <cellStyle name="Calculation 2 17 5 2 3" xfId="30058" xr:uid="{00000000-0005-0000-0000-000062050000}"/>
    <cellStyle name="Calculation 2 17 5 3" xfId="27737" xr:uid="{00000000-0005-0000-0000-000063050000}"/>
    <cellStyle name="Calculation 2 17 5 3 2" xfId="28725" xr:uid="{00000000-0005-0000-0000-000064050000}"/>
    <cellStyle name="Calculation 2 17 5 3 2 2" xfId="30685" xr:uid="{00000000-0005-0000-0000-000065050000}"/>
    <cellStyle name="Calculation 2 17 5 3 3" xfId="29705" xr:uid="{00000000-0005-0000-0000-000066050000}"/>
    <cellStyle name="Calculation 2 17 5 4" xfId="28613" xr:uid="{00000000-0005-0000-0000-000067050000}"/>
    <cellStyle name="Calculation 2 17 5 4 2" xfId="30573" xr:uid="{00000000-0005-0000-0000-000068050000}"/>
    <cellStyle name="Calculation 2 17 5 5" xfId="29593" xr:uid="{00000000-0005-0000-0000-000069050000}"/>
    <cellStyle name="Calculation 2 17 6" xfId="27765" xr:uid="{00000000-0005-0000-0000-00006A050000}"/>
    <cellStyle name="Calculation 2 17 6 2" xfId="28753" xr:uid="{00000000-0005-0000-0000-00006B050000}"/>
    <cellStyle name="Calculation 2 17 6 2 2" xfId="30713" xr:uid="{00000000-0005-0000-0000-00006C050000}"/>
    <cellStyle name="Calculation 2 17 6 3" xfId="29733" xr:uid="{00000000-0005-0000-0000-00006D050000}"/>
    <cellStyle name="Calculation 2 17 7" xfId="28319" xr:uid="{00000000-0005-0000-0000-00006E050000}"/>
    <cellStyle name="Calculation 2 17 7 2" xfId="30279" xr:uid="{00000000-0005-0000-0000-00006F050000}"/>
    <cellStyle name="Calculation 2 17 8" xfId="29299" xr:uid="{00000000-0005-0000-0000-000070050000}"/>
    <cellStyle name="Calculation 2 17 9" xfId="31259" xr:uid="{00000000-0005-0000-0000-000071050000}"/>
    <cellStyle name="Calculation 2 18" xfId="15001" xr:uid="{00000000-0005-0000-0000-000072050000}"/>
    <cellStyle name="Calculation 2 18 2" xfId="27386" xr:uid="{00000000-0005-0000-0000-000073050000}"/>
    <cellStyle name="Calculation 2 18 2 2" xfId="27497" xr:uid="{00000000-0005-0000-0000-000074050000}"/>
    <cellStyle name="Calculation 2 18 2 2 2" xfId="27963" xr:uid="{00000000-0005-0000-0000-000075050000}"/>
    <cellStyle name="Calculation 2 18 2 2 2 2" xfId="28950" xr:uid="{00000000-0005-0000-0000-000076050000}"/>
    <cellStyle name="Calculation 2 18 2 2 2 2 2" xfId="30910" xr:uid="{00000000-0005-0000-0000-000077050000}"/>
    <cellStyle name="Calculation 2 18 2 2 2 3" xfId="29930" xr:uid="{00000000-0005-0000-0000-000078050000}"/>
    <cellStyle name="Calculation 2 18 2 2 3" xfId="28485" xr:uid="{00000000-0005-0000-0000-000079050000}"/>
    <cellStyle name="Calculation 2 18 2 2 3 2" xfId="30445" xr:uid="{00000000-0005-0000-0000-00007A050000}"/>
    <cellStyle name="Calculation 2 18 2 2 4" xfId="29465" xr:uid="{00000000-0005-0000-0000-00007B050000}"/>
    <cellStyle name="Calculation 2 18 2 3" xfId="27595" xr:uid="{00000000-0005-0000-0000-00007C050000}"/>
    <cellStyle name="Calculation 2 18 2 3 2" xfId="28061" xr:uid="{00000000-0005-0000-0000-00007D050000}"/>
    <cellStyle name="Calculation 2 18 2 3 2 2" xfId="29048" xr:uid="{00000000-0005-0000-0000-00007E050000}"/>
    <cellStyle name="Calculation 2 18 2 3 2 2 2" xfId="31008" xr:uid="{00000000-0005-0000-0000-00007F050000}"/>
    <cellStyle name="Calculation 2 18 2 3 2 3" xfId="30028" xr:uid="{00000000-0005-0000-0000-000080050000}"/>
    <cellStyle name="Calculation 2 18 2 3 3" xfId="27756" xr:uid="{00000000-0005-0000-0000-000081050000}"/>
    <cellStyle name="Calculation 2 18 2 3 3 2" xfId="28744" xr:uid="{00000000-0005-0000-0000-000082050000}"/>
    <cellStyle name="Calculation 2 18 2 3 3 2 2" xfId="30704" xr:uid="{00000000-0005-0000-0000-000083050000}"/>
    <cellStyle name="Calculation 2 18 2 3 3 3" xfId="29724" xr:uid="{00000000-0005-0000-0000-000084050000}"/>
    <cellStyle name="Calculation 2 18 2 3 4" xfId="28583" xr:uid="{00000000-0005-0000-0000-000085050000}"/>
    <cellStyle name="Calculation 2 18 2 3 4 2" xfId="30543" xr:uid="{00000000-0005-0000-0000-000086050000}"/>
    <cellStyle name="Calculation 2 18 2 3 5" xfId="29563" xr:uid="{00000000-0005-0000-0000-000087050000}"/>
    <cellStyle name="Calculation 2 18 2 4" xfId="27693" xr:uid="{00000000-0005-0000-0000-000088050000}"/>
    <cellStyle name="Calculation 2 18 2 4 2" xfId="28159" xr:uid="{00000000-0005-0000-0000-000089050000}"/>
    <cellStyle name="Calculation 2 18 2 4 2 2" xfId="29146" xr:uid="{00000000-0005-0000-0000-00008A050000}"/>
    <cellStyle name="Calculation 2 18 2 4 2 2 2" xfId="31106" xr:uid="{00000000-0005-0000-0000-00008B050000}"/>
    <cellStyle name="Calculation 2 18 2 4 2 3" xfId="30126" xr:uid="{00000000-0005-0000-0000-00008C050000}"/>
    <cellStyle name="Calculation 2 18 2 4 3" xfId="28290" xr:uid="{00000000-0005-0000-0000-00008D050000}"/>
    <cellStyle name="Calculation 2 18 2 4 3 2" xfId="29277" xr:uid="{00000000-0005-0000-0000-00008E050000}"/>
    <cellStyle name="Calculation 2 18 2 4 3 2 2" xfId="31237" xr:uid="{00000000-0005-0000-0000-00008F050000}"/>
    <cellStyle name="Calculation 2 18 2 4 3 3" xfId="30257" xr:uid="{00000000-0005-0000-0000-000090050000}"/>
    <cellStyle name="Calculation 2 18 2 4 4" xfId="28681" xr:uid="{00000000-0005-0000-0000-000091050000}"/>
    <cellStyle name="Calculation 2 18 2 4 4 2" xfId="30641" xr:uid="{00000000-0005-0000-0000-000092050000}"/>
    <cellStyle name="Calculation 2 18 2 4 5" xfId="29661" xr:uid="{00000000-0005-0000-0000-000093050000}"/>
    <cellStyle name="Calculation 2 18 2 5" xfId="27865" xr:uid="{00000000-0005-0000-0000-000094050000}"/>
    <cellStyle name="Calculation 2 18 2 5 2" xfId="28852" xr:uid="{00000000-0005-0000-0000-000095050000}"/>
    <cellStyle name="Calculation 2 18 2 5 2 2" xfId="30812" xr:uid="{00000000-0005-0000-0000-000096050000}"/>
    <cellStyle name="Calculation 2 18 2 5 3" xfId="29832" xr:uid="{00000000-0005-0000-0000-000097050000}"/>
    <cellStyle name="Calculation 2 18 2 6" xfId="28387" xr:uid="{00000000-0005-0000-0000-000098050000}"/>
    <cellStyle name="Calculation 2 18 2 6 2" xfId="30347" xr:uid="{00000000-0005-0000-0000-000099050000}"/>
    <cellStyle name="Calculation 2 18 2 7" xfId="29367" xr:uid="{00000000-0005-0000-0000-00009A050000}"/>
    <cellStyle name="Calculation 2 18 2 8" xfId="31327" xr:uid="{00000000-0005-0000-0000-00009B050000}"/>
    <cellStyle name="Calculation 2 18 3" xfId="27453" xr:uid="{00000000-0005-0000-0000-00009C050000}"/>
    <cellStyle name="Calculation 2 18 3 2" xfId="27919" xr:uid="{00000000-0005-0000-0000-00009D050000}"/>
    <cellStyle name="Calculation 2 18 3 2 2" xfId="28906" xr:uid="{00000000-0005-0000-0000-00009E050000}"/>
    <cellStyle name="Calculation 2 18 3 2 2 2" xfId="30866" xr:uid="{00000000-0005-0000-0000-00009F050000}"/>
    <cellStyle name="Calculation 2 18 3 2 3" xfId="29886" xr:uid="{00000000-0005-0000-0000-0000A0050000}"/>
    <cellStyle name="Calculation 2 18 3 3" xfId="28441" xr:uid="{00000000-0005-0000-0000-0000A1050000}"/>
    <cellStyle name="Calculation 2 18 3 3 2" xfId="30401" xr:uid="{00000000-0005-0000-0000-0000A2050000}"/>
    <cellStyle name="Calculation 2 18 3 4" xfId="29421" xr:uid="{00000000-0005-0000-0000-0000A3050000}"/>
    <cellStyle name="Calculation 2 18 4" xfId="27551" xr:uid="{00000000-0005-0000-0000-0000A4050000}"/>
    <cellStyle name="Calculation 2 18 4 2" xfId="28017" xr:uid="{00000000-0005-0000-0000-0000A5050000}"/>
    <cellStyle name="Calculation 2 18 4 2 2" xfId="29004" xr:uid="{00000000-0005-0000-0000-0000A6050000}"/>
    <cellStyle name="Calculation 2 18 4 2 2 2" xfId="30964" xr:uid="{00000000-0005-0000-0000-0000A7050000}"/>
    <cellStyle name="Calculation 2 18 4 2 3" xfId="29984" xr:uid="{00000000-0005-0000-0000-0000A8050000}"/>
    <cellStyle name="Calculation 2 18 4 3" xfId="27747" xr:uid="{00000000-0005-0000-0000-0000A9050000}"/>
    <cellStyle name="Calculation 2 18 4 3 2" xfId="28735" xr:uid="{00000000-0005-0000-0000-0000AA050000}"/>
    <cellStyle name="Calculation 2 18 4 3 2 2" xfId="30695" xr:uid="{00000000-0005-0000-0000-0000AB050000}"/>
    <cellStyle name="Calculation 2 18 4 3 3" xfId="29715" xr:uid="{00000000-0005-0000-0000-0000AC050000}"/>
    <cellStyle name="Calculation 2 18 4 4" xfId="28539" xr:uid="{00000000-0005-0000-0000-0000AD050000}"/>
    <cellStyle name="Calculation 2 18 4 4 2" xfId="30499" xr:uid="{00000000-0005-0000-0000-0000AE050000}"/>
    <cellStyle name="Calculation 2 18 4 5" xfId="29519" xr:uid="{00000000-0005-0000-0000-0000AF050000}"/>
    <cellStyle name="Calculation 2 18 5" xfId="27649" xr:uid="{00000000-0005-0000-0000-0000B0050000}"/>
    <cellStyle name="Calculation 2 18 5 2" xfId="28115" xr:uid="{00000000-0005-0000-0000-0000B1050000}"/>
    <cellStyle name="Calculation 2 18 5 2 2" xfId="29102" xr:uid="{00000000-0005-0000-0000-0000B2050000}"/>
    <cellStyle name="Calculation 2 18 5 2 2 2" xfId="31062" xr:uid="{00000000-0005-0000-0000-0000B3050000}"/>
    <cellStyle name="Calculation 2 18 5 2 3" xfId="30082" xr:uid="{00000000-0005-0000-0000-0000B4050000}"/>
    <cellStyle name="Calculation 2 18 5 3" xfId="28262" xr:uid="{00000000-0005-0000-0000-0000B5050000}"/>
    <cellStyle name="Calculation 2 18 5 3 2" xfId="29249" xr:uid="{00000000-0005-0000-0000-0000B6050000}"/>
    <cellStyle name="Calculation 2 18 5 3 2 2" xfId="31209" xr:uid="{00000000-0005-0000-0000-0000B7050000}"/>
    <cellStyle name="Calculation 2 18 5 3 3" xfId="30229" xr:uid="{00000000-0005-0000-0000-0000B8050000}"/>
    <cellStyle name="Calculation 2 18 5 4" xfId="28637" xr:uid="{00000000-0005-0000-0000-0000B9050000}"/>
    <cellStyle name="Calculation 2 18 5 4 2" xfId="30597" xr:uid="{00000000-0005-0000-0000-0000BA050000}"/>
    <cellStyle name="Calculation 2 18 5 5" xfId="29617" xr:uid="{00000000-0005-0000-0000-0000BB050000}"/>
    <cellStyle name="Calculation 2 18 6" xfId="27789" xr:uid="{00000000-0005-0000-0000-0000BC050000}"/>
    <cellStyle name="Calculation 2 18 6 2" xfId="28777" xr:uid="{00000000-0005-0000-0000-0000BD050000}"/>
    <cellStyle name="Calculation 2 18 6 2 2" xfId="30737" xr:uid="{00000000-0005-0000-0000-0000BE050000}"/>
    <cellStyle name="Calculation 2 18 6 3" xfId="29757" xr:uid="{00000000-0005-0000-0000-0000BF050000}"/>
    <cellStyle name="Calculation 2 18 7" xfId="28343" xr:uid="{00000000-0005-0000-0000-0000C0050000}"/>
    <cellStyle name="Calculation 2 18 7 2" xfId="30303" xr:uid="{00000000-0005-0000-0000-0000C1050000}"/>
    <cellStyle name="Calculation 2 18 8" xfId="29323" xr:uid="{00000000-0005-0000-0000-0000C2050000}"/>
    <cellStyle name="Calculation 2 18 9" xfId="31283" xr:uid="{00000000-0005-0000-0000-0000C3050000}"/>
    <cellStyle name="Calculation 2 19" xfId="27419" xr:uid="{00000000-0005-0000-0000-0000C4050000}"/>
    <cellStyle name="Calculation 2 19 2" xfId="27885" xr:uid="{00000000-0005-0000-0000-0000C5050000}"/>
    <cellStyle name="Calculation 2 19 2 2" xfId="28872" xr:uid="{00000000-0005-0000-0000-0000C6050000}"/>
    <cellStyle name="Calculation 2 19 2 2 2" xfId="30832" xr:uid="{00000000-0005-0000-0000-0000C7050000}"/>
    <cellStyle name="Calculation 2 19 2 3" xfId="29852" xr:uid="{00000000-0005-0000-0000-0000C8050000}"/>
    <cellStyle name="Calculation 2 19 3" xfId="28407" xr:uid="{00000000-0005-0000-0000-0000C9050000}"/>
    <cellStyle name="Calculation 2 19 3 2" xfId="30367" xr:uid="{00000000-0005-0000-0000-0000CA050000}"/>
    <cellStyle name="Calculation 2 19 4" xfId="29387" xr:uid="{00000000-0005-0000-0000-0000CB050000}"/>
    <cellStyle name="Calculation 2 2" xfId="2540" xr:uid="{00000000-0005-0000-0000-0000CC050000}"/>
    <cellStyle name="Calculation 2 20" xfId="27517" xr:uid="{00000000-0005-0000-0000-0000CD050000}"/>
    <cellStyle name="Calculation 2 20 2" xfId="27983" xr:uid="{00000000-0005-0000-0000-0000CE050000}"/>
    <cellStyle name="Calculation 2 20 2 2" xfId="28970" xr:uid="{00000000-0005-0000-0000-0000CF050000}"/>
    <cellStyle name="Calculation 2 20 2 2 2" xfId="30930" xr:uid="{00000000-0005-0000-0000-0000D0050000}"/>
    <cellStyle name="Calculation 2 20 2 3" xfId="29950" xr:uid="{00000000-0005-0000-0000-0000D1050000}"/>
    <cellStyle name="Calculation 2 20 3" xfId="27724" xr:uid="{00000000-0005-0000-0000-0000D2050000}"/>
    <cellStyle name="Calculation 2 20 3 2" xfId="28712" xr:uid="{00000000-0005-0000-0000-0000D3050000}"/>
    <cellStyle name="Calculation 2 20 3 2 2" xfId="30672" xr:uid="{00000000-0005-0000-0000-0000D4050000}"/>
    <cellStyle name="Calculation 2 20 3 3" xfId="29692" xr:uid="{00000000-0005-0000-0000-0000D5050000}"/>
    <cellStyle name="Calculation 2 20 4" xfId="28505" xr:uid="{00000000-0005-0000-0000-0000D6050000}"/>
    <cellStyle name="Calculation 2 20 4 2" xfId="30465" xr:uid="{00000000-0005-0000-0000-0000D7050000}"/>
    <cellStyle name="Calculation 2 20 5" xfId="29485" xr:uid="{00000000-0005-0000-0000-0000D8050000}"/>
    <cellStyle name="Calculation 2 21" xfId="27615" xr:uid="{00000000-0005-0000-0000-0000D9050000}"/>
    <cellStyle name="Calculation 2 21 2" xfId="28081" xr:uid="{00000000-0005-0000-0000-0000DA050000}"/>
    <cellStyle name="Calculation 2 21 2 2" xfId="29068" xr:uid="{00000000-0005-0000-0000-0000DB050000}"/>
    <cellStyle name="Calculation 2 21 2 2 2" xfId="31028" xr:uid="{00000000-0005-0000-0000-0000DC050000}"/>
    <cellStyle name="Calculation 2 21 2 3" xfId="30048" xr:uid="{00000000-0005-0000-0000-0000DD050000}"/>
    <cellStyle name="Calculation 2 21 3" xfId="27734" xr:uid="{00000000-0005-0000-0000-0000DE050000}"/>
    <cellStyle name="Calculation 2 21 3 2" xfId="28722" xr:uid="{00000000-0005-0000-0000-0000DF050000}"/>
    <cellStyle name="Calculation 2 21 3 2 2" xfId="30682" xr:uid="{00000000-0005-0000-0000-0000E0050000}"/>
    <cellStyle name="Calculation 2 21 3 3" xfId="29702" xr:uid="{00000000-0005-0000-0000-0000E1050000}"/>
    <cellStyle name="Calculation 2 21 4" xfId="28603" xr:uid="{00000000-0005-0000-0000-0000E2050000}"/>
    <cellStyle name="Calculation 2 21 4 2" xfId="30563" xr:uid="{00000000-0005-0000-0000-0000E3050000}"/>
    <cellStyle name="Calculation 2 21 5" xfId="29583" xr:uid="{00000000-0005-0000-0000-0000E4050000}"/>
    <cellStyle name="Calculation 2 22" xfId="27714" xr:uid="{00000000-0005-0000-0000-0000E5050000}"/>
    <cellStyle name="Calculation 2 22 2" xfId="28702" xr:uid="{00000000-0005-0000-0000-0000E6050000}"/>
    <cellStyle name="Calculation 2 22 2 2" xfId="30662" xr:uid="{00000000-0005-0000-0000-0000E7050000}"/>
    <cellStyle name="Calculation 2 22 3" xfId="29682" xr:uid="{00000000-0005-0000-0000-0000E8050000}"/>
    <cellStyle name="Calculation 2 23" xfId="28309" xr:uid="{00000000-0005-0000-0000-0000E9050000}"/>
    <cellStyle name="Calculation 2 23 2" xfId="30269" xr:uid="{00000000-0005-0000-0000-0000EA050000}"/>
    <cellStyle name="Calculation 2 24" xfId="29289" xr:uid="{00000000-0005-0000-0000-0000EB050000}"/>
    <cellStyle name="Calculation 2 25" xfId="31249" xr:uid="{00000000-0005-0000-0000-0000EC050000}"/>
    <cellStyle name="Calculation 2 3" xfId="2541" xr:uid="{00000000-0005-0000-0000-0000ED050000}"/>
    <cellStyle name="Calculation 2 4" xfId="2542" xr:uid="{00000000-0005-0000-0000-0000EE050000}"/>
    <cellStyle name="Calculation 2 5" xfId="2543" xr:uid="{00000000-0005-0000-0000-0000EF050000}"/>
    <cellStyle name="Calculation 2 6" xfId="2544" xr:uid="{00000000-0005-0000-0000-0000F0050000}"/>
    <cellStyle name="Calculation 2 7" xfId="2545" xr:uid="{00000000-0005-0000-0000-0000F1050000}"/>
    <cellStyle name="Calculation 2 8" xfId="2546" xr:uid="{00000000-0005-0000-0000-0000F2050000}"/>
    <cellStyle name="Calculation 2 9" xfId="2547" xr:uid="{00000000-0005-0000-0000-0000F3050000}"/>
    <cellStyle name="Calculation 20" xfId="2548" xr:uid="{00000000-0005-0000-0000-0000F4050000}"/>
    <cellStyle name="Calculation 21" xfId="2549" xr:uid="{00000000-0005-0000-0000-0000F5050000}"/>
    <cellStyle name="Calculation 22" xfId="2550" xr:uid="{00000000-0005-0000-0000-0000F6050000}"/>
    <cellStyle name="Calculation 23" xfId="2551" xr:uid="{00000000-0005-0000-0000-0000F7050000}"/>
    <cellStyle name="Calculation 24" xfId="2552" xr:uid="{00000000-0005-0000-0000-0000F8050000}"/>
    <cellStyle name="Calculation 3" xfId="1577" xr:uid="{00000000-0005-0000-0000-0000F9050000}"/>
    <cellStyle name="Calculation 3 10" xfId="29290" xr:uid="{00000000-0005-0000-0000-0000FA050000}"/>
    <cellStyle name="Calculation 3 11" xfId="31250" xr:uid="{00000000-0005-0000-0000-0000FB050000}"/>
    <cellStyle name="Calculation 3 2" xfId="14960" xr:uid="{00000000-0005-0000-0000-0000FC050000}"/>
    <cellStyle name="Calculation 3 2 10" xfId="31270" xr:uid="{00000000-0005-0000-0000-0000FD050000}"/>
    <cellStyle name="Calculation 3 2 2" xfId="15010" xr:uid="{00000000-0005-0000-0000-0000FE050000}"/>
    <cellStyle name="Calculation 3 2 2 2" xfId="27395" xr:uid="{00000000-0005-0000-0000-0000FF050000}"/>
    <cellStyle name="Calculation 3 2 2 2 2" xfId="27506" xr:uid="{00000000-0005-0000-0000-000000060000}"/>
    <cellStyle name="Calculation 3 2 2 2 2 2" xfId="27972" xr:uid="{00000000-0005-0000-0000-000001060000}"/>
    <cellStyle name="Calculation 3 2 2 2 2 2 2" xfId="28959" xr:uid="{00000000-0005-0000-0000-000002060000}"/>
    <cellStyle name="Calculation 3 2 2 2 2 2 2 2" xfId="30919" xr:uid="{00000000-0005-0000-0000-000003060000}"/>
    <cellStyle name="Calculation 3 2 2 2 2 2 3" xfId="29939" xr:uid="{00000000-0005-0000-0000-000004060000}"/>
    <cellStyle name="Calculation 3 2 2 2 2 3" xfId="28494" xr:uid="{00000000-0005-0000-0000-000005060000}"/>
    <cellStyle name="Calculation 3 2 2 2 2 3 2" xfId="30454" xr:uid="{00000000-0005-0000-0000-000006060000}"/>
    <cellStyle name="Calculation 3 2 2 2 2 4" xfId="29474" xr:uid="{00000000-0005-0000-0000-000007060000}"/>
    <cellStyle name="Calculation 3 2 2 2 3" xfId="27604" xr:uid="{00000000-0005-0000-0000-000008060000}"/>
    <cellStyle name="Calculation 3 2 2 2 3 2" xfId="28070" xr:uid="{00000000-0005-0000-0000-000009060000}"/>
    <cellStyle name="Calculation 3 2 2 2 3 2 2" xfId="29057" xr:uid="{00000000-0005-0000-0000-00000A060000}"/>
    <cellStyle name="Calculation 3 2 2 2 3 2 2 2" xfId="31017" xr:uid="{00000000-0005-0000-0000-00000B060000}"/>
    <cellStyle name="Calculation 3 2 2 2 3 2 3" xfId="30037" xr:uid="{00000000-0005-0000-0000-00000C060000}"/>
    <cellStyle name="Calculation 3 2 2 2 3 3" xfId="27826" xr:uid="{00000000-0005-0000-0000-00000D060000}"/>
    <cellStyle name="Calculation 3 2 2 2 3 3 2" xfId="28813" xr:uid="{00000000-0005-0000-0000-00000E060000}"/>
    <cellStyle name="Calculation 3 2 2 2 3 3 2 2" xfId="30773" xr:uid="{00000000-0005-0000-0000-00000F060000}"/>
    <cellStyle name="Calculation 3 2 2 2 3 3 3" xfId="29793" xr:uid="{00000000-0005-0000-0000-000010060000}"/>
    <cellStyle name="Calculation 3 2 2 2 3 4" xfId="28592" xr:uid="{00000000-0005-0000-0000-000011060000}"/>
    <cellStyle name="Calculation 3 2 2 2 3 4 2" xfId="30552" xr:uid="{00000000-0005-0000-0000-000012060000}"/>
    <cellStyle name="Calculation 3 2 2 2 3 5" xfId="29572" xr:uid="{00000000-0005-0000-0000-000013060000}"/>
    <cellStyle name="Calculation 3 2 2 2 4" xfId="27702" xr:uid="{00000000-0005-0000-0000-000014060000}"/>
    <cellStyle name="Calculation 3 2 2 2 4 2" xfId="28168" xr:uid="{00000000-0005-0000-0000-000015060000}"/>
    <cellStyle name="Calculation 3 2 2 2 4 2 2" xfId="29155" xr:uid="{00000000-0005-0000-0000-000016060000}"/>
    <cellStyle name="Calculation 3 2 2 2 4 2 2 2" xfId="31115" xr:uid="{00000000-0005-0000-0000-000017060000}"/>
    <cellStyle name="Calculation 3 2 2 2 4 2 3" xfId="30135" xr:uid="{00000000-0005-0000-0000-000018060000}"/>
    <cellStyle name="Calculation 3 2 2 2 4 3" xfId="28295" xr:uid="{00000000-0005-0000-0000-000019060000}"/>
    <cellStyle name="Calculation 3 2 2 2 4 3 2" xfId="29282" xr:uid="{00000000-0005-0000-0000-00001A060000}"/>
    <cellStyle name="Calculation 3 2 2 2 4 3 2 2" xfId="31242" xr:uid="{00000000-0005-0000-0000-00001B060000}"/>
    <cellStyle name="Calculation 3 2 2 2 4 3 3" xfId="30262" xr:uid="{00000000-0005-0000-0000-00001C060000}"/>
    <cellStyle name="Calculation 3 2 2 2 4 4" xfId="28690" xr:uid="{00000000-0005-0000-0000-00001D060000}"/>
    <cellStyle name="Calculation 3 2 2 2 4 4 2" xfId="30650" xr:uid="{00000000-0005-0000-0000-00001E060000}"/>
    <cellStyle name="Calculation 3 2 2 2 4 5" xfId="29670" xr:uid="{00000000-0005-0000-0000-00001F060000}"/>
    <cellStyle name="Calculation 3 2 2 2 5" xfId="27874" xr:uid="{00000000-0005-0000-0000-000020060000}"/>
    <cellStyle name="Calculation 3 2 2 2 5 2" xfId="28861" xr:uid="{00000000-0005-0000-0000-000021060000}"/>
    <cellStyle name="Calculation 3 2 2 2 5 2 2" xfId="30821" xr:uid="{00000000-0005-0000-0000-000022060000}"/>
    <cellStyle name="Calculation 3 2 2 2 5 3" xfId="29841" xr:uid="{00000000-0005-0000-0000-000023060000}"/>
    <cellStyle name="Calculation 3 2 2 2 6" xfId="28396" xr:uid="{00000000-0005-0000-0000-000024060000}"/>
    <cellStyle name="Calculation 3 2 2 2 6 2" xfId="30356" xr:uid="{00000000-0005-0000-0000-000025060000}"/>
    <cellStyle name="Calculation 3 2 2 2 7" xfId="29376" xr:uid="{00000000-0005-0000-0000-000026060000}"/>
    <cellStyle name="Calculation 3 2 2 2 8" xfId="31336" xr:uid="{00000000-0005-0000-0000-000027060000}"/>
    <cellStyle name="Calculation 3 2 2 3" xfId="27462" xr:uid="{00000000-0005-0000-0000-000028060000}"/>
    <cellStyle name="Calculation 3 2 2 3 2" xfId="27928" xr:uid="{00000000-0005-0000-0000-000029060000}"/>
    <cellStyle name="Calculation 3 2 2 3 2 2" xfId="28915" xr:uid="{00000000-0005-0000-0000-00002A060000}"/>
    <cellStyle name="Calculation 3 2 2 3 2 2 2" xfId="30875" xr:uid="{00000000-0005-0000-0000-00002B060000}"/>
    <cellStyle name="Calculation 3 2 2 3 2 3" xfId="29895" xr:uid="{00000000-0005-0000-0000-00002C060000}"/>
    <cellStyle name="Calculation 3 2 2 3 3" xfId="28450" xr:uid="{00000000-0005-0000-0000-00002D060000}"/>
    <cellStyle name="Calculation 3 2 2 3 3 2" xfId="30410" xr:uid="{00000000-0005-0000-0000-00002E060000}"/>
    <cellStyle name="Calculation 3 2 2 3 4" xfId="29430" xr:uid="{00000000-0005-0000-0000-00002F060000}"/>
    <cellStyle name="Calculation 3 2 2 4" xfId="27560" xr:uid="{00000000-0005-0000-0000-000030060000}"/>
    <cellStyle name="Calculation 3 2 2 4 2" xfId="28026" xr:uid="{00000000-0005-0000-0000-000031060000}"/>
    <cellStyle name="Calculation 3 2 2 4 2 2" xfId="29013" xr:uid="{00000000-0005-0000-0000-000032060000}"/>
    <cellStyle name="Calculation 3 2 2 4 2 2 2" xfId="30973" xr:uid="{00000000-0005-0000-0000-000033060000}"/>
    <cellStyle name="Calculation 3 2 2 4 2 3" xfId="29993" xr:uid="{00000000-0005-0000-0000-000034060000}"/>
    <cellStyle name="Calculation 3 2 2 4 3" xfId="27836" xr:uid="{00000000-0005-0000-0000-000035060000}"/>
    <cellStyle name="Calculation 3 2 2 4 3 2" xfId="28823" xr:uid="{00000000-0005-0000-0000-000036060000}"/>
    <cellStyle name="Calculation 3 2 2 4 3 2 2" xfId="30783" xr:uid="{00000000-0005-0000-0000-000037060000}"/>
    <cellStyle name="Calculation 3 2 2 4 3 3" xfId="29803" xr:uid="{00000000-0005-0000-0000-000038060000}"/>
    <cellStyle name="Calculation 3 2 2 4 4" xfId="28548" xr:uid="{00000000-0005-0000-0000-000039060000}"/>
    <cellStyle name="Calculation 3 2 2 4 4 2" xfId="30508" xr:uid="{00000000-0005-0000-0000-00003A060000}"/>
    <cellStyle name="Calculation 3 2 2 4 5" xfId="29528" xr:uid="{00000000-0005-0000-0000-00003B060000}"/>
    <cellStyle name="Calculation 3 2 2 5" xfId="27658" xr:uid="{00000000-0005-0000-0000-00003C060000}"/>
    <cellStyle name="Calculation 3 2 2 5 2" xfId="28124" xr:uid="{00000000-0005-0000-0000-00003D060000}"/>
    <cellStyle name="Calculation 3 2 2 5 2 2" xfId="29111" xr:uid="{00000000-0005-0000-0000-00003E060000}"/>
    <cellStyle name="Calculation 3 2 2 5 2 2 2" xfId="31071" xr:uid="{00000000-0005-0000-0000-00003F060000}"/>
    <cellStyle name="Calculation 3 2 2 5 2 3" xfId="30091" xr:uid="{00000000-0005-0000-0000-000040060000}"/>
    <cellStyle name="Calculation 3 2 2 5 3" xfId="28267" xr:uid="{00000000-0005-0000-0000-000041060000}"/>
    <cellStyle name="Calculation 3 2 2 5 3 2" xfId="29254" xr:uid="{00000000-0005-0000-0000-000042060000}"/>
    <cellStyle name="Calculation 3 2 2 5 3 2 2" xfId="31214" xr:uid="{00000000-0005-0000-0000-000043060000}"/>
    <cellStyle name="Calculation 3 2 2 5 3 3" xfId="30234" xr:uid="{00000000-0005-0000-0000-000044060000}"/>
    <cellStyle name="Calculation 3 2 2 5 4" xfId="28646" xr:uid="{00000000-0005-0000-0000-000045060000}"/>
    <cellStyle name="Calculation 3 2 2 5 4 2" xfId="30606" xr:uid="{00000000-0005-0000-0000-000046060000}"/>
    <cellStyle name="Calculation 3 2 2 5 5" xfId="29626" xr:uid="{00000000-0005-0000-0000-000047060000}"/>
    <cellStyle name="Calculation 3 2 2 6" xfId="27798" xr:uid="{00000000-0005-0000-0000-000048060000}"/>
    <cellStyle name="Calculation 3 2 2 6 2" xfId="28786" xr:uid="{00000000-0005-0000-0000-000049060000}"/>
    <cellStyle name="Calculation 3 2 2 6 2 2" xfId="30746" xr:uid="{00000000-0005-0000-0000-00004A060000}"/>
    <cellStyle name="Calculation 3 2 2 6 3" xfId="29766" xr:uid="{00000000-0005-0000-0000-00004B060000}"/>
    <cellStyle name="Calculation 3 2 2 7" xfId="28352" xr:uid="{00000000-0005-0000-0000-00004C060000}"/>
    <cellStyle name="Calculation 3 2 2 7 2" xfId="30312" xr:uid="{00000000-0005-0000-0000-00004D060000}"/>
    <cellStyle name="Calculation 3 2 2 8" xfId="29332" xr:uid="{00000000-0005-0000-0000-00004E060000}"/>
    <cellStyle name="Calculation 3 2 2 9" xfId="31292" xr:uid="{00000000-0005-0000-0000-00004F060000}"/>
    <cellStyle name="Calculation 3 2 3" xfId="27373" xr:uid="{00000000-0005-0000-0000-000050060000}"/>
    <cellStyle name="Calculation 3 2 3 2" xfId="27484" xr:uid="{00000000-0005-0000-0000-000051060000}"/>
    <cellStyle name="Calculation 3 2 3 2 2" xfId="27950" xr:uid="{00000000-0005-0000-0000-000052060000}"/>
    <cellStyle name="Calculation 3 2 3 2 2 2" xfId="28937" xr:uid="{00000000-0005-0000-0000-000053060000}"/>
    <cellStyle name="Calculation 3 2 3 2 2 2 2" xfId="30897" xr:uid="{00000000-0005-0000-0000-000054060000}"/>
    <cellStyle name="Calculation 3 2 3 2 2 3" xfId="29917" xr:uid="{00000000-0005-0000-0000-000055060000}"/>
    <cellStyle name="Calculation 3 2 3 2 3" xfId="28472" xr:uid="{00000000-0005-0000-0000-000056060000}"/>
    <cellStyle name="Calculation 3 2 3 2 3 2" xfId="30432" xr:uid="{00000000-0005-0000-0000-000057060000}"/>
    <cellStyle name="Calculation 3 2 3 2 4" xfId="29452" xr:uid="{00000000-0005-0000-0000-000058060000}"/>
    <cellStyle name="Calculation 3 2 3 3" xfId="27582" xr:uid="{00000000-0005-0000-0000-000059060000}"/>
    <cellStyle name="Calculation 3 2 3 3 2" xfId="28048" xr:uid="{00000000-0005-0000-0000-00005A060000}"/>
    <cellStyle name="Calculation 3 2 3 3 2 2" xfId="29035" xr:uid="{00000000-0005-0000-0000-00005B060000}"/>
    <cellStyle name="Calculation 3 2 3 3 2 2 2" xfId="30995" xr:uid="{00000000-0005-0000-0000-00005C060000}"/>
    <cellStyle name="Calculation 3 2 3 3 2 3" xfId="30015" xr:uid="{00000000-0005-0000-0000-00005D060000}"/>
    <cellStyle name="Calculation 3 2 3 3 3" xfId="27821" xr:uid="{00000000-0005-0000-0000-00005E060000}"/>
    <cellStyle name="Calculation 3 2 3 3 3 2" xfId="28808" xr:uid="{00000000-0005-0000-0000-00005F060000}"/>
    <cellStyle name="Calculation 3 2 3 3 3 2 2" xfId="30768" xr:uid="{00000000-0005-0000-0000-000060060000}"/>
    <cellStyle name="Calculation 3 2 3 3 3 3" xfId="29788" xr:uid="{00000000-0005-0000-0000-000061060000}"/>
    <cellStyle name="Calculation 3 2 3 3 4" xfId="28570" xr:uid="{00000000-0005-0000-0000-000062060000}"/>
    <cellStyle name="Calculation 3 2 3 3 4 2" xfId="30530" xr:uid="{00000000-0005-0000-0000-000063060000}"/>
    <cellStyle name="Calculation 3 2 3 3 5" xfId="29550" xr:uid="{00000000-0005-0000-0000-000064060000}"/>
    <cellStyle name="Calculation 3 2 3 4" xfId="27680" xr:uid="{00000000-0005-0000-0000-000065060000}"/>
    <cellStyle name="Calculation 3 2 3 4 2" xfId="28146" xr:uid="{00000000-0005-0000-0000-000066060000}"/>
    <cellStyle name="Calculation 3 2 3 4 2 2" xfId="29133" xr:uid="{00000000-0005-0000-0000-000067060000}"/>
    <cellStyle name="Calculation 3 2 3 4 2 2 2" xfId="31093" xr:uid="{00000000-0005-0000-0000-000068060000}"/>
    <cellStyle name="Calculation 3 2 3 4 2 3" xfId="30113" xr:uid="{00000000-0005-0000-0000-000069060000}"/>
    <cellStyle name="Calculation 3 2 3 4 3" xfId="28281" xr:uid="{00000000-0005-0000-0000-00006A060000}"/>
    <cellStyle name="Calculation 3 2 3 4 3 2" xfId="29268" xr:uid="{00000000-0005-0000-0000-00006B060000}"/>
    <cellStyle name="Calculation 3 2 3 4 3 2 2" xfId="31228" xr:uid="{00000000-0005-0000-0000-00006C060000}"/>
    <cellStyle name="Calculation 3 2 3 4 3 3" xfId="30248" xr:uid="{00000000-0005-0000-0000-00006D060000}"/>
    <cellStyle name="Calculation 3 2 3 4 4" xfId="28668" xr:uid="{00000000-0005-0000-0000-00006E060000}"/>
    <cellStyle name="Calculation 3 2 3 4 4 2" xfId="30628" xr:uid="{00000000-0005-0000-0000-00006F060000}"/>
    <cellStyle name="Calculation 3 2 3 4 5" xfId="29648" xr:uid="{00000000-0005-0000-0000-000070060000}"/>
    <cellStyle name="Calculation 3 2 3 5" xfId="27852" xr:uid="{00000000-0005-0000-0000-000071060000}"/>
    <cellStyle name="Calculation 3 2 3 5 2" xfId="28839" xr:uid="{00000000-0005-0000-0000-000072060000}"/>
    <cellStyle name="Calculation 3 2 3 5 2 2" xfId="30799" xr:uid="{00000000-0005-0000-0000-000073060000}"/>
    <cellStyle name="Calculation 3 2 3 5 3" xfId="29819" xr:uid="{00000000-0005-0000-0000-000074060000}"/>
    <cellStyle name="Calculation 3 2 3 6" xfId="28374" xr:uid="{00000000-0005-0000-0000-000075060000}"/>
    <cellStyle name="Calculation 3 2 3 6 2" xfId="30334" xr:uid="{00000000-0005-0000-0000-000076060000}"/>
    <cellStyle name="Calculation 3 2 3 7" xfId="29354" xr:uid="{00000000-0005-0000-0000-000077060000}"/>
    <cellStyle name="Calculation 3 2 3 8" xfId="31314" xr:uid="{00000000-0005-0000-0000-000078060000}"/>
    <cellStyle name="Calculation 3 2 4" xfId="27440" xr:uid="{00000000-0005-0000-0000-000079060000}"/>
    <cellStyle name="Calculation 3 2 4 2" xfId="27906" xr:uid="{00000000-0005-0000-0000-00007A060000}"/>
    <cellStyle name="Calculation 3 2 4 2 2" xfId="28893" xr:uid="{00000000-0005-0000-0000-00007B060000}"/>
    <cellStyle name="Calculation 3 2 4 2 2 2" xfId="30853" xr:uid="{00000000-0005-0000-0000-00007C060000}"/>
    <cellStyle name="Calculation 3 2 4 2 3" xfId="29873" xr:uid="{00000000-0005-0000-0000-00007D060000}"/>
    <cellStyle name="Calculation 3 2 4 3" xfId="28428" xr:uid="{00000000-0005-0000-0000-00007E060000}"/>
    <cellStyle name="Calculation 3 2 4 3 2" xfId="30388" xr:uid="{00000000-0005-0000-0000-00007F060000}"/>
    <cellStyle name="Calculation 3 2 4 4" xfId="29408" xr:uid="{00000000-0005-0000-0000-000080060000}"/>
    <cellStyle name="Calculation 3 2 5" xfId="27538" xr:uid="{00000000-0005-0000-0000-000081060000}"/>
    <cellStyle name="Calculation 3 2 5 2" xfId="28004" xr:uid="{00000000-0005-0000-0000-000082060000}"/>
    <cellStyle name="Calculation 3 2 5 2 2" xfId="28991" xr:uid="{00000000-0005-0000-0000-000083060000}"/>
    <cellStyle name="Calculation 3 2 5 2 2 2" xfId="30951" xr:uid="{00000000-0005-0000-0000-000084060000}"/>
    <cellStyle name="Calculation 3 2 5 2 3" xfId="29971" xr:uid="{00000000-0005-0000-0000-000085060000}"/>
    <cellStyle name="Calculation 3 2 5 3" xfId="27743" xr:uid="{00000000-0005-0000-0000-000086060000}"/>
    <cellStyle name="Calculation 3 2 5 3 2" xfId="28731" xr:uid="{00000000-0005-0000-0000-000087060000}"/>
    <cellStyle name="Calculation 3 2 5 3 2 2" xfId="30691" xr:uid="{00000000-0005-0000-0000-000088060000}"/>
    <cellStyle name="Calculation 3 2 5 3 3" xfId="29711" xr:uid="{00000000-0005-0000-0000-000089060000}"/>
    <cellStyle name="Calculation 3 2 5 4" xfId="28526" xr:uid="{00000000-0005-0000-0000-00008A060000}"/>
    <cellStyle name="Calculation 3 2 5 4 2" xfId="30486" xr:uid="{00000000-0005-0000-0000-00008B060000}"/>
    <cellStyle name="Calculation 3 2 5 5" xfId="29506" xr:uid="{00000000-0005-0000-0000-00008C060000}"/>
    <cellStyle name="Calculation 3 2 6" xfId="27636" xr:uid="{00000000-0005-0000-0000-00008D060000}"/>
    <cellStyle name="Calculation 3 2 6 2" xfId="28102" xr:uid="{00000000-0005-0000-0000-00008E060000}"/>
    <cellStyle name="Calculation 3 2 6 2 2" xfId="29089" xr:uid="{00000000-0005-0000-0000-00008F060000}"/>
    <cellStyle name="Calculation 3 2 6 2 2 2" xfId="31049" xr:uid="{00000000-0005-0000-0000-000090060000}"/>
    <cellStyle name="Calculation 3 2 6 2 3" xfId="30069" xr:uid="{00000000-0005-0000-0000-000091060000}"/>
    <cellStyle name="Calculation 3 2 6 3" xfId="28253" xr:uid="{00000000-0005-0000-0000-000092060000}"/>
    <cellStyle name="Calculation 3 2 6 3 2" xfId="29240" xr:uid="{00000000-0005-0000-0000-000093060000}"/>
    <cellStyle name="Calculation 3 2 6 3 2 2" xfId="31200" xr:uid="{00000000-0005-0000-0000-000094060000}"/>
    <cellStyle name="Calculation 3 2 6 3 3" xfId="30220" xr:uid="{00000000-0005-0000-0000-000095060000}"/>
    <cellStyle name="Calculation 3 2 6 4" xfId="28624" xr:uid="{00000000-0005-0000-0000-000096060000}"/>
    <cellStyle name="Calculation 3 2 6 4 2" xfId="30584" xr:uid="{00000000-0005-0000-0000-000097060000}"/>
    <cellStyle name="Calculation 3 2 6 5" xfId="29604" xr:uid="{00000000-0005-0000-0000-000098060000}"/>
    <cellStyle name="Calculation 3 2 7" xfId="27776" xr:uid="{00000000-0005-0000-0000-000099060000}"/>
    <cellStyle name="Calculation 3 2 7 2" xfId="28764" xr:uid="{00000000-0005-0000-0000-00009A060000}"/>
    <cellStyle name="Calculation 3 2 7 2 2" xfId="30724" xr:uid="{00000000-0005-0000-0000-00009B060000}"/>
    <cellStyle name="Calculation 3 2 7 3" xfId="29744" xr:uid="{00000000-0005-0000-0000-00009C060000}"/>
    <cellStyle name="Calculation 3 2 8" xfId="28330" xr:uid="{00000000-0005-0000-0000-00009D060000}"/>
    <cellStyle name="Calculation 3 2 8 2" xfId="30290" xr:uid="{00000000-0005-0000-0000-00009E060000}"/>
    <cellStyle name="Calculation 3 2 9" xfId="29310" xr:uid="{00000000-0005-0000-0000-00009F060000}"/>
    <cellStyle name="Calculation 3 3" xfId="14943" xr:uid="{00000000-0005-0000-0000-0000A0060000}"/>
    <cellStyle name="Calculation 3 3 2" xfId="27363" xr:uid="{00000000-0005-0000-0000-0000A1060000}"/>
    <cellStyle name="Calculation 3 3 2 2" xfId="27474" xr:uid="{00000000-0005-0000-0000-0000A2060000}"/>
    <cellStyle name="Calculation 3 3 2 2 2" xfId="27940" xr:uid="{00000000-0005-0000-0000-0000A3060000}"/>
    <cellStyle name="Calculation 3 3 2 2 2 2" xfId="28927" xr:uid="{00000000-0005-0000-0000-0000A4060000}"/>
    <cellStyle name="Calculation 3 3 2 2 2 2 2" xfId="30887" xr:uid="{00000000-0005-0000-0000-0000A5060000}"/>
    <cellStyle name="Calculation 3 3 2 2 2 3" xfId="29907" xr:uid="{00000000-0005-0000-0000-0000A6060000}"/>
    <cellStyle name="Calculation 3 3 2 2 3" xfId="28462" xr:uid="{00000000-0005-0000-0000-0000A7060000}"/>
    <cellStyle name="Calculation 3 3 2 2 3 2" xfId="30422" xr:uid="{00000000-0005-0000-0000-0000A8060000}"/>
    <cellStyle name="Calculation 3 3 2 2 4" xfId="29442" xr:uid="{00000000-0005-0000-0000-0000A9060000}"/>
    <cellStyle name="Calculation 3 3 2 3" xfId="27572" xr:uid="{00000000-0005-0000-0000-0000AA060000}"/>
    <cellStyle name="Calculation 3 3 2 3 2" xfId="28038" xr:uid="{00000000-0005-0000-0000-0000AB060000}"/>
    <cellStyle name="Calculation 3 3 2 3 2 2" xfId="29025" xr:uid="{00000000-0005-0000-0000-0000AC060000}"/>
    <cellStyle name="Calculation 3 3 2 3 2 2 2" xfId="30985" xr:uid="{00000000-0005-0000-0000-0000AD060000}"/>
    <cellStyle name="Calculation 3 3 2 3 2 3" xfId="30005" xr:uid="{00000000-0005-0000-0000-0000AE060000}"/>
    <cellStyle name="Calculation 3 3 2 3 3" xfId="27838" xr:uid="{00000000-0005-0000-0000-0000AF060000}"/>
    <cellStyle name="Calculation 3 3 2 3 3 2" xfId="28825" xr:uid="{00000000-0005-0000-0000-0000B0060000}"/>
    <cellStyle name="Calculation 3 3 2 3 3 2 2" xfId="30785" xr:uid="{00000000-0005-0000-0000-0000B1060000}"/>
    <cellStyle name="Calculation 3 3 2 3 3 3" xfId="29805" xr:uid="{00000000-0005-0000-0000-0000B2060000}"/>
    <cellStyle name="Calculation 3 3 2 3 4" xfId="28560" xr:uid="{00000000-0005-0000-0000-0000B3060000}"/>
    <cellStyle name="Calculation 3 3 2 3 4 2" xfId="30520" xr:uid="{00000000-0005-0000-0000-0000B4060000}"/>
    <cellStyle name="Calculation 3 3 2 3 5" xfId="29540" xr:uid="{00000000-0005-0000-0000-0000B5060000}"/>
    <cellStyle name="Calculation 3 3 2 4" xfId="27670" xr:uid="{00000000-0005-0000-0000-0000B6060000}"/>
    <cellStyle name="Calculation 3 3 2 4 2" xfId="28136" xr:uid="{00000000-0005-0000-0000-0000B7060000}"/>
    <cellStyle name="Calculation 3 3 2 4 2 2" xfId="29123" xr:uid="{00000000-0005-0000-0000-0000B8060000}"/>
    <cellStyle name="Calculation 3 3 2 4 2 2 2" xfId="31083" xr:uid="{00000000-0005-0000-0000-0000B9060000}"/>
    <cellStyle name="Calculation 3 3 2 4 2 3" xfId="30103" xr:uid="{00000000-0005-0000-0000-0000BA060000}"/>
    <cellStyle name="Calculation 3 3 2 4 3" xfId="28275" xr:uid="{00000000-0005-0000-0000-0000BB060000}"/>
    <cellStyle name="Calculation 3 3 2 4 3 2" xfId="29262" xr:uid="{00000000-0005-0000-0000-0000BC060000}"/>
    <cellStyle name="Calculation 3 3 2 4 3 2 2" xfId="31222" xr:uid="{00000000-0005-0000-0000-0000BD060000}"/>
    <cellStyle name="Calculation 3 3 2 4 3 3" xfId="30242" xr:uid="{00000000-0005-0000-0000-0000BE060000}"/>
    <cellStyle name="Calculation 3 3 2 4 4" xfId="28658" xr:uid="{00000000-0005-0000-0000-0000BF060000}"/>
    <cellStyle name="Calculation 3 3 2 4 4 2" xfId="30618" xr:uid="{00000000-0005-0000-0000-0000C0060000}"/>
    <cellStyle name="Calculation 3 3 2 4 5" xfId="29638" xr:uid="{00000000-0005-0000-0000-0000C1060000}"/>
    <cellStyle name="Calculation 3 3 2 5" xfId="27842" xr:uid="{00000000-0005-0000-0000-0000C2060000}"/>
    <cellStyle name="Calculation 3 3 2 5 2" xfId="28829" xr:uid="{00000000-0005-0000-0000-0000C3060000}"/>
    <cellStyle name="Calculation 3 3 2 5 2 2" xfId="30789" xr:uid="{00000000-0005-0000-0000-0000C4060000}"/>
    <cellStyle name="Calculation 3 3 2 5 3" xfId="29809" xr:uid="{00000000-0005-0000-0000-0000C5060000}"/>
    <cellStyle name="Calculation 3 3 2 6" xfId="28364" xr:uid="{00000000-0005-0000-0000-0000C6060000}"/>
    <cellStyle name="Calculation 3 3 2 6 2" xfId="30324" xr:uid="{00000000-0005-0000-0000-0000C7060000}"/>
    <cellStyle name="Calculation 3 3 2 7" xfId="29344" xr:uid="{00000000-0005-0000-0000-0000C8060000}"/>
    <cellStyle name="Calculation 3 3 2 8" xfId="31304" xr:uid="{00000000-0005-0000-0000-0000C9060000}"/>
    <cellStyle name="Calculation 3 3 3" xfId="27430" xr:uid="{00000000-0005-0000-0000-0000CA060000}"/>
    <cellStyle name="Calculation 3 3 3 2" xfId="27896" xr:uid="{00000000-0005-0000-0000-0000CB060000}"/>
    <cellStyle name="Calculation 3 3 3 2 2" xfId="28883" xr:uid="{00000000-0005-0000-0000-0000CC060000}"/>
    <cellStyle name="Calculation 3 3 3 2 2 2" xfId="30843" xr:uid="{00000000-0005-0000-0000-0000CD060000}"/>
    <cellStyle name="Calculation 3 3 3 2 3" xfId="29863" xr:uid="{00000000-0005-0000-0000-0000CE060000}"/>
    <cellStyle name="Calculation 3 3 3 3" xfId="28418" xr:uid="{00000000-0005-0000-0000-0000CF060000}"/>
    <cellStyle name="Calculation 3 3 3 3 2" xfId="30378" xr:uid="{00000000-0005-0000-0000-0000D0060000}"/>
    <cellStyle name="Calculation 3 3 3 4" xfId="29398" xr:uid="{00000000-0005-0000-0000-0000D1060000}"/>
    <cellStyle name="Calculation 3 3 4" xfId="27528" xr:uid="{00000000-0005-0000-0000-0000D2060000}"/>
    <cellStyle name="Calculation 3 3 4 2" xfId="27994" xr:uid="{00000000-0005-0000-0000-0000D3060000}"/>
    <cellStyle name="Calculation 3 3 4 2 2" xfId="28981" xr:uid="{00000000-0005-0000-0000-0000D4060000}"/>
    <cellStyle name="Calculation 3 3 4 2 2 2" xfId="30941" xr:uid="{00000000-0005-0000-0000-0000D5060000}"/>
    <cellStyle name="Calculation 3 3 4 2 3" xfId="29961" xr:uid="{00000000-0005-0000-0000-0000D6060000}"/>
    <cellStyle name="Calculation 3 3 4 3" xfId="27810" xr:uid="{00000000-0005-0000-0000-0000D7060000}"/>
    <cellStyle name="Calculation 3 3 4 3 2" xfId="28797" xr:uid="{00000000-0005-0000-0000-0000D8060000}"/>
    <cellStyle name="Calculation 3 3 4 3 2 2" xfId="30757" xr:uid="{00000000-0005-0000-0000-0000D9060000}"/>
    <cellStyle name="Calculation 3 3 4 3 3" xfId="29777" xr:uid="{00000000-0005-0000-0000-0000DA060000}"/>
    <cellStyle name="Calculation 3 3 4 4" xfId="28516" xr:uid="{00000000-0005-0000-0000-0000DB060000}"/>
    <cellStyle name="Calculation 3 3 4 4 2" xfId="30476" xr:uid="{00000000-0005-0000-0000-0000DC060000}"/>
    <cellStyle name="Calculation 3 3 4 5" xfId="29496" xr:uid="{00000000-0005-0000-0000-0000DD060000}"/>
    <cellStyle name="Calculation 3 3 5" xfId="27626" xr:uid="{00000000-0005-0000-0000-0000DE060000}"/>
    <cellStyle name="Calculation 3 3 5 2" xfId="28092" xr:uid="{00000000-0005-0000-0000-0000DF060000}"/>
    <cellStyle name="Calculation 3 3 5 2 2" xfId="29079" xr:uid="{00000000-0005-0000-0000-0000E0060000}"/>
    <cellStyle name="Calculation 3 3 5 2 2 2" xfId="31039" xr:uid="{00000000-0005-0000-0000-0000E1060000}"/>
    <cellStyle name="Calculation 3 3 5 2 3" xfId="30059" xr:uid="{00000000-0005-0000-0000-0000E2060000}"/>
    <cellStyle name="Calculation 3 3 5 3" xfId="27762" xr:uid="{00000000-0005-0000-0000-0000E3060000}"/>
    <cellStyle name="Calculation 3 3 5 3 2" xfId="28750" xr:uid="{00000000-0005-0000-0000-0000E4060000}"/>
    <cellStyle name="Calculation 3 3 5 3 2 2" xfId="30710" xr:uid="{00000000-0005-0000-0000-0000E5060000}"/>
    <cellStyle name="Calculation 3 3 5 3 3" xfId="29730" xr:uid="{00000000-0005-0000-0000-0000E6060000}"/>
    <cellStyle name="Calculation 3 3 5 4" xfId="28614" xr:uid="{00000000-0005-0000-0000-0000E7060000}"/>
    <cellStyle name="Calculation 3 3 5 4 2" xfId="30574" xr:uid="{00000000-0005-0000-0000-0000E8060000}"/>
    <cellStyle name="Calculation 3 3 5 5" xfId="29594" xr:uid="{00000000-0005-0000-0000-0000E9060000}"/>
    <cellStyle name="Calculation 3 3 6" xfId="27766" xr:uid="{00000000-0005-0000-0000-0000EA060000}"/>
    <cellStyle name="Calculation 3 3 6 2" xfId="28754" xr:uid="{00000000-0005-0000-0000-0000EB060000}"/>
    <cellStyle name="Calculation 3 3 6 2 2" xfId="30714" xr:uid="{00000000-0005-0000-0000-0000EC060000}"/>
    <cellStyle name="Calculation 3 3 6 3" xfId="29734" xr:uid="{00000000-0005-0000-0000-0000ED060000}"/>
    <cellStyle name="Calculation 3 3 7" xfId="28320" xr:uid="{00000000-0005-0000-0000-0000EE060000}"/>
    <cellStyle name="Calculation 3 3 7 2" xfId="30280" xr:uid="{00000000-0005-0000-0000-0000EF060000}"/>
    <cellStyle name="Calculation 3 3 8" xfId="29300" xr:uid="{00000000-0005-0000-0000-0000F0060000}"/>
    <cellStyle name="Calculation 3 3 9" xfId="31260" xr:uid="{00000000-0005-0000-0000-0000F1060000}"/>
    <cellStyle name="Calculation 3 4" xfId="15000" xr:uid="{00000000-0005-0000-0000-0000F2060000}"/>
    <cellStyle name="Calculation 3 4 2" xfId="27385" xr:uid="{00000000-0005-0000-0000-0000F3060000}"/>
    <cellStyle name="Calculation 3 4 2 2" xfId="27496" xr:uid="{00000000-0005-0000-0000-0000F4060000}"/>
    <cellStyle name="Calculation 3 4 2 2 2" xfId="27962" xr:uid="{00000000-0005-0000-0000-0000F5060000}"/>
    <cellStyle name="Calculation 3 4 2 2 2 2" xfId="28949" xr:uid="{00000000-0005-0000-0000-0000F6060000}"/>
    <cellStyle name="Calculation 3 4 2 2 2 2 2" xfId="30909" xr:uid="{00000000-0005-0000-0000-0000F7060000}"/>
    <cellStyle name="Calculation 3 4 2 2 2 3" xfId="29929" xr:uid="{00000000-0005-0000-0000-0000F8060000}"/>
    <cellStyle name="Calculation 3 4 2 2 3" xfId="28484" xr:uid="{00000000-0005-0000-0000-0000F9060000}"/>
    <cellStyle name="Calculation 3 4 2 2 3 2" xfId="30444" xr:uid="{00000000-0005-0000-0000-0000FA060000}"/>
    <cellStyle name="Calculation 3 4 2 2 4" xfId="29464" xr:uid="{00000000-0005-0000-0000-0000FB060000}"/>
    <cellStyle name="Calculation 3 4 2 3" xfId="27594" xr:uid="{00000000-0005-0000-0000-0000FC060000}"/>
    <cellStyle name="Calculation 3 4 2 3 2" xfId="28060" xr:uid="{00000000-0005-0000-0000-0000FD060000}"/>
    <cellStyle name="Calculation 3 4 2 3 2 2" xfId="29047" xr:uid="{00000000-0005-0000-0000-0000FE060000}"/>
    <cellStyle name="Calculation 3 4 2 3 2 2 2" xfId="31007" xr:uid="{00000000-0005-0000-0000-0000FF060000}"/>
    <cellStyle name="Calculation 3 4 2 3 2 3" xfId="30027" xr:uid="{00000000-0005-0000-0000-000000070000}"/>
    <cellStyle name="Calculation 3 4 2 3 3" xfId="27840" xr:uid="{00000000-0005-0000-0000-000001070000}"/>
    <cellStyle name="Calculation 3 4 2 3 3 2" xfId="28827" xr:uid="{00000000-0005-0000-0000-000002070000}"/>
    <cellStyle name="Calculation 3 4 2 3 3 2 2" xfId="30787" xr:uid="{00000000-0005-0000-0000-000003070000}"/>
    <cellStyle name="Calculation 3 4 2 3 3 3" xfId="29807" xr:uid="{00000000-0005-0000-0000-000004070000}"/>
    <cellStyle name="Calculation 3 4 2 3 4" xfId="28582" xr:uid="{00000000-0005-0000-0000-000005070000}"/>
    <cellStyle name="Calculation 3 4 2 3 4 2" xfId="30542" xr:uid="{00000000-0005-0000-0000-000006070000}"/>
    <cellStyle name="Calculation 3 4 2 3 5" xfId="29562" xr:uid="{00000000-0005-0000-0000-000007070000}"/>
    <cellStyle name="Calculation 3 4 2 4" xfId="27692" xr:uid="{00000000-0005-0000-0000-000008070000}"/>
    <cellStyle name="Calculation 3 4 2 4 2" xfId="28158" xr:uid="{00000000-0005-0000-0000-000009070000}"/>
    <cellStyle name="Calculation 3 4 2 4 2 2" xfId="29145" xr:uid="{00000000-0005-0000-0000-00000A070000}"/>
    <cellStyle name="Calculation 3 4 2 4 2 2 2" xfId="31105" xr:uid="{00000000-0005-0000-0000-00000B070000}"/>
    <cellStyle name="Calculation 3 4 2 4 2 3" xfId="30125" xr:uid="{00000000-0005-0000-0000-00000C070000}"/>
    <cellStyle name="Calculation 3 4 2 4 3" xfId="28289" xr:uid="{00000000-0005-0000-0000-00000D070000}"/>
    <cellStyle name="Calculation 3 4 2 4 3 2" xfId="29276" xr:uid="{00000000-0005-0000-0000-00000E070000}"/>
    <cellStyle name="Calculation 3 4 2 4 3 2 2" xfId="31236" xr:uid="{00000000-0005-0000-0000-00000F070000}"/>
    <cellStyle name="Calculation 3 4 2 4 3 3" xfId="30256" xr:uid="{00000000-0005-0000-0000-000010070000}"/>
    <cellStyle name="Calculation 3 4 2 4 4" xfId="28680" xr:uid="{00000000-0005-0000-0000-000011070000}"/>
    <cellStyle name="Calculation 3 4 2 4 4 2" xfId="30640" xr:uid="{00000000-0005-0000-0000-000012070000}"/>
    <cellStyle name="Calculation 3 4 2 4 5" xfId="29660" xr:uid="{00000000-0005-0000-0000-000013070000}"/>
    <cellStyle name="Calculation 3 4 2 5" xfId="27864" xr:uid="{00000000-0005-0000-0000-000014070000}"/>
    <cellStyle name="Calculation 3 4 2 5 2" xfId="28851" xr:uid="{00000000-0005-0000-0000-000015070000}"/>
    <cellStyle name="Calculation 3 4 2 5 2 2" xfId="30811" xr:uid="{00000000-0005-0000-0000-000016070000}"/>
    <cellStyle name="Calculation 3 4 2 5 3" xfId="29831" xr:uid="{00000000-0005-0000-0000-000017070000}"/>
    <cellStyle name="Calculation 3 4 2 6" xfId="28386" xr:uid="{00000000-0005-0000-0000-000018070000}"/>
    <cellStyle name="Calculation 3 4 2 6 2" xfId="30346" xr:uid="{00000000-0005-0000-0000-000019070000}"/>
    <cellStyle name="Calculation 3 4 2 7" xfId="29366" xr:uid="{00000000-0005-0000-0000-00001A070000}"/>
    <cellStyle name="Calculation 3 4 2 8" xfId="31326" xr:uid="{00000000-0005-0000-0000-00001B070000}"/>
    <cellStyle name="Calculation 3 4 3" xfId="27452" xr:uid="{00000000-0005-0000-0000-00001C070000}"/>
    <cellStyle name="Calculation 3 4 3 2" xfId="27918" xr:uid="{00000000-0005-0000-0000-00001D070000}"/>
    <cellStyle name="Calculation 3 4 3 2 2" xfId="28905" xr:uid="{00000000-0005-0000-0000-00001E070000}"/>
    <cellStyle name="Calculation 3 4 3 2 2 2" xfId="30865" xr:uid="{00000000-0005-0000-0000-00001F070000}"/>
    <cellStyle name="Calculation 3 4 3 2 3" xfId="29885" xr:uid="{00000000-0005-0000-0000-000020070000}"/>
    <cellStyle name="Calculation 3 4 3 3" xfId="28440" xr:uid="{00000000-0005-0000-0000-000021070000}"/>
    <cellStyle name="Calculation 3 4 3 3 2" xfId="30400" xr:uid="{00000000-0005-0000-0000-000022070000}"/>
    <cellStyle name="Calculation 3 4 3 4" xfId="29420" xr:uid="{00000000-0005-0000-0000-000023070000}"/>
    <cellStyle name="Calculation 3 4 4" xfId="27550" xr:uid="{00000000-0005-0000-0000-000024070000}"/>
    <cellStyle name="Calculation 3 4 4 2" xfId="28016" xr:uid="{00000000-0005-0000-0000-000025070000}"/>
    <cellStyle name="Calculation 3 4 4 2 2" xfId="29003" xr:uid="{00000000-0005-0000-0000-000026070000}"/>
    <cellStyle name="Calculation 3 4 4 2 2 2" xfId="30963" xr:uid="{00000000-0005-0000-0000-000027070000}"/>
    <cellStyle name="Calculation 3 4 4 2 3" xfId="29983" xr:uid="{00000000-0005-0000-0000-000028070000}"/>
    <cellStyle name="Calculation 3 4 4 3" xfId="27815" xr:uid="{00000000-0005-0000-0000-000029070000}"/>
    <cellStyle name="Calculation 3 4 4 3 2" xfId="28802" xr:uid="{00000000-0005-0000-0000-00002A070000}"/>
    <cellStyle name="Calculation 3 4 4 3 2 2" xfId="30762" xr:uid="{00000000-0005-0000-0000-00002B070000}"/>
    <cellStyle name="Calculation 3 4 4 3 3" xfId="29782" xr:uid="{00000000-0005-0000-0000-00002C070000}"/>
    <cellStyle name="Calculation 3 4 4 4" xfId="28538" xr:uid="{00000000-0005-0000-0000-00002D070000}"/>
    <cellStyle name="Calculation 3 4 4 4 2" xfId="30498" xr:uid="{00000000-0005-0000-0000-00002E070000}"/>
    <cellStyle name="Calculation 3 4 4 5" xfId="29518" xr:uid="{00000000-0005-0000-0000-00002F070000}"/>
    <cellStyle name="Calculation 3 4 5" xfId="27648" xr:uid="{00000000-0005-0000-0000-000030070000}"/>
    <cellStyle name="Calculation 3 4 5 2" xfId="28114" xr:uid="{00000000-0005-0000-0000-000031070000}"/>
    <cellStyle name="Calculation 3 4 5 2 2" xfId="29101" xr:uid="{00000000-0005-0000-0000-000032070000}"/>
    <cellStyle name="Calculation 3 4 5 2 2 2" xfId="31061" xr:uid="{00000000-0005-0000-0000-000033070000}"/>
    <cellStyle name="Calculation 3 4 5 2 3" xfId="30081" xr:uid="{00000000-0005-0000-0000-000034070000}"/>
    <cellStyle name="Calculation 3 4 5 3" xfId="28261" xr:uid="{00000000-0005-0000-0000-000035070000}"/>
    <cellStyle name="Calculation 3 4 5 3 2" xfId="29248" xr:uid="{00000000-0005-0000-0000-000036070000}"/>
    <cellStyle name="Calculation 3 4 5 3 2 2" xfId="31208" xr:uid="{00000000-0005-0000-0000-000037070000}"/>
    <cellStyle name="Calculation 3 4 5 3 3" xfId="30228" xr:uid="{00000000-0005-0000-0000-000038070000}"/>
    <cellStyle name="Calculation 3 4 5 4" xfId="28636" xr:uid="{00000000-0005-0000-0000-000039070000}"/>
    <cellStyle name="Calculation 3 4 5 4 2" xfId="30596" xr:uid="{00000000-0005-0000-0000-00003A070000}"/>
    <cellStyle name="Calculation 3 4 5 5" xfId="29616" xr:uid="{00000000-0005-0000-0000-00003B070000}"/>
    <cellStyle name="Calculation 3 4 6" xfId="27788" xr:uid="{00000000-0005-0000-0000-00003C070000}"/>
    <cellStyle name="Calculation 3 4 6 2" xfId="28776" xr:uid="{00000000-0005-0000-0000-00003D070000}"/>
    <cellStyle name="Calculation 3 4 6 2 2" xfId="30736" xr:uid="{00000000-0005-0000-0000-00003E070000}"/>
    <cellStyle name="Calculation 3 4 6 3" xfId="29756" xr:uid="{00000000-0005-0000-0000-00003F070000}"/>
    <cellStyle name="Calculation 3 4 7" xfId="28342" xr:uid="{00000000-0005-0000-0000-000040070000}"/>
    <cellStyle name="Calculation 3 4 7 2" xfId="30302" xr:uid="{00000000-0005-0000-0000-000041070000}"/>
    <cellStyle name="Calculation 3 4 8" xfId="29322" xr:uid="{00000000-0005-0000-0000-000042070000}"/>
    <cellStyle name="Calculation 3 4 9" xfId="31282" xr:uid="{00000000-0005-0000-0000-000043070000}"/>
    <cellStyle name="Calculation 3 5" xfId="27420" xr:uid="{00000000-0005-0000-0000-000044070000}"/>
    <cellStyle name="Calculation 3 5 2" xfId="27886" xr:uid="{00000000-0005-0000-0000-000045070000}"/>
    <cellStyle name="Calculation 3 5 2 2" xfId="28873" xr:uid="{00000000-0005-0000-0000-000046070000}"/>
    <cellStyle name="Calculation 3 5 2 2 2" xfId="30833" xr:uid="{00000000-0005-0000-0000-000047070000}"/>
    <cellStyle name="Calculation 3 5 2 3" xfId="29853" xr:uid="{00000000-0005-0000-0000-000048070000}"/>
    <cellStyle name="Calculation 3 5 3" xfId="28408" xr:uid="{00000000-0005-0000-0000-000049070000}"/>
    <cellStyle name="Calculation 3 5 3 2" xfId="30368" xr:uid="{00000000-0005-0000-0000-00004A070000}"/>
    <cellStyle name="Calculation 3 5 4" xfId="29388" xr:uid="{00000000-0005-0000-0000-00004B070000}"/>
    <cellStyle name="Calculation 3 6" xfId="27518" xr:uid="{00000000-0005-0000-0000-00004C070000}"/>
    <cellStyle name="Calculation 3 6 2" xfId="27984" xr:uid="{00000000-0005-0000-0000-00004D070000}"/>
    <cellStyle name="Calculation 3 6 2 2" xfId="28971" xr:uid="{00000000-0005-0000-0000-00004E070000}"/>
    <cellStyle name="Calculation 3 6 2 2 2" xfId="30931" xr:uid="{00000000-0005-0000-0000-00004F070000}"/>
    <cellStyle name="Calculation 3 6 2 3" xfId="29951" xr:uid="{00000000-0005-0000-0000-000050070000}"/>
    <cellStyle name="Calculation 3 6 3" xfId="27808" xr:uid="{00000000-0005-0000-0000-000051070000}"/>
    <cellStyle name="Calculation 3 6 3 2" xfId="28795" xr:uid="{00000000-0005-0000-0000-000052070000}"/>
    <cellStyle name="Calculation 3 6 3 2 2" xfId="30755" xr:uid="{00000000-0005-0000-0000-000053070000}"/>
    <cellStyle name="Calculation 3 6 3 3" xfId="29775" xr:uid="{00000000-0005-0000-0000-000054070000}"/>
    <cellStyle name="Calculation 3 6 4" xfId="28506" xr:uid="{00000000-0005-0000-0000-000055070000}"/>
    <cellStyle name="Calculation 3 6 4 2" xfId="30466" xr:uid="{00000000-0005-0000-0000-000056070000}"/>
    <cellStyle name="Calculation 3 6 5" xfId="29486" xr:uid="{00000000-0005-0000-0000-000057070000}"/>
    <cellStyle name="Calculation 3 7" xfId="27616" xr:uid="{00000000-0005-0000-0000-000058070000}"/>
    <cellStyle name="Calculation 3 7 2" xfId="28082" xr:uid="{00000000-0005-0000-0000-000059070000}"/>
    <cellStyle name="Calculation 3 7 2 2" xfId="29069" xr:uid="{00000000-0005-0000-0000-00005A070000}"/>
    <cellStyle name="Calculation 3 7 2 2 2" xfId="31029" xr:uid="{00000000-0005-0000-0000-00005B070000}"/>
    <cellStyle name="Calculation 3 7 2 3" xfId="30049" xr:uid="{00000000-0005-0000-0000-00005C070000}"/>
    <cellStyle name="Calculation 3 7 3" xfId="27828" xr:uid="{00000000-0005-0000-0000-00005D070000}"/>
    <cellStyle name="Calculation 3 7 3 2" xfId="28815" xr:uid="{00000000-0005-0000-0000-00005E070000}"/>
    <cellStyle name="Calculation 3 7 3 2 2" xfId="30775" xr:uid="{00000000-0005-0000-0000-00005F070000}"/>
    <cellStyle name="Calculation 3 7 3 3" xfId="29795" xr:uid="{00000000-0005-0000-0000-000060070000}"/>
    <cellStyle name="Calculation 3 7 4" xfId="28604" xr:uid="{00000000-0005-0000-0000-000061070000}"/>
    <cellStyle name="Calculation 3 7 4 2" xfId="30564" xr:uid="{00000000-0005-0000-0000-000062070000}"/>
    <cellStyle name="Calculation 3 7 5" xfId="29584" xr:uid="{00000000-0005-0000-0000-000063070000}"/>
    <cellStyle name="Calculation 3 8" xfId="27715" xr:uid="{00000000-0005-0000-0000-000064070000}"/>
    <cellStyle name="Calculation 3 8 2" xfId="28703" xr:uid="{00000000-0005-0000-0000-000065070000}"/>
    <cellStyle name="Calculation 3 8 2 2" xfId="30663" xr:uid="{00000000-0005-0000-0000-000066070000}"/>
    <cellStyle name="Calculation 3 8 3" xfId="29683" xr:uid="{00000000-0005-0000-0000-000067070000}"/>
    <cellStyle name="Calculation 3 9" xfId="28310" xr:uid="{00000000-0005-0000-0000-000068070000}"/>
    <cellStyle name="Calculation 3 9 2" xfId="30270" xr:uid="{00000000-0005-0000-0000-000069070000}"/>
    <cellStyle name="Calculation 4" xfId="2553" xr:uid="{00000000-0005-0000-0000-00006A070000}"/>
    <cellStyle name="Calculation 5" xfId="2554" xr:uid="{00000000-0005-0000-0000-00006B070000}"/>
    <cellStyle name="Calculation 6" xfId="2555" xr:uid="{00000000-0005-0000-0000-00006C070000}"/>
    <cellStyle name="Calculation 7" xfId="2556" xr:uid="{00000000-0005-0000-0000-00006D070000}"/>
    <cellStyle name="Calculation 8" xfId="2557" xr:uid="{00000000-0005-0000-0000-00006E070000}"/>
    <cellStyle name="Calculation 9" xfId="2558" xr:uid="{00000000-0005-0000-0000-00006F070000}"/>
    <cellStyle name="Check Cell" xfId="18" builtinId="23" customBuiltin="1"/>
    <cellStyle name="Check Cell 10" xfId="2559" xr:uid="{00000000-0005-0000-0000-000071070000}"/>
    <cellStyle name="Check Cell 11" xfId="2560" xr:uid="{00000000-0005-0000-0000-000072070000}"/>
    <cellStyle name="Check Cell 12" xfId="2561" xr:uid="{00000000-0005-0000-0000-000073070000}"/>
    <cellStyle name="Check Cell 13" xfId="2562" xr:uid="{00000000-0005-0000-0000-000074070000}"/>
    <cellStyle name="Check Cell 14" xfId="2563" xr:uid="{00000000-0005-0000-0000-000075070000}"/>
    <cellStyle name="Check Cell 15" xfId="2564" xr:uid="{00000000-0005-0000-0000-000076070000}"/>
    <cellStyle name="Check Cell 16" xfId="2565" xr:uid="{00000000-0005-0000-0000-000077070000}"/>
    <cellStyle name="Check Cell 17" xfId="2566" xr:uid="{00000000-0005-0000-0000-000078070000}"/>
    <cellStyle name="Check Cell 18" xfId="2567" xr:uid="{00000000-0005-0000-0000-000079070000}"/>
    <cellStyle name="Check Cell 19" xfId="2568" xr:uid="{00000000-0005-0000-0000-00007A070000}"/>
    <cellStyle name="Check Cell 2" xfId="1578" xr:uid="{00000000-0005-0000-0000-00007B070000}"/>
    <cellStyle name="Check Cell 2 10" xfId="2569" xr:uid="{00000000-0005-0000-0000-00007C070000}"/>
    <cellStyle name="Check Cell 2 11" xfId="2570" xr:uid="{00000000-0005-0000-0000-00007D070000}"/>
    <cellStyle name="Check Cell 2 12" xfId="2571" xr:uid="{00000000-0005-0000-0000-00007E070000}"/>
    <cellStyle name="Check Cell 2 13" xfId="2572" xr:uid="{00000000-0005-0000-0000-00007F070000}"/>
    <cellStyle name="Check Cell 2 14" xfId="2573" xr:uid="{00000000-0005-0000-0000-000080070000}"/>
    <cellStyle name="Check Cell 2 15" xfId="2574" xr:uid="{00000000-0005-0000-0000-000081070000}"/>
    <cellStyle name="Check Cell 2 16" xfId="15352" xr:uid="{00000000-0005-0000-0000-000082070000}"/>
    <cellStyle name="Check Cell 2 2" xfId="2575" xr:uid="{00000000-0005-0000-0000-000083070000}"/>
    <cellStyle name="Check Cell 2 3" xfId="2576" xr:uid="{00000000-0005-0000-0000-000084070000}"/>
    <cellStyle name="Check Cell 2 4" xfId="2577" xr:uid="{00000000-0005-0000-0000-000085070000}"/>
    <cellStyle name="Check Cell 2 5" xfId="2578" xr:uid="{00000000-0005-0000-0000-000086070000}"/>
    <cellStyle name="Check Cell 2 6" xfId="2579" xr:uid="{00000000-0005-0000-0000-000087070000}"/>
    <cellStyle name="Check Cell 2 7" xfId="2580" xr:uid="{00000000-0005-0000-0000-000088070000}"/>
    <cellStyle name="Check Cell 2 8" xfId="2581" xr:uid="{00000000-0005-0000-0000-000089070000}"/>
    <cellStyle name="Check Cell 2 9" xfId="2582" xr:uid="{00000000-0005-0000-0000-00008A070000}"/>
    <cellStyle name="Check Cell 20" xfId="2583" xr:uid="{00000000-0005-0000-0000-00008B070000}"/>
    <cellStyle name="Check Cell 21" xfId="2584" xr:uid="{00000000-0005-0000-0000-00008C070000}"/>
    <cellStyle name="Check Cell 22" xfId="2585" xr:uid="{00000000-0005-0000-0000-00008D070000}"/>
    <cellStyle name="Check Cell 23" xfId="2586" xr:uid="{00000000-0005-0000-0000-00008E070000}"/>
    <cellStyle name="Check Cell 24" xfId="2587" xr:uid="{00000000-0005-0000-0000-00008F070000}"/>
    <cellStyle name="Check Cell 3" xfId="1579" xr:uid="{00000000-0005-0000-0000-000090070000}"/>
    <cellStyle name="Check Cell 3 2" xfId="15056" xr:uid="{00000000-0005-0000-0000-000091070000}"/>
    <cellStyle name="Check Cell 4" xfId="2588" xr:uid="{00000000-0005-0000-0000-000092070000}"/>
    <cellStyle name="Check Cell 5" xfId="2589" xr:uid="{00000000-0005-0000-0000-000093070000}"/>
    <cellStyle name="Check Cell 6" xfId="2590" xr:uid="{00000000-0005-0000-0000-000094070000}"/>
    <cellStyle name="Check Cell 7" xfId="2591" xr:uid="{00000000-0005-0000-0000-000095070000}"/>
    <cellStyle name="Check Cell 8" xfId="2592" xr:uid="{00000000-0005-0000-0000-000096070000}"/>
    <cellStyle name="Check Cell 9" xfId="2593" xr:uid="{00000000-0005-0000-0000-000097070000}"/>
    <cellStyle name="Comma 2" xfId="51" xr:uid="{00000000-0005-0000-0000-000098070000}"/>
    <cellStyle name="Comma 2 2" xfId="14957" xr:uid="{00000000-0005-0000-0000-000099070000}"/>
    <cellStyle name="Comma 2 3" xfId="14941" xr:uid="{00000000-0005-0000-0000-00009A070000}"/>
    <cellStyle name="Comma 2 4" xfId="1523" xr:uid="{00000000-0005-0000-0000-00009B070000}"/>
    <cellStyle name="Comma 2 5" xfId="27407" xr:uid="{00000000-0005-0000-0000-00009C070000}"/>
    <cellStyle name="Comma 2 6" xfId="28308" xr:uid="{00000000-0005-0000-0000-00009D070000}"/>
    <cellStyle name="Comma 3" xfId="47" xr:uid="{00000000-0005-0000-0000-00009E070000}"/>
    <cellStyle name="Comma 3 2" xfId="15017" xr:uid="{00000000-0005-0000-0000-00009F070000}"/>
    <cellStyle name="Comma 3 3" xfId="1525" xr:uid="{00000000-0005-0000-0000-0000A0070000}"/>
    <cellStyle name="Comma 4" xfId="27412" xr:uid="{00000000-0005-0000-0000-0000A1070000}"/>
    <cellStyle name="Currency 2" xfId="50" xr:uid="{00000000-0005-0000-0000-0000A2070000}"/>
    <cellStyle name="Explanatory Text" xfId="21" builtinId="53" customBuiltin="1"/>
    <cellStyle name="Explanatory Text 10" xfId="2594" xr:uid="{00000000-0005-0000-0000-0000A4070000}"/>
    <cellStyle name="Explanatory Text 11" xfId="2595" xr:uid="{00000000-0005-0000-0000-0000A5070000}"/>
    <cellStyle name="Explanatory Text 12" xfId="2596" xr:uid="{00000000-0005-0000-0000-0000A6070000}"/>
    <cellStyle name="Explanatory Text 13" xfId="2597" xr:uid="{00000000-0005-0000-0000-0000A7070000}"/>
    <cellStyle name="Explanatory Text 14" xfId="2598" xr:uid="{00000000-0005-0000-0000-0000A8070000}"/>
    <cellStyle name="Explanatory Text 15" xfId="2599" xr:uid="{00000000-0005-0000-0000-0000A9070000}"/>
    <cellStyle name="Explanatory Text 16" xfId="2600" xr:uid="{00000000-0005-0000-0000-0000AA070000}"/>
    <cellStyle name="Explanatory Text 17" xfId="2601" xr:uid="{00000000-0005-0000-0000-0000AB070000}"/>
    <cellStyle name="Explanatory Text 18" xfId="2602" xr:uid="{00000000-0005-0000-0000-0000AC070000}"/>
    <cellStyle name="Explanatory Text 19" xfId="2603" xr:uid="{00000000-0005-0000-0000-0000AD070000}"/>
    <cellStyle name="Explanatory Text 2" xfId="1580" xr:uid="{00000000-0005-0000-0000-0000AE070000}"/>
    <cellStyle name="Explanatory Text 2 10" xfId="2604" xr:uid="{00000000-0005-0000-0000-0000AF070000}"/>
    <cellStyle name="Explanatory Text 2 11" xfId="2605" xr:uid="{00000000-0005-0000-0000-0000B0070000}"/>
    <cellStyle name="Explanatory Text 2 12" xfId="2606" xr:uid="{00000000-0005-0000-0000-0000B1070000}"/>
    <cellStyle name="Explanatory Text 2 13" xfId="2607" xr:uid="{00000000-0005-0000-0000-0000B2070000}"/>
    <cellStyle name="Explanatory Text 2 14" xfId="2608" xr:uid="{00000000-0005-0000-0000-0000B3070000}"/>
    <cellStyle name="Explanatory Text 2 15" xfId="2609" xr:uid="{00000000-0005-0000-0000-0000B4070000}"/>
    <cellStyle name="Explanatory Text 2 2" xfId="2610" xr:uid="{00000000-0005-0000-0000-0000B5070000}"/>
    <cellStyle name="Explanatory Text 2 3" xfId="2611" xr:uid="{00000000-0005-0000-0000-0000B6070000}"/>
    <cellStyle name="Explanatory Text 2 4" xfId="2612" xr:uid="{00000000-0005-0000-0000-0000B7070000}"/>
    <cellStyle name="Explanatory Text 2 5" xfId="2613" xr:uid="{00000000-0005-0000-0000-0000B8070000}"/>
    <cellStyle name="Explanatory Text 2 6" xfId="2614" xr:uid="{00000000-0005-0000-0000-0000B9070000}"/>
    <cellStyle name="Explanatory Text 2 7" xfId="2615" xr:uid="{00000000-0005-0000-0000-0000BA070000}"/>
    <cellStyle name="Explanatory Text 2 8" xfId="2616" xr:uid="{00000000-0005-0000-0000-0000BB070000}"/>
    <cellStyle name="Explanatory Text 2 9" xfId="2617" xr:uid="{00000000-0005-0000-0000-0000BC070000}"/>
    <cellStyle name="Explanatory Text 20" xfId="2618" xr:uid="{00000000-0005-0000-0000-0000BD070000}"/>
    <cellStyle name="Explanatory Text 21" xfId="2619" xr:uid="{00000000-0005-0000-0000-0000BE070000}"/>
    <cellStyle name="Explanatory Text 22" xfId="2620" xr:uid="{00000000-0005-0000-0000-0000BF070000}"/>
    <cellStyle name="Explanatory Text 23" xfId="2621" xr:uid="{00000000-0005-0000-0000-0000C0070000}"/>
    <cellStyle name="Explanatory Text 24" xfId="2622" xr:uid="{00000000-0005-0000-0000-0000C1070000}"/>
    <cellStyle name="Explanatory Text 3" xfId="1581" xr:uid="{00000000-0005-0000-0000-0000C2070000}"/>
    <cellStyle name="Explanatory Text 4" xfId="2623" xr:uid="{00000000-0005-0000-0000-0000C3070000}"/>
    <cellStyle name="Explanatory Text 5" xfId="2624" xr:uid="{00000000-0005-0000-0000-0000C4070000}"/>
    <cellStyle name="Explanatory Text 6" xfId="2625" xr:uid="{00000000-0005-0000-0000-0000C5070000}"/>
    <cellStyle name="Explanatory Text 7" xfId="2626" xr:uid="{00000000-0005-0000-0000-0000C6070000}"/>
    <cellStyle name="Explanatory Text 8" xfId="2627" xr:uid="{00000000-0005-0000-0000-0000C7070000}"/>
    <cellStyle name="Explanatory Text 9" xfId="2628" xr:uid="{00000000-0005-0000-0000-0000C8070000}"/>
    <cellStyle name="Good" xfId="11" builtinId="26" customBuiltin="1"/>
    <cellStyle name="Good 10" xfId="2629" xr:uid="{00000000-0005-0000-0000-0000CA070000}"/>
    <cellStyle name="Good 11" xfId="2630" xr:uid="{00000000-0005-0000-0000-0000CB070000}"/>
    <cellStyle name="Good 12" xfId="2631" xr:uid="{00000000-0005-0000-0000-0000CC070000}"/>
    <cellStyle name="Good 13" xfId="2632" xr:uid="{00000000-0005-0000-0000-0000CD070000}"/>
    <cellStyle name="Good 14" xfId="2633" xr:uid="{00000000-0005-0000-0000-0000CE070000}"/>
    <cellStyle name="Good 15" xfId="2634" xr:uid="{00000000-0005-0000-0000-0000CF070000}"/>
    <cellStyle name="Good 16" xfId="2635" xr:uid="{00000000-0005-0000-0000-0000D0070000}"/>
    <cellStyle name="Good 17" xfId="2636" xr:uid="{00000000-0005-0000-0000-0000D1070000}"/>
    <cellStyle name="Good 18" xfId="2637" xr:uid="{00000000-0005-0000-0000-0000D2070000}"/>
    <cellStyle name="Good 19" xfId="2638" xr:uid="{00000000-0005-0000-0000-0000D3070000}"/>
    <cellStyle name="Good 2" xfId="1582" xr:uid="{00000000-0005-0000-0000-0000D4070000}"/>
    <cellStyle name="Good 2 10" xfId="2639" xr:uid="{00000000-0005-0000-0000-0000D5070000}"/>
    <cellStyle name="Good 2 11" xfId="2640" xr:uid="{00000000-0005-0000-0000-0000D6070000}"/>
    <cellStyle name="Good 2 12" xfId="2641" xr:uid="{00000000-0005-0000-0000-0000D7070000}"/>
    <cellStyle name="Good 2 13" xfId="2642" xr:uid="{00000000-0005-0000-0000-0000D8070000}"/>
    <cellStyle name="Good 2 14" xfId="2643" xr:uid="{00000000-0005-0000-0000-0000D9070000}"/>
    <cellStyle name="Good 2 15" xfId="2644" xr:uid="{00000000-0005-0000-0000-0000DA070000}"/>
    <cellStyle name="Good 2 2" xfId="2645" xr:uid="{00000000-0005-0000-0000-0000DB070000}"/>
    <cellStyle name="Good 2 3" xfId="2646" xr:uid="{00000000-0005-0000-0000-0000DC070000}"/>
    <cellStyle name="Good 2 4" xfId="2647" xr:uid="{00000000-0005-0000-0000-0000DD070000}"/>
    <cellStyle name="Good 2 5" xfId="2648" xr:uid="{00000000-0005-0000-0000-0000DE070000}"/>
    <cellStyle name="Good 2 6" xfId="2649" xr:uid="{00000000-0005-0000-0000-0000DF070000}"/>
    <cellStyle name="Good 2 7" xfId="2650" xr:uid="{00000000-0005-0000-0000-0000E0070000}"/>
    <cellStyle name="Good 2 8" xfId="2651" xr:uid="{00000000-0005-0000-0000-0000E1070000}"/>
    <cellStyle name="Good 2 9" xfId="2652" xr:uid="{00000000-0005-0000-0000-0000E2070000}"/>
    <cellStyle name="Good 20" xfId="2653" xr:uid="{00000000-0005-0000-0000-0000E3070000}"/>
    <cellStyle name="Good 21" xfId="2654" xr:uid="{00000000-0005-0000-0000-0000E4070000}"/>
    <cellStyle name="Good 22" xfId="2655" xr:uid="{00000000-0005-0000-0000-0000E5070000}"/>
    <cellStyle name="Good 23" xfId="2656" xr:uid="{00000000-0005-0000-0000-0000E6070000}"/>
    <cellStyle name="Good 24" xfId="2657" xr:uid="{00000000-0005-0000-0000-0000E7070000}"/>
    <cellStyle name="Good 3" xfId="1583" xr:uid="{00000000-0005-0000-0000-0000E8070000}"/>
    <cellStyle name="Good 4" xfId="2658" xr:uid="{00000000-0005-0000-0000-0000E9070000}"/>
    <cellStyle name="Good 5" xfId="2659" xr:uid="{00000000-0005-0000-0000-0000EA070000}"/>
    <cellStyle name="Good 6" xfId="2660" xr:uid="{00000000-0005-0000-0000-0000EB070000}"/>
    <cellStyle name="Good 7" xfId="2661" xr:uid="{00000000-0005-0000-0000-0000EC070000}"/>
    <cellStyle name="Good 8" xfId="2662" xr:uid="{00000000-0005-0000-0000-0000ED070000}"/>
    <cellStyle name="Good 9" xfId="2663" xr:uid="{00000000-0005-0000-0000-0000EE070000}"/>
    <cellStyle name="Heading 1" xfId="7" builtinId="16" customBuiltin="1"/>
    <cellStyle name="Heading 1 10" xfId="2664" xr:uid="{00000000-0005-0000-0000-0000F0070000}"/>
    <cellStyle name="Heading 1 11" xfId="2665" xr:uid="{00000000-0005-0000-0000-0000F1070000}"/>
    <cellStyle name="Heading 1 12" xfId="2666" xr:uid="{00000000-0005-0000-0000-0000F2070000}"/>
    <cellStyle name="Heading 1 13" xfId="2667" xr:uid="{00000000-0005-0000-0000-0000F3070000}"/>
    <cellStyle name="Heading 1 14" xfId="2668" xr:uid="{00000000-0005-0000-0000-0000F4070000}"/>
    <cellStyle name="Heading 1 15" xfId="2669" xr:uid="{00000000-0005-0000-0000-0000F5070000}"/>
    <cellStyle name="Heading 1 16" xfId="2670" xr:uid="{00000000-0005-0000-0000-0000F6070000}"/>
    <cellStyle name="Heading 1 17" xfId="2671" xr:uid="{00000000-0005-0000-0000-0000F7070000}"/>
    <cellStyle name="Heading 1 18" xfId="2672" xr:uid="{00000000-0005-0000-0000-0000F8070000}"/>
    <cellStyle name="Heading 1 19" xfId="2673" xr:uid="{00000000-0005-0000-0000-0000F9070000}"/>
    <cellStyle name="Heading 1 2" xfId="1584" xr:uid="{00000000-0005-0000-0000-0000FA070000}"/>
    <cellStyle name="Heading 1 2 10" xfId="2674" xr:uid="{00000000-0005-0000-0000-0000FB070000}"/>
    <cellStyle name="Heading 1 2 11" xfId="2675" xr:uid="{00000000-0005-0000-0000-0000FC070000}"/>
    <cellStyle name="Heading 1 2 12" xfId="2676" xr:uid="{00000000-0005-0000-0000-0000FD070000}"/>
    <cellStyle name="Heading 1 2 13" xfId="2677" xr:uid="{00000000-0005-0000-0000-0000FE070000}"/>
    <cellStyle name="Heading 1 2 14" xfId="2678" xr:uid="{00000000-0005-0000-0000-0000FF070000}"/>
    <cellStyle name="Heading 1 2 15" xfId="2679" xr:uid="{00000000-0005-0000-0000-000000080000}"/>
    <cellStyle name="Heading 1 2 2" xfId="2680" xr:uid="{00000000-0005-0000-0000-000001080000}"/>
    <cellStyle name="Heading 1 2 3" xfId="2681" xr:uid="{00000000-0005-0000-0000-000002080000}"/>
    <cellStyle name="Heading 1 2 4" xfId="2682" xr:uid="{00000000-0005-0000-0000-000003080000}"/>
    <cellStyle name="Heading 1 2 5" xfId="2683" xr:uid="{00000000-0005-0000-0000-000004080000}"/>
    <cellStyle name="Heading 1 2 6" xfId="2684" xr:uid="{00000000-0005-0000-0000-000005080000}"/>
    <cellStyle name="Heading 1 2 7" xfId="2685" xr:uid="{00000000-0005-0000-0000-000006080000}"/>
    <cellStyle name="Heading 1 2 8" xfId="2686" xr:uid="{00000000-0005-0000-0000-000007080000}"/>
    <cellStyle name="Heading 1 2 9" xfId="2687" xr:uid="{00000000-0005-0000-0000-000008080000}"/>
    <cellStyle name="Heading 1 20" xfId="2688" xr:uid="{00000000-0005-0000-0000-000009080000}"/>
    <cellStyle name="Heading 1 21" xfId="2689" xr:uid="{00000000-0005-0000-0000-00000A080000}"/>
    <cellStyle name="Heading 1 22" xfId="2690" xr:uid="{00000000-0005-0000-0000-00000B080000}"/>
    <cellStyle name="Heading 1 23" xfId="2691" xr:uid="{00000000-0005-0000-0000-00000C080000}"/>
    <cellStyle name="Heading 1 24" xfId="2692" xr:uid="{00000000-0005-0000-0000-00000D080000}"/>
    <cellStyle name="Heading 1 3" xfId="1585" xr:uid="{00000000-0005-0000-0000-00000E080000}"/>
    <cellStyle name="Heading 1 4" xfId="2693" xr:uid="{00000000-0005-0000-0000-00000F080000}"/>
    <cellStyle name="Heading 1 5" xfId="2694" xr:uid="{00000000-0005-0000-0000-000010080000}"/>
    <cellStyle name="Heading 1 6" xfId="2695" xr:uid="{00000000-0005-0000-0000-000011080000}"/>
    <cellStyle name="Heading 1 7" xfId="2696" xr:uid="{00000000-0005-0000-0000-000012080000}"/>
    <cellStyle name="Heading 1 8" xfId="2697" xr:uid="{00000000-0005-0000-0000-000013080000}"/>
    <cellStyle name="Heading 1 9" xfId="2698" xr:uid="{00000000-0005-0000-0000-000014080000}"/>
    <cellStyle name="Heading 2" xfId="8" builtinId="17" customBuiltin="1"/>
    <cellStyle name="Heading 2 10" xfId="2699" xr:uid="{00000000-0005-0000-0000-000016080000}"/>
    <cellStyle name="Heading 2 11" xfId="2700" xr:uid="{00000000-0005-0000-0000-000017080000}"/>
    <cellStyle name="Heading 2 12" xfId="2701" xr:uid="{00000000-0005-0000-0000-000018080000}"/>
    <cellStyle name="Heading 2 13" xfId="2702" xr:uid="{00000000-0005-0000-0000-000019080000}"/>
    <cellStyle name="Heading 2 14" xfId="2703" xr:uid="{00000000-0005-0000-0000-00001A080000}"/>
    <cellStyle name="Heading 2 15" xfId="2704" xr:uid="{00000000-0005-0000-0000-00001B080000}"/>
    <cellStyle name="Heading 2 16" xfId="2705" xr:uid="{00000000-0005-0000-0000-00001C080000}"/>
    <cellStyle name="Heading 2 17" xfId="2706" xr:uid="{00000000-0005-0000-0000-00001D080000}"/>
    <cellStyle name="Heading 2 18" xfId="2707" xr:uid="{00000000-0005-0000-0000-00001E080000}"/>
    <cellStyle name="Heading 2 19" xfId="2708" xr:uid="{00000000-0005-0000-0000-00001F080000}"/>
    <cellStyle name="Heading 2 2" xfId="1586" xr:uid="{00000000-0005-0000-0000-000020080000}"/>
    <cellStyle name="Heading 2 2 10" xfId="2709" xr:uid="{00000000-0005-0000-0000-000021080000}"/>
    <cellStyle name="Heading 2 2 11" xfId="2710" xr:uid="{00000000-0005-0000-0000-000022080000}"/>
    <cellStyle name="Heading 2 2 12" xfId="2711" xr:uid="{00000000-0005-0000-0000-000023080000}"/>
    <cellStyle name="Heading 2 2 13" xfId="2712" xr:uid="{00000000-0005-0000-0000-000024080000}"/>
    <cellStyle name="Heading 2 2 14" xfId="2713" xr:uid="{00000000-0005-0000-0000-000025080000}"/>
    <cellStyle name="Heading 2 2 15" xfId="2714" xr:uid="{00000000-0005-0000-0000-000026080000}"/>
    <cellStyle name="Heading 2 2 2" xfId="2715" xr:uid="{00000000-0005-0000-0000-000027080000}"/>
    <cellStyle name="Heading 2 2 3" xfId="2716" xr:uid="{00000000-0005-0000-0000-000028080000}"/>
    <cellStyle name="Heading 2 2 4" xfId="2717" xr:uid="{00000000-0005-0000-0000-000029080000}"/>
    <cellStyle name="Heading 2 2 5" xfId="2718" xr:uid="{00000000-0005-0000-0000-00002A080000}"/>
    <cellStyle name="Heading 2 2 6" xfId="2719" xr:uid="{00000000-0005-0000-0000-00002B080000}"/>
    <cellStyle name="Heading 2 2 7" xfId="2720" xr:uid="{00000000-0005-0000-0000-00002C080000}"/>
    <cellStyle name="Heading 2 2 8" xfId="2721" xr:uid="{00000000-0005-0000-0000-00002D080000}"/>
    <cellStyle name="Heading 2 2 9" xfId="2722" xr:uid="{00000000-0005-0000-0000-00002E080000}"/>
    <cellStyle name="Heading 2 20" xfId="2723" xr:uid="{00000000-0005-0000-0000-00002F080000}"/>
    <cellStyle name="Heading 2 21" xfId="2724" xr:uid="{00000000-0005-0000-0000-000030080000}"/>
    <cellStyle name="Heading 2 22" xfId="2725" xr:uid="{00000000-0005-0000-0000-000031080000}"/>
    <cellStyle name="Heading 2 23" xfId="2726" xr:uid="{00000000-0005-0000-0000-000032080000}"/>
    <cellStyle name="Heading 2 24" xfId="2727" xr:uid="{00000000-0005-0000-0000-000033080000}"/>
    <cellStyle name="Heading 2 3" xfId="1587" xr:uid="{00000000-0005-0000-0000-000034080000}"/>
    <cellStyle name="Heading 2 4" xfId="2728" xr:uid="{00000000-0005-0000-0000-000035080000}"/>
    <cellStyle name="Heading 2 5" xfId="2729" xr:uid="{00000000-0005-0000-0000-000036080000}"/>
    <cellStyle name="Heading 2 6" xfId="2730" xr:uid="{00000000-0005-0000-0000-000037080000}"/>
    <cellStyle name="Heading 2 7" xfId="2731" xr:uid="{00000000-0005-0000-0000-000038080000}"/>
    <cellStyle name="Heading 2 8" xfId="2732" xr:uid="{00000000-0005-0000-0000-000039080000}"/>
    <cellStyle name="Heading 2 9" xfId="2733" xr:uid="{00000000-0005-0000-0000-00003A080000}"/>
    <cellStyle name="Heading 3" xfId="9" builtinId="18" customBuiltin="1"/>
    <cellStyle name="Heading 3 10" xfId="2734" xr:uid="{00000000-0005-0000-0000-00003C080000}"/>
    <cellStyle name="Heading 3 11" xfId="2735" xr:uid="{00000000-0005-0000-0000-00003D080000}"/>
    <cellStyle name="Heading 3 12" xfId="2736" xr:uid="{00000000-0005-0000-0000-00003E080000}"/>
    <cellStyle name="Heading 3 13" xfId="2737" xr:uid="{00000000-0005-0000-0000-00003F080000}"/>
    <cellStyle name="Heading 3 14" xfId="2738" xr:uid="{00000000-0005-0000-0000-000040080000}"/>
    <cellStyle name="Heading 3 15" xfId="2739" xr:uid="{00000000-0005-0000-0000-000041080000}"/>
    <cellStyle name="Heading 3 16" xfId="2740" xr:uid="{00000000-0005-0000-0000-000042080000}"/>
    <cellStyle name="Heading 3 17" xfId="2741" xr:uid="{00000000-0005-0000-0000-000043080000}"/>
    <cellStyle name="Heading 3 18" xfId="2742" xr:uid="{00000000-0005-0000-0000-000044080000}"/>
    <cellStyle name="Heading 3 19" xfId="2743" xr:uid="{00000000-0005-0000-0000-000045080000}"/>
    <cellStyle name="Heading 3 2" xfId="1588" xr:uid="{00000000-0005-0000-0000-000046080000}"/>
    <cellStyle name="Heading 3 2 10" xfId="2744" xr:uid="{00000000-0005-0000-0000-000047080000}"/>
    <cellStyle name="Heading 3 2 11" xfId="2745" xr:uid="{00000000-0005-0000-0000-000048080000}"/>
    <cellStyle name="Heading 3 2 12" xfId="2746" xr:uid="{00000000-0005-0000-0000-000049080000}"/>
    <cellStyle name="Heading 3 2 13" xfId="2747" xr:uid="{00000000-0005-0000-0000-00004A080000}"/>
    <cellStyle name="Heading 3 2 14" xfId="2748" xr:uid="{00000000-0005-0000-0000-00004B080000}"/>
    <cellStyle name="Heading 3 2 15" xfId="2749" xr:uid="{00000000-0005-0000-0000-00004C080000}"/>
    <cellStyle name="Heading 3 2 2" xfId="2750" xr:uid="{00000000-0005-0000-0000-00004D080000}"/>
    <cellStyle name="Heading 3 2 3" xfId="2751" xr:uid="{00000000-0005-0000-0000-00004E080000}"/>
    <cellStyle name="Heading 3 2 4" xfId="2752" xr:uid="{00000000-0005-0000-0000-00004F080000}"/>
    <cellStyle name="Heading 3 2 5" xfId="2753" xr:uid="{00000000-0005-0000-0000-000050080000}"/>
    <cellStyle name="Heading 3 2 6" xfId="2754" xr:uid="{00000000-0005-0000-0000-000051080000}"/>
    <cellStyle name="Heading 3 2 7" xfId="2755" xr:uid="{00000000-0005-0000-0000-000052080000}"/>
    <cellStyle name="Heading 3 2 8" xfId="2756" xr:uid="{00000000-0005-0000-0000-000053080000}"/>
    <cellStyle name="Heading 3 2 9" xfId="2757" xr:uid="{00000000-0005-0000-0000-000054080000}"/>
    <cellStyle name="Heading 3 20" xfId="2758" xr:uid="{00000000-0005-0000-0000-000055080000}"/>
    <cellStyle name="Heading 3 21" xfId="2759" xr:uid="{00000000-0005-0000-0000-000056080000}"/>
    <cellStyle name="Heading 3 22" xfId="2760" xr:uid="{00000000-0005-0000-0000-000057080000}"/>
    <cellStyle name="Heading 3 23" xfId="2761" xr:uid="{00000000-0005-0000-0000-000058080000}"/>
    <cellStyle name="Heading 3 24" xfId="2762" xr:uid="{00000000-0005-0000-0000-000059080000}"/>
    <cellStyle name="Heading 3 3" xfId="1589" xr:uid="{00000000-0005-0000-0000-00005A080000}"/>
    <cellStyle name="Heading 3 4" xfId="2763" xr:uid="{00000000-0005-0000-0000-00005B080000}"/>
    <cellStyle name="Heading 3 5" xfId="2764" xr:uid="{00000000-0005-0000-0000-00005C080000}"/>
    <cellStyle name="Heading 3 6" xfId="2765" xr:uid="{00000000-0005-0000-0000-00005D080000}"/>
    <cellStyle name="Heading 3 7" xfId="2766" xr:uid="{00000000-0005-0000-0000-00005E080000}"/>
    <cellStyle name="Heading 3 8" xfId="2767" xr:uid="{00000000-0005-0000-0000-00005F080000}"/>
    <cellStyle name="Heading 3 9" xfId="2768" xr:uid="{00000000-0005-0000-0000-000060080000}"/>
    <cellStyle name="Heading 4" xfId="10" builtinId="19" customBuiltin="1"/>
    <cellStyle name="Heading 4 10" xfId="2769" xr:uid="{00000000-0005-0000-0000-000062080000}"/>
    <cellStyle name="Heading 4 11" xfId="2770" xr:uid="{00000000-0005-0000-0000-000063080000}"/>
    <cellStyle name="Heading 4 12" xfId="2771" xr:uid="{00000000-0005-0000-0000-000064080000}"/>
    <cellStyle name="Heading 4 13" xfId="2772" xr:uid="{00000000-0005-0000-0000-000065080000}"/>
    <cellStyle name="Heading 4 14" xfId="2773" xr:uid="{00000000-0005-0000-0000-000066080000}"/>
    <cellStyle name="Heading 4 15" xfId="2774" xr:uid="{00000000-0005-0000-0000-000067080000}"/>
    <cellStyle name="Heading 4 16" xfId="2775" xr:uid="{00000000-0005-0000-0000-000068080000}"/>
    <cellStyle name="Heading 4 17" xfId="2776" xr:uid="{00000000-0005-0000-0000-000069080000}"/>
    <cellStyle name="Heading 4 18" xfId="2777" xr:uid="{00000000-0005-0000-0000-00006A080000}"/>
    <cellStyle name="Heading 4 19" xfId="2778" xr:uid="{00000000-0005-0000-0000-00006B080000}"/>
    <cellStyle name="Heading 4 2" xfId="1590" xr:uid="{00000000-0005-0000-0000-00006C080000}"/>
    <cellStyle name="Heading 4 2 10" xfId="2779" xr:uid="{00000000-0005-0000-0000-00006D080000}"/>
    <cellStyle name="Heading 4 2 11" xfId="2780" xr:uid="{00000000-0005-0000-0000-00006E080000}"/>
    <cellStyle name="Heading 4 2 12" xfId="2781" xr:uid="{00000000-0005-0000-0000-00006F080000}"/>
    <cellStyle name="Heading 4 2 13" xfId="2782" xr:uid="{00000000-0005-0000-0000-000070080000}"/>
    <cellStyle name="Heading 4 2 14" xfId="2783" xr:uid="{00000000-0005-0000-0000-000071080000}"/>
    <cellStyle name="Heading 4 2 15" xfId="2784" xr:uid="{00000000-0005-0000-0000-000072080000}"/>
    <cellStyle name="Heading 4 2 2" xfId="2785" xr:uid="{00000000-0005-0000-0000-000073080000}"/>
    <cellStyle name="Heading 4 2 3" xfId="2786" xr:uid="{00000000-0005-0000-0000-000074080000}"/>
    <cellStyle name="Heading 4 2 4" xfId="2787" xr:uid="{00000000-0005-0000-0000-000075080000}"/>
    <cellStyle name="Heading 4 2 5" xfId="2788" xr:uid="{00000000-0005-0000-0000-000076080000}"/>
    <cellStyle name="Heading 4 2 6" xfId="2789" xr:uid="{00000000-0005-0000-0000-000077080000}"/>
    <cellStyle name="Heading 4 2 7" xfId="2790" xr:uid="{00000000-0005-0000-0000-000078080000}"/>
    <cellStyle name="Heading 4 2 8" xfId="2791" xr:uid="{00000000-0005-0000-0000-000079080000}"/>
    <cellStyle name="Heading 4 2 9" xfId="2792" xr:uid="{00000000-0005-0000-0000-00007A080000}"/>
    <cellStyle name="Heading 4 20" xfId="2793" xr:uid="{00000000-0005-0000-0000-00007B080000}"/>
    <cellStyle name="Heading 4 21" xfId="2794" xr:uid="{00000000-0005-0000-0000-00007C080000}"/>
    <cellStyle name="Heading 4 22" xfId="2795" xr:uid="{00000000-0005-0000-0000-00007D080000}"/>
    <cellStyle name="Heading 4 23" xfId="2796" xr:uid="{00000000-0005-0000-0000-00007E080000}"/>
    <cellStyle name="Heading 4 24" xfId="2797" xr:uid="{00000000-0005-0000-0000-00007F080000}"/>
    <cellStyle name="Heading 4 3" xfId="1591" xr:uid="{00000000-0005-0000-0000-000080080000}"/>
    <cellStyle name="Heading 4 4" xfId="2798" xr:uid="{00000000-0005-0000-0000-000081080000}"/>
    <cellStyle name="Heading 4 5" xfId="2799" xr:uid="{00000000-0005-0000-0000-000082080000}"/>
    <cellStyle name="Heading 4 6" xfId="2800" xr:uid="{00000000-0005-0000-0000-000083080000}"/>
    <cellStyle name="Heading 4 7" xfId="2801" xr:uid="{00000000-0005-0000-0000-000084080000}"/>
    <cellStyle name="Heading 4 8" xfId="2802" xr:uid="{00000000-0005-0000-0000-000085080000}"/>
    <cellStyle name="Heading 4 9" xfId="2803" xr:uid="{00000000-0005-0000-0000-000086080000}"/>
    <cellStyle name="Input" xfId="14" builtinId="20" customBuiltin="1"/>
    <cellStyle name="Input 10" xfId="2804" xr:uid="{00000000-0005-0000-0000-000088080000}"/>
    <cellStyle name="Input 11" xfId="2805" xr:uid="{00000000-0005-0000-0000-000089080000}"/>
    <cellStyle name="Input 12" xfId="2806" xr:uid="{00000000-0005-0000-0000-00008A080000}"/>
    <cellStyle name="Input 13" xfId="2807" xr:uid="{00000000-0005-0000-0000-00008B080000}"/>
    <cellStyle name="Input 14" xfId="2808" xr:uid="{00000000-0005-0000-0000-00008C080000}"/>
    <cellStyle name="Input 15" xfId="2809" xr:uid="{00000000-0005-0000-0000-00008D080000}"/>
    <cellStyle name="Input 16" xfId="2810" xr:uid="{00000000-0005-0000-0000-00008E080000}"/>
    <cellStyle name="Input 17" xfId="2811" xr:uid="{00000000-0005-0000-0000-00008F080000}"/>
    <cellStyle name="Input 18" xfId="2812" xr:uid="{00000000-0005-0000-0000-000090080000}"/>
    <cellStyle name="Input 19" xfId="2813" xr:uid="{00000000-0005-0000-0000-000091080000}"/>
    <cellStyle name="Input 2" xfId="1592" xr:uid="{00000000-0005-0000-0000-000092080000}"/>
    <cellStyle name="Input 2 10" xfId="2814" xr:uid="{00000000-0005-0000-0000-000093080000}"/>
    <cellStyle name="Input 2 11" xfId="2815" xr:uid="{00000000-0005-0000-0000-000094080000}"/>
    <cellStyle name="Input 2 12" xfId="2816" xr:uid="{00000000-0005-0000-0000-000095080000}"/>
    <cellStyle name="Input 2 13" xfId="2817" xr:uid="{00000000-0005-0000-0000-000096080000}"/>
    <cellStyle name="Input 2 14" xfId="2818" xr:uid="{00000000-0005-0000-0000-000097080000}"/>
    <cellStyle name="Input 2 15" xfId="2819" xr:uid="{00000000-0005-0000-0000-000098080000}"/>
    <cellStyle name="Input 2 16" xfId="14961" xr:uid="{00000000-0005-0000-0000-000099080000}"/>
    <cellStyle name="Input 2 16 10" xfId="31271" xr:uid="{00000000-0005-0000-0000-00009A080000}"/>
    <cellStyle name="Input 2 16 2" xfId="15009" xr:uid="{00000000-0005-0000-0000-00009B080000}"/>
    <cellStyle name="Input 2 16 2 2" xfId="27394" xr:uid="{00000000-0005-0000-0000-00009C080000}"/>
    <cellStyle name="Input 2 16 2 2 2" xfId="27505" xr:uid="{00000000-0005-0000-0000-00009D080000}"/>
    <cellStyle name="Input 2 16 2 2 2 2" xfId="27971" xr:uid="{00000000-0005-0000-0000-00009E080000}"/>
    <cellStyle name="Input 2 16 2 2 2 2 2" xfId="28958" xr:uid="{00000000-0005-0000-0000-00009F080000}"/>
    <cellStyle name="Input 2 16 2 2 2 2 2 2" xfId="30918" xr:uid="{00000000-0005-0000-0000-0000A0080000}"/>
    <cellStyle name="Input 2 16 2 2 2 2 3" xfId="29938" xr:uid="{00000000-0005-0000-0000-0000A1080000}"/>
    <cellStyle name="Input 2 16 2 2 2 3" xfId="28493" xr:uid="{00000000-0005-0000-0000-0000A2080000}"/>
    <cellStyle name="Input 2 16 2 2 2 3 2" xfId="30453" xr:uid="{00000000-0005-0000-0000-0000A3080000}"/>
    <cellStyle name="Input 2 16 2 2 2 4" xfId="29473" xr:uid="{00000000-0005-0000-0000-0000A4080000}"/>
    <cellStyle name="Input 2 16 2 2 3" xfId="27603" xr:uid="{00000000-0005-0000-0000-0000A5080000}"/>
    <cellStyle name="Input 2 16 2 2 3 2" xfId="28069" xr:uid="{00000000-0005-0000-0000-0000A6080000}"/>
    <cellStyle name="Input 2 16 2 2 3 2 2" xfId="29056" xr:uid="{00000000-0005-0000-0000-0000A7080000}"/>
    <cellStyle name="Input 2 16 2 2 3 2 2 2" xfId="31016" xr:uid="{00000000-0005-0000-0000-0000A8080000}"/>
    <cellStyle name="Input 2 16 2 2 3 2 3" xfId="30036" xr:uid="{00000000-0005-0000-0000-0000A9080000}"/>
    <cellStyle name="Input 2 16 2 2 3 3" xfId="27758" xr:uid="{00000000-0005-0000-0000-0000AA080000}"/>
    <cellStyle name="Input 2 16 2 2 3 3 2" xfId="28746" xr:uid="{00000000-0005-0000-0000-0000AB080000}"/>
    <cellStyle name="Input 2 16 2 2 3 3 2 2" xfId="30706" xr:uid="{00000000-0005-0000-0000-0000AC080000}"/>
    <cellStyle name="Input 2 16 2 2 3 3 3" xfId="29726" xr:uid="{00000000-0005-0000-0000-0000AD080000}"/>
    <cellStyle name="Input 2 16 2 2 3 4" xfId="28591" xr:uid="{00000000-0005-0000-0000-0000AE080000}"/>
    <cellStyle name="Input 2 16 2 2 3 4 2" xfId="30551" xr:uid="{00000000-0005-0000-0000-0000AF080000}"/>
    <cellStyle name="Input 2 16 2 2 3 5" xfId="29571" xr:uid="{00000000-0005-0000-0000-0000B0080000}"/>
    <cellStyle name="Input 2 16 2 2 4" xfId="27701" xr:uid="{00000000-0005-0000-0000-0000B1080000}"/>
    <cellStyle name="Input 2 16 2 2 4 2" xfId="28167" xr:uid="{00000000-0005-0000-0000-0000B2080000}"/>
    <cellStyle name="Input 2 16 2 2 4 2 2" xfId="29154" xr:uid="{00000000-0005-0000-0000-0000B3080000}"/>
    <cellStyle name="Input 2 16 2 2 4 2 2 2" xfId="31114" xr:uid="{00000000-0005-0000-0000-0000B4080000}"/>
    <cellStyle name="Input 2 16 2 2 4 2 3" xfId="30134" xr:uid="{00000000-0005-0000-0000-0000B5080000}"/>
    <cellStyle name="Input 2 16 2 2 4 3" xfId="28294" xr:uid="{00000000-0005-0000-0000-0000B6080000}"/>
    <cellStyle name="Input 2 16 2 2 4 3 2" xfId="29281" xr:uid="{00000000-0005-0000-0000-0000B7080000}"/>
    <cellStyle name="Input 2 16 2 2 4 3 2 2" xfId="31241" xr:uid="{00000000-0005-0000-0000-0000B8080000}"/>
    <cellStyle name="Input 2 16 2 2 4 3 3" xfId="30261" xr:uid="{00000000-0005-0000-0000-0000B9080000}"/>
    <cellStyle name="Input 2 16 2 2 4 4" xfId="28689" xr:uid="{00000000-0005-0000-0000-0000BA080000}"/>
    <cellStyle name="Input 2 16 2 2 4 4 2" xfId="30649" xr:uid="{00000000-0005-0000-0000-0000BB080000}"/>
    <cellStyle name="Input 2 16 2 2 4 5" xfId="29669" xr:uid="{00000000-0005-0000-0000-0000BC080000}"/>
    <cellStyle name="Input 2 16 2 2 5" xfId="27873" xr:uid="{00000000-0005-0000-0000-0000BD080000}"/>
    <cellStyle name="Input 2 16 2 2 5 2" xfId="28860" xr:uid="{00000000-0005-0000-0000-0000BE080000}"/>
    <cellStyle name="Input 2 16 2 2 5 2 2" xfId="30820" xr:uid="{00000000-0005-0000-0000-0000BF080000}"/>
    <cellStyle name="Input 2 16 2 2 5 3" xfId="29840" xr:uid="{00000000-0005-0000-0000-0000C0080000}"/>
    <cellStyle name="Input 2 16 2 2 6" xfId="28395" xr:uid="{00000000-0005-0000-0000-0000C1080000}"/>
    <cellStyle name="Input 2 16 2 2 6 2" xfId="30355" xr:uid="{00000000-0005-0000-0000-0000C2080000}"/>
    <cellStyle name="Input 2 16 2 2 7" xfId="29375" xr:uid="{00000000-0005-0000-0000-0000C3080000}"/>
    <cellStyle name="Input 2 16 2 2 8" xfId="31335" xr:uid="{00000000-0005-0000-0000-0000C4080000}"/>
    <cellStyle name="Input 2 16 2 3" xfId="27461" xr:uid="{00000000-0005-0000-0000-0000C5080000}"/>
    <cellStyle name="Input 2 16 2 3 2" xfId="27927" xr:uid="{00000000-0005-0000-0000-0000C6080000}"/>
    <cellStyle name="Input 2 16 2 3 2 2" xfId="28914" xr:uid="{00000000-0005-0000-0000-0000C7080000}"/>
    <cellStyle name="Input 2 16 2 3 2 2 2" xfId="30874" xr:uid="{00000000-0005-0000-0000-0000C8080000}"/>
    <cellStyle name="Input 2 16 2 3 2 3" xfId="29894" xr:uid="{00000000-0005-0000-0000-0000C9080000}"/>
    <cellStyle name="Input 2 16 2 3 3" xfId="28449" xr:uid="{00000000-0005-0000-0000-0000CA080000}"/>
    <cellStyle name="Input 2 16 2 3 3 2" xfId="30409" xr:uid="{00000000-0005-0000-0000-0000CB080000}"/>
    <cellStyle name="Input 2 16 2 3 4" xfId="29429" xr:uid="{00000000-0005-0000-0000-0000CC080000}"/>
    <cellStyle name="Input 2 16 2 4" xfId="27559" xr:uid="{00000000-0005-0000-0000-0000CD080000}"/>
    <cellStyle name="Input 2 16 2 4 2" xfId="28025" xr:uid="{00000000-0005-0000-0000-0000CE080000}"/>
    <cellStyle name="Input 2 16 2 4 2 2" xfId="29012" xr:uid="{00000000-0005-0000-0000-0000CF080000}"/>
    <cellStyle name="Input 2 16 2 4 2 2 2" xfId="30972" xr:uid="{00000000-0005-0000-0000-0000D0080000}"/>
    <cellStyle name="Input 2 16 2 4 2 3" xfId="29992" xr:uid="{00000000-0005-0000-0000-0000D1080000}"/>
    <cellStyle name="Input 2 16 2 4 3" xfId="27831" xr:uid="{00000000-0005-0000-0000-0000D2080000}"/>
    <cellStyle name="Input 2 16 2 4 3 2" xfId="28818" xr:uid="{00000000-0005-0000-0000-0000D3080000}"/>
    <cellStyle name="Input 2 16 2 4 3 2 2" xfId="30778" xr:uid="{00000000-0005-0000-0000-0000D4080000}"/>
    <cellStyle name="Input 2 16 2 4 3 3" xfId="29798" xr:uid="{00000000-0005-0000-0000-0000D5080000}"/>
    <cellStyle name="Input 2 16 2 4 4" xfId="28547" xr:uid="{00000000-0005-0000-0000-0000D6080000}"/>
    <cellStyle name="Input 2 16 2 4 4 2" xfId="30507" xr:uid="{00000000-0005-0000-0000-0000D7080000}"/>
    <cellStyle name="Input 2 16 2 4 5" xfId="29527" xr:uid="{00000000-0005-0000-0000-0000D8080000}"/>
    <cellStyle name="Input 2 16 2 5" xfId="27657" xr:uid="{00000000-0005-0000-0000-0000D9080000}"/>
    <cellStyle name="Input 2 16 2 5 2" xfId="28123" xr:uid="{00000000-0005-0000-0000-0000DA080000}"/>
    <cellStyle name="Input 2 16 2 5 2 2" xfId="29110" xr:uid="{00000000-0005-0000-0000-0000DB080000}"/>
    <cellStyle name="Input 2 16 2 5 2 2 2" xfId="31070" xr:uid="{00000000-0005-0000-0000-0000DC080000}"/>
    <cellStyle name="Input 2 16 2 5 2 3" xfId="30090" xr:uid="{00000000-0005-0000-0000-0000DD080000}"/>
    <cellStyle name="Input 2 16 2 5 3" xfId="28266" xr:uid="{00000000-0005-0000-0000-0000DE080000}"/>
    <cellStyle name="Input 2 16 2 5 3 2" xfId="29253" xr:uid="{00000000-0005-0000-0000-0000DF080000}"/>
    <cellStyle name="Input 2 16 2 5 3 2 2" xfId="31213" xr:uid="{00000000-0005-0000-0000-0000E0080000}"/>
    <cellStyle name="Input 2 16 2 5 3 3" xfId="30233" xr:uid="{00000000-0005-0000-0000-0000E1080000}"/>
    <cellStyle name="Input 2 16 2 5 4" xfId="28645" xr:uid="{00000000-0005-0000-0000-0000E2080000}"/>
    <cellStyle name="Input 2 16 2 5 4 2" xfId="30605" xr:uid="{00000000-0005-0000-0000-0000E3080000}"/>
    <cellStyle name="Input 2 16 2 5 5" xfId="29625" xr:uid="{00000000-0005-0000-0000-0000E4080000}"/>
    <cellStyle name="Input 2 16 2 6" xfId="27797" xr:uid="{00000000-0005-0000-0000-0000E5080000}"/>
    <cellStyle name="Input 2 16 2 6 2" xfId="28785" xr:uid="{00000000-0005-0000-0000-0000E6080000}"/>
    <cellStyle name="Input 2 16 2 6 2 2" xfId="30745" xr:uid="{00000000-0005-0000-0000-0000E7080000}"/>
    <cellStyle name="Input 2 16 2 6 3" xfId="29765" xr:uid="{00000000-0005-0000-0000-0000E8080000}"/>
    <cellStyle name="Input 2 16 2 7" xfId="28351" xr:uid="{00000000-0005-0000-0000-0000E9080000}"/>
    <cellStyle name="Input 2 16 2 7 2" xfId="30311" xr:uid="{00000000-0005-0000-0000-0000EA080000}"/>
    <cellStyle name="Input 2 16 2 8" xfId="29331" xr:uid="{00000000-0005-0000-0000-0000EB080000}"/>
    <cellStyle name="Input 2 16 2 9" xfId="31291" xr:uid="{00000000-0005-0000-0000-0000EC080000}"/>
    <cellStyle name="Input 2 16 3" xfId="27374" xr:uid="{00000000-0005-0000-0000-0000ED080000}"/>
    <cellStyle name="Input 2 16 3 2" xfId="27485" xr:uid="{00000000-0005-0000-0000-0000EE080000}"/>
    <cellStyle name="Input 2 16 3 2 2" xfId="27951" xr:uid="{00000000-0005-0000-0000-0000EF080000}"/>
    <cellStyle name="Input 2 16 3 2 2 2" xfId="28938" xr:uid="{00000000-0005-0000-0000-0000F0080000}"/>
    <cellStyle name="Input 2 16 3 2 2 2 2" xfId="30898" xr:uid="{00000000-0005-0000-0000-0000F1080000}"/>
    <cellStyle name="Input 2 16 3 2 2 3" xfId="29918" xr:uid="{00000000-0005-0000-0000-0000F2080000}"/>
    <cellStyle name="Input 2 16 3 2 3" xfId="28473" xr:uid="{00000000-0005-0000-0000-0000F3080000}"/>
    <cellStyle name="Input 2 16 3 2 3 2" xfId="30433" xr:uid="{00000000-0005-0000-0000-0000F4080000}"/>
    <cellStyle name="Input 2 16 3 2 4" xfId="29453" xr:uid="{00000000-0005-0000-0000-0000F5080000}"/>
    <cellStyle name="Input 2 16 3 3" xfId="27583" xr:uid="{00000000-0005-0000-0000-0000F6080000}"/>
    <cellStyle name="Input 2 16 3 3 2" xfId="28049" xr:uid="{00000000-0005-0000-0000-0000F7080000}"/>
    <cellStyle name="Input 2 16 3 3 2 2" xfId="29036" xr:uid="{00000000-0005-0000-0000-0000F8080000}"/>
    <cellStyle name="Input 2 16 3 3 2 2 2" xfId="30996" xr:uid="{00000000-0005-0000-0000-0000F9080000}"/>
    <cellStyle name="Input 2 16 3 3 2 3" xfId="30016" xr:uid="{00000000-0005-0000-0000-0000FA080000}"/>
    <cellStyle name="Input 2 16 3 3 3" xfId="27754" xr:uid="{00000000-0005-0000-0000-0000FB080000}"/>
    <cellStyle name="Input 2 16 3 3 3 2" xfId="28742" xr:uid="{00000000-0005-0000-0000-0000FC080000}"/>
    <cellStyle name="Input 2 16 3 3 3 2 2" xfId="30702" xr:uid="{00000000-0005-0000-0000-0000FD080000}"/>
    <cellStyle name="Input 2 16 3 3 3 3" xfId="29722" xr:uid="{00000000-0005-0000-0000-0000FE080000}"/>
    <cellStyle name="Input 2 16 3 3 4" xfId="28571" xr:uid="{00000000-0005-0000-0000-0000FF080000}"/>
    <cellStyle name="Input 2 16 3 3 4 2" xfId="30531" xr:uid="{00000000-0005-0000-0000-000000090000}"/>
    <cellStyle name="Input 2 16 3 3 5" xfId="29551" xr:uid="{00000000-0005-0000-0000-000001090000}"/>
    <cellStyle name="Input 2 16 3 4" xfId="27681" xr:uid="{00000000-0005-0000-0000-000002090000}"/>
    <cellStyle name="Input 2 16 3 4 2" xfId="28147" xr:uid="{00000000-0005-0000-0000-000003090000}"/>
    <cellStyle name="Input 2 16 3 4 2 2" xfId="29134" xr:uid="{00000000-0005-0000-0000-000004090000}"/>
    <cellStyle name="Input 2 16 3 4 2 2 2" xfId="31094" xr:uid="{00000000-0005-0000-0000-000005090000}"/>
    <cellStyle name="Input 2 16 3 4 2 3" xfId="30114" xr:uid="{00000000-0005-0000-0000-000006090000}"/>
    <cellStyle name="Input 2 16 3 4 3" xfId="28282" xr:uid="{00000000-0005-0000-0000-000007090000}"/>
    <cellStyle name="Input 2 16 3 4 3 2" xfId="29269" xr:uid="{00000000-0005-0000-0000-000008090000}"/>
    <cellStyle name="Input 2 16 3 4 3 2 2" xfId="31229" xr:uid="{00000000-0005-0000-0000-000009090000}"/>
    <cellStyle name="Input 2 16 3 4 3 3" xfId="30249" xr:uid="{00000000-0005-0000-0000-00000A090000}"/>
    <cellStyle name="Input 2 16 3 4 4" xfId="28669" xr:uid="{00000000-0005-0000-0000-00000B090000}"/>
    <cellStyle name="Input 2 16 3 4 4 2" xfId="30629" xr:uid="{00000000-0005-0000-0000-00000C090000}"/>
    <cellStyle name="Input 2 16 3 4 5" xfId="29649" xr:uid="{00000000-0005-0000-0000-00000D090000}"/>
    <cellStyle name="Input 2 16 3 5" xfId="27853" xr:uid="{00000000-0005-0000-0000-00000E090000}"/>
    <cellStyle name="Input 2 16 3 5 2" xfId="28840" xr:uid="{00000000-0005-0000-0000-00000F090000}"/>
    <cellStyle name="Input 2 16 3 5 2 2" xfId="30800" xr:uid="{00000000-0005-0000-0000-000010090000}"/>
    <cellStyle name="Input 2 16 3 5 3" xfId="29820" xr:uid="{00000000-0005-0000-0000-000011090000}"/>
    <cellStyle name="Input 2 16 3 6" xfId="28375" xr:uid="{00000000-0005-0000-0000-000012090000}"/>
    <cellStyle name="Input 2 16 3 6 2" xfId="30335" xr:uid="{00000000-0005-0000-0000-000013090000}"/>
    <cellStyle name="Input 2 16 3 7" xfId="29355" xr:uid="{00000000-0005-0000-0000-000014090000}"/>
    <cellStyle name="Input 2 16 3 8" xfId="31315" xr:uid="{00000000-0005-0000-0000-000015090000}"/>
    <cellStyle name="Input 2 16 4" xfId="27441" xr:uid="{00000000-0005-0000-0000-000016090000}"/>
    <cellStyle name="Input 2 16 4 2" xfId="27907" xr:uid="{00000000-0005-0000-0000-000017090000}"/>
    <cellStyle name="Input 2 16 4 2 2" xfId="28894" xr:uid="{00000000-0005-0000-0000-000018090000}"/>
    <cellStyle name="Input 2 16 4 2 2 2" xfId="30854" xr:uid="{00000000-0005-0000-0000-000019090000}"/>
    <cellStyle name="Input 2 16 4 2 3" xfId="29874" xr:uid="{00000000-0005-0000-0000-00001A090000}"/>
    <cellStyle name="Input 2 16 4 3" xfId="28429" xr:uid="{00000000-0005-0000-0000-00001B090000}"/>
    <cellStyle name="Input 2 16 4 3 2" xfId="30389" xr:uid="{00000000-0005-0000-0000-00001C090000}"/>
    <cellStyle name="Input 2 16 4 4" xfId="29409" xr:uid="{00000000-0005-0000-0000-00001D090000}"/>
    <cellStyle name="Input 2 16 5" xfId="27539" xr:uid="{00000000-0005-0000-0000-00001E090000}"/>
    <cellStyle name="Input 2 16 5 2" xfId="28005" xr:uid="{00000000-0005-0000-0000-00001F090000}"/>
    <cellStyle name="Input 2 16 5 2 2" xfId="28992" xr:uid="{00000000-0005-0000-0000-000020090000}"/>
    <cellStyle name="Input 2 16 5 2 2 2" xfId="30952" xr:uid="{00000000-0005-0000-0000-000021090000}"/>
    <cellStyle name="Input 2 16 5 2 3" xfId="29972" xr:uid="{00000000-0005-0000-0000-000022090000}"/>
    <cellStyle name="Input 2 16 5 3" xfId="27728" xr:uid="{00000000-0005-0000-0000-000023090000}"/>
    <cellStyle name="Input 2 16 5 3 2" xfId="28716" xr:uid="{00000000-0005-0000-0000-000024090000}"/>
    <cellStyle name="Input 2 16 5 3 2 2" xfId="30676" xr:uid="{00000000-0005-0000-0000-000025090000}"/>
    <cellStyle name="Input 2 16 5 3 3" xfId="29696" xr:uid="{00000000-0005-0000-0000-000026090000}"/>
    <cellStyle name="Input 2 16 5 4" xfId="28527" xr:uid="{00000000-0005-0000-0000-000027090000}"/>
    <cellStyle name="Input 2 16 5 4 2" xfId="30487" xr:uid="{00000000-0005-0000-0000-000028090000}"/>
    <cellStyle name="Input 2 16 5 5" xfId="29507" xr:uid="{00000000-0005-0000-0000-000029090000}"/>
    <cellStyle name="Input 2 16 6" xfId="27637" xr:uid="{00000000-0005-0000-0000-00002A090000}"/>
    <cellStyle name="Input 2 16 6 2" xfId="28103" xr:uid="{00000000-0005-0000-0000-00002B090000}"/>
    <cellStyle name="Input 2 16 6 2 2" xfId="29090" xr:uid="{00000000-0005-0000-0000-00002C090000}"/>
    <cellStyle name="Input 2 16 6 2 2 2" xfId="31050" xr:uid="{00000000-0005-0000-0000-00002D090000}"/>
    <cellStyle name="Input 2 16 6 2 3" xfId="30070" xr:uid="{00000000-0005-0000-0000-00002E090000}"/>
    <cellStyle name="Input 2 16 6 3" xfId="28254" xr:uid="{00000000-0005-0000-0000-00002F090000}"/>
    <cellStyle name="Input 2 16 6 3 2" xfId="29241" xr:uid="{00000000-0005-0000-0000-000030090000}"/>
    <cellStyle name="Input 2 16 6 3 2 2" xfId="31201" xr:uid="{00000000-0005-0000-0000-000031090000}"/>
    <cellStyle name="Input 2 16 6 3 3" xfId="30221" xr:uid="{00000000-0005-0000-0000-000032090000}"/>
    <cellStyle name="Input 2 16 6 4" xfId="28625" xr:uid="{00000000-0005-0000-0000-000033090000}"/>
    <cellStyle name="Input 2 16 6 4 2" xfId="30585" xr:uid="{00000000-0005-0000-0000-000034090000}"/>
    <cellStyle name="Input 2 16 6 5" xfId="29605" xr:uid="{00000000-0005-0000-0000-000035090000}"/>
    <cellStyle name="Input 2 16 7" xfId="27777" xr:uid="{00000000-0005-0000-0000-000036090000}"/>
    <cellStyle name="Input 2 16 7 2" xfId="28765" xr:uid="{00000000-0005-0000-0000-000037090000}"/>
    <cellStyle name="Input 2 16 7 2 2" xfId="30725" xr:uid="{00000000-0005-0000-0000-000038090000}"/>
    <cellStyle name="Input 2 16 7 3" xfId="29745" xr:uid="{00000000-0005-0000-0000-000039090000}"/>
    <cellStyle name="Input 2 16 8" xfId="28331" xr:uid="{00000000-0005-0000-0000-00003A090000}"/>
    <cellStyle name="Input 2 16 8 2" xfId="30291" xr:uid="{00000000-0005-0000-0000-00003B090000}"/>
    <cellStyle name="Input 2 16 9" xfId="29311" xr:uid="{00000000-0005-0000-0000-00003C090000}"/>
    <cellStyle name="Input 2 17" xfId="14944" xr:uid="{00000000-0005-0000-0000-00003D090000}"/>
    <cellStyle name="Input 2 17 2" xfId="27364" xr:uid="{00000000-0005-0000-0000-00003E090000}"/>
    <cellStyle name="Input 2 17 2 2" xfId="27475" xr:uid="{00000000-0005-0000-0000-00003F090000}"/>
    <cellStyle name="Input 2 17 2 2 2" xfId="27941" xr:uid="{00000000-0005-0000-0000-000040090000}"/>
    <cellStyle name="Input 2 17 2 2 2 2" xfId="28928" xr:uid="{00000000-0005-0000-0000-000041090000}"/>
    <cellStyle name="Input 2 17 2 2 2 2 2" xfId="30888" xr:uid="{00000000-0005-0000-0000-000042090000}"/>
    <cellStyle name="Input 2 17 2 2 2 3" xfId="29908" xr:uid="{00000000-0005-0000-0000-000043090000}"/>
    <cellStyle name="Input 2 17 2 2 3" xfId="28463" xr:uid="{00000000-0005-0000-0000-000044090000}"/>
    <cellStyle name="Input 2 17 2 2 3 2" xfId="30423" xr:uid="{00000000-0005-0000-0000-000045090000}"/>
    <cellStyle name="Input 2 17 2 2 4" xfId="29443" xr:uid="{00000000-0005-0000-0000-000046090000}"/>
    <cellStyle name="Input 2 17 2 3" xfId="27573" xr:uid="{00000000-0005-0000-0000-000047090000}"/>
    <cellStyle name="Input 2 17 2 3 2" xfId="28039" xr:uid="{00000000-0005-0000-0000-000048090000}"/>
    <cellStyle name="Input 2 17 2 3 2 2" xfId="29026" xr:uid="{00000000-0005-0000-0000-000049090000}"/>
    <cellStyle name="Input 2 17 2 3 2 2 2" xfId="30986" xr:uid="{00000000-0005-0000-0000-00004A090000}"/>
    <cellStyle name="Input 2 17 2 3 2 3" xfId="30006" xr:uid="{00000000-0005-0000-0000-00004B090000}"/>
    <cellStyle name="Input 2 17 2 3 3" xfId="27751" xr:uid="{00000000-0005-0000-0000-00004C090000}"/>
    <cellStyle name="Input 2 17 2 3 3 2" xfId="28739" xr:uid="{00000000-0005-0000-0000-00004D090000}"/>
    <cellStyle name="Input 2 17 2 3 3 2 2" xfId="30699" xr:uid="{00000000-0005-0000-0000-00004E090000}"/>
    <cellStyle name="Input 2 17 2 3 3 3" xfId="29719" xr:uid="{00000000-0005-0000-0000-00004F090000}"/>
    <cellStyle name="Input 2 17 2 3 4" xfId="28561" xr:uid="{00000000-0005-0000-0000-000050090000}"/>
    <cellStyle name="Input 2 17 2 3 4 2" xfId="30521" xr:uid="{00000000-0005-0000-0000-000051090000}"/>
    <cellStyle name="Input 2 17 2 3 5" xfId="29541" xr:uid="{00000000-0005-0000-0000-000052090000}"/>
    <cellStyle name="Input 2 17 2 4" xfId="27671" xr:uid="{00000000-0005-0000-0000-000053090000}"/>
    <cellStyle name="Input 2 17 2 4 2" xfId="28137" xr:uid="{00000000-0005-0000-0000-000054090000}"/>
    <cellStyle name="Input 2 17 2 4 2 2" xfId="29124" xr:uid="{00000000-0005-0000-0000-000055090000}"/>
    <cellStyle name="Input 2 17 2 4 2 2 2" xfId="31084" xr:uid="{00000000-0005-0000-0000-000056090000}"/>
    <cellStyle name="Input 2 17 2 4 2 3" xfId="30104" xr:uid="{00000000-0005-0000-0000-000057090000}"/>
    <cellStyle name="Input 2 17 2 4 3" xfId="28276" xr:uid="{00000000-0005-0000-0000-000058090000}"/>
    <cellStyle name="Input 2 17 2 4 3 2" xfId="29263" xr:uid="{00000000-0005-0000-0000-000059090000}"/>
    <cellStyle name="Input 2 17 2 4 3 2 2" xfId="31223" xr:uid="{00000000-0005-0000-0000-00005A090000}"/>
    <cellStyle name="Input 2 17 2 4 3 3" xfId="30243" xr:uid="{00000000-0005-0000-0000-00005B090000}"/>
    <cellStyle name="Input 2 17 2 4 4" xfId="28659" xr:uid="{00000000-0005-0000-0000-00005C090000}"/>
    <cellStyle name="Input 2 17 2 4 4 2" xfId="30619" xr:uid="{00000000-0005-0000-0000-00005D090000}"/>
    <cellStyle name="Input 2 17 2 4 5" xfId="29639" xr:uid="{00000000-0005-0000-0000-00005E090000}"/>
    <cellStyle name="Input 2 17 2 5" xfId="27843" xr:uid="{00000000-0005-0000-0000-00005F090000}"/>
    <cellStyle name="Input 2 17 2 5 2" xfId="28830" xr:uid="{00000000-0005-0000-0000-000060090000}"/>
    <cellStyle name="Input 2 17 2 5 2 2" xfId="30790" xr:uid="{00000000-0005-0000-0000-000061090000}"/>
    <cellStyle name="Input 2 17 2 5 3" xfId="29810" xr:uid="{00000000-0005-0000-0000-000062090000}"/>
    <cellStyle name="Input 2 17 2 6" xfId="28365" xr:uid="{00000000-0005-0000-0000-000063090000}"/>
    <cellStyle name="Input 2 17 2 6 2" xfId="30325" xr:uid="{00000000-0005-0000-0000-000064090000}"/>
    <cellStyle name="Input 2 17 2 7" xfId="29345" xr:uid="{00000000-0005-0000-0000-000065090000}"/>
    <cellStyle name="Input 2 17 2 8" xfId="31305" xr:uid="{00000000-0005-0000-0000-000066090000}"/>
    <cellStyle name="Input 2 17 3" xfId="27431" xr:uid="{00000000-0005-0000-0000-000067090000}"/>
    <cellStyle name="Input 2 17 3 2" xfId="27897" xr:uid="{00000000-0005-0000-0000-000068090000}"/>
    <cellStyle name="Input 2 17 3 2 2" xfId="28884" xr:uid="{00000000-0005-0000-0000-000069090000}"/>
    <cellStyle name="Input 2 17 3 2 2 2" xfId="30844" xr:uid="{00000000-0005-0000-0000-00006A090000}"/>
    <cellStyle name="Input 2 17 3 2 3" xfId="29864" xr:uid="{00000000-0005-0000-0000-00006B090000}"/>
    <cellStyle name="Input 2 17 3 3" xfId="28419" xr:uid="{00000000-0005-0000-0000-00006C090000}"/>
    <cellStyle name="Input 2 17 3 3 2" xfId="30379" xr:uid="{00000000-0005-0000-0000-00006D090000}"/>
    <cellStyle name="Input 2 17 3 4" xfId="29399" xr:uid="{00000000-0005-0000-0000-00006E090000}"/>
    <cellStyle name="Input 2 17 4" xfId="27529" xr:uid="{00000000-0005-0000-0000-00006F090000}"/>
    <cellStyle name="Input 2 17 4 2" xfId="27995" xr:uid="{00000000-0005-0000-0000-000070090000}"/>
    <cellStyle name="Input 2 17 4 2 2" xfId="28982" xr:uid="{00000000-0005-0000-0000-000071090000}"/>
    <cellStyle name="Input 2 17 4 2 2 2" xfId="30942" xr:uid="{00000000-0005-0000-0000-000072090000}"/>
    <cellStyle name="Input 2 17 4 2 3" xfId="29962" xr:uid="{00000000-0005-0000-0000-000073090000}"/>
    <cellStyle name="Input 2 17 4 3" xfId="27741" xr:uid="{00000000-0005-0000-0000-000074090000}"/>
    <cellStyle name="Input 2 17 4 3 2" xfId="28729" xr:uid="{00000000-0005-0000-0000-000075090000}"/>
    <cellStyle name="Input 2 17 4 3 2 2" xfId="30689" xr:uid="{00000000-0005-0000-0000-000076090000}"/>
    <cellStyle name="Input 2 17 4 3 3" xfId="29709" xr:uid="{00000000-0005-0000-0000-000077090000}"/>
    <cellStyle name="Input 2 17 4 4" xfId="28517" xr:uid="{00000000-0005-0000-0000-000078090000}"/>
    <cellStyle name="Input 2 17 4 4 2" xfId="30477" xr:uid="{00000000-0005-0000-0000-000079090000}"/>
    <cellStyle name="Input 2 17 4 5" xfId="29497" xr:uid="{00000000-0005-0000-0000-00007A090000}"/>
    <cellStyle name="Input 2 17 5" xfId="27627" xr:uid="{00000000-0005-0000-0000-00007B090000}"/>
    <cellStyle name="Input 2 17 5 2" xfId="28093" xr:uid="{00000000-0005-0000-0000-00007C090000}"/>
    <cellStyle name="Input 2 17 5 2 2" xfId="29080" xr:uid="{00000000-0005-0000-0000-00007D090000}"/>
    <cellStyle name="Input 2 17 5 2 2 2" xfId="31040" xr:uid="{00000000-0005-0000-0000-00007E090000}"/>
    <cellStyle name="Input 2 17 5 2 3" xfId="30060" xr:uid="{00000000-0005-0000-0000-00007F090000}"/>
    <cellStyle name="Input 2 17 5 3" xfId="27830" xr:uid="{00000000-0005-0000-0000-000080090000}"/>
    <cellStyle name="Input 2 17 5 3 2" xfId="28817" xr:uid="{00000000-0005-0000-0000-000081090000}"/>
    <cellStyle name="Input 2 17 5 3 2 2" xfId="30777" xr:uid="{00000000-0005-0000-0000-000082090000}"/>
    <cellStyle name="Input 2 17 5 3 3" xfId="29797" xr:uid="{00000000-0005-0000-0000-000083090000}"/>
    <cellStyle name="Input 2 17 5 4" xfId="28615" xr:uid="{00000000-0005-0000-0000-000084090000}"/>
    <cellStyle name="Input 2 17 5 4 2" xfId="30575" xr:uid="{00000000-0005-0000-0000-000085090000}"/>
    <cellStyle name="Input 2 17 5 5" xfId="29595" xr:uid="{00000000-0005-0000-0000-000086090000}"/>
    <cellStyle name="Input 2 17 6" xfId="27767" xr:uid="{00000000-0005-0000-0000-000087090000}"/>
    <cellStyle name="Input 2 17 6 2" xfId="28755" xr:uid="{00000000-0005-0000-0000-000088090000}"/>
    <cellStyle name="Input 2 17 6 2 2" xfId="30715" xr:uid="{00000000-0005-0000-0000-000089090000}"/>
    <cellStyle name="Input 2 17 6 3" xfId="29735" xr:uid="{00000000-0005-0000-0000-00008A090000}"/>
    <cellStyle name="Input 2 17 7" xfId="28321" xr:uid="{00000000-0005-0000-0000-00008B090000}"/>
    <cellStyle name="Input 2 17 7 2" xfId="30281" xr:uid="{00000000-0005-0000-0000-00008C090000}"/>
    <cellStyle name="Input 2 17 8" xfId="29301" xr:uid="{00000000-0005-0000-0000-00008D090000}"/>
    <cellStyle name="Input 2 17 9" xfId="31261" xr:uid="{00000000-0005-0000-0000-00008E090000}"/>
    <cellStyle name="Input 2 18" xfId="14999" xr:uid="{00000000-0005-0000-0000-00008F090000}"/>
    <cellStyle name="Input 2 18 2" xfId="27384" xr:uid="{00000000-0005-0000-0000-000090090000}"/>
    <cellStyle name="Input 2 18 2 2" xfId="27495" xr:uid="{00000000-0005-0000-0000-000091090000}"/>
    <cellStyle name="Input 2 18 2 2 2" xfId="27961" xr:uid="{00000000-0005-0000-0000-000092090000}"/>
    <cellStyle name="Input 2 18 2 2 2 2" xfId="28948" xr:uid="{00000000-0005-0000-0000-000093090000}"/>
    <cellStyle name="Input 2 18 2 2 2 2 2" xfId="30908" xr:uid="{00000000-0005-0000-0000-000094090000}"/>
    <cellStyle name="Input 2 18 2 2 2 3" xfId="29928" xr:uid="{00000000-0005-0000-0000-000095090000}"/>
    <cellStyle name="Input 2 18 2 2 3" xfId="28483" xr:uid="{00000000-0005-0000-0000-000096090000}"/>
    <cellStyle name="Input 2 18 2 2 3 2" xfId="30443" xr:uid="{00000000-0005-0000-0000-000097090000}"/>
    <cellStyle name="Input 2 18 2 2 4" xfId="29463" xr:uid="{00000000-0005-0000-0000-000098090000}"/>
    <cellStyle name="Input 2 18 2 3" xfId="27593" xr:uid="{00000000-0005-0000-0000-000099090000}"/>
    <cellStyle name="Input 2 18 2 3 2" xfId="28059" xr:uid="{00000000-0005-0000-0000-00009A090000}"/>
    <cellStyle name="Input 2 18 2 3 2 2" xfId="29046" xr:uid="{00000000-0005-0000-0000-00009B090000}"/>
    <cellStyle name="Input 2 18 2 3 2 2 2" xfId="31006" xr:uid="{00000000-0005-0000-0000-00009C090000}"/>
    <cellStyle name="Input 2 18 2 3 2 3" xfId="30026" xr:uid="{00000000-0005-0000-0000-00009D090000}"/>
    <cellStyle name="Input 2 18 2 3 3" xfId="27823" xr:uid="{00000000-0005-0000-0000-00009E090000}"/>
    <cellStyle name="Input 2 18 2 3 3 2" xfId="28810" xr:uid="{00000000-0005-0000-0000-00009F090000}"/>
    <cellStyle name="Input 2 18 2 3 3 2 2" xfId="30770" xr:uid="{00000000-0005-0000-0000-0000A0090000}"/>
    <cellStyle name="Input 2 18 2 3 3 3" xfId="29790" xr:uid="{00000000-0005-0000-0000-0000A1090000}"/>
    <cellStyle name="Input 2 18 2 3 4" xfId="28581" xr:uid="{00000000-0005-0000-0000-0000A2090000}"/>
    <cellStyle name="Input 2 18 2 3 4 2" xfId="30541" xr:uid="{00000000-0005-0000-0000-0000A3090000}"/>
    <cellStyle name="Input 2 18 2 3 5" xfId="29561" xr:uid="{00000000-0005-0000-0000-0000A4090000}"/>
    <cellStyle name="Input 2 18 2 4" xfId="27691" xr:uid="{00000000-0005-0000-0000-0000A5090000}"/>
    <cellStyle name="Input 2 18 2 4 2" xfId="28157" xr:uid="{00000000-0005-0000-0000-0000A6090000}"/>
    <cellStyle name="Input 2 18 2 4 2 2" xfId="29144" xr:uid="{00000000-0005-0000-0000-0000A7090000}"/>
    <cellStyle name="Input 2 18 2 4 2 2 2" xfId="31104" xr:uid="{00000000-0005-0000-0000-0000A8090000}"/>
    <cellStyle name="Input 2 18 2 4 2 3" xfId="30124" xr:uid="{00000000-0005-0000-0000-0000A9090000}"/>
    <cellStyle name="Input 2 18 2 4 3" xfId="28288" xr:uid="{00000000-0005-0000-0000-0000AA090000}"/>
    <cellStyle name="Input 2 18 2 4 3 2" xfId="29275" xr:uid="{00000000-0005-0000-0000-0000AB090000}"/>
    <cellStyle name="Input 2 18 2 4 3 2 2" xfId="31235" xr:uid="{00000000-0005-0000-0000-0000AC090000}"/>
    <cellStyle name="Input 2 18 2 4 3 3" xfId="30255" xr:uid="{00000000-0005-0000-0000-0000AD090000}"/>
    <cellStyle name="Input 2 18 2 4 4" xfId="28679" xr:uid="{00000000-0005-0000-0000-0000AE090000}"/>
    <cellStyle name="Input 2 18 2 4 4 2" xfId="30639" xr:uid="{00000000-0005-0000-0000-0000AF090000}"/>
    <cellStyle name="Input 2 18 2 4 5" xfId="29659" xr:uid="{00000000-0005-0000-0000-0000B0090000}"/>
    <cellStyle name="Input 2 18 2 5" xfId="27863" xr:uid="{00000000-0005-0000-0000-0000B1090000}"/>
    <cellStyle name="Input 2 18 2 5 2" xfId="28850" xr:uid="{00000000-0005-0000-0000-0000B2090000}"/>
    <cellStyle name="Input 2 18 2 5 2 2" xfId="30810" xr:uid="{00000000-0005-0000-0000-0000B3090000}"/>
    <cellStyle name="Input 2 18 2 5 3" xfId="29830" xr:uid="{00000000-0005-0000-0000-0000B4090000}"/>
    <cellStyle name="Input 2 18 2 6" xfId="28385" xr:uid="{00000000-0005-0000-0000-0000B5090000}"/>
    <cellStyle name="Input 2 18 2 6 2" xfId="30345" xr:uid="{00000000-0005-0000-0000-0000B6090000}"/>
    <cellStyle name="Input 2 18 2 7" xfId="29365" xr:uid="{00000000-0005-0000-0000-0000B7090000}"/>
    <cellStyle name="Input 2 18 2 8" xfId="31325" xr:uid="{00000000-0005-0000-0000-0000B8090000}"/>
    <cellStyle name="Input 2 18 3" xfId="27451" xr:uid="{00000000-0005-0000-0000-0000B9090000}"/>
    <cellStyle name="Input 2 18 3 2" xfId="27917" xr:uid="{00000000-0005-0000-0000-0000BA090000}"/>
    <cellStyle name="Input 2 18 3 2 2" xfId="28904" xr:uid="{00000000-0005-0000-0000-0000BB090000}"/>
    <cellStyle name="Input 2 18 3 2 2 2" xfId="30864" xr:uid="{00000000-0005-0000-0000-0000BC090000}"/>
    <cellStyle name="Input 2 18 3 2 3" xfId="29884" xr:uid="{00000000-0005-0000-0000-0000BD090000}"/>
    <cellStyle name="Input 2 18 3 3" xfId="28439" xr:uid="{00000000-0005-0000-0000-0000BE090000}"/>
    <cellStyle name="Input 2 18 3 3 2" xfId="30399" xr:uid="{00000000-0005-0000-0000-0000BF090000}"/>
    <cellStyle name="Input 2 18 3 4" xfId="29419" xr:uid="{00000000-0005-0000-0000-0000C0090000}"/>
    <cellStyle name="Input 2 18 4" xfId="27549" xr:uid="{00000000-0005-0000-0000-0000C1090000}"/>
    <cellStyle name="Input 2 18 4 2" xfId="28015" xr:uid="{00000000-0005-0000-0000-0000C2090000}"/>
    <cellStyle name="Input 2 18 4 2 2" xfId="29002" xr:uid="{00000000-0005-0000-0000-0000C3090000}"/>
    <cellStyle name="Input 2 18 4 2 2 2" xfId="30962" xr:uid="{00000000-0005-0000-0000-0000C4090000}"/>
    <cellStyle name="Input 2 18 4 2 3" xfId="29982" xr:uid="{00000000-0005-0000-0000-0000C5090000}"/>
    <cellStyle name="Input 2 18 4 3" xfId="27746" xr:uid="{00000000-0005-0000-0000-0000C6090000}"/>
    <cellStyle name="Input 2 18 4 3 2" xfId="28734" xr:uid="{00000000-0005-0000-0000-0000C7090000}"/>
    <cellStyle name="Input 2 18 4 3 2 2" xfId="30694" xr:uid="{00000000-0005-0000-0000-0000C8090000}"/>
    <cellStyle name="Input 2 18 4 3 3" xfId="29714" xr:uid="{00000000-0005-0000-0000-0000C9090000}"/>
    <cellStyle name="Input 2 18 4 4" xfId="28537" xr:uid="{00000000-0005-0000-0000-0000CA090000}"/>
    <cellStyle name="Input 2 18 4 4 2" xfId="30497" xr:uid="{00000000-0005-0000-0000-0000CB090000}"/>
    <cellStyle name="Input 2 18 4 5" xfId="29517" xr:uid="{00000000-0005-0000-0000-0000CC090000}"/>
    <cellStyle name="Input 2 18 5" xfId="27647" xr:uid="{00000000-0005-0000-0000-0000CD090000}"/>
    <cellStyle name="Input 2 18 5 2" xfId="28113" xr:uid="{00000000-0005-0000-0000-0000CE090000}"/>
    <cellStyle name="Input 2 18 5 2 2" xfId="29100" xr:uid="{00000000-0005-0000-0000-0000CF090000}"/>
    <cellStyle name="Input 2 18 5 2 2 2" xfId="31060" xr:uid="{00000000-0005-0000-0000-0000D0090000}"/>
    <cellStyle name="Input 2 18 5 2 3" xfId="30080" xr:uid="{00000000-0005-0000-0000-0000D1090000}"/>
    <cellStyle name="Input 2 18 5 3" xfId="28260" xr:uid="{00000000-0005-0000-0000-0000D2090000}"/>
    <cellStyle name="Input 2 18 5 3 2" xfId="29247" xr:uid="{00000000-0005-0000-0000-0000D3090000}"/>
    <cellStyle name="Input 2 18 5 3 2 2" xfId="31207" xr:uid="{00000000-0005-0000-0000-0000D4090000}"/>
    <cellStyle name="Input 2 18 5 3 3" xfId="30227" xr:uid="{00000000-0005-0000-0000-0000D5090000}"/>
    <cellStyle name="Input 2 18 5 4" xfId="28635" xr:uid="{00000000-0005-0000-0000-0000D6090000}"/>
    <cellStyle name="Input 2 18 5 4 2" xfId="30595" xr:uid="{00000000-0005-0000-0000-0000D7090000}"/>
    <cellStyle name="Input 2 18 5 5" xfId="29615" xr:uid="{00000000-0005-0000-0000-0000D8090000}"/>
    <cellStyle name="Input 2 18 6" xfId="27787" xr:uid="{00000000-0005-0000-0000-0000D9090000}"/>
    <cellStyle name="Input 2 18 6 2" xfId="28775" xr:uid="{00000000-0005-0000-0000-0000DA090000}"/>
    <cellStyle name="Input 2 18 6 2 2" xfId="30735" xr:uid="{00000000-0005-0000-0000-0000DB090000}"/>
    <cellStyle name="Input 2 18 6 3" xfId="29755" xr:uid="{00000000-0005-0000-0000-0000DC090000}"/>
    <cellStyle name="Input 2 18 7" xfId="28341" xr:uid="{00000000-0005-0000-0000-0000DD090000}"/>
    <cellStyle name="Input 2 18 7 2" xfId="30301" xr:uid="{00000000-0005-0000-0000-0000DE090000}"/>
    <cellStyle name="Input 2 18 8" xfId="29321" xr:uid="{00000000-0005-0000-0000-0000DF090000}"/>
    <cellStyle name="Input 2 18 9" xfId="31281" xr:uid="{00000000-0005-0000-0000-0000E0090000}"/>
    <cellStyle name="Input 2 19" xfId="27421" xr:uid="{00000000-0005-0000-0000-0000E1090000}"/>
    <cellStyle name="Input 2 19 2" xfId="27887" xr:uid="{00000000-0005-0000-0000-0000E2090000}"/>
    <cellStyle name="Input 2 19 2 2" xfId="28874" xr:uid="{00000000-0005-0000-0000-0000E3090000}"/>
    <cellStyle name="Input 2 19 2 2 2" xfId="30834" xr:uid="{00000000-0005-0000-0000-0000E4090000}"/>
    <cellStyle name="Input 2 19 2 3" xfId="29854" xr:uid="{00000000-0005-0000-0000-0000E5090000}"/>
    <cellStyle name="Input 2 19 3" xfId="28409" xr:uid="{00000000-0005-0000-0000-0000E6090000}"/>
    <cellStyle name="Input 2 19 3 2" xfId="30369" xr:uid="{00000000-0005-0000-0000-0000E7090000}"/>
    <cellStyle name="Input 2 19 4" xfId="29389" xr:uid="{00000000-0005-0000-0000-0000E8090000}"/>
    <cellStyle name="Input 2 2" xfId="2820" xr:uid="{00000000-0005-0000-0000-0000E9090000}"/>
    <cellStyle name="Input 2 20" xfId="27519" xr:uid="{00000000-0005-0000-0000-0000EA090000}"/>
    <cellStyle name="Input 2 20 2" xfId="27985" xr:uid="{00000000-0005-0000-0000-0000EB090000}"/>
    <cellStyle name="Input 2 20 2 2" xfId="28972" xr:uid="{00000000-0005-0000-0000-0000EC090000}"/>
    <cellStyle name="Input 2 20 2 2 2" xfId="30932" xr:uid="{00000000-0005-0000-0000-0000ED090000}"/>
    <cellStyle name="Input 2 20 2 3" xfId="29952" xr:uid="{00000000-0005-0000-0000-0000EE090000}"/>
    <cellStyle name="Input 2 20 3" xfId="27725" xr:uid="{00000000-0005-0000-0000-0000EF090000}"/>
    <cellStyle name="Input 2 20 3 2" xfId="28713" xr:uid="{00000000-0005-0000-0000-0000F0090000}"/>
    <cellStyle name="Input 2 20 3 2 2" xfId="30673" xr:uid="{00000000-0005-0000-0000-0000F1090000}"/>
    <cellStyle name="Input 2 20 3 3" xfId="29693" xr:uid="{00000000-0005-0000-0000-0000F2090000}"/>
    <cellStyle name="Input 2 20 4" xfId="28507" xr:uid="{00000000-0005-0000-0000-0000F3090000}"/>
    <cellStyle name="Input 2 20 4 2" xfId="30467" xr:uid="{00000000-0005-0000-0000-0000F4090000}"/>
    <cellStyle name="Input 2 20 5" xfId="29487" xr:uid="{00000000-0005-0000-0000-0000F5090000}"/>
    <cellStyle name="Input 2 21" xfId="27617" xr:uid="{00000000-0005-0000-0000-0000F6090000}"/>
    <cellStyle name="Input 2 21 2" xfId="28083" xr:uid="{00000000-0005-0000-0000-0000F7090000}"/>
    <cellStyle name="Input 2 21 2 2" xfId="29070" xr:uid="{00000000-0005-0000-0000-0000F8090000}"/>
    <cellStyle name="Input 2 21 2 2 2" xfId="31030" xr:uid="{00000000-0005-0000-0000-0000F9090000}"/>
    <cellStyle name="Input 2 21 2 3" xfId="30050" xr:uid="{00000000-0005-0000-0000-0000FA090000}"/>
    <cellStyle name="Input 2 21 3" xfId="27735" xr:uid="{00000000-0005-0000-0000-0000FB090000}"/>
    <cellStyle name="Input 2 21 3 2" xfId="28723" xr:uid="{00000000-0005-0000-0000-0000FC090000}"/>
    <cellStyle name="Input 2 21 3 2 2" xfId="30683" xr:uid="{00000000-0005-0000-0000-0000FD090000}"/>
    <cellStyle name="Input 2 21 3 3" xfId="29703" xr:uid="{00000000-0005-0000-0000-0000FE090000}"/>
    <cellStyle name="Input 2 21 4" xfId="28605" xr:uid="{00000000-0005-0000-0000-0000FF090000}"/>
    <cellStyle name="Input 2 21 4 2" xfId="30565" xr:uid="{00000000-0005-0000-0000-0000000A0000}"/>
    <cellStyle name="Input 2 21 5" xfId="29585" xr:uid="{00000000-0005-0000-0000-0000010A0000}"/>
    <cellStyle name="Input 2 22" xfId="27716" xr:uid="{00000000-0005-0000-0000-0000020A0000}"/>
    <cellStyle name="Input 2 22 2" xfId="28704" xr:uid="{00000000-0005-0000-0000-0000030A0000}"/>
    <cellStyle name="Input 2 22 2 2" xfId="30664" xr:uid="{00000000-0005-0000-0000-0000040A0000}"/>
    <cellStyle name="Input 2 22 3" xfId="29684" xr:uid="{00000000-0005-0000-0000-0000050A0000}"/>
    <cellStyle name="Input 2 23" xfId="28311" xr:uid="{00000000-0005-0000-0000-0000060A0000}"/>
    <cellStyle name="Input 2 23 2" xfId="30271" xr:uid="{00000000-0005-0000-0000-0000070A0000}"/>
    <cellStyle name="Input 2 24" xfId="29291" xr:uid="{00000000-0005-0000-0000-0000080A0000}"/>
    <cellStyle name="Input 2 25" xfId="31251" xr:uid="{00000000-0005-0000-0000-0000090A0000}"/>
    <cellStyle name="Input 2 3" xfId="2821" xr:uid="{00000000-0005-0000-0000-00000A0A0000}"/>
    <cellStyle name="Input 2 4" xfId="2822" xr:uid="{00000000-0005-0000-0000-00000B0A0000}"/>
    <cellStyle name="Input 2 5" xfId="2823" xr:uid="{00000000-0005-0000-0000-00000C0A0000}"/>
    <cellStyle name="Input 2 6" xfId="2824" xr:uid="{00000000-0005-0000-0000-00000D0A0000}"/>
    <cellStyle name="Input 2 7" xfId="2825" xr:uid="{00000000-0005-0000-0000-00000E0A0000}"/>
    <cellStyle name="Input 2 8" xfId="2826" xr:uid="{00000000-0005-0000-0000-00000F0A0000}"/>
    <cellStyle name="Input 2 9" xfId="2827" xr:uid="{00000000-0005-0000-0000-0000100A0000}"/>
    <cellStyle name="Input 20" xfId="2828" xr:uid="{00000000-0005-0000-0000-0000110A0000}"/>
    <cellStyle name="Input 21" xfId="2829" xr:uid="{00000000-0005-0000-0000-0000120A0000}"/>
    <cellStyle name="Input 22" xfId="2830" xr:uid="{00000000-0005-0000-0000-0000130A0000}"/>
    <cellStyle name="Input 23" xfId="2831" xr:uid="{00000000-0005-0000-0000-0000140A0000}"/>
    <cellStyle name="Input 24" xfId="2832" xr:uid="{00000000-0005-0000-0000-0000150A0000}"/>
    <cellStyle name="Input 3" xfId="1593" xr:uid="{00000000-0005-0000-0000-0000160A0000}"/>
    <cellStyle name="Input 3 10" xfId="29292" xr:uid="{00000000-0005-0000-0000-0000170A0000}"/>
    <cellStyle name="Input 3 11" xfId="31252" xr:uid="{00000000-0005-0000-0000-0000180A0000}"/>
    <cellStyle name="Input 3 2" xfId="14962" xr:uid="{00000000-0005-0000-0000-0000190A0000}"/>
    <cellStyle name="Input 3 2 10" xfId="31272" xr:uid="{00000000-0005-0000-0000-00001A0A0000}"/>
    <cellStyle name="Input 3 2 2" xfId="15008" xr:uid="{00000000-0005-0000-0000-00001B0A0000}"/>
    <cellStyle name="Input 3 2 2 2" xfId="27393" xr:uid="{00000000-0005-0000-0000-00001C0A0000}"/>
    <cellStyle name="Input 3 2 2 2 2" xfId="27504" xr:uid="{00000000-0005-0000-0000-00001D0A0000}"/>
    <cellStyle name="Input 3 2 2 2 2 2" xfId="27970" xr:uid="{00000000-0005-0000-0000-00001E0A0000}"/>
    <cellStyle name="Input 3 2 2 2 2 2 2" xfId="28957" xr:uid="{00000000-0005-0000-0000-00001F0A0000}"/>
    <cellStyle name="Input 3 2 2 2 2 2 2 2" xfId="30917" xr:uid="{00000000-0005-0000-0000-0000200A0000}"/>
    <cellStyle name="Input 3 2 2 2 2 2 3" xfId="29937" xr:uid="{00000000-0005-0000-0000-0000210A0000}"/>
    <cellStyle name="Input 3 2 2 2 2 3" xfId="28492" xr:uid="{00000000-0005-0000-0000-0000220A0000}"/>
    <cellStyle name="Input 3 2 2 2 2 3 2" xfId="30452" xr:uid="{00000000-0005-0000-0000-0000230A0000}"/>
    <cellStyle name="Input 3 2 2 2 2 4" xfId="29472" xr:uid="{00000000-0005-0000-0000-0000240A0000}"/>
    <cellStyle name="Input 3 2 2 2 3" xfId="27602" xr:uid="{00000000-0005-0000-0000-0000250A0000}"/>
    <cellStyle name="Input 3 2 2 2 3 2" xfId="28068" xr:uid="{00000000-0005-0000-0000-0000260A0000}"/>
    <cellStyle name="Input 3 2 2 2 3 2 2" xfId="29055" xr:uid="{00000000-0005-0000-0000-0000270A0000}"/>
    <cellStyle name="Input 3 2 2 2 3 2 2 2" xfId="31015" xr:uid="{00000000-0005-0000-0000-0000280A0000}"/>
    <cellStyle name="Input 3 2 2 2 3 2 3" xfId="30035" xr:uid="{00000000-0005-0000-0000-0000290A0000}"/>
    <cellStyle name="Input 3 2 2 2 3 3" xfId="27825" xr:uid="{00000000-0005-0000-0000-00002A0A0000}"/>
    <cellStyle name="Input 3 2 2 2 3 3 2" xfId="28812" xr:uid="{00000000-0005-0000-0000-00002B0A0000}"/>
    <cellStyle name="Input 3 2 2 2 3 3 2 2" xfId="30772" xr:uid="{00000000-0005-0000-0000-00002C0A0000}"/>
    <cellStyle name="Input 3 2 2 2 3 3 3" xfId="29792" xr:uid="{00000000-0005-0000-0000-00002D0A0000}"/>
    <cellStyle name="Input 3 2 2 2 3 4" xfId="28590" xr:uid="{00000000-0005-0000-0000-00002E0A0000}"/>
    <cellStyle name="Input 3 2 2 2 3 4 2" xfId="30550" xr:uid="{00000000-0005-0000-0000-00002F0A0000}"/>
    <cellStyle name="Input 3 2 2 2 3 5" xfId="29570" xr:uid="{00000000-0005-0000-0000-0000300A0000}"/>
    <cellStyle name="Input 3 2 2 2 4" xfId="27700" xr:uid="{00000000-0005-0000-0000-0000310A0000}"/>
    <cellStyle name="Input 3 2 2 2 4 2" xfId="28166" xr:uid="{00000000-0005-0000-0000-0000320A0000}"/>
    <cellStyle name="Input 3 2 2 2 4 2 2" xfId="29153" xr:uid="{00000000-0005-0000-0000-0000330A0000}"/>
    <cellStyle name="Input 3 2 2 2 4 2 2 2" xfId="31113" xr:uid="{00000000-0005-0000-0000-0000340A0000}"/>
    <cellStyle name="Input 3 2 2 2 4 2 3" xfId="30133" xr:uid="{00000000-0005-0000-0000-0000350A0000}"/>
    <cellStyle name="Input 3 2 2 2 4 3" xfId="28293" xr:uid="{00000000-0005-0000-0000-0000360A0000}"/>
    <cellStyle name="Input 3 2 2 2 4 3 2" xfId="29280" xr:uid="{00000000-0005-0000-0000-0000370A0000}"/>
    <cellStyle name="Input 3 2 2 2 4 3 2 2" xfId="31240" xr:uid="{00000000-0005-0000-0000-0000380A0000}"/>
    <cellStyle name="Input 3 2 2 2 4 3 3" xfId="30260" xr:uid="{00000000-0005-0000-0000-0000390A0000}"/>
    <cellStyle name="Input 3 2 2 2 4 4" xfId="28688" xr:uid="{00000000-0005-0000-0000-00003A0A0000}"/>
    <cellStyle name="Input 3 2 2 2 4 4 2" xfId="30648" xr:uid="{00000000-0005-0000-0000-00003B0A0000}"/>
    <cellStyle name="Input 3 2 2 2 4 5" xfId="29668" xr:uid="{00000000-0005-0000-0000-00003C0A0000}"/>
    <cellStyle name="Input 3 2 2 2 5" xfId="27872" xr:uid="{00000000-0005-0000-0000-00003D0A0000}"/>
    <cellStyle name="Input 3 2 2 2 5 2" xfId="28859" xr:uid="{00000000-0005-0000-0000-00003E0A0000}"/>
    <cellStyle name="Input 3 2 2 2 5 2 2" xfId="30819" xr:uid="{00000000-0005-0000-0000-00003F0A0000}"/>
    <cellStyle name="Input 3 2 2 2 5 3" xfId="29839" xr:uid="{00000000-0005-0000-0000-0000400A0000}"/>
    <cellStyle name="Input 3 2 2 2 6" xfId="28394" xr:uid="{00000000-0005-0000-0000-0000410A0000}"/>
    <cellStyle name="Input 3 2 2 2 6 2" xfId="30354" xr:uid="{00000000-0005-0000-0000-0000420A0000}"/>
    <cellStyle name="Input 3 2 2 2 7" xfId="29374" xr:uid="{00000000-0005-0000-0000-0000430A0000}"/>
    <cellStyle name="Input 3 2 2 2 8" xfId="31334" xr:uid="{00000000-0005-0000-0000-0000440A0000}"/>
    <cellStyle name="Input 3 2 2 3" xfId="27460" xr:uid="{00000000-0005-0000-0000-0000450A0000}"/>
    <cellStyle name="Input 3 2 2 3 2" xfId="27926" xr:uid="{00000000-0005-0000-0000-0000460A0000}"/>
    <cellStyle name="Input 3 2 2 3 2 2" xfId="28913" xr:uid="{00000000-0005-0000-0000-0000470A0000}"/>
    <cellStyle name="Input 3 2 2 3 2 2 2" xfId="30873" xr:uid="{00000000-0005-0000-0000-0000480A0000}"/>
    <cellStyle name="Input 3 2 2 3 2 3" xfId="29893" xr:uid="{00000000-0005-0000-0000-0000490A0000}"/>
    <cellStyle name="Input 3 2 2 3 3" xfId="28448" xr:uid="{00000000-0005-0000-0000-00004A0A0000}"/>
    <cellStyle name="Input 3 2 2 3 3 2" xfId="30408" xr:uid="{00000000-0005-0000-0000-00004B0A0000}"/>
    <cellStyle name="Input 3 2 2 3 4" xfId="29428" xr:uid="{00000000-0005-0000-0000-00004C0A0000}"/>
    <cellStyle name="Input 3 2 2 4" xfId="27558" xr:uid="{00000000-0005-0000-0000-00004D0A0000}"/>
    <cellStyle name="Input 3 2 2 4 2" xfId="28024" xr:uid="{00000000-0005-0000-0000-00004E0A0000}"/>
    <cellStyle name="Input 3 2 2 4 2 2" xfId="29011" xr:uid="{00000000-0005-0000-0000-00004F0A0000}"/>
    <cellStyle name="Input 3 2 2 4 2 2 2" xfId="30971" xr:uid="{00000000-0005-0000-0000-0000500A0000}"/>
    <cellStyle name="Input 3 2 2 4 2 3" xfId="29991" xr:uid="{00000000-0005-0000-0000-0000510A0000}"/>
    <cellStyle name="Input 3 2 2 4 3" xfId="27817" xr:uid="{00000000-0005-0000-0000-0000520A0000}"/>
    <cellStyle name="Input 3 2 2 4 3 2" xfId="28804" xr:uid="{00000000-0005-0000-0000-0000530A0000}"/>
    <cellStyle name="Input 3 2 2 4 3 2 2" xfId="30764" xr:uid="{00000000-0005-0000-0000-0000540A0000}"/>
    <cellStyle name="Input 3 2 2 4 3 3" xfId="29784" xr:uid="{00000000-0005-0000-0000-0000550A0000}"/>
    <cellStyle name="Input 3 2 2 4 4" xfId="28546" xr:uid="{00000000-0005-0000-0000-0000560A0000}"/>
    <cellStyle name="Input 3 2 2 4 4 2" xfId="30506" xr:uid="{00000000-0005-0000-0000-0000570A0000}"/>
    <cellStyle name="Input 3 2 2 4 5" xfId="29526" xr:uid="{00000000-0005-0000-0000-0000580A0000}"/>
    <cellStyle name="Input 3 2 2 5" xfId="27656" xr:uid="{00000000-0005-0000-0000-0000590A0000}"/>
    <cellStyle name="Input 3 2 2 5 2" xfId="28122" xr:uid="{00000000-0005-0000-0000-00005A0A0000}"/>
    <cellStyle name="Input 3 2 2 5 2 2" xfId="29109" xr:uid="{00000000-0005-0000-0000-00005B0A0000}"/>
    <cellStyle name="Input 3 2 2 5 2 2 2" xfId="31069" xr:uid="{00000000-0005-0000-0000-00005C0A0000}"/>
    <cellStyle name="Input 3 2 2 5 2 3" xfId="30089" xr:uid="{00000000-0005-0000-0000-00005D0A0000}"/>
    <cellStyle name="Input 3 2 2 5 3" xfId="28265" xr:uid="{00000000-0005-0000-0000-00005E0A0000}"/>
    <cellStyle name="Input 3 2 2 5 3 2" xfId="29252" xr:uid="{00000000-0005-0000-0000-00005F0A0000}"/>
    <cellStyle name="Input 3 2 2 5 3 2 2" xfId="31212" xr:uid="{00000000-0005-0000-0000-0000600A0000}"/>
    <cellStyle name="Input 3 2 2 5 3 3" xfId="30232" xr:uid="{00000000-0005-0000-0000-0000610A0000}"/>
    <cellStyle name="Input 3 2 2 5 4" xfId="28644" xr:uid="{00000000-0005-0000-0000-0000620A0000}"/>
    <cellStyle name="Input 3 2 2 5 4 2" xfId="30604" xr:uid="{00000000-0005-0000-0000-0000630A0000}"/>
    <cellStyle name="Input 3 2 2 5 5" xfId="29624" xr:uid="{00000000-0005-0000-0000-0000640A0000}"/>
    <cellStyle name="Input 3 2 2 6" xfId="27796" xr:uid="{00000000-0005-0000-0000-0000650A0000}"/>
    <cellStyle name="Input 3 2 2 6 2" xfId="28784" xr:uid="{00000000-0005-0000-0000-0000660A0000}"/>
    <cellStyle name="Input 3 2 2 6 2 2" xfId="30744" xr:uid="{00000000-0005-0000-0000-0000670A0000}"/>
    <cellStyle name="Input 3 2 2 6 3" xfId="29764" xr:uid="{00000000-0005-0000-0000-0000680A0000}"/>
    <cellStyle name="Input 3 2 2 7" xfId="28350" xr:uid="{00000000-0005-0000-0000-0000690A0000}"/>
    <cellStyle name="Input 3 2 2 7 2" xfId="30310" xr:uid="{00000000-0005-0000-0000-00006A0A0000}"/>
    <cellStyle name="Input 3 2 2 8" xfId="29330" xr:uid="{00000000-0005-0000-0000-00006B0A0000}"/>
    <cellStyle name="Input 3 2 2 9" xfId="31290" xr:uid="{00000000-0005-0000-0000-00006C0A0000}"/>
    <cellStyle name="Input 3 2 3" xfId="27375" xr:uid="{00000000-0005-0000-0000-00006D0A0000}"/>
    <cellStyle name="Input 3 2 3 2" xfId="27486" xr:uid="{00000000-0005-0000-0000-00006E0A0000}"/>
    <cellStyle name="Input 3 2 3 2 2" xfId="27952" xr:uid="{00000000-0005-0000-0000-00006F0A0000}"/>
    <cellStyle name="Input 3 2 3 2 2 2" xfId="28939" xr:uid="{00000000-0005-0000-0000-0000700A0000}"/>
    <cellStyle name="Input 3 2 3 2 2 2 2" xfId="30899" xr:uid="{00000000-0005-0000-0000-0000710A0000}"/>
    <cellStyle name="Input 3 2 3 2 2 3" xfId="29919" xr:uid="{00000000-0005-0000-0000-0000720A0000}"/>
    <cellStyle name="Input 3 2 3 2 3" xfId="28474" xr:uid="{00000000-0005-0000-0000-0000730A0000}"/>
    <cellStyle name="Input 3 2 3 2 3 2" xfId="30434" xr:uid="{00000000-0005-0000-0000-0000740A0000}"/>
    <cellStyle name="Input 3 2 3 2 4" xfId="29454" xr:uid="{00000000-0005-0000-0000-0000750A0000}"/>
    <cellStyle name="Input 3 2 3 3" xfId="27584" xr:uid="{00000000-0005-0000-0000-0000760A0000}"/>
    <cellStyle name="Input 3 2 3 3 2" xfId="28050" xr:uid="{00000000-0005-0000-0000-0000770A0000}"/>
    <cellStyle name="Input 3 2 3 3 2 2" xfId="29037" xr:uid="{00000000-0005-0000-0000-0000780A0000}"/>
    <cellStyle name="Input 3 2 3 3 2 2 2" xfId="30997" xr:uid="{00000000-0005-0000-0000-0000790A0000}"/>
    <cellStyle name="Input 3 2 3 3 2 3" xfId="30017" xr:uid="{00000000-0005-0000-0000-00007A0A0000}"/>
    <cellStyle name="Input 3 2 3 3 3" xfId="27822" xr:uid="{00000000-0005-0000-0000-00007B0A0000}"/>
    <cellStyle name="Input 3 2 3 3 3 2" xfId="28809" xr:uid="{00000000-0005-0000-0000-00007C0A0000}"/>
    <cellStyle name="Input 3 2 3 3 3 2 2" xfId="30769" xr:uid="{00000000-0005-0000-0000-00007D0A0000}"/>
    <cellStyle name="Input 3 2 3 3 3 3" xfId="29789" xr:uid="{00000000-0005-0000-0000-00007E0A0000}"/>
    <cellStyle name="Input 3 2 3 3 4" xfId="28572" xr:uid="{00000000-0005-0000-0000-00007F0A0000}"/>
    <cellStyle name="Input 3 2 3 3 4 2" xfId="30532" xr:uid="{00000000-0005-0000-0000-0000800A0000}"/>
    <cellStyle name="Input 3 2 3 3 5" xfId="29552" xr:uid="{00000000-0005-0000-0000-0000810A0000}"/>
    <cellStyle name="Input 3 2 3 4" xfId="27682" xr:uid="{00000000-0005-0000-0000-0000820A0000}"/>
    <cellStyle name="Input 3 2 3 4 2" xfId="28148" xr:uid="{00000000-0005-0000-0000-0000830A0000}"/>
    <cellStyle name="Input 3 2 3 4 2 2" xfId="29135" xr:uid="{00000000-0005-0000-0000-0000840A0000}"/>
    <cellStyle name="Input 3 2 3 4 2 2 2" xfId="31095" xr:uid="{00000000-0005-0000-0000-0000850A0000}"/>
    <cellStyle name="Input 3 2 3 4 2 3" xfId="30115" xr:uid="{00000000-0005-0000-0000-0000860A0000}"/>
    <cellStyle name="Input 3 2 3 4 3" xfId="28283" xr:uid="{00000000-0005-0000-0000-0000870A0000}"/>
    <cellStyle name="Input 3 2 3 4 3 2" xfId="29270" xr:uid="{00000000-0005-0000-0000-0000880A0000}"/>
    <cellStyle name="Input 3 2 3 4 3 2 2" xfId="31230" xr:uid="{00000000-0005-0000-0000-0000890A0000}"/>
    <cellStyle name="Input 3 2 3 4 3 3" xfId="30250" xr:uid="{00000000-0005-0000-0000-00008A0A0000}"/>
    <cellStyle name="Input 3 2 3 4 4" xfId="28670" xr:uid="{00000000-0005-0000-0000-00008B0A0000}"/>
    <cellStyle name="Input 3 2 3 4 4 2" xfId="30630" xr:uid="{00000000-0005-0000-0000-00008C0A0000}"/>
    <cellStyle name="Input 3 2 3 4 5" xfId="29650" xr:uid="{00000000-0005-0000-0000-00008D0A0000}"/>
    <cellStyle name="Input 3 2 3 5" xfId="27854" xr:uid="{00000000-0005-0000-0000-00008E0A0000}"/>
    <cellStyle name="Input 3 2 3 5 2" xfId="28841" xr:uid="{00000000-0005-0000-0000-00008F0A0000}"/>
    <cellStyle name="Input 3 2 3 5 2 2" xfId="30801" xr:uid="{00000000-0005-0000-0000-0000900A0000}"/>
    <cellStyle name="Input 3 2 3 5 3" xfId="29821" xr:uid="{00000000-0005-0000-0000-0000910A0000}"/>
    <cellStyle name="Input 3 2 3 6" xfId="28376" xr:uid="{00000000-0005-0000-0000-0000920A0000}"/>
    <cellStyle name="Input 3 2 3 6 2" xfId="30336" xr:uid="{00000000-0005-0000-0000-0000930A0000}"/>
    <cellStyle name="Input 3 2 3 7" xfId="29356" xr:uid="{00000000-0005-0000-0000-0000940A0000}"/>
    <cellStyle name="Input 3 2 3 8" xfId="31316" xr:uid="{00000000-0005-0000-0000-0000950A0000}"/>
    <cellStyle name="Input 3 2 4" xfId="27442" xr:uid="{00000000-0005-0000-0000-0000960A0000}"/>
    <cellStyle name="Input 3 2 4 2" xfId="27908" xr:uid="{00000000-0005-0000-0000-0000970A0000}"/>
    <cellStyle name="Input 3 2 4 2 2" xfId="28895" xr:uid="{00000000-0005-0000-0000-0000980A0000}"/>
    <cellStyle name="Input 3 2 4 2 2 2" xfId="30855" xr:uid="{00000000-0005-0000-0000-0000990A0000}"/>
    <cellStyle name="Input 3 2 4 2 3" xfId="29875" xr:uid="{00000000-0005-0000-0000-00009A0A0000}"/>
    <cellStyle name="Input 3 2 4 3" xfId="28430" xr:uid="{00000000-0005-0000-0000-00009B0A0000}"/>
    <cellStyle name="Input 3 2 4 3 2" xfId="30390" xr:uid="{00000000-0005-0000-0000-00009C0A0000}"/>
    <cellStyle name="Input 3 2 4 4" xfId="29410" xr:uid="{00000000-0005-0000-0000-00009D0A0000}"/>
    <cellStyle name="Input 3 2 5" xfId="27540" xr:uid="{00000000-0005-0000-0000-00009E0A0000}"/>
    <cellStyle name="Input 3 2 5 2" xfId="28006" xr:uid="{00000000-0005-0000-0000-00009F0A0000}"/>
    <cellStyle name="Input 3 2 5 2 2" xfId="28993" xr:uid="{00000000-0005-0000-0000-0000A00A0000}"/>
    <cellStyle name="Input 3 2 5 2 2 2" xfId="30953" xr:uid="{00000000-0005-0000-0000-0000A10A0000}"/>
    <cellStyle name="Input 3 2 5 2 3" xfId="29973" xr:uid="{00000000-0005-0000-0000-0000A20A0000}"/>
    <cellStyle name="Input 3 2 5 3" xfId="27813" xr:uid="{00000000-0005-0000-0000-0000A30A0000}"/>
    <cellStyle name="Input 3 2 5 3 2" xfId="28800" xr:uid="{00000000-0005-0000-0000-0000A40A0000}"/>
    <cellStyle name="Input 3 2 5 3 2 2" xfId="30760" xr:uid="{00000000-0005-0000-0000-0000A50A0000}"/>
    <cellStyle name="Input 3 2 5 3 3" xfId="29780" xr:uid="{00000000-0005-0000-0000-0000A60A0000}"/>
    <cellStyle name="Input 3 2 5 4" xfId="28528" xr:uid="{00000000-0005-0000-0000-0000A70A0000}"/>
    <cellStyle name="Input 3 2 5 4 2" xfId="30488" xr:uid="{00000000-0005-0000-0000-0000A80A0000}"/>
    <cellStyle name="Input 3 2 5 5" xfId="29508" xr:uid="{00000000-0005-0000-0000-0000A90A0000}"/>
    <cellStyle name="Input 3 2 6" xfId="27638" xr:uid="{00000000-0005-0000-0000-0000AA0A0000}"/>
    <cellStyle name="Input 3 2 6 2" xfId="28104" xr:uid="{00000000-0005-0000-0000-0000AB0A0000}"/>
    <cellStyle name="Input 3 2 6 2 2" xfId="29091" xr:uid="{00000000-0005-0000-0000-0000AC0A0000}"/>
    <cellStyle name="Input 3 2 6 2 2 2" xfId="31051" xr:uid="{00000000-0005-0000-0000-0000AD0A0000}"/>
    <cellStyle name="Input 3 2 6 2 3" xfId="30071" xr:uid="{00000000-0005-0000-0000-0000AE0A0000}"/>
    <cellStyle name="Input 3 2 6 3" xfId="28255" xr:uid="{00000000-0005-0000-0000-0000AF0A0000}"/>
    <cellStyle name="Input 3 2 6 3 2" xfId="29242" xr:uid="{00000000-0005-0000-0000-0000B00A0000}"/>
    <cellStyle name="Input 3 2 6 3 2 2" xfId="31202" xr:uid="{00000000-0005-0000-0000-0000B10A0000}"/>
    <cellStyle name="Input 3 2 6 3 3" xfId="30222" xr:uid="{00000000-0005-0000-0000-0000B20A0000}"/>
    <cellStyle name="Input 3 2 6 4" xfId="28626" xr:uid="{00000000-0005-0000-0000-0000B30A0000}"/>
    <cellStyle name="Input 3 2 6 4 2" xfId="30586" xr:uid="{00000000-0005-0000-0000-0000B40A0000}"/>
    <cellStyle name="Input 3 2 6 5" xfId="29606" xr:uid="{00000000-0005-0000-0000-0000B50A0000}"/>
    <cellStyle name="Input 3 2 7" xfId="27778" xr:uid="{00000000-0005-0000-0000-0000B60A0000}"/>
    <cellStyle name="Input 3 2 7 2" xfId="28766" xr:uid="{00000000-0005-0000-0000-0000B70A0000}"/>
    <cellStyle name="Input 3 2 7 2 2" xfId="30726" xr:uid="{00000000-0005-0000-0000-0000B80A0000}"/>
    <cellStyle name="Input 3 2 7 3" xfId="29746" xr:uid="{00000000-0005-0000-0000-0000B90A0000}"/>
    <cellStyle name="Input 3 2 8" xfId="28332" xr:uid="{00000000-0005-0000-0000-0000BA0A0000}"/>
    <cellStyle name="Input 3 2 8 2" xfId="30292" xr:uid="{00000000-0005-0000-0000-0000BB0A0000}"/>
    <cellStyle name="Input 3 2 9" xfId="29312" xr:uid="{00000000-0005-0000-0000-0000BC0A0000}"/>
    <cellStyle name="Input 3 3" xfId="14945" xr:uid="{00000000-0005-0000-0000-0000BD0A0000}"/>
    <cellStyle name="Input 3 3 2" xfId="27365" xr:uid="{00000000-0005-0000-0000-0000BE0A0000}"/>
    <cellStyle name="Input 3 3 2 2" xfId="27476" xr:uid="{00000000-0005-0000-0000-0000BF0A0000}"/>
    <cellStyle name="Input 3 3 2 2 2" xfId="27942" xr:uid="{00000000-0005-0000-0000-0000C00A0000}"/>
    <cellStyle name="Input 3 3 2 2 2 2" xfId="28929" xr:uid="{00000000-0005-0000-0000-0000C10A0000}"/>
    <cellStyle name="Input 3 3 2 2 2 2 2" xfId="30889" xr:uid="{00000000-0005-0000-0000-0000C20A0000}"/>
    <cellStyle name="Input 3 3 2 2 2 3" xfId="29909" xr:uid="{00000000-0005-0000-0000-0000C30A0000}"/>
    <cellStyle name="Input 3 3 2 2 3" xfId="28464" xr:uid="{00000000-0005-0000-0000-0000C40A0000}"/>
    <cellStyle name="Input 3 3 2 2 3 2" xfId="30424" xr:uid="{00000000-0005-0000-0000-0000C50A0000}"/>
    <cellStyle name="Input 3 3 2 2 4" xfId="29444" xr:uid="{00000000-0005-0000-0000-0000C60A0000}"/>
    <cellStyle name="Input 3 3 2 3" xfId="27574" xr:uid="{00000000-0005-0000-0000-0000C70A0000}"/>
    <cellStyle name="Input 3 3 2 3 2" xfId="28040" xr:uid="{00000000-0005-0000-0000-0000C80A0000}"/>
    <cellStyle name="Input 3 3 2 3 2 2" xfId="29027" xr:uid="{00000000-0005-0000-0000-0000C90A0000}"/>
    <cellStyle name="Input 3 3 2 3 2 2 2" xfId="30987" xr:uid="{00000000-0005-0000-0000-0000CA0A0000}"/>
    <cellStyle name="Input 3 3 2 3 2 3" xfId="30007" xr:uid="{00000000-0005-0000-0000-0000CB0A0000}"/>
    <cellStyle name="Input 3 3 2 3 3" xfId="27731" xr:uid="{00000000-0005-0000-0000-0000CC0A0000}"/>
    <cellStyle name="Input 3 3 2 3 3 2" xfId="28719" xr:uid="{00000000-0005-0000-0000-0000CD0A0000}"/>
    <cellStyle name="Input 3 3 2 3 3 2 2" xfId="30679" xr:uid="{00000000-0005-0000-0000-0000CE0A0000}"/>
    <cellStyle name="Input 3 3 2 3 3 3" xfId="29699" xr:uid="{00000000-0005-0000-0000-0000CF0A0000}"/>
    <cellStyle name="Input 3 3 2 3 4" xfId="28562" xr:uid="{00000000-0005-0000-0000-0000D00A0000}"/>
    <cellStyle name="Input 3 3 2 3 4 2" xfId="30522" xr:uid="{00000000-0005-0000-0000-0000D10A0000}"/>
    <cellStyle name="Input 3 3 2 3 5" xfId="29542" xr:uid="{00000000-0005-0000-0000-0000D20A0000}"/>
    <cellStyle name="Input 3 3 2 4" xfId="27672" xr:uid="{00000000-0005-0000-0000-0000D30A0000}"/>
    <cellStyle name="Input 3 3 2 4 2" xfId="28138" xr:uid="{00000000-0005-0000-0000-0000D40A0000}"/>
    <cellStyle name="Input 3 3 2 4 2 2" xfId="29125" xr:uid="{00000000-0005-0000-0000-0000D50A0000}"/>
    <cellStyle name="Input 3 3 2 4 2 2 2" xfId="31085" xr:uid="{00000000-0005-0000-0000-0000D60A0000}"/>
    <cellStyle name="Input 3 3 2 4 2 3" xfId="30105" xr:uid="{00000000-0005-0000-0000-0000D70A0000}"/>
    <cellStyle name="Input 3 3 2 4 3" xfId="28277" xr:uid="{00000000-0005-0000-0000-0000D80A0000}"/>
    <cellStyle name="Input 3 3 2 4 3 2" xfId="29264" xr:uid="{00000000-0005-0000-0000-0000D90A0000}"/>
    <cellStyle name="Input 3 3 2 4 3 2 2" xfId="31224" xr:uid="{00000000-0005-0000-0000-0000DA0A0000}"/>
    <cellStyle name="Input 3 3 2 4 3 3" xfId="30244" xr:uid="{00000000-0005-0000-0000-0000DB0A0000}"/>
    <cellStyle name="Input 3 3 2 4 4" xfId="28660" xr:uid="{00000000-0005-0000-0000-0000DC0A0000}"/>
    <cellStyle name="Input 3 3 2 4 4 2" xfId="30620" xr:uid="{00000000-0005-0000-0000-0000DD0A0000}"/>
    <cellStyle name="Input 3 3 2 4 5" xfId="29640" xr:uid="{00000000-0005-0000-0000-0000DE0A0000}"/>
    <cellStyle name="Input 3 3 2 5" xfId="27844" xr:uid="{00000000-0005-0000-0000-0000DF0A0000}"/>
    <cellStyle name="Input 3 3 2 5 2" xfId="28831" xr:uid="{00000000-0005-0000-0000-0000E00A0000}"/>
    <cellStyle name="Input 3 3 2 5 2 2" xfId="30791" xr:uid="{00000000-0005-0000-0000-0000E10A0000}"/>
    <cellStyle name="Input 3 3 2 5 3" xfId="29811" xr:uid="{00000000-0005-0000-0000-0000E20A0000}"/>
    <cellStyle name="Input 3 3 2 6" xfId="28366" xr:uid="{00000000-0005-0000-0000-0000E30A0000}"/>
    <cellStyle name="Input 3 3 2 6 2" xfId="30326" xr:uid="{00000000-0005-0000-0000-0000E40A0000}"/>
    <cellStyle name="Input 3 3 2 7" xfId="29346" xr:uid="{00000000-0005-0000-0000-0000E50A0000}"/>
    <cellStyle name="Input 3 3 2 8" xfId="31306" xr:uid="{00000000-0005-0000-0000-0000E60A0000}"/>
    <cellStyle name="Input 3 3 3" xfId="27432" xr:uid="{00000000-0005-0000-0000-0000E70A0000}"/>
    <cellStyle name="Input 3 3 3 2" xfId="27898" xr:uid="{00000000-0005-0000-0000-0000E80A0000}"/>
    <cellStyle name="Input 3 3 3 2 2" xfId="28885" xr:uid="{00000000-0005-0000-0000-0000E90A0000}"/>
    <cellStyle name="Input 3 3 3 2 2 2" xfId="30845" xr:uid="{00000000-0005-0000-0000-0000EA0A0000}"/>
    <cellStyle name="Input 3 3 3 2 3" xfId="29865" xr:uid="{00000000-0005-0000-0000-0000EB0A0000}"/>
    <cellStyle name="Input 3 3 3 3" xfId="28420" xr:uid="{00000000-0005-0000-0000-0000EC0A0000}"/>
    <cellStyle name="Input 3 3 3 3 2" xfId="30380" xr:uid="{00000000-0005-0000-0000-0000ED0A0000}"/>
    <cellStyle name="Input 3 3 3 4" xfId="29400" xr:uid="{00000000-0005-0000-0000-0000EE0A0000}"/>
    <cellStyle name="Input 3 3 4" xfId="27530" xr:uid="{00000000-0005-0000-0000-0000EF0A0000}"/>
    <cellStyle name="Input 3 3 4 2" xfId="27996" xr:uid="{00000000-0005-0000-0000-0000F00A0000}"/>
    <cellStyle name="Input 3 3 4 2 2" xfId="28983" xr:uid="{00000000-0005-0000-0000-0000F10A0000}"/>
    <cellStyle name="Input 3 3 4 2 2 2" xfId="30943" xr:uid="{00000000-0005-0000-0000-0000F20A0000}"/>
    <cellStyle name="Input 3 3 4 2 3" xfId="29963" xr:uid="{00000000-0005-0000-0000-0000F30A0000}"/>
    <cellStyle name="Input 3 3 4 3" xfId="27811" xr:uid="{00000000-0005-0000-0000-0000F40A0000}"/>
    <cellStyle name="Input 3 3 4 3 2" xfId="28798" xr:uid="{00000000-0005-0000-0000-0000F50A0000}"/>
    <cellStyle name="Input 3 3 4 3 2 2" xfId="30758" xr:uid="{00000000-0005-0000-0000-0000F60A0000}"/>
    <cellStyle name="Input 3 3 4 3 3" xfId="29778" xr:uid="{00000000-0005-0000-0000-0000F70A0000}"/>
    <cellStyle name="Input 3 3 4 4" xfId="28518" xr:uid="{00000000-0005-0000-0000-0000F80A0000}"/>
    <cellStyle name="Input 3 3 4 4 2" xfId="30478" xr:uid="{00000000-0005-0000-0000-0000F90A0000}"/>
    <cellStyle name="Input 3 3 4 5" xfId="29498" xr:uid="{00000000-0005-0000-0000-0000FA0A0000}"/>
    <cellStyle name="Input 3 3 5" xfId="27628" xr:uid="{00000000-0005-0000-0000-0000FB0A0000}"/>
    <cellStyle name="Input 3 3 5 2" xfId="28094" xr:uid="{00000000-0005-0000-0000-0000FC0A0000}"/>
    <cellStyle name="Input 3 3 5 2 2" xfId="29081" xr:uid="{00000000-0005-0000-0000-0000FD0A0000}"/>
    <cellStyle name="Input 3 3 5 2 2 2" xfId="31041" xr:uid="{00000000-0005-0000-0000-0000FE0A0000}"/>
    <cellStyle name="Input 3 3 5 2 3" xfId="30061" xr:uid="{00000000-0005-0000-0000-0000FF0A0000}"/>
    <cellStyle name="Input 3 3 5 3" xfId="27763" xr:uid="{00000000-0005-0000-0000-0000000B0000}"/>
    <cellStyle name="Input 3 3 5 3 2" xfId="28751" xr:uid="{00000000-0005-0000-0000-0000010B0000}"/>
    <cellStyle name="Input 3 3 5 3 2 2" xfId="30711" xr:uid="{00000000-0005-0000-0000-0000020B0000}"/>
    <cellStyle name="Input 3 3 5 3 3" xfId="29731" xr:uid="{00000000-0005-0000-0000-0000030B0000}"/>
    <cellStyle name="Input 3 3 5 4" xfId="28616" xr:uid="{00000000-0005-0000-0000-0000040B0000}"/>
    <cellStyle name="Input 3 3 5 4 2" xfId="30576" xr:uid="{00000000-0005-0000-0000-0000050B0000}"/>
    <cellStyle name="Input 3 3 5 5" xfId="29596" xr:uid="{00000000-0005-0000-0000-0000060B0000}"/>
    <cellStyle name="Input 3 3 6" xfId="27768" xr:uid="{00000000-0005-0000-0000-0000070B0000}"/>
    <cellStyle name="Input 3 3 6 2" xfId="28756" xr:uid="{00000000-0005-0000-0000-0000080B0000}"/>
    <cellStyle name="Input 3 3 6 2 2" xfId="30716" xr:uid="{00000000-0005-0000-0000-0000090B0000}"/>
    <cellStyle name="Input 3 3 6 3" xfId="29736" xr:uid="{00000000-0005-0000-0000-00000A0B0000}"/>
    <cellStyle name="Input 3 3 7" xfId="28322" xr:uid="{00000000-0005-0000-0000-00000B0B0000}"/>
    <cellStyle name="Input 3 3 7 2" xfId="30282" xr:uid="{00000000-0005-0000-0000-00000C0B0000}"/>
    <cellStyle name="Input 3 3 8" xfId="29302" xr:uid="{00000000-0005-0000-0000-00000D0B0000}"/>
    <cellStyle name="Input 3 3 9" xfId="31262" xr:uid="{00000000-0005-0000-0000-00000E0B0000}"/>
    <cellStyle name="Input 3 4" xfId="14998" xr:uid="{00000000-0005-0000-0000-00000F0B0000}"/>
    <cellStyle name="Input 3 4 2" xfId="27383" xr:uid="{00000000-0005-0000-0000-0000100B0000}"/>
    <cellStyle name="Input 3 4 2 2" xfId="27494" xr:uid="{00000000-0005-0000-0000-0000110B0000}"/>
    <cellStyle name="Input 3 4 2 2 2" xfId="27960" xr:uid="{00000000-0005-0000-0000-0000120B0000}"/>
    <cellStyle name="Input 3 4 2 2 2 2" xfId="28947" xr:uid="{00000000-0005-0000-0000-0000130B0000}"/>
    <cellStyle name="Input 3 4 2 2 2 2 2" xfId="30907" xr:uid="{00000000-0005-0000-0000-0000140B0000}"/>
    <cellStyle name="Input 3 4 2 2 2 3" xfId="29927" xr:uid="{00000000-0005-0000-0000-0000150B0000}"/>
    <cellStyle name="Input 3 4 2 2 3" xfId="28482" xr:uid="{00000000-0005-0000-0000-0000160B0000}"/>
    <cellStyle name="Input 3 4 2 2 3 2" xfId="30442" xr:uid="{00000000-0005-0000-0000-0000170B0000}"/>
    <cellStyle name="Input 3 4 2 2 4" xfId="29462" xr:uid="{00000000-0005-0000-0000-0000180B0000}"/>
    <cellStyle name="Input 3 4 2 3" xfId="27592" xr:uid="{00000000-0005-0000-0000-0000190B0000}"/>
    <cellStyle name="Input 3 4 2 3 2" xfId="28058" xr:uid="{00000000-0005-0000-0000-00001A0B0000}"/>
    <cellStyle name="Input 3 4 2 3 2 2" xfId="29045" xr:uid="{00000000-0005-0000-0000-00001B0B0000}"/>
    <cellStyle name="Input 3 4 2 3 2 2 2" xfId="31005" xr:uid="{00000000-0005-0000-0000-00001C0B0000}"/>
    <cellStyle name="Input 3 4 2 3 2 3" xfId="30025" xr:uid="{00000000-0005-0000-0000-00001D0B0000}"/>
    <cellStyle name="Input 3 4 2 3 3" xfId="27732" xr:uid="{00000000-0005-0000-0000-00001E0B0000}"/>
    <cellStyle name="Input 3 4 2 3 3 2" xfId="28720" xr:uid="{00000000-0005-0000-0000-00001F0B0000}"/>
    <cellStyle name="Input 3 4 2 3 3 2 2" xfId="30680" xr:uid="{00000000-0005-0000-0000-0000200B0000}"/>
    <cellStyle name="Input 3 4 2 3 3 3" xfId="29700" xr:uid="{00000000-0005-0000-0000-0000210B0000}"/>
    <cellStyle name="Input 3 4 2 3 4" xfId="28580" xr:uid="{00000000-0005-0000-0000-0000220B0000}"/>
    <cellStyle name="Input 3 4 2 3 4 2" xfId="30540" xr:uid="{00000000-0005-0000-0000-0000230B0000}"/>
    <cellStyle name="Input 3 4 2 3 5" xfId="29560" xr:uid="{00000000-0005-0000-0000-0000240B0000}"/>
    <cellStyle name="Input 3 4 2 4" xfId="27690" xr:uid="{00000000-0005-0000-0000-0000250B0000}"/>
    <cellStyle name="Input 3 4 2 4 2" xfId="28156" xr:uid="{00000000-0005-0000-0000-0000260B0000}"/>
    <cellStyle name="Input 3 4 2 4 2 2" xfId="29143" xr:uid="{00000000-0005-0000-0000-0000270B0000}"/>
    <cellStyle name="Input 3 4 2 4 2 2 2" xfId="31103" xr:uid="{00000000-0005-0000-0000-0000280B0000}"/>
    <cellStyle name="Input 3 4 2 4 2 3" xfId="30123" xr:uid="{00000000-0005-0000-0000-0000290B0000}"/>
    <cellStyle name="Input 3 4 2 4 3" xfId="28287" xr:uid="{00000000-0005-0000-0000-00002A0B0000}"/>
    <cellStyle name="Input 3 4 2 4 3 2" xfId="29274" xr:uid="{00000000-0005-0000-0000-00002B0B0000}"/>
    <cellStyle name="Input 3 4 2 4 3 2 2" xfId="31234" xr:uid="{00000000-0005-0000-0000-00002C0B0000}"/>
    <cellStyle name="Input 3 4 2 4 3 3" xfId="30254" xr:uid="{00000000-0005-0000-0000-00002D0B0000}"/>
    <cellStyle name="Input 3 4 2 4 4" xfId="28678" xr:uid="{00000000-0005-0000-0000-00002E0B0000}"/>
    <cellStyle name="Input 3 4 2 4 4 2" xfId="30638" xr:uid="{00000000-0005-0000-0000-00002F0B0000}"/>
    <cellStyle name="Input 3 4 2 4 5" xfId="29658" xr:uid="{00000000-0005-0000-0000-0000300B0000}"/>
    <cellStyle name="Input 3 4 2 5" xfId="27862" xr:uid="{00000000-0005-0000-0000-0000310B0000}"/>
    <cellStyle name="Input 3 4 2 5 2" xfId="28849" xr:uid="{00000000-0005-0000-0000-0000320B0000}"/>
    <cellStyle name="Input 3 4 2 5 2 2" xfId="30809" xr:uid="{00000000-0005-0000-0000-0000330B0000}"/>
    <cellStyle name="Input 3 4 2 5 3" xfId="29829" xr:uid="{00000000-0005-0000-0000-0000340B0000}"/>
    <cellStyle name="Input 3 4 2 6" xfId="28384" xr:uid="{00000000-0005-0000-0000-0000350B0000}"/>
    <cellStyle name="Input 3 4 2 6 2" xfId="30344" xr:uid="{00000000-0005-0000-0000-0000360B0000}"/>
    <cellStyle name="Input 3 4 2 7" xfId="29364" xr:uid="{00000000-0005-0000-0000-0000370B0000}"/>
    <cellStyle name="Input 3 4 2 8" xfId="31324" xr:uid="{00000000-0005-0000-0000-0000380B0000}"/>
    <cellStyle name="Input 3 4 3" xfId="27450" xr:uid="{00000000-0005-0000-0000-0000390B0000}"/>
    <cellStyle name="Input 3 4 3 2" xfId="27916" xr:uid="{00000000-0005-0000-0000-00003A0B0000}"/>
    <cellStyle name="Input 3 4 3 2 2" xfId="28903" xr:uid="{00000000-0005-0000-0000-00003B0B0000}"/>
    <cellStyle name="Input 3 4 3 2 2 2" xfId="30863" xr:uid="{00000000-0005-0000-0000-00003C0B0000}"/>
    <cellStyle name="Input 3 4 3 2 3" xfId="29883" xr:uid="{00000000-0005-0000-0000-00003D0B0000}"/>
    <cellStyle name="Input 3 4 3 3" xfId="28438" xr:uid="{00000000-0005-0000-0000-00003E0B0000}"/>
    <cellStyle name="Input 3 4 3 3 2" xfId="30398" xr:uid="{00000000-0005-0000-0000-00003F0B0000}"/>
    <cellStyle name="Input 3 4 3 4" xfId="29418" xr:uid="{00000000-0005-0000-0000-0000400B0000}"/>
    <cellStyle name="Input 3 4 4" xfId="27548" xr:uid="{00000000-0005-0000-0000-0000410B0000}"/>
    <cellStyle name="Input 3 4 4 2" xfId="28014" xr:uid="{00000000-0005-0000-0000-0000420B0000}"/>
    <cellStyle name="Input 3 4 4 2 2" xfId="29001" xr:uid="{00000000-0005-0000-0000-0000430B0000}"/>
    <cellStyle name="Input 3 4 4 2 2 2" xfId="30961" xr:uid="{00000000-0005-0000-0000-0000440B0000}"/>
    <cellStyle name="Input 3 4 4 2 3" xfId="29981" xr:uid="{00000000-0005-0000-0000-0000450B0000}"/>
    <cellStyle name="Input 3 4 4 3" xfId="27814" xr:uid="{00000000-0005-0000-0000-0000460B0000}"/>
    <cellStyle name="Input 3 4 4 3 2" xfId="28801" xr:uid="{00000000-0005-0000-0000-0000470B0000}"/>
    <cellStyle name="Input 3 4 4 3 2 2" xfId="30761" xr:uid="{00000000-0005-0000-0000-0000480B0000}"/>
    <cellStyle name="Input 3 4 4 3 3" xfId="29781" xr:uid="{00000000-0005-0000-0000-0000490B0000}"/>
    <cellStyle name="Input 3 4 4 4" xfId="28536" xr:uid="{00000000-0005-0000-0000-00004A0B0000}"/>
    <cellStyle name="Input 3 4 4 4 2" xfId="30496" xr:uid="{00000000-0005-0000-0000-00004B0B0000}"/>
    <cellStyle name="Input 3 4 4 5" xfId="29516" xr:uid="{00000000-0005-0000-0000-00004C0B0000}"/>
    <cellStyle name="Input 3 4 5" xfId="27646" xr:uid="{00000000-0005-0000-0000-00004D0B0000}"/>
    <cellStyle name="Input 3 4 5 2" xfId="28112" xr:uid="{00000000-0005-0000-0000-00004E0B0000}"/>
    <cellStyle name="Input 3 4 5 2 2" xfId="29099" xr:uid="{00000000-0005-0000-0000-00004F0B0000}"/>
    <cellStyle name="Input 3 4 5 2 2 2" xfId="31059" xr:uid="{00000000-0005-0000-0000-0000500B0000}"/>
    <cellStyle name="Input 3 4 5 2 3" xfId="30079" xr:uid="{00000000-0005-0000-0000-0000510B0000}"/>
    <cellStyle name="Input 3 4 5 3" xfId="28259" xr:uid="{00000000-0005-0000-0000-0000520B0000}"/>
    <cellStyle name="Input 3 4 5 3 2" xfId="29246" xr:uid="{00000000-0005-0000-0000-0000530B0000}"/>
    <cellStyle name="Input 3 4 5 3 2 2" xfId="31206" xr:uid="{00000000-0005-0000-0000-0000540B0000}"/>
    <cellStyle name="Input 3 4 5 3 3" xfId="30226" xr:uid="{00000000-0005-0000-0000-0000550B0000}"/>
    <cellStyle name="Input 3 4 5 4" xfId="28634" xr:uid="{00000000-0005-0000-0000-0000560B0000}"/>
    <cellStyle name="Input 3 4 5 4 2" xfId="30594" xr:uid="{00000000-0005-0000-0000-0000570B0000}"/>
    <cellStyle name="Input 3 4 5 5" xfId="29614" xr:uid="{00000000-0005-0000-0000-0000580B0000}"/>
    <cellStyle name="Input 3 4 6" xfId="27786" xr:uid="{00000000-0005-0000-0000-0000590B0000}"/>
    <cellStyle name="Input 3 4 6 2" xfId="28774" xr:uid="{00000000-0005-0000-0000-00005A0B0000}"/>
    <cellStyle name="Input 3 4 6 2 2" xfId="30734" xr:uid="{00000000-0005-0000-0000-00005B0B0000}"/>
    <cellStyle name="Input 3 4 6 3" xfId="29754" xr:uid="{00000000-0005-0000-0000-00005C0B0000}"/>
    <cellStyle name="Input 3 4 7" xfId="28340" xr:uid="{00000000-0005-0000-0000-00005D0B0000}"/>
    <cellStyle name="Input 3 4 7 2" xfId="30300" xr:uid="{00000000-0005-0000-0000-00005E0B0000}"/>
    <cellStyle name="Input 3 4 8" xfId="29320" xr:uid="{00000000-0005-0000-0000-00005F0B0000}"/>
    <cellStyle name="Input 3 4 9" xfId="31280" xr:uid="{00000000-0005-0000-0000-0000600B0000}"/>
    <cellStyle name="Input 3 5" xfId="27422" xr:uid="{00000000-0005-0000-0000-0000610B0000}"/>
    <cellStyle name="Input 3 5 2" xfId="27888" xr:uid="{00000000-0005-0000-0000-0000620B0000}"/>
    <cellStyle name="Input 3 5 2 2" xfId="28875" xr:uid="{00000000-0005-0000-0000-0000630B0000}"/>
    <cellStyle name="Input 3 5 2 2 2" xfId="30835" xr:uid="{00000000-0005-0000-0000-0000640B0000}"/>
    <cellStyle name="Input 3 5 2 3" xfId="29855" xr:uid="{00000000-0005-0000-0000-0000650B0000}"/>
    <cellStyle name="Input 3 5 3" xfId="28410" xr:uid="{00000000-0005-0000-0000-0000660B0000}"/>
    <cellStyle name="Input 3 5 3 2" xfId="30370" xr:uid="{00000000-0005-0000-0000-0000670B0000}"/>
    <cellStyle name="Input 3 5 4" xfId="29390" xr:uid="{00000000-0005-0000-0000-0000680B0000}"/>
    <cellStyle name="Input 3 6" xfId="27520" xr:uid="{00000000-0005-0000-0000-0000690B0000}"/>
    <cellStyle name="Input 3 6 2" xfId="27986" xr:uid="{00000000-0005-0000-0000-00006A0B0000}"/>
    <cellStyle name="Input 3 6 2 2" xfId="28973" xr:uid="{00000000-0005-0000-0000-00006B0B0000}"/>
    <cellStyle name="Input 3 6 2 2 2" xfId="30933" xr:uid="{00000000-0005-0000-0000-00006C0B0000}"/>
    <cellStyle name="Input 3 6 2 3" xfId="29953" xr:uid="{00000000-0005-0000-0000-00006D0B0000}"/>
    <cellStyle name="Input 3 6 3" xfId="27740" xr:uid="{00000000-0005-0000-0000-00006E0B0000}"/>
    <cellStyle name="Input 3 6 3 2" xfId="28728" xr:uid="{00000000-0005-0000-0000-00006F0B0000}"/>
    <cellStyle name="Input 3 6 3 2 2" xfId="30688" xr:uid="{00000000-0005-0000-0000-0000700B0000}"/>
    <cellStyle name="Input 3 6 3 3" xfId="29708" xr:uid="{00000000-0005-0000-0000-0000710B0000}"/>
    <cellStyle name="Input 3 6 4" xfId="28508" xr:uid="{00000000-0005-0000-0000-0000720B0000}"/>
    <cellStyle name="Input 3 6 4 2" xfId="30468" xr:uid="{00000000-0005-0000-0000-0000730B0000}"/>
    <cellStyle name="Input 3 6 5" xfId="29488" xr:uid="{00000000-0005-0000-0000-0000740B0000}"/>
    <cellStyle name="Input 3 7" xfId="27618" xr:uid="{00000000-0005-0000-0000-0000750B0000}"/>
    <cellStyle name="Input 3 7 2" xfId="28084" xr:uid="{00000000-0005-0000-0000-0000760B0000}"/>
    <cellStyle name="Input 3 7 2 2" xfId="29071" xr:uid="{00000000-0005-0000-0000-0000770B0000}"/>
    <cellStyle name="Input 3 7 2 2 2" xfId="31031" xr:uid="{00000000-0005-0000-0000-0000780B0000}"/>
    <cellStyle name="Input 3 7 2 3" xfId="30051" xr:uid="{00000000-0005-0000-0000-0000790B0000}"/>
    <cellStyle name="Input 3 7 3" xfId="27761" xr:uid="{00000000-0005-0000-0000-00007A0B0000}"/>
    <cellStyle name="Input 3 7 3 2" xfId="28749" xr:uid="{00000000-0005-0000-0000-00007B0B0000}"/>
    <cellStyle name="Input 3 7 3 2 2" xfId="30709" xr:uid="{00000000-0005-0000-0000-00007C0B0000}"/>
    <cellStyle name="Input 3 7 3 3" xfId="29729" xr:uid="{00000000-0005-0000-0000-00007D0B0000}"/>
    <cellStyle name="Input 3 7 4" xfId="28606" xr:uid="{00000000-0005-0000-0000-00007E0B0000}"/>
    <cellStyle name="Input 3 7 4 2" xfId="30566" xr:uid="{00000000-0005-0000-0000-00007F0B0000}"/>
    <cellStyle name="Input 3 7 5" xfId="29586" xr:uid="{00000000-0005-0000-0000-0000800B0000}"/>
    <cellStyle name="Input 3 8" xfId="27717" xr:uid="{00000000-0005-0000-0000-0000810B0000}"/>
    <cellStyle name="Input 3 8 2" xfId="28705" xr:uid="{00000000-0005-0000-0000-0000820B0000}"/>
    <cellStyle name="Input 3 8 2 2" xfId="30665" xr:uid="{00000000-0005-0000-0000-0000830B0000}"/>
    <cellStyle name="Input 3 8 3" xfId="29685" xr:uid="{00000000-0005-0000-0000-0000840B0000}"/>
    <cellStyle name="Input 3 9" xfId="28312" xr:uid="{00000000-0005-0000-0000-0000850B0000}"/>
    <cellStyle name="Input 3 9 2" xfId="30272" xr:uid="{00000000-0005-0000-0000-0000860B0000}"/>
    <cellStyle name="Input 4" xfId="2833" xr:uid="{00000000-0005-0000-0000-0000870B0000}"/>
    <cellStyle name="Input 5" xfId="2834" xr:uid="{00000000-0005-0000-0000-0000880B0000}"/>
    <cellStyle name="Input 6" xfId="2835" xr:uid="{00000000-0005-0000-0000-0000890B0000}"/>
    <cellStyle name="Input 7" xfId="2836" xr:uid="{00000000-0005-0000-0000-00008A0B0000}"/>
    <cellStyle name="Input 8" xfId="2837" xr:uid="{00000000-0005-0000-0000-00008B0B0000}"/>
    <cellStyle name="Input 9" xfId="2838" xr:uid="{00000000-0005-0000-0000-00008C0B0000}"/>
    <cellStyle name="Linked Cell" xfId="17" builtinId="24" customBuiltin="1"/>
    <cellStyle name="Linked Cell 10" xfId="2839" xr:uid="{00000000-0005-0000-0000-00008E0B0000}"/>
    <cellStyle name="Linked Cell 11" xfId="2840" xr:uid="{00000000-0005-0000-0000-00008F0B0000}"/>
    <cellStyle name="Linked Cell 12" xfId="2841" xr:uid="{00000000-0005-0000-0000-0000900B0000}"/>
    <cellStyle name="Linked Cell 13" xfId="2842" xr:uid="{00000000-0005-0000-0000-0000910B0000}"/>
    <cellStyle name="Linked Cell 14" xfId="2843" xr:uid="{00000000-0005-0000-0000-0000920B0000}"/>
    <cellStyle name="Linked Cell 15" xfId="2844" xr:uid="{00000000-0005-0000-0000-0000930B0000}"/>
    <cellStyle name="Linked Cell 16" xfId="2845" xr:uid="{00000000-0005-0000-0000-0000940B0000}"/>
    <cellStyle name="Linked Cell 17" xfId="2846" xr:uid="{00000000-0005-0000-0000-0000950B0000}"/>
    <cellStyle name="Linked Cell 18" xfId="2847" xr:uid="{00000000-0005-0000-0000-0000960B0000}"/>
    <cellStyle name="Linked Cell 19" xfId="2848" xr:uid="{00000000-0005-0000-0000-0000970B0000}"/>
    <cellStyle name="Linked Cell 2" xfId="1594" xr:uid="{00000000-0005-0000-0000-0000980B0000}"/>
    <cellStyle name="Linked Cell 2 10" xfId="2849" xr:uid="{00000000-0005-0000-0000-0000990B0000}"/>
    <cellStyle name="Linked Cell 2 11" xfId="2850" xr:uid="{00000000-0005-0000-0000-00009A0B0000}"/>
    <cellStyle name="Linked Cell 2 12" xfId="2851" xr:uid="{00000000-0005-0000-0000-00009B0B0000}"/>
    <cellStyle name="Linked Cell 2 13" xfId="2852" xr:uid="{00000000-0005-0000-0000-00009C0B0000}"/>
    <cellStyle name="Linked Cell 2 14" xfId="2853" xr:uid="{00000000-0005-0000-0000-00009D0B0000}"/>
    <cellStyle name="Linked Cell 2 15" xfId="2854" xr:uid="{00000000-0005-0000-0000-00009E0B0000}"/>
    <cellStyle name="Linked Cell 2 2" xfId="2855" xr:uid="{00000000-0005-0000-0000-00009F0B0000}"/>
    <cellStyle name="Linked Cell 2 3" xfId="2856" xr:uid="{00000000-0005-0000-0000-0000A00B0000}"/>
    <cellStyle name="Linked Cell 2 4" xfId="2857" xr:uid="{00000000-0005-0000-0000-0000A10B0000}"/>
    <cellStyle name="Linked Cell 2 5" xfId="2858" xr:uid="{00000000-0005-0000-0000-0000A20B0000}"/>
    <cellStyle name="Linked Cell 2 6" xfId="2859" xr:uid="{00000000-0005-0000-0000-0000A30B0000}"/>
    <cellStyle name="Linked Cell 2 7" xfId="2860" xr:uid="{00000000-0005-0000-0000-0000A40B0000}"/>
    <cellStyle name="Linked Cell 2 8" xfId="2861" xr:uid="{00000000-0005-0000-0000-0000A50B0000}"/>
    <cellStyle name="Linked Cell 2 9" xfId="2862" xr:uid="{00000000-0005-0000-0000-0000A60B0000}"/>
    <cellStyle name="Linked Cell 20" xfId="2863" xr:uid="{00000000-0005-0000-0000-0000A70B0000}"/>
    <cellStyle name="Linked Cell 21" xfId="2864" xr:uid="{00000000-0005-0000-0000-0000A80B0000}"/>
    <cellStyle name="Linked Cell 22" xfId="2865" xr:uid="{00000000-0005-0000-0000-0000A90B0000}"/>
    <cellStyle name="Linked Cell 23" xfId="2866" xr:uid="{00000000-0005-0000-0000-0000AA0B0000}"/>
    <cellStyle name="Linked Cell 24" xfId="2867" xr:uid="{00000000-0005-0000-0000-0000AB0B0000}"/>
    <cellStyle name="Linked Cell 3" xfId="1595" xr:uid="{00000000-0005-0000-0000-0000AC0B0000}"/>
    <cellStyle name="Linked Cell 4" xfId="2868" xr:uid="{00000000-0005-0000-0000-0000AD0B0000}"/>
    <cellStyle name="Linked Cell 5" xfId="2869" xr:uid="{00000000-0005-0000-0000-0000AE0B0000}"/>
    <cellStyle name="Linked Cell 6" xfId="2870" xr:uid="{00000000-0005-0000-0000-0000AF0B0000}"/>
    <cellStyle name="Linked Cell 7" xfId="2871" xr:uid="{00000000-0005-0000-0000-0000B00B0000}"/>
    <cellStyle name="Linked Cell 8" xfId="2872" xr:uid="{00000000-0005-0000-0000-0000B10B0000}"/>
    <cellStyle name="Linked Cell 9" xfId="2873" xr:uid="{00000000-0005-0000-0000-0000B20B0000}"/>
    <cellStyle name="Neutral" xfId="13" builtinId="28" customBuiltin="1"/>
    <cellStyle name="Neutral 10" xfId="2874" xr:uid="{00000000-0005-0000-0000-0000B40B0000}"/>
    <cellStyle name="Neutral 11" xfId="2875" xr:uid="{00000000-0005-0000-0000-0000B50B0000}"/>
    <cellStyle name="Neutral 12" xfId="2876" xr:uid="{00000000-0005-0000-0000-0000B60B0000}"/>
    <cellStyle name="Neutral 13" xfId="2877" xr:uid="{00000000-0005-0000-0000-0000B70B0000}"/>
    <cellStyle name="Neutral 14" xfId="2878" xr:uid="{00000000-0005-0000-0000-0000B80B0000}"/>
    <cellStyle name="Neutral 15" xfId="2879" xr:uid="{00000000-0005-0000-0000-0000B90B0000}"/>
    <cellStyle name="Neutral 16" xfId="2880" xr:uid="{00000000-0005-0000-0000-0000BA0B0000}"/>
    <cellStyle name="Neutral 17" xfId="2881" xr:uid="{00000000-0005-0000-0000-0000BB0B0000}"/>
    <cellStyle name="Neutral 18" xfId="2882" xr:uid="{00000000-0005-0000-0000-0000BC0B0000}"/>
    <cellStyle name="Neutral 19" xfId="2883" xr:uid="{00000000-0005-0000-0000-0000BD0B0000}"/>
    <cellStyle name="Neutral 2" xfId="1596" xr:uid="{00000000-0005-0000-0000-0000BE0B0000}"/>
    <cellStyle name="Neutral 2 10" xfId="2884" xr:uid="{00000000-0005-0000-0000-0000BF0B0000}"/>
    <cellStyle name="Neutral 2 11" xfId="2885" xr:uid="{00000000-0005-0000-0000-0000C00B0000}"/>
    <cellStyle name="Neutral 2 12" xfId="2886" xr:uid="{00000000-0005-0000-0000-0000C10B0000}"/>
    <cellStyle name="Neutral 2 13" xfId="2887" xr:uid="{00000000-0005-0000-0000-0000C20B0000}"/>
    <cellStyle name="Neutral 2 14" xfId="2888" xr:uid="{00000000-0005-0000-0000-0000C30B0000}"/>
    <cellStyle name="Neutral 2 15" xfId="2889" xr:uid="{00000000-0005-0000-0000-0000C40B0000}"/>
    <cellStyle name="Neutral 2 2" xfId="2890" xr:uid="{00000000-0005-0000-0000-0000C50B0000}"/>
    <cellStyle name="Neutral 2 3" xfId="2891" xr:uid="{00000000-0005-0000-0000-0000C60B0000}"/>
    <cellStyle name="Neutral 2 4" xfId="2892" xr:uid="{00000000-0005-0000-0000-0000C70B0000}"/>
    <cellStyle name="Neutral 2 5" xfId="2893" xr:uid="{00000000-0005-0000-0000-0000C80B0000}"/>
    <cellStyle name="Neutral 2 6" xfId="2894" xr:uid="{00000000-0005-0000-0000-0000C90B0000}"/>
    <cellStyle name="Neutral 2 7" xfId="2895" xr:uid="{00000000-0005-0000-0000-0000CA0B0000}"/>
    <cellStyle name="Neutral 2 8" xfId="2896" xr:uid="{00000000-0005-0000-0000-0000CB0B0000}"/>
    <cellStyle name="Neutral 2 9" xfId="2897" xr:uid="{00000000-0005-0000-0000-0000CC0B0000}"/>
    <cellStyle name="Neutral 20" xfId="2898" xr:uid="{00000000-0005-0000-0000-0000CD0B0000}"/>
    <cellStyle name="Neutral 21" xfId="2899" xr:uid="{00000000-0005-0000-0000-0000CE0B0000}"/>
    <cellStyle name="Neutral 22" xfId="2900" xr:uid="{00000000-0005-0000-0000-0000CF0B0000}"/>
    <cellStyle name="Neutral 23" xfId="2901" xr:uid="{00000000-0005-0000-0000-0000D00B0000}"/>
    <cellStyle name="Neutral 24" xfId="2902" xr:uid="{00000000-0005-0000-0000-0000D10B0000}"/>
    <cellStyle name="Neutral 3" xfId="1597" xr:uid="{00000000-0005-0000-0000-0000D20B0000}"/>
    <cellStyle name="Neutral 4" xfId="2903" xr:uid="{00000000-0005-0000-0000-0000D30B0000}"/>
    <cellStyle name="Neutral 5" xfId="2904" xr:uid="{00000000-0005-0000-0000-0000D40B0000}"/>
    <cellStyle name="Neutral 6" xfId="2905" xr:uid="{00000000-0005-0000-0000-0000D50B0000}"/>
    <cellStyle name="Neutral 7" xfId="2906" xr:uid="{00000000-0005-0000-0000-0000D60B0000}"/>
    <cellStyle name="Neutral 8" xfId="2907" xr:uid="{00000000-0005-0000-0000-0000D70B0000}"/>
    <cellStyle name="Neutral 9" xfId="2908" xr:uid="{00000000-0005-0000-0000-0000D80B0000}"/>
    <cellStyle name="Normal" xfId="0" builtinId="0"/>
    <cellStyle name="Normal 10" xfId="129" xr:uid="{00000000-0005-0000-0000-0000DA0B0000}"/>
    <cellStyle name="Normal 10 10" xfId="48" xr:uid="{00000000-0005-0000-0000-0000DB0B0000}"/>
    <cellStyle name="Normal 10 10 2" xfId="15063" xr:uid="{00000000-0005-0000-0000-0000DC0B0000}"/>
    <cellStyle name="Normal 10 2" xfId="669" xr:uid="{00000000-0005-0000-0000-0000DD0B0000}"/>
    <cellStyle name="Normal 10 2 2" xfId="15018" xr:uid="{00000000-0005-0000-0000-0000DE0B0000}"/>
    <cellStyle name="Normal 10 3" xfId="27413" xr:uid="{00000000-0005-0000-0000-0000DF0B0000}"/>
    <cellStyle name="Normal 100" xfId="226" xr:uid="{00000000-0005-0000-0000-0000E00B0000}"/>
    <cellStyle name="Normal 100 2" xfId="280" xr:uid="{00000000-0005-0000-0000-0000E10B0000}"/>
    <cellStyle name="Normal 100 3" xfId="441" xr:uid="{00000000-0005-0000-0000-0000E20B0000}"/>
    <cellStyle name="Normal 101" xfId="227" xr:uid="{00000000-0005-0000-0000-0000E30B0000}"/>
    <cellStyle name="Normal 101 2" xfId="281" xr:uid="{00000000-0005-0000-0000-0000E40B0000}"/>
    <cellStyle name="Normal 101 2 2" xfId="1503" xr:uid="{00000000-0005-0000-0000-0000E50B0000}"/>
    <cellStyle name="Normal 101 2 2 2" xfId="1506" xr:uid="{00000000-0005-0000-0000-0000E60B0000}"/>
    <cellStyle name="Normal 101 2 3" xfId="810" xr:uid="{00000000-0005-0000-0000-0000E70B0000}"/>
    <cellStyle name="Normal 101 2 4" xfId="1521" xr:uid="{00000000-0005-0000-0000-0000E80B0000}"/>
    <cellStyle name="Normal 101 3" xfId="670" xr:uid="{00000000-0005-0000-0000-0000E90B0000}"/>
    <cellStyle name="Normal 101 4" xfId="442" xr:uid="{00000000-0005-0000-0000-0000EA0B0000}"/>
    <cellStyle name="Normal 102" xfId="228" xr:uid="{00000000-0005-0000-0000-0000EB0B0000}"/>
    <cellStyle name="Normal 102 2" xfId="282" xr:uid="{00000000-0005-0000-0000-0000EC0B0000}"/>
    <cellStyle name="Normal 102 3" xfId="443" xr:uid="{00000000-0005-0000-0000-0000ED0B0000}"/>
    <cellStyle name="Normal 103" xfId="229" xr:uid="{00000000-0005-0000-0000-0000EE0B0000}"/>
    <cellStyle name="Normal 103 2" xfId="283" xr:uid="{00000000-0005-0000-0000-0000EF0B0000}"/>
    <cellStyle name="Normal 103 3" xfId="444" xr:uid="{00000000-0005-0000-0000-0000F00B0000}"/>
    <cellStyle name="Normal 104" xfId="230" xr:uid="{00000000-0005-0000-0000-0000F10B0000}"/>
    <cellStyle name="Normal 104 2" xfId="284" xr:uid="{00000000-0005-0000-0000-0000F20B0000}"/>
    <cellStyle name="Normal 104 3" xfId="445" xr:uid="{00000000-0005-0000-0000-0000F30B0000}"/>
    <cellStyle name="Normal 105" xfId="231" xr:uid="{00000000-0005-0000-0000-0000F40B0000}"/>
    <cellStyle name="Normal 105 2" xfId="285" xr:uid="{00000000-0005-0000-0000-0000F50B0000}"/>
    <cellStyle name="Normal 105 3" xfId="446" xr:uid="{00000000-0005-0000-0000-0000F60B0000}"/>
    <cellStyle name="Normal 106" xfId="232" xr:uid="{00000000-0005-0000-0000-0000F70B0000}"/>
    <cellStyle name="Normal 106 2" xfId="286" xr:uid="{00000000-0005-0000-0000-0000F80B0000}"/>
    <cellStyle name="Normal 106 3" xfId="447" xr:uid="{00000000-0005-0000-0000-0000F90B0000}"/>
    <cellStyle name="Normal 107" xfId="233" xr:uid="{00000000-0005-0000-0000-0000FA0B0000}"/>
    <cellStyle name="Normal 107 2" xfId="287" xr:uid="{00000000-0005-0000-0000-0000FB0B0000}"/>
    <cellStyle name="Normal 107 3" xfId="448" xr:uid="{00000000-0005-0000-0000-0000FC0B0000}"/>
    <cellStyle name="Normal 108" xfId="234" xr:uid="{00000000-0005-0000-0000-0000FD0B0000}"/>
    <cellStyle name="Normal 108 2" xfId="288" xr:uid="{00000000-0005-0000-0000-0000FE0B0000}"/>
    <cellStyle name="Normal 108 3" xfId="449" xr:uid="{00000000-0005-0000-0000-0000FF0B0000}"/>
    <cellStyle name="Normal 109" xfId="235" xr:uid="{00000000-0005-0000-0000-0000000C0000}"/>
    <cellStyle name="Normal 109 2" xfId="289" xr:uid="{00000000-0005-0000-0000-0000010C0000}"/>
    <cellStyle name="Normal 109 3" xfId="450" xr:uid="{00000000-0005-0000-0000-0000020C0000}"/>
    <cellStyle name="Normal 11" xfId="82" xr:uid="{00000000-0005-0000-0000-0000030C0000}"/>
    <cellStyle name="Normal 11 10" xfId="3321" xr:uid="{00000000-0005-0000-0000-0000040C0000}"/>
    <cellStyle name="Normal 11 10 2" xfId="15356" xr:uid="{00000000-0005-0000-0000-0000050C0000}"/>
    <cellStyle name="Normal 11 11" xfId="3322" xr:uid="{00000000-0005-0000-0000-0000060C0000}"/>
    <cellStyle name="Normal 11 11 2" xfId="15357" xr:uid="{00000000-0005-0000-0000-0000070C0000}"/>
    <cellStyle name="Normal 11 12" xfId="3323" xr:uid="{00000000-0005-0000-0000-0000080C0000}"/>
    <cellStyle name="Normal 11 12 2" xfId="15358" xr:uid="{00000000-0005-0000-0000-0000090C0000}"/>
    <cellStyle name="Normal 11 13" xfId="3324" xr:uid="{00000000-0005-0000-0000-00000A0C0000}"/>
    <cellStyle name="Normal 11 13 2" xfId="15359" xr:uid="{00000000-0005-0000-0000-00000B0C0000}"/>
    <cellStyle name="Normal 11 14" xfId="3325" xr:uid="{00000000-0005-0000-0000-00000C0C0000}"/>
    <cellStyle name="Normal 11 14 2" xfId="15360" xr:uid="{00000000-0005-0000-0000-00000D0C0000}"/>
    <cellStyle name="Normal 11 15" xfId="3326" xr:uid="{00000000-0005-0000-0000-00000E0C0000}"/>
    <cellStyle name="Normal 11 15 2" xfId="15361" xr:uid="{00000000-0005-0000-0000-00000F0C0000}"/>
    <cellStyle name="Normal 11 16" xfId="3327" xr:uid="{00000000-0005-0000-0000-0000100C0000}"/>
    <cellStyle name="Normal 11 16 2" xfId="15362" xr:uid="{00000000-0005-0000-0000-0000110C0000}"/>
    <cellStyle name="Normal 11 17" xfId="3328" xr:uid="{00000000-0005-0000-0000-0000120C0000}"/>
    <cellStyle name="Normal 11 17 2" xfId="15363" xr:uid="{00000000-0005-0000-0000-0000130C0000}"/>
    <cellStyle name="Normal 11 18" xfId="3329" xr:uid="{00000000-0005-0000-0000-0000140C0000}"/>
    <cellStyle name="Normal 11 18 2" xfId="15364" xr:uid="{00000000-0005-0000-0000-0000150C0000}"/>
    <cellStyle name="Normal 11 19" xfId="3330" xr:uid="{00000000-0005-0000-0000-0000160C0000}"/>
    <cellStyle name="Normal 11 19 2" xfId="15365" xr:uid="{00000000-0005-0000-0000-0000170C0000}"/>
    <cellStyle name="Normal 11 2" xfId="3331" xr:uid="{00000000-0005-0000-0000-0000180C0000}"/>
    <cellStyle name="Normal 11 2 10" xfId="3332" xr:uid="{00000000-0005-0000-0000-0000190C0000}"/>
    <cellStyle name="Normal 11 2 10 2" xfId="15367" xr:uid="{00000000-0005-0000-0000-00001A0C0000}"/>
    <cellStyle name="Normal 11 2 11" xfId="3333" xr:uid="{00000000-0005-0000-0000-00001B0C0000}"/>
    <cellStyle name="Normal 11 2 11 2" xfId="15368" xr:uid="{00000000-0005-0000-0000-00001C0C0000}"/>
    <cellStyle name="Normal 11 2 12" xfId="3334" xr:uid="{00000000-0005-0000-0000-00001D0C0000}"/>
    <cellStyle name="Normal 11 2 12 2" xfId="15369" xr:uid="{00000000-0005-0000-0000-00001E0C0000}"/>
    <cellStyle name="Normal 11 2 13" xfId="3335" xr:uid="{00000000-0005-0000-0000-00001F0C0000}"/>
    <cellStyle name="Normal 11 2 13 2" xfId="15370" xr:uid="{00000000-0005-0000-0000-0000200C0000}"/>
    <cellStyle name="Normal 11 2 14" xfId="3336" xr:uid="{00000000-0005-0000-0000-0000210C0000}"/>
    <cellStyle name="Normal 11 2 14 2" xfId="15371" xr:uid="{00000000-0005-0000-0000-0000220C0000}"/>
    <cellStyle name="Normal 11 2 15" xfId="3337" xr:uid="{00000000-0005-0000-0000-0000230C0000}"/>
    <cellStyle name="Normal 11 2 15 2" xfId="15372" xr:uid="{00000000-0005-0000-0000-0000240C0000}"/>
    <cellStyle name="Normal 11 2 16" xfId="3338" xr:uid="{00000000-0005-0000-0000-0000250C0000}"/>
    <cellStyle name="Normal 11 2 16 2" xfId="15373" xr:uid="{00000000-0005-0000-0000-0000260C0000}"/>
    <cellStyle name="Normal 11 2 17" xfId="3339" xr:uid="{00000000-0005-0000-0000-0000270C0000}"/>
    <cellStyle name="Normal 11 2 17 2" xfId="15374" xr:uid="{00000000-0005-0000-0000-0000280C0000}"/>
    <cellStyle name="Normal 11 2 18" xfId="3340" xr:uid="{00000000-0005-0000-0000-0000290C0000}"/>
    <cellStyle name="Normal 11 2 18 2" xfId="15375" xr:uid="{00000000-0005-0000-0000-00002A0C0000}"/>
    <cellStyle name="Normal 11 2 19" xfId="3341" xr:uid="{00000000-0005-0000-0000-00002B0C0000}"/>
    <cellStyle name="Normal 11 2 19 2" xfId="15376" xr:uid="{00000000-0005-0000-0000-00002C0C0000}"/>
    <cellStyle name="Normal 11 2 2" xfId="3342" xr:uid="{00000000-0005-0000-0000-00002D0C0000}"/>
    <cellStyle name="Normal 11 2 2 2" xfId="15377" xr:uid="{00000000-0005-0000-0000-00002E0C0000}"/>
    <cellStyle name="Normal 11 2 20" xfId="3343" xr:uid="{00000000-0005-0000-0000-00002F0C0000}"/>
    <cellStyle name="Normal 11 2 20 2" xfId="15378" xr:uid="{00000000-0005-0000-0000-0000300C0000}"/>
    <cellStyle name="Normal 11 2 21" xfId="3344" xr:uid="{00000000-0005-0000-0000-0000310C0000}"/>
    <cellStyle name="Normal 11 2 21 2" xfId="15379" xr:uid="{00000000-0005-0000-0000-0000320C0000}"/>
    <cellStyle name="Normal 11 2 22" xfId="3345" xr:uid="{00000000-0005-0000-0000-0000330C0000}"/>
    <cellStyle name="Normal 11 2 22 2" xfId="15380" xr:uid="{00000000-0005-0000-0000-0000340C0000}"/>
    <cellStyle name="Normal 11 2 23" xfId="3346" xr:uid="{00000000-0005-0000-0000-0000350C0000}"/>
    <cellStyle name="Normal 11 2 23 2" xfId="15381" xr:uid="{00000000-0005-0000-0000-0000360C0000}"/>
    <cellStyle name="Normal 11 2 24" xfId="3347" xr:uid="{00000000-0005-0000-0000-0000370C0000}"/>
    <cellStyle name="Normal 11 2 24 2" xfId="15382" xr:uid="{00000000-0005-0000-0000-0000380C0000}"/>
    <cellStyle name="Normal 11 2 25" xfId="3348" xr:uid="{00000000-0005-0000-0000-0000390C0000}"/>
    <cellStyle name="Normal 11 2 25 2" xfId="15383" xr:uid="{00000000-0005-0000-0000-00003A0C0000}"/>
    <cellStyle name="Normal 11 2 26" xfId="3349" xr:uid="{00000000-0005-0000-0000-00003B0C0000}"/>
    <cellStyle name="Normal 11 2 26 2" xfId="15384" xr:uid="{00000000-0005-0000-0000-00003C0C0000}"/>
    <cellStyle name="Normal 11 2 27" xfId="3350" xr:uid="{00000000-0005-0000-0000-00003D0C0000}"/>
    <cellStyle name="Normal 11 2 27 2" xfId="15385" xr:uid="{00000000-0005-0000-0000-00003E0C0000}"/>
    <cellStyle name="Normal 11 2 28" xfId="3351" xr:uid="{00000000-0005-0000-0000-00003F0C0000}"/>
    <cellStyle name="Normal 11 2 28 2" xfId="15386" xr:uid="{00000000-0005-0000-0000-0000400C0000}"/>
    <cellStyle name="Normal 11 2 29" xfId="3352" xr:uid="{00000000-0005-0000-0000-0000410C0000}"/>
    <cellStyle name="Normal 11 2 29 2" xfId="15387" xr:uid="{00000000-0005-0000-0000-0000420C0000}"/>
    <cellStyle name="Normal 11 2 3" xfId="3353" xr:uid="{00000000-0005-0000-0000-0000430C0000}"/>
    <cellStyle name="Normal 11 2 3 2" xfId="15388" xr:uid="{00000000-0005-0000-0000-0000440C0000}"/>
    <cellStyle name="Normal 11 2 30" xfId="3354" xr:uid="{00000000-0005-0000-0000-0000450C0000}"/>
    <cellStyle name="Normal 11 2 30 2" xfId="15389" xr:uid="{00000000-0005-0000-0000-0000460C0000}"/>
    <cellStyle name="Normal 11 2 31" xfId="3355" xr:uid="{00000000-0005-0000-0000-0000470C0000}"/>
    <cellStyle name="Normal 11 2 31 2" xfId="15390" xr:uid="{00000000-0005-0000-0000-0000480C0000}"/>
    <cellStyle name="Normal 11 2 32" xfId="3356" xr:uid="{00000000-0005-0000-0000-0000490C0000}"/>
    <cellStyle name="Normal 11 2 32 2" xfId="15391" xr:uid="{00000000-0005-0000-0000-00004A0C0000}"/>
    <cellStyle name="Normal 11 2 33" xfId="3357" xr:uid="{00000000-0005-0000-0000-00004B0C0000}"/>
    <cellStyle name="Normal 11 2 33 2" xfId="15392" xr:uid="{00000000-0005-0000-0000-00004C0C0000}"/>
    <cellStyle name="Normal 11 2 34" xfId="3358" xr:uid="{00000000-0005-0000-0000-00004D0C0000}"/>
    <cellStyle name="Normal 11 2 34 2" xfId="15393" xr:uid="{00000000-0005-0000-0000-00004E0C0000}"/>
    <cellStyle name="Normal 11 2 35" xfId="3359" xr:uid="{00000000-0005-0000-0000-00004F0C0000}"/>
    <cellStyle name="Normal 11 2 35 2" xfId="15394" xr:uid="{00000000-0005-0000-0000-0000500C0000}"/>
    <cellStyle name="Normal 11 2 36" xfId="3360" xr:uid="{00000000-0005-0000-0000-0000510C0000}"/>
    <cellStyle name="Normal 11 2 36 2" xfId="15395" xr:uid="{00000000-0005-0000-0000-0000520C0000}"/>
    <cellStyle name="Normal 11 2 37" xfId="3361" xr:uid="{00000000-0005-0000-0000-0000530C0000}"/>
    <cellStyle name="Normal 11 2 37 2" xfId="15396" xr:uid="{00000000-0005-0000-0000-0000540C0000}"/>
    <cellStyle name="Normal 11 2 38" xfId="3362" xr:uid="{00000000-0005-0000-0000-0000550C0000}"/>
    <cellStyle name="Normal 11 2 38 2" xfId="15397" xr:uid="{00000000-0005-0000-0000-0000560C0000}"/>
    <cellStyle name="Normal 11 2 39" xfId="3363" xr:uid="{00000000-0005-0000-0000-0000570C0000}"/>
    <cellStyle name="Normal 11 2 39 2" xfId="15398" xr:uid="{00000000-0005-0000-0000-0000580C0000}"/>
    <cellStyle name="Normal 11 2 4" xfId="3364" xr:uid="{00000000-0005-0000-0000-0000590C0000}"/>
    <cellStyle name="Normal 11 2 4 2" xfId="15399" xr:uid="{00000000-0005-0000-0000-00005A0C0000}"/>
    <cellStyle name="Normal 11 2 40" xfId="3365" xr:uid="{00000000-0005-0000-0000-00005B0C0000}"/>
    <cellStyle name="Normal 11 2 40 2" xfId="15400" xr:uid="{00000000-0005-0000-0000-00005C0C0000}"/>
    <cellStyle name="Normal 11 2 41" xfId="3366" xr:uid="{00000000-0005-0000-0000-00005D0C0000}"/>
    <cellStyle name="Normal 11 2 41 2" xfId="15401" xr:uid="{00000000-0005-0000-0000-00005E0C0000}"/>
    <cellStyle name="Normal 11 2 42" xfId="3367" xr:uid="{00000000-0005-0000-0000-00005F0C0000}"/>
    <cellStyle name="Normal 11 2 42 2" xfId="15402" xr:uid="{00000000-0005-0000-0000-0000600C0000}"/>
    <cellStyle name="Normal 11 2 43" xfId="3368" xr:uid="{00000000-0005-0000-0000-0000610C0000}"/>
    <cellStyle name="Normal 11 2 43 2" xfId="15403" xr:uid="{00000000-0005-0000-0000-0000620C0000}"/>
    <cellStyle name="Normal 11 2 44" xfId="3369" xr:uid="{00000000-0005-0000-0000-0000630C0000}"/>
    <cellStyle name="Normal 11 2 44 2" xfId="15404" xr:uid="{00000000-0005-0000-0000-0000640C0000}"/>
    <cellStyle name="Normal 11 2 45" xfId="3370" xr:uid="{00000000-0005-0000-0000-0000650C0000}"/>
    <cellStyle name="Normal 11 2 45 2" xfId="15405" xr:uid="{00000000-0005-0000-0000-0000660C0000}"/>
    <cellStyle name="Normal 11 2 46" xfId="3371" xr:uid="{00000000-0005-0000-0000-0000670C0000}"/>
    <cellStyle name="Normal 11 2 46 2" xfId="15406" xr:uid="{00000000-0005-0000-0000-0000680C0000}"/>
    <cellStyle name="Normal 11 2 47" xfId="3372" xr:uid="{00000000-0005-0000-0000-0000690C0000}"/>
    <cellStyle name="Normal 11 2 47 2" xfId="15407" xr:uid="{00000000-0005-0000-0000-00006A0C0000}"/>
    <cellStyle name="Normal 11 2 48" xfId="3373" xr:uid="{00000000-0005-0000-0000-00006B0C0000}"/>
    <cellStyle name="Normal 11 2 48 2" xfId="15408" xr:uid="{00000000-0005-0000-0000-00006C0C0000}"/>
    <cellStyle name="Normal 11 2 49" xfId="3374" xr:uid="{00000000-0005-0000-0000-00006D0C0000}"/>
    <cellStyle name="Normal 11 2 49 2" xfId="15409" xr:uid="{00000000-0005-0000-0000-00006E0C0000}"/>
    <cellStyle name="Normal 11 2 5" xfId="3375" xr:uid="{00000000-0005-0000-0000-00006F0C0000}"/>
    <cellStyle name="Normal 11 2 5 2" xfId="15410" xr:uid="{00000000-0005-0000-0000-0000700C0000}"/>
    <cellStyle name="Normal 11 2 50" xfId="3376" xr:uid="{00000000-0005-0000-0000-0000710C0000}"/>
    <cellStyle name="Normal 11 2 50 2" xfId="15411" xr:uid="{00000000-0005-0000-0000-0000720C0000}"/>
    <cellStyle name="Normal 11 2 51" xfId="3377" xr:uid="{00000000-0005-0000-0000-0000730C0000}"/>
    <cellStyle name="Normal 11 2 51 2" xfId="15412" xr:uid="{00000000-0005-0000-0000-0000740C0000}"/>
    <cellStyle name="Normal 11 2 52" xfId="3378" xr:uid="{00000000-0005-0000-0000-0000750C0000}"/>
    <cellStyle name="Normal 11 2 52 2" xfId="15413" xr:uid="{00000000-0005-0000-0000-0000760C0000}"/>
    <cellStyle name="Normal 11 2 53" xfId="3379" xr:uid="{00000000-0005-0000-0000-0000770C0000}"/>
    <cellStyle name="Normal 11 2 53 2" xfId="15414" xr:uid="{00000000-0005-0000-0000-0000780C0000}"/>
    <cellStyle name="Normal 11 2 54" xfId="3380" xr:uid="{00000000-0005-0000-0000-0000790C0000}"/>
    <cellStyle name="Normal 11 2 54 2" xfId="15415" xr:uid="{00000000-0005-0000-0000-00007A0C0000}"/>
    <cellStyle name="Normal 11 2 55" xfId="3381" xr:uid="{00000000-0005-0000-0000-00007B0C0000}"/>
    <cellStyle name="Normal 11 2 55 2" xfId="15416" xr:uid="{00000000-0005-0000-0000-00007C0C0000}"/>
    <cellStyle name="Normal 11 2 56" xfId="3382" xr:uid="{00000000-0005-0000-0000-00007D0C0000}"/>
    <cellStyle name="Normal 11 2 56 2" xfId="15417" xr:uid="{00000000-0005-0000-0000-00007E0C0000}"/>
    <cellStyle name="Normal 11 2 57" xfId="3383" xr:uid="{00000000-0005-0000-0000-00007F0C0000}"/>
    <cellStyle name="Normal 11 2 57 2" xfId="15418" xr:uid="{00000000-0005-0000-0000-0000800C0000}"/>
    <cellStyle name="Normal 11 2 58" xfId="3384" xr:uid="{00000000-0005-0000-0000-0000810C0000}"/>
    <cellStyle name="Normal 11 2 58 2" xfId="15419" xr:uid="{00000000-0005-0000-0000-0000820C0000}"/>
    <cellStyle name="Normal 11 2 59" xfId="3385" xr:uid="{00000000-0005-0000-0000-0000830C0000}"/>
    <cellStyle name="Normal 11 2 59 2" xfId="15420" xr:uid="{00000000-0005-0000-0000-0000840C0000}"/>
    <cellStyle name="Normal 11 2 6" xfId="3386" xr:uid="{00000000-0005-0000-0000-0000850C0000}"/>
    <cellStyle name="Normal 11 2 6 2" xfId="15421" xr:uid="{00000000-0005-0000-0000-0000860C0000}"/>
    <cellStyle name="Normal 11 2 60" xfId="3387" xr:uid="{00000000-0005-0000-0000-0000870C0000}"/>
    <cellStyle name="Normal 11 2 60 2" xfId="15422" xr:uid="{00000000-0005-0000-0000-0000880C0000}"/>
    <cellStyle name="Normal 11 2 61" xfId="3388" xr:uid="{00000000-0005-0000-0000-0000890C0000}"/>
    <cellStyle name="Normal 11 2 61 2" xfId="15423" xr:uid="{00000000-0005-0000-0000-00008A0C0000}"/>
    <cellStyle name="Normal 11 2 62" xfId="3389" xr:uid="{00000000-0005-0000-0000-00008B0C0000}"/>
    <cellStyle name="Normal 11 2 62 2" xfId="15424" xr:uid="{00000000-0005-0000-0000-00008C0C0000}"/>
    <cellStyle name="Normal 11 2 63" xfId="3390" xr:uid="{00000000-0005-0000-0000-00008D0C0000}"/>
    <cellStyle name="Normal 11 2 63 2" xfId="15425" xr:uid="{00000000-0005-0000-0000-00008E0C0000}"/>
    <cellStyle name="Normal 11 2 64" xfId="3391" xr:uid="{00000000-0005-0000-0000-00008F0C0000}"/>
    <cellStyle name="Normal 11 2 64 2" xfId="15426" xr:uid="{00000000-0005-0000-0000-0000900C0000}"/>
    <cellStyle name="Normal 11 2 65" xfId="3392" xr:uid="{00000000-0005-0000-0000-0000910C0000}"/>
    <cellStyle name="Normal 11 2 65 2" xfId="15427" xr:uid="{00000000-0005-0000-0000-0000920C0000}"/>
    <cellStyle name="Normal 11 2 66" xfId="3393" xr:uid="{00000000-0005-0000-0000-0000930C0000}"/>
    <cellStyle name="Normal 11 2 66 2" xfId="15428" xr:uid="{00000000-0005-0000-0000-0000940C0000}"/>
    <cellStyle name="Normal 11 2 67" xfId="3394" xr:uid="{00000000-0005-0000-0000-0000950C0000}"/>
    <cellStyle name="Normal 11 2 67 2" xfId="15429" xr:uid="{00000000-0005-0000-0000-0000960C0000}"/>
    <cellStyle name="Normal 11 2 68" xfId="3395" xr:uid="{00000000-0005-0000-0000-0000970C0000}"/>
    <cellStyle name="Normal 11 2 68 2" xfId="15430" xr:uid="{00000000-0005-0000-0000-0000980C0000}"/>
    <cellStyle name="Normal 11 2 69" xfId="3396" xr:uid="{00000000-0005-0000-0000-0000990C0000}"/>
    <cellStyle name="Normal 11 2 69 2" xfId="15431" xr:uid="{00000000-0005-0000-0000-00009A0C0000}"/>
    <cellStyle name="Normal 11 2 7" xfId="3397" xr:uid="{00000000-0005-0000-0000-00009B0C0000}"/>
    <cellStyle name="Normal 11 2 7 2" xfId="15432" xr:uid="{00000000-0005-0000-0000-00009C0C0000}"/>
    <cellStyle name="Normal 11 2 70" xfId="3398" xr:uid="{00000000-0005-0000-0000-00009D0C0000}"/>
    <cellStyle name="Normal 11 2 70 2" xfId="15433" xr:uid="{00000000-0005-0000-0000-00009E0C0000}"/>
    <cellStyle name="Normal 11 2 71" xfId="3399" xr:uid="{00000000-0005-0000-0000-00009F0C0000}"/>
    <cellStyle name="Normal 11 2 71 2" xfId="15434" xr:uid="{00000000-0005-0000-0000-0000A00C0000}"/>
    <cellStyle name="Normal 11 2 72" xfId="3400" xr:uid="{00000000-0005-0000-0000-0000A10C0000}"/>
    <cellStyle name="Normal 11 2 72 2" xfId="15435" xr:uid="{00000000-0005-0000-0000-0000A20C0000}"/>
    <cellStyle name="Normal 11 2 73" xfId="3401" xr:uid="{00000000-0005-0000-0000-0000A30C0000}"/>
    <cellStyle name="Normal 11 2 73 2" xfId="15436" xr:uid="{00000000-0005-0000-0000-0000A40C0000}"/>
    <cellStyle name="Normal 11 2 74" xfId="3402" xr:uid="{00000000-0005-0000-0000-0000A50C0000}"/>
    <cellStyle name="Normal 11 2 74 2" xfId="15437" xr:uid="{00000000-0005-0000-0000-0000A60C0000}"/>
    <cellStyle name="Normal 11 2 75" xfId="3403" xr:uid="{00000000-0005-0000-0000-0000A70C0000}"/>
    <cellStyle name="Normal 11 2 75 2" xfId="15438" xr:uid="{00000000-0005-0000-0000-0000A80C0000}"/>
    <cellStyle name="Normal 11 2 76" xfId="3404" xr:uid="{00000000-0005-0000-0000-0000A90C0000}"/>
    <cellStyle name="Normal 11 2 76 2" xfId="15439" xr:uid="{00000000-0005-0000-0000-0000AA0C0000}"/>
    <cellStyle name="Normal 11 2 77" xfId="3405" xr:uid="{00000000-0005-0000-0000-0000AB0C0000}"/>
    <cellStyle name="Normal 11 2 77 2" xfId="15440" xr:uid="{00000000-0005-0000-0000-0000AC0C0000}"/>
    <cellStyle name="Normal 11 2 78" xfId="3406" xr:uid="{00000000-0005-0000-0000-0000AD0C0000}"/>
    <cellStyle name="Normal 11 2 78 2" xfId="15441" xr:uid="{00000000-0005-0000-0000-0000AE0C0000}"/>
    <cellStyle name="Normal 11 2 79" xfId="3407" xr:uid="{00000000-0005-0000-0000-0000AF0C0000}"/>
    <cellStyle name="Normal 11 2 79 2" xfId="15442" xr:uid="{00000000-0005-0000-0000-0000B00C0000}"/>
    <cellStyle name="Normal 11 2 8" xfId="3408" xr:uid="{00000000-0005-0000-0000-0000B10C0000}"/>
    <cellStyle name="Normal 11 2 8 2" xfId="15443" xr:uid="{00000000-0005-0000-0000-0000B20C0000}"/>
    <cellStyle name="Normal 11 2 80" xfId="15366" xr:uid="{00000000-0005-0000-0000-0000B30C0000}"/>
    <cellStyle name="Normal 11 2 9" xfId="3409" xr:uid="{00000000-0005-0000-0000-0000B40C0000}"/>
    <cellStyle name="Normal 11 2 9 2" xfId="15444" xr:uid="{00000000-0005-0000-0000-0000B50C0000}"/>
    <cellStyle name="Normal 11 20" xfId="3410" xr:uid="{00000000-0005-0000-0000-0000B60C0000}"/>
    <cellStyle name="Normal 11 20 2" xfId="15445" xr:uid="{00000000-0005-0000-0000-0000B70C0000}"/>
    <cellStyle name="Normal 11 21" xfId="3411" xr:uid="{00000000-0005-0000-0000-0000B80C0000}"/>
    <cellStyle name="Normal 11 21 2" xfId="15446" xr:uid="{00000000-0005-0000-0000-0000B90C0000}"/>
    <cellStyle name="Normal 11 22" xfId="3412" xr:uid="{00000000-0005-0000-0000-0000BA0C0000}"/>
    <cellStyle name="Normal 11 22 2" xfId="15447" xr:uid="{00000000-0005-0000-0000-0000BB0C0000}"/>
    <cellStyle name="Normal 11 23" xfId="3413" xr:uid="{00000000-0005-0000-0000-0000BC0C0000}"/>
    <cellStyle name="Normal 11 23 2" xfId="15448" xr:uid="{00000000-0005-0000-0000-0000BD0C0000}"/>
    <cellStyle name="Normal 11 24" xfId="3414" xr:uid="{00000000-0005-0000-0000-0000BE0C0000}"/>
    <cellStyle name="Normal 11 24 2" xfId="15449" xr:uid="{00000000-0005-0000-0000-0000BF0C0000}"/>
    <cellStyle name="Normal 11 25" xfId="3415" xr:uid="{00000000-0005-0000-0000-0000C00C0000}"/>
    <cellStyle name="Normal 11 25 2" xfId="15450" xr:uid="{00000000-0005-0000-0000-0000C10C0000}"/>
    <cellStyle name="Normal 11 26" xfId="3416" xr:uid="{00000000-0005-0000-0000-0000C20C0000}"/>
    <cellStyle name="Normal 11 26 2" xfId="15451" xr:uid="{00000000-0005-0000-0000-0000C30C0000}"/>
    <cellStyle name="Normal 11 27" xfId="3417" xr:uid="{00000000-0005-0000-0000-0000C40C0000}"/>
    <cellStyle name="Normal 11 27 2" xfId="15452" xr:uid="{00000000-0005-0000-0000-0000C50C0000}"/>
    <cellStyle name="Normal 11 28" xfId="3418" xr:uid="{00000000-0005-0000-0000-0000C60C0000}"/>
    <cellStyle name="Normal 11 28 2" xfId="15453" xr:uid="{00000000-0005-0000-0000-0000C70C0000}"/>
    <cellStyle name="Normal 11 29" xfId="3419" xr:uid="{00000000-0005-0000-0000-0000C80C0000}"/>
    <cellStyle name="Normal 11 29 2" xfId="15454" xr:uid="{00000000-0005-0000-0000-0000C90C0000}"/>
    <cellStyle name="Normal 11 3" xfId="3420" xr:uid="{00000000-0005-0000-0000-0000CA0C0000}"/>
    <cellStyle name="Normal 11 3 10" xfId="3421" xr:uid="{00000000-0005-0000-0000-0000CB0C0000}"/>
    <cellStyle name="Normal 11 3 10 2" xfId="15456" xr:uid="{00000000-0005-0000-0000-0000CC0C0000}"/>
    <cellStyle name="Normal 11 3 11" xfId="3422" xr:uid="{00000000-0005-0000-0000-0000CD0C0000}"/>
    <cellStyle name="Normal 11 3 11 2" xfId="15457" xr:uid="{00000000-0005-0000-0000-0000CE0C0000}"/>
    <cellStyle name="Normal 11 3 12" xfId="3423" xr:uid="{00000000-0005-0000-0000-0000CF0C0000}"/>
    <cellStyle name="Normal 11 3 12 2" xfId="15458" xr:uid="{00000000-0005-0000-0000-0000D00C0000}"/>
    <cellStyle name="Normal 11 3 13" xfId="3424" xr:uid="{00000000-0005-0000-0000-0000D10C0000}"/>
    <cellStyle name="Normal 11 3 13 2" xfId="15459" xr:uid="{00000000-0005-0000-0000-0000D20C0000}"/>
    <cellStyle name="Normal 11 3 14" xfId="3425" xr:uid="{00000000-0005-0000-0000-0000D30C0000}"/>
    <cellStyle name="Normal 11 3 14 2" xfId="15460" xr:uid="{00000000-0005-0000-0000-0000D40C0000}"/>
    <cellStyle name="Normal 11 3 15" xfId="3426" xr:uid="{00000000-0005-0000-0000-0000D50C0000}"/>
    <cellStyle name="Normal 11 3 15 2" xfId="15461" xr:uid="{00000000-0005-0000-0000-0000D60C0000}"/>
    <cellStyle name="Normal 11 3 16" xfId="3427" xr:uid="{00000000-0005-0000-0000-0000D70C0000}"/>
    <cellStyle name="Normal 11 3 16 2" xfId="15462" xr:uid="{00000000-0005-0000-0000-0000D80C0000}"/>
    <cellStyle name="Normal 11 3 17" xfId="3428" xr:uid="{00000000-0005-0000-0000-0000D90C0000}"/>
    <cellStyle name="Normal 11 3 17 2" xfId="15463" xr:uid="{00000000-0005-0000-0000-0000DA0C0000}"/>
    <cellStyle name="Normal 11 3 18" xfId="3429" xr:uid="{00000000-0005-0000-0000-0000DB0C0000}"/>
    <cellStyle name="Normal 11 3 18 2" xfId="15464" xr:uid="{00000000-0005-0000-0000-0000DC0C0000}"/>
    <cellStyle name="Normal 11 3 19" xfId="3430" xr:uid="{00000000-0005-0000-0000-0000DD0C0000}"/>
    <cellStyle name="Normal 11 3 19 2" xfId="15465" xr:uid="{00000000-0005-0000-0000-0000DE0C0000}"/>
    <cellStyle name="Normal 11 3 2" xfId="3431" xr:uid="{00000000-0005-0000-0000-0000DF0C0000}"/>
    <cellStyle name="Normal 11 3 2 2" xfId="15466" xr:uid="{00000000-0005-0000-0000-0000E00C0000}"/>
    <cellStyle name="Normal 11 3 20" xfId="3432" xr:uid="{00000000-0005-0000-0000-0000E10C0000}"/>
    <cellStyle name="Normal 11 3 20 2" xfId="15467" xr:uid="{00000000-0005-0000-0000-0000E20C0000}"/>
    <cellStyle name="Normal 11 3 21" xfId="3433" xr:uid="{00000000-0005-0000-0000-0000E30C0000}"/>
    <cellStyle name="Normal 11 3 21 2" xfId="15468" xr:uid="{00000000-0005-0000-0000-0000E40C0000}"/>
    <cellStyle name="Normal 11 3 22" xfId="3434" xr:uid="{00000000-0005-0000-0000-0000E50C0000}"/>
    <cellStyle name="Normal 11 3 22 2" xfId="15469" xr:uid="{00000000-0005-0000-0000-0000E60C0000}"/>
    <cellStyle name="Normal 11 3 23" xfId="3435" xr:uid="{00000000-0005-0000-0000-0000E70C0000}"/>
    <cellStyle name="Normal 11 3 23 2" xfId="15470" xr:uid="{00000000-0005-0000-0000-0000E80C0000}"/>
    <cellStyle name="Normal 11 3 24" xfId="3436" xr:uid="{00000000-0005-0000-0000-0000E90C0000}"/>
    <cellStyle name="Normal 11 3 24 2" xfId="15471" xr:uid="{00000000-0005-0000-0000-0000EA0C0000}"/>
    <cellStyle name="Normal 11 3 25" xfId="3437" xr:uid="{00000000-0005-0000-0000-0000EB0C0000}"/>
    <cellStyle name="Normal 11 3 25 2" xfId="15472" xr:uid="{00000000-0005-0000-0000-0000EC0C0000}"/>
    <cellStyle name="Normal 11 3 26" xfId="3438" xr:uid="{00000000-0005-0000-0000-0000ED0C0000}"/>
    <cellStyle name="Normal 11 3 26 2" xfId="15473" xr:uid="{00000000-0005-0000-0000-0000EE0C0000}"/>
    <cellStyle name="Normal 11 3 27" xfId="3439" xr:uid="{00000000-0005-0000-0000-0000EF0C0000}"/>
    <cellStyle name="Normal 11 3 27 2" xfId="15474" xr:uid="{00000000-0005-0000-0000-0000F00C0000}"/>
    <cellStyle name="Normal 11 3 28" xfId="3440" xr:uid="{00000000-0005-0000-0000-0000F10C0000}"/>
    <cellStyle name="Normal 11 3 28 2" xfId="15475" xr:uid="{00000000-0005-0000-0000-0000F20C0000}"/>
    <cellStyle name="Normal 11 3 29" xfId="3441" xr:uid="{00000000-0005-0000-0000-0000F30C0000}"/>
    <cellStyle name="Normal 11 3 29 2" xfId="15476" xr:uid="{00000000-0005-0000-0000-0000F40C0000}"/>
    <cellStyle name="Normal 11 3 3" xfId="3442" xr:uid="{00000000-0005-0000-0000-0000F50C0000}"/>
    <cellStyle name="Normal 11 3 3 2" xfId="15477" xr:uid="{00000000-0005-0000-0000-0000F60C0000}"/>
    <cellStyle name="Normal 11 3 30" xfId="3443" xr:uid="{00000000-0005-0000-0000-0000F70C0000}"/>
    <cellStyle name="Normal 11 3 30 2" xfId="15478" xr:uid="{00000000-0005-0000-0000-0000F80C0000}"/>
    <cellStyle name="Normal 11 3 31" xfId="3444" xr:uid="{00000000-0005-0000-0000-0000F90C0000}"/>
    <cellStyle name="Normal 11 3 31 2" xfId="15479" xr:uid="{00000000-0005-0000-0000-0000FA0C0000}"/>
    <cellStyle name="Normal 11 3 32" xfId="3445" xr:uid="{00000000-0005-0000-0000-0000FB0C0000}"/>
    <cellStyle name="Normal 11 3 32 2" xfId="15480" xr:uid="{00000000-0005-0000-0000-0000FC0C0000}"/>
    <cellStyle name="Normal 11 3 33" xfId="3446" xr:uid="{00000000-0005-0000-0000-0000FD0C0000}"/>
    <cellStyle name="Normal 11 3 33 2" xfId="15481" xr:uid="{00000000-0005-0000-0000-0000FE0C0000}"/>
    <cellStyle name="Normal 11 3 34" xfId="3447" xr:uid="{00000000-0005-0000-0000-0000FF0C0000}"/>
    <cellStyle name="Normal 11 3 34 2" xfId="15482" xr:uid="{00000000-0005-0000-0000-0000000D0000}"/>
    <cellStyle name="Normal 11 3 35" xfId="3448" xr:uid="{00000000-0005-0000-0000-0000010D0000}"/>
    <cellStyle name="Normal 11 3 35 2" xfId="15483" xr:uid="{00000000-0005-0000-0000-0000020D0000}"/>
    <cellStyle name="Normal 11 3 36" xfId="3449" xr:uid="{00000000-0005-0000-0000-0000030D0000}"/>
    <cellStyle name="Normal 11 3 36 2" xfId="15484" xr:uid="{00000000-0005-0000-0000-0000040D0000}"/>
    <cellStyle name="Normal 11 3 37" xfId="3450" xr:uid="{00000000-0005-0000-0000-0000050D0000}"/>
    <cellStyle name="Normal 11 3 37 2" xfId="15485" xr:uid="{00000000-0005-0000-0000-0000060D0000}"/>
    <cellStyle name="Normal 11 3 38" xfId="3451" xr:uid="{00000000-0005-0000-0000-0000070D0000}"/>
    <cellStyle name="Normal 11 3 38 2" xfId="15486" xr:uid="{00000000-0005-0000-0000-0000080D0000}"/>
    <cellStyle name="Normal 11 3 39" xfId="3452" xr:uid="{00000000-0005-0000-0000-0000090D0000}"/>
    <cellStyle name="Normal 11 3 39 2" xfId="15487" xr:uid="{00000000-0005-0000-0000-00000A0D0000}"/>
    <cellStyle name="Normal 11 3 4" xfId="3453" xr:uid="{00000000-0005-0000-0000-00000B0D0000}"/>
    <cellStyle name="Normal 11 3 4 2" xfId="15488" xr:uid="{00000000-0005-0000-0000-00000C0D0000}"/>
    <cellStyle name="Normal 11 3 40" xfId="3454" xr:uid="{00000000-0005-0000-0000-00000D0D0000}"/>
    <cellStyle name="Normal 11 3 40 2" xfId="15489" xr:uid="{00000000-0005-0000-0000-00000E0D0000}"/>
    <cellStyle name="Normal 11 3 41" xfId="3455" xr:uid="{00000000-0005-0000-0000-00000F0D0000}"/>
    <cellStyle name="Normal 11 3 41 2" xfId="15490" xr:uid="{00000000-0005-0000-0000-0000100D0000}"/>
    <cellStyle name="Normal 11 3 42" xfId="3456" xr:uid="{00000000-0005-0000-0000-0000110D0000}"/>
    <cellStyle name="Normal 11 3 42 2" xfId="15491" xr:uid="{00000000-0005-0000-0000-0000120D0000}"/>
    <cellStyle name="Normal 11 3 43" xfId="3457" xr:uid="{00000000-0005-0000-0000-0000130D0000}"/>
    <cellStyle name="Normal 11 3 43 2" xfId="15492" xr:uid="{00000000-0005-0000-0000-0000140D0000}"/>
    <cellStyle name="Normal 11 3 44" xfId="3458" xr:uid="{00000000-0005-0000-0000-0000150D0000}"/>
    <cellStyle name="Normal 11 3 44 2" xfId="15493" xr:uid="{00000000-0005-0000-0000-0000160D0000}"/>
    <cellStyle name="Normal 11 3 45" xfId="3459" xr:uid="{00000000-0005-0000-0000-0000170D0000}"/>
    <cellStyle name="Normal 11 3 45 2" xfId="15494" xr:uid="{00000000-0005-0000-0000-0000180D0000}"/>
    <cellStyle name="Normal 11 3 46" xfId="3460" xr:uid="{00000000-0005-0000-0000-0000190D0000}"/>
    <cellStyle name="Normal 11 3 46 2" xfId="15495" xr:uid="{00000000-0005-0000-0000-00001A0D0000}"/>
    <cellStyle name="Normal 11 3 47" xfId="3461" xr:uid="{00000000-0005-0000-0000-00001B0D0000}"/>
    <cellStyle name="Normal 11 3 47 2" xfId="15496" xr:uid="{00000000-0005-0000-0000-00001C0D0000}"/>
    <cellStyle name="Normal 11 3 48" xfId="3462" xr:uid="{00000000-0005-0000-0000-00001D0D0000}"/>
    <cellStyle name="Normal 11 3 48 2" xfId="15497" xr:uid="{00000000-0005-0000-0000-00001E0D0000}"/>
    <cellStyle name="Normal 11 3 49" xfId="3463" xr:uid="{00000000-0005-0000-0000-00001F0D0000}"/>
    <cellStyle name="Normal 11 3 49 2" xfId="15498" xr:uid="{00000000-0005-0000-0000-0000200D0000}"/>
    <cellStyle name="Normal 11 3 5" xfId="3464" xr:uid="{00000000-0005-0000-0000-0000210D0000}"/>
    <cellStyle name="Normal 11 3 5 2" xfId="15499" xr:uid="{00000000-0005-0000-0000-0000220D0000}"/>
    <cellStyle name="Normal 11 3 50" xfId="3465" xr:uid="{00000000-0005-0000-0000-0000230D0000}"/>
    <cellStyle name="Normal 11 3 50 2" xfId="15500" xr:uid="{00000000-0005-0000-0000-0000240D0000}"/>
    <cellStyle name="Normal 11 3 51" xfId="3466" xr:uid="{00000000-0005-0000-0000-0000250D0000}"/>
    <cellStyle name="Normal 11 3 51 2" xfId="15501" xr:uid="{00000000-0005-0000-0000-0000260D0000}"/>
    <cellStyle name="Normal 11 3 52" xfId="3467" xr:uid="{00000000-0005-0000-0000-0000270D0000}"/>
    <cellStyle name="Normal 11 3 52 2" xfId="15502" xr:uid="{00000000-0005-0000-0000-0000280D0000}"/>
    <cellStyle name="Normal 11 3 53" xfId="3468" xr:uid="{00000000-0005-0000-0000-0000290D0000}"/>
    <cellStyle name="Normal 11 3 53 2" xfId="15503" xr:uid="{00000000-0005-0000-0000-00002A0D0000}"/>
    <cellStyle name="Normal 11 3 54" xfId="3469" xr:uid="{00000000-0005-0000-0000-00002B0D0000}"/>
    <cellStyle name="Normal 11 3 54 2" xfId="15504" xr:uid="{00000000-0005-0000-0000-00002C0D0000}"/>
    <cellStyle name="Normal 11 3 55" xfId="3470" xr:uid="{00000000-0005-0000-0000-00002D0D0000}"/>
    <cellStyle name="Normal 11 3 55 2" xfId="15505" xr:uid="{00000000-0005-0000-0000-00002E0D0000}"/>
    <cellStyle name="Normal 11 3 56" xfId="3471" xr:uid="{00000000-0005-0000-0000-00002F0D0000}"/>
    <cellStyle name="Normal 11 3 56 2" xfId="15506" xr:uid="{00000000-0005-0000-0000-0000300D0000}"/>
    <cellStyle name="Normal 11 3 57" xfId="3472" xr:uid="{00000000-0005-0000-0000-0000310D0000}"/>
    <cellStyle name="Normal 11 3 57 2" xfId="15507" xr:uid="{00000000-0005-0000-0000-0000320D0000}"/>
    <cellStyle name="Normal 11 3 58" xfId="3473" xr:uid="{00000000-0005-0000-0000-0000330D0000}"/>
    <cellStyle name="Normal 11 3 58 2" xfId="15508" xr:uid="{00000000-0005-0000-0000-0000340D0000}"/>
    <cellStyle name="Normal 11 3 59" xfId="3474" xr:uid="{00000000-0005-0000-0000-0000350D0000}"/>
    <cellStyle name="Normal 11 3 59 2" xfId="15509" xr:uid="{00000000-0005-0000-0000-0000360D0000}"/>
    <cellStyle name="Normal 11 3 6" xfId="3475" xr:uid="{00000000-0005-0000-0000-0000370D0000}"/>
    <cellStyle name="Normal 11 3 6 2" xfId="15510" xr:uid="{00000000-0005-0000-0000-0000380D0000}"/>
    <cellStyle name="Normal 11 3 60" xfId="3476" xr:uid="{00000000-0005-0000-0000-0000390D0000}"/>
    <cellStyle name="Normal 11 3 60 2" xfId="15511" xr:uid="{00000000-0005-0000-0000-00003A0D0000}"/>
    <cellStyle name="Normal 11 3 61" xfId="3477" xr:uid="{00000000-0005-0000-0000-00003B0D0000}"/>
    <cellStyle name="Normal 11 3 61 2" xfId="15512" xr:uid="{00000000-0005-0000-0000-00003C0D0000}"/>
    <cellStyle name="Normal 11 3 62" xfId="3478" xr:uid="{00000000-0005-0000-0000-00003D0D0000}"/>
    <cellStyle name="Normal 11 3 62 2" xfId="15513" xr:uid="{00000000-0005-0000-0000-00003E0D0000}"/>
    <cellStyle name="Normal 11 3 63" xfId="3479" xr:uid="{00000000-0005-0000-0000-00003F0D0000}"/>
    <cellStyle name="Normal 11 3 63 2" xfId="15514" xr:uid="{00000000-0005-0000-0000-0000400D0000}"/>
    <cellStyle name="Normal 11 3 64" xfId="3480" xr:uid="{00000000-0005-0000-0000-0000410D0000}"/>
    <cellStyle name="Normal 11 3 64 2" xfId="15515" xr:uid="{00000000-0005-0000-0000-0000420D0000}"/>
    <cellStyle name="Normal 11 3 65" xfId="3481" xr:uid="{00000000-0005-0000-0000-0000430D0000}"/>
    <cellStyle name="Normal 11 3 65 2" xfId="15516" xr:uid="{00000000-0005-0000-0000-0000440D0000}"/>
    <cellStyle name="Normal 11 3 66" xfId="3482" xr:uid="{00000000-0005-0000-0000-0000450D0000}"/>
    <cellStyle name="Normal 11 3 66 2" xfId="15517" xr:uid="{00000000-0005-0000-0000-0000460D0000}"/>
    <cellStyle name="Normal 11 3 67" xfId="3483" xr:uid="{00000000-0005-0000-0000-0000470D0000}"/>
    <cellStyle name="Normal 11 3 67 2" xfId="15518" xr:uid="{00000000-0005-0000-0000-0000480D0000}"/>
    <cellStyle name="Normal 11 3 68" xfId="3484" xr:uid="{00000000-0005-0000-0000-0000490D0000}"/>
    <cellStyle name="Normal 11 3 68 2" xfId="15519" xr:uid="{00000000-0005-0000-0000-00004A0D0000}"/>
    <cellStyle name="Normal 11 3 69" xfId="3485" xr:uid="{00000000-0005-0000-0000-00004B0D0000}"/>
    <cellStyle name="Normal 11 3 69 2" xfId="15520" xr:uid="{00000000-0005-0000-0000-00004C0D0000}"/>
    <cellStyle name="Normal 11 3 7" xfId="3486" xr:uid="{00000000-0005-0000-0000-00004D0D0000}"/>
    <cellStyle name="Normal 11 3 7 2" xfId="15521" xr:uid="{00000000-0005-0000-0000-00004E0D0000}"/>
    <cellStyle name="Normal 11 3 70" xfId="3487" xr:uid="{00000000-0005-0000-0000-00004F0D0000}"/>
    <cellStyle name="Normal 11 3 70 2" xfId="15522" xr:uid="{00000000-0005-0000-0000-0000500D0000}"/>
    <cellStyle name="Normal 11 3 71" xfId="3488" xr:uid="{00000000-0005-0000-0000-0000510D0000}"/>
    <cellStyle name="Normal 11 3 71 2" xfId="15523" xr:uid="{00000000-0005-0000-0000-0000520D0000}"/>
    <cellStyle name="Normal 11 3 72" xfId="3489" xr:uid="{00000000-0005-0000-0000-0000530D0000}"/>
    <cellStyle name="Normal 11 3 72 2" xfId="15524" xr:uid="{00000000-0005-0000-0000-0000540D0000}"/>
    <cellStyle name="Normal 11 3 73" xfId="3490" xr:uid="{00000000-0005-0000-0000-0000550D0000}"/>
    <cellStyle name="Normal 11 3 73 2" xfId="15525" xr:uid="{00000000-0005-0000-0000-0000560D0000}"/>
    <cellStyle name="Normal 11 3 74" xfId="3491" xr:uid="{00000000-0005-0000-0000-0000570D0000}"/>
    <cellStyle name="Normal 11 3 74 2" xfId="15526" xr:uid="{00000000-0005-0000-0000-0000580D0000}"/>
    <cellStyle name="Normal 11 3 75" xfId="3492" xr:uid="{00000000-0005-0000-0000-0000590D0000}"/>
    <cellStyle name="Normal 11 3 75 2" xfId="15527" xr:uid="{00000000-0005-0000-0000-00005A0D0000}"/>
    <cellStyle name="Normal 11 3 76" xfId="3493" xr:uid="{00000000-0005-0000-0000-00005B0D0000}"/>
    <cellStyle name="Normal 11 3 76 2" xfId="15528" xr:uid="{00000000-0005-0000-0000-00005C0D0000}"/>
    <cellStyle name="Normal 11 3 77" xfId="3494" xr:uid="{00000000-0005-0000-0000-00005D0D0000}"/>
    <cellStyle name="Normal 11 3 77 2" xfId="15529" xr:uid="{00000000-0005-0000-0000-00005E0D0000}"/>
    <cellStyle name="Normal 11 3 78" xfId="3495" xr:uid="{00000000-0005-0000-0000-00005F0D0000}"/>
    <cellStyle name="Normal 11 3 78 2" xfId="15530" xr:uid="{00000000-0005-0000-0000-0000600D0000}"/>
    <cellStyle name="Normal 11 3 79" xfId="3496" xr:uid="{00000000-0005-0000-0000-0000610D0000}"/>
    <cellStyle name="Normal 11 3 79 2" xfId="15531" xr:uid="{00000000-0005-0000-0000-0000620D0000}"/>
    <cellStyle name="Normal 11 3 8" xfId="3497" xr:uid="{00000000-0005-0000-0000-0000630D0000}"/>
    <cellStyle name="Normal 11 3 8 2" xfId="15532" xr:uid="{00000000-0005-0000-0000-0000640D0000}"/>
    <cellStyle name="Normal 11 3 80" xfId="15455" xr:uid="{00000000-0005-0000-0000-0000650D0000}"/>
    <cellStyle name="Normal 11 3 9" xfId="3498" xr:uid="{00000000-0005-0000-0000-0000660D0000}"/>
    <cellStyle name="Normal 11 3 9 2" xfId="15533" xr:uid="{00000000-0005-0000-0000-0000670D0000}"/>
    <cellStyle name="Normal 11 30" xfId="3499" xr:uid="{00000000-0005-0000-0000-0000680D0000}"/>
    <cellStyle name="Normal 11 30 2" xfId="15534" xr:uid="{00000000-0005-0000-0000-0000690D0000}"/>
    <cellStyle name="Normal 11 31" xfId="3500" xr:uid="{00000000-0005-0000-0000-00006A0D0000}"/>
    <cellStyle name="Normal 11 31 2" xfId="15535" xr:uid="{00000000-0005-0000-0000-00006B0D0000}"/>
    <cellStyle name="Normal 11 32" xfId="3501" xr:uid="{00000000-0005-0000-0000-00006C0D0000}"/>
    <cellStyle name="Normal 11 32 2" xfId="15536" xr:uid="{00000000-0005-0000-0000-00006D0D0000}"/>
    <cellStyle name="Normal 11 33" xfId="3502" xr:uid="{00000000-0005-0000-0000-00006E0D0000}"/>
    <cellStyle name="Normal 11 33 2" xfId="15537" xr:uid="{00000000-0005-0000-0000-00006F0D0000}"/>
    <cellStyle name="Normal 11 34" xfId="3503" xr:uid="{00000000-0005-0000-0000-0000700D0000}"/>
    <cellStyle name="Normal 11 34 2" xfId="15538" xr:uid="{00000000-0005-0000-0000-0000710D0000}"/>
    <cellStyle name="Normal 11 35" xfId="3504" xr:uid="{00000000-0005-0000-0000-0000720D0000}"/>
    <cellStyle name="Normal 11 35 2" xfId="15539" xr:uid="{00000000-0005-0000-0000-0000730D0000}"/>
    <cellStyle name="Normal 11 36" xfId="3505" xr:uid="{00000000-0005-0000-0000-0000740D0000}"/>
    <cellStyle name="Normal 11 36 2" xfId="15540" xr:uid="{00000000-0005-0000-0000-0000750D0000}"/>
    <cellStyle name="Normal 11 37" xfId="3506" xr:uid="{00000000-0005-0000-0000-0000760D0000}"/>
    <cellStyle name="Normal 11 37 2" xfId="15541" xr:uid="{00000000-0005-0000-0000-0000770D0000}"/>
    <cellStyle name="Normal 11 38" xfId="3507" xr:uid="{00000000-0005-0000-0000-0000780D0000}"/>
    <cellStyle name="Normal 11 38 2" xfId="15542" xr:uid="{00000000-0005-0000-0000-0000790D0000}"/>
    <cellStyle name="Normal 11 39" xfId="3508" xr:uid="{00000000-0005-0000-0000-00007A0D0000}"/>
    <cellStyle name="Normal 11 39 2" xfId="15543" xr:uid="{00000000-0005-0000-0000-00007B0D0000}"/>
    <cellStyle name="Normal 11 4" xfId="3509" xr:uid="{00000000-0005-0000-0000-00007C0D0000}"/>
    <cellStyle name="Normal 11 4 10" xfId="3510" xr:uid="{00000000-0005-0000-0000-00007D0D0000}"/>
    <cellStyle name="Normal 11 4 10 2" xfId="15545" xr:uid="{00000000-0005-0000-0000-00007E0D0000}"/>
    <cellStyle name="Normal 11 4 11" xfId="3511" xr:uid="{00000000-0005-0000-0000-00007F0D0000}"/>
    <cellStyle name="Normal 11 4 11 2" xfId="15546" xr:uid="{00000000-0005-0000-0000-0000800D0000}"/>
    <cellStyle name="Normal 11 4 12" xfId="3512" xr:uid="{00000000-0005-0000-0000-0000810D0000}"/>
    <cellStyle name="Normal 11 4 12 2" xfId="15547" xr:uid="{00000000-0005-0000-0000-0000820D0000}"/>
    <cellStyle name="Normal 11 4 13" xfId="3513" xr:uid="{00000000-0005-0000-0000-0000830D0000}"/>
    <cellStyle name="Normal 11 4 13 2" xfId="15548" xr:uid="{00000000-0005-0000-0000-0000840D0000}"/>
    <cellStyle name="Normal 11 4 14" xfId="3514" xr:uid="{00000000-0005-0000-0000-0000850D0000}"/>
    <cellStyle name="Normal 11 4 14 2" xfId="15549" xr:uid="{00000000-0005-0000-0000-0000860D0000}"/>
    <cellStyle name="Normal 11 4 15" xfId="3515" xr:uid="{00000000-0005-0000-0000-0000870D0000}"/>
    <cellStyle name="Normal 11 4 15 2" xfId="15550" xr:uid="{00000000-0005-0000-0000-0000880D0000}"/>
    <cellStyle name="Normal 11 4 16" xfId="3516" xr:uid="{00000000-0005-0000-0000-0000890D0000}"/>
    <cellStyle name="Normal 11 4 16 2" xfId="15551" xr:uid="{00000000-0005-0000-0000-00008A0D0000}"/>
    <cellStyle name="Normal 11 4 17" xfId="3517" xr:uid="{00000000-0005-0000-0000-00008B0D0000}"/>
    <cellStyle name="Normal 11 4 17 2" xfId="15552" xr:uid="{00000000-0005-0000-0000-00008C0D0000}"/>
    <cellStyle name="Normal 11 4 18" xfId="3518" xr:uid="{00000000-0005-0000-0000-00008D0D0000}"/>
    <cellStyle name="Normal 11 4 18 2" xfId="15553" xr:uid="{00000000-0005-0000-0000-00008E0D0000}"/>
    <cellStyle name="Normal 11 4 19" xfId="3519" xr:uid="{00000000-0005-0000-0000-00008F0D0000}"/>
    <cellStyle name="Normal 11 4 19 2" xfId="15554" xr:uid="{00000000-0005-0000-0000-0000900D0000}"/>
    <cellStyle name="Normal 11 4 2" xfId="3520" xr:uid="{00000000-0005-0000-0000-0000910D0000}"/>
    <cellStyle name="Normal 11 4 2 2" xfId="15555" xr:uid="{00000000-0005-0000-0000-0000920D0000}"/>
    <cellStyle name="Normal 11 4 20" xfId="3521" xr:uid="{00000000-0005-0000-0000-0000930D0000}"/>
    <cellStyle name="Normal 11 4 20 2" xfId="15556" xr:uid="{00000000-0005-0000-0000-0000940D0000}"/>
    <cellStyle name="Normal 11 4 21" xfId="3522" xr:uid="{00000000-0005-0000-0000-0000950D0000}"/>
    <cellStyle name="Normal 11 4 21 2" xfId="15557" xr:uid="{00000000-0005-0000-0000-0000960D0000}"/>
    <cellStyle name="Normal 11 4 22" xfId="3523" xr:uid="{00000000-0005-0000-0000-0000970D0000}"/>
    <cellStyle name="Normal 11 4 22 2" xfId="15558" xr:uid="{00000000-0005-0000-0000-0000980D0000}"/>
    <cellStyle name="Normal 11 4 23" xfId="3524" xr:uid="{00000000-0005-0000-0000-0000990D0000}"/>
    <cellStyle name="Normal 11 4 23 2" xfId="15559" xr:uid="{00000000-0005-0000-0000-00009A0D0000}"/>
    <cellStyle name="Normal 11 4 24" xfId="3525" xr:uid="{00000000-0005-0000-0000-00009B0D0000}"/>
    <cellStyle name="Normal 11 4 24 2" xfId="15560" xr:uid="{00000000-0005-0000-0000-00009C0D0000}"/>
    <cellStyle name="Normal 11 4 25" xfId="3526" xr:uid="{00000000-0005-0000-0000-00009D0D0000}"/>
    <cellStyle name="Normal 11 4 25 2" xfId="15561" xr:uid="{00000000-0005-0000-0000-00009E0D0000}"/>
    <cellStyle name="Normal 11 4 26" xfId="3527" xr:uid="{00000000-0005-0000-0000-00009F0D0000}"/>
    <cellStyle name="Normal 11 4 26 2" xfId="15562" xr:uid="{00000000-0005-0000-0000-0000A00D0000}"/>
    <cellStyle name="Normal 11 4 27" xfId="3528" xr:uid="{00000000-0005-0000-0000-0000A10D0000}"/>
    <cellStyle name="Normal 11 4 27 2" xfId="15563" xr:uid="{00000000-0005-0000-0000-0000A20D0000}"/>
    <cellStyle name="Normal 11 4 28" xfId="3529" xr:uid="{00000000-0005-0000-0000-0000A30D0000}"/>
    <cellStyle name="Normal 11 4 28 2" xfId="15564" xr:uid="{00000000-0005-0000-0000-0000A40D0000}"/>
    <cellStyle name="Normal 11 4 29" xfId="3530" xr:uid="{00000000-0005-0000-0000-0000A50D0000}"/>
    <cellStyle name="Normal 11 4 29 2" xfId="15565" xr:uid="{00000000-0005-0000-0000-0000A60D0000}"/>
    <cellStyle name="Normal 11 4 3" xfId="3531" xr:uid="{00000000-0005-0000-0000-0000A70D0000}"/>
    <cellStyle name="Normal 11 4 3 2" xfId="15566" xr:uid="{00000000-0005-0000-0000-0000A80D0000}"/>
    <cellStyle name="Normal 11 4 30" xfId="3532" xr:uid="{00000000-0005-0000-0000-0000A90D0000}"/>
    <cellStyle name="Normal 11 4 30 2" xfId="15567" xr:uid="{00000000-0005-0000-0000-0000AA0D0000}"/>
    <cellStyle name="Normal 11 4 31" xfId="3533" xr:uid="{00000000-0005-0000-0000-0000AB0D0000}"/>
    <cellStyle name="Normal 11 4 31 2" xfId="15568" xr:uid="{00000000-0005-0000-0000-0000AC0D0000}"/>
    <cellStyle name="Normal 11 4 32" xfId="3534" xr:uid="{00000000-0005-0000-0000-0000AD0D0000}"/>
    <cellStyle name="Normal 11 4 32 2" xfId="15569" xr:uid="{00000000-0005-0000-0000-0000AE0D0000}"/>
    <cellStyle name="Normal 11 4 33" xfId="3535" xr:uid="{00000000-0005-0000-0000-0000AF0D0000}"/>
    <cellStyle name="Normal 11 4 33 2" xfId="15570" xr:uid="{00000000-0005-0000-0000-0000B00D0000}"/>
    <cellStyle name="Normal 11 4 34" xfId="3536" xr:uid="{00000000-0005-0000-0000-0000B10D0000}"/>
    <cellStyle name="Normal 11 4 34 2" xfId="15571" xr:uid="{00000000-0005-0000-0000-0000B20D0000}"/>
    <cellStyle name="Normal 11 4 35" xfId="3537" xr:uid="{00000000-0005-0000-0000-0000B30D0000}"/>
    <cellStyle name="Normal 11 4 35 2" xfId="15572" xr:uid="{00000000-0005-0000-0000-0000B40D0000}"/>
    <cellStyle name="Normal 11 4 36" xfId="3538" xr:uid="{00000000-0005-0000-0000-0000B50D0000}"/>
    <cellStyle name="Normal 11 4 36 2" xfId="15573" xr:uid="{00000000-0005-0000-0000-0000B60D0000}"/>
    <cellStyle name="Normal 11 4 37" xfId="3539" xr:uid="{00000000-0005-0000-0000-0000B70D0000}"/>
    <cellStyle name="Normal 11 4 37 2" xfId="15574" xr:uid="{00000000-0005-0000-0000-0000B80D0000}"/>
    <cellStyle name="Normal 11 4 38" xfId="3540" xr:uid="{00000000-0005-0000-0000-0000B90D0000}"/>
    <cellStyle name="Normal 11 4 38 2" xfId="15575" xr:uid="{00000000-0005-0000-0000-0000BA0D0000}"/>
    <cellStyle name="Normal 11 4 39" xfId="3541" xr:uid="{00000000-0005-0000-0000-0000BB0D0000}"/>
    <cellStyle name="Normal 11 4 39 2" xfId="15576" xr:uid="{00000000-0005-0000-0000-0000BC0D0000}"/>
    <cellStyle name="Normal 11 4 4" xfId="3542" xr:uid="{00000000-0005-0000-0000-0000BD0D0000}"/>
    <cellStyle name="Normal 11 4 4 2" xfId="15577" xr:uid="{00000000-0005-0000-0000-0000BE0D0000}"/>
    <cellStyle name="Normal 11 4 40" xfId="3543" xr:uid="{00000000-0005-0000-0000-0000BF0D0000}"/>
    <cellStyle name="Normal 11 4 40 2" xfId="15578" xr:uid="{00000000-0005-0000-0000-0000C00D0000}"/>
    <cellStyle name="Normal 11 4 41" xfId="3544" xr:uid="{00000000-0005-0000-0000-0000C10D0000}"/>
    <cellStyle name="Normal 11 4 41 2" xfId="15579" xr:uid="{00000000-0005-0000-0000-0000C20D0000}"/>
    <cellStyle name="Normal 11 4 42" xfId="3545" xr:uid="{00000000-0005-0000-0000-0000C30D0000}"/>
    <cellStyle name="Normal 11 4 42 2" xfId="15580" xr:uid="{00000000-0005-0000-0000-0000C40D0000}"/>
    <cellStyle name="Normal 11 4 43" xfId="3546" xr:uid="{00000000-0005-0000-0000-0000C50D0000}"/>
    <cellStyle name="Normal 11 4 43 2" xfId="15581" xr:uid="{00000000-0005-0000-0000-0000C60D0000}"/>
    <cellStyle name="Normal 11 4 44" xfId="3547" xr:uid="{00000000-0005-0000-0000-0000C70D0000}"/>
    <cellStyle name="Normal 11 4 44 2" xfId="15582" xr:uid="{00000000-0005-0000-0000-0000C80D0000}"/>
    <cellStyle name="Normal 11 4 45" xfId="3548" xr:uid="{00000000-0005-0000-0000-0000C90D0000}"/>
    <cellStyle name="Normal 11 4 45 2" xfId="15583" xr:uid="{00000000-0005-0000-0000-0000CA0D0000}"/>
    <cellStyle name="Normal 11 4 46" xfId="3549" xr:uid="{00000000-0005-0000-0000-0000CB0D0000}"/>
    <cellStyle name="Normal 11 4 46 2" xfId="15584" xr:uid="{00000000-0005-0000-0000-0000CC0D0000}"/>
    <cellStyle name="Normal 11 4 47" xfId="3550" xr:uid="{00000000-0005-0000-0000-0000CD0D0000}"/>
    <cellStyle name="Normal 11 4 47 2" xfId="15585" xr:uid="{00000000-0005-0000-0000-0000CE0D0000}"/>
    <cellStyle name="Normal 11 4 48" xfId="3551" xr:uid="{00000000-0005-0000-0000-0000CF0D0000}"/>
    <cellStyle name="Normal 11 4 48 2" xfId="15586" xr:uid="{00000000-0005-0000-0000-0000D00D0000}"/>
    <cellStyle name="Normal 11 4 49" xfId="3552" xr:uid="{00000000-0005-0000-0000-0000D10D0000}"/>
    <cellStyle name="Normal 11 4 49 2" xfId="15587" xr:uid="{00000000-0005-0000-0000-0000D20D0000}"/>
    <cellStyle name="Normal 11 4 5" xfId="3553" xr:uid="{00000000-0005-0000-0000-0000D30D0000}"/>
    <cellStyle name="Normal 11 4 5 2" xfId="15588" xr:uid="{00000000-0005-0000-0000-0000D40D0000}"/>
    <cellStyle name="Normal 11 4 50" xfId="3554" xr:uid="{00000000-0005-0000-0000-0000D50D0000}"/>
    <cellStyle name="Normal 11 4 50 2" xfId="15589" xr:uid="{00000000-0005-0000-0000-0000D60D0000}"/>
    <cellStyle name="Normal 11 4 51" xfId="3555" xr:uid="{00000000-0005-0000-0000-0000D70D0000}"/>
    <cellStyle name="Normal 11 4 51 2" xfId="15590" xr:uid="{00000000-0005-0000-0000-0000D80D0000}"/>
    <cellStyle name="Normal 11 4 52" xfId="3556" xr:uid="{00000000-0005-0000-0000-0000D90D0000}"/>
    <cellStyle name="Normal 11 4 52 2" xfId="15591" xr:uid="{00000000-0005-0000-0000-0000DA0D0000}"/>
    <cellStyle name="Normal 11 4 53" xfId="3557" xr:uid="{00000000-0005-0000-0000-0000DB0D0000}"/>
    <cellStyle name="Normal 11 4 53 2" xfId="15592" xr:uid="{00000000-0005-0000-0000-0000DC0D0000}"/>
    <cellStyle name="Normal 11 4 54" xfId="3558" xr:uid="{00000000-0005-0000-0000-0000DD0D0000}"/>
    <cellStyle name="Normal 11 4 54 2" xfId="15593" xr:uid="{00000000-0005-0000-0000-0000DE0D0000}"/>
    <cellStyle name="Normal 11 4 55" xfId="3559" xr:uid="{00000000-0005-0000-0000-0000DF0D0000}"/>
    <cellStyle name="Normal 11 4 55 2" xfId="15594" xr:uid="{00000000-0005-0000-0000-0000E00D0000}"/>
    <cellStyle name="Normal 11 4 56" xfId="3560" xr:uid="{00000000-0005-0000-0000-0000E10D0000}"/>
    <cellStyle name="Normal 11 4 56 2" xfId="15595" xr:uid="{00000000-0005-0000-0000-0000E20D0000}"/>
    <cellStyle name="Normal 11 4 57" xfId="3561" xr:uid="{00000000-0005-0000-0000-0000E30D0000}"/>
    <cellStyle name="Normal 11 4 57 2" xfId="15596" xr:uid="{00000000-0005-0000-0000-0000E40D0000}"/>
    <cellStyle name="Normal 11 4 58" xfId="3562" xr:uid="{00000000-0005-0000-0000-0000E50D0000}"/>
    <cellStyle name="Normal 11 4 58 2" xfId="15597" xr:uid="{00000000-0005-0000-0000-0000E60D0000}"/>
    <cellStyle name="Normal 11 4 59" xfId="3563" xr:uid="{00000000-0005-0000-0000-0000E70D0000}"/>
    <cellStyle name="Normal 11 4 59 2" xfId="15598" xr:uid="{00000000-0005-0000-0000-0000E80D0000}"/>
    <cellStyle name="Normal 11 4 6" xfId="3564" xr:uid="{00000000-0005-0000-0000-0000E90D0000}"/>
    <cellStyle name="Normal 11 4 6 2" xfId="15599" xr:uid="{00000000-0005-0000-0000-0000EA0D0000}"/>
    <cellStyle name="Normal 11 4 60" xfId="3565" xr:uid="{00000000-0005-0000-0000-0000EB0D0000}"/>
    <cellStyle name="Normal 11 4 60 2" xfId="15600" xr:uid="{00000000-0005-0000-0000-0000EC0D0000}"/>
    <cellStyle name="Normal 11 4 61" xfId="3566" xr:uid="{00000000-0005-0000-0000-0000ED0D0000}"/>
    <cellStyle name="Normal 11 4 61 2" xfId="15601" xr:uid="{00000000-0005-0000-0000-0000EE0D0000}"/>
    <cellStyle name="Normal 11 4 62" xfId="3567" xr:uid="{00000000-0005-0000-0000-0000EF0D0000}"/>
    <cellStyle name="Normal 11 4 62 2" xfId="15602" xr:uid="{00000000-0005-0000-0000-0000F00D0000}"/>
    <cellStyle name="Normal 11 4 63" xfId="3568" xr:uid="{00000000-0005-0000-0000-0000F10D0000}"/>
    <cellStyle name="Normal 11 4 63 2" xfId="15603" xr:uid="{00000000-0005-0000-0000-0000F20D0000}"/>
    <cellStyle name="Normal 11 4 64" xfId="3569" xr:uid="{00000000-0005-0000-0000-0000F30D0000}"/>
    <cellStyle name="Normal 11 4 64 2" xfId="15604" xr:uid="{00000000-0005-0000-0000-0000F40D0000}"/>
    <cellStyle name="Normal 11 4 65" xfId="3570" xr:uid="{00000000-0005-0000-0000-0000F50D0000}"/>
    <cellStyle name="Normal 11 4 65 2" xfId="15605" xr:uid="{00000000-0005-0000-0000-0000F60D0000}"/>
    <cellStyle name="Normal 11 4 66" xfId="3571" xr:uid="{00000000-0005-0000-0000-0000F70D0000}"/>
    <cellStyle name="Normal 11 4 66 2" xfId="15606" xr:uid="{00000000-0005-0000-0000-0000F80D0000}"/>
    <cellStyle name="Normal 11 4 67" xfId="3572" xr:uid="{00000000-0005-0000-0000-0000F90D0000}"/>
    <cellStyle name="Normal 11 4 67 2" xfId="15607" xr:uid="{00000000-0005-0000-0000-0000FA0D0000}"/>
    <cellStyle name="Normal 11 4 68" xfId="3573" xr:uid="{00000000-0005-0000-0000-0000FB0D0000}"/>
    <cellStyle name="Normal 11 4 68 2" xfId="15608" xr:uid="{00000000-0005-0000-0000-0000FC0D0000}"/>
    <cellStyle name="Normal 11 4 69" xfId="3574" xr:uid="{00000000-0005-0000-0000-0000FD0D0000}"/>
    <cellStyle name="Normal 11 4 69 2" xfId="15609" xr:uid="{00000000-0005-0000-0000-0000FE0D0000}"/>
    <cellStyle name="Normal 11 4 7" xfId="3575" xr:uid="{00000000-0005-0000-0000-0000FF0D0000}"/>
    <cellStyle name="Normal 11 4 7 2" xfId="15610" xr:uid="{00000000-0005-0000-0000-0000000E0000}"/>
    <cellStyle name="Normal 11 4 70" xfId="3576" xr:uid="{00000000-0005-0000-0000-0000010E0000}"/>
    <cellStyle name="Normal 11 4 70 2" xfId="15611" xr:uid="{00000000-0005-0000-0000-0000020E0000}"/>
    <cellStyle name="Normal 11 4 71" xfId="3577" xr:uid="{00000000-0005-0000-0000-0000030E0000}"/>
    <cellStyle name="Normal 11 4 71 2" xfId="15612" xr:uid="{00000000-0005-0000-0000-0000040E0000}"/>
    <cellStyle name="Normal 11 4 72" xfId="3578" xr:uid="{00000000-0005-0000-0000-0000050E0000}"/>
    <cellStyle name="Normal 11 4 72 2" xfId="15613" xr:uid="{00000000-0005-0000-0000-0000060E0000}"/>
    <cellStyle name="Normal 11 4 73" xfId="3579" xr:uid="{00000000-0005-0000-0000-0000070E0000}"/>
    <cellStyle name="Normal 11 4 73 2" xfId="15614" xr:uid="{00000000-0005-0000-0000-0000080E0000}"/>
    <cellStyle name="Normal 11 4 74" xfId="3580" xr:uid="{00000000-0005-0000-0000-0000090E0000}"/>
    <cellStyle name="Normal 11 4 74 2" xfId="15615" xr:uid="{00000000-0005-0000-0000-00000A0E0000}"/>
    <cellStyle name="Normal 11 4 75" xfId="3581" xr:uid="{00000000-0005-0000-0000-00000B0E0000}"/>
    <cellStyle name="Normal 11 4 75 2" xfId="15616" xr:uid="{00000000-0005-0000-0000-00000C0E0000}"/>
    <cellStyle name="Normal 11 4 76" xfId="3582" xr:uid="{00000000-0005-0000-0000-00000D0E0000}"/>
    <cellStyle name="Normal 11 4 76 2" xfId="15617" xr:uid="{00000000-0005-0000-0000-00000E0E0000}"/>
    <cellStyle name="Normal 11 4 77" xfId="3583" xr:uid="{00000000-0005-0000-0000-00000F0E0000}"/>
    <cellStyle name="Normal 11 4 77 2" xfId="15618" xr:uid="{00000000-0005-0000-0000-0000100E0000}"/>
    <cellStyle name="Normal 11 4 78" xfId="3584" xr:uid="{00000000-0005-0000-0000-0000110E0000}"/>
    <cellStyle name="Normal 11 4 78 2" xfId="15619" xr:uid="{00000000-0005-0000-0000-0000120E0000}"/>
    <cellStyle name="Normal 11 4 79" xfId="3585" xr:uid="{00000000-0005-0000-0000-0000130E0000}"/>
    <cellStyle name="Normal 11 4 79 2" xfId="15620" xr:uid="{00000000-0005-0000-0000-0000140E0000}"/>
    <cellStyle name="Normal 11 4 8" xfId="3586" xr:uid="{00000000-0005-0000-0000-0000150E0000}"/>
    <cellStyle name="Normal 11 4 8 2" xfId="15621" xr:uid="{00000000-0005-0000-0000-0000160E0000}"/>
    <cellStyle name="Normal 11 4 80" xfId="15544" xr:uid="{00000000-0005-0000-0000-0000170E0000}"/>
    <cellStyle name="Normal 11 4 9" xfId="3587" xr:uid="{00000000-0005-0000-0000-0000180E0000}"/>
    <cellStyle name="Normal 11 4 9 2" xfId="15622" xr:uid="{00000000-0005-0000-0000-0000190E0000}"/>
    <cellStyle name="Normal 11 40" xfId="3588" xr:uid="{00000000-0005-0000-0000-00001A0E0000}"/>
    <cellStyle name="Normal 11 40 2" xfId="15623" xr:uid="{00000000-0005-0000-0000-00001B0E0000}"/>
    <cellStyle name="Normal 11 41" xfId="3589" xr:uid="{00000000-0005-0000-0000-00001C0E0000}"/>
    <cellStyle name="Normal 11 41 2" xfId="15624" xr:uid="{00000000-0005-0000-0000-00001D0E0000}"/>
    <cellStyle name="Normal 11 42" xfId="3590" xr:uid="{00000000-0005-0000-0000-00001E0E0000}"/>
    <cellStyle name="Normal 11 42 2" xfId="15625" xr:uid="{00000000-0005-0000-0000-00001F0E0000}"/>
    <cellStyle name="Normal 11 43" xfId="3591" xr:uid="{00000000-0005-0000-0000-0000200E0000}"/>
    <cellStyle name="Normal 11 43 2" xfId="15626" xr:uid="{00000000-0005-0000-0000-0000210E0000}"/>
    <cellStyle name="Normal 11 44" xfId="3592" xr:uid="{00000000-0005-0000-0000-0000220E0000}"/>
    <cellStyle name="Normal 11 44 2" xfId="15627" xr:uid="{00000000-0005-0000-0000-0000230E0000}"/>
    <cellStyle name="Normal 11 45" xfId="3593" xr:uid="{00000000-0005-0000-0000-0000240E0000}"/>
    <cellStyle name="Normal 11 45 2" xfId="15628" xr:uid="{00000000-0005-0000-0000-0000250E0000}"/>
    <cellStyle name="Normal 11 46" xfId="3594" xr:uid="{00000000-0005-0000-0000-0000260E0000}"/>
    <cellStyle name="Normal 11 46 2" xfId="15629" xr:uid="{00000000-0005-0000-0000-0000270E0000}"/>
    <cellStyle name="Normal 11 47" xfId="3595" xr:uid="{00000000-0005-0000-0000-0000280E0000}"/>
    <cellStyle name="Normal 11 47 2" xfId="15630" xr:uid="{00000000-0005-0000-0000-0000290E0000}"/>
    <cellStyle name="Normal 11 48" xfId="3596" xr:uid="{00000000-0005-0000-0000-00002A0E0000}"/>
    <cellStyle name="Normal 11 48 2" xfId="15631" xr:uid="{00000000-0005-0000-0000-00002B0E0000}"/>
    <cellStyle name="Normal 11 49" xfId="3597" xr:uid="{00000000-0005-0000-0000-00002C0E0000}"/>
    <cellStyle name="Normal 11 49 2" xfId="15632" xr:uid="{00000000-0005-0000-0000-00002D0E0000}"/>
    <cellStyle name="Normal 11 5" xfId="3598" xr:uid="{00000000-0005-0000-0000-00002E0E0000}"/>
    <cellStyle name="Normal 11 5 2" xfId="15633" xr:uid="{00000000-0005-0000-0000-00002F0E0000}"/>
    <cellStyle name="Normal 11 50" xfId="3599" xr:uid="{00000000-0005-0000-0000-0000300E0000}"/>
    <cellStyle name="Normal 11 50 2" xfId="15634" xr:uid="{00000000-0005-0000-0000-0000310E0000}"/>
    <cellStyle name="Normal 11 51" xfId="3600" xr:uid="{00000000-0005-0000-0000-0000320E0000}"/>
    <cellStyle name="Normal 11 51 2" xfId="15635" xr:uid="{00000000-0005-0000-0000-0000330E0000}"/>
    <cellStyle name="Normal 11 52" xfId="3601" xr:uid="{00000000-0005-0000-0000-0000340E0000}"/>
    <cellStyle name="Normal 11 52 2" xfId="15636" xr:uid="{00000000-0005-0000-0000-0000350E0000}"/>
    <cellStyle name="Normal 11 53" xfId="3602" xr:uid="{00000000-0005-0000-0000-0000360E0000}"/>
    <cellStyle name="Normal 11 53 2" xfId="15637" xr:uid="{00000000-0005-0000-0000-0000370E0000}"/>
    <cellStyle name="Normal 11 54" xfId="3603" xr:uid="{00000000-0005-0000-0000-0000380E0000}"/>
    <cellStyle name="Normal 11 54 2" xfId="15638" xr:uid="{00000000-0005-0000-0000-0000390E0000}"/>
    <cellStyle name="Normal 11 55" xfId="3604" xr:uid="{00000000-0005-0000-0000-00003A0E0000}"/>
    <cellStyle name="Normal 11 55 2" xfId="15639" xr:uid="{00000000-0005-0000-0000-00003B0E0000}"/>
    <cellStyle name="Normal 11 56" xfId="3605" xr:uid="{00000000-0005-0000-0000-00003C0E0000}"/>
    <cellStyle name="Normal 11 56 2" xfId="15640" xr:uid="{00000000-0005-0000-0000-00003D0E0000}"/>
    <cellStyle name="Normal 11 57" xfId="3606" xr:uid="{00000000-0005-0000-0000-00003E0E0000}"/>
    <cellStyle name="Normal 11 57 2" xfId="15641" xr:uid="{00000000-0005-0000-0000-00003F0E0000}"/>
    <cellStyle name="Normal 11 58" xfId="3607" xr:uid="{00000000-0005-0000-0000-0000400E0000}"/>
    <cellStyle name="Normal 11 58 2" xfId="15642" xr:uid="{00000000-0005-0000-0000-0000410E0000}"/>
    <cellStyle name="Normal 11 59" xfId="3608" xr:uid="{00000000-0005-0000-0000-0000420E0000}"/>
    <cellStyle name="Normal 11 59 2" xfId="15643" xr:uid="{00000000-0005-0000-0000-0000430E0000}"/>
    <cellStyle name="Normal 11 6" xfId="3609" xr:uid="{00000000-0005-0000-0000-0000440E0000}"/>
    <cellStyle name="Normal 11 6 2" xfId="15644" xr:uid="{00000000-0005-0000-0000-0000450E0000}"/>
    <cellStyle name="Normal 11 60" xfId="3610" xr:uid="{00000000-0005-0000-0000-0000460E0000}"/>
    <cellStyle name="Normal 11 60 2" xfId="15645" xr:uid="{00000000-0005-0000-0000-0000470E0000}"/>
    <cellStyle name="Normal 11 61" xfId="3611" xr:uid="{00000000-0005-0000-0000-0000480E0000}"/>
    <cellStyle name="Normal 11 61 2" xfId="15646" xr:uid="{00000000-0005-0000-0000-0000490E0000}"/>
    <cellStyle name="Normal 11 62" xfId="3612" xr:uid="{00000000-0005-0000-0000-00004A0E0000}"/>
    <cellStyle name="Normal 11 62 2" xfId="15647" xr:uid="{00000000-0005-0000-0000-00004B0E0000}"/>
    <cellStyle name="Normal 11 63" xfId="3613" xr:uid="{00000000-0005-0000-0000-00004C0E0000}"/>
    <cellStyle name="Normal 11 63 2" xfId="15648" xr:uid="{00000000-0005-0000-0000-00004D0E0000}"/>
    <cellStyle name="Normal 11 64" xfId="3614" xr:uid="{00000000-0005-0000-0000-00004E0E0000}"/>
    <cellStyle name="Normal 11 64 2" xfId="15649" xr:uid="{00000000-0005-0000-0000-00004F0E0000}"/>
    <cellStyle name="Normal 11 65" xfId="3615" xr:uid="{00000000-0005-0000-0000-0000500E0000}"/>
    <cellStyle name="Normal 11 65 2" xfId="15650" xr:uid="{00000000-0005-0000-0000-0000510E0000}"/>
    <cellStyle name="Normal 11 66" xfId="3616" xr:uid="{00000000-0005-0000-0000-0000520E0000}"/>
    <cellStyle name="Normal 11 66 2" xfId="15651" xr:uid="{00000000-0005-0000-0000-0000530E0000}"/>
    <cellStyle name="Normal 11 67" xfId="3617" xr:uid="{00000000-0005-0000-0000-0000540E0000}"/>
    <cellStyle name="Normal 11 67 2" xfId="15652" xr:uid="{00000000-0005-0000-0000-0000550E0000}"/>
    <cellStyle name="Normal 11 68" xfId="3618" xr:uid="{00000000-0005-0000-0000-0000560E0000}"/>
    <cellStyle name="Normal 11 68 2" xfId="15653" xr:uid="{00000000-0005-0000-0000-0000570E0000}"/>
    <cellStyle name="Normal 11 69" xfId="3619" xr:uid="{00000000-0005-0000-0000-0000580E0000}"/>
    <cellStyle name="Normal 11 69 2" xfId="15654" xr:uid="{00000000-0005-0000-0000-0000590E0000}"/>
    <cellStyle name="Normal 11 7" xfId="3620" xr:uid="{00000000-0005-0000-0000-00005A0E0000}"/>
    <cellStyle name="Normal 11 7 2" xfId="15655" xr:uid="{00000000-0005-0000-0000-00005B0E0000}"/>
    <cellStyle name="Normal 11 70" xfId="3621" xr:uid="{00000000-0005-0000-0000-00005C0E0000}"/>
    <cellStyle name="Normal 11 70 2" xfId="15656" xr:uid="{00000000-0005-0000-0000-00005D0E0000}"/>
    <cellStyle name="Normal 11 71" xfId="3622" xr:uid="{00000000-0005-0000-0000-00005E0E0000}"/>
    <cellStyle name="Normal 11 71 2" xfId="15657" xr:uid="{00000000-0005-0000-0000-00005F0E0000}"/>
    <cellStyle name="Normal 11 72" xfId="3623" xr:uid="{00000000-0005-0000-0000-0000600E0000}"/>
    <cellStyle name="Normal 11 72 2" xfId="15658" xr:uid="{00000000-0005-0000-0000-0000610E0000}"/>
    <cellStyle name="Normal 11 73" xfId="3624" xr:uid="{00000000-0005-0000-0000-0000620E0000}"/>
    <cellStyle name="Normal 11 73 2" xfId="15659" xr:uid="{00000000-0005-0000-0000-0000630E0000}"/>
    <cellStyle name="Normal 11 74" xfId="3625" xr:uid="{00000000-0005-0000-0000-0000640E0000}"/>
    <cellStyle name="Normal 11 74 2" xfId="15660" xr:uid="{00000000-0005-0000-0000-0000650E0000}"/>
    <cellStyle name="Normal 11 75" xfId="3626" xr:uid="{00000000-0005-0000-0000-0000660E0000}"/>
    <cellStyle name="Normal 11 75 2" xfId="15661" xr:uid="{00000000-0005-0000-0000-0000670E0000}"/>
    <cellStyle name="Normal 11 76" xfId="3627" xr:uid="{00000000-0005-0000-0000-0000680E0000}"/>
    <cellStyle name="Normal 11 76 2" xfId="15662" xr:uid="{00000000-0005-0000-0000-0000690E0000}"/>
    <cellStyle name="Normal 11 77" xfId="3628" xr:uid="{00000000-0005-0000-0000-00006A0E0000}"/>
    <cellStyle name="Normal 11 77 2" xfId="15663" xr:uid="{00000000-0005-0000-0000-00006B0E0000}"/>
    <cellStyle name="Normal 11 78" xfId="3629" xr:uid="{00000000-0005-0000-0000-00006C0E0000}"/>
    <cellStyle name="Normal 11 78 2" xfId="15664" xr:uid="{00000000-0005-0000-0000-00006D0E0000}"/>
    <cellStyle name="Normal 11 79" xfId="3630" xr:uid="{00000000-0005-0000-0000-00006E0E0000}"/>
    <cellStyle name="Normal 11 79 2" xfId="15665" xr:uid="{00000000-0005-0000-0000-00006F0E0000}"/>
    <cellStyle name="Normal 11 8" xfId="3631" xr:uid="{00000000-0005-0000-0000-0000700E0000}"/>
    <cellStyle name="Normal 11 8 2" xfId="15666" xr:uid="{00000000-0005-0000-0000-0000710E0000}"/>
    <cellStyle name="Normal 11 80" xfId="3632" xr:uid="{00000000-0005-0000-0000-0000720E0000}"/>
    <cellStyle name="Normal 11 80 2" xfId="15667" xr:uid="{00000000-0005-0000-0000-0000730E0000}"/>
    <cellStyle name="Normal 11 81" xfId="3633" xr:uid="{00000000-0005-0000-0000-0000740E0000}"/>
    <cellStyle name="Normal 11 81 2" xfId="15668" xr:uid="{00000000-0005-0000-0000-0000750E0000}"/>
    <cellStyle name="Normal 11 82" xfId="3634" xr:uid="{00000000-0005-0000-0000-0000760E0000}"/>
    <cellStyle name="Normal 11 82 2" xfId="15669" xr:uid="{00000000-0005-0000-0000-0000770E0000}"/>
    <cellStyle name="Normal 11 83" xfId="15064" xr:uid="{00000000-0005-0000-0000-0000780E0000}"/>
    <cellStyle name="Normal 11 9" xfId="3635" xr:uid="{00000000-0005-0000-0000-0000790E0000}"/>
    <cellStyle name="Normal 11 9 2" xfId="15670" xr:uid="{00000000-0005-0000-0000-00007A0E0000}"/>
    <cellStyle name="Normal 110" xfId="236" xr:uid="{00000000-0005-0000-0000-00007B0E0000}"/>
    <cellStyle name="Normal 110 2" xfId="290" xr:uid="{00000000-0005-0000-0000-00007C0E0000}"/>
    <cellStyle name="Normal 110 3" xfId="451" xr:uid="{00000000-0005-0000-0000-00007D0E0000}"/>
    <cellStyle name="Normal 111" xfId="237" xr:uid="{00000000-0005-0000-0000-00007E0E0000}"/>
    <cellStyle name="Normal 111 2" xfId="291" xr:uid="{00000000-0005-0000-0000-00007F0E0000}"/>
    <cellStyle name="Normal 111 3" xfId="452" xr:uid="{00000000-0005-0000-0000-0000800E0000}"/>
    <cellStyle name="Normal 112" xfId="238" xr:uid="{00000000-0005-0000-0000-0000810E0000}"/>
    <cellStyle name="Normal 112 2" xfId="292" xr:uid="{00000000-0005-0000-0000-0000820E0000}"/>
    <cellStyle name="Normal 112 3" xfId="453" xr:uid="{00000000-0005-0000-0000-0000830E0000}"/>
    <cellStyle name="Normal 113" xfId="239" xr:uid="{00000000-0005-0000-0000-0000840E0000}"/>
    <cellStyle name="Normal 113 2" xfId="293" xr:uid="{00000000-0005-0000-0000-0000850E0000}"/>
    <cellStyle name="Normal 113 3" xfId="454" xr:uid="{00000000-0005-0000-0000-0000860E0000}"/>
    <cellStyle name="Normal 114" xfId="240" xr:uid="{00000000-0005-0000-0000-0000870E0000}"/>
    <cellStyle name="Normal 114 2" xfId="294" xr:uid="{00000000-0005-0000-0000-0000880E0000}"/>
    <cellStyle name="Normal 114 3" xfId="455" xr:uid="{00000000-0005-0000-0000-0000890E0000}"/>
    <cellStyle name="Normal 115" xfId="241" xr:uid="{00000000-0005-0000-0000-00008A0E0000}"/>
    <cellStyle name="Normal 115 2" xfId="295" xr:uid="{00000000-0005-0000-0000-00008B0E0000}"/>
    <cellStyle name="Normal 115 3" xfId="456" xr:uid="{00000000-0005-0000-0000-00008C0E0000}"/>
    <cellStyle name="Normal 116" xfId="457" xr:uid="{00000000-0005-0000-0000-00008D0E0000}"/>
    <cellStyle name="Normal 117" xfId="242" xr:uid="{00000000-0005-0000-0000-00008E0E0000}"/>
    <cellStyle name="Normal 117 2" xfId="296" xr:uid="{00000000-0005-0000-0000-00008F0E0000}"/>
    <cellStyle name="Normal 117 3" xfId="458" xr:uid="{00000000-0005-0000-0000-0000900E0000}"/>
    <cellStyle name="Normal 118" xfId="243" xr:uid="{00000000-0005-0000-0000-0000910E0000}"/>
    <cellStyle name="Normal 118 2" xfId="297" xr:uid="{00000000-0005-0000-0000-0000920E0000}"/>
    <cellStyle name="Normal 118 3" xfId="459" xr:uid="{00000000-0005-0000-0000-0000930E0000}"/>
    <cellStyle name="Normal 119" xfId="244" xr:uid="{00000000-0005-0000-0000-0000940E0000}"/>
    <cellStyle name="Normal 119 2" xfId="298" xr:uid="{00000000-0005-0000-0000-0000950E0000}"/>
    <cellStyle name="Normal 119 3" xfId="460" xr:uid="{00000000-0005-0000-0000-0000960E0000}"/>
    <cellStyle name="Normal 12" xfId="134" xr:uid="{00000000-0005-0000-0000-0000970E0000}"/>
    <cellStyle name="Normal 12 10" xfId="3636" xr:uid="{00000000-0005-0000-0000-0000980E0000}"/>
    <cellStyle name="Normal 12 10 2" xfId="15671" xr:uid="{00000000-0005-0000-0000-0000990E0000}"/>
    <cellStyle name="Normal 12 11" xfId="3637" xr:uid="{00000000-0005-0000-0000-00009A0E0000}"/>
    <cellStyle name="Normal 12 11 2" xfId="15672" xr:uid="{00000000-0005-0000-0000-00009B0E0000}"/>
    <cellStyle name="Normal 12 12" xfId="3638" xr:uid="{00000000-0005-0000-0000-00009C0E0000}"/>
    <cellStyle name="Normal 12 12 2" xfId="15673" xr:uid="{00000000-0005-0000-0000-00009D0E0000}"/>
    <cellStyle name="Normal 12 13" xfId="3639" xr:uid="{00000000-0005-0000-0000-00009E0E0000}"/>
    <cellStyle name="Normal 12 13 2" xfId="15674" xr:uid="{00000000-0005-0000-0000-00009F0E0000}"/>
    <cellStyle name="Normal 12 14" xfId="3640" xr:uid="{00000000-0005-0000-0000-0000A00E0000}"/>
    <cellStyle name="Normal 12 14 2" xfId="15675" xr:uid="{00000000-0005-0000-0000-0000A10E0000}"/>
    <cellStyle name="Normal 12 15" xfId="3641" xr:uid="{00000000-0005-0000-0000-0000A20E0000}"/>
    <cellStyle name="Normal 12 15 2" xfId="15676" xr:uid="{00000000-0005-0000-0000-0000A30E0000}"/>
    <cellStyle name="Normal 12 16" xfId="3642" xr:uid="{00000000-0005-0000-0000-0000A40E0000}"/>
    <cellStyle name="Normal 12 16 2" xfId="15677" xr:uid="{00000000-0005-0000-0000-0000A50E0000}"/>
    <cellStyle name="Normal 12 17" xfId="3643" xr:uid="{00000000-0005-0000-0000-0000A60E0000}"/>
    <cellStyle name="Normal 12 17 2" xfId="15678" xr:uid="{00000000-0005-0000-0000-0000A70E0000}"/>
    <cellStyle name="Normal 12 18" xfId="3644" xr:uid="{00000000-0005-0000-0000-0000A80E0000}"/>
    <cellStyle name="Normal 12 18 2" xfId="15679" xr:uid="{00000000-0005-0000-0000-0000A90E0000}"/>
    <cellStyle name="Normal 12 19" xfId="3645" xr:uid="{00000000-0005-0000-0000-0000AA0E0000}"/>
    <cellStyle name="Normal 12 19 2" xfId="15680" xr:uid="{00000000-0005-0000-0000-0000AB0E0000}"/>
    <cellStyle name="Normal 12 2" xfId="671" xr:uid="{00000000-0005-0000-0000-0000AC0E0000}"/>
    <cellStyle name="Normal 12 2 10" xfId="3647" xr:uid="{00000000-0005-0000-0000-0000AD0E0000}"/>
    <cellStyle name="Normal 12 2 10 2" xfId="15682" xr:uid="{00000000-0005-0000-0000-0000AE0E0000}"/>
    <cellStyle name="Normal 12 2 11" xfId="3648" xr:uid="{00000000-0005-0000-0000-0000AF0E0000}"/>
    <cellStyle name="Normal 12 2 11 2" xfId="15683" xr:uid="{00000000-0005-0000-0000-0000B00E0000}"/>
    <cellStyle name="Normal 12 2 12" xfId="3649" xr:uid="{00000000-0005-0000-0000-0000B10E0000}"/>
    <cellStyle name="Normal 12 2 12 2" xfId="15684" xr:uid="{00000000-0005-0000-0000-0000B20E0000}"/>
    <cellStyle name="Normal 12 2 13" xfId="3650" xr:uid="{00000000-0005-0000-0000-0000B30E0000}"/>
    <cellStyle name="Normal 12 2 13 2" xfId="15685" xr:uid="{00000000-0005-0000-0000-0000B40E0000}"/>
    <cellStyle name="Normal 12 2 14" xfId="3651" xr:uid="{00000000-0005-0000-0000-0000B50E0000}"/>
    <cellStyle name="Normal 12 2 14 2" xfId="15686" xr:uid="{00000000-0005-0000-0000-0000B60E0000}"/>
    <cellStyle name="Normal 12 2 15" xfId="3652" xr:uid="{00000000-0005-0000-0000-0000B70E0000}"/>
    <cellStyle name="Normal 12 2 15 2" xfId="15687" xr:uid="{00000000-0005-0000-0000-0000B80E0000}"/>
    <cellStyle name="Normal 12 2 16" xfId="3653" xr:uid="{00000000-0005-0000-0000-0000B90E0000}"/>
    <cellStyle name="Normal 12 2 16 2" xfId="15688" xr:uid="{00000000-0005-0000-0000-0000BA0E0000}"/>
    <cellStyle name="Normal 12 2 17" xfId="3654" xr:uid="{00000000-0005-0000-0000-0000BB0E0000}"/>
    <cellStyle name="Normal 12 2 17 2" xfId="15689" xr:uid="{00000000-0005-0000-0000-0000BC0E0000}"/>
    <cellStyle name="Normal 12 2 18" xfId="3655" xr:uid="{00000000-0005-0000-0000-0000BD0E0000}"/>
    <cellStyle name="Normal 12 2 18 2" xfId="15690" xr:uid="{00000000-0005-0000-0000-0000BE0E0000}"/>
    <cellStyle name="Normal 12 2 19" xfId="3656" xr:uid="{00000000-0005-0000-0000-0000BF0E0000}"/>
    <cellStyle name="Normal 12 2 19 2" xfId="15691" xr:uid="{00000000-0005-0000-0000-0000C00E0000}"/>
    <cellStyle name="Normal 12 2 2" xfId="3657" xr:uid="{00000000-0005-0000-0000-0000C10E0000}"/>
    <cellStyle name="Normal 12 2 2 2" xfId="15692" xr:uid="{00000000-0005-0000-0000-0000C20E0000}"/>
    <cellStyle name="Normal 12 2 20" xfId="3658" xr:uid="{00000000-0005-0000-0000-0000C30E0000}"/>
    <cellStyle name="Normal 12 2 20 2" xfId="15693" xr:uid="{00000000-0005-0000-0000-0000C40E0000}"/>
    <cellStyle name="Normal 12 2 21" xfId="3659" xr:uid="{00000000-0005-0000-0000-0000C50E0000}"/>
    <cellStyle name="Normal 12 2 21 2" xfId="15694" xr:uid="{00000000-0005-0000-0000-0000C60E0000}"/>
    <cellStyle name="Normal 12 2 22" xfId="3660" xr:uid="{00000000-0005-0000-0000-0000C70E0000}"/>
    <cellStyle name="Normal 12 2 22 2" xfId="15695" xr:uid="{00000000-0005-0000-0000-0000C80E0000}"/>
    <cellStyle name="Normal 12 2 23" xfId="3661" xr:uid="{00000000-0005-0000-0000-0000C90E0000}"/>
    <cellStyle name="Normal 12 2 23 2" xfId="15696" xr:uid="{00000000-0005-0000-0000-0000CA0E0000}"/>
    <cellStyle name="Normal 12 2 24" xfId="3662" xr:uid="{00000000-0005-0000-0000-0000CB0E0000}"/>
    <cellStyle name="Normal 12 2 24 2" xfId="15697" xr:uid="{00000000-0005-0000-0000-0000CC0E0000}"/>
    <cellStyle name="Normal 12 2 25" xfId="3663" xr:uid="{00000000-0005-0000-0000-0000CD0E0000}"/>
    <cellStyle name="Normal 12 2 25 2" xfId="15698" xr:uid="{00000000-0005-0000-0000-0000CE0E0000}"/>
    <cellStyle name="Normal 12 2 26" xfId="3664" xr:uid="{00000000-0005-0000-0000-0000CF0E0000}"/>
    <cellStyle name="Normal 12 2 26 2" xfId="15699" xr:uid="{00000000-0005-0000-0000-0000D00E0000}"/>
    <cellStyle name="Normal 12 2 27" xfId="3665" xr:uid="{00000000-0005-0000-0000-0000D10E0000}"/>
    <cellStyle name="Normal 12 2 27 2" xfId="15700" xr:uid="{00000000-0005-0000-0000-0000D20E0000}"/>
    <cellStyle name="Normal 12 2 28" xfId="3666" xr:uid="{00000000-0005-0000-0000-0000D30E0000}"/>
    <cellStyle name="Normal 12 2 28 2" xfId="15701" xr:uid="{00000000-0005-0000-0000-0000D40E0000}"/>
    <cellStyle name="Normal 12 2 29" xfId="3667" xr:uid="{00000000-0005-0000-0000-0000D50E0000}"/>
    <cellStyle name="Normal 12 2 29 2" xfId="15702" xr:uid="{00000000-0005-0000-0000-0000D60E0000}"/>
    <cellStyle name="Normal 12 2 3" xfId="3668" xr:uid="{00000000-0005-0000-0000-0000D70E0000}"/>
    <cellStyle name="Normal 12 2 3 2" xfId="15703" xr:uid="{00000000-0005-0000-0000-0000D80E0000}"/>
    <cellStyle name="Normal 12 2 30" xfId="3669" xr:uid="{00000000-0005-0000-0000-0000D90E0000}"/>
    <cellStyle name="Normal 12 2 30 2" xfId="15704" xr:uid="{00000000-0005-0000-0000-0000DA0E0000}"/>
    <cellStyle name="Normal 12 2 31" xfId="3670" xr:uid="{00000000-0005-0000-0000-0000DB0E0000}"/>
    <cellStyle name="Normal 12 2 31 2" xfId="15705" xr:uid="{00000000-0005-0000-0000-0000DC0E0000}"/>
    <cellStyle name="Normal 12 2 32" xfId="3671" xr:uid="{00000000-0005-0000-0000-0000DD0E0000}"/>
    <cellStyle name="Normal 12 2 32 2" xfId="15706" xr:uid="{00000000-0005-0000-0000-0000DE0E0000}"/>
    <cellStyle name="Normal 12 2 33" xfId="3672" xr:uid="{00000000-0005-0000-0000-0000DF0E0000}"/>
    <cellStyle name="Normal 12 2 33 2" xfId="15707" xr:uid="{00000000-0005-0000-0000-0000E00E0000}"/>
    <cellStyle name="Normal 12 2 34" xfId="3673" xr:uid="{00000000-0005-0000-0000-0000E10E0000}"/>
    <cellStyle name="Normal 12 2 34 2" xfId="15708" xr:uid="{00000000-0005-0000-0000-0000E20E0000}"/>
    <cellStyle name="Normal 12 2 35" xfId="3674" xr:uid="{00000000-0005-0000-0000-0000E30E0000}"/>
    <cellStyle name="Normal 12 2 35 2" xfId="15709" xr:uid="{00000000-0005-0000-0000-0000E40E0000}"/>
    <cellStyle name="Normal 12 2 36" xfId="3675" xr:uid="{00000000-0005-0000-0000-0000E50E0000}"/>
    <cellStyle name="Normal 12 2 36 2" xfId="15710" xr:uid="{00000000-0005-0000-0000-0000E60E0000}"/>
    <cellStyle name="Normal 12 2 37" xfId="3676" xr:uid="{00000000-0005-0000-0000-0000E70E0000}"/>
    <cellStyle name="Normal 12 2 37 2" xfId="15711" xr:uid="{00000000-0005-0000-0000-0000E80E0000}"/>
    <cellStyle name="Normal 12 2 38" xfId="3677" xr:uid="{00000000-0005-0000-0000-0000E90E0000}"/>
    <cellStyle name="Normal 12 2 38 2" xfId="15712" xr:uid="{00000000-0005-0000-0000-0000EA0E0000}"/>
    <cellStyle name="Normal 12 2 39" xfId="3678" xr:uid="{00000000-0005-0000-0000-0000EB0E0000}"/>
    <cellStyle name="Normal 12 2 39 2" xfId="15713" xr:uid="{00000000-0005-0000-0000-0000EC0E0000}"/>
    <cellStyle name="Normal 12 2 4" xfId="3679" xr:uid="{00000000-0005-0000-0000-0000ED0E0000}"/>
    <cellStyle name="Normal 12 2 4 2" xfId="15714" xr:uid="{00000000-0005-0000-0000-0000EE0E0000}"/>
    <cellStyle name="Normal 12 2 40" xfId="3680" xr:uid="{00000000-0005-0000-0000-0000EF0E0000}"/>
    <cellStyle name="Normal 12 2 40 2" xfId="15715" xr:uid="{00000000-0005-0000-0000-0000F00E0000}"/>
    <cellStyle name="Normal 12 2 41" xfId="3681" xr:uid="{00000000-0005-0000-0000-0000F10E0000}"/>
    <cellStyle name="Normal 12 2 41 2" xfId="15716" xr:uid="{00000000-0005-0000-0000-0000F20E0000}"/>
    <cellStyle name="Normal 12 2 42" xfId="3682" xr:uid="{00000000-0005-0000-0000-0000F30E0000}"/>
    <cellStyle name="Normal 12 2 42 2" xfId="15717" xr:uid="{00000000-0005-0000-0000-0000F40E0000}"/>
    <cellStyle name="Normal 12 2 43" xfId="3683" xr:uid="{00000000-0005-0000-0000-0000F50E0000}"/>
    <cellStyle name="Normal 12 2 43 2" xfId="15718" xr:uid="{00000000-0005-0000-0000-0000F60E0000}"/>
    <cellStyle name="Normal 12 2 44" xfId="3684" xr:uid="{00000000-0005-0000-0000-0000F70E0000}"/>
    <cellStyle name="Normal 12 2 44 2" xfId="15719" xr:uid="{00000000-0005-0000-0000-0000F80E0000}"/>
    <cellStyle name="Normal 12 2 45" xfId="3685" xr:uid="{00000000-0005-0000-0000-0000F90E0000}"/>
    <cellStyle name="Normal 12 2 45 2" xfId="15720" xr:uid="{00000000-0005-0000-0000-0000FA0E0000}"/>
    <cellStyle name="Normal 12 2 46" xfId="3686" xr:uid="{00000000-0005-0000-0000-0000FB0E0000}"/>
    <cellStyle name="Normal 12 2 46 2" xfId="15721" xr:uid="{00000000-0005-0000-0000-0000FC0E0000}"/>
    <cellStyle name="Normal 12 2 47" xfId="3687" xr:uid="{00000000-0005-0000-0000-0000FD0E0000}"/>
    <cellStyle name="Normal 12 2 47 2" xfId="15722" xr:uid="{00000000-0005-0000-0000-0000FE0E0000}"/>
    <cellStyle name="Normal 12 2 48" xfId="3688" xr:uid="{00000000-0005-0000-0000-0000FF0E0000}"/>
    <cellStyle name="Normal 12 2 48 2" xfId="15723" xr:uid="{00000000-0005-0000-0000-0000000F0000}"/>
    <cellStyle name="Normal 12 2 49" xfId="3689" xr:uid="{00000000-0005-0000-0000-0000010F0000}"/>
    <cellStyle name="Normal 12 2 49 2" xfId="15724" xr:uid="{00000000-0005-0000-0000-0000020F0000}"/>
    <cellStyle name="Normal 12 2 5" xfId="3690" xr:uid="{00000000-0005-0000-0000-0000030F0000}"/>
    <cellStyle name="Normal 12 2 5 2" xfId="15725" xr:uid="{00000000-0005-0000-0000-0000040F0000}"/>
    <cellStyle name="Normal 12 2 50" xfId="3691" xr:uid="{00000000-0005-0000-0000-0000050F0000}"/>
    <cellStyle name="Normal 12 2 50 2" xfId="15726" xr:uid="{00000000-0005-0000-0000-0000060F0000}"/>
    <cellStyle name="Normal 12 2 51" xfId="3692" xr:uid="{00000000-0005-0000-0000-0000070F0000}"/>
    <cellStyle name="Normal 12 2 51 2" xfId="15727" xr:uid="{00000000-0005-0000-0000-0000080F0000}"/>
    <cellStyle name="Normal 12 2 52" xfId="3693" xr:uid="{00000000-0005-0000-0000-0000090F0000}"/>
    <cellStyle name="Normal 12 2 52 2" xfId="15728" xr:uid="{00000000-0005-0000-0000-00000A0F0000}"/>
    <cellStyle name="Normal 12 2 53" xfId="3694" xr:uid="{00000000-0005-0000-0000-00000B0F0000}"/>
    <cellStyle name="Normal 12 2 53 2" xfId="15729" xr:uid="{00000000-0005-0000-0000-00000C0F0000}"/>
    <cellStyle name="Normal 12 2 54" xfId="3695" xr:uid="{00000000-0005-0000-0000-00000D0F0000}"/>
    <cellStyle name="Normal 12 2 54 2" xfId="15730" xr:uid="{00000000-0005-0000-0000-00000E0F0000}"/>
    <cellStyle name="Normal 12 2 55" xfId="3696" xr:uid="{00000000-0005-0000-0000-00000F0F0000}"/>
    <cellStyle name="Normal 12 2 55 2" xfId="15731" xr:uid="{00000000-0005-0000-0000-0000100F0000}"/>
    <cellStyle name="Normal 12 2 56" xfId="3697" xr:uid="{00000000-0005-0000-0000-0000110F0000}"/>
    <cellStyle name="Normal 12 2 56 2" xfId="15732" xr:uid="{00000000-0005-0000-0000-0000120F0000}"/>
    <cellStyle name="Normal 12 2 57" xfId="3698" xr:uid="{00000000-0005-0000-0000-0000130F0000}"/>
    <cellStyle name="Normal 12 2 57 2" xfId="15733" xr:uid="{00000000-0005-0000-0000-0000140F0000}"/>
    <cellStyle name="Normal 12 2 58" xfId="3699" xr:uid="{00000000-0005-0000-0000-0000150F0000}"/>
    <cellStyle name="Normal 12 2 58 2" xfId="15734" xr:uid="{00000000-0005-0000-0000-0000160F0000}"/>
    <cellStyle name="Normal 12 2 59" xfId="3700" xr:uid="{00000000-0005-0000-0000-0000170F0000}"/>
    <cellStyle name="Normal 12 2 59 2" xfId="15735" xr:uid="{00000000-0005-0000-0000-0000180F0000}"/>
    <cellStyle name="Normal 12 2 6" xfId="3701" xr:uid="{00000000-0005-0000-0000-0000190F0000}"/>
    <cellStyle name="Normal 12 2 6 2" xfId="15736" xr:uid="{00000000-0005-0000-0000-00001A0F0000}"/>
    <cellStyle name="Normal 12 2 60" xfId="3702" xr:uid="{00000000-0005-0000-0000-00001B0F0000}"/>
    <cellStyle name="Normal 12 2 60 2" xfId="15737" xr:uid="{00000000-0005-0000-0000-00001C0F0000}"/>
    <cellStyle name="Normal 12 2 61" xfId="3703" xr:uid="{00000000-0005-0000-0000-00001D0F0000}"/>
    <cellStyle name="Normal 12 2 61 2" xfId="15738" xr:uid="{00000000-0005-0000-0000-00001E0F0000}"/>
    <cellStyle name="Normal 12 2 62" xfId="3704" xr:uid="{00000000-0005-0000-0000-00001F0F0000}"/>
    <cellStyle name="Normal 12 2 62 2" xfId="15739" xr:uid="{00000000-0005-0000-0000-0000200F0000}"/>
    <cellStyle name="Normal 12 2 63" xfId="3705" xr:uid="{00000000-0005-0000-0000-0000210F0000}"/>
    <cellStyle name="Normal 12 2 63 2" xfId="15740" xr:uid="{00000000-0005-0000-0000-0000220F0000}"/>
    <cellStyle name="Normal 12 2 64" xfId="3706" xr:uid="{00000000-0005-0000-0000-0000230F0000}"/>
    <cellStyle name="Normal 12 2 64 2" xfId="15741" xr:uid="{00000000-0005-0000-0000-0000240F0000}"/>
    <cellStyle name="Normal 12 2 65" xfId="3707" xr:uid="{00000000-0005-0000-0000-0000250F0000}"/>
    <cellStyle name="Normal 12 2 65 2" xfId="15742" xr:uid="{00000000-0005-0000-0000-0000260F0000}"/>
    <cellStyle name="Normal 12 2 66" xfId="3708" xr:uid="{00000000-0005-0000-0000-0000270F0000}"/>
    <cellStyle name="Normal 12 2 66 2" xfId="15743" xr:uid="{00000000-0005-0000-0000-0000280F0000}"/>
    <cellStyle name="Normal 12 2 67" xfId="3709" xr:uid="{00000000-0005-0000-0000-0000290F0000}"/>
    <cellStyle name="Normal 12 2 67 2" xfId="15744" xr:uid="{00000000-0005-0000-0000-00002A0F0000}"/>
    <cellStyle name="Normal 12 2 68" xfId="3710" xr:uid="{00000000-0005-0000-0000-00002B0F0000}"/>
    <cellStyle name="Normal 12 2 68 2" xfId="15745" xr:uid="{00000000-0005-0000-0000-00002C0F0000}"/>
    <cellStyle name="Normal 12 2 69" xfId="3711" xr:uid="{00000000-0005-0000-0000-00002D0F0000}"/>
    <cellStyle name="Normal 12 2 69 2" xfId="15746" xr:uid="{00000000-0005-0000-0000-00002E0F0000}"/>
    <cellStyle name="Normal 12 2 7" xfId="3712" xr:uid="{00000000-0005-0000-0000-00002F0F0000}"/>
    <cellStyle name="Normal 12 2 7 2" xfId="15747" xr:uid="{00000000-0005-0000-0000-0000300F0000}"/>
    <cellStyle name="Normal 12 2 70" xfId="3713" xr:uid="{00000000-0005-0000-0000-0000310F0000}"/>
    <cellStyle name="Normal 12 2 70 2" xfId="15748" xr:uid="{00000000-0005-0000-0000-0000320F0000}"/>
    <cellStyle name="Normal 12 2 71" xfId="3714" xr:uid="{00000000-0005-0000-0000-0000330F0000}"/>
    <cellStyle name="Normal 12 2 71 2" xfId="15749" xr:uid="{00000000-0005-0000-0000-0000340F0000}"/>
    <cellStyle name="Normal 12 2 72" xfId="3715" xr:uid="{00000000-0005-0000-0000-0000350F0000}"/>
    <cellStyle name="Normal 12 2 72 2" xfId="15750" xr:uid="{00000000-0005-0000-0000-0000360F0000}"/>
    <cellStyle name="Normal 12 2 73" xfId="3716" xr:uid="{00000000-0005-0000-0000-0000370F0000}"/>
    <cellStyle name="Normal 12 2 73 2" xfId="15751" xr:uid="{00000000-0005-0000-0000-0000380F0000}"/>
    <cellStyle name="Normal 12 2 74" xfId="3717" xr:uid="{00000000-0005-0000-0000-0000390F0000}"/>
    <cellStyle name="Normal 12 2 74 2" xfId="15752" xr:uid="{00000000-0005-0000-0000-00003A0F0000}"/>
    <cellStyle name="Normal 12 2 75" xfId="3718" xr:uid="{00000000-0005-0000-0000-00003B0F0000}"/>
    <cellStyle name="Normal 12 2 75 2" xfId="15753" xr:uid="{00000000-0005-0000-0000-00003C0F0000}"/>
    <cellStyle name="Normal 12 2 76" xfId="3719" xr:uid="{00000000-0005-0000-0000-00003D0F0000}"/>
    <cellStyle name="Normal 12 2 76 2" xfId="15754" xr:uid="{00000000-0005-0000-0000-00003E0F0000}"/>
    <cellStyle name="Normal 12 2 77" xfId="3720" xr:uid="{00000000-0005-0000-0000-00003F0F0000}"/>
    <cellStyle name="Normal 12 2 77 2" xfId="15755" xr:uid="{00000000-0005-0000-0000-0000400F0000}"/>
    <cellStyle name="Normal 12 2 78" xfId="3721" xr:uid="{00000000-0005-0000-0000-0000410F0000}"/>
    <cellStyle name="Normal 12 2 78 2" xfId="15756" xr:uid="{00000000-0005-0000-0000-0000420F0000}"/>
    <cellStyle name="Normal 12 2 79" xfId="3722" xr:uid="{00000000-0005-0000-0000-0000430F0000}"/>
    <cellStyle name="Normal 12 2 79 2" xfId="15757" xr:uid="{00000000-0005-0000-0000-0000440F0000}"/>
    <cellStyle name="Normal 12 2 8" xfId="3723" xr:uid="{00000000-0005-0000-0000-0000450F0000}"/>
    <cellStyle name="Normal 12 2 8 2" xfId="15758" xr:uid="{00000000-0005-0000-0000-0000460F0000}"/>
    <cellStyle name="Normal 12 2 80" xfId="15681" xr:uid="{00000000-0005-0000-0000-0000470F0000}"/>
    <cellStyle name="Normal 12 2 81" xfId="3646" xr:uid="{00000000-0005-0000-0000-0000480F0000}"/>
    <cellStyle name="Normal 12 2 9" xfId="3724" xr:uid="{00000000-0005-0000-0000-0000490F0000}"/>
    <cellStyle name="Normal 12 2 9 2" xfId="15759" xr:uid="{00000000-0005-0000-0000-00004A0F0000}"/>
    <cellStyle name="Normal 12 20" xfId="3725" xr:uid="{00000000-0005-0000-0000-00004B0F0000}"/>
    <cellStyle name="Normal 12 20 2" xfId="15760" xr:uid="{00000000-0005-0000-0000-00004C0F0000}"/>
    <cellStyle name="Normal 12 21" xfId="3726" xr:uid="{00000000-0005-0000-0000-00004D0F0000}"/>
    <cellStyle name="Normal 12 21 2" xfId="15761" xr:uid="{00000000-0005-0000-0000-00004E0F0000}"/>
    <cellStyle name="Normal 12 22" xfId="3727" xr:uid="{00000000-0005-0000-0000-00004F0F0000}"/>
    <cellStyle name="Normal 12 22 2" xfId="15762" xr:uid="{00000000-0005-0000-0000-0000500F0000}"/>
    <cellStyle name="Normal 12 23" xfId="3728" xr:uid="{00000000-0005-0000-0000-0000510F0000}"/>
    <cellStyle name="Normal 12 23 2" xfId="15763" xr:uid="{00000000-0005-0000-0000-0000520F0000}"/>
    <cellStyle name="Normal 12 24" xfId="3729" xr:uid="{00000000-0005-0000-0000-0000530F0000}"/>
    <cellStyle name="Normal 12 24 2" xfId="15764" xr:uid="{00000000-0005-0000-0000-0000540F0000}"/>
    <cellStyle name="Normal 12 25" xfId="3730" xr:uid="{00000000-0005-0000-0000-0000550F0000}"/>
    <cellStyle name="Normal 12 25 2" xfId="15765" xr:uid="{00000000-0005-0000-0000-0000560F0000}"/>
    <cellStyle name="Normal 12 26" xfId="3731" xr:uid="{00000000-0005-0000-0000-0000570F0000}"/>
    <cellStyle name="Normal 12 26 2" xfId="15766" xr:uid="{00000000-0005-0000-0000-0000580F0000}"/>
    <cellStyle name="Normal 12 27" xfId="3732" xr:uid="{00000000-0005-0000-0000-0000590F0000}"/>
    <cellStyle name="Normal 12 27 2" xfId="15767" xr:uid="{00000000-0005-0000-0000-00005A0F0000}"/>
    <cellStyle name="Normal 12 28" xfId="3733" xr:uid="{00000000-0005-0000-0000-00005B0F0000}"/>
    <cellStyle name="Normal 12 28 2" xfId="15768" xr:uid="{00000000-0005-0000-0000-00005C0F0000}"/>
    <cellStyle name="Normal 12 29" xfId="3734" xr:uid="{00000000-0005-0000-0000-00005D0F0000}"/>
    <cellStyle name="Normal 12 29 2" xfId="15769" xr:uid="{00000000-0005-0000-0000-00005E0F0000}"/>
    <cellStyle name="Normal 12 3" xfId="303" xr:uid="{00000000-0005-0000-0000-00005F0F0000}"/>
    <cellStyle name="Normal 12 3 10" xfId="3735" xr:uid="{00000000-0005-0000-0000-0000600F0000}"/>
    <cellStyle name="Normal 12 3 10 2" xfId="15771" xr:uid="{00000000-0005-0000-0000-0000610F0000}"/>
    <cellStyle name="Normal 12 3 11" xfId="3736" xr:uid="{00000000-0005-0000-0000-0000620F0000}"/>
    <cellStyle name="Normal 12 3 11 2" xfId="15772" xr:uid="{00000000-0005-0000-0000-0000630F0000}"/>
    <cellStyle name="Normal 12 3 12" xfId="3737" xr:uid="{00000000-0005-0000-0000-0000640F0000}"/>
    <cellStyle name="Normal 12 3 12 2" xfId="15773" xr:uid="{00000000-0005-0000-0000-0000650F0000}"/>
    <cellStyle name="Normal 12 3 13" xfId="3738" xr:uid="{00000000-0005-0000-0000-0000660F0000}"/>
    <cellStyle name="Normal 12 3 13 2" xfId="15774" xr:uid="{00000000-0005-0000-0000-0000670F0000}"/>
    <cellStyle name="Normal 12 3 14" xfId="3739" xr:uid="{00000000-0005-0000-0000-0000680F0000}"/>
    <cellStyle name="Normal 12 3 14 2" xfId="15775" xr:uid="{00000000-0005-0000-0000-0000690F0000}"/>
    <cellStyle name="Normal 12 3 15" xfId="3740" xr:uid="{00000000-0005-0000-0000-00006A0F0000}"/>
    <cellStyle name="Normal 12 3 15 2" xfId="15776" xr:uid="{00000000-0005-0000-0000-00006B0F0000}"/>
    <cellStyle name="Normal 12 3 16" xfId="3741" xr:uid="{00000000-0005-0000-0000-00006C0F0000}"/>
    <cellStyle name="Normal 12 3 16 2" xfId="15777" xr:uid="{00000000-0005-0000-0000-00006D0F0000}"/>
    <cellStyle name="Normal 12 3 17" xfId="3742" xr:uid="{00000000-0005-0000-0000-00006E0F0000}"/>
    <cellStyle name="Normal 12 3 17 2" xfId="15778" xr:uid="{00000000-0005-0000-0000-00006F0F0000}"/>
    <cellStyle name="Normal 12 3 18" xfId="3743" xr:uid="{00000000-0005-0000-0000-0000700F0000}"/>
    <cellStyle name="Normal 12 3 18 2" xfId="15779" xr:uid="{00000000-0005-0000-0000-0000710F0000}"/>
    <cellStyle name="Normal 12 3 19" xfId="3744" xr:uid="{00000000-0005-0000-0000-0000720F0000}"/>
    <cellStyle name="Normal 12 3 19 2" xfId="15780" xr:uid="{00000000-0005-0000-0000-0000730F0000}"/>
    <cellStyle name="Normal 12 3 2" xfId="3745" xr:uid="{00000000-0005-0000-0000-0000740F0000}"/>
    <cellStyle name="Normal 12 3 2 2" xfId="15781" xr:uid="{00000000-0005-0000-0000-0000750F0000}"/>
    <cellStyle name="Normal 12 3 20" xfId="3746" xr:uid="{00000000-0005-0000-0000-0000760F0000}"/>
    <cellStyle name="Normal 12 3 20 2" xfId="15782" xr:uid="{00000000-0005-0000-0000-0000770F0000}"/>
    <cellStyle name="Normal 12 3 21" xfId="3747" xr:uid="{00000000-0005-0000-0000-0000780F0000}"/>
    <cellStyle name="Normal 12 3 21 2" xfId="15783" xr:uid="{00000000-0005-0000-0000-0000790F0000}"/>
    <cellStyle name="Normal 12 3 22" xfId="3748" xr:uid="{00000000-0005-0000-0000-00007A0F0000}"/>
    <cellStyle name="Normal 12 3 22 2" xfId="15784" xr:uid="{00000000-0005-0000-0000-00007B0F0000}"/>
    <cellStyle name="Normal 12 3 23" xfId="3749" xr:uid="{00000000-0005-0000-0000-00007C0F0000}"/>
    <cellStyle name="Normal 12 3 23 2" xfId="15785" xr:uid="{00000000-0005-0000-0000-00007D0F0000}"/>
    <cellStyle name="Normal 12 3 24" xfId="3750" xr:uid="{00000000-0005-0000-0000-00007E0F0000}"/>
    <cellStyle name="Normal 12 3 24 2" xfId="15786" xr:uid="{00000000-0005-0000-0000-00007F0F0000}"/>
    <cellStyle name="Normal 12 3 25" xfId="3751" xr:uid="{00000000-0005-0000-0000-0000800F0000}"/>
    <cellStyle name="Normal 12 3 25 2" xfId="15787" xr:uid="{00000000-0005-0000-0000-0000810F0000}"/>
    <cellStyle name="Normal 12 3 26" xfId="3752" xr:uid="{00000000-0005-0000-0000-0000820F0000}"/>
    <cellStyle name="Normal 12 3 26 2" xfId="15788" xr:uid="{00000000-0005-0000-0000-0000830F0000}"/>
    <cellStyle name="Normal 12 3 27" xfId="3753" xr:uid="{00000000-0005-0000-0000-0000840F0000}"/>
    <cellStyle name="Normal 12 3 27 2" xfId="15789" xr:uid="{00000000-0005-0000-0000-0000850F0000}"/>
    <cellStyle name="Normal 12 3 28" xfId="3754" xr:uid="{00000000-0005-0000-0000-0000860F0000}"/>
    <cellStyle name="Normal 12 3 28 2" xfId="15790" xr:uid="{00000000-0005-0000-0000-0000870F0000}"/>
    <cellStyle name="Normal 12 3 29" xfId="3755" xr:uid="{00000000-0005-0000-0000-0000880F0000}"/>
    <cellStyle name="Normal 12 3 29 2" xfId="15791" xr:uid="{00000000-0005-0000-0000-0000890F0000}"/>
    <cellStyle name="Normal 12 3 3" xfId="3756" xr:uid="{00000000-0005-0000-0000-00008A0F0000}"/>
    <cellStyle name="Normal 12 3 3 2" xfId="15792" xr:uid="{00000000-0005-0000-0000-00008B0F0000}"/>
    <cellStyle name="Normal 12 3 30" xfId="3757" xr:uid="{00000000-0005-0000-0000-00008C0F0000}"/>
    <cellStyle name="Normal 12 3 30 2" xfId="15793" xr:uid="{00000000-0005-0000-0000-00008D0F0000}"/>
    <cellStyle name="Normal 12 3 31" xfId="3758" xr:uid="{00000000-0005-0000-0000-00008E0F0000}"/>
    <cellStyle name="Normal 12 3 31 2" xfId="15794" xr:uid="{00000000-0005-0000-0000-00008F0F0000}"/>
    <cellStyle name="Normal 12 3 32" xfId="3759" xr:uid="{00000000-0005-0000-0000-0000900F0000}"/>
    <cellStyle name="Normal 12 3 32 2" xfId="15795" xr:uid="{00000000-0005-0000-0000-0000910F0000}"/>
    <cellStyle name="Normal 12 3 33" xfId="3760" xr:uid="{00000000-0005-0000-0000-0000920F0000}"/>
    <cellStyle name="Normal 12 3 33 2" xfId="15796" xr:uid="{00000000-0005-0000-0000-0000930F0000}"/>
    <cellStyle name="Normal 12 3 34" xfId="3761" xr:uid="{00000000-0005-0000-0000-0000940F0000}"/>
    <cellStyle name="Normal 12 3 34 2" xfId="15797" xr:uid="{00000000-0005-0000-0000-0000950F0000}"/>
    <cellStyle name="Normal 12 3 35" xfId="3762" xr:uid="{00000000-0005-0000-0000-0000960F0000}"/>
    <cellStyle name="Normal 12 3 35 2" xfId="15798" xr:uid="{00000000-0005-0000-0000-0000970F0000}"/>
    <cellStyle name="Normal 12 3 36" xfId="3763" xr:uid="{00000000-0005-0000-0000-0000980F0000}"/>
    <cellStyle name="Normal 12 3 36 2" xfId="15799" xr:uid="{00000000-0005-0000-0000-0000990F0000}"/>
    <cellStyle name="Normal 12 3 37" xfId="3764" xr:uid="{00000000-0005-0000-0000-00009A0F0000}"/>
    <cellStyle name="Normal 12 3 37 2" xfId="15800" xr:uid="{00000000-0005-0000-0000-00009B0F0000}"/>
    <cellStyle name="Normal 12 3 38" xfId="3765" xr:uid="{00000000-0005-0000-0000-00009C0F0000}"/>
    <cellStyle name="Normal 12 3 38 2" xfId="15801" xr:uid="{00000000-0005-0000-0000-00009D0F0000}"/>
    <cellStyle name="Normal 12 3 39" xfId="3766" xr:uid="{00000000-0005-0000-0000-00009E0F0000}"/>
    <cellStyle name="Normal 12 3 39 2" xfId="15802" xr:uid="{00000000-0005-0000-0000-00009F0F0000}"/>
    <cellStyle name="Normal 12 3 4" xfId="3767" xr:uid="{00000000-0005-0000-0000-0000A00F0000}"/>
    <cellStyle name="Normal 12 3 4 2" xfId="15803" xr:uid="{00000000-0005-0000-0000-0000A10F0000}"/>
    <cellStyle name="Normal 12 3 40" xfId="3768" xr:uid="{00000000-0005-0000-0000-0000A20F0000}"/>
    <cellStyle name="Normal 12 3 40 2" xfId="15804" xr:uid="{00000000-0005-0000-0000-0000A30F0000}"/>
    <cellStyle name="Normal 12 3 41" xfId="3769" xr:uid="{00000000-0005-0000-0000-0000A40F0000}"/>
    <cellStyle name="Normal 12 3 41 2" xfId="15805" xr:uid="{00000000-0005-0000-0000-0000A50F0000}"/>
    <cellStyle name="Normal 12 3 42" xfId="3770" xr:uid="{00000000-0005-0000-0000-0000A60F0000}"/>
    <cellStyle name="Normal 12 3 42 2" xfId="15806" xr:uid="{00000000-0005-0000-0000-0000A70F0000}"/>
    <cellStyle name="Normal 12 3 43" xfId="3771" xr:uid="{00000000-0005-0000-0000-0000A80F0000}"/>
    <cellStyle name="Normal 12 3 43 2" xfId="15807" xr:uid="{00000000-0005-0000-0000-0000A90F0000}"/>
    <cellStyle name="Normal 12 3 44" xfId="3772" xr:uid="{00000000-0005-0000-0000-0000AA0F0000}"/>
    <cellStyle name="Normal 12 3 44 2" xfId="15808" xr:uid="{00000000-0005-0000-0000-0000AB0F0000}"/>
    <cellStyle name="Normal 12 3 45" xfId="3773" xr:uid="{00000000-0005-0000-0000-0000AC0F0000}"/>
    <cellStyle name="Normal 12 3 45 2" xfId="15809" xr:uid="{00000000-0005-0000-0000-0000AD0F0000}"/>
    <cellStyle name="Normal 12 3 46" xfId="3774" xr:uid="{00000000-0005-0000-0000-0000AE0F0000}"/>
    <cellStyle name="Normal 12 3 46 2" xfId="15810" xr:uid="{00000000-0005-0000-0000-0000AF0F0000}"/>
    <cellStyle name="Normal 12 3 47" xfId="3775" xr:uid="{00000000-0005-0000-0000-0000B00F0000}"/>
    <cellStyle name="Normal 12 3 47 2" xfId="15811" xr:uid="{00000000-0005-0000-0000-0000B10F0000}"/>
    <cellStyle name="Normal 12 3 48" xfId="3776" xr:uid="{00000000-0005-0000-0000-0000B20F0000}"/>
    <cellStyle name="Normal 12 3 48 2" xfId="15812" xr:uid="{00000000-0005-0000-0000-0000B30F0000}"/>
    <cellStyle name="Normal 12 3 49" xfId="3777" xr:uid="{00000000-0005-0000-0000-0000B40F0000}"/>
    <cellStyle name="Normal 12 3 49 2" xfId="15813" xr:uid="{00000000-0005-0000-0000-0000B50F0000}"/>
    <cellStyle name="Normal 12 3 5" xfId="3778" xr:uid="{00000000-0005-0000-0000-0000B60F0000}"/>
    <cellStyle name="Normal 12 3 5 2" xfId="15814" xr:uid="{00000000-0005-0000-0000-0000B70F0000}"/>
    <cellStyle name="Normal 12 3 50" xfId="3779" xr:uid="{00000000-0005-0000-0000-0000B80F0000}"/>
    <cellStyle name="Normal 12 3 50 2" xfId="15815" xr:uid="{00000000-0005-0000-0000-0000B90F0000}"/>
    <cellStyle name="Normal 12 3 51" xfId="3780" xr:uid="{00000000-0005-0000-0000-0000BA0F0000}"/>
    <cellStyle name="Normal 12 3 51 2" xfId="15816" xr:uid="{00000000-0005-0000-0000-0000BB0F0000}"/>
    <cellStyle name="Normal 12 3 52" xfId="3781" xr:uid="{00000000-0005-0000-0000-0000BC0F0000}"/>
    <cellStyle name="Normal 12 3 52 2" xfId="15817" xr:uid="{00000000-0005-0000-0000-0000BD0F0000}"/>
    <cellStyle name="Normal 12 3 53" xfId="3782" xr:uid="{00000000-0005-0000-0000-0000BE0F0000}"/>
    <cellStyle name="Normal 12 3 53 2" xfId="15818" xr:uid="{00000000-0005-0000-0000-0000BF0F0000}"/>
    <cellStyle name="Normal 12 3 54" xfId="3783" xr:uid="{00000000-0005-0000-0000-0000C00F0000}"/>
    <cellStyle name="Normal 12 3 54 2" xfId="15819" xr:uid="{00000000-0005-0000-0000-0000C10F0000}"/>
    <cellStyle name="Normal 12 3 55" xfId="3784" xr:uid="{00000000-0005-0000-0000-0000C20F0000}"/>
    <cellStyle name="Normal 12 3 55 2" xfId="15820" xr:uid="{00000000-0005-0000-0000-0000C30F0000}"/>
    <cellStyle name="Normal 12 3 56" xfId="3785" xr:uid="{00000000-0005-0000-0000-0000C40F0000}"/>
    <cellStyle name="Normal 12 3 56 2" xfId="15821" xr:uid="{00000000-0005-0000-0000-0000C50F0000}"/>
    <cellStyle name="Normal 12 3 57" xfId="3786" xr:uid="{00000000-0005-0000-0000-0000C60F0000}"/>
    <cellStyle name="Normal 12 3 57 2" xfId="15822" xr:uid="{00000000-0005-0000-0000-0000C70F0000}"/>
    <cellStyle name="Normal 12 3 58" xfId="3787" xr:uid="{00000000-0005-0000-0000-0000C80F0000}"/>
    <cellStyle name="Normal 12 3 58 2" xfId="15823" xr:uid="{00000000-0005-0000-0000-0000C90F0000}"/>
    <cellStyle name="Normal 12 3 59" xfId="3788" xr:uid="{00000000-0005-0000-0000-0000CA0F0000}"/>
    <cellStyle name="Normal 12 3 59 2" xfId="15824" xr:uid="{00000000-0005-0000-0000-0000CB0F0000}"/>
    <cellStyle name="Normal 12 3 6" xfId="3789" xr:uid="{00000000-0005-0000-0000-0000CC0F0000}"/>
    <cellStyle name="Normal 12 3 6 2" xfId="15825" xr:uid="{00000000-0005-0000-0000-0000CD0F0000}"/>
    <cellStyle name="Normal 12 3 60" xfId="3790" xr:uid="{00000000-0005-0000-0000-0000CE0F0000}"/>
    <cellStyle name="Normal 12 3 60 2" xfId="15826" xr:uid="{00000000-0005-0000-0000-0000CF0F0000}"/>
    <cellStyle name="Normal 12 3 61" xfId="3791" xr:uid="{00000000-0005-0000-0000-0000D00F0000}"/>
    <cellStyle name="Normal 12 3 61 2" xfId="15827" xr:uid="{00000000-0005-0000-0000-0000D10F0000}"/>
    <cellStyle name="Normal 12 3 62" xfId="3792" xr:uid="{00000000-0005-0000-0000-0000D20F0000}"/>
    <cellStyle name="Normal 12 3 62 2" xfId="15828" xr:uid="{00000000-0005-0000-0000-0000D30F0000}"/>
    <cellStyle name="Normal 12 3 63" xfId="3793" xr:uid="{00000000-0005-0000-0000-0000D40F0000}"/>
    <cellStyle name="Normal 12 3 63 2" xfId="15829" xr:uid="{00000000-0005-0000-0000-0000D50F0000}"/>
    <cellStyle name="Normal 12 3 64" xfId="3794" xr:uid="{00000000-0005-0000-0000-0000D60F0000}"/>
    <cellStyle name="Normal 12 3 64 2" xfId="15830" xr:uid="{00000000-0005-0000-0000-0000D70F0000}"/>
    <cellStyle name="Normal 12 3 65" xfId="3795" xr:uid="{00000000-0005-0000-0000-0000D80F0000}"/>
    <cellStyle name="Normal 12 3 65 2" xfId="15831" xr:uid="{00000000-0005-0000-0000-0000D90F0000}"/>
    <cellStyle name="Normal 12 3 66" xfId="3796" xr:uid="{00000000-0005-0000-0000-0000DA0F0000}"/>
    <cellStyle name="Normal 12 3 66 2" xfId="15832" xr:uid="{00000000-0005-0000-0000-0000DB0F0000}"/>
    <cellStyle name="Normal 12 3 67" xfId="3797" xr:uid="{00000000-0005-0000-0000-0000DC0F0000}"/>
    <cellStyle name="Normal 12 3 67 2" xfId="15833" xr:uid="{00000000-0005-0000-0000-0000DD0F0000}"/>
    <cellStyle name="Normal 12 3 68" xfId="3798" xr:uid="{00000000-0005-0000-0000-0000DE0F0000}"/>
    <cellStyle name="Normal 12 3 68 2" xfId="15834" xr:uid="{00000000-0005-0000-0000-0000DF0F0000}"/>
    <cellStyle name="Normal 12 3 69" xfId="3799" xr:uid="{00000000-0005-0000-0000-0000E00F0000}"/>
    <cellStyle name="Normal 12 3 69 2" xfId="15835" xr:uid="{00000000-0005-0000-0000-0000E10F0000}"/>
    <cellStyle name="Normal 12 3 7" xfId="3800" xr:uid="{00000000-0005-0000-0000-0000E20F0000}"/>
    <cellStyle name="Normal 12 3 7 2" xfId="15836" xr:uid="{00000000-0005-0000-0000-0000E30F0000}"/>
    <cellStyle name="Normal 12 3 70" xfId="3801" xr:uid="{00000000-0005-0000-0000-0000E40F0000}"/>
    <cellStyle name="Normal 12 3 70 2" xfId="15837" xr:uid="{00000000-0005-0000-0000-0000E50F0000}"/>
    <cellStyle name="Normal 12 3 71" xfId="3802" xr:uid="{00000000-0005-0000-0000-0000E60F0000}"/>
    <cellStyle name="Normal 12 3 71 2" xfId="15838" xr:uid="{00000000-0005-0000-0000-0000E70F0000}"/>
    <cellStyle name="Normal 12 3 72" xfId="3803" xr:uid="{00000000-0005-0000-0000-0000E80F0000}"/>
    <cellStyle name="Normal 12 3 72 2" xfId="15839" xr:uid="{00000000-0005-0000-0000-0000E90F0000}"/>
    <cellStyle name="Normal 12 3 73" xfId="3804" xr:uid="{00000000-0005-0000-0000-0000EA0F0000}"/>
    <cellStyle name="Normal 12 3 73 2" xfId="15840" xr:uid="{00000000-0005-0000-0000-0000EB0F0000}"/>
    <cellStyle name="Normal 12 3 74" xfId="3805" xr:uid="{00000000-0005-0000-0000-0000EC0F0000}"/>
    <cellStyle name="Normal 12 3 74 2" xfId="15841" xr:uid="{00000000-0005-0000-0000-0000ED0F0000}"/>
    <cellStyle name="Normal 12 3 75" xfId="3806" xr:uid="{00000000-0005-0000-0000-0000EE0F0000}"/>
    <cellStyle name="Normal 12 3 75 2" xfId="15842" xr:uid="{00000000-0005-0000-0000-0000EF0F0000}"/>
    <cellStyle name="Normal 12 3 76" xfId="3807" xr:uid="{00000000-0005-0000-0000-0000F00F0000}"/>
    <cellStyle name="Normal 12 3 76 2" xfId="15843" xr:uid="{00000000-0005-0000-0000-0000F10F0000}"/>
    <cellStyle name="Normal 12 3 77" xfId="3808" xr:uid="{00000000-0005-0000-0000-0000F20F0000}"/>
    <cellStyle name="Normal 12 3 77 2" xfId="15844" xr:uid="{00000000-0005-0000-0000-0000F30F0000}"/>
    <cellStyle name="Normal 12 3 78" xfId="3809" xr:uid="{00000000-0005-0000-0000-0000F40F0000}"/>
    <cellStyle name="Normal 12 3 78 2" xfId="15845" xr:uid="{00000000-0005-0000-0000-0000F50F0000}"/>
    <cellStyle name="Normal 12 3 79" xfId="3810" xr:uid="{00000000-0005-0000-0000-0000F60F0000}"/>
    <cellStyle name="Normal 12 3 79 2" xfId="15846" xr:uid="{00000000-0005-0000-0000-0000F70F0000}"/>
    <cellStyle name="Normal 12 3 8" xfId="3811" xr:uid="{00000000-0005-0000-0000-0000F80F0000}"/>
    <cellStyle name="Normal 12 3 8 2" xfId="15847" xr:uid="{00000000-0005-0000-0000-0000F90F0000}"/>
    <cellStyle name="Normal 12 3 80" xfId="15770" xr:uid="{00000000-0005-0000-0000-0000FA0F0000}"/>
    <cellStyle name="Normal 12 3 9" xfId="3812" xr:uid="{00000000-0005-0000-0000-0000FB0F0000}"/>
    <cellStyle name="Normal 12 3 9 2" xfId="15848" xr:uid="{00000000-0005-0000-0000-0000FC0F0000}"/>
    <cellStyle name="Normal 12 30" xfId="3813" xr:uid="{00000000-0005-0000-0000-0000FD0F0000}"/>
    <cellStyle name="Normal 12 30 2" xfId="15849" xr:uid="{00000000-0005-0000-0000-0000FE0F0000}"/>
    <cellStyle name="Normal 12 31" xfId="3814" xr:uid="{00000000-0005-0000-0000-0000FF0F0000}"/>
    <cellStyle name="Normal 12 31 2" xfId="15850" xr:uid="{00000000-0005-0000-0000-000000100000}"/>
    <cellStyle name="Normal 12 32" xfId="3815" xr:uid="{00000000-0005-0000-0000-000001100000}"/>
    <cellStyle name="Normal 12 32 2" xfId="15851" xr:uid="{00000000-0005-0000-0000-000002100000}"/>
    <cellStyle name="Normal 12 33" xfId="3816" xr:uid="{00000000-0005-0000-0000-000003100000}"/>
    <cellStyle name="Normal 12 33 2" xfId="15852" xr:uid="{00000000-0005-0000-0000-000004100000}"/>
    <cellStyle name="Normal 12 34" xfId="3817" xr:uid="{00000000-0005-0000-0000-000005100000}"/>
    <cellStyle name="Normal 12 34 2" xfId="15853" xr:uid="{00000000-0005-0000-0000-000006100000}"/>
    <cellStyle name="Normal 12 35" xfId="3818" xr:uid="{00000000-0005-0000-0000-000007100000}"/>
    <cellStyle name="Normal 12 35 2" xfId="15854" xr:uid="{00000000-0005-0000-0000-000008100000}"/>
    <cellStyle name="Normal 12 36" xfId="3819" xr:uid="{00000000-0005-0000-0000-000009100000}"/>
    <cellStyle name="Normal 12 36 2" xfId="15855" xr:uid="{00000000-0005-0000-0000-00000A100000}"/>
    <cellStyle name="Normal 12 37" xfId="3820" xr:uid="{00000000-0005-0000-0000-00000B100000}"/>
    <cellStyle name="Normal 12 37 2" xfId="15856" xr:uid="{00000000-0005-0000-0000-00000C100000}"/>
    <cellStyle name="Normal 12 38" xfId="3821" xr:uid="{00000000-0005-0000-0000-00000D100000}"/>
    <cellStyle name="Normal 12 38 2" xfId="15857" xr:uid="{00000000-0005-0000-0000-00000E100000}"/>
    <cellStyle name="Normal 12 39" xfId="3822" xr:uid="{00000000-0005-0000-0000-00000F100000}"/>
    <cellStyle name="Normal 12 39 2" xfId="15858" xr:uid="{00000000-0005-0000-0000-000010100000}"/>
    <cellStyle name="Normal 12 4" xfId="3823" xr:uid="{00000000-0005-0000-0000-000011100000}"/>
    <cellStyle name="Normal 12 4 10" xfId="3824" xr:uid="{00000000-0005-0000-0000-000012100000}"/>
    <cellStyle name="Normal 12 4 10 2" xfId="15860" xr:uid="{00000000-0005-0000-0000-000013100000}"/>
    <cellStyle name="Normal 12 4 11" xfId="3825" xr:uid="{00000000-0005-0000-0000-000014100000}"/>
    <cellStyle name="Normal 12 4 11 2" xfId="15861" xr:uid="{00000000-0005-0000-0000-000015100000}"/>
    <cellStyle name="Normal 12 4 12" xfId="3826" xr:uid="{00000000-0005-0000-0000-000016100000}"/>
    <cellStyle name="Normal 12 4 12 2" xfId="15862" xr:uid="{00000000-0005-0000-0000-000017100000}"/>
    <cellStyle name="Normal 12 4 13" xfId="3827" xr:uid="{00000000-0005-0000-0000-000018100000}"/>
    <cellStyle name="Normal 12 4 13 2" xfId="15863" xr:uid="{00000000-0005-0000-0000-000019100000}"/>
    <cellStyle name="Normal 12 4 14" xfId="3828" xr:uid="{00000000-0005-0000-0000-00001A100000}"/>
    <cellStyle name="Normal 12 4 14 2" xfId="15864" xr:uid="{00000000-0005-0000-0000-00001B100000}"/>
    <cellStyle name="Normal 12 4 15" xfId="3829" xr:uid="{00000000-0005-0000-0000-00001C100000}"/>
    <cellStyle name="Normal 12 4 15 2" xfId="15865" xr:uid="{00000000-0005-0000-0000-00001D100000}"/>
    <cellStyle name="Normal 12 4 16" xfId="3830" xr:uid="{00000000-0005-0000-0000-00001E100000}"/>
    <cellStyle name="Normal 12 4 16 2" xfId="15866" xr:uid="{00000000-0005-0000-0000-00001F100000}"/>
    <cellStyle name="Normal 12 4 17" xfId="3831" xr:uid="{00000000-0005-0000-0000-000020100000}"/>
    <cellStyle name="Normal 12 4 17 2" xfId="15867" xr:uid="{00000000-0005-0000-0000-000021100000}"/>
    <cellStyle name="Normal 12 4 18" xfId="3832" xr:uid="{00000000-0005-0000-0000-000022100000}"/>
    <cellStyle name="Normal 12 4 18 2" xfId="15868" xr:uid="{00000000-0005-0000-0000-000023100000}"/>
    <cellStyle name="Normal 12 4 19" xfId="3833" xr:uid="{00000000-0005-0000-0000-000024100000}"/>
    <cellStyle name="Normal 12 4 19 2" xfId="15869" xr:uid="{00000000-0005-0000-0000-000025100000}"/>
    <cellStyle name="Normal 12 4 2" xfId="3834" xr:uid="{00000000-0005-0000-0000-000026100000}"/>
    <cellStyle name="Normal 12 4 2 2" xfId="15870" xr:uid="{00000000-0005-0000-0000-000027100000}"/>
    <cellStyle name="Normal 12 4 20" xfId="3835" xr:uid="{00000000-0005-0000-0000-000028100000}"/>
    <cellStyle name="Normal 12 4 20 2" xfId="15871" xr:uid="{00000000-0005-0000-0000-000029100000}"/>
    <cellStyle name="Normal 12 4 21" xfId="3836" xr:uid="{00000000-0005-0000-0000-00002A100000}"/>
    <cellStyle name="Normal 12 4 21 2" xfId="15872" xr:uid="{00000000-0005-0000-0000-00002B100000}"/>
    <cellStyle name="Normal 12 4 22" xfId="3837" xr:uid="{00000000-0005-0000-0000-00002C100000}"/>
    <cellStyle name="Normal 12 4 22 2" xfId="15873" xr:uid="{00000000-0005-0000-0000-00002D100000}"/>
    <cellStyle name="Normal 12 4 23" xfId="3838" xr:uid="{00000000-0005-0000-0000-00002E100000}"/>
    <cellStyle name="Normal 12 4 23 2" xfId="15874" xr:uid="{00000000-0005-0000-0000-00002F100000}"/>
    <cellStyle name="Normal 12 4 24" xfId="3839" xr:uid="{00000000-0005-0000-0000-000030100000}"/>
    <cellStyle name="Normal 12 4 24 2" xfId="15875" xr:uid="{00000000-0005-0000-0000-000031100000}"/>
    <cellStyle name="Normal 12 4 25" xfId="3840" xr:uid="{00000000-0005-0000-0000-000032100000}"/>
    <cellStyle name="Normal 12 4 25 2" xfId="15876" xr:uid="{00000000-0005-0000-0000-000033100000}"/>
    <cellStyle name="Normal 12 4 26" xfId="3841" xr:uid="{00000000-0005-0000-0000-000034100000}"/>
    <cellStyle name="Normal 12 4 26 2" xfId="15877" xr:uid="{00000000-0005-0000-0000-000035100000}"/>
    <cellStyle name="Normal 12 4 27" xfId="3842" xr:uid="{00000000-0005-0000-0000-000036100000}"/>
    <cellStyle name="Normal 12 4 27 2" xfId="15878" xr:uid="{00000000-0005-0000-0000-000037100000}"/>
    <cellStyle name="Normal 12 4 28" xfId="3843" xr:uid="{00000000-0005-0000-0000-000038100000}"/>
    <cellStyle name="Normal 12 4 28 2" xfId="15879" xr:uid="{00000000-0005-0000-0000-000039100000}"/>
    <cellStyle name="Normal 12 4 29" xfId="3844" xr:uid="{00000000-0005-0000-0000-00003A100000}"/>
    <cellStyle name="Normal 12 4 29 2" xfId="15880" xr:uid="{00000000-0005-0000-0000-00003B100000}"/>
    <cellStyle name="Normal 12 4 3" xfId="3845" xr:uid="{00000000-0005-0000-0000-00003C100000}"/>
    <cellStyle name="Normal 12 4 3 2" xfId="15881" xr:uid="{00000000-0005-0000-0000-00003D100000}"/>
    <cellStyle name="Normal 12 4 30" xfId="3846" xr:uid="{00000000-0005-0000-0000-00003E100000}"/>
    <cellStyle name="Normal 12 4 30 2" xfId="15882" xr:uid="{00000000-0005-0000-0000-00003F100000}"/>
    <cellStyle name="Normal 12 4 31" xfId="3847" xr:uid="{00000000-0005-0000-0000-000040100000}"/>
    <cellStyle name="Normal 12 4 31 2" xfId="15883" xr:uid="{00000000-0005-0000-0000-000041100000}"/>
    <cellStyle name="Normal 12 4 32" xfId="3848" xr:uid="{00000000-0005-0000-0000-000042100000}"/>
    <cellStyle name="Normal 12 4 32 2" xfId="15884" xr:uid="{00000000-0005-0000-0000-000043100000}"/>
    <cellStyle name="Normal 12 4 33" xfId="3849" xr:uid="{00000000-0005-0000-0000-000044100000}"/>
    <cellStyle name="Normal 12 4 33 2" xfId="15885" xr:uid="{00000000-0005-0000-0000-000045100000}"/>
    <cellStyle name="Normal 12 4 34" xfId="3850" xr:uid="{00000000-0005-0000-0000-000046100000}"/>
    <cellStyle name="Normal 12 4 34 2" xfId="15886" xr:uid="{00000000-0005-0000-0000-000047100000}"/>
    <cellStyle name="Normal 12 4 35" xfId="3851" xr:uid="{00000000-0005-0000-0000-000048100000}"/>
    <cellStyle name="Normal 12 4 35 2" xfId="15887" xr:uid="{00000000-0005-0000-0000-000049100000}"/>
    <cellStyle name="Normal 12 4 36" xfId="3852" xr:uid="{00000000-0005-0000-0000-00004A100000}"/>
    <cellStyle name="Normal 12 4 36 2" xfId="15888" xr:uid="{00000000-0005-0000-0000-00004B100000}"/>
    <cellStyle name="Normal 12 4 37" xfId="3853" xr:uid="{00000000-0005-0000-0000-00004C100000}"/>
    <cellStyle name="Normal 12 4 37 2" xfId="15889" xr:uid="{00000000-0005-0000-0000-00004D100000}"/>
    <cellStyle name="Normal 12 4 38" xfId="3854" xr:uid="{00000000-0005-0000-0000-00004E100000}"/>
    <cellStyle name="Normal 12 4 38 2" xfId="15890" xr:uid="{00000000-0005-0000-0000-00004F100000}"/>
    <cellStyle name="Normal 12 4 39" xfId="3855" xr:uid="{00000000-0005-0000-0000-000050100000}"/>
    <cellStyle name="Normal 12 4 39 2" xfId="15891" xr:uid="{00000000-0005-0000-0000-000051100000}"/>
    <cellStyle name="Normal 12 4 4" xfId="3856" xr:uid="{00000000-0005-0000-0000-000052100000}"/>
    <cellStyle name="Normal 12 4 4 2" xfId="15892" xr:uid="{00000000-0005-0000-0000-000053100000}"/>
    <cellStyle name="Normal 12 4 40" xfId="3857" xr:uid="{00000000-0005-0000-0000-000054100000}"/>
    <cellStyle name="Normal 12 4 40 2" xfId="15893" xr:uid="{00000000-0005-0000-0000-000055100000}"/>
    <cellStyle name="Normal 12 4 41" xfId="3858" xr:uid="{00000000-0005-0000-0000-000056100000}"/>
    <cellStyle name="Normal 12 4 41 2" xfId="15894" xr:uid="{00000000-0005-0000-0000-000057100000}"/>
    <cellStyle name="Normal 12 4 42" xfId="3859" xr:uid="{00000000-0005-0000-0000-000058100000}"/>
    <cellStyle name="Normal 12 4 42 2" xfId="15895" xr:uid="{00000000-0005-0000-0000-000059100000}"/>
    <cellStyle name="Normal 12 4 43" xfId="3860" xr:uid="{00000000-0005-0000-0000-00005A100000}"/>
    <cellStyle name="Normal 12 4 43 2" xfId="15896" xr:uid="{00000000-0005-0000-0000-00005B100000}"/>
    <cellStyle name="Normal 12 4 44" xfId="3861" xr:uid="{00000000-0005-0000-0000-00005C100000}"/>
    <cellStyle name="Normal 12 4 44 2" xfId="15897" xr:uid="{00000000-0005-0000-0000-00005D100000}"/>
    <cellStyle name="Normal 12 4 45" xfId="3862" xr:uid="{00000000-0005-0000-0000-00005E100000}"/>
    <cellStyle name="Normal 12 4 45 2" xfId="15898" xr:uid="{00000000-0005-0000-0000-00005F100000}"/>
    <cellStyle name="Normal 12 4 46" xfId="3863" xr:uid="{00000000-0005-0000-0000-000060100000}"/>
    <cellStyle name="Normal 12 4 46 2" xfId="15899" xr:uid="{00000000-0005-0000-0000-000061100000}"/>
    <cellStyle name="Normal 12 4 47" xfId="3864" xr:uid="{00000000-0005-0000-0000-000062100000}"/>
    <cellStyle name="Normal 12 4 47 2" xfId="15900" xr:uid="{00000000-0005-0000-0000-000063100000}"/>
    <cellStyle name="Normal 12 4 48" xfId="3865" xr:uid="{00000000-0005-0000-0000-000064100000}"/>
    <cellStyle name="Normal 12 4 48 2" xfId="15901" xr:uid="{00000000-0005-0000-0000-000065100000}"/>
    <cellStyle name="Normal 12 4 49" xfId="3866" xr:uid="{00000000-0005-0000-0000-000066100000}"/>
    <cellStyle name="Normal 12 4 49 2" xfId="15902" xr:uid="{00000000-0005-0000-0000-000067100000}"/>
    <cellStyle name="Normal 12 4 5" xfId="3867" xr:uid="{00000000-0005-0000-0000-000068100000}"/>
    <cellStyle name="Normal 12 4 5 2" xfId="15903" xr:uid="{00000000-0005-0000-0000-000069100000}"/>
    <cellStyle name="Normal 12 4 50" xfId="3868" xr:uid="{00000000-0005-0000-0000-00006A100000}"/>
    <cellStyle name="Normal 12 4 50 2" xfId="15904" xr:uid="{00000000-0005-0000-0000-00006B100000}"/>
    <cellStyle name="Normal 12 4 51" xfId="3869" xr:uid="{00000000-0005-0000-0000-00006C100000}"/>
    <cellStyle name="Normal 12 4 51 2" xfId="15905" xr:uid="{00000000-0005-0000-0000-00006D100000}"/>
    <cellStyle name="Normal 12 4 52" xfId="3870" xr:uid="{00000000-0005-0000-0000-00006E100000}"/>
    <cellStyle name="Normal 12 4 52 2" xfId="15906" xr:uid="{00000000-0005-0000-0000-00006F100000}"/>
    <cellStyle name="Normal 12 4 53" xfId="3871" xr:uid="{00000000-0005-0000-0000-000070100000}"/>
    <cellStyle name="Normal 12 4 53 2" xfId="15907" xr:uid="{00000000-0005-0000-0000-000071100000}"/>
    <cellStyle name="Normal 12 4 54" xfId="3872" xr:uid="{00000000-0005-0000-0000-000072100000}"/>
    <cellStyle name="Normal 12 4 54 2" xfId="15908" xr:uid="{00000000-0005-0000-0000-000073100000}"/>
    <cellStyle name="Normal 12 4 55" xfId="3873" xr:uid="{00000000-0005-0000-0000-000074100000}"/>
    <cellStyle name="Normal 12 4 55 2" xfId="15909" xr:uid="{00000000-0005-0000-0000-000075100000}"/>
    <cellStyle name="Normal 12 4 56" xfId="3874" xr:uid="{00000000-0005-0000-0000-000076100000}"/>
    <cellStyle name="Normal 12 4 56 2" xfId="15910" xr:uid="{00000000-0005-0000-0000-000077100000}"/>
    <cellStyle name="Normal 12 4 57" xfId="3875" xr:uid="{00000000-0005-0000-0000-000078100000}"/>
    <cellStyle name="Normal 12 4 57 2" xfId="15911" xr:uid="{00000000-0005-0000-0000-000079100000}"/>
    <cellStyle name="Normal 12 4 58" xfId="3876" xr:uid="{00000000-0005-0000-0000-00007A100000}"/>
    <cellStyle name="Normal 12 4 58 2" xfId="15912" xr:uid="{00000000-0005-0000-0000-00007B100000}"/>
    <cellStyle name="Normal 12 4 59" xfId="3877" xr:uid="{00000000-0005-0000-0000-00007C100000}"/>
    <cellStyle name="Normal 12 4 59 2" xfId="15913" xr:uid="{00000000-0005-0000-0000-00007D100000}"/>
    <cellStyle name="Normal 12 4 6" xfId="3878" xr:uid="{00000000-0005-0000-0000-00007E100000}"/>
    <cellStyle name="Normal 12 4 6 2" xfId="15914" xr:uid="{00000000-0005-0000-0000-00007F100000}"/>
    <cellStyle name="Normal 12 4 60" xfId="3879" xr:uid="{00000000-0005-0000-0000-000080100000}"/>
    <cellStyle name="Normal 12 4 60 2" xfId="15915" xr:uid="{00000000-0005-0000-0000-000081100000}"/>
    <cellStyle name="Normal 12 4 61" xfId="3880" xr:uid="{00000000-0005-0000-0000-000082100000}"/>
    <cellStyle name="Normal 12 4 61 2" xfId="15916" xr:uid="{00000000-0005-0000-0000-000083100000}"/>
    <cellStyle name="Normal 12 4 62" xfId="3881" xr:uid="{00000000-0005-0000-0000-000084100000}"/>
    <cellStyle name="Normal 12 4 62 2" xfId="15917" xr:uid="{00000000-0005-0000-0000-000085100000}"/>
    <cellStyle name="Normal 12 4 63" xfId="3882" xr:uid="{00000000-0005-0000-0000-000086100000}"/>
    <cellStyle name="Normal 12 4 63 2" xfId="15918" xr:uid="{00000000-0005-0000-0000-000087100000}"/>
    <cellStyle name="Normal 12 4 64" xfId="3883" xr:uid="{00000000-0005-0000-0000-000088100000}"/>
    <cellStyle name="Normal 12 4 64 2" xfId="15919" xr:uid="{00000000-0005-0000-0000-000089100000}"/>
    <cellStyle name="Normal 12 4 65" xfId="3884" xr:uid="{00000000-0005-0000-0000-00008A100000}"/>
    <cellStyle name="Normal 12 4 65 2" xfId="15920" xr:uid="{00000000-0005-0000-0000-00008B100000}"/>
    <cellStyle name="Normal 12 4 66" xfId="3885" xr:uid="{00000000-0005-0000-0000-00008C100000}"/>
    <cellStyle name="Normal 12 4 66 2" xfId="15921" xr:uid="{00000000-0005-0000-0000-00008D100000}"/>
    <cellStyle name="Normal 12 4 67" xfId="3886" xr:uid="{00000000-0005-0000-0000-00008E100000}"/>
    <cellStyle name="Normal 12 4 67 2" xfId="15922" xr:uid="{00000000-0005-0000-0000-00008F100000}"/>
    <cellStyle name="Normal 12 4 68" xfId="3887" xr:uid="{00000000-0005-0000-0000-000090100000}"/>
    <cellStyle name="Normal 12 4 68 2" xfId="15923" xr:uid="{00000000-0005-0000-0000-000091100000}"/>
    <cellStyle name="Normal 12 4 69" xfId="3888" xr:uid="{00000000-0005-0000-0000-000092100000}"/>
    <cellStyle name="Normal 12 4 69 2" xfId="15924" xr:uid="{00000000-0005-0000-0000-000093100000}"/>
    <cellStyle name="Normal 12 4 7" xfId="3889" xr:uid="{00000000-0005-0000-0000-000094100000}"/>
    <cellStyle name="Normal 12 4 7 2" xfId="15925" xr:uid="{00000000-0005-0000-0000-000095100000}"/>
    <cellStyle name="Normal 12 4 70" xfId="3890" xr:uid="{00000000-0005-0000-0000-000096100000}"/>
    <cellStyle name="Normal 12 4 70 2" xfId="15926" xr:uid="{00000000-0005-0000-0000-000097100000}"/>
    <cellStyle name="Normal 12 4 71" xfId="3891" xr:uid="{00000000-0005-0000-0000-000098100000}"/>
    <cellStyle name="Normal 12 4 71 2" xfId="15927" xr:uid="{00000000-0005-0000-0000-000099100000}"/>
    <cellStyle name="Normal 12 4 72" xfId="3892" xr:uid="{00000000-0005-0000-0000-00009A100000}"/>
    <cellStyle name="Normal 12 4 72 2" xfId="15928" xr:uid="{00000000-0005-0000-0000-00009B100000}"/>
    <cellStyle name="Normal 12 4 73" xfId="3893" xr:uid="{00000000-0005-0000-0000-00009C100000}"/>
    <cellStyle name="Normal 12 4 73 2" xfId="15929" xr:uid="{00000000-0005-0000-0000-00009D100000}"/>
    <cellStyle name="Normal 12 4 74" xfId="3894" xr:uid="{00000000-0005-0000-0000-00009E100000}"/>
    <cellStyle name="Normal 12 4 74 2" xfId="15930" xr:uid="{00000000-0005-0000-0000-00009F100000}"/>
    <cellStyle name="Normal 12 4 75" xfId="3895" xr:uid="{00000000-0005-0000-0000-0000A0100000}"/>
    <cellStyle name="Normal 12 4 75 2" xfId="15931" xr:uid="{00000000-0005-0000-0000-0000A1100000}"/>
    <cellStyle name="Normal 12 4 76" xfId="3896" xr:uid="{00000000-0005-0000-0000-0000A2100000}"/>
    <cellStyle name="Normal 12 4 76 2" xfId="15932" xr:uid="{00000000-0005-0000-0000-0000A3100000}"/>
    <cellStyle name="Normal 12 4 77" xfId="3897" xr:uid="{00000000-0005-0000-0000-0000A4100000}"/>
    <cellStyle name="Normal 12 4 77 2" xfId="15933" xr:uid="{00000000-0005-0000-0000-0000A5100000}"/>
    <cellStyle name="Normal 12 4 78" xfId="3898" xr:uid="{00000000-0005-0000-0000-0000A6100000}"/>
    <cellStyle name="Normal 12 4 78 2" xfId="15934" xr:uid="{00000000-0005-0000-0000-0000A7100000}"/>
    <cellStyle name="Normal 12 4 79" xfId="3899" xr:uid="{00000000-0005-0000-0000-0000A8100000}"/>
    <cellStyle name="Normal 12 4 79 2" xfId="15935" xr:uid="{00000000-0005-0000-0000-0000A9100000}"/>
    <cellStyle name="Normal 12 4 8" xfId="3900" xr:uid="{00000000-0005-0000-0000-0000AA100000}"/>
    <cellStyle name="Normal 12 4 8 2" xfId="15936" xr:uid="{00000000-0005-0000-0000-0000AB100000}"/>
    <cellStyle name="Normal 12 4 80" xfId="15859" xr:uid="{00000000-0005-0000-0000-0000AC100000}"/>
    <cellStyle name="Normal 12 4 9" xfId="3901" xr:uid="{00000000-0005-0000-0000-0000AD100000}"/>
    <cellStyle name="Normal 12 4 9 2" xfId="15937" xr:uid="{00000000-0005-0000-0000-0000AE100000}"/>
    <cellStyle name="Normal 12 40" xfId="3902" xr:uid="{00000000-0005-0000-0000-0000AF100000}"/>
    <cellStyle name="Normal 12 40 2" xfId="15938" xr:uid="{00000000-0005-0000-0000-0000B0100000}"/>
    <cellStyle name="Normal 12 41" xfId="3903" xr:uid="{00000000-0005-0000-0000-0000B1100000}"/>
    <cellStyle name="Normal 12 41 2" xfId="15939" xr:uid="{00000000-0005-0000-0000-0000B2100000}"/>
    <cellStyle name="Normal 12 42" xfId="3904" xr:uid="{00000000-0005-0000-0000-0000B3100000}"/>
    <cellStyle name="Normal 12 42 2" xfId="15940" xr:uid="{00000000-0005-0000-0000-0000B4100000}"/>
    <cellStyle name="Normal 12 43" xfId="3905" xr:uid="{00000000-0005-0000-0000-0000B5100000}"/>
    <cellStyle name="Normal 12 43 2" xfId="15941" xr:uid="{00000000-0005-0000-0000-0000B6100000}"/>
    <cellStyle name="Normal 12 44" xfId="3906" xr:uid="{00000000-0005-0000-0000-0000B7100000}"/>
    <cellStyle name="Normal 12 44 2" xfId="15942" xr:uid="{00000000-0005-0000-0000-0000B8100000}"/>
    <cellStyle name="Normal 12 45" xfId="3907" xr:uid="{00000000-0005-0000-0000-0000B9100000}"/>
    <cellStyle name="Normal 12 45 2" xfId="15943" xr:uid="{00000000-0005-0000-0000-0000BA100000}"/>
    <cellStyle name="Normal 12 46" xfId="3908" xr:uid="{00000000-0005-0000-0000-0000BB100000}"/>
    <cellStyle name="Normal 12 46 2" xfId="15944" xr:uid="{00000000-0005-0000-0000-0000BC100000}"/>
    <cellStyle name="Normal 12 47" xfId="3909" xr:uid="{00000000-0005-0000-0000-0000BD100000}"/>
    <cellStyle name="Normal 12 47 2" xfId="15945" xr:uid="{00000000-0005-0000-0000-0000BE100000}"/>
    <cellStyle name="Normal 12 48" xfId="3910" xr:uid="{00000000-0005-0000-0000-0000BF100000}"/>
    <cellStyle name="Normal 12 48 2" xfId="15946" xr:uid="{00000000-0005-0000-0000-0000C0100000}"/>
    <cellStyle name="Normal 12 49" xfId="3911" xr:uid="{00000000-0005-0000-0000-0000C1100000}"/>
    <cellStyle name="Normal 12 49 2" xfId="15947" xr:uid="{00000000-0005-0000-0000-0000C2100000}"/>
    <cellStyle name="Normal 12 5" xfId="3912" xr:uid="{00000000-0005-0000-0000-0000C3100000}"/>
    <cellStyle name="Normal 12 5 2" xfId="15948" xr:uid="{00000000-0005-0000-0000-0000C4100000}"/>
    <cellStyle name="Normal 12 50" xfId="3913" xr:uid="{00000000-0005-0000-0000-0000C5100000}"/>
    <cellStyle name="Normal 12 50 2" xfId="15949" xr:uid="{00000000-0005-0000-0000-0000C6100000}"/>
    <cellStyle name="Normal 12 51" xfId="3914" xr:uid="{00000000-0005-0000-0000-0000C7100000}"/>
    <cellStyle name="Normal 12 51 2" xfId="15950" xr:uid="{00000000-0005-0000-0000-0000C8100000}"/>
    <cellStyle name="Normal 12 52" xfId="3915" xr:uid="{00000000-0005-0000-0000-0000C9100000}"/>
    <cellStyle name="Normal 12 52 2" xfId="15951" xr:uid="{00000000-0005-0000-0000-0000CA100000}"/>
    <cellStyle name="Normal 12 53" xfId="3916" xr:uid="{00000000-0005-0000-0000-0000CB100000}"/>
    <cellStyle name="Normal 12 53 2" xfId="15952" xr:uid="{00000000-0005-0000-0000-0000CC100000}"/>
    <cellStyle name="Normal 12 54" xfId="3917" xr:uid="{00000000-0005-0000-0000-0000CD100000}"/>
    <cellStyle name="Normal 12 54 2" xfId="15953" xr:uid="{00000000-0005-0000-0000-0000CE100000}"/>
    <cellStyle name="Normal 12 55" xfId="3918" xr:uid="{00000000-0005-0000-0000-0000CF100000}"/>
    <cellStyle name="Normal 12 55 2" xfId="15954" xr:uid="{00000000-0005-0000-0000-0000D0100000}"/>
    <cellStyle name="Normal 12 56" xfId="3919" xr:uid="{00000000-0005-0000-0000-0000D1100000}"/>
    <cellStyle name="Normal 12 56 2" xfId="15955" xr:uid="{00000000-0005-0000-0000-0000D2100000}"/>
    <cellStyle name="Normal 12 57" xfId="3920" xr:uid="{00000000-0005-0000-0000-0000D3100000}"/>
    <cellStyle name="Normal 12 57 2" xfId="15956" xr:uid="{00000000-0005-0000-0000-0000D4100000}"/>
    <cellStyle name="Normal 12 58" xfId="3921" xr:uid="{00000000-0005-0000-0000-0000D5100000}"/>
    <cellStyle name="Normal 12 58 2" xfId="15957" xr:uid="{00000000-0005-0000-0000-0000D6100000}"/>
    <cellStyle name="Normal 12 59" xfId="3922" xr:uid="{00000000-0005-0000-0000-0000D7100000}"/>
    <cellStyle name="Normal 12 59 2" xfId="15958" xr:uid="{00000000-0005-0000-0000-0000D8100000}"/>
    <cellStyle name="Normal 12 6" xfId="3923" xr:uid="{00000000-0005-0000-0000-0000D9100000}"/>
    <cellStyle name="Normal 12 6 2" xfId="15959" xr:uid="{00000000-0005-0000-0000-0000DA100000}"/>
    <cellStyle name="Normal 12 60" xfId="3924" xr:uid="{00000000-0005-0000-0000-0000DB100000}"/>
    <cellStyle name="Normal 12 60 2" xfId="15960" xr:uid="{00000000-0005-0000-0000-0000DC100000}"/>
    <cellStyle name="Normal 12 61" xfId="3925" xr:uid="{00000000-0005-0000-0000-0000DD100000}"/>
    <cellStyle name="Normal 12 61 2" xfId="15961" xr:uid="{00000000-0005-0000-0000-0000DE100000}"/>
    <cellStyle name="Normal 12 62" xfId="3926" xr:uid="{00000000-0005-0000-0000-0000DF100000}"/>
    <cellStyle name="Normal 12 62 2" xfId="15962" xr:uid="{00000000-0005-0000-0000-0000E0100000}"/>
    <cellStyle name="Normal 12 63" xfId="3927" xr:uid="{00000000-0005-0000-0000-0000E1100000}"/>
    <cellStyle name="Normal 12 63 2" xfId="15963" xr:uid="{00000000-0005-0000-0000-0000E2100000}"/>
    <cellStyle name="Normal 12 64" xfId="3928" xr:uid="{00000000-0005-0000-0000-0000E3100000}"/>
    <cellStyle name="Normal 12 64 2" xfId="15964" xr:uid="{00000000-0005-0000-0000-0000E4100000}"/>
    <cellStyle name="Normal 12 65" xfId="3929" xr:uid="{00000000-0005-0000-0000-0000E5100000}"/>
    <cellStyle name="Normal 12 65 2" xfId="15965" xr:uid="{00000000-0005-0000-0000-0000E6100000}"/>
    <cellStyle name="Normal 12 66" xfId="3930" xr:uid="{00000000-0005-0000-0000-0000E7100000}"/>
    <cellStyle name="Normal 12 66 2" xfId="15966" xr:uid="{00000000-0005-0000-0000-0000E8100000}"/>
    <cellStyle name="Normal 12 67" xfId="3931" xr:uid="{00000000-0005-0000-0000-0000E9100000}"/>
    <cellStyle name="Normal 12 67 2" xfId="15967" xr:uid="{00000000-0005-0000-0000-0000EA100000}"/>
    <cellStyle name="Normal 12 68" xfId="3932" xr:uid="{00000000-0005-0000-0000-0000EB100000}"/>
    <cellStyle name="Normal 12 68 2" xfId="15968" xr:uid="{00000000-0005-0000-0000-0000EC100000}"/>
    <cellStyle name="Normal 12 69" xfId="3933" xr:uid="{00000000-0005-0000-0000-0000ED100000}"/>
    <cellStyle name="Normal 12 69 2" xfId="15969" xr:uid="{00000000-0005-0000-0000-0000EE100000}"/>
    <cellStyle name="Normal 12 7" xfId="3934" xr:uid="{00000000-0005-0000-0000-0000EF100000}"/>
    <cellStyle name="Normal 12 7 2" xfId="15970" xr:uid="{00000000-0005-0000-0000-0000F0100000}"/>
    <cellStyle name="Normal 12 70" xfId="3935" xr:uid="{00000000-0005-0000-0000-0000F1100000}"/>
    <cellStyle name="Normal 12 70 2" xfId="15971" xr:uid="{00000000-0005-0000-0000-0000F2100000}"/>
    <cellStyle name="Normal 12 71" xfId="3936" xr:uid="{00000000-0005-0000-0000-0000F3100000}"/>
    <cellStyle name="Normal 12 71 2" xfId="15972" xr:uid="{00000000-0005-0000-0000-0000F4100000}"/>
    <cellStyle name="Normal 12 72" xfId="3937" xr:uid="{00000000-0005-0000-0000-0000F5100000}"/>
    <cellStyle name="Normal 12 72 2" xfId="15973" xr:uid="{00000000-0005-0000-0000-0000F6100000}"/>
    <cellStyle name="Normal 12 73" xfId="3938" xr:uid="{00000000-0005-0000-0000-0000F7100000}"/>
    <cellStyle name="Normal 12 73 2" xfId="15974" xr:uid="{00000000-0005-0000-0000-0000F8100000}"/>
    <cellStyle name="Normal 12 74" xfId="3939" xr:uid="{00000000-0005-0000-0000-0000F9100000}"/>
    <cellStyle name="Normal 12 74 2" xfId="15975" xr:uid="{00000000-0005-0000-0000-0000FA100000}"/>
    <cellStyle name="Normal 12 75" xfId="3940" xr:uid="{00000000-0005-0000-0000-0000FB100000}"/>
    <cellStyle name="Normal 12 75 2" xfId="15976" xr:uid="{00000000-0005-0000-0000-0000FC100000}"/>
    <cellStyle name="Normal 12 76" xfId="3941" xr:uid="{00000000-0005-0000-0000-0000FD100000}"/>
    <cellStyle name="Normal 12 76 2" xfId="15977" xr:uid="{00000000-0005-0000-0000-0000FE100000}"/>
    <cellStyle name="Normal 12 77" xfId="3942" xr:uid="{00000000-0005-0000-0000-0000FF100000}"/>
    <cellStyle name="Normal 12 77 2" xfId="15978" xr:uid="{00000000-0005-0000-0000-000000110000}"/>
    <cellStyle name="Normal 12 78" xfId="3943" xr:uid="{00000000-0005-0000-0000-000001110000}"/>
    <cellStyle name="Normal 12 78 2" xfId="15979" xr:uid="{00000000-0005-0000-0000-000002110000}"/>
    <cellStyle name="Normal 12 79" xfId="3944" xr:uid="{00000000-0005-0000-0000-000003110000}"/>
    <cellStyle name="Normal 12 79 2" xfId="15980" xr:uid="{00000000-0005-0000-0000-000004110000}"/>
    <cellStyle name="Normal 12 8" xfId="3945" xr:uid="{00000000-0005-0000-0000-000005110000}"/>
    <cellStyle name="Normal 12 8 2" xfId="15981" xr:uid="{00000000-0005-0000-0000-000006110000}"/>
    <cellStyle name="Normal 12 80" xfId="3946" xr:uid="{00000000-0005-0000-0000-000007110000}"/>
    <cellStyle name="Normal 12 80 2" xfId="15982" xr:uid="{00000000-0005-0000-0000-000008110000}"/>
    <cellStyle name="Normal 12 81" xfId="3947" xr:uid="{00000000-0005-0000-0000-000009110000}"/>
    <cellStyle name="Normal 12 81 2" xfId="15983" xr:uid="{00000000-0005-0000-0000-00000A110000}"/>
    <cellStyle name="Normal 12 82" xfId="3948" xr:uid="{00000000-0005-0000-0000-00000B110000}"/>
    <cellStyle name="Normal 12 82 2" xfId="15984" xr:uid="{00000000-0005-0000-0000-00000C110000}"/>
    <cellStyle name="Normal 12 83" xfId="2909" xr:uid="{00000000-0005-0000-0000-00000D110000}"/>
    <cellStyle name="Normal 12 9" xfId="3949" xr:uid="{00000000-0005-0000-0000-00000E110000}"/>
    <cellStyle name="Normal 12 9 2" xfId="15985" xr:uid="{00000000-0005-0000-0000-00000F110000}"/>
    <cellStyle name="Normal 120" xfId="245" xr:uid="{00000000-0005-0000-0000-000010110000}"/>
    <cellStyle name="Normal 120 2" xfId="672" xr:uid="{00000000-0005-0000-0000-000011110000}"/>
    <cellStyle name="Normal 120 3" xfId="461" xr:uid="{00000000-0005-0000-0000-000012110000}"/>
    <cellStyle name="Normal 121" xfId="246" xr:uid="{00000000-0005-0000-0000-000013110000}"/>
    <cellStyle name="Normal 121 2" xfId="673" xr:uid="{00000000-0005-0000-0000-000014110000}"/>
    <cellStyle name="Normal 121 3" xfId="462" xr:uid="{00000000-0005-0000-0000-000015110000}"/>
    <cellStyle name="Normal 122" xfId="247" xr:uid="{00000000-0005-0000-0000-000016110000}"/>
    <cellStyle name="Normal 122 2" xfId="674" xr:uid="{00000000-0005-0000-0000-000017110000}"/>
    <cellStyle name="Normal 122 3" xfId="463" xr:uid="{00000000-0005-0000-0000-000018110000}"/>
    <cellStyle name="Normal 123" xfId="248" xr:uid="{00000000-0005-0000-0000-000019110000}"/>
    <cellStyle name="Normal 123 2" xfId="675" xr:uid="{00000000-0005-0000-0000-00001A110000}"/>
    <cellStyle name="Normal 123 3" xfId="464" xr:uid="{00000000-0005-0000-0000-00001B110000}"/>
    <cellStyle name="Normal 124" xfId="249" xr:uid="{00000000-0005-0000-0000-00001C110000}"/>
    <cellStyle name="Normal 124 2" xfId="676" xr:uid="{00000000-0005-0000-0000-00001D110000}"/>
    <cellStyle name="Normal 124 3" xfId="465" xr:uid="{00000000-0005-0000-0000-00001E110000}"/>
    <cellStyle name="Normal 125" xfId="250" xr:uid="{00000000-0005-0000-0000-00001F110000}"/>
    <cellStyle name="Normal 125 2" xfId="677" xr:uid="{00000000-0005-0000-0000-000020110000}"/>
    <cellStyle name="Normal 125 3" xfId="466" xr:uid="{00000000-0005-0000-0000-000021110000}"/>
    <cellStyle name="Normal 126" xfId="251" xr:uid="{00000000-0005-0000-0000-000022110000}"/>
    <cellStyle name="Normal 126 2" xfId="678" xr:uid="{00000000-0005-0000-0000-000023110000}"/>
    <cellStyle name="Normal 126 3" xfId="467" xr:uid="{00000000-0005-0000-0000-000024110000}"/>
    <cellStyle name="Normal 127" xfId="252" xr:uid="{00000000-0005-0000-0000-000025110000}"/>
    <cellStyle name="Normal 127 2" xfId="679" xr:uid="{00000000-0005-0000-0000-000026110000}"/>
    <cellStyle name="Normal 127 3" xfId="468" xr:uid="{00000000-0005-0000-0000-000027110000}"/>
    <cellStyle name="Normal 128" xfId="253" xr:uid="{00000000-0005-0000-0000-000028110000}"/>
    <cellStyle name="Normal 128 2" xfId="680" xr:uid="{00000000-0005-0000-0000-000029110000}"/>
    <cellStyle name="Normal 128 3" xfId="469" xr:uid="{00000000-0005-0000-0000-00002A110000}"/>
    <cellStyle name="Normal 129" xfId="254" xr:uid="{00000000-0005-0000-0000-00002B110000}"/>
    <cellStyle name="Normal 129 2" xfId="811" xr:uid="{00000000-0005-0000-0000-00002C110000}"/>
    <cellStyle name="Normal 129 3" xfId="681" xr:uid="{00000000-0005-0000-0000-00002D110000}"/>
    <cellStyle name="Normal 129 4" xfId="470" xr:uid="{00000000-0005-0000-0000-00002E110000}"/>
    <cellStyle name="Normal 13" xfId="64" xr:uid="{00000000-0005-0000-0000-00002F110000}"/>
    <cellStyle name="Normal 13 10" xfId="3950" xr:uid="{00000000-0005-0000-0000-000030110000}"/>
    <cellStyle name="Normal 13 10 2" xfId="15986" xr:uid="{00000000-0005-0000-0000-000031110000}"/>
    <cellStyle name="Normal 13 11" xfId="3951" xr:uid="{00000000-0005-0000-0000-000032110000}"/>
    <cellStyle name="Normal 13 11 2" xfId="15987" xr:uid="{00000000-0005-0000-0000-000033110000}"/>
    <cellStyle name="Normal 13 12" xfId="3952" xr:uid="{00000000-0005-0000-0000-000034110000}"/>
    <cellStyle name="Normal 13 12 2" xfId="15988" xr:uid="{00000000-0005-0000-0000-000035110000}"/>
    <cellStyle name="Normal 13 13" xfId="3953" xr:uid="{00000000-0005-0000-0000-000036110000}"/>
    <cellStyle name="Normal 13 13 2" xfId="15989" xr:uid="{00000000-0005-0000-0000-000037110000}"/>
    <cellStyle name="Normal 13 14" xfId="3954" xr:uid="{00000000-0005-0000-0000-000038110000}"/>
    <cellStyle name="Normal 13 14 2" xfId="15990" xr:uid="{00000000-0005-0000-0000-000039110000}"/>
    <cellStyle name="Normal 13 15" xfId="3955" xr:uid="{00000000-0005-0000-0000-00003A110000}"/>
    <cellStyle name="Normal 13 15 2" xfId="15991" xr:uid="{00000000-0005-0000-0000-00003B110000}"/>
    <cellStyle name="Normal 13 16" xfId="3956" xr:uid="{00000000-0005-0000-0000-00003C110000}"/>
    <cellStyle name="Normal 13 16 2" xfId="15992" xr:uid="{00000000-0005-0000-0000-00003D110000}"/>
    <cellStyle name="Normal 13 17" xfId="3957" xr:uid="{00000000-0005-0000-0000-00003E110000}"/>
    <cellStyle name="Normal 13 17 2" xfId="15993" xr:uid="{00000000-0005-0000-0000-00003F110000}"/>
    <cellStyle name="Normal 13 18" xfId="3958" xr:uid="{00000000-0005-0000-0000-000040110000}"/>
    <cellStyle name="Normal 13 18 2" xfId="15994" xr:uid="{00000000-0005-0000-0000-000041110000}"/>
    <cellStyle name="Normal 13 19" xfId="3959" xr:uid="{00000000-0005-0000-0000-000042110000}"/>
    <cellStyle name="Normal 13 19 2" xfId="15995" xr:uid="{00000000-0005-0000-0000-000043110000}"/>
    <cellStyle name="Normal 13 2" xfId="160" xr:uid="{00000000-0005-0000-0000-000044110000}"/>
    <cellStyle name="Normal 13 2 10" xfId="3960" xr:uid="{00000000-0005-0000-0000-000045110000}"/>
    <cellStyle name="Normal 13 2 10 2" xfId="15996" xr:uid="{00000000-0005-0000-0000-000046110000}"/>
    <cellStyle name="Normal 13 2 11" xfId="3961" xr:uid="{00000000-0005-0000-0000-000047110000}"/>
    <cellStyle name="Normal 13 2 11 2" xfId="15997" xr:uid="{00000000-0005-0000-0000-000048110000}"/>
    <cellStyle name="Normal 13 2 12" xfId="3962" xr:uid="{00000000-0005-0000-0000-000049110000}"/>
    <cellStyle name="Normal 13 2 12 2" xfId="15998" xr:uid="{00000000-0005-0000-0000-00004A110000}"/>
    <cellStyle name="Normal 13 2 13" xfId="3963" xr:uid="{00000000-0005-0000-0000-00004B110000}"/>
    <cellStyle name="Normal 13 2 13 2" xfId="15999" xr:uid="{00000000-0005-0000-0000-00004C110000}"/>
    <cellStyle name="Normal 13 2 14" xfId="3964" xr:uid="{00000000-0005-0000-0000-00004D110000}"/>
    <cellStyle name="Normal 13 2 14 2" xfId="16000" xr:uid="{00000000-0005-0000-0000-00004E110000}"/>
    <cellStyle name="Normal 13 2 15" xfId="3965" xr:uid="{00000000-0005-0000-0000-00004F110000}"/>
    <cellStyle name="Normal 13 2 15 2" xfId="16001" xr:uid="{00000000-0005-0000-0000-000050110000}"/>
    <cellStyle name="Normal 13 2 16" xfId="3966" xr:uid="{00000000-0005-0000-0000-000051110000}"/>
    <cellStyle name="Normal 13 2 16 2" xfId="16002" xr:uid="{00000000-0005-0000-0000-000052110000}"/>
    <cellStyle name="Normal 13 2 17" xfId="3967" xr:uid="{00000000-0005-0000-0000-000053110000}"/>
    <cellStyle name="Normal 13 2 17 2" xfId="16003" xr:uid="{00000000-0005-0000-0000-000054110000}"/>
    <cellStyle name="Normal 13 2 18" xfId="3968" xr:uid="{00000000-0005-0000-0000-000055110000}"/>
    <cellStyle name="Normal 13 2 18 2" xfId="16004" xr:uid="{00000000-0005-0000-0000-000056110000}"/>
    <cellStyle name="Normal 13 2 19" xfId="3969" xr:uid="{00000000-0005-0000-0000-000057110000}"/>
    <cellStyle name="Normal 13 2 19 2" xfId="16005" xr:uid="{00000000-0005-0000-0000-000058110000}"/>
    <cellStyle name="Normal 13 2 2" xfId="1599" xr:uid="{00000000-0005-0000-0000-000059110000}"/>
    <cellStyle name="Normal 13 2 2 2" xfId="15021" xr:uid="{00000000-0005-0000-0000-00005A110000}"/>
    <cellStyle name="Normal 13 2 20" xfId="3970" xr:uid="{00000000-0005-0000-0000-00005B110000}"/>
    <cellStyle name="Normal 13 2 20 2" xfId="16006" xr:uid="{00000000-0005-0000-0000-00005C110000}"/>
    <cellStyle name="Normal 13 2 21" xfId="3971" xr:uid="{00000000-0005-0000-0000-00005D110000}"/>
    <cellStyle name="Normal 13 2 21 2" xfId="16007" xr:uid="{00000000-0005-0000-0000-00005E110000}"/>
    <cellStyle name="Normal 13 2 22" xfId="3972" xr:uid="{00000000-0005-0000-0000-00005F110000}"/>
    <cellStyle name="Normal 13 2 22 2" xfId="16008" xr:uid="{00000000-0005-0000-0000-000060110000}"/>
    <cellStyle name="Normal 13 2 23" xfId="3973" xr:uid="{00000000-0005-0000-0000-000061110000}"/>
    <cellStyle name="Normal 13 2 23 2" xfId="16009" xr:uid="{00000000-0005-0000-0000-000062110000}"/>
    <cellStyle name="Normal 13 2 24" xfId="3974" xr:uid="{00000000-0005-0000-0000-000063110000}"/>
    <cellStyle name="Normal 13 2 24 2" xfId="16010" xr:uid="{00000000-0005-0000-0000-000064110000}"/>
    <cellStyle name="Normal 13 2 25" xfId="3975" xr:uid="{00000000-0005-0000-0000-000065110000}"/>
    <cellStyle name="Normal 13 2 25 2" xfId="16011" xr:uid="{00000000-0005-0000-0000-000066110000}"/>
    <cellStyle name="Normal 13 2 26" xfId="3976" xr:uid="{00000000-0005-0000-0000-000067110000}"/>
    <cellStyle name="Normal 13 2 26 2" xfId="16012" xr:uid="{00000000-0005-0000-0000-000068110000}"/>
    <cellStyle name="Normal 13 2 27" xfId="3977" xr:uid="{00000000-0005-0000-0000-000069110000}"/>
    <cellStyle name="Normal 13 2 27 2" xfId="16013" xr:uid="{00000000-0005-0000-0000-00006A110000}"/>
    <cellStyle name="Normal 13 2 28" xfId="3978" xr:uid="{00000000-0005-0000-0000-00006B110000}"/>
    <cellStyle name="Normal 13 2 28 2" xfId="16014" xr:uid="{00000000-0005-0000-0000-00006C110000}"/>
    <cellStyle name="Normal 13 2 29" xfId="3979" xr:uid="{00000000-0005-0000-0000-00006D110000}"/>
    <cellStyle name="Normal 13 2 29 2" xfId="16015" xr:uid="{00000000-0005-0000-0000-00006E110000}"/>
    <cellStyle name="Normal 13 2 3" xfId="3980" xr:uid="{00000000-0005-0000-0000-00006F110000}"/>
    <cellStyle name="Normal 13 2 3 2" xfId="16016" xr:uid="{00000000-0005-0000-0000-000070110000}"/>
    <cellStyle name="Normal 13 2 30" xfId="3981" xr:uid="{00000000-0005-0000-0000-000071110000}"/>
    <cellStyle name="Normal 13 2 30 2" xfId="16017" xr:uid="{00000000-0005-0000-0000-000072110000}"/>
    <cellStyle name="Normal 13 2 31" xfId="3982" xr:uid="{00000000-0005-0000-0000-000073110000}"/>
    <cellStyle name="Normal 13 2 31 2" xfId="16018" xr:uid="{00000000-0005-0000-0000-000074110000}"/>
    <cellStyle name="Normal 13 2 32" xfId="3983" xr:uid="{00000000-0005-0000-0000-000075110000}"/>
    <cellStyle name="Normal 13 2 32 2" xfId="16019" xr:uid="{00000000-0005-0000-0000-000076110000}"/>
    <cellStyle name="Normal 13 2 33" xfId="3984" xr:uid="{00000000-0005-0000-0000-000077110000}"/>
    <cellStyle name="Normal 13 2 33 2" xfId="16020" xr:uid="{00000000-0005-0000-0000-000078110000}"/>
    <cellStyle name="Normal 13 2 34" xfId="3985" xr:uid="{00000000-0005-0000-0000-000079110000}"/>
    <cellStyle name="Normal 13 2 34 2" xfId="16021" xr:uid="{00000000-0005-0000-0000-00007A110000}"/>
    <cellStyle name="Normal 13 2 35" xfId="3986" xr:uid="{00000000-0005-0000-0000-00007B110000}"/>
    <cellStyle name="Normal 13 2 35 2" xfId="16022" xr:uid="{00000000-0005-0000-0000-00007C110000}"/>
    <cellStyle name="Normal 13 2 36" xfId="3987" xr:uid="{00000000-0005-0000-0000-00007D110000}"/>
    <cellStyle name="Normal 13 2 36 2" xfId="16023" xr:uid="{00000000-0005-0000-0000-00007E110000}"/>
    <cellStyle name="Normal 13 2 37" xfId="3988" xr:uid="{00000000-0005-0000-0000-00007F110000}"/>
    <cellStyle name="Normal 13 2 37 2" xfId="16024" xr:uid="{00000000-0005-0000-0000-000080110000}"/>
    <cellStyle name="Normal 13 2 38" xfId="3989" xr:uid="{00000000-0005-0000-0000-000081110000}"/>
    <cellStyle name="Normal 13 2 38 2" xfId="16025" xr:uid="{00000000-0005-0000-0000-000082110000}"/>
    <cellStyle name="Normal 13 2 39" xfId="3990" xr:uid="{00000000-0005-0000-0000-000083110000}"/>
    <cellStyle name="Normal 13 2 39 2" xfId="16026" xr:uid="{00000000-0005-0000-0000-000084110000}"/>
    <cellStyle name="Normal 13 2 4" xfId="3991" xr:uid="{00000000-0005-0000-0000-000085110000}"/>
    <cellStyle name="Normal 13 2 4 2" xfId="16027" xr:uid="{00000000-0005-0000-0000-000086110000}"/>
    <cellStyle name="Normal 13 2 40" xfId="3992" xr:uid="{00000000-0005-0000-0000-000087110000}"/>
    <cellStyle name="Normal 13 2 40 2" xfId="16028" xr:uid="{00000000-0005-0000-0000-000088110000}"/>
    <cellStyle name="Normal 13 2 41" xfId="3993" xr:uid="{00000000-0005-0000-0000-000089110000}"/>
    <cellStyle name="Normal 13 2 41 2" xfId="16029" xr:uid="{00000000-0005-0000-0000-00008A110000}"/>
    <cellStyle name="Normal 13 2 42" xfId="3994" xr:uid="{00000000-0005-0000-0000-00008B110000}"/>
    <cellStyle name="Normal 13 2 42 2" xfId="16030" xr:uid="{00000000-0005-0000-0000-00008C110000}"/>
    <cellStyle name="Normal 13 2 43" xfId="3995" xr:uid="{00000000-0005-0000-0000-00008D110000}"/>
    <cellStyle name="Normal 13 2 43 2" xfId="16031" xr:uid="{00000000-0005-0000-0000-00008E110000}"/>
    <cellStyle name="Normal 13 2 44" xfId="3996" xr:uid="{00000000-0005-0000-0000-00008F110000}"/>
    <cellStyle name="Normal 13 2 44 2" xfId="16032" xr:uid="{00000000-0005-0000-0000-000090110000}"/>
    <cellStyle name="Normal 13 2 45" xfId="3997" xr:uid="{00000000-0005-0000-0000-000091110000}"/>
    <cellStyle name="Normal 13 2 45 2" xfId="16033" xr:uid="{00000000-0005-0000-0000-000092110000}"/>
    <cellStyle name="Normal 13 2 46" xfId="3998" xr:uid="{00000000-0005-0000-0000-000093110000}"/>
    <cellStyle name="Normal 13 2 46 2" xfId="16034" xr:uid="{00000000-0005-0000-0000-000094110000}"/>
    <cellStyle name="Normal 13 2 47" xfId="3999" xr:uid="{00000000-0005-0000-0000-000095110000}"/>
    <cellStyle name="Normal 13 2 47 2" xfId="16035" xr:uid="{00000000-0005-0000-0000-000096110000}"/>
    <cellStyle name="Normal 13 2 48" xfId="4000" xr:uid="{00000000-0005-0000-0000-000097110000}"/>
    <cellStyle name="Normal 13 2 48 2" xfId="16036" xr:uid="{00000000-0005-0000-0000-000098110000}"/>
    <cellStyle name="Normal 13 2 49" xfId="4001" xr:uid="{00000000-0005-0000-0000-000099110000}"/>
    <cellStyle name="Normal 13 2 49 2" xfId="16037" xr:uid="{00000000-0005-0000-0000-00009A110000}"/>
    <cellStyle name="Normal 13 2 5" xfId="4002" xr:uid="{00000000-0005-0000-0000-00009B110000}"/>
    <cellStyle name="Normal 13 2 5 2" xfId="16038" xr:uid="{00000000-0005-0000-0000-00009C110000}"/>
    <cellStyle name="Normal 13 2 50" xfId="4003" xr:uid="{00000000-0005-0000-0000-00009D110000}"/>
    <cellStyle name="Normal 13 2 50 2" xfId="16039" xr:uid="{00000000-0005-0000-0000-00009E110000}"/>
    <cellStyle name="Normal 13 2 51" xfId="4004" xr:uid="{00000000-0005-0000-0000-00009F110000}"/>
    <cellStyle name="Normal 13 2 51 2" xfId="16040" xr:uid="{00000000-0005-0000-0000-0000A0110000}"/>
    <cellStyle name="Normal 13 2 52" xfId="4005" xr:uid="{00000000-0005-0000-0000-0000A1110000}"/>
    <cellStyle name="Normal 13 2 52 2" xfId="16041" xr:uid="{00000000-0005-0000-0000-0000A2110000}"/>
    <cellStyle name="Normal 13 2 53" xfId="4006" xr:uid="{00000000-0005-0000-0000-0000A3110000}"/>
    <cellStyle name="Normal 13 2 53 2" xfId="16042" xr:uid="{00000000-0005-0000-0000-0000A4110000}"/>
    <cellStyle name="Normal 13 2 54" xfId="4007" xr:uid="{00000000-0005-0000-0000-0000A5110000}"/>
    <cellStyle name="Normal 13 2 54 2" xfId="16043" xr:uid="{00000000-0005-0000-0000-0000A6110000}"/>
    <cellStyle name="Normal 13 2 55" xfId="4008" xr:uid="{00000000-0005-0000-0000-0000A7110000}"/>
    <cellStyle name="Normal 13 2 55 2" xfId="16044" xr:uid="{00000000-0005-0000-0000-0000A8110000}"/>
    <cellStyle name="Normal 13 2 56" xfId="4009" xr:uid="{00000000-0005-0000-0000-0000A9110000}"/>
    <cellStyle name="Normal 13 2 56 2" xfId="16045" xr:uid="{00000000-0005-0000-0000-0000AA110000}"/>
    <cellStyle name="Normal 13 2 57" xfId="4010" xr:uid="{00000000-0005-0000-0000-0000AB110000}"/>
    <cellStyle name="Normal 13 2 57 2" xfId="16046" xr:uid="{00000000-0005-0000-0000-0000AC110000}"/>
    <cellStyle name="Normal 13 2 58" xfId="4011" xr:uid="{00000000-0005-0000-0000-0000AD110000}"/>
    <cellStyle name="Normal 13 2 58 2" xfId="16047" xr:uid="{00000000-0005-0000-0000-0000AE110000}"/>
    <cellStyle name="Normal 13 2 59" xfId="4012" xr:uid="{00000000-0005-0000-0000-0000AF110000}"/>
    <cellStyle name="Normal 13 2 59 2" xfId="16048" xr:uid="{00000000-0005-0000-0000-0000B0110000}"/>
    <cellStyle name="Normal 13 2 6" xfId="4013" xr:uid="{00000000-0005-0000-0000-0000B1110000}"/>
    <cellStyle name="Normal 13 2 6 2" xfId="16049" xr:uid="{00000000-0005-0000-0000-0000B2110000}"/>
    <cellStyle name="Normal 13 2 60" xfId="4014" xr:uid="{00000000-0005-0000-0000-0000B3110000}"/>
    <cellStyle name="Normal 13 2 60 2" xfId="16050" xr:uid="{00000000-0005-0000-0000-0000B4110000}"/>
    <cellStyle name="Normal 13 2 61" xfId="4015" xr:uid="{00000000-0005-0000-0000-0000B5110000}"/>
    <cellStyle name="Normal 13 2 61 2" xfId="16051" xr:uid="{00000000-0005-0000-0000-0000B6110000}"/>
    <cellStyle name="Normal 13 2 62" xfId="4016" xr:uid="{00000000-0005-0000-0000-0000B7110000}"/>
    <cellStyle name="Normal 13 2 62 2" xfId="16052" xr:uid="{00000000-0005-0000-0000-0000B8110000}"/>
    <cellStyle name="Normal 13 2 63" xfId="4017" xr:uid="{00000000-0005-0000-0000-0000B9110000}"/>
    <cellStyle name="Normal 13 2 63 2" xfId="16053" xr:uid="{00000000-0005-0000-0000-0000BA110000}"/>
    <cellStyle name="Normal 13 2 64" xfId="4018" xr:uid="{00000000-0005-0000-0000-0000BB110000}"/>
    <cellStyle name="Normal 13 2 64 2" xfId="16054" xr:uid="{00000000-0005-0000-0000-0000BC110000}"/>
    <cellStyle name="Normal 13 2 65" xfId="4019" xr:uid="{00000000-0005-0000-0000-0000BD110000}"/>
    <cellStyle name="Normal 13 2 65 2" xfId="16055" xr:uid="{00000000-0005-0000-0000-0000BE110000}"/>
    <cellStyle name="Normal 13 2 66" xfId="4020" xr:uid="{00000000-0005-0000-0000-0000BF110000}"/>
    <cellStyle name="Normal 13 2 66 2" xfId="16056" xr:uid="{00000000-0005-0000-0000-0000C0110000}"/>
    <cellStyle name="Normal 13 2 67" xfId="4021" xr:uid="{00000000-0005-0000-0000-0000C1110000}"/>
    <cellStyle name="Normal 13 2 67 2" xfId="16057" xr:uid="{00000000-0005-0000-0000-0000C2110000}"/>
    <cellStyle name="Normal 13 2 68" xfId="4022" xr:uid="{00000000-0005-0000-0000-0000C3110000}"/>
    <cellStyle name="Normal 13 2 68 2" xfId="16058" xr:uid="{00000000-0005-0000-0000-0000C4110000}"/>
    <cellStyle name="Normal 13 2 69" xfId="4023" xr:uid="{00000000-0005-0000-0000-0000C5110000}"/>
    <cellStyle name="Normal 13 2 69 2" xfId="16059" xr:uid="{00000000-0005-0000-0000-0000C6110000}"/>
    <cellStyle name="Normal 13 2 7" xfId="4024" xr:uid="{00000000-0005-0000-0000-0000C7110000}"/>
    <cellStyle name="Normal 13 2 7 2" xfId="16060" xr:uid="{00000000-0005-0000-0000-0000C8110000}"/>
    <cellStyle name="Normal 13 2 70" xfId="4025" xr:uid="{00000000-0005-0000-0000-0000C9110000}"/>
    <cellStyle name="Normal 13 2 70 2" xfId="16061" xr:uid="{00000000-0005-0000-0000-0000CA110000}"/>
    <cellStyle name="Normal 13 2 71" xfId="4026" xr:uid="{00000000-0005-0000-0000-0000CB110000}"/>
    <cellStyle name="Normal 13 2 71 2" xfId="16062" xr:uid="{00000000-0005-0000-0000-0000CC110000}"/>
    <cellStyle name="Normal 13 2 72" xfId="4027" xr:uid="{00000000-0005-0000-0000-0000CD110000}"/>
    <cellStyle name="Normal 13 2 72 2" xfId="16063" xr:uid="{00000000-0005-0000-0000-0000CE110000}"/>
    <cellStyle name="Normal 13 2 73" xfId="4028" xr:uid="{00000000-0005-0000-0000-0000CF110000}"/>
    <cellStyle name="Normal 13 2 73 2" xfId="16064" xr:uid="{00000000-0005-0000-0000-0000D0110000}"/>
    <cellStyle name="Normal 13 2 74" xfId="4029" xr:uid="{00000000-0005-0000-0000-0000D1110000}"/>
    <cellStyle name="Normal 13 2 74 2" xfId="16065" xr:uid="{00000000-0005-0000-0000-0000D2110000}"/>
    <cellStyle name="Normal 13 2 75" xfId="4030" xr:uid="{00000000-0005-0000-0000-0000D3110000}"/>
    <cellStyle name="Normal 13 2 75 2" xfId="16066" xr:uid="{00000000-0005-0000-0000-0000D4110000}"/>
    <cellStyle name="Normal 13 2 76" xfId="4031" xr:uid="{00000000-0005-0000-0000-0000D5110000}"/>
    <cellStyle name="Normal 13 2 76 2" xfId="16067" xr:uid="{00000000-0005-0000-0000-0000D6110000}"/>
    <cellStyle name="Normal 13 2 77" xfId="4032" xr:uid="{00000000-0005-0000-0000-0000D7110000}"/>
    <cellStyle name="Normal 13 2 77 2" xfId="16068" xr:uid="{00000000-0005-0000-0000-0000D8110000}"/>
    <cellStyle name="Normal 13 2 78" xfId="4033" xr:uid="{00000000-0005-0000-0000-0000D9110000}"/>
    <cellStyle name="Normal 13 2 78 2" xfId="16069" xr:uid="{00000000-0005-0000-0000-0000DA110000}"/>
    <cellStyle name="Normal 13 2 79" xfId="4034" xr:uid="{00000000-0005-0000-0000-0000DB110000}"/>
    <cellStyle name="Normal 13 2 79 2" xfId="16070" xr:uid="{00000000-0005-0000-0000-0000DC110000}"/>
    <cellStyle name="Normal 13 2 8" xfId="4035" xr:uid="{00000000-0005-0000-0000-0000DD110000}"/>
    <cellStyle name="Normal 13 2 8 2" xfId="16071" xr:uid="{00000000-0005-0000-0000-0000DE110000}"/>
    <cellStyle name="Normal 13 2 80" xfId="15020" xr:uid="{00000000-0005-0000-0000-0000DF110000}"/>
    <cellStyle name="Normal 13 2 81" xfId="1598" xr:uid="{00000000-0005-0000-0000-0000E0110000}"/>
    <cellStyle name="Normal 13 2 9" xfId="4036" xr:uid="{00000000-0005-0000-0000-0000E1110000}"/>
    <cellStyle name="Normal 13 2 9 2" xfId="16072" xr:uid="{00000000-0005-0000-0000-0000E2110000}"/>
    <cellStyle name="Normal 13 20" xfId="4037" xr:uid="{00000000-0005-0000-0000-0000E3110000}"/>
    <cellStyle name="Normal 13 20 2" xfId="16073" xr:uid="{00000000-0005-0000-0000-0000E4110000}"/>
    <cellStyle name="Normal 13 21" xfId="4038" xr:uid="{00000000-0005-0000-0000-0000E5110000}"/>
    <cellStyle name="Normal 13 21 2" xfId="16074" xr:uid="{00000000-0005-0000-0000-0000E6110000}"/>
    <cellStyle name="Normal 13 22" xfId="4039" xr:uid="{00000000-0005-0000-0000-0000E7110000}"/>
    <cellStyle name="Normal 13 22 2" xfId="16075" xr:uid="{00000000-0005-0000-0000-0000E8110000}"/>
    <cellStyle name="Normal 13 23" xfId="4040" xr:uid="{00000000-0005-0000-0000-0000E9110000}"/>
    <cellStyle name="Normal 13 23 2" xfId="16076" xr:uid="{00000000-0005-0000-0000-0000EA110000}"/>
    <cellStyle name="Normal 13 24" xfId="4041" xr:uid="{00000000-0005-0000-0000-0000EB110000}"/>
    <cellStyle name="Normal 13 24 2" xfId="16077" xr:uid="{00000000-0005-0000-0000-0000EC110000}"/>
    <cellStyle name="Normal 13 25" xfId="4042" xr:uid="{00000000-0005-0000-0000-0000ED110000}"/>
    <cellStyle name="Normal 13 25 2" xfId="16078" xr:uid="{00000000-0005-0000-0000-0000EE110000}"/>
    <cellStyle name="Normal 13 26" xfId="4043" xr:uid="{00000000-0005-0000-0000-0000EF110000}"/>
    <cellStyle name="Normal 13 26 2" xfId="16079" xr:uid="{00000000-0005-0000-0000-0000F0110000}"/>
    <cellStyle name="Normal 13 27" xfId="4044" xr:uid="{00000000-0005-0000-0000-0000F1110000}"/>
    <cellStyle name="Normal 13 27 2" xfId="16080" xr:uid="{00000000-0005-0000-0000-0000F2110000}"/>
    <cellStyle name="Normal 13 28" xfId="4045" xr:uid="{00000000-0005-0000-0000-0000F3110000}"/>
    <cellStyle name="Normal 13 28 2" xfId="16081" xr:uid="{00000000-0005-0000-0000-0000F4110000}"/>
    <cellStyle name="Normal 13 29" xfId="4046" xr:uid="{00000000-0005-0000-0000-0000F5110000}"/>
    <cellStyle name="Normal 13 29 2" xfId="16082" xr:uid="{00000000-0005-0000-0000-0000F6110000}"/>
    <cellStyle name="Normal 13 3" xfId="682" xr:uid="{00000000-0005-0000-0000-0000F7110000}"/>
    <cellStyle name="Normal 13 3 10" xfId="4047" xr:uid="{00000000-0005-0000-0000-0000F8110000}"/>
    <cellStyle name="Normal 13 3 10 2" xfId="16083" xr:uid="{00000000-0005-0000-0000-0000F9110000}"/>
    <cellStyle name="Normal 13 3 11" xfId="4048" xr:uid="{00000000-0005-0000-0000-0000FA110000}"/>
    <cellStyle name="Normal 13 3 11 2" xfId="16084" xr:uid="{00000000-0005-0000-0000-0000FB110000}"/>
    <cellStyle name="Normal 13 3 12" xfId="4049" xr:uid="{00000000-0005-0000-0000-0000FC110000}"/>
    <cellStyle name="Normal 13 3 12 2" xfId="16085" xr:uid="{00000000-0005-0000-0000-0000FD110000}"/>
    <cellStyle name="Normal 13 3 13" xfId="4050" xr:uid="{00000000-0005-0000-0000-0000FE110000}"/>
    <cellStyle name="Normal 13 3 13 2" xfId="16086" xr:uid="{00000000-0005-0000-0000-0000FF110000}"/>
    <cellStyle name="Normal 13 3 14" xfId="4051" xr:uid="{00000000-0005-0000-0000-000000120000}"/>
    <cellStyle name="Normal 13 3 14 2" xfId="16087" xr:uid="{00000000-0005-0000-0000-000001120000}"/>
    <cellStyle name="Normal 13 3 15" xfId="4052" xr:uid="{00000000-0005-0000-0000-000002120000}"/>
    <cellStyle name="Normal 13 3 15 2" xfId="16088" xr:uid="{00000000-0005-0000-0000-000003120000}"/>
    <cellStyle name="Normal 13 3 16" xfId="4053" xr:uid="{00000000-0005-0000-0000-000004120000}"/>
    <cellStyle name="Normal 13 3 16 2" xfId="16089" xr:uid="{00000000-0005-0000-0000-000005120000}"/>
    <cellStyle name="Normal 13 3 17" xfId="4054" xr:uid="{00000000-0005-0000-0000-000006120000}"/>
    <cellStyle name="Normal 13 3 17 2" xfId="16090" xr:uid="{00000000-0005-0000-0000-000007120000}"/>
    <cellStyle name="Normal 13 3 18" xfId="4055" xr:uid="{00000000-0005-0000-0000-000008120000}"/>
    <cellStyle name="Normal 13 3 18 2" xfId="16091" xr:uid="{00000000-0005-0000-0000-000009120000}"/>
    <cellStyle name="Normal 13 3 19" xfId="4056" xr:uid="{00000000-0005-0000-0000-00000A120000}"/>
    <cellStyle name="Normal 13 3 19 2" xfId="16092" xr:uid="{00000000-0005-0000-0000-00000B120000}"/>
    <cellStyle name="Normal 13 3 2" xfId="1601" xr:uid="{00000000-0005-0000-0000-00000C120000}"/>
    <cellStyle name="Normal 13 3 2 2" xfId="15023" xr:uid="{00000000-0005-0000-0000-00000D120000}"/>
    <cellStyle name="Normal 13 3 20" xfId="4057" xr:uid="{00000000-0005-0000-0000-00000E120000}"/>
    <cellStyle name="Normal 13 3 20 2" xfId="16093" xr:uid="{00000000-0005-0000-0000-00000F120000}"/>
    <cellStyle name="Normal 13 3 21" xfId="4058" xr:uid="{00000000-0005-0000-0000-000010120000}"/>
    <cellStyle name="Normal 13 3 21 2" xfId="16094" xr:uid="{00000000-0005-0000-0000-000011120000}"/>
    <cellStyle name="Normal 13 3 22" xfId="4059" xr:uid="{00000000-0005-0000-0000-000012120000}"/>
    <cellStyle name="Normal 13 3 22 2" xfId="16095" xr:uid="{00000000-0005-0000-0000-000013120000}"/>
    <cellStyle name="Normal 13 3 23" xfId="4060" xr:uid="{00000000-0005-0000-0000-000014120000}"/>
    <cellStyle name="Normal 13 3 23 2" xfId="16096" xr:uid="{00000000-0005-0000-0000-000015120000}"/>
    <cellStyle name="Normal 13 3 24" xfId="4061" xr:uid="{00000000-0005-0000-0000-000016120000}"/>
    <cellStyle name="Normal 13 3 24 2" xfId="16097" xr:uid="{00000000-0005-0000-0000-000017120000}"/>
    <cellStyle name="Normal 13 3 25" xfId="4062" xr:uid="{00000000-0005-0000-0000-000018120000}"/>
    <cellStyle name="Normal 13 3 25 2" xfId="16098" xr:uid="{00000000-0005-0000-0000-000019120000}"/>
    <cellStyle name="Normal 13 3 26" xfId="4063" xr:uid="{00000000-0005-0000-0000-00001A120000}"/>
    <cellStyle name="Normal 13 3 26 2" xfId="16099" xr:uid="{00000000-0005-0000-0000-00001B120000}"/>
    <cellStyle name="Normal 13 3 27" xfId="4064" xr:uid="{00000000-0005-0000-0000-00001C120000}"/>
    <cellStyle name="Normal 13 3 27 2" xfId="16100" xr:uid="{00000000-0005-0000-0000-00001D120000}"/>
    <cellStyle name="Normal 13 3 28" xfId="4065" xr:uid="{00000000-0005-0000-0000-00001E120000}"/>
    <cellStyle name="Normal 13 3 28 2" xfId="16101" xr:uid="{00000000-0005-0000-0000-00001F120000}"/>
    <cellStyle name="Normal 13 3 29" xfId="4066" xr:uid="{00000000-0005-0000-0000-000020120000}"/>
    <cellStyle name="Normal 13 3 29 2" xfId="16102" xr:uid="{00000000-0005-0000-0000-000021120000}"/>
    <cellStyle name="Normal 13 3 3" xfId="4067" xr:uid="{00000000-0005-0000-0000-000022120000}"/>
    <cellStyle name="Normal 13 3 3 2" xfId="16103" xr:uid="{00000000-0005-0000-0000-000023120000}"/>
    <cellStyle name="Normal 13 3 30" xfId="4068" xr:uid="{00000000-0005-0000-0000-000024120000}"/>
    <cellStyle name="Normal 13 3 30 2" xfId="16104" xr:uid="{00000000-0005-0000-0000-000025120000}"/>
    <cellStyle name="Normal 13 3 31" xfId="4069" xr:uid="{00000000-0005-0000-0000-000026120000}"/>
    <cellStyle name="Normal 13 3 31 2" xfId="16105" xr:uid="{00000000-0005-0000-0000-000027120000}"/>
    <cellStyle name="Normal 13 3 32" xfId="4070" xr:uid="{00000000-0005-0000-0000-000028120000}"/>
    <cellStyle name="Normal 13 3 32 2" xfId="16106" xr:uid="{00000000-0005-0000-0000-000029120000}"/>
    <cellStyle name="Normal 13 3 33" xfId="4071" xr:uid="{00000000-0005-0000-0000-00002A120000}"/>
    <cellStyle name="Normal 13 3 33 2" xfId="16107" xr:uid="{00000000-0005-0000-0000-00002B120000}"/>
    <cellStyle name="Normal 13 3 34" xfId="4072" xr:uid="{00000000-0005-0000-0000-00002C120000}"/>
    <cellStyle name="Normal 13 3 34 2" xfId="16108" xr:uid="{00000000-0005-0000-0000-00002D120000}"/>
    <cellStyle name="Normal 13 3 35" xfId="4073" xr:uid="{00000000-0005-0000-0000-00002E120000}"/>
    <cellStyle name="Normal 13 3 35 2" xfId="16109" xr:uid="{00000000-0005-0000-0000-00002F120000}"/>
    <cellStyle name="Normal 13 3 36" xfId="4074" xr:uid="{00000000-0005-0000-0000-000030120000}"/>
    <cellStyle name="Normal 13 3 36 2" xfId="16110" xr:uid="{00000000-0005-0000-0000-000031120000}"/>
    <cellStyle name="Normal 13 3 37" xfId="4075" xr:uid="{00000000-0005-0000-0000-000032120000}"/>
    <cellStyle name="Normal 13 3 37 2" xfId="16111" xr:uid="{00000000-0005-0000-0000-000033120000}"/>
    <cellStyle name="Normal 13 3 38" xfId="4076" xr:uid="{00000000-0005-0000-0000-000034120000}"/>
    <cellStyle name="Normal 13 3 38 2" xfId="16112" xr:uid="{00000000-0005-0000-0000-000035120000}"/>
    <cellStyle name="Normal 13 3 39" xfId="4077" xr:uid="{00000000-0005-0000-0000-000036120000}"/>
    <cellStyle name="Normal 13 3 39 2" xfId="16113" xr:uid="{00000000-0005-0000-0000-000037120000}"/>
    <cellStyle name="Normal 13 3 4" xfId="4078" xr:uid="{00000000-0005-0000-0000-000038120000}"/>
    <cellStyle name="Normal 13 3 4 2" xfId="16114" xr:uid="{00000000-0005-0000-0000-000039120000}"/>
    <cellStyle name="Normal 13 3 40" xfId="4079" xr:uid="{00000000-0005-0000-0000-00003A120000}"/>
    <cellStyle name="Normal 13 3 40 2" xfId="16115" xr:uid="{00000000-0005-0000-0000-00003B120000}"/>
    <cellStyle name="Normal 13 3 41" xfId="4080" xr:uid="{00000000-0005-0000-0000-00003C120000}"/>
    <cellStyle name="Normal 13 3 41 2" xfId="16116" xr:uid="{00000000-0005-0000-0000-00003D120000}"/>
    <cellStyle name="Normal 13 3 42" xfId="4081" xr:uid="{00000000-0005-0000-0000-00003E120000}"/>
    <cellStyle name="Normal 13 3 42 2" xfId="16117" xr:uid="{00000000-0005-0000-0000-00003F120000}"/>
    <cellStyle name="Normal 13 3 43" xfId="4082" xr:uid="{00000000-0005-0000-0000-000040120000}"/>
    <cellStyle name="Normal 13 3 43 2" xfId="16118" xr:uid="{00000000-0005-0000-0000-000041120000}"/>
    <cellStyle name="Normal 13 3 44" xfId="4083" xr:uid="{00000000-0005-0000-0000-000042120000}"/>
    <cellStyle name="Normal 13 3 44 2" xfId="16119" xr:uid="{00000000-0005-0000-0000-000043120000}"/>
    <cellStyle name="Normal 13 3 45" xfId="4084" xr:uid="{00000000-0005-0000-0000-000044120000}"/>
    <cellStyle name="Normal 13 3 45 2" xfId="16120" xr:uid="{00000000-0005-0000-0000-000045120000}"/>
    <cellStyle name="Normal 13 3 46" xfId="4085" xr:uid="{00000000-0005-0000-0000-000046120000}"/>
    <cellStyle name="Normal 13 3 46 2" xfId="16121" xr:uid="{00000000-0005-0000-0000-000047120000}"/>
    <cellStyle name="Normal 13 3 47" xfId="4086" xr:uid="{00000000-0005-0000-0000-000048120000}"/>
    <cellStyle name="Normal 13 3 47 2" xfId="16122" xr:uid="{00000000-0005-0000-0000-000049120000}"/>
    <cellStyle name="Normal 13 3 48" xfId="4087" xr:uid="{00000000-0005-0000-0000-00004A120000}"/>
    <cellStyle name="Normal 13 3 48 2" xfId="16123" xr:uid="{00000000-0005-0000-0000-00004B120000}"/>
    <cellStyle name="Normal 13 3 49" xfId="4088" xr:uid="{00000000-0005-0000-0000-00004C120000}"/>
    <cellStyle name="Normal 13 3 49 2" xfId="16124" xr:uid="{00000000-0005-0000-0000-00004D120000}"/>
    <cellStyle name="Normal 13 3 5" xfId="4089" xr:uid="{00000000-0005-0000-0000-00004E120000}"/>
    <cellStyle name="Normal 13 3 5 2" xfId="16125" xr:uid="{00000000-0005-0000-0000-00004F120000}"/>
    <cellStyle name="Normal 13 3 50" xfId="4090" xr:uid="{00000000-0005-0000-0000-000050120000}"/>
    <cellStyle name="Normal 13 3 50 2" xfId="16126" xr:uid="{00000000-0005-0000-0000-000051120000}"/>
    <cellStyle name="Normal 13 3 51" xfId="4091" xr:uid="{00000000-0005-0000-0000-000052120000}"/>
    <cellStyle name="Normal 13 3 51 2" xfId="16127" xr:uid="{00000000-0005-0000-0000-000053120000}"/>
    <cellStyle name="Normal 13 3 52" xfId="4092" xr:uid="{00000000-0005-0000-0000-000054120000}"/>
    <cellStyle name="Normal 13 3 52 2" xfId="16128" xr:uid="{00000000-0005-0000-0000-000055120000}"/>
    <cellStyle name="Normal 13 3 53" xfId="4093" xr:uid="{00000000-0005-0000-0000-000056120000}"/>
    <cellStyle name="Normal 13 3 53 2" xfId="16129" xr:uid="{00000000-0005-0000-0000-000057120000}"/>
    <cellStyle name="Normal 13 3 54" xfId="4094" xr:uid="{00000000-0005-0000-0000-000058120000}"/>
    <cellStyle name="Normal 13 3 54 2" xfId="16130" xr:uid="{00000000-0005-0000-0000-000059120000}"/>
    <cellStyle name="Normal 13 3 55" xfId="4095" xr:uid="{00000000-0005-0000-0000-00005A120000}"/>
    <cellStyle name="Normal 13 3 55 2" xfId="16131" xr:uid="{00000000-0005-0000-0000-00005B120000}"/>
    <cellStyle name="Normal 13 3 56" xfId="4096" xr:uid="{00000000-0005-0000-0000-00005C120000}"/>
    <cellStyle name="Normal 13 3 56 2" xfId="16132" xr:uid="{00000000-0005-0000-0000-00005D120000}"/>
    <cellStyle name="Normal 13 3 57" xfId="4097" xr:uid="{00000000-0005-0000-0000-00005E120000}"/>
    <cellStyle name="Normal 13 3 57 2" xfId="16133" xr:uid="{00000000-0005-0000-0000-00005F120000}"/>
    <cellStyle name="Normal 13 3 58" xfId="4098" xr:uid="{00000000-0005-0000-0000-000060120000}"/>
    <cellStyle name="Normal 13 3 58 2" xfId="16134" xr:uid="{00000000-0005-0000-0000-000061120000}"/>
    <cellStyle name="Normal 13 3 59" xfId="4099" xr:uid="{00000000-0005-0000-0000-000062120000}"/>
    <cellStyle name="Normal 13 3 59 2" xfId="16135" xr:uid="{00000000-0005-0000-0000-000063120000}"/>
    <cellStyle name="Normal 13 3 6" xfId="4100" xr:uid="{00000000-0005-0000-0000-000064120000}"/>
    <cellStyle name="Normal 13 3 6 2" xfId="16136" xr:uid="{00000000-0005-0000-0000-000065120000}"/>
    <cellStyle name="Normal 13 3 60" xfId="4101" xr:uid="{00000000-0005-0000-0000-000066120000}"/>
    <cellStyle name="Normal 13 3 60 2" xfId="16137" xr:uid="{00000000-0005-0000-0000-000067120000}"/>
    <cellStyle name="Normal 13 3 61" xfId="4102" xr:uid="{00000000-0005-0000-0000-000068120000}"/>
    <cellStyle name="Normal 13 3 61 2" xfId="16138" xr:uid="{00000000-0005-0000-0000-000069120000}"/>
    <cellStyle name="Normal 13 3 62" xfId="4103" xr:uid="{00000000-0005-0000-0000-00006A120000}"/>
    <cellStyle name="Normal 13 3 62 2" xfId="16139" xr:uid="{00000000-0005-0000-0000-00006B120000}"/>
    <cellStyle name="Normal 13 3 63" xfId="4104" xr:uid="{00000000-0005-0000-0000-00006C120000}"/>
    <cellStyle name="Normal 13 3 63 2" xfId="16140" xr:uid="{00000000-0005-0000-0000-00006D120000}"/>
    <cellStyle name="Normal 13 3 64" xfId="4105" xr:uid="{00000000-0005-0000-0000-00006E120000}"/>
    <cellStyle name="Normal 13 3 64 2" xfId="16141" xr:uid="{00000000-0005-0000-0000-00006F120000}"/>
    <cellStyle name="Normal 13 3 65" xfId="4106" xr:uid="{00000000-0005-0000-0000-000070120000}"/>
    <cellStyle name="Normal 13 3 65 2" xfId="16142" xr:uid="{00000000-0005-0000-0000-000071120000}"/>
    <cellStyle name="Normal 13 3 66" xfId="4107" xr:uid="{00000000-0005-0000-0000-000072120000}"/>
    <cellStyle name="Normal 13 3 66 2" xfId="16143" xr:uid="{00000000-0005-0000-0000-000073120000}"/>
    <cellStyle name="Normal 13 3 67" xfId="4108" xr:uid="{00000000-0005-0000-0000-000074120000}"/>
    <cellStyle name="Normal 13 3 67 2" xfId="16144" xr:uid="{00000000-0005-0000-0000-000075120000}"/>
    <cellStyle name="Normal 13 3 68" xfId="4109" xr:uid="{00000000-0005-0000-0000-000076120000}"/>
    <cellStyle name="Normal 13 3 68 2" xfId="16145" xr:uid="{00000000-0005-0000-0000-000077120000}"/>
    <cellStyle name="Normal 13 3 69" xfId="4110" xr:uid="{00000000-0005-0000-0000-000078120000}"/>
    <cellStyle name="Normal 13 3 69 2" xfId="16146" xr:uid="{00000000-0005-0000-0000-000079120000}"/>
    <cellStyle name="Normal 13 3 7" xfId="4111" xr:uid="{00000000-0005-0000-0000-00007A120000}"/>
    <cellStyle name="Normal 13 3 7 2" xfId="16147" xr:uid="{00000000-0005-0000-0000-00007B120000}"/>
    <cellStyle name="Normal 13 3 70" xfId="4112" xr:uid="{00000000-0005-0000-0000-00007C120000}"/>
    <cellStyle name="Normal 13 3 70 2" xfId="16148" xr:uid="{00000000-0005-0000-0000-00007D120000}"/>
    <cellStyle name="Normal 13 3 71" xfId="4113" xr:uid="{00000000-0005-0000-0000-00007E120000}"/>
    <cellStyle name="Normal 13 3 71 2" xfId="16149" xr:uid="{00000000-0005-0000-0000-00007F120000}"/>
    <cellStyle name="Normal 13 3 72" xfId="4114" xr:uid="{00000000-0005-0000-0000-000080120000}"/>
    <cellStyle name="Normal 13 3 72 2" xfId="16150" xr:uid="{00000000-0005-0000-0000-000081120000}"/>
    <cellStyle name="Normal 13 3 73" xfId="4115" xr:uid="{00000000-0005-0000-0000-000082120000}"/>
    <cellStyle name="Normal 13 3 73 2" xfId="16151" xr:uid="{00000000-0005-0000-0000-000083120000}"/>
    <cellStyle name="Normal 13 3 74" xfId="4116" xr:uid="{00000000-0005-0000-0000-000084120000}"/>
    <cellStyle name="Normal 13 3 74 2" xfId="16152" xr:uid="{00000000-0005-0000-0000-000085120000}"/>
    <cellStyle name="Normal 13 3 75" xfId="4117" xr:uid="{00000000-0005-0000-0000-000086120000}"/>
    <cellStyle name="Normal 13 3 75 2" xfId="16153" xr:uid="{00000000-0005-0000-0000-000087120000}"/>
    <cellStyle name="Normal 13 3 76" xfId="4118" xr:uid="{00000000-0005-0000-0000-000088120000}"/>
    <cellStyle name="Normal 13 3 76 2" xfId="16154" xr:uid="{00000000-0005-0000-0000-000089120000}"/>
    <cellStyle name="Normal 13 3 77" xfId="4119" xr:uid="{00000000-0005-0000-0000-00008A120000}"/>
    <cellStyle name="Normal 13 3 77 2" xfId="16155" xr:uid="{00000000-0005-0000-0000-00008B120000}"/>
    <cellStyle name="Normal 13 3 78" xfId="4120" xr:uid="{00000000-0005-0000-0000-00008C120000}"/>
    <cellStyle name="Normal 13 3 78 2" xfId="16156" xr:uid="{00000000-0005-0000-0000-00008D120000}"/>
    <cellStyle name="Normal 13 3 79" xfId="4121" xr:uid="{00000000-0005-0000-0000-00008E120000}"/>
    <cellStyle name="Normal 13 3 79 2" xfId="16157" xr:uid="{00000000-0005-0000-0000-00008F120000}"/>
    <cellStyle name="Normal 13 3 8" xfId="4122" xr:uid="{00000000-0005-0000-0000-000090120000}"/>
    <cellStyle name="Normal 13 3 8 2" xfId="16158" xr:uid="{00000000-0005-0000-0000-000091120000}"/>
    <cellStyle name="Normal 13 3 80" xfId="15022" xr:uid="{00000000-0005-0000-0000-000092120000}"/>
    <cellStyle name="Normal 13 3 81" xfId="1600" xr:uid="{00000000-0005-0000-0000-000093120000}"/>
    <cellStyle name="Normal 13 3 9" xfId="4123" xr:uid="{00000000-0005-0000-0000-000094120000}"/>
    <cellStyle name="Normal 13 3 9 2" xfId="16159" xr:uid="{00000000-0005-0000-0000-000095120000}"/>
    <cellStyle name="Normal 13 30" xfId="4124" xr:uid="{00000000-0005-0000-0000-000096120000}"/>
    <cellStyle name="Normal 13 30 2" xfId="16160" xr:uid="{00000000-0005-0000-0000-000097120000}"/>
    <cellStyle name="Normal 13 31" xfId="4125" xr:uid="{00000000-0005-0000-0000-000098120000}"/>
    <cellStyle name="Normal 13 31 2" xfId="16161" xr:uid="{00000000-0005-0000-0000-000099120000}"/>
    <cellStyle name="Normal 13 32" xfId="4126" xr:uid="{00000000-0005-0000-0000-00009A120000}"/>
    <cellStyle name="Normal 13 32 2" xfId="16162" xr:uid="{00000000-0005-0000-0000-00009B120000}"/>
    <cellStyle name="Normal 13 33" xfId="4127" xr:uid="{00000000-0005-0000-0000-00009C120000}"/>
    <cellStyle name="Normal 13 33 2" xfId="16163" xr:uid="{00000000-0005-0000-0000-00009D120000}"/>
    <cellStyle name="Normal 13 34" xfId="4128" xr:uid="{00000000-0005-0000-0000-00009E120000}"/>
    <cellStyle name="Normal 13 34 2" xfId="16164" xr:uid="{00000000-0005-0000-0000-00009F120000}"/>
    <cellStyle name="Normal 13 35" xfId="4129" xr:uid="{00000000-0005-0000-0000-0000A0120000}"/>
    <cellStyle name="Normal 13 35 2" xfId="16165" xr:uid="{00000000-0005-0000-0000-0000A1120000}"/>
    <cellStyle name="Normal 13 36" xfId="4130" xr:uid="{00000000-0005-0000-0000-0000A2120000}"/>
    <cellStyle name="Normal 13 36 2" xfId="16166" xr:uid="{00000000-0005-0000-0000-0000A3120000}"/>
    <cellStyle name="Normal 13 37" xfId="4131" xr:uid="{00000000-0005-0000-0000-0000A4120000}"/>
    <cellStyle name="Normal 13 37 2" xfId="16167" xr:uid="{00000000-0005-0000-0000-0000A5120000}"/>
    <cellStyle name="Normal 13 38" xfId="4132" xr:uid="{00000000-0005-0000-0000-0000A6120000}"/>
    <cellStyle name="Normal 13 38 2" xfId="16168" xr:uid="{00000000-0005-0000-0000-0000A7120000}"/>
    <cellStyle name="Normal 13 39" xfId="4133" xr:uid="{00000000-0005-0000-0000-0000A8120000}"/>
    <cellStyle name="Normal 13 39 2" xfId="16169" xr:uid="{00000000-0005-0000-0000-0000A9120000}"/>
    <cellStyle name="Normal 13 4" xfId="304" xr:uid="{00000000-0005-0000-0000-0000AA120000}"/>
    <cellStyle name="Normal 13 4 10" xfId="4134" xr:uid="{00000000-0005-0000-0000-0000AB120000}"/>
    <cellStyle name="Normal 13 4 10 2" xfId="16170" xr:uid="{00000000-0005-0000-0000-0000AC120000}"/>
    <cellStyle name="Normal 13 4 11" xfId="4135" xr:uid="{00000000-0005-0000-0000-0000AD120000}"/>
    <cellStyle name="Normal 13 4 11 2" xfId="16171" xr:uid="{00000000-0005-0000-0000-0000AE120000}"/>
    <cellStyle name="Normal 13 4 12" xfId="4136" xr:uid="{00000000-0005-0000-0000-0000AF120000}"/>
    <cellStyle name="Normal 13 4 12 2" xfId="16172" xr:uid="{00000000-0005-0000-0000-0000B0120000}"/>
    <cellStyle name="Normal 13 4 13" xfId="4137" xr:uid="{00000000-0005-0000-0000-0000B1120000}"/>
    <cellStyle name="Normal 13 4 13 2" xfId="16173" xr:uid="{00000000-0005-0000-0000-0000B2120000}"/>
    <cellStyle name="Normal 13 4 14" xfId="4138" xr:uid="{00000000-0005-0000-0000-0000B3120000}"/>
    <cellStyle name="Normal 13 4 14 2" xfId="16174" xr:uid="{00000000-0005-0000-0000-0000B4120000}"/>
    <cellStyle name="Normal 13 4 15" xfId="4139" xr:uid="{00000000-0005-0000-0000-0000B5120000}"/>
    <cellStyle name="Normal 13 4 15 2" xfId="16175" xr:uid="{00000000-0005-0000-0000-0000B6120000}"/>
    <cellStyle name="Normal 13 4 16" xfId="4140" xr:uid="{00000000-0005-0000-0000-0000B7120000}"/>
    <cellStyle name="Normal 13 4 16 2" xfId="16176" xr:uid="{00000000-0005-0000-0000-0000B8120000}"/>
    <cellStyle name="Normal 13 4 17" xfId="4141" xr:uid="{00000000-0005-0000-0000-0000B9120000}"/>
    <cellStyle name="Normal 13 4 17 2" xfId="16177" xr:uid="{00000000-0005-0000-0000-0000BA120000}"/>
    <cellStyle name="Normal 13 4 18" xfId="4142" xr:uid="{00000000-0005-0000-0000-0000BB120000}"/>
    <cellStyle name="Normal 13 4 18 2" xfId="16178" xr:uid="{00000000-0005-0000-0000-0000BC120000}"/>
    <cellStyle name="Normal 13 4 19" xfId="4143" xr:uid="{00000000-0005-0000-0000-0000BD120000}"/>
    <cellStyle name="Normal 13 4 19 2" xfId="16179" xr:uid="{00000000-0005-0000-0000-0000BE120000}"/>
    <cellStyle name="Normal 13 4 2" xfId="4144" xr:uid="{00000000-0005-0000-0000-0000BF120000}"/>
    <cellStyle name="Normal 13 4 2 2" xfId="16180" xr:uid="{00000000-0005-0000-0000-0000C0120000}"/>
    <cellStyle name="Normal 13 4 20" xfId="4145" xr:uid="{00000000-0005-0000-0000-0000C1120000}"/>
    <cellStyle name="Normal 13 4 20 2" xfId="16181" xr:uid="{00000000-0005-0000-0000-0000C2120000}"/>
    <cellStyle name="Normal 13 4 21" xfId="4146" xr:uid="{00000000-0005-0000-0000-0000C3120000}"/>
    <cellStyle name="Normal 13 4 21 2" xfId="16182" xr:uid="{00000000-0005-0000-0000-0000C4120000}"/>
    <cellStyle name="Normal 13 4 22" xfId="4147" xr:uid="{00000000-0005-0000-0000-0000C5120000}"/>
    <cellStyle name="Normal 13 4 22 2" xfId="16183" xr:uid="{00000000-0005-0000-0000-0000C6120000}"/>
    <cellStyle name="Normal 13 4 23" xfId="4148" xr:uid="{00000000-0005-0000-0000-0000C7120000}"/>
    <cellStyle name="Normal 13 4 23 2" xfId="16184" xr:uid="{00000000-0005-0000-0000-0000C8120000}"/>
    <cellStyle name="Normal 13 4 24" xfId="4149" xr:uid="{00000000-0005-0000-0000-0000C9120000}"/>
    <cellStyle name="Normal 13 4 24 2" xfId="16185" xr:uid="{00000000-0005-0000-0000-0000CA120000}"/>
    <cellStyle name="Normal 13 4 25" xfId="4150" xr:uid="{00000000-0005-0000-0000-0000CB120000}"/>
    <cellStyle name="Normal 13 4 25 2" xfId="16186" xr:uid="{00000000-0005-0000-0000-0000CC120000}"/>
    <cellStyle name="Normal 13 4 26" xfId="4151" xr:uid="{00000000-0005-0000-0000-0000CD120000}"/>
    <cellStyle name="Normal 13 4 26 2" xfId="16187" xr:uid="{00000000-0005-0000-0000-0000CE120000}"/>
    <cellStyle name="Normal 13 4 27" xfId="4152" xr:uid="{00000000-0005-0000-0000-0000CF120000}"/>
    <cellStyle name="Normal 13 4 27 2" xfId="16188" xr:uid="{00000000-0005-0000-0000-0000D0120000}"/>
    <cellStyle name="Normal 13 4 28" xfId="4153" xr:uid="{00000000-0005-0000-0000-0000D1120000}"/>
    <cellStyle name="Normal 13 4 28 2" xfId="16189" xr:uid="{00000000-0005-0000-0000-0000D2120000}"/>
    <cellStyle name="Normal 13 4 29" xfId="4154" xr:uid="{00000000-0005-0000-0000-0000D3120000}"/>
    <cellStyle name="Normal 13 4 29 2" xfId="16190" xr:uid="{00000000-0005-0000-0000-0000D4120000}"/>
    <cellStyle name="Normal 13 4 3" xfId="4155" xr:uid="{00000000-0005-0000-0000-0000D5120000}"/>
    <cellStyle name="Normal 13 4 3 2" xfId="16191" xr:uid="{00000000-0005-0000-0000-0000D6120000}"/>
    <cellStyle name="Normal 13 4 30" xfId="4156" xr:uid="{00000000-0005-0000-0000-0000D7120000}"/>
    <cellStyle name="Normal 13 4 30 2" xfId="16192" xr:uid="{00000000-0005-0000-0000-0000D8120000}"/>
    <cellStyle name="Normal 13 4 31" xfId="4157" xr:uid="{00000000-0005-0000-0000-0000D9120000}"/>
    <cellStyle name="Normal 13 4 31 2" xfId="16193" xr:uid="{00000000-0005-0000-0000-0000DA120000}"/>
    <cellStyle name="Normal 13 4 32" xfId="4158" xr:uid="{00000000-0005-0000-0000-0000DB120000}"/>
    <cellStyle name="Normal 13 4 32 2" xfId="16194" xr:uid="{00000000-0005-0000-0000-0000DC120000}"/>
    <cellStyle name="Normal 13 4 33" xfId="4159" xr:uid="{00000000-0005-0000-0000-0000DD120000}"/>
    <cellStyle name="Normal 13 4 33 2" xfId="16195" xr:uid="{00000000-0005-0000-0000-0000DE120000}"/>
    <cellStyle name="Normal 13 4 34" xfId="4160" xr:uid="{00000000-0005-0000-0000-0000DF120000}"/>
    <cellStyle name="Normal 13 4 34 2" xfId="16196" xr:uid="{00000000-0005-0000-0000-0000E0120000}"/>
    <cellStyle name="Normal 13 4 35" xfId="4161" xr:uid="{00000000-0005-0000-0000-0000E1120000}"/>
    <cellStyle name="Normal 13 4 35 2" xfId="16197" xr:uid="{00000000-0005-0000-0000-0000E2120000}"/>
    <cellStyle name="Normal 13 4 36" xfId="4162" xr:uid="{00000000-0005-0000-0000-0000E3120000}"/>
    <cellStyle name="Normal 13 4 36 2" xfId="16198" xr:uid="{00000000-0005-0000-0000-0000E4120000}"/>
    <cellStyle name="Normal 13 4 37" xfId="4163" xr:uid="{00000000-0005-0000-0000-0000E5120000}"/>
    <cellStyle name="Normal 13 4 37 2" xfId="16199" xr:uid="{00000000-0005-0000-0000-0000E6120000}"/>
    <cellStyle name="Normal 13 4 38" xfId="4164" xr:uid="{00000000-0005-0000-0000-0000E7120000}"/>
    <cellStyle name="Normal 13 4 38 2" xfId="16200" xr:uid="{00000000-0005-0000-0000-0000E8120000}"/>
    <cellStyle name="Normal 13 4 39" xfId="4165" xr:uid="{00000000-0005-0000-0000-0000E9120000}"/>
    <cellStyle name="Normal 13 4 39 2" xfId="16201" xr:uid="{00000000-0005-0000-0000-0000EA120000}"/>
    <cellStyle name="Normal 13 4 4" xfId="4166" xr:uid="{00000000-0005-0000-0000-0000EB120000}"/>
    <cellStyle name="Normal 13 4 4 2" xfId="16202" xr:uid="{00000000-0005-0000-0000-0000EC120000}"/>
    <cellStyle name="Normal 13 4 40" xfId="4167" xr:uid="{00000000-0005-0000-0000-0000ED120000}"/>
    <cellStyle name="Normal 13 4 40 2" xfId="16203" xr:uid="{00000000-0005-0000-0000-0000EE120000}"/>
    <cellStyle name="Normal 13 4 41" xfId="4168" xr:uid="{00000000-0005-0000-0000-0000EF120000}"/>
    <cellStyle name="Normal 13 4 41 2" xfId="16204" xr:uid="{00000000-0005-0000-0000-0000F0120000}"/>
    <cellStyle name="Normal 13 4 42" xfId="4169" xr:uid="{00000000-0005-0000-0000-0000F1120000}"/>
    <cellStyle name="Normal 13 4 42 2" xfId="16205" xr:uid="{00000000-0005-0000-0000-0000F2120000}"/>
    <cellStyle name="Normal 13 4 43" xfId="4170" xr:uid="{00000000-0005-0000-0000-0000F3120000}"/>
    <cellStyle name="Normal 13 4 43 2" xfId="16206" xr:uid="{00000000-0005-0000-0000-0000F4120000}"/>
    <cellStyle name="Normal 13 4 44" xfId="4171" xr:uid="{00000000-0005-0000-0000-0000F5120000}"/>
    <cellStyle name="Normal 13 4 44 2" xfId="16207" xr:uid="{00000000-0005-0000-0000-0000F6120000}"/>
    <cellStyle name="Normal 13 4 45" xfId="4172" xr:uid="{00000000-0005-0000-0000-0000F7120000}"/>
    <cellStyle name="Normal 13 4 45 2" xfId="16208" xr:uid="{00000000-0005-0000-0000-0000F8120000}"/>
    <cellStyle name="Normal 13 4 46" xfId="4173" xr:uid="{00000000-0005-0000-0000-0000F9120000}"/>
    <cellStyle name="Normal 13 4 46 2" xfId="16209" xr:uid="{00000000-0005-0000-0000-0000FA120000}"/>
    <cellStyle name="Normal 13 4 47" xfId="4174" xr:uid="{00000000-0005-0000-0000-0000FB120000}"/>
    <cellStyle name="Normal 13 4 47 2" xfId="16210" xr:uid="{00000000-0005-0000-0000-0000FC120000}"/>
    <cellStyle name="Normal 13 4 48" xfId="4175" xr:uid="{00000000-0005-0000-0000-0000FD120000}"/>
    <cellStyle name="Normal 13 4 48 2" xfId="16211" xr:uid="{00000000-0005-0000-0000-0000FE120000}"/>
    <cellStyle name="Normal 13 4 49" xfId="4176" xr:uid="{00000000-0005-0000-0000-0000FF120000}"/>
    <cellStyle name="Normal 13 4 49 2" xfId="16212" xr:uid="{00000000-0005-0000-0000-000000130000}"/>
    <cellStyle name="Normal 13 4 5" xfId="4177" xr:uid="{00000000-0005-0000-0000-000001130000}"/>
    <cellStyle name="Normal 13 4 5 2" xfId="16213" xr:uid="{00000000-0005-0000-0000-000002130000}"/>
    <cellStyle name="Normal 13 4 50" xfId="4178" xr:uid="{00000000-0005-0000-0000-000003130000}"/>
    <cellStyle name="Normal 13 4 50 2" xfId="16214" xr:uid="{00000000-0005-0000-0000-000004130000}"/>
    <cellStyle name="Normal 13 4 51" xfId="4179" xr:uid="{00000000-0005-0000-0000-000005130000}"/>
    <cellStyle name="Normal 13 4 51 2" xfId="16215" xr:uid="{00000000-0005-0000-0000-000006130000}"/>
    <cellStyle name="Normal 13 4 52" xfId="4180" xr:uid="{00000000-0005-0000-0000-000007130000}"/>
    <cellStyle name="Normal 13 4 52 2" xfId="16216" xr:uid="{00000000-0005-0000-0000-000008130000}"/>
    <cellStyle name="Normal 13 4 53" xfId="4181" xr:uid="{00000000-0005-0000-0000-000009130000}"/>
    <cellStyle name="Normal 13 4 53 2" xfId="16217" xr:uid="{00000000-0005-0000-0000-00000A130000}"/>
    <cellStyle name="Normal 13 4 54" xfId="4182" xr:uid="{00000000-0005-0000-0000-00000B130000}"/>
    <cellStyle name="Normal 13 4 54 2" xfId="16218" xr:uid="{00000000-0005-0000-0000-00000C130000}"/>
    <cellStyle name="Normal 13 4 55" xfId="4183" xr:uid="{00000000-0005-0000-0000-00000D130000}"/>
    <cellStyle name="Normal 13 4 55 2" xfId="16219" xr:uid="{00000000-0005-0000-0000-00000E130000}"/>
    <cellStyle name="Normal 13 4 56" xfId="4184" xr:uid="{00000000-0005-0000-0000-00000F130000}"/>
    <cellStyle name="Normal 13 4 56 2" xfId="16220" xr:uid="{00000000-0005-0000-0000-000010130000}"/>
    <cellStyle name="Normal 13 4 57" xfId="4185" xr:uid="{00000000-0005-0000-0000-000011130000}"/>
    <cellStyle name="Normal 13 4 57 2" xfId="16221" xr:uid="{00000000-0005-0000-0000-000012130000}"/>
    <cellStyle name="Normal 13 4 58" xfId="4186" xr:uid="{00000000-0005-0000-0000-000013130000}"/>
    <cellStyle name="Normal 13 4 58 2" xfId="16222" xr:uid="{00000000-0005-0000-0000-000014130000}"/>
    <cellStyle name="Normal 13 4 59" xfId="4187" xr:uid="{00000000-0005-0000-0000-000015130000}"/>
    <cellStyle name="Normal 13 4 59 2" xfId="16223" xr:uid="{00000000-0005-0000-0000-000016130000}"/>
    <cellStyle name="Normal 13 4 6" xfId="4188" xr:uid="{00000000-0005-0000-0000-000017130000}"/>
    <cellStyle name="Normal 13 4 6 2" xfId="16224" xr:uid="{00000000-0005-0000-0000-000018130000}"/>
    <cellStyle name="Normal 13 4 60" xfId="4189" xr:uid="{00000000-0005-0000-0000-000019130000}"/>
    <cellStyle name="Normal 13 4 60 2" xfId="16225" xr:uid="{00000000-0005-0000-0000-00001A130000}"/>
    <cellStyle name="Normal 13 4 61" xfId="4190" xr:uid="{00000000-0005-0000-0000-00001B130000}"/>
    <cellStyle name="Normal 13 4 61 2" xfId="16226" xr:uid="{00000000-0005-0000-0000-00001C130000}"/>
    <cellStyle name="Normal 13 4 62" xfId="4191" xr:uid="{00000000-0005-0000-0000-00001D130000}"/>
    <cellStyle name="Normal 13 4 62 2" xfId="16227" xr:uid="{00000000-0005-0000-0000-00001E130000}"/>
    <cellStyle name="Normal 13 4 63" xfId="4192" xr:uid="{00000000-0005-0000-0000-00001F130000}"/>
    <cellStyle name="Normal 13 4 63 2" xfId="16228" xr:uid="{00000000-0005-0000-0000-000020130000}"/>
    <cellStyle name="Normal 13 4 64" xfId="4193" xr:uid="{00000000-0005-0000-0000-000021130000}"/>
    <cellStyle name="Normal 13 4 64 2" xfId="16229" xr:uid="{00000000-0005-0000-0000-000022130000}"/>
    <cellStyle name="Normal 13 4 65" xfId="4194" xr:uid="{00000000-0005-0000-0000-000023130000}"/>
    <cellStyle name="Normal 13 4 65 2" xfId="16230" xr:uid="{00000000-0005-0000-0000-000024130000}"/>
    <cellStyle name="Normal 13 4 66" xfId="4195" xr:uid="{00000000-0005-0000-0000-000025130000}"/>
    <cellStyle name="Normal 13 4 66 2" xfId="16231" xr:uid="{00000000-0005-0000-0000-000026130000}"/>
    <cellStyle name="Normal 13 4 67" xfId="4196" xr:uid="{00000000-0005-0000-0000-000027130000}"/>
    <cellStyle name="Normal 13 4 67 2" xfId="16232" xr:uid="{00000000-0005-0000-0000-000028130000}"/>
    <cellStyle name="Normal 13 4 68" xfId="4197" xr:uid="{00000000-0005-0000-0000-000029130000}"/>
    <cellStyle name="Normal 13 4 68 2" xfId="16233" xr:uid="{00000000-0005-0000-0000-00002A130000}"/>
    <cellStyle name="Normal 13 4 69" xfId="4198" xr:uid="{00000000-0005-0000-0000-00002B130000}"/>
    <cellStyle name="Normal 13 4 69 2" xfId="16234" xr:uid="{00000000-0005-0000-0000-00002C130000}"/>
    <cellStyle name="Normal 13 4 7" xfId="4199" xr:uid="{00000000-0005-0000-0000-00002D130000}"/>
    <cellStyle name="Normal 13 4 7 2" xfId="16235" xr:uid="{00000000-0005-0000-0000-00002E130000}"/>
    <cellStyle name="Normal 13 4 70" xfId="4200" xr:uid="{00000000-0005-0000-0000-00002F130000}"/>
    <cellStyle name="Normal 13 4 70 2" xfId="16236" xr:uid="{00000000-0005-0000-0000-000030130000}"/>
    <cellStyle name="Normal 13 4 71" xfId="4201" xr:uid="{00000000-0005-0000-0000-000031130000}"/>
    <cellStyle name="Normal 13 4 71 2" xfId="16237" xr:uid="{00000000-0005-0000-0000-000032130000}"/>
    <cellStyle name="Normal 13 4 72" xfId="4202" xr:uid="{00000000-0005-0000-0000-000033130000}"/>
    <cellStyle name="Normal 13 4 72 2" xfId="16238" xr:uid="{00000000-0005-0000-0000-000034130000}"/>
    <cellStyle name="Normal 13 4 73" xfId="4203" xr:uid="{00000000-0005-0000-0000-000035130000}"/>
    <cellStyle name="Normal 13 4 73 2" xfId="16239" xr:uid="{00000000-0005-0000-0000-000036130000}"/>
    <cellStyle name="Normal 13 4 74" xfId="4204" xr:uid="{00000000-0005-0000-0000-000037130000}"/>
    <cellStyle name="Normal 13 4 74 2" xfId="16240" xr:uid="{00000000-0005-0000-0000-000038130000}"/>
    <cellStyle name="Normal 13 4 75" xfId="4205" xr:uid="{00000000-0005-0000-0000-000039130000}"/>
    <cellStyle name="Normal 13 4 75 2" xfId="16241" xr:uid="{00000000-0005-0000-0000-00003A130000}"/>
    <cellStyle name="Normal 13 4 76" xfId="4206" xr:uid="{00000000-0005-0000-0000-00003B130000}"/>
    <cellStyle name="Normal 13 4 76 2" xfId="16242" xr:uid="{00000000-0005-0000-0000-00003C130000}"/>
    <cellStyle name="Normal 13 4 77" xfId="4207" xr:uid="{00000000-0005-0000-0000-00003D130000}"/>
    <cellStyle name="Normal 13 4 77 2" xfId="16243" xr:uid="{00000000-0005-0000-0000-00003E130000}"/>
    <cellStyle name="Normal 13 4 78" xfId="4208" xr:uid="{00000000-0005-0000-0000-00003F130000}"/>
    <cellStyle name="Normal 13 4 78 2" xfId="16244" xr:uid="{00000000-0005-0000-0000-000040130000}"/>
    <cellStyle name="Normal 13 4 79" xfId="4209" xr:uid="{00000000-0005-0000-0000-000041130000}"/>
    <cellStyle name="Normal 13 4 79 2" xfId="16245" xr:uid="{00000000-0005-0000-0000-000042130000}"/>
    <cellStyle name="Normal 13 4 8" xfId="4210" xr:uid="{00000000-0005-0000-0000-000043130000}"/>
    <cellStyle name="Normal 13 4 8 2" xfId="16246" xr:uid="{00000000-0005-0000-0000-000044130000}"/>
    <cellStyle name="Normal 13 4 80" xfId="15024" xr:uid="{00000000-0005-0000-0000-000045130000}"/>
    <cellStyle name="Normal 13 4 9" xfId="4211" xr:uid="{00000000-0005-0000-0000-000046130000}"/>
    <cellStyle name="Normal 13 4 9 2" xfId="16247" xr:uid="{00000000-0005-0000-0000-000047130000}"/>
    <cellStyle name="Normal 13 40" xfId="4212" xr:uid="{00000000-0005-0000-0000-000048130000}"/>
    <cellStyle name="Normal 13 40 2" xfId="16248" xr:uid="{00000000-0005-0000-0000-000049130000}"/>
    <cellStyle name="Normal 13 41" xfId="4213" xr:uid="{00000000-0005-0000-0000-00004A130000}"/>
    <cellStyle name="Normal 13 41 2" xfId="16249" xr:uid="{00000000-0005-0000-0000-00004B130000}"/>
    <cellStyle name="Normal 13 42" xfId="4214" xr:uid="{00000000-0005-0000-0000-00004C130000}"/>
    <cellStyle name="Normal 13 42 2" xfId="16250" xr:uid="{00000000-0005-0000-0000-00004D130000}"/>
    <cellStyle name="Normal 13 43" xfId="4215" xr:uid="{00000000-0005-0000-0000-00004E130000}"/>
    <cellStyle name="Normal 13 43 2" xfId="16251" xr:uid="{00000000-0005-0000-0000-00004F130000}"/>
    <cellStyle name="Normal 13 44" xfId="4216" xr:uid="{00000000-0005-0000-0000-000050130000}"/>
    <cellStyle name="Normal 13 44 2" xfId="16252" xr:uid="{00000000-0005-0000-0000-000051130000}"/>
    <cellStyle name="Normal 13 45" xfId="4217" xr:uid="{00000000-0005-0000-0000-000052130000}"/>
    <cellStyle name="Normal 13 45 2" xfId="16253" xr:uid="{00000000-0005-0000-0000-000053130000}"/>
    <cellStyle name="Normal 13 46" xfId="4218" xr:uid="{00000000-0005-0000-0000-000054130000}"/>
    <cellStyle name="Normal 13 46 2" xfId="16254" xr:uid="{00000000-0005-0000-0000-000055130000}"/>
    <cellStyle name="Normal 13 47" xfId="4219" xr:uid="{00000000-0005-0000-0000-000056130000}"/>
    <cellStyle name="Normal 13 47 2" xfId="16255" xr:uid="{00000000-0005-0000-0000-000057130000}"/>
    <cellStyle name="Normal 13 48" xfId="4220" xr:uid="{00000000-0005-0000-0000-000058130000}"/>
    <cellStyle name="Normal 13 48 2" xfId="16256" xr:uid="{00000000-0005-0000-0000-000059130000}"/>
    <cellStyle name="Normal 13 49" xfId="4221" xr:uid="{00000000-0005-0000-0000-00005A130000}"/>
    <cellStyle name="Normal 13 49 2" xfId="16257" xr:uid="{00000000-0005-0000-0000-00005B130000}"/>
    <cellStyle name="Normal 13 5" xfId="137" xr:uid="{00000000-0005-0000-0000-00005C130000}"/>
    <cellStyle name="Normal 13 5 2" xfId="16258" xr:uid="{00000000-0005-0000-0000-00005D130000}"/>
    <cellStyle name="Normal 13 5 3" xfId="4222" xr:uid="{00000000-0005-0000-0000-00005E130000}"/>
    <cellStyle name="Normal 13 50" xfId="4223" xr:uid="{00000000-0005-0000-0000-00005F130000}"/>
    <cellStyle name="Normal 13 50 2" xfId="16259" xr:uid="{00000000-0005-0000-0000-000060130000}"/>
    <cellStyle name="Normal 13 51" xfId="4224" xr:uid="{00000000-0005-0000-0000-000061130000}"/>
    <cellStyle name="Normal 13 51 2" xfId="16260" xr:uid="{00000000-0005-0000-0000-000062130000}"/>
    <cellStyle name="Normal 13 52" xfId="4225" xr:uid="{00000000-0005-0000-0000-000063130000}"/>
    <cellStyle name="Normal 13 52 2" xfId="16261" xr:uid="{00000000-0005-0000-0000-000064130000}"/>
    <cellStyle name="Normal 13 53" xfId="4226" xr:uid="{00000000-0005-0000-0000-000065130000}"/>
    <cellStyle name="Normal 13 53 2" xfId="16262" xr:uid="{00000000-0005-0000-0000-000066130000}"/>
    <cellStyle name="Normal 13 54" xfId="4227" xr:uid="{00000000-0005-0000-0000-000067130000}"/>
    <cellStyle name="Normal 13 54 2" xfId="16263" xr:uid="{00000000-0005-0000-0000-000068130000}"/>
    <cellStyle name="Normal 13 55" xfId="4228" xr:uid="{00000000-0005-0000-0000-000069130000}"/>
    <cellStyle name="Normal 13 55 2" xfId="16264" xr:uid="{00000000-0005-0000-0000-00006A130000}"/>
    <cellStyle name="Normal 13 56" xfId="4229" xr:uid="{00000000-0005-0000-0000-00006B130000}"/>
    <cellStyle name="Normal 13 56 2" xfId="16265" xr:uid="{00000000-0005-0000-0000-00006C130000}"/>
    <cellStyle name="Normal 13 57" xfId="4230" xr:uid="{00000000-0005-0000-0000-00006D130000}"/>
    <cellStyle name="Normal 13 57 2" xfId="16266" xr:uid="{00000000-0005-0000-0000-00006E130000}"/>
    <cellStyle name="Normal 13 58" xfId="4231" xr:uid="{00000000-0005-0000-0000-00006F130000}"/>
    <cellStyle name="Normal 13 58 2" xfId="16267" xr:uid="{00000000-0005-0000-0000-000070130000}"/>
    <cellStyle name="Normal 13 59" xfId="4232" xr:uid="{00000000-0005-0000-0000-000071130000}"/>
    <cellStyle name="Normal 13 59 2" xfId="16268" xr:uid="{00000000-0005-0000-0000-000072130000}"/>
    <cellStyle name="Normal 13 6" xfId="4233" xr:uid="{00000000-0005-0000-0000-000073130000}"/>
    <cellStyle name="Normal 13 6 2" xfId="16269" xr:uid="{00000000-0005-0000-0000-000074130000}"/>
    <cellStyle name="Normal 13 60" xfId="4234" xr:uid="{00000000-0005-0000-0000-000075130000}"/>
    <cellStyle name="Normal 13 60 2" xfId="16270" xr:uid="{00000000-0005-0000-0000-000076130000}"/>
    <cellStyle name="Normal 13 61" xfId="4235" xr:uid="{00000000-0005-0000-0000-000077130000}"/>
    <cellStyle name="Normal 13 61 2" xfId="16271" xr:uid="{00000000-0005-0000-0000-000078130000}"/>
    <cellStyle name="Normal 13 62" xfId="4236" xr:uid="{00000000-0005-0000-0000-000079130000}"/>
    <cellStyle name="Normal 13 62 2" xfId="16272" xr:uid="{00000000-0005-0000-0000-00007A130000}"/>
    <cellStyle name="Normal 13 63" xfId="4237" xr:uid="{00000000-0005-0000-0000-00007B130000}"/>
    <cellStyle name="Normal 13 63 2" xfId="16273" xr:uid="{00000000-0005-0000-0000-00007C130000}"/>
    <cellStyle name="Normal 13 64" xfId="4238" xr:uid="{00000000-0005-0000-0000-00007D130000}"/>
    <cellStyle name="Normal 13 64 2" xfId="16274" xr:uid="{00000000-0005-0000-0000-00007E130000}"/>
    <cellStyle name="Normal 13 65" xfId="4239" xr:uid="{00000000-0005-0000-0000-00007F130000}"/>
    <cellStyle name="Normal 13 65 2" xfId="16275" xr:uid="{00000000-0005-0000-0000-000080130000}"/>
    <cellStyle name="Normal 13 66" xfId="4240" xr:uid="{00000000-0005-0000-0000-000081130000}"/>
    <cellStyle name="Normal 13 66 2" xfId="16276" xr:uid="{00000000-0005-0000-0000-000082130000}"/>
    <cellStyle name="Normal 13 67" xfId="4241" xr:uid="{00000000-0005-0000-0000-000083130000}"/>
    <cellStyle name="Normal 13 67 2" xfId="16277" xr:uid="{00000000-0005-0000-0000-000084130000}"/>
    <cellStyle name="Normal 13 68" xfId="4242" xr:uid="{00000000-0005-0000-0000-000085130000}"/>
    <cellStyle name="Normal 13 68 2" xfId="16278" xr:uid="{00000000-0005-0000-0000-000086130000}"/>
    <cellStyle name="Normal 13 69" xfId="4243" xr:uid="{00000000-0005-0000-0000-000087130000}"/>
    <cellStyle name="Normal 13 69 2" xfId="16279" xr:uid="{00000000-0005-0000-0000-000088130000}"/>
    <cellStyle name="Normal 13 7" xfId="4244" xr:uid="{00000000-0005-0000-0000-000089130000}"/>
    <cellStyle name="Normal 13 7 2" xfId="16280" xr:uid="{00000000-0005-0000-0000-00008A130000}"/>
    <cellStyle name="Normal 13 70" xfId="4245" xr:uid="{00000000-0005-0000-0000-00008B130000}"/>
    <cellStyle name="Normal 13 70 2" xfId="16281" xr:uid="{00000000-0005-0000-0000-00008C130000}"/>
    <cellStyle name="Normal 13 71" xfId="4246" xr:uid="{00000000-0005-0000-0000-00008D130000}"/>
    <cellStyle name="Normal 13 71 2" xfId="16282" xr:uid="{00000000-0005-0000-0000-00008E130000}"/>
    <cellStyle name="Normal 13 72" xfId="4247" xr:uid="{00000000-0005-0000-0000-00008F130000}"/>
    <cellStyle name="Normal 13 72 2" xfId="16283" xr:uid="{00000000-0005-0000-0000-000090130000}"/>
    <cellStyle name="Normal 13 73" xfId="4248" xr:uid="{00000000-0005-0000-0000-000091130000}"/>
    <cellStyle name="Normal 13 73 2" xfId="16284" xr:uid="{00000000-0005-0000-0000-000092130000}"/>
    <cellStyle name="Normal 13 74" xfId="4249" xr:uid="{00000000-0005-0000-0000-000093130000}"/>
    <cellStyle name="Normal 13 74 2" xfId="16285" xr:uid="{00000000-0005-0000-0000-000094130000}"/>
    <cellStyle name="Normal 13 75" xfId="4250" xr:uid="{00000000-0005-0000-0000-000095130000}"/>
    <cellStyle name="Normal 13 75 2" xfId="16286" xr:uid="{00000000-0005-0000-0000-000096130000}"/>
    <cellStyle name="Normal 13 76" xfId="4251" xr:uid="{00000000-0005-0000-0000-000097130000}"/>
    <cellStyle name="Normal 13 76 2" xfId="16287" xr:uid="{00000000-0005-0000-0000-000098130000}"/>
    <cellStyle name="Normal 13 77" xfId="4252" xr:uid="{00000000-0005-0000-0000-000099130000}"/>
    <cellStyle name="Normal 13 77 2" xfId="16288" xr:uid="{00000000-0005-0000-0000-00009A130000}"/>
    <cellStyle name="Normal 13 78" xfId="4253" xr:uid="{00000000-0005-0000-0000-00009B130000}"/>
    <cellStyle name="Normal 13 78 2" xfId="16289" xr:uid="{00000000-0005-0000-0000-00009C130000}"/>
    <cellStyle name="Normal 13 79" xfId="4254" xr:uid="{00000000-0005-0000-0000-00009D130000}"/>
    <cellStyle name="Normal 13 79 2" xfId="16290" xr:uid="{00000000-0005-0000-0000-00009E130000}"/>
    <cellStyle name="Normal 13 8" xfId="4255" xr:uid="{00000000-0005-0000-0000-00009F130000}"/>
    <cellStyle name="Normal 13 8 2" xfId="16291" xr:uid="{00000000-0005-0000-0000-0000A0130000}"/>
    <cellStyle name="Normal 13 80" xfId="4256" xr:uid="{00000000-0005-0000-0000-0000A1130000}"/>
    <cellStyle name="Normal 13 80 2" xfId="16292" xr:uid="{00000000-0005-0000-0000-0000A2130000}"/>
    <cellStyle name="Normal 13 81" xfId="4257" xr:uid="{00000000-0005-0000-0000-0000A3130000}"/>
    <cellStyle name="Normal 13 81 2" xfId="16293" xr:uid="{00000000-0005-0000-0000-0000A4130000}"/>
    <cellStyle name="Normal 13 82" xfId="4258" xr:uid="{00000000-0005-0000-0000-0000A5130000}"/>
    <cellStyle name="Normal 13 82 2" xfId="16294" xr:uid="{00000000-0005-0000-0000-0000A6130000}"/>
    <cellStyle name="Normal 13 83" xfId="15019" xr:uid="{00000000-0005-0000-0000-0000A7130000}"/>
    <cellStyle name="Normal 13 9" xfId="4259" xr:uid="{00000000-0005-0000-0000-0000A8130000}"/>
    <cellStyle name="Normal 13 9 2" xfId="16295" xr:uid="{00000000-0005-0000-0000-0000A9130000}"/>
    <cellStyle name="Normal 130" xfId="255" xr:uid="{00000000-0005-0000-0000-0000AA130000}"/>
    <cellStyle name="Normal 130 2" xfId="812" xr:uid="{00000000-0005-0000-0000-0000AB130000}"/>
    <cellStyle name="Normal 130 3" xfId="683" xr:uid="{00000000-0005-0000-0000-0000AC130000}"/>
    <cellStyle name="Normal 130 4" xfId="471" xr:uid="{00000000-0005-0000-0000-0000AD130000}"/>
    <cellStyle name="Normal 131" xfId="256" xr:uid="{00000000-0005-0000-0000-0000AE130000}"/>
    <cellStyle name="Normal 131 2" xfId="684" xr:uid="{00000000-0005-0000-0000-0000AF130000}"/>
    <cellStyle name="Normal 131 3" xfId="472" xr:uid="{00000000-0005-0000-0000-0000B0130000}"/>
    <cellStyle name="Normal 132" xfId="257" xr:uid="{00000000-0005-0000-0000-0000B1130000}"/>
    <cellStyle name="Normal 132 2" xfId="685" xr:uid="{00000000-0005-0000-0000-0000B2130000}"/>
    <cellStyle name="Normal 132 3" xfId="473" xr:uid="{00000000-0005-0000-0000-0000B3130000}"/>
    <cellStyle name="Normal 133" xfId="258" xr:uid="{00000000-0005-0000-0000-0000B4130000}"/>
    <cellStyle name="Normal 133 2" xfId="686" xr:uid="{00000000-0005-0000-0000-0000B5130000}"/>
    <cellStyle name="Normal 133 3" xfId="474" xr:uid="{00000000-0005-0000-0000-0000B6130000}"/>
    <cellStyle name="Normal 134" xfId="259" xr:uid="{00000000-0005-0000-0000-0000B7130000}"/>
    <cellStyle name="Normal 134 10" xfId="475" xr:uid="{00000000-0005-0000-0000-0000B8130000}"/>
    <cellStyle name="Normal 134 2" xfId="572" xr:uid="{00000000-0005-0000-0000-0000B9130000}"/>
    <cellStyle name="Normal 134 2 2" xfId="817" xr:uid="{00000000-0005-0000-0000-0000BA130000}"/>
    <cellStyle name="Normal 134 2 3" xfId="687" xr:uid="{00000000-0005-0000-0000-0000BB130000}"/>
    <cellStyle name="Normal 134 3" xfId="991" xr:uid="{00000000-0005-0000-0000-0000BC130000}"/>
    <cellStyle name="Normal 134 4" xfId="1314" xr:uid="{00000000-0005-0000-0000-0000BD130000}"/>
    <cellStyle name="Normal 134 5" xfId="1379" xr:uid="{00000000-0005-0000-0000-0000BE130000}"/>
    <cellStyle name="Normal 134 6" xfId="1435" xr:uid="{00000000-0005-0000-0000-0000BF130000}"/>
    <cellStyle name="Normal 134 7" xfId="1464" xr:uid="{00000000-0005-0000-0000-0000C0130000}"/>
    <cellStyle name="Normal 134 8" xfId="1487" xr:uid="{00000000-0005-0000-0000-0000C1130000}"/>
    <cellStyle name="Normal 134 9" xfId="1496" xr:uid="{00000000-0005-0000-0000-0000C2130000}"/>
    <cellStyle name="Normal 135" xfId="260" xr:uid="{00000000-0005-0000-0000-0000C3130000}"/>
    <cellStyle name="Normal 135 10" xfId="476" xr:uid="{00000000-0005-0000-0000-0000C4130000}"/>
    <cellStyle name="Normal 135 2" xfId="573" xr:uid="{00000000-0005-0000-0000-0000C5130000}"/>
    <cellStyle name="Normal 135 2 2" xfId="818" xr:uid="{00000000-0005-0000-0000-0000C6130000}"/>
    <cellStyle name="Normal 135 2 3" xfId="688" xr:uid="{00000000-0005-0000-0000-0000C7130000}"/>
    <cellStyle name="Normal 135 3" xfId="992" xr:uid="{00000000-0005-0000-0000-0000C8130000}"/>
    <cellStyle name="Normal 135 4" xfId="869" xr:uid="{00000000-0005-0000-0000-0000C9130000}"/>
    <cellStyle name="Normal 135 5" xfId="1287" xr:uid="{00000000-0005-0000-0000-0000CA130000}"/>
    <cellStyle name="Normal 135 6" xfId="1354" xr:uid="{00000000-0005-0000-0000-0000CB130000}"/>
    <cellStyle name="Normal 135 7" xfId="1416" xr:uid="{00000000-0005-0000-0000-0000CC130000}"/>
    <cellStyle name="Normal 135 8" xfId="1454" xr:uid="{00000000-0005-0000-0000-0000CD130000}"/>
    <cellStyle name="Normal 135 9" xfId="1480" xr:uid="{00000000-0005-0000-0000-0000CE130000}"/>
    <cellStyle name="Normal 136" xfId="261" xr:uid="{00000000-0005-0000-0000-0000CF130000}"/>
    <cellStyle name="Normal 136 10" xfId="1194" xr:uid="{00000000-0005-0000-0000-0000D0130000}"/>
    <cellStyle name="Normal 136 11" xfId="1182" xr:uid="{00000000-0005-0000-0000-0000D1130000}"/>
    <cellStyle name="Normal 136 12" xfId="477" xr:uid="{00000000-0005-0000-0000-0000D2130000}"/>
    <cellStyle name="Normal 136 2" xfId="574" xr:uid="{00000000-0005-0000-0000-0000D3130000}"/>
    <cellStyle name="Normal 136 3" xfId="813" xr:uid="{00000000-0005-0000-0000-0000D4130000}"/>
    <cellStyle name="Normal 136 4" xfId="689" xr:uid="{00000000-0005-0000-0000-0000D5130000}"/>
    <cellStyle name="Normal 136 5" xfId="993" xr:uid="{00000000-0005-0000-0000-0000D6130000}"/>
    <cellStyle name="Normal 136 6" xfId="1217" xr:uid="{00000000-0005-0000-0000-0000D7130000}"/>
    <cellStyle name="Normal 136 7" xfId="978" xr:uid="{00000000-0005-0000-0000-0000D8130000}"/>
    <cellStyle name="Normal 136 8" xfId="1228" xr:uid="{00000000-0005-0000-0000-0000D9130000}"/>
    <cellStyle name="Normal 136 9" xfId="1165" xr:uid="{00000000-0005-0000-0000-0000DA130000}"/>
    <cellStyle name="Normal 137" xfId="262" xr:uid="{00000000-0005-0000-0000-0000DB130000}"/>
    <cellStyle name="Normal 137 10" xfId="478" xr:uid="{00000000-0005-0000-0000-0000DC130000}"/>
    <cellStyle name="Normal 137 2" xfId="575" xr:uid="{00000000-0005-0000-0000-0000DD130000}"/>
    <cellStyle name="Normal 137 2 2" xfId="819" xr:uid="{00000000-0005-0000-0000-0000DE130000}"/>
    <cellStyle name="Normal 137 2 3" xfId="690" xr:uid="{00000000-0005-0000-0000-0000DF130000}"/>
    <cellStyle name="Normal 137 3" xfId="994" xr:uid="{00000000-0005-0000-0000-0000E0130000}"/>
    <cellStyle name="Normal 137 4" xfId="1313" xr:uid="{00000000-0005-0000-0000-0000E1130000}"/>
    <cellStyle name="Normal 137 5" xfId="1378" xr:uid="{00000000-0005-0000-0000-0000E2130000}"/>
    <cellStyle name="Normal 137 6" xfId="1434" xr:uid="{00000000-0005-0000-0000-0000E3130000}"/>
    <cellStyle name="Normal 137 7" xfId="1463" xr:uid="{00000000-0005-0000-0000-0000E4130000}"/>
    <cellStyle name="Normal 137 8" xfId="1486" xr:uid="{00000000-0005-0000-0000-0000E5130000}"/>
    <cellStyle name="Normal 137 9" xfId="1495" xr:uid="{00000000-0005-0000-0000-0000E6130000}"/>
    <cellStyle name="Normal 138" xfId="263" xr:uid="{00000000-0005-0000-0000-0000E7130000}"/>
    <cellStyle name="Normal 138 10" xfId="479" xr:uid="{00000000-0005-0000-0000-0000E8130000}"/>
    <cellStyle name="Normal 138 2" xfId="576" xr:uid="{00000000-0005-0000-0000-0000E9130000}"/>
    <cellStyle name="Normal 138 2 2" xfId="820" xr:uid="{00000000-0005-0000-0000-0000EA130000}"/>
    <cellStyle name="Normal 138 2 3" xfId="691" xr:uid="{00000000-0005-0000-0000-0000EB130000}"/>
    <cellStyle name="Normal 138 3" xfId="995" xr:uid="{00000000-0005-0000-0000-0000EC130000}"/>
    <cellStyle name="Normal 138 4" xfId="1218" xr:uid="{00000000-0005-0000-0000-0000ED130000}"/>
    <cellStyle name="Normal 138 5" xfId="1170" xr:uid="{00000000-0005-0000-0000-0000EE130000}"/>
    <cellStyle name="Normal 138 6" xfId="1091" xr:uid="{00000000-0005-0000-0000-0000EF130000}"/>
    <cellStyle name="Normal 138 7" xfId="901" xr:uid="{00000000-0005-0000-0000-0000F0130000}"/>
    <cellStyle name="Normal 138 8" xfId="945" xr:uid="{00000000-0005-0000-0000-0000F1130000}"/>
    <cellStyle name="Normal 138 9" xfId="879" xr:uid="{00000000-0005-0000-0000-0000F2130000}"/>
    <cellStyle name="Normal 139" xfId="264" xr:uid="{00000000-0005-0000-0000-0000F3130000}"/>
    <cellStyle name="Normal 139 10" xfId="480" xr:uid="{00000000-0005-0000-0000-0000F4130000}"/>
    <cellStyle name="Normal 139 2" xfId="577" xr:uid="{00000000-0005-0000-0000-0000F5130000}"/>
    <cellStyle name="Normal 139 2 2" xfId="821" xr:uid="{00000000-0005-0000-0000-0000F6130000}"/>
    <cellStyle name="Normal 139 2 3" xfId="692" xr:uid="{00000000-0005-0000-0000-0000F7130000}"/>
    <cellStyle name="Normal 139 3" xfId="996" xr:uid="{00000000-0005-0000-0000-0000F8130000}"/>
    <cellStyle name="Normal 139 4" xfId="868" xr:uid="{00000000-0005-0000-0000-0000F9130000}"/>
    <cellStyle name="Normal 139 5" xfId="955" xr:uid="{00000000-0005-0000-0000-0000FA130000}"/>
    <cellStyle name="Normal 139 6" xfId="1238" xr:uid="{00000000-0005-0000-0000-0000FB130000}"/>
    <cellStyle name="Normal 139 7" xfId="826" xr:uid="{00000000-0005-0000-0000-0000FC130000}"/>
    <cellStyle name="Normal 139 8" xfId="972" xr:uid="{00000000-0005-0000-0000-0000FD130000}"/>
    <cellStyle name="Normal 139 9" xfId="1231" xr:uid="{00000000-0005-0000-0000-0000FE130000}"/>
    <cellStyle name="Normal 14" xfId="138" xr:uid="{00000000-0005-0000-0000-0000FF130000}"/>
    <cellStyle name="Normal 14 10" xfId="4260" xr:uid="{00000000-0005-0000-0000-000000140000}"/>
    <cellStyle name="Normal 14 10 2" xfId="16296" xr:uid="{00000000-0005-0000-0000-000001140000}"/>
    <cellStyle name="Normal 14 11" xfId="4261" xr:uid="{00000000-0005-0000-0000-000002140000}"/>
    <cellStyle name="Normal 14 11 2" xfId="16297" xr:uid="{00000000-0005-0000-0000-000003140000}"/>
    <cellStyle name="Normal 14 12" xfId="4262" xr:uid="{00000000-0005-0000-0000-000004140000}"/>
    <cellStyle name="Normal 14 12 2" xfId="16298" xr:uid="{00000000-0005-0000-0000-000005140000}"/>
    <cellStyle name="Normal 14 13" xfId="4263" xr:uid="{00000000-0005-0000-0000-000006140000}"/>
    <cellStyle name="Normal 14 13 2" xfId="16299" xr:uid="{00000000-0005-0000-0000-000007140000}"/>
    <cellStyle name="Normal 14 14" xfId="4264" xr:uid="{00000000-0005-0000-0000-000008140000}"/>
    <cellStyle name="Normal 14 14 2" xfId="16300" xr:uid="{00000000-0005-0000-0000-000009140000}"/>
    <cellStyle name="Normal 14 15" xfId="4265" xr:uid="{00000000-0005-0000-0000-00000A140000}"/>
    <cellStyle name="Normal 14 15 2" xfId="16301" xr:uid="{00000000-0005-0000-0000-00000B140000}"/>
    <cellStyle name="Normal 14 16" xfId="4266" xr:uid="{00000000-0005-0000-0000-00000C140000}"/>
    <cellStyle name="Normal 14 16 2" xfId="16302" xr:uid="{00000000-0005-0000-0000-00000D140000}"/>
    <cellStyle name="Normal 14 17" xfId="4267" xr:uid="{00000000-0005-0000-0000-00000E140000}"/>
    <cellStyle name="Normal 14 17 2" xfId="16303" xr:uid="{00000000-0005-0000-0000-00000F140000}"/>
    <cellStyle name="Normal 14 18" xfId="4268" xr:uid="{00000000-0005-0000-0000-000010140000}"/>
    <cellStyle name="Normal 14 18 2" xfId="16304" xr:uid="{00000000-0005-0000-0000-000011140000}"/>
    <cellStyle name="Normal 14 19" xfId="4269" xr:uid="{00000000-0005-0000-0000-000012140000}"/>
    <cellStyle name="Normal 14 19 2" xfId="16305" xr:uid="{00000000-0005-0000-0000-000013140000}"/>
    <cellStyle name="Normal 14 2" xfId="161" xr:uid="{00000000-0005-0000-0000-000014140000}"/>
    <cellStyle name="Normal 14 2 10" xfId="4270" xr:uid="{00000000-0005-0000-0000-000015140000}"/>
    <cellStyle name="Normal 14 2 10 2" xfId="16306" xr:uid="{00000000-0005-0000-0000-000016140000}"/>
    <cellStyle name="Normal 14 2 11" xfId="4271" xr:uid="{00000000-0005-0000-0000-000017140000}"/>
    <cellStyle name="Normal 14 2 11 2" xfId="16307" xr:uid="{00000000-0005-0000-0000-000018140000}"/>
    <cellStyle name="Normal 14 2 12" xfId="4272" xr:uid="{00000000-0005-0000-0000-000019140000}"/>
    <cellStyle name="Normal 14 2 12 2" xfId="16308" xr:uid="{00000000-0005-0000-0000-00001A140000}"/>
    <cellStyle name="Normal 14 2 13" xfId="4273" xr:uid="{00000000-0005-0000-0000-00001B140000}"/>
    <cellStyle name="Normal 14 2 13 2" xfId="16309" xr:uid="{00000000-0005-0000-0000-00001C140000}"/>
    <cellStyle name="Normal 14 2 14" xfId="4274" xr:uid="{00000000-0005-0000-0000-00001D140000}"/>
    <cellStyle name="Normal 14 2 14 2" xfId="16310" xr:uid="{00000000-0005-0000-0000-00001E140000}"/>
    <cellStyle name="Normal 14 2 15" xfId="4275" xr:uid="{00000000-0005-0000-0000-00001F140000}"/>
    <cellStyle name="Normal 14 2 15 2" xfId="16311" xr:uid="{00000000-0005-0000-0000-000020140000}"/>
    <cellStyle name="Normal 14 2 16" xfId="4276" xr:uid="{00000000-0005-0000-0000-000021140000}"/>
    <cellStyle name="Normal 14 2 16 2" xfId="16312" xr:uid="{00000000-0005-0000-0000-000022140000}"/>
    <cellStyle name="Normal 14 2 17" xfId="4277" xr:uid="{00000000-0005-0000-0000-000023140000}"/>
    <cellStyle name="Normal 14 2 17 2" xfId="16313" xr:uid="{00000000-0005-0000-0000-000024140000}"/>
    <cellStyle name="Normal 14 2 18" xfId="4278" xr:uid="{00000000-0005-0000-0000-000025140000}"/>
    <cellStyle name="Normal 14 2 18 2" xfId="16314" xr:uid="{00000000-0005-0000-0000-000026140000}"/>
    <cellStyle name="Normal 14 2 19" xfId="4279" xr:uid="{00000000-0005-0000-0000-000027140000}"/>
    <cellStyle name="Normal 14 2 19 2" xfId="16315" xr:uid="{00000000-0005-0000-0000-000028140000}"/>
    <cellStyle name="Normal 14 2 2" xfId="4280" xr:uid="{00000000-0005-0000-0000-000029140000}"/>
    <cellStyle name="Normal 14 2 2 2" xfId="16316" xr:uid="{00000000-0005-0000-0000-00002A140000}"/>
    <cellStyle name="Normal 14 2 20" xfId="4281" xr:uid="{00000000-0005-0000-0000-00002B140000}"/>
    <cellStyle name="Normal 14 2 20 2" xfId="16317" xr:uid="{00000000-0005-0000-0000-00002C140000}"/>
    <cellStyle name="Normal 14 2 21" xfId="4282" xr:uid="{00000000-0005-0000-0000-00002D140000}"/>
    <cellStyle name="Normal 14 2 21 2" xfId="16318" xr:uid="{00000000-0005-0000-0000-00002E140000}"/>
    <cellStyle name="Normal 14 2 22" xfId="4283" xr:uid="{00000000-0005-0000-0000-00002F140000}"/>
    <cellStyle name="Normal 14 2 22 2" xfId="16319" xr:uid="{00000000-0005-0000-0000-000030140000}"/>
    <cellStyle name="Normal 14 2 23" xfId="4284" xr:uid="{00000000-0005-0000-0000-000031140000}"/>
    <cellStyle name="Normal 14 2 23 2" xfId="16320" xr:uid="{00000000-0005-0000-0000-000032140000}"/>
    <cellStyle name="Normal 14 2 24" xfId="4285" xr:uid="{00000000-0005-0000-0000-000033140000}"/>
    <cellStyle name="Normal 14 2 24 2" xfId="16321" xr:uid="{00000000-0005-0000-0000-000034140000}"/>
    <cellStyle name="Normal 14 2 25" xfId="4286" xr:uid="{00000000-0005-0000-0000-000035140000}"/>
    <cellStyle name="Normal 14 2 25 2" xfId="16322" xr:uid="{00000000-0005-0000-0000-000036140000}"/>
    <cellStyle name="Normal 14 2 26" xfId="4287" xr:uid="{00000000-0005-0000-0000-000037140000}"/>
    <cellStyle name="Normal 14 2 26 2" xfId="16323" xr:uid="{00000000-0005-0000-0000-000038140000}"/>
    <cellStyle name="Normal 14 2 27" xfId="4288" xr:uid="{00000000-0005-0000-0000-000039140000}"/>
    <cellStyle name="Normal 14 2 27 2" xfId="16324" xr:uid="{00000000-0005-0000-0000-00003A140000}"/>
    <cellStyle name="Normal 14 2 28" xfId="4289" xr:uid="{00000000-0005-0000-0000-00003B140000}"/>
    <cellStyle name="Normal 14 2 28 2" xfId="16325" xr:uid="{00000000-0005-0000-0000-00003C140000}"/>
    <cellStyle name="Normal 14 2 29" xfId="4290" xr:uid="{00000000-0005-0000-0000-00003D140000}"/>
    <cellStyle name="Normal 14 2 29 2" xfId="16326" xr:uid="{00000000-0005-0000-0000-00003E140000}"/>
    <cellStyle name="Normal 14 2 3" xfId="4291" xr:uid="{00000000-0005-0000-0000-00003F140000}"/>
    <cellStyle name="Normal 14 2 3 2" xfId="16327" xr:uid="{00000000-0005-0000-0000-000040140000}"/>
    <cellStyle name="Normal 14 2 30" xfId="4292" xr:uid="{00000000-0005-0000-0000-000041140000}"/>
    <cellStyle name="Normal 14 2 30 2" xfId="16328" xr:uid="{00000000-0005-0000-0000-000042140000}"/>
    <cellStyle name="Normal 14 2 31" xfId="4293" xr:uid="{00000000-0005-0000-0000-000043140000}"/>
    <cellStyle name="Normal 14 2 31 2" xfId="16329" xr:uid="{00000000-0005-0000-0000-000044140000}"/>
    <cellStyle name="Normal 14 2 32" xfId="4294" xr:uid="{00000000-0005-0000-0000-000045140000}"/>
    <cellStyle name="Normal 14 2 32 2" xfId="16330" xr:uid="{00000000-0005-0000-0000-000046140000}"/>
    <cellStyle name="Normal 14 2 33" xfId="4295" xr:uid="{00000000-0005-0000-0000-000047140000}"/>
    <cellStyle name="Normal 14 2 33 2" xfId="16331" xr:uid="{00000000-0005-0000-0000-000048140000}"/>
    <cellStyle name="Normal 14 2 34" xfId="4296" xr:uid="{00000000-0005-0000-0000-000049140000}"/>
    <cellStyle name="Normal 14 2 34 2" xfId="16332" xr:uid="{00000000-0005-0000-0000-00004A140000}"/>
    <cellStyle name="Normal 14 2 35" xfId="4297" xr:uid="{00000000-0005-0000-0000-00004B140000}"/>
    <cellStyle name="Normal 14 2 35 2" xfId="16333" xr:uid="{00000000-0005-0000-0000-00004C140000}"/>
    <cellStyle name="Normal 14 2 36" xfId="4298" xr:uid="{00000000-0005-0000-0000-00004D140000}"/>
    <cellStyle name="Normal 14 2 36 2" xfId="16334" xr:uid="{00000000-0005-0000-0000-00004E140000}"/>
    <cellStyle name="Normal 14 2 37" xfId="4299" xr:uid="{00000000-0005-0000-0000-00004F140000}"/>
    <cellStyle name="Normal 14 2 37 2" xfId="16335" xr:uid="{00000000-0005-0000-0000-000050140000}"/>
    <cellStyle name="Normal 14 2 38" xfId="4300" xr:uid="{00000000-0005-0000-0000-000051140000}"/>
    <cellStyle name="Normal 14 2 38 2" xfId="16336" xr:uid="{00000000-0005-0000-0000-000052140000}"/>
    <cellStyle name="Normal 14 2 39" xfId="4301" xr:uid="{00000000-0005-0000-0000-000053140000}"/>
    <cellStyle name="Normal 14 2 39 2" xfId="16337" xr:uid="{00000000-0005-0000-0000-000054140000}"/>
    <cellStyle name="Normal 14 2 4" xfId="4302" xr:uid="{00000000-0005-0000-0000-000055140000}"/>
    <cellStyle name="Normal 14 2 4 2" xfId="16338" xr:uid="{00000000-0005-0000-0000-000056140000}"/>
    <cellStyle name="Normal 14 2 40" xfId="4303" xr:uid="{00000000-0005-0000-0000-000057140000}"/>
    <cellStyle name="Normal 14 2 40 2" xfId="16339" xr:uid="{00000000-0005-0000-0000-000058140000}"/>
    <cellStyle name="Normal 14 2 41" xfId="4304" xr:uid="{00000000-0005-0000-0000-000059140000}"/>
    <cellStyle name="Normal 14 2 41 2" xfId="16340" xr:uid="{00000000-0005-0000-0000-00005A140000}"/>
    <cellStyle name="Normal 14 2 42" xfId="4305" xr:uid="{00000000-0005-0000-0000-00005B140000}"/>
    <cellStyle name="Normal 14 2 42 2" xfId="16341" xr:uid="{00000000-0005-0000-0000-00005C140000}"/>
    <cellStyle name="Normal 14 2 43" xfId="4306" xr:uid="{00000000-0005-0000-0000-00005D140000}"/>
    <cellStyle name="Normal 14 2 43 2" xfId="16342" xr:uid="{00000000-0005-0000-0000-00005E140000}"/>
    <cellStyle name="Normal 14 2 44" xfId="4307" xr:uid="{00000000-0005-0000-0000-00005F140000}"/>
    <cellStyle name="Normal 14 2 44 2" xfId="16343" xr:uid="{00000000-0005-0000-0000-000060140000}"/>
    <cellStyle name="Normal 14 2 45" xfId="4308" xr:uid="{00000000-0005-0000-0000-000061140000}"/>
    <cellStyle name="Normal 14 2 45 2" xfId="16344" xr:uid="{00000000-0005-0000-0000-000062140000}"/>
    <cellStyle name="Normal 14 2 46" xfId="4309" xr:uid="{00000000-0005-0000-0000-000063140000}"/>
    <cellStyle name="Normal 14 2 46 2" xfId="16345" xr:uid="{00000000-0005-0000-0000-000064140000}"/>
    <cellStyle name="Normal 14 2 47" xfId="4310" xr:uid="{00000000-0005-0000-0000-000065140000}"/>
    <cellStyle name="Normal 14 2 47 2" xfId="16346" xr:uid="{00000000-0005-0000-0000-000066140000}"/>
    <cellStyle name="Normal 14 2 48" xfId="4311" xr:uid="{00000000-0005-0000-0000-000067140000}"/>
    <cellStyle name="Normal 14 2 48 2" xfId="16347" xr:uid="{00000000-0005-0000-0000-000068140000}"/>
    <cellStyle name="Normal 14 2 49" xfId="4312" xr:uid="{00000000-0005-0000-0000-000069140000}"/>
    <cellStyle name="Normal 14 2 49 2" xfId="16348" xr:uid="{00000000-0005-0000-0000-00006A140000}"/>
    <cellStyle name="Normal 14 2 5" xfId="4313" xr:uid="{00000000-0005-0000-0000-00006B140000}"/>
    <cellStyle name="Normal 14 2 5 2" xfId="16349" xr:uid="{00000000-0005-0000-0000-00006C140000}"/>
    <cellStyle name="Normal 14 2 50" xfId="4314" xr:uid="{00000000-0005-0000-0000-00006D140000}"/>
    <cellStyle name="Normal 14 2 50 2" xfId="16350" xr:uid="{00000000-0005-0000-0000-00006E140000}"/>
    <cellStyle name="Normal 14 2 51" xfId="4315" xr:uid="{00000000-0005-0000-0000-00006F140000}"/>
    <cellStyle name="Normal 14 2 51 2" xfId="16351" xr:uid="{00000000-0005-0000-0000-000070140000}"/>
    <cellStyle name="Normal 14 2 52" xfId="4316" xr:uid="{00000000-0005-0000-0000-000071140000}"/>
    <cellStyle name="Normal 14 2 52 2" xfId="16352" xr:uid="{00000000-0005-0000-0000-000072140000}"/>
    <cellStyle name="Normal 14 2 53" xfId="4317" xr:uid="{00000000-0005-0000-0000-000073140000}"/>
    <cellStyle name="Normal 14 2 53 2" xfId="16353" xr:uid="{00000000-0005-0000-0000-000074140000}"/>
    <cellStyle name="Normal 14 2 54" xfId="4318" xr:uid="{00000000-0005-0000-0000-000075140000}"/>
    <cellStyle name="Normal 14 2 54 2" xfId="16354" xr:uid="{00000000-0005-0000-0000-000076140000}"/>
    <cellStyle name="Normal 14 2 55" xfId="4319" xr:uid="{00000000-0005-0000-0000-000077140000}"/>
    <cellStyle name="Normal 14 2 55 2" xfId="16355" xr:uid="{00000000-0005-0000-0000-000078140000}"/>
    <cellStyle name="Normal 14 2 56" xfId="4320" xr:uid="{00000000-0005-0000-0000-000079140000}"/>
    <cellStyle name="Normal 14 2 56 2" xfId="16356" xr:uid="{00000000-0005-0000-0000-00007A140000}"/>
    <cellStyle name="Normal 14 2 57" xfId="4321" xr:uid="{00000000-0005-0000-0000-00007B140000}"/>
    <cellStyle name="Normal 14 2 57 2" xfId="16357" xr:uid="{00000000-0005-0000-0000-00007C140000}"/>
    <cellStyle name="Normal 14 2 58" xfId="4322" xr:uid="{00000000-0005-0000-0000-00007D140000}"/>
    <cellStyle name="Normal 14 2 58 2" xfId="16358" xr:uid="{00000000-0005-0000-0000-00007E140000}"/>
    <cellStyle name="Normal 14 2 59" xfId="4323" xr:uid="{00000000-0005-0000-0000-00007F140000}"/>
    <cellStyle name="Normal 14 2 59 2" xfId="16359" xr:uid="{00000000-0005-0000-0000-000080140000}"/>
    <cellStyle name="Normal 14 2 6" xfId="4324" xr:uid="{00000000-0005-0000-0000-000081140000}"/>
    <cellStyle name="Normal 14 2 6 2" xfId="16360" xr:uid="{00000000-0005-0000-0000-000082140000}"/>
    <cellStyle name="Normal 14 2 60" xfId="4325" xr:uid="{00000000-0005-0000-0000-000083140000}"/>
    <cellStyle name="Normal 14 2 60 2" xfId="16361" xr:uid="{00000000-0005-0000-0000-000084140000}"/>
    <cellStyle name="Normal 14 2 61" xfId="4326" xr:uid="{00000000-0005-0000-0000-000085140000}"/>
    <cellStyle name="Normal 14 2 61 2" xfId="16362" xr:uid="{00000000-0005-0000-0000-000086140000}"/>
    <cellStyle name="Normal 14 2 62" xfId="4327" xr:uid="{00000000-0005-0000-0000-000087140000}"/>
    <cellStyle name="Normal 14 2 62 2" xfId="16363" xr:uid="{00000000-0005-0000-0000-000088140000}"/>
    <cellStyle name="Normal 14 2 63" xfId="4328" xr:uid="{00000000-0005-0000-0000-000089140000}"/>
    <cellStyle name="Normal 14 2 63 2" xfId="16364" xr:uid="{00000000-0005-0000-0000-00008A140000}"/>
    <cellStyle name="Normal 14 2 64" xfId="4329" xr:uid="{00000000-0005-0000-0000-00008B140000}"/>
    <cellStyle name="Normal 14 2 64 2" xfId="16365" xr:uid="{00000000-0005-0000-0000-00008C140000}"/>
    <cellStyle name="Normal 14 2 65" xfId="4330" xr:uid="{00000000-0005-0000-0000-00008D140000}"/>
    <cellStyle name="Normal 14 2 65 2" xfId="16366" xr:uid="{00000000-0005-0000-0000-00008E140000}"/>
    <cellStyle name="Normal 14 2 66" xfId="4331" xr:uid="{00000000-0005-0000-0000-00008F140000}"/>
    <cellStyle name="Normal 14 2 66 2" xfId="16367" xr:uid="{00000000-0005-0000-0000-000090140000}"/>
    <cellStyle name="Normal 14 2 67" xfId="4332" xr:uid="{00000000-0005-0000-0000-000091140000}"/>
    <cellStyle name="Normal 14 2 67 2" xfId="16368" xr:uid="{00000000-0005-0000-0000-000092140000}"/>
    <cellStyle name="Normal 14 2 68" xfId="4333" xr:uid="{00000000-0005-0000-0000-000093140000}"/>
    <cellStyle name="Normal 14 2 68 2" xfId="16369" xr:uid="{00000000-0005-0000-0000-000094140000}"/>
    <cellStyle name="Normal 14 2 69" xfId="4334" xr:uid="{00000000-0005-0000-0000-000095140000}"/>
    <cellStyle name="Normal 14 2 69 2" xfId="16370" xr:uid="{00000000-0005-0000-0000-000096140000}"/>
    <cellStyle name="Normal 14 2 7" xfId="4335" xr:uid="{00000000-0005-0000-0000-000097140000}"/>
    <cellStyle name="Normal 14 2 7 2" xfId="16371" xr:uid="{00000000-0005-0000-0000-000098140000}"/>
    <cellStyle name="Normal 14 2 70" xfId="4336" xr:uid="{00000000-0005-0000-0000-000099140000}"/>
    <cellStyle name="Normal 14 2 70 2" xfId="16372" xr:uid="{00000000-0005-0000-0000-00009A140000}"/>
    <cellStyle name="Normal 14 2 71" xfId="4337" xr:uid="{00000000-0005-0000-0000-00009B140000}"/>
    <cellStyle name="Normal 14 2 71 2" xfId="16373" xr:uid="{00000000-0005-0000-0000-00009C140000}"/>
    <cellStyle name="Normal 14 2 72" xfId="4338" xr:uid="{00000000-0005-0000-0000-00009D140000}"/>
    <cellStyle name="Normal 14 2 72 2" xfId="16374" xr:uid="{00000000-0005-0000-0000-00009E140000}"/>
    <cellStyle name="Normal 14 2 73" xfId="4339" xr:uid="{00000000-0005-0000-0000-00009F140000}"/>
    <cellStyle name="Normal 14 2 73 2" xfId="16375" xr:uid="{00000000-0005-0000-0000-0000A0140000}"/>
    <cellStyle name="Normal 14 2 74" xfId="4340" xr:uid="{00000000-0005-0000-0000-0000A1140000}"/>
    <cellStyle name="Normal 14 2 74 2" xfId="16376" xr:uid="{00000000-0005-0000-0000-0000A2140000}"/>
    <cellStyle name="Normal 14 2 75" xfId="4341" xr:uid="{00000000-0005-0000-0000-0000A3140000}"/>
    <cellStyle name="Normal 14 2 75 2" xfId="16377" xr:uid="{00000000-0005-0000-0000-0000A4140000}"/>
    <cellStyle name="Normal 14 2 76" xfId="4342" xr:uid="{00000000-0005-0000-0000-0000A5140000}"/>
    <cellStyle name="Normal 14 2 76 2" xfId="16378" xr:uid="{00000000-0005-0000-0000-0000A6140000}"/>
    <cellStyle name="Normal 14 2 77" xfId="4343" xr:uid="{00000000-0005-0000-0000-0000A7140000}"/>
    <cellStyle name="Normal 14 2 77 2" xfId="16379" xr:uid="{00000000-0005-0000-0000-0000A8140000}"/>
    <cellStyle name="Normal 14 2 78" xfId="4344" xr:uid="{00000000-0005-0000-0000-0000A9140000}"/>
    <cellStyle name="Normal 14 2 78 2" xfId="16380" xr:uid="{00000000-0005-0000-0000-0000AA140000}"/>
    <cellStyle name="Normal 14 2 79" xfId="4345" xr:uid="{00000000-0005-0000-0000-0000AB140000}"/>
    <cellStyle name="Normal 14 2 79 2" xfId="16381" xr:uid="{00000000-0005-0000-0000-0000AC140000}"/>
    <cellStyle name="Normal 14 2 8" xfId="4346" xr:uid="{00000000-0005-0000-0000-0000AD140000}"/>
    <cellStyle name="Normal 14 2 8 2" xfId="16382" xr:uid="{00000000-0005-0000-0000-0000AE140000}"/>
    <cellStyle name="Normal 14 2 80" xfId="15026" xr:uid="{00000000-0005-0000-0000-0000AF140000}"/>
    <cellStyle name="Normal 14 2 81" xfId="1602" xr:uid="{00000000-0005-0000-0000-0000B0140000}"/>
    <cellStyle name="Normal 14 2 9" xfId="4347" xr:uid="{00000000-0005-0000-0000-0000B1140000}"/>
    <cellStyle name="Normal 14 2 9 2" xfId="16383" xr:uid="{00000000-0005-0000-0000-0000B2140000}"/>
    <cellStyle name="Normal 14 20" xfId="4348" xr:uid="{00000000-0005-0000-0000-0000B3140000}"/>
    <cellStyle name="Normal 14 20 2" xfId="16384" xr:uid="{00000000-0005-0000-0000-0000B4140000}"/>
    <cellStyle name="Normal 14 21" xfId="4349" xr:uid="{00000000-0005-0000-0000-0000B5140000}"/>
    <cellStyle name="Normal 14 21 2" xfId="16385" xr:uid="{00000000-0005-0000-0000-0000B6140000}"/>
    <cellStyle name="Normal 14 22" xfId="4350" xr:uid="{00000000-0005-0000-0000-0000B7140000}"/>
    <cellStyle name="Normal 14 22 2" xfId="16386" xr:uid="{00000000-0005-0000-0000-0000B8140000}"/>
    <cellStyle name="Normal 14 23" xfId="4351" xr:uid="{00000000-0005-0000-0000-0000B9140000}"/>
    <cellStyle name="Normal 14 23 2" xfId="16387" xr:uid="{00000000-0005-0000-0000-0000BA140000}"/>
    <cellStyle name="Normal 14 24" xfId="4352" xr:uid="{00000000-0005-0000-0000-0000BB140000}"/>
    <cellStyle name="Normal 14 24 2" xfId="16388" xr:uid="{00000000-0005-0000-0000-0000BC140000}"/>
    <cellStyle name="Normal 14 25" xfId="4353" xr:uid="{00000000-0005-0000-0000-0000BD140000}"/>
    <cellStyle name="Normal 14 25 2" xfId="16389" xr:uid="{00000000-0005-0000-0000-0000BE140000}"/>
    <cellStyle name="Normal 14 26" xfId="4354" xr:uid="{00000000-0005-0000-0000-0000BF140000}"/>
    <cellStyle name="Normal 14 26 2" xfId="16390" xr:uid="{00000000-0005-0000-0000-0000C0140000}"/>
    <cellStyle name="Normal 14 27" xfId="4355" xr:uid="{00000000-0005-0000-0000-0000C1140000}"/>
    <cellStyle name="Normal 14 27 2" xfId="16391" xr:uid="{00000000-0005-0000-0000-0000C2140000}"/>
    <cellStyle name="Normal 14 28" xfId="4356" xr:uid="{00000000-0005-0000-0000-0000C3140000}"/>
    <cellStyle name="Normal 14 28 2" xfId="16392" xr:uid="{00000000-0005-0000-0000-0000C4140000}"/>
    <cellStyle name="Normal 14 29" xfId="4357" xr:uid="{00000000-0005-0000-0000-0000C5140000}"/>
    <cellStyle name="Normal 14 29 2" xfId="16393" xr:uid="{00000000-0005-0000-0000-0000C6140000}"/>
    <cellStyle name="Normal 14 3" xfId="693" xr:uid="{00000000-0005-0000-0000-0000C7140000}"/>
    <cellStyle name="Normal 14 3 10" xfId="4358" xr:uid="{00000000-0005-0000-0000-0000C8140000}"/>
    <cellStyle name="Normal 14 3 10 2" xfId="16394" xr:uid="{00000000-0005-0000-0000-0000C9140000}"/>
    <cellStyle name="Normal 14 3 11" xfId="4359" xr:uid="{00000000-0005-0000-0000-0000CA140000}"/>
    <cellStyle name="Normal 14 3 11 2" xfId="16395" xr:uid="{00000000-0005-0000-0000-0000CB140000}"/>
    <cellStyle name="Normal 14 3 12" xfId="4360" xr:uid="{00000000-0005-0000-0000-0000CC140000}"/>
    <cellStyle name="Normal 14 3 12 2" xfId="16396" xr:uid="{00000000-0005-0000-0000-0000CD140000}"/>
    <cellStyle name="Normal 14 3 13" xfId="4361" xr:uid="{00000000-0005-0000-0000-0000CE140000}"/>
    <cellStyle name="Normal 14 3 13 2" xfId="16397" xr:uid="{00000000-0005-0000-0000-0000CF140000}"/>
    <cellStyle name="Normal 14 3 14" xfId="4362" xr:uid="{00000000-0005-0000-0000-0000D0140000}"/>
    <cellStyle name="Normal 14 3 14 2" xfId="16398" xr:uid="{00000000-0005-0000-0000-0000D1140000}"/>
    <cellStyle name="Normal 14 3 15" xfId="4363" xr:uid="{00000000-0005-0000-0000-0000D2140000}"/>
    <cellStyle name="Normal 14 3 15 2" xfId="16399" xr:uid="{00000000-0005-0000-0000-0000D3140000}"/>
    <cellStyle name="Normal 14 3 16" xfId="4364" xr:uid="{00000000-0005-0000-0000-0000D4140000}"/>
    <cellStyle name="Normal 14 3 16 2" xfId="16400" xr:uid="{00000000-0005-0000-0000-0000D5140000}"/>
    <cellStyle name="Normal 14 3 17" xfId="4365" xr:uid="{00000000-0005-0000-0000-0000D6140000}"/>
    <cellStyle name="Normal 14 3 17 2" xfId="16401" xr:uid="{00000000-0005-0000-0000-0000D7140000}"/>
    <cellStyle name="Normal 14 3 18" xfId="4366" xr:uid="{00000000-0005-0000-0000-0000D8140000}"/>
    <cellStyle name="Normal 14 3 18 2" xfId="16402" xr:uid="{00000000-0005-0000-0000-0000D9140000}"/>
    <cellStyle name="Normal 14 3 19" xfId="4367" xr:uid="{00000000-0005-0000-0000-0000DA140000}"/>
    <cellStyle name="Normal 14 3 19 2" xfId="16403" xr:uid="{00000000-0005-0000-0000-0000DB140000}"/>
    <cellStyle name="Normal 14 3 2" xfId="4368" xr:uid="{00000000-0005-0000-0000-0000DC140000}"/>
    <cellStyle name="Normal 14 3 2 2" xfId="16404" xr:uid="{00000000-0005-0000-0000-0000DD140000}"/>
    <cellStyle name="Normal 14 3 20" xfId="4369" xr:uid="{00000000-0005-0000-0000-0000DE140000}"/>
    <cellStyle name="Normal 14 3 20 2" xfId="16405" xr:uid="{00000000-0005-0000-0000-0000DF140000}"/>
    <cellStyle name="Normal 14 3 21" xfId="4370" xr:uid="{00000000-0005-0000-0000-0000E0140000}"/>
    <cellStyle name="Normal 14 3 21 2" xfId="16406" xr:uid="{00000000-0005-0000-0000-0000E1140000}"/>
    <cellStyle name="Normal 14 3 22" xfId="4371" xr:uid="{00000000-0005-0000-0000-0000E2140000}"/>
    <cellStyle name="Normal 14 3 22 2" xfId="16407" xr:uid="{00000000-0005-0000-0000-0000E3140000}"/>
    <cellStyle name="Normal 14 3 23" xfId="4372" xr:uid="{00000000-0005-0000-0000-0000E4140000}"/>
    <cellStyle name="Normal 14 3 23 2" xfId="16408" xr:uid="{00000000-0005-0000-0000-0000E5140000}"/>
    <cellStyle name="Normal 14 3 24" xfId="4373" xr:uid="{00000000-0005-0000-0000-0000E6140000}"/>
    <cellStyle name="Normal 14 3 24 2" xfId="16409" xr:uid="{00000000-0005-0000-0000-0000E7140000}"/>
    <cellStyle name="Normal 14 3 25" xfId="4374" xr:uid="{00000000-0005-0000-0000-0000E8140000}"/>
    <cellStyle name="Normal 14 3 25 2" xfId="16410" xr:uid="{00000000-0005-0000-0000-0000E9140000}"/>
    <cellStyle name="Normal 14 3 26" xfId="4375" xr:uid="{00000000-0005-0000-0000-0000EA140000}"/>
    <cellStyle name="Normal 14 3 26 2" xfId="16411" xr:uid="{00000000-0005-0000-0000-0000EB140000}"/>
    <cellStyle name="Normal 14 3 27" xfId="4376" xr:uid="{00000000-0005-0000-0000-0000EC140000}"/>
    <cellStyle name="Normal 14 3 27 2" xfId="16412" xr:uid="{00000000-0005-0000-0000-0000ED140000}"/>
    <cellStyle name="Normal 14 3 28" xfId="4377" xr:uid="{00000000-0005-0000-0000-0000EE140000}"/>
    <cellStyle name="Normal 14 3 28 2" xfId="16413" xr:uid="{00000000-0005-0000-0000-0000EF140000}"/>
    <cellStyle name="Normal 14 3 29" xfId="4378" xr:uid="{00000000-0005-0000-0000-0000F0140000}"/>
    <cellStyle name="Normal 14 3 29 2" xfId="16414" xr:uid="{00000000-0005-0000-0000-0000F1140000}"/>
    <cellStyle name="Normal 14 3 3" xfId="4379" xr:uid="{00000000-0005-0000-0000-0000F2140000}"/>
    <cellStyle name="Normal 14 3 3 2" xfId="16415" xr:uid="{00000000-0005-0000-0000-0000F3140000}"/>
    <cellStyle name="Normal 14 3 30" xfId="4380" xr:uid="{00000000-0005-0000-0000-0000F4140000}"/>
    <cellStyle name="Normal 14 3 30 2" xfId="16416" xr:uid="{00000000-0005-0000-0000-0000F5140000}"/>
    <cellStyle name="Normal 14 3 31" xfId="4381" xr:uid="{00000000-0005-0000-0000-0000F6140000}"/>
    <cellStyle name="Normal 14 3 31 2" xfId="16417" xr:uid="{00000000-0005-0000-0000-0000F7140000}"/>
    <cellStyle name="Normal 14 3 32" xfId="4382" xr:uid="{00000000-0005-0000-0000-0000F8140000}"/>
    <cellStyle name="Normal 14 3 32 2" xfId="16418" xr:uid="{00000000-0005-0000-0000-0000F9140000}"/>
    <cellStyle name="Normal 14 3 33" xfId="4383" xr:uid="{00000000-0005-0000-0000-0000FA140000}"/>
    <cellStyle name="Normal 14 3 33 2" xfId="16419" xr:uid="{00000000-0005-0000-0000-0000FB140000}"/>
    <cellStyle name="Normal 14 3 34" xfId="4384" xr:uid="{00000000-0005-0000-0000-0000FC140000}"/>
    <cellStyle name="Normal 14 3 34 2" xfId="16420" xr:uid="{00000000-0005-0000-0000-0000FD140000}"/>
    <cellStyle name="Normal 14 3 35" xfId="4385" xr:uid="{00000000-0005-0000-0000-0000FE140000}"/>
    <cellStyle name="Normal 14 3 35 2" xfId="16421" xr:uid="{00000000-0005-0000-0000-0000FF140000}"/>
    <cellStyle name="Normal 14 3 36" xfId="4386" xr:uid="{00000000-0005-0000-0000-000000150000}"/>
    <cellStyle name="Normal 14 3 36 2" xfId="16422" xr:uid="{00000000-0005-0000-0000-000001150000}"/>
    <cellStyle name="Normal 14 3 37" xfId="4387" xr:uid="{00000000-0005-0000-0000-000002150000}"/>
    <cellStyle name="Normal 14 3 37 2" xfId="16423" xr:uid="{00000000-0005-0000-0000-000003150000}"/>
    <cellStyle name="Normal 14 3 38" xfId="4388" xr:uid="{00000000-0005-0000-0000-000004150000}"/>
    <cellStyle name="Normal 14 3 38 2" xfId="16424" xr:uid="{00000000-0005-0000-0000-000005150000}"/>
    <cellStyle name="Normal 14 3 39" xfId="4389" xr:uid="{00000000-0005-0000-0000-000006150000}"/>
    <cellStyle name="Normal 14 3 39 2" xfId="16425" xr:uid="{00000000-0005-0000-0000-000007150000}"/>
    <cellStyle name="Normal 14 3 4" xfId="4390" xr:uid="{00000000-0005-0000-0000-000008150000}"/>
    <cellStyle name="Normal 14 3 4 2" xfId="16426" xr:uid="{00000000-0005-0000-0000-000009150000}"/>
    <cellStyle name="Normal 14 3 40" xfId="4391" xr:uid="{00000000-0005-0000-0000-00000A150000}"/>
    <cellStyle name="Normal 14 3 40 2" xfId="16427" xr:uid="{00000000-0005-0000-0000-00000B150000}"/>
    <cellStyle name="Normal 14 3 41" xfId="4392" xr:uid="{00000000-0005-0000-0000-00000C150000}"/>
    <cellStyle name="Normal 14 3 41 2" xfId="16428" xr:uid="{00000000-0005-0000-0000-00000D150000}"/>
    <cellStyle name="Normal 14 3 42" xfId="4393" xr:uid="{00000000-0005-0000-0000-00000E150000}"/>
    <cellStyle name="Normal 14 3 42 2" xfId="16429" xr:uid="{00000000-0005-0000-0000-00000F150000}"/>
    <cellStyle name="Normal 14 3 43" xfId="4394" xr:uid="{00000000-0005-0000-0000-000010150000}"/>
    <cellStyle name="Normal 14 3 43 2" xfId="16430" xr:uid="{00000000-0005-0000-0000-000011150000}"/>
    <cellStyle name="Normal 14 3 44" xfId="4395" xr:uid="{00000000-0005-0000-0000-000012150000}"/>
    <cellStyle name="Normal 14 3 44 2" xfId="16431" xr:uid="{00000000-0005-0000-0000-000013150000}"/>
    <cellStyle name="Normal 14 3 45" xfId="4396" xr:uid="{00000000-0005-0000-0000-000014150000}"/>
    <cellStyle name="Normal 14 3 45 2" xfId="16432" xr:uid="{00000000-0005-0000-0000-000015150000}"/>
    <cellStyle name="Normal 14 3 46" xfId="4397" xr:uid="{00000000-0005-0000-0000-000016150000}"/>
    <cellStyle name="Normal 14 3 46 2" xfId="16433" xr:uid="{00000000-0005-0000-0000-000017150000}"/>
    <cellStyle name="Normal 14 3 47" xfId="4398" xr:uid="{00000000-0005-0000-0000-000018150000}"/>
    <cellStyle name="Normal 14 3 47 2" xfId="16434" xr:uid="{00000000-0005-0000-0000-000019150000}"/>
    <cellStyle name="Normal 14 3 48" xfId="4399" xr:uid="{00000000-0005-0000-0000-00001A150000}"/>
    <cellStyle name="Normal 14 3 48 2" xfId="16435" xr:uid="{00000000-0005-0000-0000-00001B150000}"/>
    <cellStyle name="Normal 14 3 49" xfId="4400" xr:uid="{00000000-0005-0000-0000-00001C150000}"/>
    <cellStyle name="Normal 14 3 49 2" xfId="16436" xr:uid="{00000000-0005-0000-0000-00001D150000}"/>
    <cellStyle name="Normal 14 3 5" xfId="4401" xr:uid="{00000000-0005-0000-0000-00001E150000}"/>
    <cellStyle name="Normal 14 3 5 2" xfId="16437" xr:uid="{00000000-0005-0000-0000-00001F150000}"/>
    <cellStyle name="Normal 14 3 50" xfId="4402" xr:uid="{00000000-0005-0000-0000-000020150000}"/>
    <cellStyle name="Normal 14 3 50 2" xfId="16438" xr:uid="{00000000-0005-0000-0000-000021150000}"/>
    <cellStyle name="Normal 14 3 51" xfId="4403" xr:uid="{00000000-0005-0000-0000-000022150000}"/>
    <cellStyle name="Normal 14 3 51 2" xfId="16439" xr:uid="{00000000-0005-0000-0000-000023150000}"/>
    <cellStyle name="Normal 14 3 52" xfId="4404" xr:uid="{00000000-0005-0000-0000-000024150000}"/>
    <cellStyle name="Normal 14 3 52 2" xfId="16440" xr:uid="{00000000-0005-0000-0000-000025150000}"/>
    <cellStyle name="Normal 14 3 53" xfId="4405" xr:uid="{00000000-0005-0000-0000-000026150000}"/>
    <cellStyle name="Normal 14 3 53 2" xfId="16441" xr:uid="{00000000-0005-0000-0000-000027150000}"/>
    <cellStyle name="Normal 14 3 54" xfId="4406" xr:uid="{00000000-0005-0000-0000-000028150000}"/>
    <cellStyle name="Normal 14 3 54 2" xfId="16442" xr:uid="{00000000-0005-0000-0000-000029150000}"/>
    <cellStyle name="Normal 14 3 55" xfId="4407" xr:uid="{00000000-0005-0000-0000-00002A150000}"/>
    <cellStyle name="Normal 14 3 55 2" xfId="16443" xr:uid="{00000000-0005-0000-0000-00002B150000}"/>
    <cellStyle name="Normal 14 3 56" xfId="4408" xr:uid="{00000000-0005-0000-0000-00002C150000}"/>
    <cellStyle name="Normal 14 3 56 2" xfId="16444" xr:uid="{00000000-0005-0000-0000-00002D150000}"/>
    <cellStyle name="Normal 14 3 57" xfId="4409" xr:uid="{00000000-0005-0000-0000-00002E150000}"/>
    <cellStyle name="Normal 14 3 57 2" xfId="16445" xr:uid="{00000000-0005-0000-0000-00002F150000}"/>
    <cellStyle name="Normal 14 3 58" xfId="4410" xr:uid="{00000000-0005-0000-0000-000030150000}"/>
    <cellStyle name="Normal 14 3 58 2" xfId="16446" xr:uid="{00000000-0005-0000-0000-000031150000}"/>
    <cellStyle name="Normal 14 3 59" xfId="4411" xr:uid="{00000000-0005-0000-0000-000032150000}"/>
    <cellStyle name="Normal 14 3 59 2" xfId="16447" xr:uid="{00000000-0005-0000-0000-000033150000}"/>
    <cellStyle name="Normal 14 3 6" xfId="4412" xr:uid="{00000000-0005-0000-0000-000034150000}"/>
    <cellStyle name="Normal 14 3 6 2" xfId="16448" xr:uid="{00000000-0005-0000-0000-000035150000}"/>
    <cellStyle name="Normal 14 3 60" xfId="4413" xr:uid="{00000000-0005-0000-0000-000036150000}"/>
    <cellStyle name="Normal 14 3 60 2" xfId="16449" xr:uid="{00000000-0005-0000-0000-000037150000}"/>
    <cellStyle name="Normal 14 3 61" xfId="4414" xr:uid="{00000000-0005-0000-0000-000038150000}"/>
    <cellStyle name="Normal 14 3 61 2" xfId="16450" xr:uid="{00000000-0005-0000-0000-000039150000}"/>
    <cellStyle name="Normal 14 3 62" xfId="4415" xr:uid="{00000000-0005-0000-0000-00003A150000}"/>
    <cellStyle name="Normal 14 3 62 2" xfId="16451" xr:uid="{00000000-0005-0000-0000-00003B150000}"/>
    <cellStyle name="Normal 14 3 63" xfId="4416" xr:uid="{00000000-0005-0000-0000-00003C150000}"/>
    <cellStyle name="Normal 14 3 63 2" xfId="16452" xr:uid="{00000000-0005-0000-0000-00003D150000}"/>
    <cellStyle name="Normal 14 3 64" xfId="4417" xr:uid="{00000000-0005-0000-0000-00003E150000}"/>
    <cellStyle name="Normal 14 3 64 2" xfId="16453" xr:uid="{00000000-0005-0000-0000-00003F150000}"/>
    <cellStyle name="Normal 14 3 65" xfId="4418" xr:uid="{00000000-0005-0000-0000-000040150000}"/>
    <cellStyle name="Normal 14 3 65 2" xfId="16454" xr:uid="{00000000-0005-0000-0000-000041150000}"/>
    <cellStyle name="Normal 14 3 66" xfId="4419" xr:uid="{00000000-0005-0000-0000-000042150000}"/>
    <cellStyle name="Normal 14 3 66 2" xfId="16455" xr:uid="{00000000-0005-0000-0000-000043150000}"/>
    <cellStyle name="Normal 14 3 67" xfId="4420" xr:uid="{00000000-0005-0000-0000-000044150000}"/>
    <cellStyle name="Normal 14 3 67 2" xfId="16456" xr:uid="{00000000-0005-0000-0000-000045150000}"/>
    <cellStyle name="Normal 14 3 68" xfId="4421" xr:uid="{00000000-0005-0000-0000-000046150000}"/>
    <cellStyle name="Normal 14 3 68 2" xfId="16457" xr:uid="{00000000-0005-0000-0000-000047150000}"/>
    <cellStyle name="Normal 14 3 69" xfId="4422" xr:uid="{00000000-0005-0000-0000-000048150000}"/>
    <cellStyle name="Normal 14 3 69 2" xfId="16458" xr:uid="{00000000-0005-0000-0000-000049150000}"/>
    <cellStyle name="Normal 14 3 7" xfId="4423" xr:uid="{00000000-0005-0000-0000-00004A150000}"/>
    <cellStyle name="Normal 14 3 7 2" xfId="16459" xr:uid="{00000000-0005-0000-0000-00004B150000}"/>
    <cellStyle name="Normal 14 3 70" xfId="4424" xr:uid="{00000000-0005-0000-0000-00004C150000}"/>
    <cellStyle name="Normal 14 3 70 2" xfId="16460" xr:uid="{00000000-0005-0000-0000-00004D150000}"/>
    <cellStyle name="Normal 14 3 71" xfId="4425" xr:uid="{00000000-0005-0000-0000-00004E150000}"/>
    <cellStyle name="Normal 14 3 71 2" xfId="16461" xr:uid="{00000000-0005-0000-0000-00004F150000}"/>
    <cellStyle name="Normal 14 3 72" xfId="4426" xr:uid="{00000000-0005-0000-0000-000050150000}"/>
    <cellStyle name="Normal 14 3 72 2" xfId="16462" xr:uid="{00000000-0005-0000-0000-000051150000}"/>
    <cellStyle name="Normal 14 3 73" xfId="4427" xr:uid="{00000000-0005-0000-0000-000052150000}"/>
    <cellStyle name="Normal 14 3 73 2" xfId="16463" xr:uid="{00000000-0005-0000-0000-000053150000}"/>
    <cellStyle name="Normal 14 3 74" xfId="4428" xr:uid="{00000000-0005-0000-0000-000054150000}"/>
    <cellStyle name="Normal 14 3 74 2" xfId="16464" xr:uid="{00000000-0005-0000-0000-000055150000}"/>
    <cellStyle name="Normal 14 3 75" xfId="4429" xr:uid="{00000000-0005-0000-0000-000056150000}"/>
    <cellStyle name="Normal 14 3 75 2" xfId="16465" xr:uid="{00000000-0005-0000-0000-000057150000}"/>
    <cellStyle name="Normal 14 3 76" xfId="4430" xr:uid="{00000000-0005-0000-0000-000058150000}"/>
    <cellStyle name="Normal 14 3 76 2" xfId="16466" xr:uid="{00000000-0005-0000-0000-000059150000}"/>
    <cellStyle name="Normal 14 3 77" xfId="4431" xr:uid="{00000000-0005-0000-0000-00005A150000}"/>
    <cellStyle name="Normal 14 3 77 2" xfId="16467" xr:uid="{00000000-0005-0000-0000-00005B150000}"/>
    <cellStyle name="Normal 14 3 78" xfId="4432" xr:uid="{00000000-0005-0000-0000-00005C150000}"/>
    <cellStyle name="Normal 14 3 78 2" xfId="16468" xr:uid="{00000000-0005-0000-0000-00005D150000}"/>
    <cellStyle name="Normal 14 3 79" xfId="4433" xr:uid="{00000000-0005-0000-0000-00005E150000}"/>
    <cellStyle name="Normal 14 3 79 2" xfId="16469" xr:uid="{00000000-0005-0000-0000-00005F150000}"/>
    <cellStyle name="Normal 14 3 8" xfId="4434" xr:uid="{00000000-0005-0000-0000-000060150000}"/>
    <cellStyle name="Normal 14 3 8 2" xfId="16470" xr:uid="{00000000-0005-0000-0000-000061150000}"/>
    <cellStyle name="Normal 14 3 80" xfId="15027" xr:uid="{00000000-0005-0000-0000-000062150000}"/>
    <cellStyle name="Normal 14 3 81" xfId="1603" xr:uid="{00000000-0005-0000-0000-000063150000}"/>
    <cellStyle name="Normal 14 3 9" xfId="4435" xr:uid="{00000000-0005-0000-0000-000064150000}"/>
    <cellStyle name="Normal 14 3 9 2" xfId="16471" xr:uid="{00000000-0005-0000-0000-000065150000}"/>
    <cellStyle name="Normal 14 30" xfId="4436" xr:uid="{00000000-0005-0000-0000-000066150000}"/>
    <cellStyle name="Normal 14 30 2" xfId="16472" xr:uid="{00000000-0005-0000-0000-000067150000}"/>
    <cellStyle name="Normal 14 31" xfId="4437" xr:uid="{00000000-0005-0000-0000-000068150000}"/>
    <cellStyle name="Normal 14 31 2" xfId="16473" xr:uid="{00000000-0005-0000-0000-000069150000}"/>
    <cellStyle name="Normal 14 32" xfId="4438" xr:uid="{00000000-0005-0000-0000-00006A150000}"/>
    <cellStyle name="Normal 14 32 2" xfId="16474" xr:uid="{00000000-0005-0000-0000-00006B150000}"/>
    <cellStyle name="Normal 14 33" xfId="4439" xr:uid="{00000000-0005-0000-0000-00006C150000}"/>
    <cellStyle name="Normal 14 33 2" xfId="16475" xr:uid="{00000000-0005-0000-0000-00006D150000}"/>
    <cellStyle name="Normal 14 34" xfId="4440" xr:uid="{00000000-0005-0000-0000-00006E150000}"/>
    <cellStyle name="Normal 14 34 2" xfId="16476" xr:uid="{00000000-0005-0000-0000-00006F150000}"/>
    <cellStyle name="Normal 14 35" xfId="4441" xr:uid="{00000000-0005-0000-0000-000070150000}"/>
    <cellStyle name="Normal 14 35 2" xfId="16477" xr:uid="{00000000-0005-0000-0000-000071150000}"/>
    <cellStyle name="Normal 14 36" xfId="4442" xr:uid="{00000000-0005-0000-0000-000072150000}"/>
    <cellStyle name="Normal 14 36 2" xfId="16478" xr:uid="{00000000-0005-0000-0000-000073150000}"/>
    <cellStyle name="Normal 14 37" xfId="4443" xr:uid="{00000000-0005-0000-0000-000074150000}"/>
    <cellStyle name="Normal 14 37 2" xfId="16479" xr:uid="{00000000-0005-0000-0000-000075150000}"/>
    <cellStyle name="Normal 14 38" xfId="4444" xr:uid="{00000000-0005-0000-0000-000076150000}"/>
    <cellStyle name="Normal 14 38 2" xfId="16480" xr:uid="{00000000-0005-0000-0000-000077150000}"/>
    <cellStyle name="Normal 14 39" xfId="4445" xr:uid="{00000000-0005-0000-0000-000078150000}"/>
    <cellStyle name="Normal 14 39 2" xfId="16481" xr:uid="{00000000-0005-0000-0000-000079150000}"/>
    <cellStyle name="Normal 14 4" xfId="305" xr:uid="{00000000-0005-0000-0000-00007A150000}"/>
    <cellStyle name="Normal 14 4 10" xfId="4446" xr:uid="{00000000-0005-0000-0000-00007B150000}"/>
    <cellStyle name="Normal 14 4 10 2" xfId="16483" xr:uid="{00000000-0005-0000-0000-00007C150000}"/>
    <cellStyle name="Normal 14 4 11" xfId="4447" xr:uid="{00000000-0005-0000-0000-00007D150000}"/>
    <cellStyle name="Normal 14 4 11 2" xfId="16484" xr:uid="{00000000-0005-0000-0000-00007E150000}"/>
    <cellStyle name="Normal 14 4 12" xfId="4448" xr:uid="{00000000-0005-0000-0000-00007F150000}"/>
    <cellStyle name="Normal 14 4 12 2" xfId="16485" xr:uid="{00000000-0005-0000-0000-000080150000}"/>
    <cellStyle name="Normal 14 4 13" xfId="4449" xr:uid="{00000000-0005-0000-0000-000081150000}"/>
    <cellStyle name="Normal 14 4 13 2" xfId="16486" xr:uid="{00000000-0005-0000-0000-000082150000}"/>
    <cellStyle name="Normal 14 4 14" xfId="4450" xr:uid="{00000000-0005-0000-0000-000083150000}"/>
    <cellStyle name="Normal 14 4 14 2" xfId="16487" xr:uid="{00000000-0005-0000-0000-000084150000}"/>
    <cellStyle name="Normal 14 4 15" xfId="4451" xr:uid="{00000000-0005-0000-0000-000085150000}"/>
    <cellStyle name="Normal 14 4 15 2" xfId="16488" xr:uid="{00000000-0005-0000-0000-000086150000}"/>
    <cellStyle name="Normal 14 4 16" xfId="4452" xr:uid="{00000000-0005-0000-0000-000087150000}"/>
    <cellStyle name="Normal 14 4 16 2" xfId="16489" xr:uid="{00000000-0005-0000-0000-000088150000}"/>
    <cellStyle name="Normal 14 4 17" xfId="4453" xr:uid="{00000000-0005-0000-0000-000089150000}"/>
    <cellStyle name="Normal 14 4 17 2" xfId="16490" xr:uid="{00000000-0005-0000-0000-00008A150000}"/>
    <cellStyle name="Normal 14 4 18" xfId="4454" xr:uid="{00000000-0005-0000-0000-00008B150000}"/>
    <cellStyle name="Normal 14 4 18 2" xfId="16491" xr:uid="{00000000-0005-0000-0000-00008C150000}"/>
    <cellStyle name="Normal 14 4 19" xfId="4455" xr:uid="{00000000-0005-0000-0000-00008D150000}"/>
    <cellStyle name="Normal 14 4 19 2" xfId="16492" xr:uid="{00000000-0005-0000-0000-00008E150000}"/>
    <cellStyle name="Normal 14 4 2" xfId="4456" xr:uid="{00000000-0005-0000-0000-00008F150000}"/>
    <cellStyle name="Normal 14 4 2 2" xfId="16493" xr:uid="{00000000-0005-0000-0000-000090150000}"/>
    <cellStyle name="Normal 14 4 20" xfId="4457" xr:uid="{00000000-0005-0000-0000-000091150000}"/>
    <cellStyle name="Normal 14 4 20 2" xfId="16494" xr:uid="{00000000-0005-0000-0000-000092150000}"/>
    <cellStyle name="Normal 14 4 21" xfId="4458" xr:uid="{00000000-0005-0000-0000-000093150000}"/>
    <cellStyle name="Normal 14 4 21 2" xfId="16495" xr:uid="{00000000-0005-0000-0000-000094150000}"/>
    <cellStyle name="Normal 14 4 22" xfId="4459" xr:uid="{00000000-0005-0000-0000-000095150000}"/>
    <cellStyle name="Normal 14 4 22 2" xfId="16496" xr:uid="{00000000-0005-0000-0000-000096150000}"/>
    <cellStyle name="Normal 14 4 23" xfId="4460" xr:uid="{00000000-0005-0000-0000-000097150000}"/>
    <cellStyle name="Normal 14 4 23 2" xfId="16497" xr:uid="{00000000-0005-0000-0000-000098150000}"/>
    <cellStyle name="Normal 14 4 24" xfId="4461" xr:uid="{00000000-0005-0000-0000-000099150000}"/>
    <cellStyle name="Normal 14 4 24 2" xfId="16498" xr:uid="{00000000-0005-0000-0000-00009A150000}"/>
    <cellStyle name="Normal 14 4 25" xfId="4462" xr:uid="{00000000-0005-0000-0000-00009B150000}"/>
    <cellStyle name="Normal 14 4 25 2" xfId="16499" xr:uid="{00000000-0005-0000-0000-00009C150000}"/>
    <cellStyle name="Normal 14 4 26" xfId="4463" xr:uid="{00000000-0005-0000-0000-00009D150000}"/>
    <cellStyle name="Normal 14 4 26 2" xfId="16500" xr:uid="{00000000-0005-0000-0000-00009E150000}"/>
    <cellStyle name="Normal 14 4 27" xfId="4464" xr:uid="{00000000-0005-0000-0000-00009F150000}"/>
    <cellStyle name="Normal 14 4 27 2" xfId="16501" xr:uid="{00000000-0005-0000-0000-0000A0150000}"/>
    <cellStyle name="Normal 14 4 28" xfId="4465" xr:uid="{00000000-0005-0000-0000-0000A1150000}"/>
    <cellStyle name="Normal 14 4 28 2" xfId="16502" xr:uid="{00000000-0005-0000-0000-0000A2150000}"/>
    <cellStyle name="Normal 14 4 29" xfId="4466" xr:uid="{00000000-0005-0000-0000-0000A3150000}"/>
    <cellStyle name="Normal 14 4 29 2" xfId="16503" xr:uid="{00000000-0005-0000-0000-0000A4150000}"/>
    <cellStyle name="Normal 14 4 3" xfId="4467" xr:uid="{00000000-0005-0000-0000-0000A5150000}"/>
    <cellStyle name="Normal 14 4 3 2" xfId="16504" xr:uid="{00000000-0005-0000-0000-0000A6150000}"/>
    <cellStyle name="Normal 14 4 30" xfId="4468" xr:uid="{00000000-0005-0000-0000-0000A7150000}"/>
    <cellStyle name="Normal 14 4 30 2" xfId="16505" xr:uid="{00000000-0005-0000-0000-0000A8150000}"/>
    <cellStyle name="Normal 14 4 31" xfId="4469" xr:uid="{00000000-0005-0000-0000-0000A9150000}"/>
    <cellStyle name="Normal 14 4 31 2" xfId="16506" xr:uid="{00000000-0005-0000-0000-0000AA150000}"/>
    <cellStyle name="Normal 14 4 32" xfId="4470" xr:uid="{00000000-0005-0000-0000-0000AB150000}"/>
    <cellStyle name="Normal 14 4 32 2" xfId="16507" xr:uid="{00000000-0005-0000-0000-0000AC150000}"/>
    <cellStyle name="Normal 14 4 33" xfId="4471" xr:uid="{00000000-0005-0000-0000-0000AD150000}"/>
    <cellStyle name="Normal 14 4 33 2" xfId="16508" xr:uid="{00000000-0005-0000-0000-0000AE150000}"/>
    <cellStyle name="Normal 14 4 34" xfId="4472" xr:uid="{00000000-0005-0000-0000-0000AF150000}"/>
    <cellStyle name="Normal 14 4 34 2" xfId="16509" xr:uid="{00000000-0005-0000-0000-0000B0150000}"/>
    <cellStyle name="Normal 14 4 35" xfId="4473" xr:uid="{00000000-0005-0000-0000-0000B1150000}"/>
    <cellStyle name="Normal 14 4 35 2" xfId="16510" xr:uid="{00000000-0005-0000-0000-0000B2150000}"/>
    <cellStyle name="Normal 14 4 36" xfId="4474" xr:uid="{00000000-0005-0000-0000-0000B3150000}"/>
    <cellStyle name="Normal 14 4 36 2" xfId="16511" xr:uid="{00000000-0005-0000-0000-0000B4150000}"/>
    <cellStyle name="Normal 14 4 37" xfId="4475" xr:uid="{00000000-0005-0000-0000-0000B5150000}"/>
    <cellStyle name="Normal 14 4 37 2" xfId="16512" xr:uid="{00000000-0005-0000-0000-0000B6150000}"/>
    <cellStyle name="Normal 14 4 38" xfId="4476" xr:uid="{00000000-0005-0000-0000-0000B7150000}"/>
    <cellStyle name="Normal 14 4 38 2" xfId="16513" xr:uid="{00000000-0005-0000-0000-0000B8150000}"/>
    <cellStyle name="Normal 14 4 39" xfId="4477" xr:uid="{00000000-0005-0000-0000-0000B9150000}"/>
    <cellStyle name="Normal 14 4 39 2" xfId="16514" xr:uid="{00000000-0005-0000-0000-0000BA150000}"/>
    <cellStyle name="Normal 14 4 4" xfId="4478" xr:uid="{00000000-0005-0000-0000-0000BB150000}"/>
    <cellStyle name="Normal 14 4 4 2" xfId="16515" xr:uid="{00000000-0005-0000-0000-0000BC150000}"/>
    <cellStyle name="Normal 14 4 40" xfId="4479" xr:uid="{00000000-0005-0000-0000-0000BD150000}"/>
    <cellStyle name="Normal 14 4 40 2" xfId="16516" xr:uid="{00000000-0005-0000-0000-0000BE150000}"/>
    <cellStyle name="Normal 14 4 41" xfId="4480" xr:uid="{00000000-0005-0000-0000-0000BF150000}"/>
    <cellStyle name="Normal 14 4 41 2" xfId="16517" xr:uid="{00000000-0005-0000-0000-0000C0150000}"/>
    <cellStyle name="Normal 14 4 42" xfId="4481" xr:uid="{00000000-0005-0000-0000-0000C1150000}"/>
    <cellStyle name="Normal 14 4 42 2" xfId="16518" xr:uid="{00000000-0005-0000-0000-0000C2150000}"/>
    <cellStyle name="Normal 14 4 43" xfId="4482" xr:uid="{00000000-0005-0000-0000-0000C3150000}"/>
    <cellStyle name="Normal 14 4 43 2" xfId="16519" xr:uid="{00000000-0005-0000-0000-0000C4150000}"/>
    <cellStyle name="Normal 14 4 44" xfId="4483" xr:uid="{00000000-0005-0000-0000-0000C5150000}"/>
    <cellStyle name="Normal 14 4 44 2" xfId="16520" xr:uid="{00000000-0005-0000-0000-0000C6150000}"/>
    <cellStyle name="Normal 14 4 45" xfId="4484" xr:uid="{00000000-0005-0000-0000-0000C7150000}"/>
    <cellStyle name="Normal 14 4 45 2" xfId="16521" xr:uid="{00000000-0005-0000-0000-0000C8150000}"/>
    <cellStyle name="Normal 14 4 46" xfId="4485" xr:uid="{00000000-0005-0000-0000-0000C9150000}"/>
    <cellStyle name="Normal 14 4 46 2" xfId="16522" xr:uid="{00000000-0005-0000-0000-0000CA150000}"/>
    <cellStyle name="Normal 14 4 47" xfId="4486" xr:uid="{00000000-0005-0000-0000-0000CB150000}"/>
    <cellStyle name="Normal 14 4 47 2" xfId="16523" xr:uid="{00000000-0005-0000-0000-0000CC150000}"/>
    <cellStyle name="Normal 14 4 48" xfId="4487" xr:uid="{00000000-0005-0000-0000-0000CD150000}"/>
    <cellStyle name="Normal 14 4 48 2" xfId="16524" xr:uid="{00000000-0005-0000-0000-0000CE150000}"/>
    <cellStyle name="Normal 14 4 49" xfId="4488" xr:uid="{00000000-0005-0000-0000-0000CF150000}"/>
    <cellStyle name="Normal 14 4 49 2" xfId="16525" xr:uid="{00000000-0005-0000-0000-0000D0150000}"/>
    <cellStyle name="Normal 14 4 5" xfId="4489" xr:uid="{00000000-0005-0000-0000-0000D1150000}"/>
    <cellStyle name="Normal 14 4 5 2" xfId="16526" xr:uid="{00000000-0005-0000-0000-0000D2150000}"/>
    <cellStyle name="Normal 14 4 50" xfId="4490" xr:uid="{00000000-0005-0000-0000-0000D3150000}"/>
    <cellStyle name="Normal 14 4 50 2" xfId="16527" xr:uid="{00000000-0005-0000-0000-0000D4150000}"/>
    <cellStyle name="Normal 14 4 51" xfId="4491" xr:uid="{00000000-0005-0000-0000-0000D5150000}"/>
    <cellStyle name="Normal 14 4 51 2" xfId="16528" xr:uid="{00000000-0005-0000-0000-0000D6150000}"/>
    <cellStyle name="Normal 14 4 52" xfId="4492" xr:uid="{00000000-0005-0000-0000-0000D7150000}"/>
    <cellStyle name="Normal 14 4 52 2" xfId="16529" xr:uid="{00000000-0005-0000-0000-0000D8150000}"/>
    <cellStyle name="Normal 14 4 53" xfId="4493" xr:uid="{00000000-0005-0000-0000-0000D9150000}"/>
    <cellStyle name="Normal 14 4 53 2" xfId="16530" xr:uid="{00000000-0005-0000-0000-0000DA150000}"/>
    <cellStyle name="Normal 14 4 54" xfId="4494" xr:uid="{00000000-0005-0000-0000-0000DB150000}"/>
    <cellStyle name="Normal 14 4 54 2" xfId="16531" xr:uid="{00000000-0005-0000-0000-0000DC150000}"/>
    <cellStyle name="Normal 14 4 55" xfId="4495" xr:uid="{00000000-0005-0000-0000-0000DD150000}"/>
    <cellStyle name="Normal 14 4 55 2" xfId="16532" xr:uid="{00000000-0005-0000-0000-0000DE150000}"/>
    <cellStyle name="Normal 14 4 56" xfId="4496" xr:uid="{00000000-0005-0000-0000-0000DF150000}"/>
    <cellStyle name="Normal 14 4 56 2" xfId="16533" xr:uid="{00000000-0005-0000-0000-0000E0150000}"/>
    <cellStyle name="Normal 14 4 57" xfId="4497" xr:uid="{00000000-0005-0000-0000-0000E1150000}"/>
    <cellStyle name="Normal 14 4 57 2" xfId="16534" xr:uid="{00000000-0005-0000-0000-0000E2150000}"/>
    <cellStyle name="Normal 14 4 58" xfId="4498" xr:uid="{00000000-0005-0000-0000-0000E3150000}"/>
    <cellStyle name="Normal 14 4 58 2" xfId="16535" xr:uid="{00000000-0005-0000-0000-0000E4150000}"/>
    <cellStyle name="Normal 14 4 59" xfId="4499" xr:uid="{00000000-0005-0000-0000-0000E5150000}"/>
    <cellStyle name="Normal 14 4 59 2" xfId="16536" xr:uid="{00000000-0005-0000-0000-0000E6150000}"/>
    <cellStyle name="Normal 14 4 6" xfId="4500" xr:uid="{00000000-0005-0000-0000-0000E7150000}"/>
    <cellStyle name="Normal 14 4 6 2" xfId="16537" xr:uid="{00000000-0005-0000-0000-0000E8150000}"/>
    <cellStyle name="Normal 14 4 60" xfId="4501" xr:uid="{00000000-0005-0000-0000-0000E9150000}"/>
    <cellStyle name="Normal 14 4 60 2" xfId="16538" xr:uid="{00000000-0005-0000-0000-0000EA150000}"/>
    <cellStyle name="Normal 14 4 61" xfId="4502" xr:uid="{00000000-0005-0000-0000-0000EB150000}"/>
    <cellStyle name="Normal 14 4 61 2" xfId="16539" xr:uid="{00000000-0005-0000-0000-0000EC150000}"/>
    <cellStyle name="Normal 14 4 62" xfId="4503" xr:uid="{00000000-0005-0000-0000-0000ED150000}"/>
    <cellStyle name="Normal 14 4 62 2" xfId="16540" xr:uid="{00000000-0005-0000-0000-0000EE150000}"/>
    <cellStyle name="Normal 14 4 63" xfId="4504" xr:uid="{00000000-0005-0000-0000-0000EF150000}"/>
    <cellStyle name="Normal 14 4 63 2" xfId="16541" xr:uid="{00000000-0005-0000-0000-0000F0150000}"/>
    <cellStyle name="Normal 14 4 64" xfId="4505" xr:uid="{00000000-0005-0000-0000-0000F1150000}"/>
    <cellStyle name="Normal 14 4 64 2" xfId="16542" xr:uid="{00000000-0005-0000-0000-0000F2150000}"/>
    <cellStyle name="Normal 14 4 65" xfId="4506" xr:uid="{00000000-0005-0000-0000-0000F3150000}"/>
    <cellStyle name="Normal 14 4 65 2" xfId="16543" xr:uid="{00000000-0005-0000-0000-0000F4150000}"/>
    <cellStyle name="Normal 14 4 66" xfId="4507" xr:uid="{00000000-0005-0000-0000-0000F5150000}"/>
    <cellStyle name="Normal 14 4 66 2" xfId="16544" xr:uid="{00000000-0005-0000-0000-0000F6150000}"/>
    <cellStyle name="Normal 14 4 67" xfId="4508" xr:uid="{00000000-0005-0000-0000-0000F7150000}"/>
    <cellStyle name="Normal 14 4 67 2" xfId="16545" xr:uid="{00000000-0005-0000-0000-0000F8150000}"/>
    <cellStyle name="Normal 14 4 68" xfId="4509" xr:uid="{00000000-0005-0000-0000-0000F9150000}"/>
    <cellStyle name="Normal 14 4 68 2" xfId="16546" xr:uid="{00000000-0005-0000-0000-0000FA150000}"/>
    <cellStyle name="Normal 14 4 69" xfId="4510" xr:uid="{00000000-0005-0000-0000-0000FB150000}"/>
    <cellStyle name="Normal 14 4 69 2" xfId="16547" xr:uid="{00000000-0005-0000-0000-0000FC150000}"/>
    <cellStyle name="Normal 14 4 7" xfId="4511" xr:uid="{00000000-0005-0000-0000-0000FD150000}"/>
    <cellStyle name="Normal 14 4 7 2" xfId="16548" xr:uid="{00000000-0005-0000-0000-0000FE150000}"/>
    <cellStyle name="Normal 14 4 70" xfId="4512" xr:uid="{00000000-0005-0000-0000-0000FF150000}"/>
    <cellStyle name="Normal 14 4 70 2" xfId="16549" xr:uid="{00000000-0005-0000-0000-000000160000}"/>
    <cellStyle name="Normal 14 4 71" xfId="4513" xr:uid="{00000000-0005-0000-0000-000001160000}"/>
    <cellStyle name="Normal 14 4 71 2" xfId="16550" xr:uid="{00000000-0005-0000-0000-000002160000}"/>
    <cellStyle name="Normal 14 4 72" xfId="4514" xr:uid="{00000000-0005-0000-0000-000003160000}"/>
    <cellStyle name="Normal 14 4 72 2" xfId="16551" xr:uid="{00000000-0005-0000-0000-000004160000}"/>
    <cellStyle name="Normal 14 4 73" xfId="4515" xr:uid="{00000000-0005-0000-0000-000005160000}"/>
    <cellStyle name="Normal 14 4 73 2" xfId="16552" xr:uid="{00000000-0005-0000-0000-000006160000}"/>
    <cellStyle name="Normal 14 4 74" xfId="4516" xr:uid="{00000000-0005-0000-0000-000007160000}"/>
    <cellStyle name="Normal 14 4 74 2" xfId="16553" xr:uid="{00000000-0005-0000-0000-000008160000}"/>
    <cellStyle name="Normal 14 4 75" xfId="4517" xr:uid="{00000000-0005-0000-0000-000009160000}"/>
    <cellStyle name="Normal 14 4 75 2" xfId="16554" xr:uid="{00000000-0005-0000-0000-00000A160000}"/>
    <cellStyle name="Normal 14 4 76" xfId="4518" xr:uid="{00000000-0005-0000-0000-00000B160000}"/>
    <cellStyle name="Normal 14 4 76 2" xfId="16555" xr:uid="{00000000-0005-0000-0000-00000C160000}"/>
    <cellStyle name="Normal 14 4 77" xfId="4519" xr:uid="{00000000-0005-0000-0000-00000D160000}"/>
    <cellStyle name="Normal 14 4 77 2" xfId="16556" xr:uid="{00000000-0005-0000-0000-00000E160000}"/>
    <cellStyle name="Normal 14 4 78" xfId="4520" xr:uid="{00000000-0005-0000-0000-00000F160000}"/>
    <cellStyle name="Normal 14 4 78 2" xfId="16557" xr:uid="{00000000-0005-0000-0000-000010160000}"/>
    <cellStyle name="Normal 14 4 79" xfId="4521" xr:uid="{00000000-0005-0000-0000-000011160000}"/>
    <cellStyle name="Normal 14 4 79 2" xfId="16558" xr:uid="{00000000-0005-0000-0000-000012160000}"/>
    <cellStyle name="Normal 14 4 8" xfId="4522" xr:uid="{00000000-0005-0000-0000-000013160000}"/>
    <cellStyle name="Normal 14 4 8 2" xfId="16559" xr:uid="{00000000-0005-0000-0000-000014160000}"/>
    <cellStyle name="Normal 14 4 80" xfId="16482" xr:uid="{00000000-0005-0000-0000-000015160000}"/>
    <cellStyle name="Normal 14 4 9" xfId="4523" xr:uid="{00000000-0005-0000-0000-000016160000}"/>
    <cellStyle name="Normal 14 4 9 2" xfId="16560" xr:uid="{00000000-0005-0000-0000-000017160000}"/>
    <cellStyle name="Normal 14 40" xfId="4524" xr:uid="{00000000-0005-0000-0000-000018160000}"/>
    <cellStyle name="Normal 14 40 2" xfId="16561" xr:uid="{00000000-0005-0000-0000-000019160000}"/>
    <cellStyle name="Normal 14 41" xfId="4525" xr:uid="{00000000-0005-0000-0000-00001A160000}"/>
    <cellStyle name="Normal 14 41 2" xfId="16562" xr:uid="{00000000-0005-0000-0000-00001B160000}"/>
    <cellStyle name="Normal 14 42" xfId="4526" xr:uid="{00000000-0005-0000-0000-00001C160000}"/>
    <cellStyle name="Normal 14 42 2" xfId="16563" xr:uid="{00000000-0005-0000-0000-00001D160000}"/>
    <cellStyle name="Normal 14 43" xfId="4527" xr:uid="{00000000-0005-0000-0000-00001E160000}"/>
    <cellStyle name="Normal 14 43 2" xfId="16564" xr:uid="{00000000-0005-0000-0000-00001F160000}"/>
    <cellStyle name="Normal 14 44" xfId="4528" xr:uid="{00000000-0005-0000-0000-000020160000}"/>
    <cellStyle name="Normal 14 44 2" xfId="16565" xr:uid="{00000000-0005-0000-0000-000021160000}"/>
    <cellStyle name="Normal 14 45" xfId="4529" xr:uid="{00000000-0005-0000-0000-000022160000}"/>
    <cellStyle name="Normal 14 45 2" xfId="16566" xr:uid="{00000000-0005-0000-0000-000023160000}"/>
    <cellStyle name="Normal 14 46" xfId="4530" xr:uid="{00000000-0005-0000-0000-000024160000}"/>
    <cellStyle name="Normal 14 46 2" xfId="16567" xr:uid="{00000000-0005-0000-0000-000025160000}"/>
    <cellStyle name="Normal 14 47" xfId="4531" xr:uid="{00000000-0005-0000-0000-000026160000}"/>
    <cellStyle name="Normal 14 47 2" xfId="16568" xr:uid="{00000000-0005-0000-0000-000027160000}"/>
    <cellStyle name="Normal 14 48" xfId="4532" xr:uid="{00000000-0005-0000-0000-000028160000}"/>
    <cellStyle name="Normal 14 48 2" xfId="16569" xr:uid="{00000000-0005-0000-0000-000029160000}"/>
    <cellStyle name="Normal 14 49" xfId="4533" xr:uid="{00000000-0005-0000-0000-00002A160000}"/>
    <cellStyle name="Normal 14 49 2" xfId="16570" xr:uid="{00000000-0005-0000-0000-00002B160000}"/>
    <cellStyle name="Normal 14 5" xfId="4534" xr:uid="{00000000-0005-0000-0000-00002C160000}"/>
    <cellStyle name="Normal 14 5 2" xfId="16571" xr:uid="{00000000-0005-0000-0000-00002D160000}"/>
    <cellStyle name="Normal 14 50" xfId="4535" xr:uid="{00000000-0005-0000-0000-00002E160000}"/>
    <cellStyle name="Normal 14 50 2" xfId="16572" xr:uid="{00000000-0005-0000-0000-00002F160000}"/>
    <cellStyle name="Normal 14 51" xfId="4536" xr:uid="{00000000-0005-0000-0000-000030160000}"/>
    <cellStyle name="Normal 14 51 2" xfId="16573" xr:uid="{00000000-0005-0000-0000-000031160000}"/>
    <cellStyle name="Normal 14 52" xfId="4537" xr:uid="{00000000-0005-0000-0000-000032160000}"/>
    <cellStyle name="Normal 14 52 2" xfId="16574" xr:uid="{00000000-0005-0000-0000-000033160000}"/>
    <cellStyle name="Normal 14 53" xfId="4538" xr:uid="{00000000-0005-0000-0000-000034160000}"/>
    <cellStyle name="Normal 14 53 2" xfId="16575" xr:uid="{00000000-0005-0000-0000-000035160000}"/>
    <cellStyle name="Normal 14 54" xfId="4539" xr:uid="{00000000-0005-0000-0000-000036160000}"/>
    <cellStyle name="Normal 14 54 2" xfId="16576" xr:uid="{00000000-0005-0000-0000-000037160000}"/>
    <cellStyle name="Normal 14 55" xfId="4540" xr:uid="{00000000-0005-0000-0000-000038160000}"/>
    <cellStyle name="Normal 14 55 2" xfId="16577" xr:uid="{00000000-0005-0000-0000-000039160000}"/>
    <cellStyle name="Normal 14 56" xfId="4541" xr:uid="{00000000-0005-0000-0000-00003A160000}"/>
    <cellStyle name="Normal 14 56 2" xfId="16578" xr:uid="{00000000-0005-0000-0000-00003B160000}"/>
    <cellStyle name="Normal 14 57" xfId="4542" xr:uid="{00000000-0005-0000-0000-00003C160000}"/>
    <cellStyle name="Normal 14 57 2" xfId="16579" xr:uid="{00000000-0005-0000-0000-00003D160000}"/>
    <cellStyle name="Normal 14 58" xfId="4543" xr:uid="{00000000-0005-0000-0000-00003E160000}"/>
    <cellStyle name="Normal 14 58 2" xfId="16580" xr:uid="{00000000-0005-0000-0000-00003F160000}"/>
    <cellStyle name="Normal 14 59" xfId="4544" xr:uid="{00000000-0005-0000-0000-000040160000}"/>
    <cellStyle name="Normal 14 59 2" xfId="16581" xr:uid="{00000000-0005-0000-0000-000041160000}"/>
    <cellStyle name="Normal 14 6" xfId="4545" xr:uid="{00000000-0005-0000-0000-000042160000}"/>
    <cellStyle name="Normal 14 6 2" xfId="16582" xr:uid="{00000000-0005-0000-0000-000043160000}"/>
    <cellStyle name="Normal 14 60" xfId="4546" xr:uid="{00000000-0005-0000-0000-000044160000}"/>
    <cellStyle name="Normal 14 60 2" xfId="16583" xr:uid="{00000000-0005-0000-0000-000045160000}"/>
    <cellStyle name="Normal 14 61" xfId="4547" xr:uid="{00000000-0005-0000-0000-000046160000}"/>
    <cellStyle name="Normal 14 61 2" xfId="16584" xr:uid="{00000000-0005-0000-0000-000047160000}"/>
    <cellStyle name="Normal 14 62" xfId="4548" xr:uid="{00000000-0005-0000-0000-000048160000}"/>
    <cellStyle name="Normal 14 62 2" xfId="16585" xr:uid="{00000000-0005-0000-0000-000049160000}"/>
    <cellStyle name="Normal 14 63" xfId="4549" xr:uid="{00000000-0005-0000-0000-00004A160000}"/>
    <cellStyle name="Normal 14 63 2" xfId="16586" xr:uid="{00000000-0005-0000-0000-00004B160000}"/>
    <cellStyle name="Normal 14 64" xfId="4550" xr:uid="{00000000-0005-0000-0000-00004C160000}"/>
    <cellStyle name="Normal 14 64 2" xfId="16587" xr:uid="{00000000-0005-0000-0000-00004D160000}"/>
    <cellStyle name="Normal 14 65" xfId="4551" xr:uid="{00000000-0005-0000-0000-00004E160000}"/>
    <cellStyle name="Normal 14 65 2" xfId="16588" xr:uid="{00000000-0005-0000-0000-00004F160000}"/>
    <cellStyle name="Normal 14 66" xfId="4552" xr:uid="{00000000-0005-0000-0000-000050160000}"/>
    <cellStyle name="Normal 14 66 2" xfId="16589" xr:uid="{00000000-0005-0000-0000-000051160000}"/>
    <cellStyle name="Normal 14 67" xfId="4553" xr:uid="{00000000-0005-0000-0000-000052160000}"/>
    <cellStyle name="Normal 14 67 2" xfId="16590" xr:uid="{00000000-0005-0000-0000-000053160000}"/>
    <cellStyle name="Normal 14 68" xfId="4554" xr:uid="{00000000-0005-0000-0000-000054160000}"/>
    <cellStyle name="Normal 14 68 2" xfId="16591" xr:uid="{00000000-0005-0000-0000-000055160000}"/>
    <cellStyle name="Normal 14 69" xfId="4555" xr:uid="{00000000-0005-0000-0000-000056160000}"/>
    <cellStyle name="Normal 14 69 2" xfId="16592" xr:uid="{00000000-0005-0000-0000-000057160000}"/>
    <cellStyle name="Normal 14 7" xfId="4556" xr:uid="{00000000-0005-0000-0000-000058160000}"/>
    <cellStyle name="Normal 14 7 2" xfId="16593" xr:uid="{00000000-0005-0000-0000-000059160000}"/>
    <cellStyle name="Normal 14 70" xfId="4557" xr:uid="{00000000-0005-0000-0000-00005A160000}"/>
    <cellStyle name="Normal 14 70 2" xfId="16594" xr:uid="{00000000-0005-0000-0000-00005B160000}"/>
    <cellStyle name="Normal 14 71" xfId="4558" xr:uid="{00000000-0005-0000-0000-00005C160000}"/>
    <cellStyle name="Normal 14 71 2" xfId="16595" xr:uid="{00000000-0005-0000-0000-00005D160000}"/>
    <cellStyle name="Normal 14 72" xfId="4559" xr:uid="{00000000-0005-0000-0000-00005E160000}"/>
    <cellStyle name="Normal 14 72 2" xfId="16596" xr:uid="{00000000-0005-0000-0000-00005F160000}"/>
    <cellStyle name="Normal 14 73" xfId="4560" xr:uid="{00000000-0005-0000-0000-000060160000}"/>
    <cellStyle name="Normal 14 73 2" xfId="16597" xr:uid="{00000000-0005-0000-0000-000061160000}"/>
    <cellStyle name="Normal 14 74" xfId="4561" xr:uid="{00000000-0005-0000-0000-000062160000}"/>
    <cellStyle name="Normal 14 74 2" xfId="16598" xr:uid="{00000000-0005-0000-0000-000063160000}"/>
    <cellStyle name="Normal 14 75" xfId="4562" xr:uid="{00000000-0005-0000-0000-000064160000}"/>
    <cellStyle name="Normal 14 75 2" xfId="16599" xr:uid="{00000000-0005-0000-0000-000065160000}"/>
    <cellStyle name="Normal 14 76" xfId="4563" xr:uid="{00000000-0005-0000-0000-000066160000}"/>
    <cellStyle name="Normal 14 76 2" xfId="16600" xr:uid="{00000000-0005-0000-0000-000067160000}"/>
    <cellStyle name="Normal 14 77" xfId="4564" xr:uid="{00000000-0005-0000-0000-000068160000}"/>
    <cellStyle name="Normal 14 77 2" xfId="16601" xr:uid="{00000000-0005-0000-0000-000069160000}"/>
    <cellStyle name="Normal 14 78" xfId="4565" xr:uid="{00000000-0005-0000-0000-00006A160000}"/>
    <cellStyle name="Normal 14 78 2" xfId="16602" xr:uid="{00000000-0005-0000-0000-00006B160000}"/>
    <cellStyle name="Normal 14 79" xfId="4566" xr:uid="{00000000-0005-0000-0000-00006C160000}"/>
    <cellStyle name="Normal 14 79 2" xfId="16603" xr:uid="{00000000-0005-0000-0000-00006D160000}"/>
    <cellStyle name="Normal 14 8" xfId="4567" xr:uid="{00000000-0005-0000-0000-00006E160000}"/>
    <cellStyle name="Normal 14 8 2" xfId="16604" xr:uid="{00000000-0005-0000-0000-00006F160000}"/>
    <cellStyle name="Normal 14 80" xfId="4568" xr:uid="{00000000-0005-0000-0000-000070160000}"/>
    <cellStyle name="Normal 14 80 2" xfId="16605" xr:uid="{00000000-0005-0000-0000-000071160000}"/>
    <cellStyle name="Normal 14 81" xfId="4569" xr:uid="{00000000-0005-0000-0000-000072160000}"/>
    <cellStyle name="Normal 14 81 2" xfId="16606" xr:uid="{00000000-0005-0000-0000-000073160000}"/>
    <cellStyle name="Normal 14 82" xfId="4570" xr:uid="{00000000-0005-0000-0000-000074160000}"/>
    <cellStyle name="Normal 14 82 2" xfId="16607" xr:uid="{00000000-0005-0000-0000-000075160000}"/>
    <cellStyle name="Normal 14 83" xfId="15025" xr:uid="{00000000-0005-0000-0000-000076160000}"/>
    <cellStyle name="Normal 14 9" xfId="4571" xr:uid="{00000000-0005-0000-0000-000077160000}"/>
    <cellStyle name="Normal 14 9 2" xfId="16608" xr:uid="{00000000-0005-0000-0000-000078160000}"/>
    <cellStyle name="Normal 140" xfId="265" xr:uid="{00000000-0005-0000-0000-000079160000}"/>
    <cellStyle name="Normal 140 10" xfId="1187" xr:uid="{00000000-0005-0000-0000-00007A160000}"/>
    <cellStyle name="Normal 140 11" xfId="1330" xr:uid="{00000000-0005-0000-0000-00007B160000}"/>
    <cellStyle name="Normal 140 12" xfId="481" xr:uid="{00000000-0005-0000-0000-00007C160000}"/>
    <cellStyle name="Normal 140 2" xfId="578" xr:uid="{00000000-0005-0000-0000-00007D160000}"/>
    <cellStyle name="Normal 140 3" xfId="814" xr:uid="{00000000-0005-0000-0000-00007E160000}"/>
    <cellStyle name="Normal 140 4" xfId="694" xr:uid="{00000000-0005-0000-0000-00007F160000}"/>
    <cellStyle name="Normal 140 5" xfId="997" xr:uid="{00000000-0005-0000-0000-000080160000}"/>
    <cellStyle name="Normal 140 6" xfId="1216" xr:uid="{00000000-0005-0000-0000-000081160000}"/>
    <cellStyle name="Normal 140 7" xfId="1171" xr:uid="{00000000-0005-0000-0000-000082160000}"/>
    <cellStyle name="Normal 140 8" xfId="1191" xr:uid="{00000000-0005-0000-0000-000083160000}"/>
    <cellStyle name="Normal 140 9" xfId="1183" xr:uid="{00000000-0005-0000-0000-000084160000}"/>
    <cellStyle name="Normal 141" xfId="266" xr:uid="{00000000-0005-0000-0000-000085160000}"/>
    <cellStyle name="Normal 141 10" xfId="1485" xr:uid="{00000000-0005-0000-0000-000086160000}"/>
    <cellStyle name="Normal 141 11" xfId="1494" xr:uid="{00000000-0005-0000-0000-000087160000}"/>
    <cellStyle name="Normal 141 12" xfId="482" xr:uid="{00000000-0005-0000-0000-000088160000}"/>
    <cellStyle name="Normal 141 2" xfId="579" xr:uid="{00000000-0005-0000-0000-000089160000}"/>
    <cellStyle name="Normal 141 3" xfId="815" xr:uid="{00000000-0005-0000-0000-00008A160000}"/>
    <cellStyle name="Normal 141 4" xfId="695" xr:uid="{00000000-0005-0000-0000-00008B160000}"/>
    <cellStyle name="Normal 141 5" xfId="998" xr:uid="{00000000-0005-0000-0000-00008C160000}"/>
    <cellStyle name="Normal 141 6" xfId="1312" xr:uid="{00000000-0005-0000-0000-00008D160000}"/>
    <cellStyle name="Normal 141 7" xfId="1377" xr:uid="{00000000-0005-0000-0000-00008E160000}"/>
    <cellStyle name="Normal 141 8" xfId="1433" xr:uid="{00000000-0005-0000-0000-00008F160000}"/>
    <cellStyle name="Normal 141 9" xfId="1462" xr:uid="{00000000-0005-0000-0000-000090160000}"/>
    <cellStyle name="Normal 142" xfId="267" xr:uid="{00000000-0005-0000-0000-000091160000}"/>
    <cellStyle name="Normal 142 10" xfId="1455" xr:uid="{00000000-0005-0000-0000-000092160000}"/>
    <cellStyle name="Normal 142 11" xfId="1481" xr:uid="{00000000-0005-0000-0000-000093160000}"/>
    <cellStyle name="Normal 142 12" xfId="483" xr:uid="{00000000-0005-0000-0000-000094160000}"/>
    <cellStyle name="Normal 142 2" xfId="580" xr:uid="{00000000-0005-0000-0000-000095160000}"/>
    <cellStyle name="Normal 142 3" xfId="816" xr:uid="{00000000-0005-0000-0000-000096160000}"/>
    <cellStyle name="Normal 142 4" xfId="696" xr:uid="{00000000-0005-0000-0000-000097160000}"/>
    <cellStyle name="Normal 142 5" xfId="999" xr:uid="{00000000-0005-0000-0000-000098160000}"/>
    <cellStyle name="Normal 142 6" xfId="867" xr:uid="{00000000-0005-0000-0000-000099160000}"/>
    <cellStyle name="Normal 142 7" xfId="1288" xr:uid="{00000000-0005-0000-0000-00009A160000}"/>
    <cellStyle name="Normal 142 8" xfId="1355" xr:uid="{00000000-0005-0000-0000-00009B160000}"/>
    <cellStyle name="Normal 142 9" xfId="1417" xr:uid="{00000000-0005-0000-0000-00009C160000}"/>
    <cellStyle name="Normal 143" xfId="484" xr:uid="{00000000-0005-0000-0000-00009D160000}"/>
    <cellStyle name="Normal 143 2" xfId="581" xr:uid="{00000000-0005-0000-0000-00009E160000}"/>
    <cellStyle name="Normal 143 3" xfId="1000" xr:uid="{00000000-0005-0000-0000-00009F160000}"/>
    <cellStyle name="Normal 143 4" xfId="1215" xr:uid="{00000000-0005-0000-0000-0000A0160000}"/>
    <cellStyle name="Normal 143 5" xfId="979" xr:uid="{00000000-0005-0000-0000-0000A1160000}"/>
    <cellStyle name="Normal 143 6" xfId="871" xr:uid="{00000000-0005-0000-0000-0000A2160000}"/>
    <cellStyle name="Normal 143 7" xfId="954" xr:uid="{00000000-0005-0000-0000-0000A3160000}"/>
    <cellStyle name="Normal 143 8" xfId="1239" xr:uid="{00000000-0005-0000-0000-0000A4160000}"/>
    <cellStyle name="Normal 143 9" xfId="822" xr:uid="{00000000-0005-0000-0000-0000A5160000}"/>
    <cellStyle name="Normal 144" xfId="485" xr:uid="{00000000-0005-0000-0000-0000A6160000}"/>
    <cellStyle name="Normal 144 2" xfId="582" xr:uid="{00000000-0005-0000-0000-0000A7160000}"/>
    <cellStyle name="Normal 144 3" xfId="1001" xr:uid="{00000000-0005-0000-0000-0000A8160000}"/>
    <cellStyle name="Normal 144 4" xfId="1311" xr:uid="{00000000-0005-0000-0000-0000A9160000}"/>
    <cellStyle name="Normal 144 5" xfId="1376" xr:uid="{00000000-0005-0000-0000-0000AA160000}"/>
    <cellStyle name="Normal 144 6" xfId="1432" xr:uid="{00000000-0005-0000-0000-0000AB160000}"/>
    <cellStyle name="Normal 144 7" xfId="1461" xr:uid="{00000000-0005-0000-0000-0000AC160000}"/>
    <cellStyle name="Normal 144 8" xfId="1484" xr:uid="{00000000-0005-0000-0000-0000AD160000}"/>
    <cellStyle name="Normal 144 9" xfId="1493" xr:uid="{00000000-0005-0000-0000-0000AE160000}"/>
    <cellStyle name="Normal 145" xfId="486" xr:uid="{00000000-0005-0000-0000-0000AF160000}"/>
    <cellStyle name="Normal 145 2" xfId="583" xr:uid="{00000000-0005-0000-0000-0000B0160000}"/>
    <cellStyle name="Normal 145 3" xfId="1002" xr:uid="{00000000-0005-0000-0000-0000B1160000}"/>
    <cellStyle name="Normal 145 4" xfId="866" xr:uid="{00000000-0005-0000-0000-0000B2160000}"/>
    <cellStyle name="Normal 145 5" xfId="956" xr:uid="{00000000-0005-0000-0000-0000B3160000}"/>
    <cellStyle name="Normal 145 6" xfId="851" xr:uid="{00000000-0005-0000-0000-0000B4160000}"/>
    <cellStyle name="Normal 145 7" xfId="962" xr:uid="{00000000-0005-0000-0000-0000B5160000}"/>
    <cellStyle name="Normal 145 8" xfId="875" xr:uid="{00000000-0005-0000-0000-0000B6160000}"/>
    <cellStyle name="Normal 145 9" xfId="953" xr:uid="{00000000-0005-0000-0000-0000B7160000}"/>
    <cellStyle name="Normal 146" xfId="487" xr:uid="{00000000-0005-0000-0000-0000B8160000}"/>
    <cellStyle name="Normal 146 2" xfId="584" xr:uid="{00000000-0005-0000-0000-0000B9160000}"/>
    <cellStyle name="Normal 146 3" xfId="1003" xr:uid="{00000000-0005-0000-0000-0000BA160000}"/>
    <cellStyle name="Normal 146 4" xfId="1163" xr:uid="{00000000-0005-0000-0000-0000BB160000}"/>
    <cellStyle name="Normal 146 5" xfId="1195" xr:uid="{00000000-0005-0000-0000-0000BC160000}"/>
    <cellStyle name="Normal 146 6" xfId="1181" xr:uid="{00000000-0005-0000-0000-0000BD160000}"/>
    <cellStyle name="Normal 146 7" xfId="1088" xr:uid="{00000000-0005-0000-0000-0000BE160000}"/>
    <cellStyle name="Normal 146 8" xfId="1321" xr:uid="{00000000-0005-0000-0000-0000BF160000}"/>
    <cellStyle name="Normal 146 9" xfId="1386" xr:uid="{00000000-0005-0000-0000-0000C0160000}"/>
    <cellStyle name="Normal 147" xfId="488" xr:uid="{00000000-0005-0000-0000-0000C1160000}"/>
    <cellStyle name="Normal 147 2" xfId="585" xr:uid="{00000000-0005-0000-0000-0000C2160000}"/>
    <cellStyle name="Normal 147 3" xfId="1004" xr:uid="{00000000-0005-0000-0000-0000C3160000}"/>
    <cellStyle name="Normal 147 4" xfId="865" xr:uid="{00000000-0005-0000-0000-0000C4160000}"/>
    <cellStyle name="Normal 147 5" xfId="1289" xr:uid="{00000000-0005-0000-0000-0000C5160000}"/>
    <cellStyle name="Normal 147 6" xfId="1356" xr:uid="{00000000-0005-0000-0000-0000C6160000}"/>
    <cellStyle name="Normal 147 7" xfId="1418" xr:uid="{00000000-0005-0000-0000-0000C7160000}"/>
    <cellStyle name="Normal 147 8" xfId="1456" xr:uid="{00000000-0005-0000-0000-0000C8160000}"/>
    <cellStyle name="Normal 147 9" xfId="1482" xr:uid="{00000000-0005-0000-0000-0000C9160000}"/>
    <cellStyle name="Normal 148" xfId="489" xr:uid="{00000000-0005-0000-0000-0000CA160000}"/>
    <cellStyle name="Normal 148 2" xfId="586" xr:uid="{00000000-0005-0000-0000-0000CB160000}"/>
    <cellStyle name="Normal 148 3" xfId="1005" xr:uid="{00000000-0005-0000-0000-0000CC160000}"/>
    <cellStyle name="Normal 148 4" xfId="1162" xr:uid="{00000000-0005-0000-0000-0000CD160000}"/>
    <cellStyle name="Normal 148 5" xfId="1092" xr:uid="{00000000-0005-0000-0000-0000CE160000}"/>
    <cellStyle name="Normal 148 6" xfId="900" xr:uid="{00000000-0005-0000-0000-0000CF160000}"/>
    <cellStyle name="Normal 148 7" xfId="1270" xr:uid="{00000000-0005-0000-0000-0000D0160000}"/>
    <cellStyle name="Normal 148 8" xfId="1339" xr:uid="{00000000-0005-0000-0000-0000D1160000}"/>
    <cellStyle name="Normal 148 9" xfId="1402" xr:uid="{00000000-0005-0000-0000-0000D2160000}"/>
    <cellStyle name="Normal 149" xfId="490" xr:uid="{00000000-0005-0000-0000-0000D3160000}"/>
    <cellStyle name="Normal 149 2" xfId="587" xr:uid="{00000000-0005-0000-0000-0000D4160000}"/>
    <cellStyle name="Normal 149 3" xfId="1006" xr:uid="{00000000-0005-0000-0000-0000D5160000}"/>
    <cellStyle name="Normal 149 4" xfId="1161" xr:uid="{00000000-0005-0000-0000-0000D6160000}"/>
    <cellStyle name="Normal 149 5" xfId="1093" xr:uid="{00000000-0005-0000-0000-0000D7160000}"/>
    <cellStyle name="Normal 149 6" xfId="899" xr:uid="{00000000-0005-0000-0000-0000D8160000}"/>
    <cellStyle name="Normal 149 7" xfId="1271" xr:uid="{00000000-0005-0000-0000-0000D9160000}"/>
    <cellStyle name="Normal 149 8" xfId="1340" xr:uid="{00000000-0005-0000-0000-0000DA160000}"/>
    <cellStyle name="Normal 149 9" xfId="1403" xr:uid="{00000000-0005-0000-0000-0000DB160000}"/>
    <cellStyle name="Normal 15" xfId="58" xr:uid="{00000000-0005-0000-0000-0000DC160000}"/>
    <cellStyle name="Normal 15 10" xfId="4572" xr:uid="{00000000-0005-0000-0000-0000DD160000}"/>
    <cellStyle name="Normal 15 10 2" xfId="16609" xr:uid="{00000000-0005-0000-0000-0000DE160000}"/>
    <cellStyle name="Normal 15 11" xfId="4573" xr:uid="{00000000-0005-0000-0000-0000DF160000}"/>
    <cellStyle name="Normal 15 11 2" xfId="16610" xr:uid="{00000000-0005-0000-0000-0000E0160000}"/>
    <cellStyle name="Normal 15 12" xfId="4574" xr:uid="{00000000-0005-0000-0000-0000E1160000}"/>
    <cellStyle name="Normal 15 12 2" xfId="16611" xr:uid="{00000000-0005-0000-0000-0000E2160000}"/>
    <cellStyle name="Normal 15 13" xfId="4575" xr:uid="{00000000-0005-0000-0000-0000E3160000}"/>
    <cellStyle name="Normal 15 13 2" xfId="16612" xr:uid="{00000000-0005-0000-0000-0000E4160000}"/>
    <cellStyle name="Normal 15 14" xfId="4576" xr:uid="{00000000-0005-0000-0000-0000E5160000}"/>
    <cellStyle name="Normal 15 14 2" xfId="16613" xr:uid="{00000000-0005-0000-0000-0000E6160000}"/>
    <cellStyle name="Normal 15 15" xfId="4577" xr:uid="{00000000-0005-0000-0000-0000E7160000}"/>
    <cellStyle name="Normal 15 15 2" xfId="16614" xr:uid="{00000000-0005-0000-0000-0000E8160000}"/>
    <cellStyle name="Normal 15 16" xfId="4578" xr:uid="{00000000-0005-0000-0000-0000E9160000}"/>
    <cellStyle name="Normal 15 16 2" xfId="16615" xr:uid="{00000000-0005-0000-0000-0000EA160000}"/>
    <cellStyle name="Normal 15 17" xfId="4579" xr:uid="{00000000-0005-0000-0000-0000EB160000}"/>
    <cellStyle name="Normal 15 17 2" xfId="16616" xr:uid="{00000000-0005-0000-0000-0000EC160000}"/>
    <cellStyle name="Normal 15 18" xfId="4580" xr:uid="{00000000-0005-0000-0000-0000ED160000}"/>
    <cellStyle name="Normal 15 18 2" xfId="16617" xr:uid="{00000000-0005-0000-0000-0000EE160000}"/>
    <cellStyle name="Normal 15 19" xfId="4581" xr:uid="{00000000-0005-0000-0000-0000EF160000}"/>
    <cellStyle name="Normal 15 19 2" xfId="16618" xr:uid="{00000000-0005-0000-0000-0000F0160000}"/>
    <cellStyle name="Normal 15 2" xfId="162" xr:uid="{00000000-0005-0000-0000-0000F1160000}"/>
    <cellStyle name="Normal 15 2 10" xfId="4583" xr:uid="{00000000-0005-0000-0000-0000F2160000}"/>
    <cellStyle name="Normal 15 2 10 2" xfId="16620" xr:uid="{00000000-0005-0000-0000-0000F3160000}"/>
    <cellStyle name="Normal 15 2 11" xfId="4584" xr:uid="{00000000-0005-0000-0000-0000F4160000}"/>
    <cellStyle name="Normal 15 2 11 2" xfId="16621" xr:uid="{00000000-0005-0000-0000-0000F5160000}"/>
    <cellStyle name="Normal 15 2 12" xfId="4585" xr:uid="{00000000-0005-0000-0000-0000F6160000}"/>
    <cellStyle name="Normal 15 2 12 2" xfId="16622" xr:uid="{00000000-0005-0000-0000-0000F7160000}"/>
    <cellStyle name="Normal 15 2 13" xfId="4586" xr:uid="{00000000-0005-0000-0000-0000F8160000}"/>
    <cellStyle name="Normal 15 2 13 2" xfId="16623" xr:uid="{00000000-0005-0000-0000-0000F9160000}"/>
    <cellStyle name="Normal 15 2 14" xfId="4587" xr:uid="{00000000-0005-0000-0000-0000FA160000}"/>
    <cellStyle name="Normal 15 2 14 2" xfId="16624" xr:uid="{00000000-0005-0000-0000-0000FB160000}"/>
    <cellStyle name="Normal 15 2 15" xfId="4588" xr:uid="{00000000-0005-0000-0000-0000FC160000}"/>
    <cellStyle name="Normal 15 2 15 2" xfId="16625" xr:uid="{00000000-0005-0000-0000-0000FD160000}"/>
    <cellStyle name="Normal 15 2 16" xfId="4589" xr:uid="{00000000-0005-0000-0000-0000FE160000}"/>
    <cellStyle name="Normal 15 2 16 2" xfId="16626" xr:uid="{00000000-0005-0000-0000-0000FF160000}"/>
    <cellStyle name="Normal 15 2 17" xfId="4590" xr:uid="{00000000-0005-0000-0000-000000170000}"/>
    <cellStyle name="Normal 15 2 17 2" xfId="16627" xr:uid="{00000000-0005-0000-0000-000001170000}"/>
    <cellStyle name="Normal 15 2 18" xfId="4591" xr:uid="{00000000-0005-0000-0000-000002170000}"/>
    <cellStyle name="Normal 15 2 18 2" xfId="16628" xr:uid="{00000000-0005-0000-0000-000003170000}"/>
    <cellStyle name="Normal 15 2 19" xfId="4592" xr:uid="{00000000-0005-0000-0000-000004170000}"/>
    <cellStyle name="Normal 15 2 19 2" xfId="16629" xr:uid="{00000000-0005-0000-0000-000005170000}"/>
    <cellStyle name="Normal 15 2 2" xfId="4593" xr:uid="{00000000-0005-0000-0000-000006170000}"/>
    <cellStyle name="Normal 15 2 2 2" xfId="16630" xr:uid="{00000000-0005-0000-0000-000007170000}"/>
    <cellStyle name="Normal 15 2 20" xfId="4594" xr:uid="{00000000-0005-0000-0000-000008170000}"/>
    <cellStyle name="Normal 15 2 20 2" xfId="16631" xr:uid="{00000000-0005-0000-0000-000009170000}"/>
    <cellStyle name="Normal 15 2 21" xfId="4595" xr:uid="{00000000-0005-0000-0000-00000A170000}"/>
    <cellStyle name="Normal 15 2 21 2" xfId="16632" xr:uid="{00000000-0005-0000-0000-00000B170000}"/>
    <cellStyle name="Normal 15 2 22" xfId="4596" xr:uid="{00000000-0005-0000-0000-00000C170000}"/>
    <cellStyle name="Normal 15 2 22 2" xfId="16633" xr:uid="{00000000-0005-0000-0000-00000D170000}"/>
    <cellStyle name="Normal 15 2 23" xfId="4597" xr:uid="{00000000-0005-0000-0000-00000E170000}"/>
    <cellStyle name="Normal 15 2 23 2" xfId="16634" xr:uid="{00000000-0005-0000-0000-00000F170000}"/>
    <cellStyle name="Normal 15 2 24" xfId="4598" xr:uid="{00000000-0005-0000-0000-000010170000}"/>
    <cellStyle name="Normal 15 2 24 2" xfId="16635" xr:uid="{00000000-0005-0000-0000-000011170000}"/>
    <cellStyle name="Normal 15 2 25" xfId="4599" xr:uid="{00000000-0005-0000-0000-000012170000}"/>
    <cellStyle name="Normal 15 2 25 2" xfId="16636" xr:uid="{00000000-0005-0000-0000-000013170000}"/>
    <cellStyle name="Normal 15 2 26" xfId="4600" xr:uid="{00000000-0005-0000-0000-000014170000}"/>
    <cellStyle name="Normal 15 2 26 2" xfId="16637" xr:uid="{00000000-0005-0000-0000-000015170000}"/>
    <cellStyle name="Normal 15 2 27" xfId="4601" xr:uid="{00000000-0005-0000-0000-000016170000}"/>
    <cellStyle name="Normal 15 2 27 2" xfId="16638" xr:uid="{00000000-0005-0000-0000-000017170000}"/>
    <cellStyle name="Normal 15 2 28" xfId="4602" xr:uid="{00000000-0005-0000-0000-000018170000}"/>
    <cellStyle name="Normal 15 2 28 2" xfId="16639" xr:uid="{00000000-0005-0000-0000-000019170000}"/>
    <cellStyle name="Normal 15 2 29" xfId="4603" xr:uid="{00000000-0005-0000-0000-00001A170000}"/>
    <cellStyle name="Normal 15 2 29 2" xfId="16640" xr:uid="{00000000-0005-0000-0000-00001B170000}"/>
    <cellStyle name="Normal 15 2 3" xfId="4604" xr:uid="{00000000-0005-0000-0000-00001C170000}"/>
    <cellStyle name="Normal 15 2 3 2" xfId="16641" xr:uid="{00000000-0005-0000-0000-00001D170000}"/>
    <cellStyle name="Normal 15 2 30" xfId="4605" xr:uid="{00000000-0005-0000-0000-00001E170000}"/>
    <cellStyle name="Normal 15 2 30 2" xfId="16642" xr:uid="{00000000-0005-0000-0000-00001F170000}"/>
    <cellStyle name="Normal 15 2 31" xfId="4606" xr:uid="{00000000-0005-0000-0000-000020170000}"/>
    <cellStyle name="Normal 15 2 31 2" xfId="16643" xr:uid="{00000000-0005-0000-0000-000021170000}"/>
    <cellStyle name="Normal 15 2 32" xfId="4607" xr:uid="{00000000-0005-0000-0000-000022170000}"/>
    <cellStyle name="Normal 15 2 32 2" xfId="16644" xr:uid="{00000000-0005-0000-0000-000023170000}"/>
    <cellStyle name="Normal 15 2 33" xfId="4608" xr:uid="{00000000-0005-0000-0000-000024170000}"/>
    <cellStyle name="Normal 15 2 33 2" xfId="16645" xr:uid="{00000000-0005-0000-0000-000025170000}"/>
    <cellStyle name="Normal 15 2 34" xfId="4609" xr:uid="{00000000-0005-0000-0000-000026170000}"/>
    <cellStyle name="Normal 15 2 34 2" xfId="16646" xr:uid="{00000000-0005-0000-0000-000027170000}"/>
    <cellStyle name="Normal 15 2 35" xfId="4610" xr:uid="{00000000-0005-0000-0000-000028170000}"/>
    <cellStyle name="Normal 15 2 35 2" xfId="16647" xr:uid="{00000000-0005-0000-0000-000029170000}"/>
    <cellStyle name="Normal 15 2 36" xfId="4611" xr:uid="{00000000-0005-0000-0000-00002A170000}"/>
    <cellStyle name="Normal 15 2 36 2" xfId="16648" xr:uid="{00000000-0005-0000-0000-00002B170000}"/>
    <cellStyle name="Normal 15 2 37" xfId="4612" xr:uid="{00000000-0005-0000-0000-00002C170000}"/>
    <cellStyle name="Normal 15 2 37 2" xfId="16649" xr:uid="{00000000-0005-0000-0000-00002D170000}"/>
    <cellStyle name="Normal 15 2 38" xfId="4613" xr:uid="{00000000-0005-0000-0000-00002E170000}"/>
    <cellStyle name="Normal 15 2 38 2" xfId="16650" xr:uid="{00000000-0005-0000-0000-00002F170000}"/>
    <cellStyle name="Normal 15 2 39" xfId="4614" xr:uid="{00000000-0005-0000-0000-000030170000}"/>
    <cellStyle name="Normal 15 2 39 2" xfId="16651" xr:uid="{00000000-0005-0000-0000-000031170000}"/>
    <cellStyle name="Normal 15 2 4" xfId="4615" xr:uid="{00000000-0005-0000-0000-000032170000}"/>
    <cellStyle name="Normal 15 2 4 2" xfId="16652" xr:uid="{00000000-0005-0000-0000-000033170000}"/>
    <cellStyle name="Normal 15 2 40" xfId="4616" xr:uid="{00000000-0005-0000-0000-000034170000}"/>
    <cellStyle name="Normal 15 2 40 2" xfId="16653" xr:uid="{00000000-0005-0000-0000-000035170000}"/>
    <cellStyle name="Normal 15 2 41" xfId="4617" xr:uid="{00000000-0005-0000-0000-000036170000}"/>
    <cellStyle name="Normal 15 2 41 2" xfId="16654" xr:uid="{00000000-0005-0000-0000-000037170000}"/>
    <cellStyle name="Normal 15 2 42" xfId="4618" xr:uid="{00000000-0005-0000-0000-000038170000}"/>
    <cellStyle name="Normal 15 2 42 2" xfId="16655" xr:uid="{00000000-0005-0000-0000-000039170000}"/>
    <cellStyle name="Normal 15 2 43" xfId="4619" xr:uid="{00000000-0005-0000-0000-00003A170000}"/>
    <cellStyle name="Normal 15 2 43 2" xfId="16656" xr:uid="{00000000-0005-0000-0000-00003B170000}"/>
    <cellStyle name="Normal 15 2 44" xfId="4620" xr:uid="{00000000-0005-0000-0000-00003C170000}"/>
    <cellStyle name="Normal 15 2 44 2" xfId="16657" xr:uid="{00000000-0005-0000-0000-00003D170000}"/>
    <cellStyle name="Normal 15 2 45" xfId="4621" xr:uid="{00000000-0005-0000-0000-00003E170000}"/>
    <cellStyle name="Normal 15 2 45 2" xfId="16658" xr:uid="{00000000-0005-0000-0000-00003F170000}"/>
    <cellStyle name="Normal 15 2 46" xfId="4622" xr:uid="{00000000-0005-0000-0000-000040170000}"/>
    <cellStyle name="Normal 15 2 46 2" xfId="16659" xr:uid="{00000000-0005-0000-0000-000041170000}"/>
    <cellStyle name="Normal 15 2 47" xfId="4623" xr:uid="{00000000-0005-0000-0000-000042170000}"/>
    <cellStyle name="Normal 15 2 47 2" xfId="16660" xr:uid="{00000000-0005-0000-0000-000043170000}"/>
    <cellStyle name="Normal 15 2 48" xfId="4624" xr:uid="{00000000-0005-0000-0000-000044170000}"/>
    <cellStyle name="Normal 15 2 48 2" xfId="16661" xr:uid="{00000000-0005-0000-0000-000045170000}"/>
    <cellStyle name="Normal 15 2 49" xfId="4625" xr:uid="{00000000-0005-0000-0000-000046170000}"/>
    <cellStyle name="Normal 15 2 49 2" xfId="16662" xr:uid="{00000000-0005-0000-0000-000047170000}"/>
    <cellStyle name="Normal 15 2 5" xfId="4626" xr:uid="{00000000-0005-0000-0000-000048170000}"/>
    <cellStyle name="Normal 15 2 5 2" xfId="16663" xr:uid="{00000000-0005-0000-0000-000049170000}"/>
    <cellStyle name="Normal 15 2 50" xfId="4627" xr:uid="{00000000-0005-0000-0000-00004A170000}"/>
    <cellStyle name="Normal 15 2 50 2" xfId="16664" xr:uid="{00000000-0005-0000-0000-00004B170000}"/>
    <cellStyle name="Normal 15 2 51" xfId="4628" xr:uid="{00000000-0005-0000-0000-00004C170000}"/>
    <cellStyle name="Normal 15 2 51 2" xfId="16665" xr:uid="{00000000-0005-0000-0000-00004D170000}"/>
    <cellStyle name="Normal 15 2 52" xfId="4629" xr:uid="{00000000-0005-0000-0000-00004E170000}"/>
    <cellStyle name="Normal 15 2 52 2" xfId="16666" xr:uid="{00000000-0005-0000-0000-00004F170000}"/>
    <cellStyle name="Normal 15 2 53" xfId="4630" xr:uid="{00000000-0005-0000-0000-000050170000}"/>
    <cellStyle name="Normal 15 2 53 2" xfId="16667" xr:uid="{00000000-0005-0000-0000-000051170000}"/>
    <cellStyle name="Normal 15 2 54" xfId="4631" xr:uid="{00000000-0005-0000-0000-000052170000}"/>
    <cellStyle name="Normal 15 2 54 2" xfId="16668" xr:uid="{00000000-0005-0000-0000-000053170000}"/>
    <cellStyle name="Normal 15 2 55" xfId="4632" xr:uid="{00000000-0005-0000-0000-000054170000}"/>
    <cellStyle name="Normal 15 2 55 2" xfId="16669" xr:uid="{00000000-0005-0000-0000-000055170000}"/>
    <cellStyle name="Normal 15 2 56" xfId="4633" xr:uid="{00000000-0005-0000-0000-000056170000}"/>
    <cellStyle name="Normal 15 2 56 2" xfId="16670" xr:uid="{00000000-0005-0000-0000-000057170000}"/>
    <cellStyle name="Normal 15 2 57" xfId="4634" xr:uid="{00000000-0005-0000-0000-000058170000}"/>
    <cellStyle name="Normal 15 2 57 2" xfId="16671" xr:uid="{00000000-0005-0000-0000-000059170000}"/>
    <cellStyle name="Normal 15 2 58" xfId="4635" xr:uid="{00000000-0005-0000-0000-00005A170000}"/>
    <cellStyle name="Normal 15 2 58 2" xfId="16672" xr:uid="{00000000-0005-0000-0000-00005B170000}"/>
    <cellStyle name="Normal 15 2 59" xfId="4636" xr:uid="{00000000-0005-0000-0000-00005C170000}"/>
    <cellStyle name="Normal 15 2 59 2" xfId="16673" xr:uid="{00000000-0005-0000-0000-00005D170000}"/>
    <cellStyle name="Normal 15 2 6" xfId="4637" xr:uid="{00000000-0005-0000-0000-00005E170000}"/>
    <cellStyle name="Normal 15 2 6 2" xfId="16674" xr:uid="{00000000-0005-0000-0000-00005F170000}"/>
    <cellStyle name="Normal 15 2 60" xfId="4638" xr:uid="{00000000-0005-0000-0000-000060170000}"/>
    <cellStyle name="Normal 15 2 60 2" xfId="16675" xr:uid="{00000000-0005-0000-0000-000061170000}"/>
    <cellStyle name="Normal 15 2 61" xfId="4639" xr:uid="{00000000-0005-0000-0000-000062170000}"/>
    <cellStyle name="Normal 15 2 61 2" xfId="16676" xr:uid="{00000000-0005-0000-0000-000063170000}"/>
    <cellStyle name="Normal 15 2 62" xfId="4640" xr:uid="{00000000-0005-0000-0000-000064170000}"/>
    <cellStyle name="Normal 15 2 62 2" xfId="16677" xr:uid="{00000000-0005-0000-0000-000065170000}"/>
    <cellStyle name="Normal 15 2 63" xfId="4641" xr:uid="{00000000-0005-0000-0000-000066170000}"/>
    <cellStyle name="Normal 15 2 63 2" xfId="16678" xr:uid="{00000000-0005-0000-0000-000067170000}"/>
    <cellStyle name="Normal 15 2 64" xfId="4642" xr:uid="{00000000-0005-0000-0000-000068170000}"/>
    <cellStyle name="Normal 15 2 64 2" xfId="16679" xr:uid="{00000000-0005-0000-0000-000069170000}"/>
    <cellStyle name="Normal 15 2 65" xfId="4643" xr:uid="{00000000-0005-0000-0000-00006A170000}"/>
    <cellStyle name="Normal 15 2 65 2" xfId="16680" xr:uid="{00000000-0005-0000-0000-00006B170000}"/>
    <cellStyle name="Normal 15 2 66" xfId="4644" xr:uid="{00000000-0005-0000-0000-00006C170000}"/>
    <cellStyle name="Normal 15 2 66 2" xfId="16681" xr:uid="{00000000-0005-0000-0000-00006D170000}"/>
    <cellStyle name="Normal 15 2 67" xfId="4645" xr:uid="{00000000-0005-0000-0000-00006E170000}"/>
    <cellStyle name="Normal 15 2 67 2" xfId="16682" xr:uid="{00000000-0005-0000-0000-00006F170000}"/>
    <cellStyle name="Normal 15 2 68" xfId="4646" xr:uid="{00000000-0005-0000-0000-000070170000}"/>
    <cellStyle name="Normal 15 2 68 2" xfId="16683" xr:uid="{00000000-0005-0000-0000-000071170000}"/>
    <cellStyle name="Normal 15 2 69" xfId="4647" xr:uid="{00000000-0005-0000-0000-000072170000}"/>
    <cellStyle name="Normal 15 2 69 2" xfId="16684" xr:uid="{00000000-0005-0000-0000-000073170000}"/>
    <cellStyle name="Normal 15 2 7" xfId="4648" xr:uid="{00000000-0005-0000-0000-000074170000}"/>
    <cellStyle name="Normal 15 2 7 2" xfId="16685" xr:uid="{00000000-0005-0000-0000-000075170000}"/>
    <cellStyle name="Normal 15 2 70" xfId="4649" xr:uid="{00000000-0005-0000-0000-000076170000}"/>
    <cellStyle name="Normal 15 2 70 2" xfId="16686" xr:uid="{00000000-0005-0000-0000-000077170000}"/>
    <cellStyle name="Normal 15 2 71" xfId="4650" xr:uid="{00000000-0005-0000-0000-000078170000}"/>
    <cellStyle name="Normal 15 2 71 2" xfId="16687" xr:uid="{00000000-0005-0000-0000-000079170000}"/>
    <cellStyle name="Normal 15 2 72" xfId="4651" xr:uid="{00000000-0005-0000-0000-00007A170000}"/>
    <cellStyle name="Normal 15 2 72 2" xfId="16688" xr:uid="{00000000-0005-0000-0000-00007B170000}"/>
    <cellStyle name="Normal 15 2 73" xfId="4652" xr:uid="{00000000-0005-0000-0000-00007C170000}"/>
    <cellStyle name="Normal 15 2 73 2" xfId="16689" xr:uid="{00000000-0005-0000-0000-00007D170000}"/>
    <cellStyle name="Normal 15 2 74" xfId="4653" xr:uid="{00000000-0005-0000-0000-00007E170000}"/>
    <cellStyle name="Normal 15 2 74 2" xfId="16690" xr:uid="{00000000-0005-0000-0000-00007F170000}"/>
    <cellStyle name="Normal 15 2 75" xfId="4654" xr:uid="{00000000-0005-0000-0000-000080170000}"/>
    <cellStyle name="Normal 15 2 75 2" xfId="16691" xr:uid="{00000000-0005-0000-0000-000081170000}"/>
    <cellStyle name="Normal 15 2 76" xfId="4655" xr:uid="{00000000-0005-0000-0000-000082170000}"/>
    <cellStyle name="Normal 15 2 76 2" xfId="16692" xr:uid="{00000000-0005-0000-0000-000083170000}"/>
    <cellStyle name="Normal 15 2 77" xfId="4656" xr:uid="{00000000-0005-0000-0000-000084170000}"/>
    <cellStyle name="Normal 15 2 77 2" xfId="16693" xr:uid="{00000000-0005-0000-0000-000085170000}"/>
    <cellStyle name="Normal 15 2 78" xfId="4657" xr:uid="{00000000-0005-0000-0000-000086170000}"/>
    <cellStyle name="Normal 15 2 78 2" xfId="16694" xr:uid="{00000000-0005-0000-0000-000087170000}"/>
    <cellStyle name="Normal 15 2 79" xfId="4658" xr:uid="{00000000-0005-0000-0000-000088170000}"/>
    <cellStyle name="Normal 15 2 79 2" xfId="16695" xr:uid="{00000000-0005-0000-0000-000089170000}"/>
    <cellStyle name="Normal 15 2 8" xfId="4659" xr:uid="{00000000-0005-0000-0000-00008A170000}"/>
    <cellStyle name="Normal 15 2 8 2" xfId="16696" xr:uid="{00000000-0005-0000-0000-00008B170000}"/>
    <cellStyle name="Normal 15 2 80" xfId="16619" xr:uid="{00000000-0005-0000-0000-00008C170000}"/>
    <cellStyle name="Normal 15 2 81" xfId="4582" xr:uid="{00000000-0005-0000-0000-00008D170000}"/>
    <cellStyle name="Normal 15 2 9" xfId="4660" xr:uid="{00000000-0005-0000-0000-00008E170000}"/>
    <cellStyle name="Normal 15 2 9 2" xfId="16697" xr:uid="{00000000-0005-0000-0000-00008F170000}"/>
    <cellStyle name="Normal 15 20" xfId="4661" xr:uid="{00000000-0005-0000-0000-000090170000}"/>
    <cellStyle name="Normal 15 20 2" xfId="16698" xr:uid="{00000000-0005-0000-0000-000091170000}"/>
    <cellStyle name="Normal 15 21" xfId="4662" xr:uid="{00000000-0005-0000-0000-000092170000}"/>
    <cellStyle name="Normal 15 21 2" xfId="16699" xr:uid="{00000000-0005-0000-0000-000093170000}"/>
    <cellStyle name="Normal 15 22" xfId="4663" xr:uid="{00000000-0005-0000-0000-000094170000}"/>
    <cellStyle name="Normal 15 22 2" xfId="16700" xr:uid="{00000000-0005-0000-0000-000095170000}"/>
    <cellStyle name="Normal 15 23" xfId="4664" xr:uid="{00000000-0005-0000-0000-000096170000}"/>
    <cellStyle name="Normal 15 23 2" xfId="16701" xr:uid="{00000000-0005-0000-0000-000097170000}"/>
    <cellStyle name="Normal 15 24" xfId="4665" xr:uid="{00000000-0005-0000-0000-000098170000}"/>
    <cellStyle name="Normal 15 24 2" xfId="16702" xr:uid="{00000000-0005-0000-0000-000099170000}"/>
    <cellStyle name="Normal 15 25" xfId="4666" xr:uid="{00000000-0005-0000-0000-00009A170000}"/>
    <cellStyle name="Normal 15 25 2" xfId="16703" xr:uid="{00000000-0005-0000-0000-00009B170000}"/>
    <cellStyle name="Normal 15 26" xfId="4667" xr:uid="{00000000-0005-0000-0000-00009C170000}"/>
    <cellStyle name="Normal 15 26 2" xfId="16704" xr:uid="{00000000-0005-0000-0000-00009D170000}"/>
    <cellStyle name="Normal 15 27" xfId="4668" xr:uid="{00000000-0005-0000-0000-00009E170000}"/>
    <cellStyle name="Normal 15 27 2" xfId="16705" xr:uid="{00000000-0005-0000-0000-00009F170000}"/>
    <cellStyle name="Normal 15 28" xfId="4669" xr:uid="{00000000-0005-0000-0000-0000A0170000}"/>
    <cellStyle name="Normal 15 28 2" xfId="16706" xr:uid="{00000000-0005-0000-0000-0000A1170000}"/>
    <cellStyle name="Normal 15 29" xfId="4670" xr:uid="{00000000-0005-0000-0000-0000A2170000}"/>
    <cellStyle name="Normal 15 29 2" xfId="16707" xr:uid="{00000000-0005-0000-0000-0000A3170000}"/>
    <cellStyle name="Normal 15 3" xfId="697" xr:uid="{00000000-0005-0000-0000-0000A4170000}"/>
    <cellStyle name="Normal 15 3 10" xfId="4672" xr:uid="{00000000-0005-0000-0000-0000A5170000}"/>
    <cellStyle name="Normal 15 3 10 2" xfId="16709" xr:uid="{00000000-0005-0000-0000-0000A6170000}"/>
    <cellStyle name="Normal 15 3 11" xfId="4673" xr:uid="{00000000-0005-0000-0000-0000A7170000}"/>
    <cellStyle name="Normal 15 3 11 2" xfId="16710" xr:uid="{00000000-0005-0000-0000-0000A8170000}"/>
    <cellStyle name="Normal 15 3 12" xfId="4674" xr:uid="{00000000-0005-0000-0000-0000A9170000}"/>
    <cellStyle name="Normal 15 3 12 2" xfId="16711" xr:uid="{00000000-0005-0000-0000-0000AA170000}"/>
    <cellStyle name="Normal 15 3 13" xfId="4675" xr:uid="{00000000-0005-0000-0000-0000AB170000}"/>
    <cellStyle name="Normal 15 3 13 2" xfId="16712" xr:uid="{00000000-0005-0000-0000-0000AC170000}"/>
    <cellStyle name="Normal 15 3 14" xfId="4676" xr:uid="{00000000-0005-0000-0000-0000AD170000}"/>
    <cellStyle name="Normal 15 3 14 2" xfId="16713" xr:uid="{00000000-0005-0000-0000-0000AE170000}"/>
    <cellStyle name="Normal 15 3 15" xfId="4677" xr:uid="{00000000-0005-0000-0000-0000AF170000}"/>
    <cellStyle name="Normal 15 3 15 2" xfId="16714" xr:uid="{00000000-0005-0000-0000-0000B0170000}"/>
    <cellStyle name="Normal 15 3 16" xfId="4678" xr:uid="{00000000-0005-0000-0000-0000B1170000}"/>
    <cellStyle name="Normal 15 3 16 2" xfId="16715" xr:uid="{00000000-0005-0000-0000-0000B2170000}"/>
    <cellStyle name="Normal 15 3 17" xfId="4679" xr:uid="{00000000-0005-0000-0000-0000B3170000}"/>
    <cellStyle name="Normal 15 3 17 2" xfId="16716" xr:uid="{00000000-0005-0000-0000-0000B4170000}"/>
    <cellStyle name="Normal 15 3 18" xfId="4680" xr:uid="{00000000-0005-0000-0000-0000B5170000}"/>
    <cellStyle name="Normal 15 3 18 2" xfId="16717" xr:uid="{00000000-0005-0000-0000-0000B6170000}"/>
    <cellStyle name="Normal 15 3 19" xfId="4681" xr:uid="{00000000-0005-0000-0000-0000B7170000}"/>
    <cellStyle name="Normal 15 3 19 2" xfId="16718" xr:uid="{00000000-0005-0000-0000-0000B8170000}"/>
    <cellStyle name="Normal 15 3 2" xfId="4682" xr:uid="{00000000-0005-0000-0000-0000B9170000}"/>
    <cellStyle name="Normal 15 3 2 2" xfId="16719" xr:uid="{00000000-0005-0000-0000-0000BA170000}"/>
    <cellStyle name="Normal 15 3 20" xfId="4683" xr:uid="{00000000-0005-0000-0000-0000BB170000}"/>
    <cellStyle name="Normal 15 3 20 2" xfId="16720" xr:uid="{00000000-0005-0000-0000-0000BC170000}"/>
    <cellStyle name="Normal 15 3 21" xfId="4684" xr:uid="{00000000-0005-0000-0000-0000BD170000}"/>
    <cellStyle name="Normal 15 3 21 2" xfId="16721" xr:uid="{00000000-0005-0000-0000-0000BE170000}"/>
    <cellStyle name="Normal 15 3 22" xfId="4685" xr:uid="{00000000-0005-0000-0000-0000BF170000}"/>
    <cellStyle name="Normal 15 3 22 2" xfId="16722" xr:uid="{00000000-0005-0000-0000-0000C0170000}"/>
    <cellStyle name="Normal 15 3 23" xfId="4686" xr:uid="{00000000-0005-0000-0000-0000C1170000}"/>
    <cellStyle name="Normal 15 3 23 2" xfId="16723" xr:uid="{00000000-0005-0000-0000-0000C2170000}"/>
    <cellStyle name="Normal 15 3 24" xfId="4687" xr:uid="{00000000-0005-0000-0000-0000C3170000}"/>
    <cellStyle name="Normal 15 3 24 2" xfId="16724" xr:uid="{00000000-0005-0000-0000-0000C4170000}"/>
    <cellStyle name="Normal 15 3 25" xfId="4688" xr:uid="{00000000-0005-0000-0000-0000C5170000}"/>
    <cellStyle name="Normal 15 3 25 2" xfId="16725" xr:uid="{00000000-0005-0000-0000-0000C6170000}"/>
    <cellStyle name="Normal 15 3 26" xfId="4689" xr:uid="{00000000-0005-0000-0000-0000C7170000}"/>
    <cellStyle name="Normal 15 3 26 2" xfId="16726" xr:uid="{00000000-0005-0000-0000-0000C8170000}"/>
    <cellStyle name="Normal 15 3 27" xfId="4690" xr:uid="{00000000-0005-0000-0000-0000C9170000}"/>
    <cellStyle name="Normal 15 3 27 2" xfId="16727" xr:uid="{00000000-0005-0000-0000-0000CA170000}"/>
    <cellStyle name="Normal 15 3 28" xfId="4691" xr:uid="{00000000-0005-0000-0000-0000CB170000}"/>
    <cellStyle name="Normal 15 3 28 2" xfId="16728" xr:uid="{00000000-0005-0000-0000-0000CC170000}"/>
    <cellStyle name="Normal 15 3 29" xfId="4692" xr:uid="{00000000-0005-0000-0000-0000CD170000}"/>
    <cellStyle name="Normal 15 3 29 2" xfId="16729" xr:uid="{00000000-0005-0000-0000-0000CE170000}"/>
    <cellStyle name="Normal 15 3 3" xfId="4693" xr:uid="{00000000-0005-0000-0000-0000CF170000}"/>
    <cellStyle name="Normal 15 3 3 2" xfId="16730" xr:uid="{00000000-0005-0000-0000-0000D0170000}"/>
    <cellStyle name="Normal 15 3 30" xfId="4694" xr:uid="{00000000-0005-0000-0000-0000D1170000}"/>
    <cellStyle name="Normal 15 3 30 2" xfId="16731" xr:uid="{00000000-0005-0000-0000-0000D2170000}"/>
    <cellStyle name="Normal 15 3 31" xfId="4695" xr:uid="{00000000-0005-0000-0000-0000D3170000}"/>
    <cellStyle name="Normal 15 3 31 2" xfId="16732" xr:uid="{00000000-0005-0000-0000-0000D4170000}"/>
    <cellStyle name="Normal 15 3 32" xfId="4696" xr:uid="{00000000-0005-0000-0000-0000D5170000}"/>
    <cellStyle name="Normal 15 3 32 2" xfId="16733" xr:uid="{00000000-0005-0000-0000-0000D6170000}"/>
    <cellStyle name="Normal 15 3 33" xfId="4697" xr:uid="{00000000-0005-0000-0000-0000D7170000}"/>
    <cellStyle name="Normal 15 3 33 2" xfId="16734" xr:uid="{00000000-0005-0000-0000-0000D8170000}"/>
    <cellStyle name="Normal 15 3 34" xfId="4698" xr:uid="{00000000-0005-0000-0000-0000D9170000}"/>
    <cellStyle name="Normal 15 3 34 2" xfId="16735" xr:uid="{00000000-0005-0000-0000-0000DA170000}"/>
    <cellStyle name="Normal 15 3 35" xfId="4699" xr:uid="{00000000-0005-0000-0000-0000DB170000}"/>
    <cellStyle name="Normal 15 3 35 2" xfId="16736" xr:uid="{00000000-0005-0000-0000-0000DC170000}"/>
    <cellStyle name="Normal 15 3 36" xfId="4700" xr:uid="{00000000-0005-0000-0000-0000DD170000}"/>
    <cellStyle name="Normal 15 3 36 2" xfId="16737" xr:uid="{00000000-0005-0000-0000-0000DE170000}"/>
    <cellStyle name="Normal 15 3 37" xfId="4701" xr:uid="{00000000-0005-0000-0000-0000DF170000}"/>
    <cellStyle name="Normal 15 3 37 2" xfId="16738" xr:uid="{00000000-0005-0000-0000-0000E0170000}"/>
    <cellStyle name="Normal 15 3 38" xfId="4702" xr:uid="{00000000-0005-0000-0000-0000E1170000}"/>
    <cellStyle name="Normal 15 3 38 2" xfId="16739" xr:uid="{00000000-0005-0000-0000-0000E2170000}"/>
    <cellStyle name="Normal 15 3 39" xfId="4703" xr:uid="{00000000-0005-0000-0000-0000E3170000}"/>
    <cellStyle name="Normal 15 3 39 2" xfId="16740" xr:uid="{00000000-0005-0000-0000-0000E4170000}"/>
    <cellStyle name="Normal 15 3 4" xfId="4704" xr:uid="{00000000-0005-0000-0000-0000E5170000}"/>
    <cellStyle name="Normal 15 3 4 2" xfId="16741" xr:uid="{00000000-0005-0000-0000-0000E6170000}"/>
    <cellStyle name="Normal 15 3 40" xfId="4705" xr:uid="{00000000-0005-0000-0000-0000E7170000}"/>
    <cellStyle name="Normal 15 3 40 2" xfId="16742" xr:uid="{00000000-0005-0000-0000-0000E8170000}"/>
    <cellStyle name="Normal 15 3 41" xfId="4706" xr:uid="{00000000-0005-0000-0000-0000E9170000}"/>
    <cellStyle name="Normal 15 3 41 2" xfId="16743" xr:uid="{00000000-0005-0000-0000-0000EA170000}"/>
    <cellStyle name="Normal 15 3 42" xfId="4707" xr:uid="{00000000-0005-0000-0000-0000EB170000}"/>
    <cellStyle name="Normal 15 3 42 2" xfId="16744" xr:uid="{00000000-0005-0000-0000-0000EC170000}"/>
    <cellStyle name="Normal 15 3 43" xfId="4708" xr:uid="{00000000-0005-0000-0000-0000ED170000}"/>
    <cellStyle name="Normal 15 3 43 2" xfId="16745" xr:uid="{00000000-0005-0000-0000-0000EE170000}"/>
    <cellStyle name="Normal 15 3 44" xfId="4709" xr:uid="{00000000-0005-0000-0000-0000EF170000}"/>
    <cellStyle name="Normal 15 3 44 2" xfId="16746" xr:uid="{00000000-0005-0000-0000-0000F0170000}"/>
    <cellStyle name="Normal 15 3 45" xfId="4710" xr:uid="{00000000-0005-0000-0000-0000F1170000}"/>
    <cellStyle name="Normal 15 3 45 2" xfId="16747" xr:uid="{00000000-0005-0000-0000-0000F2170000}"/>
    <cellStyle name="Normal 15 3 46" xfId="4711" xr:uid="{00000000-0005-0000-0000-0000F3170000}"/>
    <cellStyle name="Normal 15 3 46 2" xfId="16748" xr:uid="{00000000-0005-0000-0000-0000F4170000}"/>
    <cellStyle name="Normal 15 3 47" xfId="4712" xr:uid="{00000000-0005-0000-0000-0000F5170000}"/>
    <cellStyle name="Normal 15 3 47 2" xfId="16749" xr:uid="{00000000-0005-0000-0000-0000F6170000}"/>
    <cellStyle name="Normal 15 3 48" xfId="4713" xr:uid="{00000000-0005-0000-0000-0000F7170000}"/>
    <cellStyle name="Normal 15 3 48 2" xfId="16750" xr:uid="{00000000-0005-0000-0000-0000F8170000}"/>
    <cellStyle name="Normal 15 3 49" xfId="4714" xr:uid="{00000000-0005-0000-0000-0000F9170000}"/>
    <cellStyle name="Normal 15 3 49 2" xfId="16751" xr:uid="{00000000-0005-0000-0000-0000FA170000}"/>
    <cellStyle name="Normal 15 3 5" xfId="4715" xr:uid="{00000000-0005-0000-0000-0000FB170000}"/>
    <cellStyle name="Normal 15 3 5 2" xfId="16752" xr:uid="{00000000-0005-0000-0000-0000FC170000}"/>
    <cellStyle name="Normal 15 3 50" xfId="4716" xr:uid="{00000000-0005-0000-0000-0000FD170000}"/>
    <cellStyle name="Normal 15 3 50 2" xfId="16753" xr:uid="{00000000-0005-0000-0000-0000FE170000}"/>
    <cellStyle name="Normal 15 3 51" xfId="4717" xr:uid="{00000000-0005-0000-0000-0000FF170000}"/>
    <cellStyle name="Normal 15 3 51 2" xfId="16754" xr:uid="{00000000-0005-0000-0000-000000180000}"/>
    <cellStyle name="Normal 15 3 52" xfId="4718" xr:uid="{00000000-0005-0000-0000-000001180000}"/>
    <cellStyle name="Normal 15 3 52 2" xfId="16755" xr:uid="{00000000-0005-0000-0000-000002180000}"/>
    <cellStyle name="Normal 15 3 53" xfId="4719" xr:uid="{00000000-0005-0000-0000-000003180000}"/>
    <cellStyle name="Normal 15 3 53 2" xfId="16756" xr:uid="{00000000-0005-0000-0000-000004180000}"/>
    <cellStyle name="Normal 15 3 54" xfId="4720" xr:uid="{00000000-0005-0000-0000-000005180000}"/>
    <cellStyle name="Normal 15 3 54 2" xfId="16757" xr:uid="{00000000-0005-0000-0000-000006180000}"/>
    <cellStyle name="Normal 15 3 55" xfId="4721" xr:uid="{00000000-0005-0000-0000-000007180000}"/>
    <cellStyle name="Normal 15 3 55 2" xfId="16758" xr:uid="{00000000-0005-0000-0000-000008180000}"/>
    <cellStyle name="Normal 15 3 56" xfId="4722" xr:uid="{00000000-0005-0000-0000-000009180000}"/>
    <cellStyle name="Normal 15 3 56 2" xfId="16759" xr:uid="{00000000-0005-0000-0000-00000A180000}"/>
    <cellStyle name="Normal 15 3 57" xfId="4723" xr:uid="{00000000-0005-0000-0000-00000B180000}"/>
    <cellStyle name="Normal 15 3 57 2" xfId="16760" xr:uid="{00000000-0005-0000-0000-00000C180000}"/>
    <cellStyle name="Normal 15 3 58" xfId="4724" xr:uid="{00000000-0005-0000-0000-00000D180000}"/>
    <cellStyle name="Normal 15 3 58 2" xfId="16761" xr:uid="{00000000-0005-0000-0000-00000E180000}"/>
    <cellStyle name="Normal 15 3 59" xfId="4725" xr:uid="{00000000-0005-0000-0000-00000F180000}"/>
    <cellStyle name="Normal 15 3 59 2" xfId="16762" xr:uid="{00000000-0005-0000-0000-000010180000}"/>
    <cellStyle name="Normal 15 3 6" xfId="4726" xr:uid="{00000000-0005-0000-0000-000011180000}"/>
    <cellStyle name="Normal 15 3 6 2" xfId="16763" xr:uid="{00000000-0005-0000-0000-000012180000}"/>
    <cellStyle name="Normal 15 3 60" xfId="4727" xr:uid="{00000000-0005-0000-0000-000013180000}"/>
    <cellStyle name="Normal 15 3 60 2" xfId="16764" xr:uid="{00000000-0005-0000-0000-000014180000}"/>
    <cellStyle name="Normal 15 3 61" xfId="4728" xr:uid="{00000000-0005-0000-0000-000015180000}"/>
    <cellStyle name="Normal 15 3 61 2" xfId="16765" xr:uid="{00000000-0005-0000-0000-000016180000}"/>
    <cellStyle name="Normal 15 3 62" xfId="4729" xr:uid="{00000000-0005-0000-0000-000017180000}"/>
    <cellStyle name="Normal 15 3 62 2" xfId="16766" xr:uid="{00000000-0005-0000-0000-000018180000}"/>
    <cellStyle name="Normal 15 3 63" xfId="4730" xr:uid="{00000000-0005-0000-0000-000019180000}"/>
    <cellStyle name="Normal 15 3 63 2" xfId="16767" xr:uid="{00000000-0005-0000-0000-00001A180000}"/>
    <cellStyle name="Normal 15 3 64" xfId="4731" xr:uid="{00000000-0005-0000-0000-00001B180000}"/>
    <cellStyle name="Normal 15 3 64 2" xfId="16768" xr:uid="{00000000-0005-0000-0000-00001C180000}"/>
    <cellStyle name="Normal 15 3 65" xfId="4732" xr:uid="{00000000-0005-0000-0000-00001D180000}"/>
    <cellStyle name="Normal 15 3 65 2" xfId="16769" xr:uid="{00000000-0005-0000-0000-00001E180000}"/>
    <cellStyle name="Normal 15 3 66" xfId="4733" xr:uid="{00000000-0005-0000-0000-00001F180000}"/>
    <cellStyle name="Normal 15 3 66 2" xfId="16770" xr:uid="{00000000-0005-0000-0000-000020180000}"/>
    <cellStyle name="Normal 15 3 67" xfId="4734" xr:uid="{00000000-0005-0000-0000-000021180000}"/>
    <cellStyle name="Normal 15 3 67 2" xfId="16771" xr:uid="{00000000-0005-0000-0000-000022180000}"/>
    <cellStyle name="Normal 15 3 68" xfId="4735" xr:uid="{00000000-0005-0000-0000-000023180000}"/>
    <cellStyle name="Normal 15 3 68 2" xfId="16772" xr:uid="{00000000-0005-0000-0000-000024180000}"/>
    <cellStyle name="Normal 15 3 69" xfId="4736" xr:uid="{00000000-0005-0000-0000-000025180000}"/>
    <cellStyle name="Normal 15 3 69 2" xfId="16773" xr:uid="{00000000-0005-0000-0000-000026180000}"/>
    <cellStyle name="Normal 15 3 7" xfId="4737" xr:uid="{00000000-0005-0000-0000-000027180000}"/>
    <cellStyle name="Normal 15 3 7 2" xfId="16774" xr:uid="{00000000-0005-0000-0000-000028180000}"/>
    <cellStyle name="Normal 15 3 70" xfId="4738" xr:uid="{00000000-0005-0000-0000-000029180000}"/>
    <cellStyle name="Normal 15 3 70 2" xfId="16775" xr:uid="{00000000-0005-0000-0000-00002A180000}"/>
    <cellStyle name="Normal 15 3 71" xfId="4739" xr:uid="{00000000-0005-0000-0000-00002B180000}"/>
    <cellStyle name="Normal 15 3 71 2" xfId="16776" xr:uid="{00000000-0005-0000-0000-00002C180000}"/>
    <cellStyle name="Normal 15 3 72" xfId="4740" xr:uid="{00000000-0005-0000-0000-00002D180000}"/>
    <cellStyle name="Normal 15 3 72 2" xfId="16777" xr:uid="{00000000-0005-0000-0000-00002E180000}"/>
    <cellStyle name="Normal 15 3 73" xfId="4741" xr:uid="{00000000-0005-0000-0000-00002F180000}"/>
    <cellStyle name="Normal 15 3 73 2" xfId="16778" xr:uid="{00000000-0005-0000-0000-000030180000}"/>
    <cellStyle name="Normal 15 3 74" xfId="4742" xr:uid="{00000000-0005-0000-0000-000031180000}"/>
    <cellStyle name="Normal 15 3 74 2" xfId="16779" xr:uid="{00000000-0005-0000-0000-000032180000}"/>
    <cellStyle name="Normal 15 3 75" xfId="4743" xr:uid="{00000000-0005-0000-0000-000033180000}"/>
    <cellStyle name="Normal 15 3 75 2" xfId="16780" xr:uid="{00000000-0005-0000-0000-000034180000}"/>
    <cellStyle name="Normal 15 3 76" xfId="4744" xr:uid="{00000000-0005-0000-0000-000035180000}"/>
    <cellStyle name="Normal 15 3 76 2" xfId="16781" xr:uid="{00000000-0005-0000-0000-000036180000}"/>
    <cellStyle name="Normal 15 3 77" xfId="4745" xr:uid="{00000000-0005-0000-0000-000037180000}"/>
    <cellStyle name="Normal 15 3 77 2" xfId="16782" xr:uid="{00000000-0005-0000-0000-000038180000}"/>
    <cellStyle name="Normal 15 3 78" xfId="4746" xr:uid="{00000000-0005-0000-0000-000039180000}"/>
    <cellStyle name="Normal 15 3 78 2" xfId="16783" xr:uid="{00000000-0005-0000-0000-00003A180000}"/>
    <cellStyle name="Normal 15 3 79" xfId="4747" xr:uid="{00000000-0005-0000-0000-00003B180000}"/>
    <cellStyle name="Normal 15 3 79 2" xfId="16784" xr:uid="{00000000-0005-0000-0000-00003C180000}"/>
    <cellStyle name="Normal 15 3 8" xfId="4748" xr:uid="{00000000-0005-0000-0000-00003D180000}"/>
    <cellStyle name="Normal 15 3 8 2" xfId="16785" xr:uid="{00000000-0005-0000-0000-00003E180000}"/>
    <cellStyle name="Normal 15 3 80" xfId="16708" xr:uid="{00000000-0005-0000-0000-00003F180000}"/>
    <cellStyle name="Normal 15 3 81" xfId="4671" xr:uid="{00000000-0005-0000-0000-000040180000}"/>
    <cellStyle name="Normal 15 3 9" xfId="4749" xr:uid="{00000000-0005-0000-0000-000041180000}"/>
    <cellStyle name="Normal 15 3 9 2" xfId="16786" xr:uid="{00000000-0005-0000-0000-000042180000}"/>
    <cellStyle name="Normal 15 30" xfId="4750" xr:uid="{00000000-0005-0000-0000-000043180000}"/>
    <cellStyle name="Normal 15 30 2" xfId="16787" xr:uid="{00000000-0005-0000-0000-000044180000}"/>
    <cellStyle name="Normal 15 31" xfId="4751" xr:uid="{00000000-0005-0000-0000-000045180000}"/>
    <cellStyle name="Normal 15 31 2" xfId="16788" xr:uid="{00000000-0005-0000-0000-000046180000}"/>
    <cellStyle name="Normal 15 32" xfId="4752" xr:uid="{00000000-0005-0000-0000-000047180000}"/>
    <cellStyle name="Normal 15 32 2" xfId="16789" xr:uid="{00000000-0005-0000-0000-000048180000}"/>
    <cellStyle name="Normal 15 33" xfId="4753" xr:uid="{00000000-0005-0000-0000-000049180000}"/>
    <cellStyle name="Normal 15 33 2" xfId="16790" xr:uid="{00000000-0005-0000-0000-00004A180000}"/>
    <cellStyle name="Normal 15 34" xfId="4754" xr:uid="{00000000-0005-0000-0000-00004B180000}"/>
    <cellStyle name="Normal 15 34 2" xfId="16791" xr:uid="{00000000-0005-0000-0000-00004C180000}"/>
    <cellStyle name="Normal 15 35" xfId="4755" xr:uid="{00000000-0005-0000-0000-00004D180000}"/>
    <cellStyle name="Normal 15 35 2" xfId="16792" xr:uid="{00000000-0005-0000-0000-00004E180000}"/>
    <cellStyle name="Normal 15 36" xfId="4756" xr:uid="{00000000-0005-0000-0000-00004F180000}"/>
    <cellStyle name="Normal 15 36 2" xfId="16793" xr:uid="{00000000-0005-0000-0000-000050180000}"/>
    <cellStyle name="Normal 15 37" xfId="4757" xr:uid="{00000000-0005-0000-0000-000051180000}"/>
    <cellStyle name="Normal 15 37 2" xfId="16794" xr:uid="{00000000-0005-0000-0000-000052180000}"/>
    <cellStyle name="Normal 15 38" xfId="4758" xr:uid="{00000000-0005-0000-0000-000053180000}"/>
    <cellStyle name="Normal 15 38 2" xfId="16795" xr:uid="{00000000-0005-0000-0000-000054180000}"/>
    <cellStyle name="Normal 15 39" xfId="4759" xr:uid="{00000000-0005-0000-0000-000055180000}"/>
    <cellStyle name="Normal 15 39 2" xfId="16796" xr:uid="{00000000-0005-0000-0000-000056180000}"/>
    <cellStyle name="Normal 15 4" xfId="306" xr:uid="{00000000-0005-0000-0000-000057180000}"/>
    <cellStyle name="Normal 15 4 10" xfId="4760" xr:uid="{00000000-0005-0000-0000-000058180000}"/>
    <cellStyle name="Normal 15 4 10 2" xfId="16798" xr:uid="{00000000-0005-0000-0000-000059180000}"/>
    <cellStyle name="Normal 15 4 11" xfId="4761" xr:uid="{00000000-0005-0000-0000-00005A180000}"/>
    <cellStyle name="Normal 15 4 11 2" xfId="16799" xr:uid="{00000000-0005-0000-0000-00005B180000}"/>
    <cellStyle name="Normal 15 4 12" xfId="4762" xr:uid="{00000000-0005-0000-0000-00005C180000}"/>
    <cellStyle name="Normal 15 4 12 2" xfId="16800" xr:uid="{00000000-0005-0000-0000-00005D180000}"/>
    <cellStyle name="Normal 15 4 13" xfId="4763" xr:uid="{00000000-0005-0000-0000-00005E180000}"/>
    <cellStyle name="Normal 15 4 13 2" xfId="16801" xr:uid="{00000000-0005-0000-0000-00005F180000}"/>
    <cellStyle name="Normal 15 4 14" xfId="4764" xr:uid="{00000000-0005-0000-0000-000060180000}"/>
    <cellStyle name="Normal 15 4 14 2" xfId="16802" xr:uid="{00000000-0005-0000-0000-000061180000}"/>
    <cellStyle name="Normal 15 4 15" xfId="4765" xr:uid="{00000000-0005-0000-0000-000062180000}"/>
    <cellStyle name="Normal 15 4 15 2" xfId="16803" xr:uid="{00000000-0005-0000-0000-000063180000}"/>
    <cellStyle name="Normal 15 4 16" xfId="4766" xr:uid="{00000000-0005-0000-0000-000064180000}"/>
    <cellStyle name="Normal 15 4 16 2" xfId="16804" xr:uid="{00000000-0005-0000-0000-000065180000}"/>
    <cellStyle name="Normal 15 4 17" xfId="4767" xr:uid="{00000000-0005-0000-0000-000066180000}"/>
    <cellStyle name="Normal 15 4 17 2" xfId="16805" xr:uid="{00000000-0005-0000-0000-000067180000}"/>
    <cellStyle name="Normal 15 4 18" xfId="4768" xr:uid="{00000000-0005-0000-0000-000068180000}"/>
    <cellStyle name="Normal 15 4 18 2" xfId="16806" xr:uid="{00000000-0005-0000-0000-000069180000}"/>
    <cellStyle name="Normal 15 4 19" xfId="4769" xr:uid="{00000000-0005-0000-0000-00006A180000}"/>
    <cellStyle name="Normal 15 4 19 2" xfId="16807" xr:uid="{00000000-0005-0000-0000-00006B180000}"/>
    <cellStyle name="Normal 15 4 2" xfId="4770" xr:uid="{00000000-0005-0000-0000-00006C180000}"/>
    <cellStyle name="Normal 15 4 2 2" xfId="16808" xr:uid="{00000000-0005-0000-0000-00006D180000}"/>
    <cellStyle name="Normal 15 4 20" xfId="4771" xr:uid="{00000000-0005-0000-0000-00006E180000}"/>
    <cellStyle name="Normal 15 4 20 2" xfId="16809" xr:uid="{00000000-0005-0000-0000-00006F180000}"/>
    <cellStyle name="Normal 15 4 21" xfId="4772" xr:uid="{00000000-0005-0000-0000-000070180000}"/>
    <cellStyle name="Normal 15 4 21 2" xfId="16810" xr:uid="{00000000-0005-0000-0000-000071180000}"/>
    <cellStyle name="Normal 15 4 22" xfId="4773" xr:uid="{00000000-0005-0000-0000-000072180000}"/>
    <cellStyle name="Normal 15 4 22 2" xfId="16811" xr:uid="{00000000-0005-0000-0000-000073180000}"/>
    <cellStyle name="Normal 15 4 23" xfId="4774" xr:uid="{00000000-0005-0000-0000-000074180000}"/>
    <cellStyle name="Normal 15 4 23 2" xfId="16812" xr:uid="{00000000-0005-0000-0000-000075180000}"/>
    <cellStyle name="Normal 15 4 24" xfId="4775" xr:uid="{00000000-0005-0000-0000-000076180000}"/>
    <cellStyle name="Normal 15 4 24 2" xfId="16813" xr:uid="{00000000-0005-0000-0000-000077180000}"/>
    <cellStyle name="Normal 15 4 25" xfId="4776" xr:uid="{00000000-0005-0000-0000-000078180000}"/>
    <cellStyle name="Normal 15 4 25 2" xfId="16814" xr:uid="{00000000-0005-0000-0000-000079180000}"/>
    <cellStyle name="Normal 15 4 26" xfId="4777" xr:uid="{00000000-0005-0000-0000-00007A180000}"/>
    <cellStyle name="Normal 15 4 26 2" xfId="16815" xr:uid="{00000000-0005-0000-0000-00007B180000}"/>
    <cellStyle name="Normal 15 4 27" xfId="4778" xr:uid="{00000000-0005-0000-0000-00007C180000}"/>
    <cellStyle name="Normal 15 4 27 2" xfId="16816" xr:uid="{00000000-0005-0000-0000-00007D180000}"/>
    <cellStyle name="Normal 15 4 28" xfId="4779" xr:uid="{00000000-0005-0000-0000-00007E180000}"/>
    <cellStyle name="Normal 15 4 28 2" xfId="16817" xr:uid="{00000000-0005-0000-0000-00007F180000}"/>
    <cellStyle name="Normal 15 4 29" xfId="4780" xr:uid="{00000000-0005-0000-0000-000080180000}"/>
    <cellStyle name="Normal 15 4 29 2" xfId="16818" xr:uid="{00000000-0005-0000-0000-000081180000}"/>
    <cellStyle name="Normal 15 4 3" xfId="4781" xr:uid="{00000000-0005-0000-0000-000082180000}"/>
    <cellStyle name="Normal 15 4 3 2" xfId="16819" xr:uid="{00000000-0005-0000-0000-000083180000}"/>
    <cellStyle name="Normal 15 4 30" xfId="4782" xr:uid="{00000000-0005-0000-0000-000084180000}"/>
    <cellStyle name="Normal 15 4 30 2" xfId="16820" xr:uid="{00000000-0005-0000-0000-000085180000}"/>
    <cellStyle name="Normal 15 4 31" xfId="4783" xr:uid="{00000000-0005-0000-0000-000086180000}"/>
    <cellStyle name="Normal 15 4 31 2" xfId="16821" xr:uid="{00000000-0005-0000-0000-000087180000}"/>
    <cellStyle name="Normal 15 4 32" xfId="4784" xr:uid="{00000000-0005-0000-0000-000088180000}"/>
    <cellStyle name="Normal 15 4 32 2" xfId="16822" xr:uid="{00000000-0005-0000-0000-000089180000}"/>
    <cellStyle name="Normal 15 4 33" xfId="4785" xr:uid="{00000000-0005-0000-0000-00008A180000}"/>
    <cellStyle name="Normal 15 4 33 2" xfId="16823" xr:uid="{00000000-0005-0000-0000-00008B180000}"/>
    <cellStyle name="Normal 15 4 34" xfId="4786" xr:uid="{00000000-0005-0000-0000-00008C180000}"/>
    <cellStyle name="Normal 15 4 34 2" xfId="16824" xr:uid="{00000000-0005-0000-0000-00008D180000}"/>
    <cellStyle name="Normal 15 4 35" xfId="4787" xr:uid="{00000000-0005-0000-0000-00008E180000}"/>
    <cellStyle name="Normal 15 4 35 2" xfId="16825" xr:uid="{00000000-0005-0000-0000-00008F180000}"/>
    <cellStyle name="Normal 15 4 36" xfId="4788" xr:uid="{00000000-0005-0000-0000-000090180000}"/>
    <cellStyle name="Normal 15 4 36 2" xfId="16826" xr:uid="{00000000-0005-0000-0000-000091180000}"/>
    <cellStyle name="Normal 15 4 37" xfId="4789" xr:uid="{00000000-0005-0000-0000-000092180000}"/>
    <cellStyle name="Normal 15 4 37 2" xfId="16827" xr:uid="{00000000-0005-0000-0000-000093180000}"/>
    <cellStyle name="Normal 15 4 38" xfId="4790" xr:uid="{00000000-0005-0000-0000-000094180000}"/>
    <cellStyle name="Normal 15 4 38 2" xfId="16828" xr:uid="{00000000-0005-0000-0000-000095180000}"/>
    <cellStyle name="Normal 15 4 39" xfId="4791" xr:uid="{00000000-0005-0000-0000-000096180000}"/>
    <cellStyle name="Normal 15 4 39 2" xfId="16829" xr:uid="{00000000-0005-0000-0000-000097180000}"/>
    <cellStyle name="Normal 15 4 4" xfId="4792" xr:uid="{00000000-0005-0000-0000-000098180000}"/>
    <cellStyle name="Normal 15 4 4 2" xfId="16830" xr:uid="{00000000-0005-0000-0000-000099180000}"/>
    <cellStyle name="Normal 15 4 40" xfId="4793" xr:uid="{00000000-0005-0000-0000-00009A180000}"/>
    <cellStyle name="Normal 15 4 40 2" xfId="16831" xr:uid="{00000000-0005-0000-0000-00009B180000}"/>
    <cellStyle name="Normal 15 4 41" xfId="4794" xr:uid="{00000000-0005-0000-0000-00009C180000}"/>
    <cellStyle name="Normal 15 4 41 2" xfId="16832" xr:uid="{00000000-0005-0000-0000-00009D180000}"/>
    <cellStyle name="Normal 15 4 42" xfId="4795" xr:uid="{00000000-0005-0000-0000-00009E180000}"/>
    <cellStyle name="Normal 15 4 42 2" xfId="16833" xr:uid="{00000000-0005-0000-0000-00009F180000}"/>
    <cellStyle name="Normal 15 4 43" xfId="4796" xr:uid="{00000000-0005-0000-0000-0000A0180000}"/>
    <cellStyle name="Normal 15 4 43 2" xfId="16834" xr:uid="{00000000-0005-0000-0000-0000A1180000}"/>
    <cellStyle name="Normal 15 4 44" xfId="4797" xr:uid="{00000000-0005-0000-0000-0000A2180000}"/>
    <cellStyle name="Normal 15 4 44 2" xfId="16835" xr:uid="{00000000-0005-0000-0000-0000A3180000}"/>
    <cellStyle name="Normal 15 4 45" xfId="4798" xr:uid="{00000000-0005-0000-0000-0000A4180000}"/>
    <cellStyle name="Normal 15 4 45 2" xfId="16836" xr:uid="{00000000-0005-0000-0000-0000A5180000}"/>
    <cellStyle name="Normal 15 4 46" xfId="4799" xr:uid="{00000000-0005-0000-0000-0000A6180000}"/>
    <cellStyle name="Normal 15 4 46 2" xfId="16837" xr:uid="{00000000-0005-0000-0000-0000A7180000}"/>
    <cellStyle name="Normal 15 4 47" xfId="4800" xr:uid="{00000000-0005-0000-0000-0000A8180000}"/>
    <cellStyle name="Normal 15 4 47 2" xfId="16838" xr:uid="{00000000-0005-0000-0000-0000A9180000}"/>
    <cellStyle name="Normal 15 4 48" xfId="4801" xr:uid="{00000000-0005-0000-0000-0000AA180000}"/>
    <cellStyle name="Normal 15 4 48 2" xfId="16839" xr:uid="{00000000-0005-0000-0000-0000AB180000}"/>
    <cellStyle name="Normal 15 4 49" xfId="4802" xr:uid="{00000000-0005-0000-0000-0000AC180000}"/>
    <cellStyle name="Normal 15 4 49 2" xfId="16840" xr:uid="{00000000-0005-0000-0000-0000AD180000}"/>
    <cellStyle name="Normal 15 4 5" xfId="4803" xr:uid="{00000000-0005-0000-0000-0000AE180000}"/>
    <cellStyle name="Normal 15 4 5 2" xfId="16841" xr:uid="{00000000-0005-0000-0000-0000AF180000}"/>
    <cellStyle name="Normal 15 4 50" xfId="4804" xr:uid="{00000000-0005-0000-0000-0000B0180000}"/>
    <cellStyle name="Normal 15 4 50 2" xfId="16842" xr:uid="{00000000-0005-0000-0000-0000B1180000}"/>
    <cellStyle name="Normal 15 4 51" xfId="4805" xr:uid="{00000000-0005-0000-0000-0000B2180000}"/>
    <cellStyle name="Normal 15 4 51 2" xfId="16843" xr:uid="{00000000-0005-0000-0000-0000B3180000}"/>
    <cellStyle name="Normal 15 4 52" xfId="4806" xr:uid="{00000000-0005-0000-0000-0000B4180000}"/>
    <cellStyle name="Normal 15 4 52 2" xfId="16844" xr:uid="{00000000-0005-0000-0000-0000B5180000}"/>
    <cellStyle name="Normal 15 4 53" xfId="4807" xr:uid="{00000000-0005-0000-0000-0000B6180000}"/>
    <cellStyle name="Normal 15 4 53 2" xfId="16845" xr:uid="{00000000-0005-0000-0000-0000B7180000}"/>
    <cellStyle name="Normal 15 4 54" xfId="4808" xr:uid="{00000000-0005-0000-0000-0000B8180000}"/>
    <cellStyle name="Normal 15 4 54 2" xfId="16846" xr:uid="{00000000-0005-0000-0000-0000B9180000}"/>
    <cellStyle name="Normal 15 4 55" xfId="4809" xr:uid="{00000000-0005-0000-0000-0000BA180000}"/>
    <cellStyle name="Normal 15 4 55 2" xfId="16847" xr:uid="{00000000-0005-0000-0000-0000BB180000}"/>
    <cellStyle name="Normal 15 4 56" xfId="4810" xr:uid="{00000000-0005-0000-0000-0000BC180000}"/>
    <cellStyle name="Normal 15 4 56 2" xfId="16848" xr:uid="{00000000-0005-0000-0000-0000BD180000}"/>
    <cellStyle name="Normal 15 4 57" xfId="4811" xr:uid="{00000000-0005-0000-0000-0000BE180000}"/>
    <cellStyle name="Normal 15 4 57 2" xfId="16849" xr:uid="{00000000-0005-0000-0000-0000BF180000}"/>
    <cellStyle name="Normal 15 4 58" xfId="4812" xr:uid="{00000000-0005-0000-0000-0000C0180000}"/>
    <cellStyle name="Normal 15 4 58 2" xfId="16850" xr:uid="{00000000-0005-0000-0000-0000C1180000}"/>
    <cellStyle name="Normal 15 4 59" xfId="4813" xr:uid="{00000000-0005-0000-0000-0000C2180000}"/>
    <cellStyle name="Normal 15 4 59 2" xfId="16851" xr:uid="{00000000-0005-0000-0000-0000C3180000}"/>
    <cellStyle name="Normal 15 4 6" xfId="4814" xr:uid="{00000000-0005-0000-0000-0000C4180000}"/>
    <cellStyle name="Normal 15 4 6 2" xfId="16852" xr:uid="{00000000-0005-0000-0000-0000C5180000}"/>
    <cellStyle name="Normal 15 4 60" xfId="4815" xr:uid="{00000000-0005-0000-0000-0000C6180000}"/>
    <cellStyle name="Normal 15 4 60 2" xfId="16853" xr:uid="{00000000-0005-0000-0000-0000C7180000}"/>
    <cellStyle name="Normal 15 4 61" xfId="4816" xr:uid="{00000000-0005-0000-0000-0000C8180000}"/>
    <cellStyle name="Normal 15 4 61 2" xfId="16854" xr:uid="{00000000-0005-0000-0000-0000C9180000}"/>
    <cellStyle name="Normal 15 4 62" xfId="4817" xr:uid="{00000000-0005-0000-0000-0000CA180000}"/>
    <cellStyle name="Normal 15 4 62 2" xfId="16855" xr:uid="{00000000-0005-0000-0000-0000CB180000}"/>
    <cellStyle name="Normal 15 4 63" xfId="4818" xr:uid="{00000000-0005-0000-0000-0000CC180000}"/>
    <cellStyle name="Normal 15 4 63 2" xfId="16856" xr:uid="{00000000-0005-0000-0000-0000CD180000}"/>
    <cellStyle name="Normal 15 4 64" xfId="4819" xr:uid="{00000000-0005-0000-0000-0000CE180000}"/>
    <cellStyle name="Normal 15 4 64 2" xfId="16857" xr:uid="{00000000-0005-0000-0000-0000CF180000}"/>
    <cellStyle name="Normal 15 4 65" xfId="4820" xr:uid="{00000000-0005-0000-0000-0000D0180000}"/>
    <cellStyle name="Normal 15 4 65 2" xfId="16858" xr:uid="{00000000-0005-0000-0000-0000D1180000}"/>
    <cellStyle name="Normal 15 4 66" xfId="4821" xr:uid="{00000000-0005-0000-0000-0000D2180000}"/>
    <cellStyle name="Normal 15 4 66 2" xfId="16859" xr:uid="{00000000-0005-0000-0000-0000D3180000}"/>
    <cellStyle name="Normal 15 4 67" xfId="4822" xr:uid="{00000000-0005-0000-0000-0000D4180000}"/>
    <cellStyle name="Normal 15 4 67 2" xfId="16860" xr:uid="{00000000-0005-0000-0000-0000D5180000}"/>
    <cellStyle name="Normal 15 4 68" xfId="4823" xr:uid="{00000000-0005-0000-0000-0000D6180000}"/>
    <cellStyle name="Normal 15 4 68 2" xfId="16861" xr:uid="{00000000-0005-0000-0000-0000D7180000}"/>
    <cellStyle name="Normal 15 4 69" xfId="4824" xr:uid="{00000000-0005-0000-0000-0000D8180000}"/>
    <cellStyle name="Normal 15 4 69 2" xfId="16862" xr:uid="{00000000-0005-0000-0000-0000D9180000}"/>
    <cellStyle name="Normal 15 4 7" xfId="4825" xr:uid="{00000000-0005-0000-0000-0000DA180000}"/>
    <cellStyle name="Normal 15 4 7 2" xfId="16863" xr:uid="{00000000-0005-0000-0000-0000DB180000}"/>
    <cellStyle name="Normal 15 4 70" xfId="4826" xr:uid="{00000000-0005-0000-0000-0000DC180000}"/>
    <cellStyle name="Normal 15 4 70 2" xfId="16864" xr:uid="{00000000-0005-0000-0000-0000DD180000}"/>
    <cellStyle name="Normal 15 4 71" xfId="4827" xr:uid="{00000000-0005-0000-0000-0000DE180000}"/>
    <cellStyle name="Normal 15 4 71 2" xfId="16865" xr:uid="{00000000-0005-0000-0000-0000DF180000}"/>
    <cellStyle name="Normal 15 4 72" xfId="4828" xr:uid="{00000000-0005-0000-0000-0000E0180000}"/>
    <cellStyle name="Normal 15 4 72 2" xfId="16866" xr:uid="{00000000-0005-0000-0000-0000E1180000}"/>
    <cellStyle name="Normal 15 4 73" xfId="4829" xr:uid="{00000000-0005-0000-0000-0000E2180000}"/>
    <cellStyle name="Normal 15 4 73 2" xfId="16867" xr:uid="{00000000-0005-0000-0000-0000E3180000}"/>
    <cellStyle name="Normal 15 4 74" xfId="4830" xr:uid="{00000000-0005-0000-0000-0000E4180000}"/>
    <cellStyle name="Normal 15 4 74 2" xfId="16868" xr:uid="{00000000-0005-0000-0000-0000E5180000}"/>
    <cellStyle name="Normal 15 4 75" xfId="4831" xr:uid="{00000000-0005-0000-0000-0000E6180000}"/>
    <cellStyle name="Normal 15 4 75 2" xfId="16869" xr:uid="{00000000-0005-0000-0000-0000E7180000}"/>
    <cellStyle name="Normal 15 4 76" xfId="4832" xr:uid="{00000000-0005-0000-0000-0000E8180000}"/>
    <cellStyle name="Normal 15 4 76 2" xfId="16870" xr:uid="{00000000-0005-0000-0000-0000E9180000}"/>
    <cellStyle name="Normal 15 4 77" xfId="4833" xr:uid="{00000000-0005-0000-0000-0000EA180000}"/>
    <cellStyle name="Normal 15 4 77 2" xfId="16871" xr:uid="{00000000-0005-0000-0000-0000EB180000}"/>
    <cellStyle name="Normal 15 4 78" xfId="4834" xr:uid="{00000000-0005-0000-0000-0000EC180000}"/>
    <cellStyle name="Normal 15 4 78 2" xfId="16872" xr:uid="{00000000-0005-0000-0000-0000ED180000}"/>
    <cellStyle name="Normal 15 4 79" xfId="4835" xr:uid="{00000000-0005-0000-0000-0000EE180000}"/>
    <cellStyle name="Normal 15 4 79 2" xfId="16873" xr:uid="{00000000-0005-0000-0000-0000EF180000}"/>
    <cellStyle name="Normal 15 4 8" xfId="4836" xr:uid="{00000000-0005-0000-0000-0000F0180000}"/>
    <cellStyle name="Normal 15 4 8 2" xfId="16874" xr:uid="{00000000-0005-0000-0000-0000F1180000}"/>
    <cellStyle name="Normal 15 4 80" xfId="16797" xr:uid="{00000000-0005-0000-0000-0000F2180000}"/>
    <cellStyle name="Normal 15 4 9" xfId="4837" xr:uid="{00000000-0005-0000-0000-0000F3180000}"/>
    <cellStyle name="Normal 15 4 9 2" xfId="16875" xr:uid="{00000000-0005-0000-0000-0000F4180000}"/>
    <cellStyle name="Normal 15 40" xfId="4838" xr:uid="{00000000-0005-0000-0000-0000F5180000}"/>
    <cellStyle name="Normal 15 40 2" xfId="16876" xr:uid="{00000000-0005-0000-0000-0000F6180000}"/>
    <cellStyle name="Normal 15 41" xfId="4839" xr:uid="{00000000-0005-0000-0000-0000F7180000}"/>
    <cellStyle name="Normal 15 41 2" xfId="16877" xr:uid="{00000000-0005-0000-0000-0000F8180000}"/>
    <cellStyle name="Normal 15 42" xfId="4840" xr:uid="{00000000-0005-0000-0000-0000F9180000}"/>
    <cellStyle name="Normal 15 42 2" xfId="16878" xr:uid="{00000000-0005-0000-0000-0000FA180000}"/>
    <cellStyle name="Normal 15 43" xfId="4841" xr:uid="{00000000-0005-0000-0000-0000FB180000}"/>
    <cellStyle name="Normal 15 43 2" xfId="16879" xr:uid="{00000000-0005-0000-0000-0000FC180000}"/>
    <cellStyle name="Normal 15 44" xfId="4842" xr:uid="{00000000-0005-0000-0000-0000FD180000}"/>
    <cellStyle name="Normal 15 44 2" xfId="16880" xr:uid="{00000000-0005-0000-0000-0000FE180000}"/>
    <cellStyle name="Normal 15 45" xfId="4843" xr:uid="{00000000-0005-0000-0000-0000FF180000}"/>
    <cellStyle name="Normal 15 45 2" xfId="16881" xr:uid="{00000000-0005-0000-0000-000000190000}"/>
    <cellStyle name="Normal 15 46" xfId="4844" xr:uid="{00000000-0005-0000-0000-000001190000}"/>
    <cellStyle name="Normal 15 46 2" xfId="16882" xr:uid="{00000000-0005-0000-0000-000002190000}"/>
    <cellStyle name="Normal 15 47" xfId="4845" xr:uid="{00000000-0005-0000-0000-000003190000}"/>
    <cellStyle name="Normal 15 47 2" xfId="16883" xr:uid="{00000000-0005-0000-0000-000004190000}"/>
    <cellStyle name="Normal 15 48" xfId="4846" xr:uid="{00000000-0005-0000-0000-000005190000}"/>
    <cellStyle name="Normal 15 48 2" xfId="16884" xr:uid="{00000000-0005-0000-0000-000006190000}"/>
    <cellStyle name="Normal 15 49" xfId="4847" xr:uid="{00000000-0005-0000-0000-000007190000}"/>
    <cellStyle name="Normal 15 49 2" xfId="16885" xr:uid="{00000000-0005-0000-0000-000008190000}"/>
    <cellStyle name="Normal 15 5" xfId="139" xr:uid="{00000000-0005-0000-0000-000009190000}"/>
    <cellStyle name="Normal 15 5 2" xfId="16886" xr:uid="{00000000-0005-0000-0000-00000A190000}"/>
    <cellStyle name="Normal 15 5 3" xfId="4848" xr:uid="{00000000-0005-0000-0000-00000B190000}"/>
    <cellStyle name="Normal 15 50" xfId="4849" xr:uid="{00000000-0005-0000-0000-00000C190000}"/>
    <cellStyle name="Normal 15 50 2" xfId="16887" xr:uid="{00000000-0005-0000-0000-00000D190000}"/>
    <cellStyle name="Normal 15 51" xfId="4850" xr:uid="{00000000-0005-0000-0000-00000E190000}"/>
    <cellStyle name="Normal 15 51 2" xfId="16888" xr:uid="{00000000-0005-0000-0000-00000F190000}"/>
    <cellStyle name="Normal 15 52" xfId="4851" xr:uid="{00000000-0005-0000-0000-000010190000}"/>
    <cellStyle name="Normal 15 52 2" xfId="16889" xr:uid="{00000000-0005-0000-0000-000011190000}"/>
    <cellStyle name="Normal 15 53" xfId="4852" xr:uid="{00000000-0005-0000-0000-000012190000}"/>
    <cellStyle name="Normal 15 53 2" xfId="16890" xr:uid="{00000000-0005-0000-0000-000013190000}"/>
    <cellStyle name="Normal 15 54" xfId="4853" xr:uid="{00000000-0005-0000-0000-000014190000}"/>
    <cellStyle name="Normal 15 54 2" xfId="16891" xr:uid="{00000000-0005-0000-0000-000015190000}"/>
    <cellStyle name="Normal 15 55" xfId="4854" xr:uid="{00000000-0005-0000-0000-000016190000}"/>
    <cellStyle name="Normal 15 55 2" xfId="16892" xr:uid="{00000000-0005-0000-0000-000017190000}"/>
    <cellStyle name="Normal 15 56" xfId="4855" xr:uid="{00000000-0005-0000-0000-000018190000}"/>
    <cellStyle name="Normal 15 56 2" xfId="16893" xr:uid="{00000000-0005-0000-0000-000019190000}"/>
    <cellStyle name="Normal 15 57" xfId="4856" xr:uid="{00000000-0005-0000-0000-00001A190000}"/>
    <cellStyle name="Normal 15 57 2" xfId="16894" xr:uid="{00000000-0005-0000-0000-00001B190000}"/>
    <cellStyle name="Normal 15 58" xfId="4857" xr:uid="{00000000-0005-0000-0000-00001C190000}"/>
    <cellStyle name="Normal 15 58 2" xfId="16895" xr:uid="{00000000-0005-0000-0000-00001D190000}"/>
    <cellStyle name="Normal 15 59" xfId="4858" xr:uid="{00000000-0005-0000-0000-00001E190000}"/>
    <cellStyle name="Normal 15 59 2" xfId="16896" xr:uid="{00000000-0005-0000-0000-00001F190000}"/>
    <cellStyle name="Normal 15 6" xfId="4859" xr:uid="{00000000-0005-0000-0000-000020190000}"/>
    <cellStyle name="Normal 15 6 2" xfId="16897" xr:uid="{00000000-0005-0000-0000-000021190000}"/>
    <cellStyle name="Normal 15 60" xfId="4860" xr:uid="{00000000-0005-0000-0000-000022190000}"/>
    <cellStyle name="Normal 15 60 2" xfId="16898" xr:uid="{00000000-0005-0000-0000-000023190000}"/>
    <cellStyle name="Normal 15 61" xfId="4861" xr:uid="{00000000-0005-0000-0000-000024190000}"/>
    <cellStyle name="Normal 15 61 2" xfId="16899" xr:uid="{00000000-0005-0000-0000-000025190000}"/>
    <cellStyle name="Normal 15 62" xfId="4862" xr:uid="{00000000-0005-0000-0000-000026190000}"/>
    <cellStyle name="Normal 15 62 2" xfId="16900" xr:uid="{00000000-0005-0000-0000-000027190000}"/>
    <cellStyle name="Normal 15 63" xfId="4863" xr:uid="{00000000-0005-0000-0000-000028190000}"/>
    <cellStyle name="Normal 15 63 2" xfId="16901" xr:uid="{00000000-0005-0000-0000-000029190000}"/>
    <cellStyle name="Normal 15 64" xfId="4864" xr:uid="{00000000-0005-0000-0000-00002A190000}"/>
    <cellStyle name="Normal 15 64 2" xfId="16902" xr:uid="{00000000-0005-0000-0000-00002B190000}"/>
    <cellStyle name="Normal 15 65" xfId="4865" xr:uid="{00000000-0005-0000-0000-00002C190000}"/>
    <cellStyle name="Normal 15 65 2" xfId="16903" xr:uid="{00000000-0005-0000-0000-00002D190000}"/>
    <cellStyle name="Normal 15 66" xfId="4866" xr:uid="{00000000-0005-0000-0000-00002E190000}"/>
    <cellStyle name="Normal 15 66 2" xfId="16904" xr:uid="{00000000-0005-0000-0000-00002F190000}"/>
    <cellStyle name="Normal 15 67" xfId="4867" xr:uid="{00000000-0005-0000-0000-000030190000}"/>
    <cellStyle name="Normal 15 67 2" xfId="16905" xr:uid="{00000000-0005-0000-0000-000031190000}"/>
    <cellStyle name="Normal 15 68" xfId="4868" xr:uid="{00000000-0005-0000-0000-000032190000}"/>
    <cellStyle name="Normal 15 68 2" xfId="16906" xr:uid="{00000000-0005-0000-0000-000033190000}"/>
    <cellStyle name="Normal 15 69" xfId="4869" xr:uid="{00000000-0005-0000-0000-000034190000}"/>
    <cellStyle name="Normal 15 69 2" xfId="16907" xr:uid="{00000000-0005-0000-0000-000035190000}"/>
    <cellStyle name="Normal 15 7" xfId="4870" xr:uid="{00000000-0005-0000-0000-000036190000}"/>
    <cellStyle name="Normal 15 7 2" xfId="16908" xr:uid="{00000000-0005-0000-0000-000037190000}"/>
    <cellStyle name="Normal 15 70" xfId="4871" xr:uid="{00000000-0005-0000-0000-000038190000}"/>
    <cellStyle name="Normal 15 70 2" xfId="16909" xr:uid="{00000000-0005-0000-0000-000039190000}"/>
    <cellStyle name="Normal 15 71" xfId="4872" xr:uid="{00000000-0005-0000-0000-00003A190000}"/>
    <cellStyle name="Normal 15 71 2" xfId="16910" xr:uid="{00000000-0005-0000-0000-00003B190000}"/>
    <cellStyle name="Normal 15 72" xfId="4873" xr:uid="{00000000-0005-0000-0000-00003C190000}"/>
    <cellStyle name="Normal 15 72 2" xfId="16911" xr:uid="{00000000-0005-0000-0000-00003D190000}"/>
    <cellStyle name="Normal 15 73" xfId="4874" xr:uid="{00000000-0005-0000-0000-00003E190000}"/>
    <cellStyle name="Normal 15 73 2" xfId="16912" xr:uid="{00000000-0005-0000-0000-00003F190000}"/>
    <cellStyle name="Normal 15 74" xfId="4875" xr:uid="{00000000-0005-0000-0000-000040190000}"/>
    <cellStyle name="Normal 15 74 2" xfId="16913" xr:uid="{00000000-0005-0000-0000-000041190000}"/>
    <cellStyle name="Normal 15 75" xfId="4876" xr:uid="{00000000-0005-0000-0000-000042190000}"/>
    <cellStyle name="Normal 15 75 2" xfId="16914" xr:uid="{00000000-0005-0000-0000-000043190000}"/>
    <cellStyle name="Normal 15 76" xfId="4877" xr:uid="{00000000-0005-0000-0000-000044190000}"/>
    <cellStyle name="Normal 15 76 2" xfId="16915" xr:uid="{00000000-0005-0000-0000-000045190000}"/>
    <cellStyle name="Normal 15 77" xfId="4878" xr:uid="{00000000-0005-0000-0000-000046190000}"/>
    <cellStyle name="Normal 15 77 2" xfId="16916" xr:uid="{00000000-0005-0000-0000-000047190000}"/>
    <cellStyle name="Normal 15 78" xfId="4879" xr:uid="{00000000-0005-0000-0000-000048190000}"/>
    <cellStyle name="Normal 15 78 2" xfId="16917" xr:uid="{00000000-0005-0000-0000-000049190000}"/>
    <cellStyle name="Normal 15 79" xfId="4880" xr:uid="{00000000-0005-0000-0000-00004A190000}"/>
    <cellStyle name="Normal 15 79 2" xfId="16918" xr:uid="{00000000-0005-0000-0000-00004B190000}"/>
    <cellStyle name="Normal 15 8" xfId="4881" xr:uid="{00000000-0005-0000-0000-00004C190000}"/>
    <cellStyle name="Normal 15 8 2" xfId="16919" xr:uid="{00000000-0005-0000-0000-00004D190000}"/>
    <cellStyle name="Normal 15 80" xfId="4882" xr:uid="{00000000-0005-0000-0000-00004E190000}"/>
    <cellStyle name="Normal 15 80 2" xfId="16920" xr:uid="{00000000-0005-0000-0000-00004F190000}"/>
    <cellStyle name="Normal 15 81" xfId="4883" xr:uid="{00000000-0005-0000-0000-000050190000}"/>
    <cellStyle name="Normal 15 81 2" xfId="16921" xr:uid="{00000000-0005-0000-0000-000051190000}"/>
    <cellStyle name="Normal 15 82" xfId="4884" xr:uid="{00000000-0005-0000-0000-000052190000}"/>
    <cellStyle name="Normal 15 82 2" xfId="16922" xr:uid="{00000000-0005-0000-0000-000053190000}"/>
    <cellStyle name="Normal 15 83" xfId="2910" xr:uid="{00000000-0005-0000-0000-000054190000}"/>
    <cellStyle name="Normal 15 9" xfId="4885" xr:uid="{00000000-0005-0000-0000-000055190000}"/>
    <cellStyle name="Normal 15 9 2" xfId="16923" xr:uid="{00000000-0005-0000-0000-000056190000}"/>
    <cellStyle name="Normal 150" xfId="491" xr:uid="{00000000-0005-0000-0000-000057190000}"/>
    <cellStyle name="Normal 150 2" xfId="588" xr:uid="{00000000-0005-0000-0000-000058190000}"/>
    <cellStyle name="Normal 150 3" xfId="1007" xr:uid="{00000000-0005-0000-0000-000059190000}"/>
    <cellStyle name="Normal 150 4" xfId="1160" xr:uid="{00000000-0005-0000-0000-00005A190000}"/>
    <cellStyle name="Normal 150 5" xfId="1094" xr:uid="{00000000-0005-0000-0000-00005B190000}"/>
    <cellStyle name="Normal 150 6" xfId="898" xr:uid="{00000000-0005-0000-0000-00005C190000}"/>
    <cellStyle name="Normal 150 7" xfId="1272" xr:uid="{00000000-0005-0000-0000-00005D190000}"/>
    <cellStyle name="Normal 150 8" xfId="1341" xr:uid="{00000000-0005-0000-0000-00005E190000}"/>
    <cellStyle name="Normal 150 9" xfId="1404" xr:uid="{00000000-0005-0000-0000-00005F190000}"/>
    <cellStyle name="Normal 151" xfId="492" xr:uid="{00000000-0005-0000-0000-000060190000}"/>
    <cellStyle name="Normal 151 2" xfId="589" xr:uid="{00000000-0005-0000-0000-000061190000}"/>
    <cellStyle name="Normal 151 3" xfId="1008" xr:uid="{00000000-0005-0000-0000-000062190000}"/>
    <cellStyle name="Normal 151 4" xfId="1159" xr:uid="{00000000-0005-0000-0000-000063190000}"/>
    <cellStyle name="Normal 151 5" xfId="1095" xr:uid="{00000000-0005-0000-0000-000064190000}"/>
    <cellStyle name="Normal 151 6" xfId="1202" xr:uid="{00000000-0005-0000-0000-000065190000}"/>
    <cellStyle name="Normal 151 7" xfId="985" xr:uid="{00000000-0005-0000-0000-000066190000}"/>
    <cellStyle name="Normal 151 8" xfId="1222" xr:uid="{00000000-0005-0000-0000-000067190000}"/>
    <cellStyle name="Normal 151 9" xfId="1168" xr:uid="{00000000-0005-0000-0000-000068190000}"/>
    <cellStyle name="Normal 152" xfId="493" xr:uid="{00000000-0005-0000-0000-000069190000}"/>
    <cellStyle name="Normal 152 2" xfId="590" xr:uid="{00000000-0005-0000-0000-00006A190000}"/>
    <cellStyle name="Normal 152 3" xfId="1009" xr:uid="{00000000-0005-0000-0000-00006B190000}"/>
    <cellStyle name="Normal 152 4" xfId="1158" xr:uid="{00000000-0005-0000-0000-00006C190000}"/>
    <cellStyle name="Normal 152 5" xfId="1096" xr:uid="{00000000-0005-0000-0000-00006D190000}"/>
    <cellStyle name="Normal 152 6" xfId="881" xr:uid="{00000000-0005-0000-0000-00006E190000}"/>
    <cellStyle name="Normal 152 7" xfId="1283" xr:uid="{00000000-0005-0000-0000-00006F190000}"/>
    <cellStyle name="Normal 152 8" xfId="1352" xr:uid="{00000000-0005-0000-0000-000070190000}"/>
    <cellStyle name="Normal 152 9" xfId="1415" xr:uid="{00000000-0005-0000-0000-000071190000}"/>
    <cellStyle name="Normal 153" xfId="494" xr:uid="{00000000-0005-0000-0000-000072190000}"/>
    <cellStyle name="Normal 153 2" xfId="591" xr:uid="{00000000-0005-0000-0000-000073190000}"/>
    <cellStyle name="Normal 153 3" xfId="1010" xr:uid="{00000000-0005-0000-0000-000074190000}"/>
    <cellStyle name="Normal 153 4" xfId="1157" xr:uid="{00000000-0005-0000-0000-000075190000}"/>
    <cellStyle name="Normal 153 5" xfId="1097" xr:uid="{00000000-0005-0000-0000-000076190000}"/>
    <cellStyle name="Normal 153 6" xfId="897" xr:uid="{00000000-0005-0000-0000-000077190000}"/>
    <cellStyle name="Normal 153 7" xfId="1273" xr:uid="{00000000-0005-0000-0000-000078190000}"/>
    <cellStyle name="Normal 153 8" xfId="1342" xr:uid="{00000000-0005-0000-0000-000079190000}"/>
    <cellStyle name="Normal 153 9" xfId="1405" xr:uid="{00000000-0005-0000-0000-00007A190000}"/>
    <cellStyle name="Normal 154" xfId="495" xr:uid="{00000000-0005-0000-0000-00007B190000}"/>
    <cellStyle name="Normal 154 2" xfId="592" xr:uid="{00000000-0005-0000-0000-00007C190000}"/>
    <cellStyle name="Normal 154 3" xfId="1011" xr:uid="{00000000-0005-0000-0000-00007D190000}"/>
    <cellStyle name="Normal 154 4" xfId="1156" xr:uid="{00000000-0005-0000-0000-00007E190000}"/>
    <cellStyle name="Normal 154 5" xfId="1098" xr:uid="{00000000-0005-0000-0000-00007F190000}"/>
    <cellStyle name="Normal 154 6" xfId="896" xr:uid="{00000000-0005-0000-0000-000080190000}"/>
    <cellStyle name="Normal 154 7" xfId="1274" xr:uid="{00000000-0005-0000-0000-000081190000}"/>
    <cellStyle name="Normal 154 8" xfId="1343" xr:uid="{00000000-0005-0000-0000-000082190000}"/>
    <cellStyle name="Normal 154 9" xfId="1406" xr:uid="{00000000-0005-0000-0000-000083190000}"/>
    <cellStyle name="Normal 155" xfId="496" xr:uid="{00000000-0005-0000-0000-000084190000}"/>
    <cellStyle name="Normal 155 2" xfId="593" xr:uid="{00000000-0005-0000-0000-000085190000}"/>
    <cellStyle name="Normal 155 3" xfId="1012" xr:uid="{00000000-0005-0000-0000-000086190000}"/>
    <cellStyle name="Normal 155 4" xfId="1155" xr:uid="{00000000-0005-0000-0000-000087190000}"/>
    <cellStyle name="Normal 155 5" xfId="860" xr:uid="{00000000-0005-0000-0000-000088190000}"/>
    <cellStyle name="Normal 155 6" xfId="959" xr:uid="{00000000-0005-0000-0000-000089190000}"/>
    <cellStyle name="Normal 155 7" xfId="876" xr:uid="{00000000-0005-0000-0000-00008A190000}"/>
    <cellStyle name="Normal 155 8" xfId="1284" xr:uid="{00000000-0005-0000-0000-00008B190000}"/>
    <cellStyle name="Normal 155 9" xfId="1353" xr:uid="{00000000-0005-0000-0000-00008C190000}"/>
    <cellStyle name="Normal 156" xfId="497" xr:uid="{00000000-0005-0000-0000-00008D190000}"/>
    <cellStyle name="Normal 156 2" xfId="594" xr:uid="{00000000-0005-0000-0000-00008E190000}"/>
    <cellStyle name="Normal 156 3" xfId="1013" xr:uid="{00000000-0005-0000-0000-00008F190000}"/>
    <cellStyle name="Normal 156 4" xfId="1154" xr:uid="{00000000-0005-0000-0000-000090190000}"/>
    <cellStyle name="Normal 156 5" xfId="1196" xr:uid="{00000000-0005-0000-0000-000091190000}"/>
    <cellStyle name="Normal 156 6" xfId="988" xr:uid="{00000000-0005-0000-0000-000092190000}"/>
    <cellStyle name="Normal 156 7" xfId="1219" xr:uid="{00000000-0005-0000-0000-000093190000}"/>
    <cellStyle name="Normal 156 8" xfId="1169" xr:uid="{00000000-0005-0000-0000-000094190000}"/>
    <cellStyle name="Normal 156 9" xfId="1192" xr:uid="{00000000-0005-0000-0000-000095190000}"/>
    <cellStyle name="Normal 157" xfId="498" xr:uid="{00000000-0005-0000-0000-000096190000}"/>
    <cellStyle name="Normal 157 2" xfId="595" xr:uid="{00000000-0005-0000-0000-000097190000}"/>
    <cellStyle name="Normal 157 3" xfId="1014" xr:uid="{00000000-0005-0000-0000-000098190000}"/>
    <cellStyle name="Normal 157 4" xfId="1153" xr:uid="{00000000-0005-0000-0000-000099190000}"/>
    <cellStyle name="Normal 157 5" xfId="1197" xr:uid="{00000000-0005-0000-0000-00009A190000}"/>
    <cellStyle name="Normal 157 6" xfId="1180" xr:uid="{00000000-0005-0000-0000-00009B190000}"/>
    <cellStyle name="Normal 157 7" xfId="1332" xr:uid="{00000000-0005-0000-0000-00009C190000}"/>
    <cellStyle name="Normal 157 8" xfId="1396" xr:uid="{00000000-0005-0000-0000-00009D190000}"/>
    <cellStyle name="Normal 157 9" xfId="1446" xr:uid="{00000000-0005-0000-0000-00009E190000}"/>
    <cellStyle name="Normal 158" xfId="499" xr:uid="{00000000-0005-0000-0000-00009F190000}"/>
    <cellStyle name="Normal 158 2" xfId="596" xr:uid="{00000000-0005-0000-0000-0000A0190000}"/>
    <cellStyle name="Normal 158 3" xfId="1015" xr:uid="{00000000-0005-0000-0000-0000A1190000}"/>
    <cellStyle name="Normal 158 4" xfId="1214" xr:uid="{00000000-0005-0000-0000-0000A2190000}"/>
    <cellStyle name="Normal 158 5" xfId="980" xr:uid="{00000000-0005-0000-0000-0000A3190000}"/>
    <cellStyle name="Normal 158 6" xfId="1227" xr:uid="{00000000-0005-0000-0000-0000A4190000}"/>
    <cellStyle name="Normal 158 7" xfId="1166" xr:uid="{00000000-0005-0000-0000-0000A5190000}"/>
    <cellStyle name="Normal 158 8" xfId="859" xr:uid="{00000000-0005-0000-0000-0000A6190000}"/>
    <cellStyle name="Normal 158 9" xfId="1292" xr:uid="{00000000-0005-0000-0000-0000A7190000}"/>
    <cellStyle name="Normal 159" xfId="500" xr:uid="{00000000-0005-0000-0000-0000A8190000}"/>
    <cellStyle name="Normal 159 2" xfId="597" xr:uid="{00000000-0005-0000-0000-0000A9190000}"/>
    <cellStyle name="Normal 159 3" xfId="1016" xr:uid="{00000000-0005-0000-0000-0000AA190000}"/>
    <cellStyle name="Normal 159 4" xfId="864" xr:uid="{00000000-0005-0000-0000-0000AB190000}"/>
    <cellStyle name="Normal 159 5" xfId="957" xr:uid="{00000000-0005-0000-0000-0000AC190000}"/>
    <cellStyle name="Normal 159 6" xfId="1235" xr:uid="{00000000-0005-0000-0000-0000AD190000}"/>
    <cellStyle name="Normal 159 7" xfId="855" xr:uid="{00000000-0005-0000-0000-0000AE190000}"/>
    <cellStyle name="Normal 159 8" xfId="1310" xr:uid="{00000000-0005-0000-0000-0000AF190000}"/>
    <cellStyle name="Normal 159 9" xfId="1375" xr:uid="{00000000-0005-0000-0000-0000B0190000}"/>
    <cellStyle name="Normal 16" xfId="140" xr:uid="{00000000-0005-0000-0000-0000B1190000}"/>
    <cellStyle name="Normal 16 10" xfId="4886" xr:uid="{00000000-0005-0000-0000-0000B2190000}"/>
    <cellStyle name="Normal 16 10 2" xfId="16924" xr:uid="{00000000-0005-0000-0000-0000B3190000}"/>
    <cellStyle name="Normal 16 11" xfId="4887" xr:uid="{00000000-0005-0000-0000-0000B4190000}"/>
    <cellStyle name="Normal 16 11 2" xfId="16925" xr:uid="{00000000-0005-0000-0000-0000B5190000}"/>
    <cellStyle name="Normal 16 12" xfId="4888" xr:uid="{00000000-0005-0000-0000-0000B6190000}"/>
    <cellStyle name="Normal 16 12 2" xfId="16926" xr:uid="{00000000-0005-0000-0000-0000B7190000}"/>
    <cellStyle name="Normal 16 13" xfId="4889" xr:uid="{00000000-0005-0000-0000-0000B8190000}"/>
    <cellStyle name="Normal 16 13 2" xfId="16927" xr:uid="{00000000-0005-0000-0000-0000B9190000}"/>
    <cellStyle name="Normal 16 14" xfId="4890" xr:uid="{00000000-0005-0000-0000-0000BA190000}"/>
    <cellStyle name="Normal 16 14 2" xfId="16928" xr:uid="{00000000-0005-0000-0000-0000BB190000}"/>
    <cellStyle name="Normal 16 15" xfId="4891" xr:uid="{00000000-0005-0000-0000-0000BC190000}"/>
    <cellStyle name="Normal 16 15 2" xfId="16929" xr:uid="{00000000-0005-0000-0000-0000BD190000}"/>
    <cellStyle name="Normal 16 16" xfId="4892" xr:uid="{00000000-0005-0000-0000-0000BE190000}"/>
    <cellStyle name="Normal 16 16 2" xfId="16930" xr:uid="{00000000-0005-0000-0000-0000BF190000}"/>
    <cellStyle name="Normal 16 17" xfId="4893" xr:uid="{00000000-0005-0000-0000-0000C0190000}"/>
    <cellStyle name="Normal 16 17 2" xfId="16931" xr:uid="{00000000-0005-0000-0000-0000C1190000}"/>
    <cellStyle name="Normal 16 18" xfId="4894" xr:uid="{00000000-0005-0000-0000-0000C2190000}"/>
    <cellStyle name="Normal 16 18 2" xfId="16932" xr:uid="{00000000-0005-0000-0000-0000C3190000}"/>
    <cellStyle name="Normal 16 19" xfId="4895" xr:uid="{00000000-0005-0000-0000-0000C4190000}"/>
    <cellStyle name="Normal 16 19 2" xfId="16933" xr:uid="{00000000-0005-0000-0000-0000C5190000}"/>
    <cellStyle name="Normal 16 2" xfId="163" xr:uid="{00000000-0005-0000-0000-0000C6190000}"/>
    <cellStyle name="Normal 16 2 10" xfId="4897" xr:uid="{00000000-0005-0000-0000-0000C7190000}"/>
    <cellStyle name="Normal 16 2 10 2" xfId="16935" xr:uid="{00000000-0005-0000-0000-0000C8190000}"/>
    <cellStyle name="Normal 16 2 11" xfId="4898" xr:uid="{00000000-0005-0000-0000-0000C9190000}"/>
    <cellStyle name="Normal 16 2 11 2" xfId="16936" xr:uid="{00000000-0005-0000-0000-0000CA190000}"/>
    <cellStyle name="Normal 16 2 12" xfId="4899" xr:uid="{00000000-0005-0000-0000-0000CB190000}"/>
    <cellStyle name="Normal 16 2 12 2" xfId="16937" xr:uid="{00000000-0005-0000-0000-0000CC190000}"/>
    <cellStyle name="Normal 16 2 13" xfId="4900" xr:uid="{00000000-0005-0000-0000-0000CD190000}"/>
    <cellStyle name="Normal 16 2 13 2" xfId="16938" xr:uid="{00000000-0005-0000-0000-0000CE190000}"/>
    <cellStyle name="Normal 16 2 14" xfId="4901" xr:uid="{00000000-0005-0000-0000-0000CF190000}"/>
    <cellStyle name="Normal 16 2 14 2" xfId="16939" xr:uid="{00000000-0005-0000-0000-0000D0190000}"/>
    <cellStyle name="Normal 16 2 15" xfId="4902" xr:uid="{00000000-0005-0000-0000-0000D1190000}"/>
    <cellStyle name="Normal 16 2 15 2" xfId="16940" xr:uid="{00000000-0005-0000-0000-0000D2190000}"/>
    <cellStyle name="Normal 16 2 16" xfId="4903" xr:uid="{00000000-0005-0000-0000-0000D3190000}"/>
    <cellStyle name="Normal 16 2 16 2" xfId="16941" xr:uid="{00000000-0005-0000-0000-0000D4190000}"/>
    <cellStyle name="Normal 16 2 17" xfId="4904" xr:uid="{00000000-0005-0000-0000-0000D5190000}"/>
    <cellStyle name="Normal 16 2 17 2" xfId="16942" xr:uid="{00000000-0005-0000-0000-0000D6190000}"/>
    <cellStyle name="Normal 16 2 18" xfId="4905" xr:uid="{00000000-0005-0000-0000-0000D7190000}"/>
    <cellStyle name="Normal 16 2 18 2" xfId="16943" xr:uid="{00000000-0005-0000-0000-0000D8190000}"/>
    <cellStyle name="Normal 16 2 19" xfId="4906" xr:uid="{00000000-0005-0000-0000-0000D9190000}"/>
    <cellStyle name="Normal 16 2 19 2" xfId="16944" xr:uid="{00000000-0005-0000-0000-0000DA190000}"/>
    <cellStyle name="Normal 16 2 2" xfId="4907" xr:uid="{00000000-0005-0000-0000-0000DB190000}"/>
    <cellStyle name="Normal 16 2 2 2" xfId="16945" xr:uid="{00000000-0005-0000-0000-0000DC190000}"/>
    <cellStyle name="Normal 16 2 20" xfId="4908" xr:uid="{00000000-0005-0000-0000-0000DD190000}"/>
    <cellStyle name="Normal 16 2 20 2" xfId="16946" xr:uid="{00000000-0005-0000-0000-0000DE190000}"/>
    <cellStyle name="Normal 16 2 21" xfId="4909" xr:uid="{00000000-0005-0000-0000-0000DF190000}"/>
    <cellStyle name="Normal 16 2 21 2" xfId="16947" xr:uid="{00000000-0005-0000-0000-0000E0190000}"/>
    <cellStyle name="Normal 16 2 22" xfId="4910" xr:uid="{00000000-0005-0000-0000-0000E1190000}"/>
    <cellStyle name="Normal 16 2 22 2" xfId="16948" xr:uid="{00000000-0005-0000-0000-0000E2190000}"/>
    <cellStyle name="Normal 16 2 23" xfId="4911" xr:uid="{00000000-0005-0000-0000-0000E3190000}"/>
    <cellStyle name="Normal 16 2 23 2" xfId="16949" xr:uid="{00000000-0005-0000-0000-0000E4190000}"/>
    <cellStyle name="Normal 16 2 24" xfId="4912" xr:uid="{00000000-0005-0000-0000-0000E5190000}"/>
    <cellStyle name="Normal 16 2 24 2" xfId="16950" xr:uid="{00000000-0005-0000-0000-0000E6190000}"/>
    <cellStyle name="Normal 16 2 25" xfId="4913" xr:uid="{00000000-0005-0000-0000-0000E7190000}"/>
    <cellStyle name="Normal 16 2 25 2" xfId="16951" xr:uid="{00000000-0005-0000-0000-0000E8190000}"/>
    <cellStyle name="Normal 16 2 26" xfId="4914" xr:uid="{00000000-0005-0000-0000-0000E9190000}"/>
    <cellStyle name="Normal 16 2 26 2" xfId="16952" xr:uid="{00000000-0005-0000-0000-0000EA190000}"/>
    <cellStyle name="Normal 16 2 27" xfId="4915" xr:uid="{00000000-0005-0000-0000-0000EB190000}"/>
    <cellStyle name="Normal 16 2 27 2" xfId="16953" xr:uid="{00000000-0005-0000-0000-0000EC190000}"/>
    <cellStyle name="Normal 16 2 28" xfId="4916" xr:uid="{00000000-0005-0000-0000-0000ED190000}"/>
    <cellStyle name="Normal 16 2 28 2" xfId="16954" xr:uid="{00000000-0005-0000-0000-0000EE190000}"/>
    <cellStyle name="Normal 16 2 29" xfId="4917" xr:uid="{00000000-0005-0000-0000-0000EF190000}"/>
    <cellStyle name="Normal 16 2 29 2" xfId="16955" xr:uid="{00000000-0005-0000-0000-0000F0190000}"/>
    <cellStyle name="Normal 16 2 3" xfId="4918" xr:uid="{00000000-0005-0000-0000-0000F1190000}"/>
    <cellStyle name="Normal 16 2 3 2" xfId="16956" xr:uid="{00000000-0005-0000-0000-0000F2190000}"/>
    <cellStyle name="Normal 16 2 30" xfId="4919" xr:uid="{00000000-0005-0000-0000-0000F3190000}"/>
    <cellStyle name="Normal 16 2 30 2" xfId="16957" xr:uid="{00000000-0005-0000-0000-0000F4190000}"/>
    <cellStyle name="Normal 16 2 31" xfId="4920" xr:uid="{00000000-0005-0000-0000-0000F5190000}"/>
    <cellStyle name="Normal 16 2 31 2" xfId="16958" xr:uid="{00000000-0005-0000-0000-0000F6190000}"/>
    <cellStyle name="Normal 16 2 32" xfId="4921" xr:uid="{00000000-0005-0000-0000-0000F7190000}"/>
    <cellStyle name="Normal 16 2 32 2" xfId="16959" xr:uid="{00000000-0005-0000-0000-0000F8190000}"/>
    <cellStyle name="Normal 16 2 33" xfId="4922" xr:uid="{00000000-0005-0000-0000-0000F9190000}"/>
    <cellStyle name="Normal 16 2 33 2" xfId="16960" xr:uid="{00000000-0005-0000-0000-0000FA190000}"/>
    <cellStyle name="Normal 16 2 34" xfId="4923" xr:uid="{00000000-0005-0000-0000-0000FB190000}"/>
    <cellStyle name="Normal 16 2 34 2" xfId="16961" xr:uid="{00000000-0005-0000-0000-0000FC190000}"/>
    <cellStyle name="Normal 16 2 35" xfId="4924" xr:uid="{00000000-0005-0000-0000-0000FD190000}"/>
    <cellStyle name="Normal 16 2 35 2" xfId="16962" xr:uid="{00000000-0005-0000-0000-0000FE190000}"/>
    <cellStyle name="Normal 16 2 36" xfId="4925" xr:uid="{00000000-0005-0000-0000-0000FF190000}"/>
    <cellStyle name="Normal 16 2 36 2" xfId="16963" xr:uid="{00000000-0005-0000-0000-0000001A0000}"/>
    <cellStyle name="Normal 16 2 37" xfId="4926" xr:uid="{00000000-0005-0000-0000-0000011A0000}"/>
    <cellStyle name="Normal 16 2 37 2" xfId="16964" xr:uid="{00000000-0005-0000-0000-0000021A0000}"/>
    <cellStyle name="Normal 16 2 38" xfId="4927" xr:uid="{00000000-0005-0000-0000-0000031A0000}"/>
    <cellStyle name="Normal 16 2 38 2" xfId="16965" xr:uid="{00000000-0005-0000-0000-0000041A0000}"/>
    <cellStyle name="Normal 16 2 39" xfId="4928" xr:uid="{00000000-0005-0000-0000-0000051A0000}"/>
    <cellStyle name="Normal 16 2 39 2" xfId="16966" xr:uid="{00000000-0005-0000-0000-0000061A0000}"/>
    <cellStyle name="Normal 16 2 4" xfId="4929" xr:uid="{00000000-0005-0000-0000-0000071A0000}"/>
    <cellStyle name="Normal 16 2 4 2" xfId="16967" xr:uid="{00000000-0005-0000-0000-0000081A0000}"/>
    <cellStyle name="Normal 16 2 40" xfId="4930" xr:uid="{00000000-0005-0000-0000-0000091A0000}"/>
    <cellStyle name="Normal 16 2 40 2" xfId="16968" xr:uid="{00000000-0005-0000-0000-00000A1A0000}"/>
    <cellStyle name="Normal 16 2 41" xfId="4931" xr:uid="{00000000-0005-0000-0000-00000B1A0000}"/>
    <cellStyle name="Normal 16 2 41 2" xfId="16969" xr:uid="{00000000-0005-0000-0000-00000C1A0000}"/>
    <cellStyle name="Normal 16 2 42" xfId="4932" xr:uid="{00000000-0005-0000-0000-00000D1A0000}"/>
    <cellStyle name="Normal 16 2 42 2" xfId="16970" xr:uid="{00000000-0005-0000-0000-00000E1A0000}"/>
    <cellStyle name="Normal 16 2 43" xfId="4933" xr:uid="{00000000-0005-0000-0000-00000F1A0000}"/>
    <cellStyle name="Normal 16 2 43 2" xfId="16971" xr:uid="{00000000-0005-0000-0000-0000101A0000}"/>
    <cellStyle name="Normal 16 2 44" xfId="4934" xr:uid="{00000000-0005-0000-0000-0000111A0000}"/>
    <cellStyle name="Normal 16 2 44 2" xfId="16972" xr:uid="{00000000-0005-0000-0000-0000121A0000}"/>
    <cellStyle name="Normal 16 2 45" xfId="4935" xr:uid="{00000000-0005-0000-0000-0000131A0000}"/>
    <cellStyle name="Normal 16 2 45 2" xfId="16973" xr:uid="{00000000-0005-0000-0000-0000141A0000}"/>
    <cellStyle name="Normal 16 2 46" xfId="4936" xr:uid="{00000000-0005-0000-0000-0000151A0000}"/>
    <cellStyle name="Normal 16 2 46 2" xfId="16974" xr:uid="{00000000-0005-0000-0000-0000161A0000}"/>
    <cellStyle name="Normal 16 2 47" xfId="4937" xr:uid="{00000000-0005-0000-0000-0000171A0000}"/>
    <cellStyle name="Normal 16 2 47 2" xfId="16975" xr:uid="{00000000-0005-0000-0000-0000181A0000}"/>
    <cellStyle name="Normal 16 2 48" xfId="4938" xr:uid="{00000000-0005-0000-0000-0000191A0000}"/>
    <cellStyle name="Normal 16 2 48 2" xfId="16976" xr:uid="{00000000-0005-0000-0000-00001A1A0000}"/>
    <cellStyle name="Normal 16 2 49" xfId="4939" xr:uid="{00000000-0005-0000-0000-00001B1A0000}"/>
    <cellStyle name="Normal 16 2 49 2" xfId="16977" xr:uid="{00000000-0005-0000-0000-00001C1A0000}"/>
    <cellStyle name="Normal 16 2 5" xfId="4940" xr:uid="{00000000-0005-0000-0000-00001D1A0000}"/>
    <cellStyle name="Normal 16 2 5 2" xfId="16978" xr:uid="{00000000-0005-0000-0000-00001E1A0000}"/>
    <cellStyle name="Normal 16 2 50" xfId="4941" xr:uid="{00000000-0005-0000-0000-00001F1A0000}"/>
    <cellStyle name="Normal 16 2 50 2" xfId="16979" xr:uid="{00000000-0005-0000-0000-0000201A0000}"/>
    <cellStyle name="Normal 16 2 51" xfId="4942" xr:uid="{00000000-0005-0000-0000-0000211A0000}"/>
    <cellStyle name="Normal 16 2 51 2" xfId="16980" xr:uid="{00000000-0005-0000-0000-0000221A0000}"/>
    <cellStyle name="Normal 16 2 52" xfId="4943" xr:uid="{00000000-0005-0000-0000-0000231A0000}"/>
    <cellStyle name="Normal 16 2 52 2" xfId="16981" xr:uid="{00000000-0005-0000-0000-0000241A0000}"/>
    <cellStyle name="Normal 16 2 53" xfId="4944" xr:uid="{00000000-0005-0000-0000-0000251A0000}"/>
    <cellStyle name="Normal 16 2 53 2" xfId="16982" xr:uid="{00000000-0005-0000-0000-0000261A0000}"/>
    <cellStyle name="Normal 16 2 54" xfId="4945" xr:uid="{00000000-0005-0000-0000-0000271A0000}"/>
    <cellStyle name="Normal 16 2 54 2" xfId="16983" xr:uid="{00000000-0005-0000-0000-0000281A0000}"/>
    <cellStyle name="Normal 16 2 55" xfId="4946" xr:uid="{00000000-0005-0000-0000-0000291A0000}"/>
    <cellStyle name="Normal 16 2 55 2" xfId="16984" xr:uid="{00000000-0005-0000-0000-00002A1A0000}"/>
    <cellStyle name="Normal 16 2 56" xfId="4947" xr:uid="{00000000-0005-0000-0000-00002B1A0000}"/>
    <cellStyle name="Normal 16 2 56 2" xfId="16985" xr:uid="{00000000-0005-0000-0000-00002C1A0000}"/>
    <cellStyle name="Normal 16 2 57" xfId="4948" xr:uid="{00000000-0005-0000-0000-00002D1A0000}"/>
    <cellStyle name="Normal 16 2 57 2" xfId="16986" xr:uid="{00000000-0005-0000-0000-00002E1A0000}"/>
    <cellStyle name="Normal 16 2 58" xfId="4949" xr:uid="{00000000-0005-0000-0000-00002F1A0000}"/>
    <cellStyle name="Normal 16 2 58 2" xfId="16987" xr:uid="{00000000-0005-0000-0000-0000301A0000}"/>
    <cellStyle name="Normal 16 2 59" xfId="4950" xr:uid="{00000000-0005-0000-0000-0000311A0000}"/>
    <cellStyle name="Normal 16 2 59 2" xfId="16988" xr:uid="{00000000-0005-0000-0000-0000321A0000}"/>
    <cellStyle name="Normal 16 2 6" xfId="4951" xr:uid="{00000000-0005-0000-0000-0000331A0000}"/>
    <cellStyle name="Normal 16 2 6 2" xfId="16989" xr:uid="{00000000-0005-0000-0000-0000341A0000}"/>
    <cellStyle name="Normal 16 2 60" xfId="4952" xr:uid="{00000000-0005-0000-0000-0000351A0000}"/>
    <cellStyle name="Normal 16 2 60 2" xfId="16990" xr:uid="{00000000-0005-0000-0000-0000361A0000}"/>
    <cellStyle name="Normal 16 2 61" xfId="4953" xr:uid="{00000000-0005-0000-0000-0000371A0000}"/>
    <cellStyle name="Normal 16 2 61 2" xfId="16991" xr:uid="{00000000-0005-0000-0000-0000381A0000}"/>
    <cellStyle name="Normal 16 2 62" xfId="4954" xr:uid="{00000000-0005-0000-0000-0000391A0000}"/>
    <cellStyle name="Normal 16 2 62 2" xfId="16992" xr:uid="{00000000-0005-0000-0000-00003A1A0000}"/>
    <cellStyle name="Normal 16 2 63" xfId="4955" xr:uid="{00000000-0005-0000-0000-00003B1A0000}"/>
    <cellStyle name="Normal 16 2 63 2" xfId="16993" xr:uid="{00000000-0005-0000-0000-00003C1A0000}"/>
    <cellStyle name="Normal 16 2 64" xfId="4956" xr:uid="{00000000-0005-0000-0000-00003D1A0000}"/>
    <cellStyle name="Normal 16 2 64 2" xfId="16994" xr:uid="{00000000-0005-0000-0000-00003E1A0000}"/>
    <cellStyle name="Normal 16 2 65" xfId="4957" xr:uid="{00000000-0005-0000-0000-00003F1A0000}"/>
    <cellStyle name="Normal 16 2 65 2" xfId="16995" xr:uid="{00000000-0005-0000-0000-0000401A0000}"/>
    <cellStyle name="Normal 16 2 66" xfId="4958" xr:uid="{00000000-0005-0000-0000-0000411A0000}"/>
    <cellStyle name="Normal 16 2 66 2" xfId="16996" xr:uid="{00000000-0005-0000-0000-0000421A0000}"/>
    <cellStyle name="Normal 16 2 67" xfId="4959" xr:uid="{00000000-0005-0000-0000-0000431A0000}"/>
    <cellStyle name="Normal 16 2 67 2" xfId="16997" xr:uid="{00000000-0005-0000-0000-0000441A0000}"/>
    <cellStyle name="Normal 16 2 68" xfId="4960" xr:uid="{00000000-0005-0000-0000-0000451A0000}"/>
    <cellStyle name="Normal 16 2 68 2" xfId="16998" xr:uid="{00000000-0005-0000-0000-0000461A0000}"/>
    <cellStyle name="Normal 16 2 69" xfId="4961" xr:uid="{00000000-0005-0000-0000-0000471A0000}"/>
    <cellStyle name="Normal 16 2 69 2" xfId="16999" xr:uid="{00000000-0005-0000-0000-0000481A0000}"/>
    <cellStyle name="Normal 16 2 7" xfId="4962" xr:uid="{00000000-0005-0000-0000-0000491A0000}"/>
    <cellStyle name="Normal 16 2 7 2" xfId="17000" xr:uid="{00000000-0005-0000-0000-00004A1A0000}"/>
    <cellStyle name="Normal 16 2 70" xfId="4963" xr:uid="{00000000-0005-0000-0000-00004B1A0000}"/>
    <cellStyle name="Normal 16 2 70 2" xfId="17001" xr:uid="{00000000-0005-0000-0000-00004C1A0000}"/>
    <cellStyle name="Normal 16 2 71" xfId="4964" xr:uid="{00000000-0005-0000-0000-00004D1A0000}"/>
    <cellStyle name="Normal 16 2 71 2" xfId="17002" xr:uid="{00000000-0005-0000-0000-00004E1A0000}"/>
    <cellStyle name="Normal 16 2 72" xfId="4965" xr:uid="{00000000-0005-0000-0000-00004F1A0000}"/>
    <cellStyle name="Normal 16 2 72 2" xfId="17003" xr:uid="{00000000-0005-0000-0000-0000501A0000}"/>
    <cellStyle name="Normal 16 2 73" xfId="4966" xr:uid="{00000000-0005-0000-0000-0000511A0000}"/>
    <cellStyle name="Normal 16 2 73 2" xfId="17004" xr:uid="{00000000-0005-0000-0000-0000521A0000}"/>
    <cellStyle name="Normal 16 2 74" xfId="4967" xr:uid="{00000000-0005-0000-0000-0000531A0000}"/>
    <cellStyle name="Normal 16 2 74 2" xfId="17005" xr:uid="{00000000-0005-0000-0000-0000541A0000}"/>
    <cellStyle name="Normal 16 2 75" xfId="4968" xr:uid="{00000000-0005-0000-0000-0000551A0000}"/>
    <cellStyle name="Normal 16 2 75 2" xfId="17006" xr:uid="{00000000-0005-0000-0000-0000561A0000}"/>
    <cellStyle name="Normal 16 2 76" xfId="4969" xr:uid="{00000000-0005-0000-0000-0000571A0000}"/>
    <cellStyle name="Normal 16 2 76 2" xfId="17007" xr:uid="{00000000-0005-0000-0000-0000581A0000}"/>
    <cellStyle name="Normal 16 2 77" xfId="4970" xr:uid="{00000000-0005-0000-0000-0000591A0000}"/>
    <cellStyle name="Normal 16 2 77 2" xfId="17008" xr:uid="{00000000-0005-0000-0000-00005A1A0000}"/>
    <cellStyle name="Normal 16 2 78" xfId="4971" xr:uid="{00000000-0005-0000-0000-00005B1A0000}"/>
    <cellStyle name="Normal 16 2 78 2" xfId="17009" xr:uid="{00000000-0005-0000-0000-00005C1A0000}"/>
    <cellStyle name="Normal 16 2 79" xfId="4972" xr:uid="{00000000-0005-0000-0000-00005D1A0000}"/>
    <cellStyle name="Normal 16 2 79 2" xfId="17010" xr:uid="{00000000-0005-0000-0000-00005E1A0000}"/>
    <cellStyle name="Normal 16 2 8" xfId="4973" xr:uid="{00000000-0005-0000-0000-00005F1A0000}"/>
    <cellStyle name="Normal 16 2 8 2" xfId="17011" xr:uid="{00000000-0005-0000-0000-0000601A0000}"/>
    <cellStyle name="Normal 16 2 80" xfId="16934" xr:uid="{00000000-0005-0000-0000-0000611A0000}"/>
    <cellStyle name="Normal 16 2 81" xfId="4896" xr:uid="{00000000-0005-0000-0000-0000621A0000}"/>
    <cellStyle name="Normal 16 2 9" xfId="4974" xr:uid="{00000000-0005-0000-0000-0000631A0000}"/>
    <cellStyle name="Normal 16 2 9 2" xfId="17012" xr:uid="{00000000-0005-0000-0000-0000641A0000}"/>
    <cellStyle name="Normal 16 20" xfId="4975" xr:uid="{00000000-0005-0000-0000-0000651A0000}"/>
    <cellStyle name="Normal 16 20 2" xfId="17013" xr:uid="{00000000-0005-0000-0000-0000661A0000}"/>
    <cellStyle name="Normal 16 21" xfId="4976" xr:uid="{00000000-0005-0000-0000-0000671A0000}"/>
    <cellStyle name="Normal 16 21 2" xfId="17014" xr:uid="{00000000-0005-0000-0000-0000681A0000}"/>
    <cellStyle name="Normal 16 22" xfId="4977" xr:uid="{00000000-0005-0000-0000-0000691A0000}"/>
    <cellStyle name="Normal 16 22 2" xfId="17015" xr:uid="{00000000-0005-0000-0000-00006A1A0000}"/>
    <cellStyle name="Normal 16 23" xfId="4978" xr:uid="{00000000-0005-0000-0000-00006B1A0000}"/>
    <cellStyle name="Normal 16 23 2" xfId="17016" xr:uid="{00000000-0005-0000-0000-00006C1A0000}"/>
    <cellStyle name="Normal 16 24" xfId="4979" xr:uid="{00000000-0005-0000-0000-00006D1A0000}"/>
    <cellStyle name="Normal 16 24 2" xfId="17017" xr:uid="{00000000-0005-0000-0000-00006E1A0000}"/>
    <cellStyle name="Normal 16 25" xfId="4980" xr:uid="{00000000-0005-0000-0000-00006F1A0000}"/>
    <cellStyle name="Normal 16 25 2" xfId="17018" xr:uid="{00000000-0005-0000-0000-0000701A0000}"/>
    <cellStyle name="Normal 16 26" xfId="4981" xr:uid="{00000000-0005-0000-0000-0000711A0000}"/>
    <cellStyle name="Normal 16 26 2" xfId="17019" xr:uid="{00000000-0005-0000-0000-0000721A0000}"/>
    <cellStyle name="Normal 16 27" xfId="4982" xr:uid="{00000000-0005-0000-0000-0000731A0000}"/>
    <cellStyle name="Normal 16 27 2" xfId="17020" xr:uid="{00000000-0005-0000-0000-0000741A0000}"/>
    <cellStyle name="Normal 16 28" xfId="4983" xr:uid="{00000000-0005-0000-0000-0000751A0000}"/>
    <cellStyle name="Normal 16 28 2" xfId="17021" xr:uid="{00000000-0005-0000-0000-0000761A0000}"/>
    <cellStyle name="Normal 16 29" xfId="4984" xr:uid="{00000000-0005-0000-0000-0000771A0000}"/>
    <cellStyle name="Normal 16 29 2" xfId="17022" xr:uid="{00000000-0005-0000-0000-0000781A0000}"/>
    <cellStyle name="Normal 16 3" xfId="698" xr:uid="{00000000-0005-0000-0000-0000791A0000}"/>
    <cellStyle name="Normal 16 3 10" xfId="4986" xr:uid="{00000000-0005-0000-0000-00007A1A0000}"/>
    <cellStyle name="Normal 16 3 10 2" xfId="17024" xr:uid="{00000000-0005-0000-0000-00007B1A0000}"/>
    <cellStyle name="Normal 16 3 11" xfId="4987" xr:uid="{00000000-0005-0000-0000-00007C1A0000}"/>
    <cellStyle name="Normal 16 3 11 2" xfId="17025" xr:uid="{00000000-0005-0000-0000-00007D1A0000}"/>
    <cellStyle name="Normal 16 3 12" xfId="4988" xr:uid="{00000000-0005-0000-0000-00007E1A0000}"/>
    <cellStyle name="Normal 16 3 12 2" xfId="17026" xr:uid="{00000000-0005-0000-0000-00007F1A0000}"/>
    <cellStyle name="Normal 16 3 13" xfId="4989" xr:uid="{00000000-0005-0000-0000-0000801A0000}"/>
    <cellStyle name="Normal 16 3 13 2" xfId="17027" xr:uid="{00000000-0005-0000-0000-0000811A0000}"/>
    <cellStyle name="Normal 16 3 14" xfId="4990" xr:uid="{00000000-0005-0000-0000-0000821A0000}"/>
    <cellStyle name="Normal 16 3 14 2" xfId="17028" xr:uid="{00000000-0005-0000-0000-0000831A0000}"/>
    <cellStyle name="Normal 16 3 15" xfId="4991" xr:uid="{00000000-0005-0000-0000-0000841A0000}"/>
    <cellStyle name="Normal 16 3 15 2" xfId="17029" xr:uid="{00000000-0005-0000-0000-0000851A0000}"/>
    <cellStyle name="Normal 16 3 16" xfId="4992" xr:uid="{00000000-0005-0000-0000-0000861A0000}"/>
    <cellStyle name="Normal 16 3 16 2" xfId="17030" xr:uid="{00000000-0005-0000-0000-0000871A0000}"/>
    <cellStyle name="Normal 16 3 17" xfId="4993" xr:uid="{00000000-0005-0000-0000-0000881A0000}"/>
    <cellStyle name="Normal 16 3 17 2" xfId="17031" xr:uid="{00000000-0005-0000-0000-0000891A0000}"/>
    <cellStyle name="Normal 16 3 18" xfId="4994" xr:uid="{00000000-0005-0000-0000-00008A1A0000}"/>
    <cellStyle name="Normal 16 3 18 2" xfId="17032" xr:uid="{00000000-0005-0000-0000-00008B1A0000}"/>
    <cellStyle name="Normal 16 3 19" xfId="4995" xr:uid="{00000000-0005-0000-0000-00008C1A0000}"/>
    <cellStyle name="Normal 16 3 19 2" xfId="17033" xr:uid="{00000000-0005-0000-0000-00008D1A0000}"/>
    <cellStyle name="Normal 16 3 2" xfId="4996" xr:uid="{00000000-0005-0000-0000-00008E1A0000}"/>
    <cellStyle name="Normal 16 3 2 2" xfId="17034" xr:uid="{00000000-0005-0000-0000-00008F1A0000}"/>
    <cellStyle name="Normal 16 3 20" xfId="4997" xr:uid="{00000000-0005-0000-0000-0000901A0000}"/>
    <cellStyle name="Normal 16 3 20 2" xfId="17035" xr:uid="{00000000-0005-0000-0000-0000911A0000}"/>
    <cellStyle name="Normal 16 3 21" xfId="4998" xr:uid="{00000000-0005-0000-0000-0000921A0000}"/>
    <cellStyle name="Normal 16 3 21 2" xfId="17036" xr:uid="{00000000-0005-0000-0000-0000931A0000}"/>
    <cellStyle name="Normal 16 3 22" xfId="4999" xr:uid="{00000000-0005-0000-0000-0000941A0000}"/>
    <cellStyle name="Normal 16 3 22 2" xfId="17037" xr:uid="{00000000-0005-0000-0000-0000951A0000}"/>
    <cellStyle name="Normal 16 3 23" xfId="5000" xr:uid="{00000000-0005-0000-0000-0000961A0000}"/>
    <cellStyle name="Normal 16 3 23 2" xfId="17038" xr:uid="{00000000-0005-0000-0000-0000971A0000}"/>
    <cellStyle name="Normal 16 3 24" xfId="5001" xr:uid="{00000000-0005-0000-0000-0000981A0000}"/>
    <cellStyle name="Normal 16 3 24 2" xfId="17039" xr:uid="{00000000-0005-0000-0000-0000991A0000}"/>
    <cellStyle name="Normal 16 3 25" xfId="5002" xr:uid="{00000000-0005-0000-0000-00009A1A0000}"/>
    <cellStyle name="Normal 16 3 25 2" xfId="17040" xr:uid="{00000000-0005-0000-0000-00009B1A0000}"/>
    <cellStyle name="Normal 16 3 26" xfId="5003" xr:uid="{00000000-0005-0000-0000-00009C1A0000}"/>
    <cellStyle name="Normal 16 3 26 2" xfId="17041" xr:uid="{00000000-0005-0000-0000-00009D1A0000}"/>
    <cellStyle name="Normal 16 3 27" xfId="5004" xr:uid="{00000000-0005-0000-0000-00009E1A0000}"/>
    <cellStyle name="Normal 16 3 27 2" xfId="17042" xr:uid="{00000000-0005-0000-0000-00009F1A0000}"/>
    <cellStyle name="Normal 16 3 28" xfId="5005" xr:uid="{00000000-0005-0000-0000-0000A01A0000}"/>
    <cellStyle name="Normal 16 3 28 2" xfId="17043" xr:uid="{00000000-0005-0000-0000-0000A11A0000}"/>
    <cellStyle name="Normal 16 3 29" xfId="5006" xr:uid="{00000000-0005-0000-0000-0000A21A0000}"/>
    <cellStyle name="Normal 16 3 29 2" xfId="17044" xr:uid="{00000000-0005-0000-0000-0000A31A0000}"/>
    <cellStyle name="Normal 16 3 3" xfId="5007" xr:uid="{00000000-0005-0000-0000-0000A41A0000}"/>
    <cellStyle name="Normal 16 3 3 2" xfId="17045" xr:uid="{00000000-0005-0000-0000-0000A51A0000}"/>
    <cellStyle name="Normal 16 3 30" xfId="5008" xr:uid="{00000000-0005-0000-0000-0000A61A0000}"/>
    <cellStyle name="Normal 16 3 30 2" xfId="17046" xr:uid="{00000000-0005-0000-0000-0000A71A0000}"/>
    <cellStyle name="Normal 16 3 31" xfId="5009" xr:uid="{00000000-0005-0000-0000-0000A81A0000}"/>
    <cellStyle name="Normal 16 3 31 2" xfId="17047" xr:uid="{00000000-0005-0000-0000-0000A91A0000}"/>
    <cellStyle name="Normal 16 3 32" xfId="5010" xr:uid="{00000000-0005-0000-0000-0000AA1A0000}"/>
    <cellStyle name="Normal 16 3 32 2" xfId="17048" xr:uid="{00000000-0005-0000-0000-0000AB1A0000}"/>
    <cellStyle name="Normal 16 3 33" xfId="5011" xr:uid="{00000000-0005-0000-0000-0000AC1A0000}"/>
    <cellStyle name="Normal 16 3 33 2" xfId="17049" xr:uid="{00000000-0005-0000-0000-0000AD1A0000}"/>
    <cellStyle name="Normal 16 3 34" xfId="5012" xr:uid="{00000000-0005-0000-0000-0000AE1A0000}"/>
    <cellStyle name="Normal 16 3 34 2" xfId="17050" xr:uid="{00000000-0005-0000-0000-0000AF1A0000}"/>
    <cellStyle name="Normal 16 3 35" xfId="5013" xr:uid="{00000000-0005-0000-0000-0000B01A0000}"/>
    <cellStyle name="Normal 16 3 35 2" xfId="17051" xr:uid="{00000000-0005-0000-0000-0000B11A0000}"/>
    <cellStyle name="Normal 16 3 36" xfId="5014" xr:uid="{00000000-0005-0000-0000-0000B21A0000}"/>
    <cellStyle name="Normal 16 3 36 2" xfId="17052" xr:uid="{00000000-0005-0000-0000-0000B31A0000}"/>
    <cellStyle name="Normal 16 3 37" xfId="5015" xr:uid="{00000000-0005-0000-0000-0000B41A0000}"/>
    <cellStyle name="Normal 16 3 37 2" xfId="17053" xr:uid="{00000000-0005-0000-0000-0000B51A0000}"/>
    <cellStyle name="Normal 16 3 38" xfId="5016" xr:uid="{00000000-0005-0000-0000-0000B61A0000}"/>
    <cellStyle name="Normal 16 3 38 2" xfId="17054" xr:uid="{00000000-0005-0000-0000-0000B71A0000}"/>
    <cellStyle name="Normal 16 3 39" xfId="5017" xr:uid="{00000000-0005-0000-0000-0000B81A0000}"/>
    <cellStyle name="Normal 16 3 39 2" xfId="17055" xr:uid="{00000000-0005-0000-0000-0000B91A0000}"/>
    <cellStyle name="Normal 16 3 4" xfId="5018" xr:uid="{00000000-0005-0000-0000-0000BA1A0000}"/>
    <cellStyle name="Normal 16 3 4 2" xfId="17056" xr:uid="{00000000-0005-0000-0000-0000BB1A0000}"/>
    <cellStyle name="Normal 16 3 40" xfId="5019" xr:uid="{00000000-0005-0000-0000-0000BC1A0000}"/>
    <cellStyle name="Normal 16 3 40 2" xfId="17057" xr:uid="{00000000-0005-0000-0000-0000BD1A0000}"/>
    <cellStyle name="Normal 16 3 41" xfId="5020" xr:uid="{00000000-0005-0000-0000-0000BE1A0000}"/>
    <cellStyle name="Normal 16 3 41 2" xfId="17058" xr:uid="{00000000-0005-0000-0000-0000BF1A0000}"/>
    <cellStyle name="Normal 16 3 42" xfId="5021" xr:uid="{00000000-0005-0000-0000-0000C01A0000}"/>
    <cellStyle name="Normal 16 3 42 2" xfId="17059" xr:uid="{00000000-0005-0000-0000-0000C11A0000}"/>
    <cellStyle name="Normal 16 3 43" xfId="5022" xr:uid="{00000000-0005-0000-0000-0000C21A0000}"/>
    <cellStyle name="Normal 16 3 43 2" xfId="17060" xr:uid="{00000000-0005-0000-0000-0000C31A0000}"/>
    <cellStyle name="Normal 16 3 44" xfId="5023" xr:uid="{00000000-0005-0000-0000-0000C41A0000}"/>
    <cellStyle name="Normal 16 3 44 2" xfId="17061" xr:uid="{00000000-0005-0000-0000-0000C51A0000}"/>
    <cellStyle name="Normal 16 3 45" xfId="5024" xr:uid="{00000000-0005-0000-0000-0000C61A0000}"/>
    <cellStyle name="Normal 16 3 45 2" xfId="17062" xr:uid="{00000000-0005-0000-0000-0000C71A0000}"/>
    <cellStyle name="Normal 16 3 46" xfId="5025" xr:uid="{00000000-0005-0000-0000-0000C81A0000}"/>
    <cellStyle name="Normal 16 3 46 2" xfId="17063" xr:uid="{00000000-0005-0000-0000-0000C91A0000}"/>
    <cellStyle name="Normal 16 3 47" xfId="5026" xr:uid="{00000000-0005-0000-0000-0000CA1A0000}"/>
    <cellStyle name="Normal 16 3 47 2" xfId="17064" xr:uid="{00000000-0005-0000-0000-0000CB1A0000}"/>
    <cellStyle name="Normal 16 3 48" xfId="5027" xr:uid="{00000000-0005-0000-0000-0000CC1A0000}"/>
    <cellStyle name="Normal 16 3 48 2" xfId="17065" xr:uid="{00000000-0005-0000-0000-0000CD1A0000}"/>
    <cellStyle name="Normal 16 3 49" xfId="5028" xr:uid="{00000000-0005-0000-0000-0000CE1A0000}"/>
    <cellStyle name="Normal 16 3 49 2" xfId="17066" xr:uid="{00000000-0005-0000-0000-0000CF1A0000}"/>
    <cellStyle name="Normal 16 3 5" xfId="5029" xr:uid="{00000000-0005-0000-0000-0000D01A0000}"/>
    <cellStyle name="Normal 16 3 5 2" xfId="17067" xr:uid="{00000000-0005-0000-0000-0000D11A0000}"/>
    <cellStyle name="Normal 16 3 50" xfId="5030" xr:uid="{00000000-0005-0000-0000-0000D21A0000}"/>
    <cellStyle name="Normal 16 3 50 2" xfId="17068" xr:uid="{00000000-0005-0000-0000-0000D31A0000}"/>
    <cellStyle name="Normal 16 3 51" xfId="5031" xr:uid="{00000000-0005-0000-0000-0000D41A0000}"/>
    <cellStyle name="Normal 16 3 51 2" xfId="17069" xr:uid="{00000000-0005-0000-0000-0000D51A0000}"/>
    <cellStyle name="Normal 16 3 52" xfId="5032" xr:uid="{00000000-0005-0000-0000-0000D61A0000}"/>
    <cellStyle name="Normal 16 3 52 2" xfId="17070" xr:uid="{00000000-0005-0000-0000-0000D71A0000}"/>
    <cellStyle name="Normal 16 3 53" xfId="5033" xr:uid="{00000000-0005-0000-0000-0000D81A0000}"/>
    <cellStyle name="Normal 16 3 53 2" xfId="17071" xr:uid="{00000000-0005-0000-0000-0000D91A0000}"/>
    <cellStyle name="Normal 16 3 54" xfId="5034" xr:uid="{00000000-0005-0000-0000-0000DA1A0000}"/>
    <cellStyle name="Normal 16 3 54 2" xfId="17072" xr:uid="{00000000-0005-0000-0000-0000DB1A0000}"/>
    <cellStyle name="Normal 16 3 55" xfId="5035" xr:uid="{00000000-0005-0000-0000-0000DC1A0000}"/>
    <cellStyle name="Normal 16 3 55 2" xfId="17073" xr:uid="{00000000-0005-0000-0000-0000DD1A0000}"/>
    <cellStyle name="Normal 16 3 56" xfId="5036" xr:uid="{00000000-0005-0000-0000-0000DE1A0000}"/>
    <cellStyle name="Normal 16 3 56 2" xfId="17074" xr:uid="{00000000-0005-0000-0000-0000DF1A0000}"/>
    <cellStyle name="Normal 16 3 57" xfId="5037" xr:uid="{00000000-0005-0000-0000-0000E01A0000}"/>
    <cellStyle name="Normal 16 3 57 2" xfId="17075" xr:uid="{00000000-0005-0000-0000-0000E11A0000}"/>
    <cellStyle name="Normal 16 3 58" xfId="5038" xr:uid="{00000000-0005-0000-0000-0000E21A0000}"/>
    <cellStyle name="Normal 16 3 58 2" xfId="17076" xr:uid="{00000000-0005-0000-0000-0000E31A0000}"/>
    <cellStyle name="Normal 16 3 59" xfId="5039" xr:uid="{00000000-0005-0000-0000-0000E41A0000}"/>
    <cellStyle name="Normal 16 3 59 2" xfId="17077" xr:uid="{00000000-0005-0000-0000-0000E51A0000}"/>
    <cellStyle name="Normal 16 3 6" xfId="5040" xr:uid="{00000000-0005-0000-0000-0000E61A0000}"/>
    <cellStyle name="Normal 16 3 6 2" xfId="17078" xr:uid="{00000000-0005-0000-0000-0000E71A0000}"/>
    <cellStyle name="Normal 16 3 60" xfId="5041" xr:uid="{00000000-0005-0000-0000-0000E81A0000}"/>
    <cellStyle name="Normal 16 3 60 2" xfId="17079" xr:uid="{00000000-0005-0000-0000-0000E91A0000}"/>
    <cellStyle name="Normal 16 3 61" xfId="5042" xr:uid="{00000000-0005-0000-0000-0000EA1A0000}"/>
    <cellStyle name="Normal 16 3 61 2" xfId="17080" xr:uid="{00000000-0005-0000-0000-0000EB1A0000}"/>
    <cellStyle name="Normal 16 3 62" xfId="5043" xr:uid="{00000000-0005-0000-0000-0000EC1A0000}"/>
    <cellStyle name="Normal 16 3 62 2" xfId="17081" xr:uid="{00000000-0005-0000-0000-0000ED1A0000}"/>
    <cellStyle name="Normal 16 3 63" xfId="5044" xr:uid="{00000000-0005-0000-0000-0000EE1A0000}"/>
    <cellStyle name="Normal 16 3 63 2" xfId="17082" xr:uid="{00000000-0005-0000-0000-0000EF1A0000}"/>
    <cellStyle name="Normal 16 3 64" xfId="5045" xr:uid="{00000000-0005-0000-0000-0000F01A0000}"/>
    <cellStyle name="Normal 16 3 64 2" xfId="17083" xr:uid="{00000000-0005-0000-0000-0000F11A0000}"/>
    <cellStyle name="Normal 16 3 65" xfId="5046" xr:uid="{00000000-0005-0000-0000-0000F21A0000}"/>
    <cellStyle name="Normal 16 3 65 2" xfId="17084" xr:uid="{00000000-0005-0000-0000-0000F31A0000}"/>
    <cellStyle name="Normal 16 3 66" xfId="5047" xr:uid="{00000000-0005-0000-0000-0000F41A0000}"/>
    <cellStyle name="Normal 16 3 66 2" xfId="17085" xr:uid="{00000000-0005-0000-0000-0000F51A0000}"/>
    <cellStyle name="Normal 16 3 67" xfId="5048" xr:uid="{00000000-0005-0000-0000-0000F61A0000}"/>
    <cellStyle name="Normal 16 3 67 2" xfId="17086" xr:uid="{00000000-0005-0000-0000-0000F71A0000}"/>
    <cellStyle name="Normal 16 3 68" xfId="5049" xr:uid="{00000000-0005-0000-0000-0000F81A0000}"/>
    <cellStyle name="Normal 16 3 68 2" xfId="17087" xr:uid="{00000000-0005-0000-0000-0000F91A0000}"/>
    <cellStyle name="Normal 16 3 69" xfId="5050" xr:uid="{00000000-0005-0000-0000-0000FA1A0000}"/>
    <cellStyle name="Normal 16 3 69 2" xfId="17088" xr:uid="{00000000-0005-0000-0000-0000FB1A0000}"/>
    <cellStyle name="Normal 16 3 7" xfId="5051" xr:uid="{00000000-0005-0000-0000-0000FC1A0000}"/>
    <cellStyle name="Normal 16 3 7 2" xfId="17089" xr:uid="{00000000-0005-0000-0000-0000FD1A0000}"/>
    <cellStyle name="Normal 16 3 70" xfId="5052" xr:uid="{00000000-0005-0000-0000-0000FE1A0000}"/>
    <cellStyle name="Normal 16 3 70 2" xfId="17090" xr:uid="{00000000-0005-0000-0000-0000FF1A0000}"/>
    <cellStyle name="Normal 16 3 71" xfId="5053" xr:uid="{00000000-0005-0000-0000-0000001B0000}"/>
    <cellStyle name="Normal 16 3 71 2" xfId="17091" xr:uid="{00000000-0005-0000-0000-0000011B0000}"/>
    <cellStyle name="Normal 16 3 72" xfId="5054" xr:uid="{00000000-0005-0000-0000-0000021B0000}"/>
    <cellStyle name="Normal 16 3 72 2" xfId="17092" xr:uid="{00000000-0005-0000-0000-0000031B0000}"/>
    <cellStyle name="Normal 16 3 73" xfId="5055" xr:uid="{00000000-0005-0000-0000-0000041B0000}"/>
    <cellStyle name="Normal 16 3 73 2" xfId="17093" xr:uid="{00000000-0005-0000-0000-0000051B0000}"/>
    <cellStyle name="Normal 16 3 74" xfId="5056" xr:uid="{00000000-0005-0000-0000-0000061B0000}"/>
    <cellStyle name="Normal 16 3 74 2" xfId="17094" xr:uid="{00000000-0005-0000-0000-0000071B0000}"/>
    <cellStyle name="Normal 16 3 75" xfId="5057" xr:uid="{00000000-0005-0000-0000-0000081B0000}"/>
    <cellStyle name="Normal 16 3 75 2" xfId="17095" xr:uid="{00000000-0005-0000-0000-0000091B0000}"/>
    <cellStyle name="Normal 16 3 76" xfId="5058" xr:uid="{00000000-0005-0000-0000-00000A1B0000}"/>
    <cellStyle name="Normal 16 3 76 2" xfId="17096" xr:uid="{00000000-0005-0000-0000-00000B1B0000}"/>
    <cellStyle name="Normal 16 3 77" xfId="5059" xr:uid="{00000000-0005-0000-0000-00000C1B0000}"/>
    <cellStyle name="Normal 16 3 77 2" xfId="17097" xr:uid="{00000000-0005-0000-0000-00000D1B0000}"/>
    <cellStyle name="Normal 16 3 78" xfId="5060" xr:uid="{00000000-0005-0000-0000-00000E1B0000}"/>
    <cellStyle name="Normal 16 3 78 2" xfId="17098" xr:uid="{00000000-0005-0000-0000-00000F1B0000}"/>
    <cellStyle name="Normal 16 3 79" xfId="5061" xr:uid="{00000000-0005-0000-0000-0000101B0000}"/>
    <cellStyle name="Normal 16 3 79 2" xfId="17099" xr:uid="{00000000-0005-0000-0000-0000111B0000}"/>
    <cellStyle name="Normal 16 3 8" xfId="5062" xr:uid="{00000000-0005-0000-0000-0000121B0000}"/>
    <cellStyle name="Normal 16 3 8 2" xfId="17100" xr:uid="{00000000-0005-0000-0000-0000131B0000}"/>
    <cellStyle name="Normal 16 3 80" xfId="17023" xr:uid="{00000000-0005-0000-0000-0000141B0000}"/>
    <cellStyle name="Normal 16 3 81" xfId="4985" xr:uid="{00000000-0005-0000-0000-0000151B0000}"/>
    <cellStyle name="Normal 16 3 9" xfId="5063" xr:uid="{00000000-0005-0000-0000-0000161B0000}"/>
    <cellStyle name="Normal 16 3 9 2" xfId="17101" xr:uid="{00000000-0005-0000-0000-0000171B0000}"/>
    <cellStyle name="Normal 16 30" xfId="5064" xr:uid="{00000000-0005-0000-0000-0000181B0000}"/>
    <cellStyle name="Normal 16 30 2" xfId="17102" xr:uid="{00000000-0005-0000-0000-0000191B0000}"/>
    <cellStyle name="Normal 16 31" xfId="5065" xr:uid="{00000000-0005-0000-0000-00001A1B0000}"/>
    <cellStyle name="Normal 16 31 2" xfId="17103" xr:uid="{00000000-0005-0000-0000-00001B1B0000}"/>
    <cellStyle name="Normal 16 32" xfId="5066" xr:uid="{00000000-0005-0000-0000-00001C1B0000}"/>
    <cellStyle name="Normal 16 32 2" xfId="17104" xr:uid="{00000000-0005-0000-0000-00001D1B0000}"/>
    <cellStyle name="Normal 16 33" xfId="5067" xr:uid="{00000000-0005-0000-0000-00001E1B0000}"/>
    <cellStyle name="Normal 16 33 2" xfId="17105" xr:uid="{00000000-0005-0000-0000-00001F1B0000}"/>
    <cellStyle name="Normal 16 34" xfId="5068" xr:uid="{00000000-0005-0000-0000-0000201B0000}"/>
    <cellStyle name="Normal 16 34 2" xfId="17106" xr:uid="{00000000-0005-0000-0000-0000211B0000}"/>
    <cellStyle name="Normal 16 35" xfId="5069" xr:uid="{00000000-0005-0000-0000-0000221B0000}"/>
    <cellStyle name="Normal 16 35 2" xfId="17107" xr:uid="{00000000-0005-0000-0000-0000231B0000}"/>
    <cellStyle name="Normal 16 36" xfId="5070" xr:uid="{00000000-0005-0000-0000-0000241B0000}"/>
    <cellStyle name="Normal 16 36 2" xfId="17108" xr:uid="{00000000-0005-0000-0000-0000251B0000}"/>
    <cellStyle name="Normal 16 37" xfId="5071" xr:uid="{00000000-0005-0000-0000-0000261B0000}"/>
    <cellStyle name="Normal 16 37 2" xfId="17109" xr:uid="{00000000-0005-0000-0000-0000271B0000}"/>
    <cellStyle name="Normal 16 38" xfId="5072" xr:uid="{00000000-0005-0000-0000-0000281B0000}"/>
    <cellStyle name="Normal 16 38 2" xfId="17110" xr:uid="{00000000-0005-0000-0000-0000291B0000}"/>
    <cellStyle name="Normal 16 39" xfId="5073" xr:uid="{00000000-0005-0000-0000-00002A1B0000}"/>
    <cellStyle name="Normal 16 39 2" xfId="17111" xr:uid="{00000000-0005-0000-0000-00002B1B0000}"/>
    <cellStyle name="Normal 16 4" xfId="307" xr:uid="{00000000-0005-0000-0000-00002C1B0000}"/>
    <cellStyle name="Normal 16 4 10" xfId="5074" xr:uid="{00000000-0005-0000-0000-00002D1B0000}"/>
    <cellStyle name="Normal 16 4 10 2" xfId="17113" xr:uid="{00000000-0005-0000-0000-00002E1B0000}"/>
    <cellStyle name="Normal 16 4 11" xfId="5075" xr:uid="{00000000-0005-0000-0000-00002F1B0000}"/>
    <cellStyle name="Normal 16 4 11 2" xfId="17114" xr:uid="{00000000-0005-0000-0000-0000301B0000}"/>
    <cellStyle name="Normal 16 4 12" xfId="5076" xr:uid="{00000000-0005-0000-0000-0000311B0000}"/>
    <cellStyle name="Normal 16 4 12 2" xfId="17115" xr:uid="{00000000-0005-0000-0000-0000321B0000}"/>
    <cellStyle name="Normal 16 4 13" xfId="5077" xr:uid="{00000000-0005-0000-0000-0000331B0000}"/>
    <cellStyle name="Normal 16 4 13 2" xfId="17116" xr:uid="{00000000-0005-0000-0000-0000341B0000}"/>
    <cellStyle name="Normal 16 4 14" xfId="5078" xr:uid="{00000000-0005-0000-0000-0000351B0000}"/>
    <cellStyle name="Normal 16 4 14 2" xfId="17117" xr:uid="{00000000-0005-0000-0000-0000361B0000}"/>
    <cellStyle name="Normal 16 4 15" xfId="5079" xr:uid="{00000000-0005-0000-0000-0000371B0000}"/>
    <cellStyle name="Normal 16 4 15 2" xfId="17118" xr:uid="{00000000-0005-0000-0000-0000381B0000}"/>
    <cellStyle name="Normal 16 4 16" xfId="5080" xr:uid="{00000000-0005-0000-0000-0000391B0000}"/>
    <cellStyle name="Normal 16 4 16 2" xfId="17119" xr:uid="{00000000-0005-0000-0000-00003A1B0000}"/>
    <cellStyle name="Normal 16 4 17" xfId="5081" xr:uid="{00000000-0005-0000-0000-00003B1B0000}"/>
    <cellStyle name="Normal 16 4 17 2" xfId="17120" xr:uid="{00000000-0005-0000-0000-00003C1B0000}"/>
    <cellStyle name="Normal 16 4 18" xfId="5082" xr:uid="{00000000-0005-0000-0000-00003D1B0000}"/>
    <cellStyle name="Normal 16 4 18 2" xfId="17121" xr:uid="{00000000-0005-0000-0000-00003E1B0000}"/>
    <cellStyle name="Normal 16 4 19" xfId="5083" xr:uid="{00000000-0005-0000-0000-00003F1B0000}"/>
    <cellStyle name="Normal 16 4 19 2" xfId="17122" xr:uid="{00000000-0005-0000-0000-0000401B0000}"/>
    <cellStyle name="Normal 16 4 2" xfId="5084" xr:uid="{00000000-0005-0000-0000-0000411B0000}"/>
    <cellStyle name="Normal 16 4 2 2" xfId="17123" xr:uid="{00000000-0005-0000-0000-0000421B0000}"/>
    <cellStyle name="Normal 16 4 20" xfId="5085" xr:uid="{00000000-0005-0000-0000-0000431B0000}"/>
    <cellStyle name="Normal 16 4 20 2" xfId="17124" xr:uid="{00000000-0005-0000-0000-0000441B0000}"/>
    <cellStyle name="Normal 16 4 21" xfId="5086" xr:uid="{00000000-0005-0000-0000-0000451B0000}"/>
    <cellStyle name="Normal 16 4 21 2" xfId="17125" xr:uid="{00000000-0005-0000-0000-0000461B0000}"/>
    <cellStyle name="Normal 16 4 22" xfId="5087" xr:uid="{00000000-0005-0000-0000-0000471B0000}"/>
    <cellStyle name="Normal 16 4 22 2" xfId="17126" xr:uid="{00000000-0005-0000-0000-0000481B0000}"/>
    <cellStyle name="Normal 16 4 23" xfId="5088" xr:uid="{00000000-0005-0000-0000-0000491B0000}"/>
    <cellStyle name="Normal 16 4 23 2" xfId="17127" xr:uid="{00000000-0005-0000-0000-00004A1B0000}"/>
    <cellStyle name="Normal 16 4 24" xfId="5089" xr:uid="{00000000-0005-0000-0000-00004B1B0000}"/>
    <cellStyle name="Normal 16 4 24 2" xfId="17128" xr:uid="{00000000-0005-0000-0000-00004C1B0000}"/>
    <cellStyle name="Normal 16 4 25" xfId="5090" xr:uid="{00000000-0005-0000-0000-00004D1B0000}"/>
    <cellStyle name="Normal 16 4 25 2" xfId="17129" xr:uid="{00000000-0005-0000-0000-00004E1B0000}"/>
    <cellStyle name="Normal 16 4 26" xfId="5091" xr:uid="{00000000-0005-0000-0000-00004F1B0000}"/>
    <cellStyle name="Normal 16 4 26 2" xfId="17130" xr:uid="{00000000-0005-0000-0000-0000501B0000}"/>
    <cellStyle name="Normal 16 4 27" xfId="5092" xr:uid="{00000000-0005-0000-0000-0000511B0000}"/>
    <cellStyle name="Normal 16 4 27 2" xfId="17131" xr:uid="{00000000-0005-0000-0000-0000521B0000}"/>
    <cellStyle name="Normal 16 4 28" xfId="5093" xr:uid="{00000000-0005-0000-0000-0000531B0000}"/>
    <cellStyle name="Normal 16 4 28 2" xfId="17132" xr:uid="{00000000-0005-0000-0000-0000541B0000}"/>
    <cellStyle name="Normal 16 4 29" xfId="5094" xr:uid="{00000000-0005-0000-0000-0000551B0000}"/>
    <cellStyle name="Normal 16 4 29 2" xfId="17133" xr:uid="{00000000-0005-0000-0000-0000561B0000}"/>
    <cellStyle name="Normal 16 4 3" xfId="5095" xr:uid="{00000000-0005-0000-0000-0000571B0000}"/>
    <cellStyle name="Normal 16 4 3 2" xfId="17134" xr:uid="{00000000-0005-0000-0000-0000581B0000}"/>
    <cellStyle name="Normal 16 4 30" xfId="5096" xr:uid="{00000000-0005-0000-0000-0000591B0000}"/>
    <cellStyle name="Normal 16 4 30 2" xfId="17135" xr:uid="{00000000-0005-0000-0000-00005A1B0000}"/>
    <cellStyle name="Normal 16 4 31" xfId="5097" xr:uid="{00000000-0005-0000-0000-00005B1B0000}"/>
    <cellStyle name="Normal 16 4 31 2" xfId="17136" xr:uid="{00000000-0005-0000-0000-00005C1B0000}"/>
    <cellStyle name="Normal 16 4 32" xfId="5098" xr:uid="{00000000-0005-0000-0000-00005D1B0000}"/>
    <cellStyle name="Normal 16 4 32 2" xfId="17137" xr:uid="{00000000-0005-0000-0000-00005E1B0000}"/>
    <cellStyle name="Normal 16 4 33" xfId="5099" xr:uid="{00000000-0005-0000-0000-00005F1B0000}"/>
    <cellStyle name="Normal 16 4 33 2" xfId="17138" xr:uid="{00000000-0005-0000-0000-0000601B0000}"/>
    <cellStyle name="Normal 16 4 34" xfId="5100" xr:uid="{00000000-0005-0000-0000-0000611B0000}"/>
    <cellStyle name="Normal 16 4 34 2" xfId="17139" xr:uid="{00000000-0005-0000-0000-0000621B0000}"/>
    <cellStyle name="Normal 16 4 35" xfId="5101" xr:uid="{00000000-0005-0000-0000-0000631B0000}"/>
    <cellStyle name="Normal 16 4 35 2" xfId="17140" xr:uid="{00000000-0005-0000-0000-0000641B0000}"/>
    <cellStyle name="Normal 16 4 36" xfId="5102" xr:uid="{00000000-0005-0000-0000-0000651B0000}"/>
    <cellStyle name="Normal 16 4 36 2" xfId="17141" xr:uid="{00000000-0005-0000-0000-0000661B0000}"/>
    <cellStyle name="Normal 16 4 37" xfId="5103" xr:uid="{00000000-0005-0000-0000-0000671B0000}"/>
    <cellStyle name="Normal 16 4 37 2" xfId="17142" xr:uid="{00000000-0005-0000-0000-0000681B0000}"/>
    <cellStyle name="Normal 16 4 38" xfId="5104" xr:uid="{00000000-0005-0000-0000-0000691B0000}"/>
    <cellStyle name="Normal 16 4 38 2" xfId="17143" xr:uid="{00000000-0005-0000-0000-00006A1B0000}"/>
    <cellStyle name="Normal 16 4 39" xfId="5105" xr:uid="{00000000-0005-0000-0000-00006B1B0000}"/>
    <cellStyle name="Normal 16 4 39 2" xfId="17144" xr:uid="{00000000-0005-0000-0000-00006C1B0000}"/>
    <cellStyle name="Normal 16 4 4" xfId="5106" xr:uid="{00000000-0005-0000-0000-00006D1B0000}"/>
    <cellStyle name="Normal 16 4 4 2" xfId="17145" xr:uid="{00000000-0005-0000-0000-00006E1B0000}"/>
    <cellStyle name="Normal 16 4 40" xfId="5107" xr:uid="{00000000-0005-0000-0000-00006F1B0000}"/>
    <cellStyle name="Normal 16 4 40 2" xfId="17146" xr:uid="{00000000-0005-0000-0000-0000701B0000}"/>
    <cellStyle name="Normal 16 4 41" xfId="5108" xr:uid="{00000000-0005-0000-0000-0000711B0000}"/>
    <cellStyle name="Normal 16 4 41 2" xfId="17147" xr:uid="{00000000-0005-0000-0000-0000721B0000}"/>
    <cellStyle name="Normal 16 4 42" xfId="5109" xr:uid="{00000000-0005-0000-0000-0000731B0000}"/>
    <cellStyle name="Normal 16 4 42 2" xfId="17148" xr:uid="{00000000-0005-0000-0000-0000741B0000}"/>
    <cellStyle name="Normal 16 4 43" xfId="5110" xr:uid="{00000000-0005-0000-0000-0000751B0000}"/>
    <cellStyle name="Normal 16 4 43 2" xfId="17149" xr:uid="{00000000-0005-0000-0000-0000761B0000}"/>
    <cellStyle name="Normal 16 4 44" xfId="5111" xr:uid="{00000000-0005-0000-0000-0000771B0000}"/>
    <cellStyle name="Normal 16 4 44 2" xfId="17150" xr:uid="{00000000-0005-0000-0000-0000781B0000}"/>
    <cellStyle name="Normal 16 4 45" xfId="5112" xr:uid="{00000000-0005-0000-0000-0000791B0000}"/>
    <cellStyle name="Normal 16 4 45 2" xfId="17151" xr:uid="{00000000-0005-0000-0000-00007A1B0000}"/>
    <cellStyle name="Normal 16 4 46" xfId="5113" xr:uid="{00000000-0005-0000-0000-00007B1B0000}"/>
    <cellStyle name="Normal 16 4 46 2" xfId="17152" xr:uid="{00000000-0005-0000-0000-00007C1B0000}"/>
    <cellStyle name="Normal 16 4 47" xfId="5114" xr:uid="{00000000-0005-0000-0000-00007D1B0000}"/>
    <cellStyle name="Normal 16 4 47 2" xfId="17153" xr:uid="{00000000-0005-0000-0000-00007E1B0000}"/>
    <cellStyle name="Normal 16 4 48" xfId="5115" xr:uid="{00000000-0005-0000-0000-00007F1B0000}"/>
    <cellStyle name="Normal 16 4 48 2" xfId="17154" xr:uid="{00000000-0005-0000-0000-0000801B0000}"/>
    <cellStyle name="Normal 16 4 49" xfId="5116" xr:uid="{00000000-0005-0000-0000-0000811B0000}"/>
    <cellStyle name="Normal 16 4 49 2" xfId="17155" xr:uid="{00000000-0005-0000-0000-0000821B0000}"/>
    <cellStyle name="Normal 16 4 5" xfId="5117" xr:uid="{00000000-0005-0000-0000-0000831B0000}"/>
    <cellStyle name="Normal 16 4 5 2" xfId="17156" xr:uid="{00000000-0005-0000-0000-0000841B0000}"/>
    <cellStyle name="Normal 16 4 50" xfId="5118" xr:uid="{00000000-0005-0000-0000-0000851B0000}"/>
    <cellStyle name="Normal 16 4 50 2" xfId="17157" xr:uid="{00000000-0005-0000-0000-0000861B0000}"/>
    <cellStyle name="Normal 16 4 51" xfId="5119" xr:uid="{00000000-0005-0000-0000-0000871B0000}"/>
    <cellStyle name="Normal 16 4 51 2" xfId="17158" xr:uid="{00000000-0005-0000-0000-0000881B0000}"/>
    <cellStyle name="Normal 16 4 52" xfId="5120" xr:uid="{00000000-0005-0000-0000-0000891B0000}"/>
    <cellStyle name="Normal 16 4 52 2" xfId="17159" xr:uid="{00000000-0005-0000-0000-00008A1B0000}"/>
    <cellStyle name="Normal 16 4 53" xfId="5121" xr:uid="{00000000-0005-0000-0000-00008B1B0000}"/>
    <cellStyle name="Normal 16 4 53 2" xfId="17160" xr:uid="{00000000-0005-0000-0000-00008C1B0000}"/>
    <cellStyle name="Normal 16 4 54" xfId="5122" xr:uid="{00000000-0005-0000-0000-00008D1B0000}"/>
    <cellStyle name="Normal 16 4 54 2" xfId="17161" xr:uid="{00000000-0005-0000-0000-00008E1B0000}"/>
    <cellStyle name="Normal 16 4 55" xfId="5123" xr:uid="{00000000-0005-0000-0000-00008F1B0000}"/>
    <cellStyle name="Normal 16 4 55 2" xfId="17162" xr:uid="{00000000-0005-0000-0000-0000901B0000}"/>
    <cellStyle name="Normal 16 4 56" xfId="5124" xr:uid="{00000000-0005-0000-0000-0000911B0000}"/>
    <cellStyle name="Normal 16 4 56 2" xfId="17163" xr:uid="{00000000-0005-0000-0000-0000921B0000}"/>
    <cellStyle name="Normal 16 4 57" xfId="5125" xr:uid="{00000000-0005-0000-0000-0000931B0000}"/>
    <cellStyle name="Normal 16 4 57 2" xfId="17164" xr:uid="{00000000-0005-0000-0000-0000941B0000}"/>
    <cellStyle name="Normal 16 4 58" xfId="5126" xr:uid="{00000000-0005-0000-0000-0000951B0000}"/>
    <cellStyle name="Normal 16 4 58 2" xfId="17165" xr:uid="{00000000-0005-0000-0000-0000961B0000}"/>
    <cellStyle name="Normal 16 4 59" xfId="5127" xr:uid="{00000000-0005-0000-0000-0000971B0000}"/>
    <cellStyle name="Normal 16 4 59 2" xfId="17166" xr:uid="{00000000-0005-0000-0000-0000981B0000}"/>
    <cellStyle name="Normal 16 4 6" xfId="5128" xr:uid="{00000000-0005-0000-0000-0000991B0000}"/>
    <cellStyle name="Normal 16 4 6 2" xfId="17167" xr:uid="{00000000-0005-0000-0000-00009A1B0000}"/>
    <cellStyle name="Normal 16 4 60" xfId="5129" xr:uid="{00000000-0005-0000-0000-00009B1B0000}"/>
    <cellStyle name="Normal 16 4 60 2" xfId="17168" xr:uid="{00000000-0005-0000-0000-00009C1B0000}"/>
    <cellStyle name="Normal 16 4 61" xfId="5130" xr:uid="{00000000-0005-0000-0000-00009D1B0000}"/>
    <cellStyle name="Normal 16 4 61 2" xfId="17169" xr:uid="{00000000-0005-0000-0000-00009E1B0000}"/>
    <cellStyle name="Normal 16 4 62" xfId="5131" xr:uid="{00000000-0005-0000-0000-00009F1B0000}"/>
    <cellStyle name="Normal 16 4 62 2" xfId="17170" xr:uid="{00000000-0005-0000-0000-0000A01B0000}"/>
    <cellStyle name="Normal 16 4 63" xfId="5132" xr:uid="{00000000-0005-0000-0000-0000A11B0000}"/>
    <cellStyle name="Normal 16 4 63 2" xfId="17171" xr:uid="{00000000-0005-0000-0000-0000A21B0000}"/>
    <cellStyle name="Normal 16 4 64" xfId="5133" xr:uid="{00000000-0005-0000-0000-0000A31B0000}"/>
    <cellStyle name="Normal 16 4 64 2" xfId="17172" xr:uid="{00000000-0005-0000-0000-0000A41B0000}"/>
    <cellStyle name="Normal 16 4 65" xfId="5134" xr:uid="{00000000-0005-0000-0000-0000A51B0000}"/>
    <cellStyle name="Normal 16 4 65 2" xfId="17173" xr:uid="{00000000-0005-0000-0000-0000A61B0000}"/>
    <cellStyle name="Normal 16 4 66" xfId="5135" xr:uid="{00000000-0005-0000-0000-0000A71B0000}"/>
    <cellStyle name="Normal 16 4 66 2" xfId="17174" xr:uid="{00000000-0005-0000-0000-0000A81B0000}"/>
    <cellStyle name="Normal 16 4 67" xfId="5136" xr:uid="{00000000-0005-0000-0000-0000A91B0000}"/>
    <cellStyle name="Normal 16 4 67 2" xfId="17175" xr:uid="{00000000-0005-0000-0000-0000AA1B0000}"/>
    <cellStyle name="Normal 16 4 68" xfId="5137" xr:uid="{00000000-0005-0000-0000-0000AB1B0000}"/>
    <cellStyle name="Normal 16 4 68 2" xfId="17176" xr:uid="{00000000-0005-0000-0000-0000AC1B0000}"/>
    <cellStyle name="Normal 16 4 69" xfId="5138" xr:uid="{00000000-0005-0000-0000-0000AD1B0000}"/>
    <cellStyle name="Normal 16 4 69 2" xfId="17177" xr:uid="{00000000-0005-0000-0000-0000AE1B0000}"/>
    <cellStyle name="Normal 16 4 7" xfId="5139" xr:uid="{00000000-0005-0000-0000-0000AF1B0000}"/>
    <cellStyle name="Normal 16 4 7 2" xfId="17178" xr:uid="{00000000-0005-0000-0000-0000B01B0000}"/>
    <cellStyle name="Normal 16 4 70" xfId="5140" xr:uid="{00000000-0005-0000-0000-0000B11B0000}"/>
    <cellStyle name="Normal 16 4 70 2" xfId="17179" xr:uid="{00000000-0005-0000-0000-0000B21B0000}"/>
    <cellStyle name="Normal 16 4 71" xfId="5141" xr:uid="{00000000-0005-0000-0000-0000B31B0000}"/>
    <cellStyle name="Normal 16 4 71 2" xfId="17180" xr:uid="{00000000-0005-0000-0000-0000B41B0000}"/>
    <cellStyle name="Normal 16 4 72" xfId="5142" xr:uid="{00000000-0005-0000-0000-0000B51B0000}"/>
    <cellStyle name="Normal 16 4 72 2" xfId="17181" xr:uid="{00000000-0005-0000-0000-0000B61B0000}"/>
    <cellStyle name="Normal 16 4 73" xfId="5143" xr:uid="{00000000-0005-0000-0000-0000B71B0000}"/>
    <cellStyle name="Normal 16 4 73 2" xfId="17182" xr:uid="{00000000-0005-0000-0000-0000B81B0000}"/>
    <cellStyle name="Normal 16 4 74" xfId="5144" xr:uid="{00000000-0005-0000-0000-0000B91B0000}"/>
    <cellStyle name="Normal 16 4 74 2" xfId="17183" xr:uid="{00000000-0005-0000-0000-0000BA1B0000}"/>
    <cellStyle name="Normal 16 4 75" xfId="5145" xr:uid="{00000000-0005-0000-0000-0000BB1B0000}"/>
    <cellStyle name="Normal 16 4 75 2" xfId="17184" xr:uid="{00000000-0005-0000-0000-0000BC1B0000}"/>
    <cellStyle name="Normal 16 4 76" xfId="5146" xr:uid="{00000000-0005-0000-0000-0000BD1B0000}"/>
    <cellStyle name="Normal 16 4 76 2" xfId="17185" xr:uid="{00000000-0005-0000-0000-0000BE1B0000}"/>
    <cellStyle name="Normal 16 4 77" xfId="5147" xr:uid="{00000000-0005-0000-0000-0000BF1B0000}"/>
    <cellStyle name="Normal 16 4 77 2" xfId="17186" xr:uid="{00000000-0005-0000-0000-0000C01B0000}"/>
    <cellStyle name="Normal 16 4 78" xfId="5148" xr:uid="{00000000-0005-0000-0000-0000C11B0000}"/>
    <cellStyle name="Normal 16 4 78 2" xfId="17187" xr:uid="{00000000-0005-0000-0000-0000C21B0000}"/>
    <cellStyle name="Normal 16 4 79" xfId="5149" xr:uid="{00000000-0005-0000-0000-0000C31B0000}"/>
    <cellStyle name="Normal 16 4 79 2" xfId="17188" xr:uid="{00000000-0005-0000-0000-0000C41B0000}"/>
    <cellStyle name="Normal 16 4 8" xfId="5150" xr:uid="{00000000-0005-0000-0000-0000C51B0000}"/>
    <cellStyle name="Normal 16 4 8 2" xfId="17189" xr:uid="{00000000-0005-0000-0000-0000C61B0000}"/>
    <cellStyle name="Normal 16 4 80" xfId="17112" xr:uid="{00000000-0005-0000-0000-0000C71B0000}"/>
    <cellStyle name="Normal 16 4 9" xfId="5151" xr:uid="{00000000-0005-0000-0000-0000C81B0000}"/>
    <cellStyle name="Normal 16 4 9 2" xfId="17190" xr:uid="{00000000-0005-0000-0000-0000C91B0000}"/>
    <cellStyle name="Normal 16 40" xfId="5152" xr:uid="{00000000-0005-0000-0000-0000CA1B0000}"/>
    <cellStyle name="Normal 16 40 2" xfId="17191" xr:uid="{00000000-0005-0000-0000-0000CB1B0000}"/>
    <cellStyle name="Normal 16 41" xfId="5153" xr:uid="{00000000-0005-0000-0000-0000CC1B0000}"/>
    <cellStyle name="Normal 16 41 2" xfId="17192" xr:uid="{00000000-0005-0000-0000-0000CD1B0000}"/>
    <cellStyle name="Normal 16 42" xfId="5154" xr:uid="{00000000-0005-0000-0000-0000CE1B0000}"/>
    <cellStyle name="Normal 16 42 2" xfId="17193" xr:uid="{00000000-0005-0000-0000-0000CF1B0000}"/>
    <cellStyle name="Normal 16 43" xfId="5155" xr:uid="{00000000-0005-0000-0000-0000D01B0000}"/>
    <cellStyle name="Normal 16 43 2" xfId="17194" xr:uid="{00000000-0005-0000-0000-0000D11B0000}"/>
    <cellStyle name="Normal 16 44" xfId="5156" xr:uid="{00000000-0005-0000-0000-0000D21B0000}"/>
    <cellStyle name="Normal 16 44 2" xfId="17195" xr:uid="{00000000-0005-0000-0000-0000D31B0000}"/>
    <cellStyle name="Normal 16 45" xfId="5157" xr:uid="{00000000-0005-0000-0000-0000D41B0000}"/>
    <cellStyle name="Normal 16 45 2" xfId="17196" xr:uid="{00000000-0005-0000-0000-0000D51B0000}"/>
    <cellStyle name="Normal 16 46" xfId="5158" xr:uid="{00000000-0005-0000-0000-0000D61B0000}"/>
    <cellStyle name="Normal 16 46 2" xfId="17197" xr:uid="{00000000-0005-0000-0000-0000D71B0000}"/>
    <cellStyle name="Normal 16 47" xfId="5159" xr:uid="{00000000-0005-0000-0000-0000D81B0000}"/>
    <cellStyle name="Normal 16 47 2" xfId="17198" xr:uid="{00000000-0005-0000-0000-0000D91B0000}"/>
    <cellStyle name="Normal 16 48" xfId="5160" xr:uid="{00000000-0005-0000-0000-0000DA1B0000}"/>
    <cellStyle name="Normal 16 48 2" xfId="17199" xr:uid="{00000000-0005-0000-0000-0000DB1B0000}"/>
    <cellStyle name="Normal 16 49" xfId="5161" xr:uid="{00000000-0005-0000-0000-0000DC1B0000}"/>
    <cellStyle name="Normal 16 49 2" xfId="17200" xr:uid="{00000000-0005-0000-0000-0000DD1B0000}"/>
    <cellStyle name="Normal 16 5" xfId="5162" xr:uid="{00000000-0005-0000-0000-0000DE1B0000}"/>
    <cellStyle name="Normal 16 5 2" xfId="17201" xr:uid="{00000000-0005-0000-0000-0000DF1B0000}"/>
    <cellStyle name="Normal 16 50" xfId="5163" xr:uid="{00000000-0005-0000-0000-0000E01B0000}"/>
    <cellStyle name="Normal 16 50 2" xfId="17202" xr:uid="{00000000-0005-0000-0000-0000E11B0000}"/>
    <cellStyle name="Normal 16 51" xfId="5164" xr:uid="{00000000-0005-0000-0000-0000E21B0000}"/>
    <cellStyle name="Normal 16 51 2" xfId="17203" xr:uid="{00000000-0005-0000-0000-0000E31B0000}"/>
    <cellStyle name="Normal 16 52" xfId="5165" xr:uid="{00000000-0005-0000-0000-0000E41B0000}"/>
    <cellStyle name="Normal 16 52 2" xfId="17204" xr:uid="{00000000-0005-0000-0000-0000E51B0000}"/>
    <cellStyle name="Normal 16 53" xfId="5166" xr:uid="{00000000-0005-0000-0000-0000E61B0000}"/>
    <cellStyle name="Normal 16 53 2" xfId="17205" xr:uid="{00000000-0005-0000-0000-0000E71B0000}"/>
    <cellStyle name="Normal 16 54" xfId="5167" xr:uid="{00000000-0005-0000-0000-0000E81B0000}"/>
    <cellStyle name="Normal 16 54 2" xfId="17206" xr:uid="{00000000-0005-0000-0000-0000E91B0000}"/>
    <cellStyle name="Normal 16 55" xfId="5168" xr:uid="{00000000-0005-0000-0000-0000EA1B0000}"/>
    <cellStyle name="Normal 16 55 2" xfId="17207" xr:uid="{00000000-0005-0000-0000-0000EB1B0000}"/>
    <cellStyle name="Normal 16 56" xfId="5169" xr:uid="{00000000-0005-0000-0000-0000EC1B0000}"/>
    <cellStyle name="Normal 16 56 2" xfId="17208" xr:uid="{00000000-0005-0000-0000-0000ED1B0000}"/>
    <cellStyle name="Normal 16 57" xfId="5170" xr:uid="{00000000-0005-0000-0000-0000EE1B0000}"/>
    <cellStyle name="Normal 16 57 2" xfId="17209" xr:uid="{00000000-0005-0000-0000-0000EF1B0000}"/>
    <cellStyle name="Normal 16 58" xfId="5171" xr:uid="{00000000-0005-0000-0000-0000F01B0000}"/>
    <cellStyle name="Normal 16 58 2" xfId="17210" xr:uid="{00000000-0005-0000-0000-0000F11B0000}"/>
    <cellStyle name="Normal 16 59" xfId="5172" xr:uid="{00000000-0005-0000-0000-0000F21B0000}"/>
    <cellStyle name="Normal 16 59 2" xfId="17211" xr:uid="{00000000-0005-0000-0000-0000F31B0000}"/>
    <cellStyle name="Normal 16 6" xfId="5173" xr:uid="{00000000-0005-0000-0000-0000F41B0000}"/>
    <cellStyle name="Normal 16 6 2" xfId="17212" xr:uid="{00000000-0005-0000-0000-0000F51B0000}"/>
    <cellStyle name="Normal 16 60" xfId="5174" xr:uid="{00000000-0005-0000-0000-0000F61B0000}"/>
    <cellStyle name="Normal 16 60 2" xfId="17213" xr:uid="{00000000-0005-0000-0000-0000F71B0000}"/>
    <cellStyle name="Normal 16 61" xfId="5175" xr:uid="{00000000-0005-0000-0000-0000F81B0000}"/>
    <cellStyle name="Normal 16 61 2" xfId="17214" xr:uid="{00000000-0005-0000-0000-0000F91B0000}"/>
    <cellStyle name="Normal 16 62" xfId="5176" xr:uid="{00000000-0005-0000-0000-0000FA1B0000}"/>
    <cellStyle name="Normal 16 62 2" xfId="17215" xr:uid="{00000000-0005-0000-0000-0000FB1B0000}"/>
    <cellStyle name="Normal 16 63" xfId="5177" xr:uid="{00000000-0005-0000-0000-0000FC1B0000}"/>
    <cellStyle name="Normal 16 63 2" xfId="17216" xr:uid="{00000000-0005-0000-0000-0000FD1B0000}"/>
    <cellStyle name="Normal 16 64" xfId="5178" xr:uid="{00000000-0005-0000-0000-0000FE1B0000}"/>
    <cellStyle name="Normal 16 64 2" xfId="17217" xr:uid="{00000000-0005-0000-0000-0000FF1B0000}"/>
    <cellStyle name="Normal 16 65" xfId="5179" xr:uid="{00000000-0005-0000-0000-0000001C0000}"/>
    <cellStyle name="Normal 16 65 2" xfId="17218" xr:uid="{00000000-0005-0000-0000-0000011C0000}"/>
    <cellStyle name="Normal 16 66" xfId="5180" xr:uid="{00000000-0005-0000-0000-0000021C0000}"/>
    <cellStyle name="Normal 16 66 2" xfId="17219" xr:uid="{00000000-0005-0000-0000-0000031C0000}"/>
    <cellStyle name="Normal 16 67" xfId="5181" xr:uid="{00000000-0005-0000-0000-0000041C0000}"/>
    <cellStyle name="Normal 16 67 2" xfId="17220" xr:uid="{00000000-0005-0000-0000-0000051C0000}"/>
    <cellStyle name="Normal 16 68" xfId="5182" xr:uid="{00000000-0005-0000-0000-0000061C0000}"/>
    <cellStyle name="Normal 16 68 2" xfId="17221" xr:uid="{00000000-0005-0000-0000-0000071C0000}"/>
    <cellStyle name="Normal 16 69" xfId="5183" xr:uid="{00000000-0005-0000-0000-0000081C0000}"/>
    <cellStyle name="Normal 16 69 2" xfId="17222" xr:uid="{00000000-0005-0000-0000-0000091C0000}"/>
    <cellStyle name="Normal 16 7" xfId="5184" xr:uid="{00000000-0005-0000-0000-00000A1C0000}"/>
    <cellStyle name="Normal 16 7 2" xfId="17223" xr:uid="{00000000-0005-0000-0000-00000B1C0000}"/>
    <cellStyle name="Normal 16 70" xfId="5185" xr:uid="{00000000-0005-0000-0000-00000C1C0000}"/>
    <cellStyle name="Normal 16 70 2" xfId="17224" xr:uid="{00000000-0005-0000-0000-00000D1C0000}"/>
    <cellStyle name="Normal 16 71" xfId="5186" xr:uid="{00000000-0005-0000-0000-00000E1C0000}"/>
    <cellStyle name="Normal 16 71 2" xfId="17225" xr:uid="{00000000-0005-0000-0000-00000F1C0000}"/>
    <cellStyle name="Normal 16 72" xfId="5187" xr:uid="{00000000-0005-0000-0000-0000101C0000}"/>
    <cellStyle name="Normal 16 72 2" xfId="17226" xr:uid="{00000000-0005-0000-0000-0000111C0000}"/>
    <cellStyle name="Normal 16 73" xfId="5188" xr:uid="{00000000-0005-0000-0000-0000121C0000}"/>
    <cellStyle name="Normal 16 73 2" xfId="17227" xr:uid="{00000000-0005-0000-0000-0000131C0000}"/>
    <cellStyle name="Normal 16 74" xfId="5189" xr:uid="{00000000-0005-0000-0000-0000141C0000}"/>
    <cellStyle name="Normal 16 74 2" xfId="17228" xr:uid="{00000000-0005-0000-0000-0000151C0000}"/>
    <cellStyle name="Normal 16 75" xfId="5190" xr:uid="{00000000-0005-0000-0000-0000161C0000}"/>
    <cellStyle name="Normal 16 75 2" xfId="17229" xr:uid="{00000000-0005-0000-0000-0000171C0000}"/>
    <cellStyle name="Normal 16 76" xfId="5191" xr:uid="{00000000-0005-0000-0000-0000181C0000}"/>
    <cellStyle name="Normal 16 76 2" xfId="17230" xr:uid="{00000000-0005-0000-0000-0000191C0000}"/>
    <cellStyle name="Normal 16 77" xfId="5192" xr:uid="{00000000-0005-0000-0000-00001A1C0000}"/>
    <cellStyle name="Normal 16 77 2" xfId="17231" xr:uid="{00000000-0005-0000-0000-00001B1C0000}"/>
    <cellStyle name="Normal 16 78" xfId="5193" xr:uid="{00000000-0005-0000-0000-00001C1C0000}"/>
    <cellStyle name="Normal 16 78 2" xfId="17232" xr:uid="{00000000-0005-0000-0000-00001D1C0000}"/>
    <cellStyle name="Normal 16 79" xfId="5194" xr:uid="{00000000-0005-0000-0000-00001E1C0000}"/>
    <cellStyle name="Normal 16 79 2" xfId="17233" xr:uid="{00000000-0005-0000-0000-00001F1C0000}"/>
    <cellStyle name="Normal 16 8" xfId="5195" xr:uid="{00000000-0005-0000-0000-0000201C0000}"/>
    <cellStyle name="Normal 16 8 2" xfId="17234" xr:uid="{00000000-0005-0000-0000-0000211C0000}"/>
    <cellStyle name="Normal 16 80" xfId="5196" xr:uid="{00000000-0005-0000-0000-0000221C0000}"/>
    <cellStyle name="Normal 16 80 2" xfId="17235" xr:uid="{00000000-0005-0000-0000-0000231C0000}"/>
    <cellStyle name="Normal 16 81" xfId="5197" xr:uid="{00000000-0005-0000-0000-0000241C0000}"/>
    <cellStyle name="Normal 16 81 2" xfId="17236" xr:uid="{00000000-0005-0000-0000-0000251C0000}"/>
    <cellStyle name="Normal 16 82" xfId="5198" xr:uid="{00000000-0005-0000-0000-0000261C0000}"/>
    <cellStyle name="Normal 16 82 2" xfId="17237" xr:uid="{00000000-0005-0000-0000-0000271C0000}"/>
    <cellStyle name="Normal 16 83" xfId="3320" xr:uid="{00000000-0005-0000-0000-0000281C0000}"/>
    <cellStyle name="Normal 16 9" xfId="5199" xr:uid="{00000000-0005-0000-0000-0000291C0000}"/>
    <cellStyle name="Normal 16 9 2" xfId="17238" xr:uid="{00000000-0005-0000-0000-00002A1C0000}"/>
    <cellStyle name="Normal 160" xfId="501" xr:uid="{00000000-0005-0000-0000-00002B1C0000}"/>
    <cellStyle name="Normal 160 2" xfId="598" xr:uid="{00000000-0005-0000-0000-00002C1C0000}"/>
    <cellStyle name="Normal 160 3" xfId="1017" xr:uid="{00000000-0005-0000-0000-00002D1C0000}"/>
    <cellStyle name="Normal 160 4" xfId="1152" xr:uid="{00000000-0005-0000-0000-00002E1C0000}"/>
    <cellStyle name="Normal 160 5" xfId="1099" xr:uid="{00000000-0005-0000-0000-00002F1C0000}"/>
    <cellStyle name="Normal 160 6" xfId="895" xr:uid="{00000000-0005-0000-0000-0000301C0000}"/>
    <cellStyle name="Normal 160 7" xfId="1275" xr:uid="{00000000-0005-0000-0000-0000311C0000}"/>
    <cellStyle name="Normal 160 8" xfId="1344" xr:uid="{00000000-0005-0000-0000-0000321C0000}"/>
    <cellStyle name="Normal 160 9" xfId="1407" xr:uid="{00000000-0005-0000-0000-0000331C0000}"/>
    <cellStyle name="Normal 161" xfId="502" xr:uid="{00000000-0005-0000-0000-0000341C0000}"/>
    <cellStyle name="Normal 161 2" xfId="599" xr:uid="{00000000-0005-0000-0000-0000351C0000}"/>
    <cellStyle name="Normal 161 3" xfId="1018" xr:uid="{00000000-0005-0000-0000-0000361C0000}"/>
    <cellStyle name="Normal 161 4" xfId="1151" xr:uid="{00000000-0005-0000-0000-0000371C0000}"/>
    <cellStyle name="Normal 161 5" xfId="1100" xr:uid="{00000000-0005-0000-0000-0000381C0000}"/>
    <cellStyle name="Normal 161 6" xfId="894" xr:uid="{00000000-0005-0000-0000-0000391C0000}"/>
    <cellStyle name="Normal 161 7" xfId="1276" xr:uid="{00000000-0005-0000-0000-00003A1C0000}"/>
    <cellStyle name="Normal 161 8" xfId="1345" xr:uid="{00000000-0005-0000-0000-00003B1C0000}"/>
    <cellStyle name="Normal 161 9" xfId="1408" xr:uid="{00000000-0005-0000-0000-00003C1C0000}"/>
    <cellStyle name="Normal 162" xfId="503" xr:uid="{00000000-0005-0000-0000-00003D1C0000}"/>
    <cellStyle name="Normal 162 2" xfId="600" xr:uid="{00000000-0005-0000-0000-00003E1C0000}"/>
    <cellStyle name="Normal 162 3" xfId="1019" xr:uid="{00000000-0005-0000-0000-00003F1C0000}"/>
    <cellStyle name="Normal 162 4" xfId="1150" xr:uid="{00000000-0005-0000-0000-0000401C0000}"/>
    <cellStyle name="Normal 162 5" xfId="1101" xr:uid="{00000000-0005-0000-0000-0000411C0000}"/>
    <cellStyle name="Normal 162 6" xfId="893" xr:uid="{00000000-0005-0000-0000-0000421C0000}"/>
    <cellStyle name="Normal 162 7" xfId="1277" xr:uid="{00000000-0005-0000-0000-0000431C0000}"/>
    <cellStyle name="Normal 162 8" xfId="1346" xr:uid="{00000000-0005-0000-0000-0000441C0000}"/>
    <cellStyle name="Normal 162 9" xfId="1409" xr:uid="{00000000-0005-0000-0000-0000451C0000}"/>
    <cellStyle name="Normal 163" xfId="504" xr:uid="{00000000-0005-0000-0000-0000461C0000}"/>
    <cellStyle name="Normal 163 2" xfId="601" xr:uid="{00000000-0005-0000-0000-0000471C0000}"/>
    <cellStyle name="Normal 163 3" xfId="1020" xr:uid="{00000000-0005-0000-0000-0000481C0000}"/>
    <cellStyle name="Normal 163 4" xfId="1149" xr:uid="{00000000-0005-0000-0000-0000491C0000}"/>
    <cellStyle name="Normal 163 5" xfId="1102" xr:uid="{00000000-0005-0000-0000-00004A1C0000}"/>
    <cellStyle name="Normal 163 6" xfId="892" xr:uid="{00000000-0005-0000-0000-00004B1C0000}"/>
    <cellStyle name="Normal 163 7" xfId="946" xr:uid="{00000000-0005-0000-0000-00004C1C0000}"/>
    <cellStyle name="Normal 163 8" xfId="1319" xr:uid="{00000000-0005-0000-0000-00004D1C0000}"/>
    <cellStyle name="Normal 163 9" xfId="1384" xr:uid="{00000000-0005-0000-0000-00004E1C0000}"/>
    <cellStyle name="Normal 164" xfId="505" xr:uid="{00000000-0005-0000-0000-00004F1C0000}"/>
    <cellStyle name="Normal 164 2" xfId="602" xr:uid="{00000000-0005-0000-0000-0000501C0000}"/>
    <cellStyle name="Normal 164 3" xfId="1021" xr:uid="{00000000-0005-0000-0000-0000511C0000}"/>
    <cellStyle name="Normal 164 4" xfId="1148" xr:uid="{00000000-0005-0000-0000-0000521C0000}"/>
    <cellStyle name="Normal 164 5" xfId="1103" xr:uid="{00000000-0005-0000-0000-0000531C0000}"/>
    <cellStyle name="Normal 164 6" xfId="891" xr:uid="{00000000-0005-0000-0000-0000541C0000}"/>
    <cellStyle name="Normal 164 7" xfId="1278" xr:uid="{00000000-0005-0000-0000-0000551C0000}"/>
    <cellStyle name="Normal 164 8" xfId="1347" xr:uid="{00000000-0005-0000-0000-0000561C0000}"/>
    <cellStyle name="Normal 164 9" xfId="1410" xr:uid="{00000000-0005-0000-0000-0000571C0000}"/>
    <cellStyle name="Normal 165" xfId="506" xr:uid="{00000000-0005-0000-0000-0000581C0000}"/>
    <cellStyle name="Normal 165 2" xfId="603" xr:uid="{00000000-0005-0000-0000-0000591C0000}"/>
    <cellStyle name="Normal 165 3" xfId="1022" xr:uid="{00000000-0005-0000-0000-00005A1C0000}"/>
    <cellStyle name="Normal 165 4" xfId="1147" xr:uid="{00000000-0005-0000-0000-00005B1C0000}"/>
    <cellStyle name="Normal 165 5" xfId="1104" xr:uid="{00000000-0005-0000-0000-00005C1C0000}"/>
    <cellStyle name="Normal 165 6" xfId="890" xr:uid="{00000000-0005-0000-0000-00005D1C0000}"/>
    <cellStyle name="Normal 165 7" xfId="947" xr:uid="{00000000-0005-0000-0000-00005E1C0000}"/>
    <cellStyle name="Normal 165 8" xfId="1240" xr:uid="{00000000-0005-0000-0000-00005F1C0000}"/>
    <cellStyle name="Normal 165 9" xfId="825" xr:uid="{00000000-0005-0000-0000-0000601C0000}"/>
    <cellStyle name="Normal 166" xfId="507" xr:uid="{00000000-0005-0000-0000-0000611C0000}"/>
    <cellStyle name="Normal 166 2" xfId="604" xr:uid="{00000000-0005-0000-0000-0000621C0000}"/>
    <cellStyle name="Normal 166 3" xfId="1023" xr:uid="{00000000-0005-0000-0000-0000631C0000}"/>
    <cellStyle name="Normal 166 4" xfId="1146" xr:uid="{00000000-0005-0000-0000-0000641C0000}"/>
    <cellStyle name="Normal 166 5" xfId="1105" xr:uid="{00000000-0005-0000-0000-0000651C0000}"/>
    <cellStyle name="Normal 166 6" xfId="1201" xr:uid="{00000000-0005-0000-0000-0000661C0000}"/>
    <cellStyle name="Normal 166 7" xfId="1178" xr:uid="{00000000-0005-0000-0000-0000671C0000}"/>
    <cellStyle name="Normal 166 8" xfId="1333" xr:uid="{00000000-0005-0000-0000-0000681C0000}"/>
    <cellStyle name="Normal 166 9" xfId="1397" xr:uid="{00000000-0005-0000-0000-0000691C0000}"/>
    <cellStyle name="Normal 167" xfId="508" xr:uid="{00000000-0005-0000-0000-00006A1C0000}"/>
    <cellStyle name="Normal 167 2" xfId="605" xr:uid="{00000000-0005-0000-0000-00006B1C0000}"/>
    <cellStyle name="Normal 167 3" xfId="1024" xr:uid="{00000000-0005-0000-0000-00006C1C0000}"/>
    <cellStyle name="Normal 167 4" xfId="1145" xr:uid="{00000000-0005-0000-0000-00006D1C0000}"/>
    <cellStyle name="Normal 167 5" xfId="1106" xr:uid="{00000000-0005-0000-0000-00006E1C0000}"/>
    <cellStyle name="Normal 167 6" xfId="1326" xr:uid="{00000000-0005-0000-0000-00006F1C0000}"/>
    <cellStyle name="Normal 167 7" xfId="1391" xr:uid="{00000000-0005-0000-0000-0000701C0000}"/>
    <cellStyle name="Normal 167 8" xfId="1441" xr:uid="{00000000-0005-0000-0000-0000711C0000}"/>
    <cellStyle name="Normal 167 9" xfId="1470" xr:uid="{00000000-0005-0000-0000-0000721C0000}"/>
    <cellStyle name="Normal 168" xfId="509" xr:uid="{00000000-0005-0000-0000-0000731C0000}"/>
    <cellStyle name="Normal 168 2" xfId="606" xr:uid="{00000000-0005-0000-0000-0000741C0000}"/>
    <cellStyle name="Normal 168 3" xfId="1025" xr:uid="{00000000-0005-0000-0000-0000751C0000}"/>
    <cellStyle name="Normal 168 4" xfId="1144" xr:uid="{00000000-0005-0000-0000-0000761C0000}"/>
    <cellStyle name="Normal 168 5" xfId="1107" xr:uid="{00000000-0005-0000-0000-0000771C0000}"/>
    <cellStyle name="Normal 168 6" xfId="889" xr:uid="{00000000-0005-0000-0000-0000781C0000}"/>
    <cellStyle name="Normal 168 7" xfId="1279" xr:uid="{00000000-0005-0000-0000-0000791C0000}"/>
    <cellStyle name="Normal 168 8" xfId="1348" xr:uid="{00000000-0005-0000-0000-00007A1C0000}"/>
    <cellStyle name="Normal 168 9" xfId="1411" xr:uid="{00000000-0005-0000-0000-00007B1C0000}"/>
    <cellStyle name="Normal 169" xfId="510" xr:uid="{00000000-0005-0000-0000-00007C1C0000}"/>
    <cellStyle name="Normal 169 2" xfId="607" xr:uid="{00000000-0005-0000-0000-00007D1C0000}"/>
    <cellStyle name="Normal 169 3" xfId="1026" xr:uid="{00000000-0005-0000-0000-00007E1C0000}"/>
    <cellStyle name="Normal 169 4" xfId="1143" xr:uid="{00000000-0005-0000-0000-00007F1C0000}"/>
    <cellStyle name="Normal 169 5" xfId="1108" xr:uid="{00000000-0005-0000-0000-0000801C0000}"/>
    <cellStyle name="Normal 169 6" xfId="1200" xr:uid="{00000000-0005-0000-0000-0000811C0000}"/>
    <cellStyle name="Normal 169 7" xfId="986" xr:uid="{00000000-0005-0000-0000-0000821C0000}"/>
    <cellStyle name="Normal 169 8" xfId="1221" xr:uid="{00000000-0005-0000-0000-0000831C0000}"/>
    <cellStyle name="Normal 169 9" xfId="976" xr:uid="{00000000-0005-0000-0000-0000841C0000}"/>
    <cellStyle name="Normal 17" xfId="83" xr:uid="{00000000-0005-0000-0000-0000851C0000}"/>
    <cellStyle name="Normal 17 10" xfId="5200" xr:uid="{00000000-0005-0000-0000-0000861C0000}"/>
    <cellStyle name="Normal 17 10 2" xfId="17240" xr:uid="{00000000-0005-0000-0000-0000871C0000}"/>
    <cellStyle name="Normal 17 11" xfId="5201" xr:uid="{00000000-0005-0000-0000-0000881C0000}"/>
    <cellStyle name="Normal 17 11 2" xfId="17241" xr:uid="{00000000-0005-0000-0000-0000891C0000}"/>
    <cellStyle name="Normal 17 12" xfId="5202" xr:uid="{00000000-0005-0000-0000-00008A1C0000}"/>
    <cellStyle name="Normal 17 12 2" xfId="17242" xr:uid="{00000000-0005-0000-0000-00008B1C0000}"/>
    <cellStyle name="Normal 17 13" xfId="5203" xr:uid="{00000000-0005-0000-0000-00008C1C0000}"/>
    <cellStyle name="Normal 17 13 2" xfId="17243" xr:uid="{00000000-0005-0000-0000-00008D1C0000}"/>
    <cellStyle name="Normal 17 14" xfId="5204" xr:uid="{00000000-0005-0000-0000-00008E1C0000}"/>
    <cellStyle name="Normal 17 14 2" xfId="17244" xr:uid="{00000000-0005-0000-0000-00008F1C0000}"/>
    <cellStyle name="Normal 17 15" xfId="5205" xr:uid="{00000000-0005-0000-0000-0000901C0000}"/>
    <cellStyle name="Normal 17 15 2" xfId="17245" xr:uid="{00000000-0005-0000-0000-0000911C0000}"/>
    <cellStyle name="Normal 17 16" xfId="5206" xr:uid="{00000000-0005-0000-0000-0000921C0000}"/>
    <cellStyle name="Normal 17 16 2" xfId="17246" xr:uid="{00000000-0005-0000-0000-0000931C0000}"/>
    <cellStyle name="Normal 17 17" xfId="5207" xr:uid="{00000000-0005-0000-0000-0000941C0000}"/>
    <cellStyle name="Normal 17 17 2" xfId="17247" xr:uid="{00000000-0005-0000-0000-0000951C0000}"/>
    <cellStyle name="Normal 17 18" xfId="5208" xr:uid="{00000000-0005-0000-0000-0000961C0000}"/>
    <cellStyle name="Normal 17 18 2" xfId="17248" xr:uid="{00000000-0005-0000-0000-0000971C0000}"/>
    <cellStyle name="Normal 17 19" xfId="5209" xr:uid="{00000000-0005-0000-0000-0000981C0000}"/>
    <cellStyle name="Normal 17 19 2" xfId="17249" xr:uid="{00000000-0005-0000-0000-0000991C0000}"/>
    <cellStyle name="Normal 17 2" xfId="5210" xr:uid="{00000000-0005-0000-0000-00009A1C0000}"/>
    <cellStyle name="Normal 17 2 10" xfId="5211" xr:uid="{00000000-0005-0000-0000-00009B1C0000}"/>
    <cellStyle name="Normal 17 2 10 2" xfId="17251" xr:uid="{00000000-0005-0000-0000-00009C1C0000}"/>
    <cellStyle name="Normal 17 2 11" xfId="5212" xr:uid="{00000000-0005-0000-0000-00009D1C0000}"/>
    <cellStyle name="Normal 17 2 11 2" xfId="17252" xr:uid="{00000000-0005-0000-0000-00009E1C0000}"/>
    <cellStyle name="Normal 17 2 12" xfId="5213" xr:uid="{00000000-0005-0000-0000-00009F1C0000}"/>
    <cellStyle name="Normal 17 2 12 2" xfId="17253" xr:uid="{00000000-0005-0000-0000-0000A01C0000}"/>
    <cellStyle name="Normal 17 2 13" xfId="5214" xr:uid="{00000000-0005-0000-0000-0000A11C0000}"/>
    <cellStyle name="Normal 17 2 13 2" xfId="17254" xr:uid="{00000000-0005-0000-0000-0000A21C0000}"/>
    <cellStyle name="Normal 17 2 14" xfId="5215" xr:uid="{00000000-0005-0000-0000-0000A31C0000}"/>
    <cellStyle name="Normal 17 2 14 2" xfId="17255" xr:uid="{00000000-0005-0000-0000-0000A41C0000}"/>
    <cellStyle name="Normal 17 2 15" xfId="5216" xr:uid="{00000000-0005-0000-0000-0000A51C0000}"/>
    <cellStyle name="Normal 17 2 15 2" xfId="17256" xr:uid="{00000000-0005-0000-0000-0000A61C0000}"/>
    <cellStyle name="Normal 17 2 16" xfId="5217" xr:uid="{00000000-0005-0000-0000-0000A71C0000}"/>
    <cellStyle name="Normal 17 2 16 2" xfId="17257" xr:uid="{00000000-0005-0000-0000-0000A81C0000}"/>
    <cellStyle name="Normal 17 2 17" xfId="5218" xr:uid="{00000000-0005-0000-0000-0000A91C0000}"/>
    <cellStyle name="Normal 17 2 17 2" xfId="17258" xr:uid="{00000000-0005-0000-0000-0000AA1C0000}"/>
    <cellStyle name="Normal 17 2 18" xfId="5219" xr:uid="{00000000-0005-0000-0000-0000AB1C0000}"/>
    <cellStyle name="Normal 17 2 18 2" xfId="17259" xr:uid="{00000000-0005-0000-0000-0000AC1C0000}"/>
    <cellStyle name="Normal 17 2 19" xfId="5220" xr:uid="{00000000-0005-0000-0000-0000AD1C0000}"/>
    <cellStyle name="Normal 17 2 19 2" xfId="17260" xr:uid="{00000000-0005-0000-0000-0000AE1C0000}"/>
    <cellStyle name="Normal 17 2 2" xfId="5221" xr:uid="{00000000-0005-0000-0000-0000AF1C0000}"/>
    <cellStyle name="Normal 17 2 2 2" xfId="17261" xr:uid="{00000000-0005-0000-0000-0000B01C0000}"/>
    <cellStyle name="Normal 17 2 20" xfId="5222" xr:uid="{00000000-0005-0000-0000-0000B11C0000}"/>
    <cellStyle name="Normal 17 2 20 2" xfId="17262" xr:uid="{00000000-0005-0000-0000-0000B21C0000}"/>
    <cellStyle name="Normal 17 2 21" xfId="5223" xr:uid="{00000000-0005-0000-0000-0000B31C0000}"/>
    <cellStyle name="Normal 17 2 21 2" xfId="17263" xr:uid="{00000000-0005-0000-0000-0000B41C0000}"/>
    <cellStyle name="Normal 17 2 22" xfId="5224" xr:uid="{00000000-0005-0000-0000-0000B51C0000}"/>
    <cellStyle name="Normal 17 2 22 2" xfId="17264" xr:uid="{00000000-0005-0000-0000-0000B61C0000}"/>
    <cellStyle name="Normal 17 2 23" xfId="5225" xr:uid="{00000000-0005-0000-0000-0000B71C0000}"/>
    <cellStyle name="Normal 17 2 23 2" xfId="17265" xr:uid="{00000000-0005-0000-0000-0000B81C0000}"/>
    <cellStyle name="Normal 17 2 24" xfId="5226" xr:uid="{00000000-0005-0000-0000-0000B91C0000}"/>
    <cellStyle name="Normal 17 2 24 2" xfId="17266" xr:uid="{00000000-0005-0000-0000-0000BA1C0000}"/>
    <cellStyle name="Normal 17 2 25" xfId="5227" xr:uid="{00000000-0005-0000-0000-0000BB1C0000}"/>
    <cellStyle name="Normal 17 2 25 2" xfId="17267" xr:uid="{00000000-0005-0000-0000-0000BC1C0000}"/>
    <cellStyle name="Normal 17 2 26" xfId="5228" xr:uid="{00000000-0005-0000-0000-0000BD1C0000}"/>
    <cellStyle name="Normal 17 2 26 2" xfId="17268" xr:uid="{00000000-0005-0000-0000-0000BE1C0000}"/>
    <cellStyle name="Normal 17 2 27" xfId="5229" xr:uid="{00000000-0005-0000-0000-0000BF1C0000}"/>
    <cellStyle name="Normal 17 2 27 2" xfId="17269" xr:uid="{00000000-0005-0000-0000-0000C01C0000}"/>
    <cellStyle name="Normal 17 2 28" xfId="5230" xr:uid="{00000000-0005-0000-0000-0000C11C0000}"/>
    <cellStyle name="Normal 17 2 28 2" xfId="17270" xr:uid="{00000000-0005-0000-0000-0000C21C0000}"/>
    <cellStyle name="Normal 17 2 29" xfId="5231" xr:uid="{00000000-0005-0000-0000-0000C31C0000}"/>
    <cellStyle name="Normal 17 2 29 2" xfId="17271" xr:uid="{00000000-0005-0000-0000-0000C41C0000}"/>
    <cellStyle name="Normal 17 2 3" xfId="5232" xr:uid="{00000000-0005-0000-0000-0000C51C0000}"/>
    <cellStyle name="Normal 17 2 3 2" xfId="17272" xr:uid="{00000000-0005-0000-0000-0000C61C0000}"/>
    <cellStyle name="Normal 17 2 30" xfId="5233" xr:uid="{00000000-0005-0000-0000-0000C71C0000}"/>
    <cellStyle name="Normal 17 2 30 2" xfId="17273" xr:uid="{00000000-0005-0000-0000-0000C81C0000}"/>
    <cellStyle name="Normal 17 2 31" xfId="5234" xr:uid="{00000000-0005-0000-0000-0000C91C0000}"/>
    <cellStyle name="Normal 17 2 31 2" xfId="17274" xr:uid="{00000000-0005-0000-0000-0000CA1C0000}"/>
    <cellStyle name="Normal 17 2 32" xfId="5235" xr:uid="{00000000-0005-0000-0000-0000CB1C0000}"/>
    <cellStyle name="Normal 17 2 32 2" xfId="17275" xr:uid="{00000000-0005-0000-0000-0000CC1C0000}"/>
    <cellStyle name="Normal 17 2 33" xfId="5236" xr:uid="{00000000-0005-0000-0000-0000CD1C0000}"/>
    <cellStyle name="Normal 17 2 33 2" xfId="17276" xr:uid="{00000000-0005-0000-0000-0000CE1C0000}"/>
    <cellStyle name="Normal 17 2 34" xfId="5237" xr:uid="{00000000-0005-0000-0000-0000CF1C0000}"/>
    <cellStyle name="Normal 17 2 34 2" xfId="17277" xr:uid="{00000000-0005-0000-0000-0000D01C0000}"/>
    <cellStyle name="Normal 17 2 35" xfId="5238" xr:uid="{00000000-0005-0000-0000-0000D11C0000}"/>
    <cellStyle name="Normal 17 2 35 2" xfId="17278" xr:uid="{00000000-0005-0000-0000-0000D21C0000}"/>
    <cellStyle name="Normal 17 2 36" xfId="5239" xr:uid="{00000000-0005-0000-0000-0000D31C0000}"/>
    <cellStyle name="Normal 17 2 36 2" xfId="17279" xr:uid="{00000000-0005-0000-0000-0000D41C0000}"/>
    <cellStyle name="Normal 17 2 37" xfId="5240" xr:uid="{00000000-0005-0000-0000-0000D51C0000}"/>
    <cellStyle name="Normal 17 2 37 2" xfId="17280" xr:uid="{00000000-0005-0000-0000-0000D61C0000}"/>
    <cellStyle name="Normal 17 2 38" xfId="5241" xr:uid="{00000000-0005-0000-0000-0000D71C0000}"/>
    <cellStyle name="Normal 17 2 38 2" xfId="17281" xr:uid="{00000000-0005-0000-0000-0000D81C0000}"/>
    <cellStyle name="Normal 17 2 39" xfId="5242" xr:uid="{00000000-0005-0000-0000-0000D91C0000}"/>
    <cellStyle name="Normal 17 2 39 2" xfId="17282" xr:uid="{00000000-0005-0000-0000-0000DA1C0000}"/>
    <cellStyle name="Normal 17 2 4" xfId="5243" xr:uid="{00000000-0005-0000-0000-0000DB1C0000}"/>
    <cellStyle name="Normal 17 2 4 2" xfId="17283" xr:uid="{00000000-0005-0000-0000-0000DC1C0000}"/>
    <cellStyle name="Normal 17 2 40" xfId="5244" xr:uid="{00000000-0005-0000-0000-0000DD1C0000}"/>
    <cellStyle name="Normal 17 2 40 2" xfId="17284" xr:uid="{00000000-0005-0000-0000-0000DE1C0000}"/>
    <cellStyle name="Normal 17 2 41" xfId="5245" xr:uid="{00000000-0005-0000-0000-0000DF1C0000}"/>
    <cellStyle name="Normal 17 2 41 2" xfId="17285" xr:uid="{00000000-0005-0000-0000-0000E01C0000}"/>
    <cellStyle name="Normal 17 2 42" xfId="5246" xr:uid="{00000000-0005-0000-0000-0000E11C0000}"/>
    <cellStyle name="Normal 17 2 42 2" xfId="17286" xr:uid="{00000000-0005-0000-0000-0000E21C0000}"/>
    <cellStyle name="Normal 17 2 43" xfId="5247" xr:uid="{00000000-0005-0000-0000-0000E31C0000}"/>
    <cellStyle name="Normal 17 2 43 2" xfId="17287" xr:uid="{00000000-0005-0000-0000-0000E41C0000}"/>
    <cellStyle name="Normal 17 2 44" xfId="5248" xr:uid="{00000000-0005-0000-0000-0000E51C0000}"/>
    <cellStyle name="Normal 17 2 44 2" xfId="17288" xr:uid="{00000000-0005-0000-0000-0000E61C0000}"/>
    <cellStyle name="Normal 17 2 45" xfId="5249" xr:uid="{00000000-0005-0000-0000-0000E71C0000}"/>
    <cellStyle name="Normal 17 2 45 2" xfId="17289" xr:uid="{00000000-0005-0000-0000-0000E81C0000}"/>
    <cellStyle name="Normal 17 2 46" xfId="5250" xr:uid="{00000000-0005-0000-0000-0000E91C0000}"/>
    <cellStyle name="Normal 17 2 46 2" xfId="17290" xr:uid="{00000000-0005-0000-0000-0000EA1C0000}"/>
    <cellStyle name="Normal 17 2 47" xfId="5251" xr:uid="{00000000-0005-0000-0000-0000EB1C0000}"/>
    <cellStyle name="Normal 17 2 47 2" xfId="17291" xr:uid="{00000000-0005-0000-0000-0000EC1C0000}"/>
    <cellStyle name="Normal 17 2 48" xfId="5252" xr:uid="{00000000-0005-0000-0000-0000ED1C0000}"/>
    <cellStyle name="Normal 17 2 48 2" xfId="17292" xr:uid="{00000000-0005-0000-0000-0000EE1C0000}"/>
    <cellStyle name="Normal 17 2 49" xfId="5253" xr:uid="{00000000-0005-0000-0000-0000EF1C0000}"/>
    <cellStyle name="Normal 17 2 49 2" xfId="17293" xr:uid="{00000000-0005-0000-0000-0000F01C0000}"/>
    <cellStyle name="Normal 17 2 5" xfId="5254" xr:uid="{00000000-0005-0000-0000-0000F11C0000}"/>
    <cellStyle name="Normal 17 2 5 2" xfId="17294" xr:uid="{00000000-0005-0000-0000-0000F21C0000}"/>
    <cellStyle name="Normal 17 2 50" xfId="5255" xr:uid="{00000000-0005-0000-0000-0000F31C0000}"/>
    <cellStyle name="Normal 17 2 50 2" xfId="17295" xr:uid="{00000000-0005-0000-0000-0000F41C0000}"/>
    <cellStyle name="Normal 17 2 51" xfId="5256" xr:uid="{00000000-0005-0000-0000-0000F51C0000}"/>
    <cellStyle name="Normal 17 2 51 2" xfId="17296" xr:uid="{00000000-0005-0000-0000-0000F61C0000}"/>
    <cellStyle name="Normal 17 2 52" xfId="5257" xr:uid="{00000000-0005-0000-0000-0000F71C0000}"/>
    <cellStyle name="Normal 17 2 52 2" xfId="17297" xr:uid="{00000000-0005-0000-0000-0000F81C0000}"/>
    <cellStyle name="Normal 17 2 53" xfId="5258" xr:uid="{00000000-0005-0000-0000-0000F91C0000}"/>
    <cellStyle name="Normal 17 2 53 2" xfId="17298" xr:uid="{00000000-0005-0000-0000-0000FA1C0000}"/>
    <cellStyle name="Normal 17 2 54" xfId="5259" xr:uid="{00000000-0005-0000-0000-0000FB1C0000}"/>
    <cellStyle name="Normal 17 2 54 2" xfId="17299" xr:uid="{00000000-0005-0000-0000-0000FC1C0000}"/>
    <cellStyle name="Normal 17 2 55" xfId="5260" xr:uid="{00000000-0005-0000-0000-0000FD1C0000}"/>
    <cellStyle name="Normal 17 2 55 2" xfId="17300" xr:uid="{00000000-0005-0000-0000-0000FE1C0000}"/>
    <cellStyle name="Normal 17 2 56" xfId="5261" xr:uid="{00000000-0005-0000-0000-0000FF1C0000}"/>
    <cellStyle name="Normal 17 2 56 2" xfId="17301" xr:uid="{00000000-0005-0000-0000-0000001D0000}"/>
    <cellStyle name="Normal 17 2 57" xfId="5262" xr:uid="{00000000-0005-0000-0000-0000011D0000}"/>
    <cellStyle name="Normal 17 2 57 2" xfId="17302" xr:uid="{00000000-0005-0000-0000-0000021D0000}"/>
    <cellStyle name="Normal 17 2 58" xfId="5263" xr:uid="{00000000-0005-0000-0000-0000031D0000}"/>
    <cellStyle name="Normal 17 2 58 2" xfId="17303" xr:uid="{00000000-0005-0000-0000-0000041D0000}"/>
    <cellStyle name="Normal 17 2 59" xfId="5264" xr:uid="{00000000-0005-0000-0000-0000051D0000}"/>
    <cellStyle name="Normal 17 2 59 2" xfId="17304" xr:uid="{00000000-0005-0000-0000-0000061D0000}"/>
    <cellStyle name="Normal 17 2 6" xfId="5265" xr:uid="{00000000-0005-0000-0000-0000071D0000}"/>
    <cellStyle name="Normal 17 2 6 2" xfId="17305" xr:uid="{00000000-0005-0000-0000-0000081D0000}"/>
    <cellStyle name="Normal 17 2 60" xfId="5266" xr:uid="{00000000-0005-0000-0000-0000091D0000}"/>
    <cellStyle name="Normal 17 2 60 2" xfId="17306" xr:uid="{00000000-0005-0000-0000-00000A1D0000}"/>
    <cellStyle name="Normal 17 2 61" xfId="5267" xr:uid="{00000000-0005-0000-0000-00000B1D0000}"/>
    <cellStyle name="Normal 17 2 61 2" xfId="17307" xr:uid="{00000000-0005-0000-0000-00000C1D0000}"/>
    <cellStyle name="Normal 17 2 62" xfId="5268" xr:uid="{00000000-0005-0000-0000-00000D1D0000}"/>
    <cellStyle name="Normal 17 2 62 2" xfId="17308" xr:uid="{00000000-0005-0000-0000-00000E1D0000}"/>
    <cellStyle name="Normal 17 2 63" xfId="5269" xr:uid="{00000000-0005-0000-0000-00000F1D0000}"/>
    <cellStyle name="Normal 17 2 63 2" xfId="17309" xr:uid="{00000000-0005-0000-0000-0000101D0000}"/>
    <cellStyle name="Normal 17 2 64" xfId="5270" xr:uid="{00000000-0005-0000-0000-0000111D0000}"/>
    <cellStyle name="Normal 17 2 64 2" xfId="17310" xr:uid="{00000000-0005-0000-0000-0000121D0000}"/>
    <cellStyle name="Normal 17 2 65" xfId="5271" xr:uid="{00000000-0005-0000-0000-0000131D0000}"/>
    <cellStyle name="Normal 17 2 65 2" xfId="17311" xr:uid="{00000000-0005-0000-0000-0000141D0000}"/>
    <cellStyle name="Normal 17 2 66" xfId="5272" xr:uid="{00000000-0005-0000-0000-0000151D0000}"/>
    <cellStyle name="Normal 17 2 66 2" xfId="17312" xr:uid="{00000000-0005-0000-0000-0000161D0000}"/>
    <cellStyle name="Normal 17 2 67" xfId="5273" xr:uid="{00000000-0005-0000-0000-0000171D0000}"/>
    <cellStyle name="Normal 17 2 67 2" xfId="17313" xr:uid="{00000000-0005-0000-0000-0000181D0000}"/>
    <cellStyle name="Normal 17 2 68" xfId="5274" xr:uid="{00000000-0005-0000-0000-0000191D0000}"/>
    <cellStyle name="Normal 17 2 68 2" xfId="17314" xr:uid="{00000000-0005-0000-0000-00001A1D0000}"/>
    <cellStyle name="Normal 17 2 69" xfId="5275" xr:uid="{00000000-0005-0000-0000-00001B1D0000}"/>
    <cellStyle name="Normal 17 2 69 2" xfId="17315" xr:uid="{00000000-0005-0000-0000-00001C1D0000}"/>
    <cellStyle name="Normal 17 2 7" xfId="5276" xr:uid="{00000000-0005-0000-0000-00001D1D0000}"/>
    <cellStyle name="Normal 17 2 7 2" xfId="17316" xr:uid="{00000000-0005-0000-0000-00001E1D0000}"/>
    <cellStyle name="Normal 17 2 70" xfId="5277" xr:uid="{00000000-0005-0000-0000-00001F1D0000}"/>
    <cellStyle name="Normal 17 2 70 2" xfId="17317" xr:uid="{00000000-0005-0000-0000-0000201D0000}"/>
    <cellStyle name="Normal 17 2 71" xfId="5278" xr:uid="{00000000-0005-0000-0000-0000211D0000}"/>
    <cellStyle name="Normal 17 2 71 2" xfId="17318" xr:uid="{00000000-0005-0000-0000-0000221D0000}"/>
    <cellStyle name="Normal 17 2 72" xfId="5279" xr:uid="{00000000-0005-0000-0000-0000231D0000}"/>
    <cellStyle name="Normal 17 2 72 2" xfId="17319" xr:uid="{00000000-0005-0000-0000-0000241D0000}"/>
    <cellStyle name="Normal 17 2 73" xfId="5280" xr:uid="{00000000-0005-0000-0000-0000251D0000}"/>
    <cellStyle name="Normal 17 2 73 2" xfId="17320" xr:uid="{00000000-0005-0000-0000-0000261D0000}"/>
    <cellStyle name="Normal 17 2 74" xfId="5281" xr:uid="{00000000-0005-0000-0000-0000271D0000}"/>
    <cellStyle name="Normal 17 2 74 2" xfId="17321" xr:uid="{00000000-0005-0000-0000-0000281D0000}"/>
    <cellStyle name="Normal 17 2 75" xfId="5282" xr:uid="{00000000-0005-0000-0000-0000291D0000}"/>
    <cellStyle name="Normal 17 2 75 2" xfId="17322" xr:uid="{00000000-0005-0000-0000-00002A1D0000}"/>
    <cellStyle name="Normal 17 2 76" xfId="5283" xr:uid="{00000000-0005-0000-0000-00002B1D0000}"/>
    <cellStyle name="Normal 17 2 76 2" xfId="17323" xr:uid="{00000000-0005-0000-0000-00002C1D0000}"/>
    <cellStyle name="Normal 17 2 77" xfId="5284" xr:uid="{00000000-0005-0000-0000-00002D1D0000}"/>
    <cellStyle name="Normal 17 2 77 2" xfId="17324" xr:uid="{00000000-0005-0000-0000-00002E1D0000}"/>
    <cellStyle name="Normal 17 2 78" xfId="5285" xr:uid="{00000000-0005-0000-0000-00002F1D0000}"/>
    <cellStyle name="Normal 17 2 78 2" xfId="17325" xr:uid="{00000000-0005-0000-0000-0000301D0000}"/>
    <cellStyle name="Normal 17 2 79" xfId="5286" xr:uid="{00000000-0005-0000-0000-0000311D0000}"/>
    <cellStyle name="Normal 17 2 79 2" xfId="17326" xr:uid="{00000000-0005-0000-0000-0000321D0000}"/>
    <cellStyle name="Normal 17 2 8" xfId="5287" xr:uid="{00000000-0005-0000-0000-0000331D0000}"/>
    <cellStyle name="Normal 17 2 8 2" xfId="17327" xr:uid="{00000000-0005-0000-0000-0000341D0000}"/>
    <cellStyle name="Normal 17 2 80" xfId="17250" xr:uid="{00000000-0005-0000-0000-0000351D0000}"/>
    <cellStyle name="Normal 17 2 9" xfId="5288" xr:uid="{00000000-0005-0000-0000-0000361D0000}"/>
    <cellStyle name="Normal 17 2 9 2" xfId="17328" xr:uid="{00000000-0005-0000-0000-0000371D0000}"/>
    <cellStyle name="Normal 17 20" xfId="5289" xr:uid="{00000000-0005-0000-0000-0000381D0000}"/>
    <cellStyle name="Normal 17 20 2" xfId="17329" xr:uid="{00000000-0005-0000-0000-0000391D0000}"/>
    <cellStyle name="Normal 17 21" xfId="5290" xr:uid="{00000000-0005-0000-0000-00003A1D0000}"/>
    <cellStyle name="Normal 17 21 2" xfId="17330" xr:uid="{00000000-0005-0000-0000-00003B1D0000}"/>
    <cellStyle name="Normal 17 22" xfId="5291" xr:uid="{00000000-0005-0000-0000-00003C1D0000}"/>
    <cellStyle name="Normal 17 22 2" xfId="17331" xr:uid="{00000000-0005-0000-0000-00003D1D0000}"/>
    <cellStyle name="Normal 17 23" xfId="5292" xr:uid="{00000000-0005-0000-0000-00003E1D0000}"/>
    <cellStyle name="Normal 17 23 2" xfId="17332" xr:uid="{00000000-0005-0000-0000-00003F1D0000}"/>
    <cellStyle name="Normal 17 24" xfId="5293" xr:uid="{00000000-0005-0000-0000-0000401D0000}"/>
    <cellStyle name="Normal 17 24 2" xfId="17333" xr:uid="{00000000-0005-0000-0000-0000411D0000}"/>
    <cellStyle name="Normal 17 25" xfId="5294" xr:uid="{00000000-0005-0000-0000-0000421D0000}"/>
    <cellStyle name="Normal 17 25 2" xfId="17334" xr:uid="{00000000-0005-0000-0000-0000431D0000}"/>
    <cellStyle name="Normal 17 26" xfId="5295" xr:uid="{00000000-0005-0000-0000-0000441D0000}"/>
    <cellStyle name="Normal 17 26 2" xfId="17335" xr:uid="{00000000-0005-0000-0000-0000451D0000}"/>
    <cellStyle name="Normal 17 27" xfId="5296" xr:uid="{00000000-0005-0000-0000-0000461D0000}"/>
    <cellStyle name="Normal 17 27 2" xfId="17336" xr:uid="{00000000-0005-0000-0000-0000471D0000}"/>
    <cellStyle name="Normal 17 28" xfId="5297" xr:uid="{00000000-0005-0000-0000-0000481D0000}"/>
    <cellStyle name="Normal 17 28 2" xfId="17337" xr:uid="{00000000-0005-0000-0000-0000491D0000}"/>
    <cellStyle name="Normal 17 29" xfId="5298" xr:uid="{00000000-0005-0000-0000-00004A1D0000}"/>
    <cellStyle name="Normal 17 29 2" xfId="17338" xr:uid="{00000000-0005-0000-0000-00004B1D0000}"/>
    <cellStyle name="Normal 17 3" xfId="5299" xr:uid="{00000000-0005-0000-0000-00004C1D0000}"/>
    <cellStyle name="Normal 17 3 10" xfId="5300" xr:uid="{00000000-0005-0000-0000-00004D1D0000}"/>
    <cellStyle name="Normal 17 3 10 2" xfId="17340" xr:uid="{00000000-0005-0000-0000-00004E1D0000}"/>
    <cellStyle name="Normal 17 3 11" xfId="5301" xr:uid="{00000000-0005-0000-0000-00004F1D0000}"/>
    <cellStyle name="Normal 17 3 11 2" xfId="17341" xr:uid="{00000000-0005-0000-0000-0000501D0000}"/>
    <cellStyle name="Normal 17 3 12" xfId="5302" xr:uid="{00000000-0005-0000-0000-0000511D0000}"/>
    <cellStyle name="Normal 17 3 12 2" xfId="17342" xr:uid="{00000000-0005-0000-0000-0000521D0000}"/>
    <cellStyle name="Normal 17 3 13" xfId="5303" xr:uid="{00000000-0005-0000-0000-0000531D0000}"/>
    <cellStyle name="Normal 17 3 13 2" xfId="17343" xr:uid="{00000000-0005-0000-0000-0000541D0000}"/>
    <cellStyle name="Normal 17 3 14" xfId="5304" xr:uid="{00000000-0005-0000-0000-0000551D0000}"/>
    <cellStyle name="Normal 17 3 14 2" xfId="17344" xr:uid="{00000000-0005-0000-0000-0000561D0000}"/>
    <cellStyle name="Normal 17 3 15" xfId="5305" xr:uid="{00000000-0005-0000-0000-0000571D0000}"/>
    <cellStyle name="Normal 17 3 15 2" xfId="17345" xr:uid="{00000000-0005-0000-0000-0000581D0000}"/>
    <cellStyle name="Normal 17 3 16" xfId="5306" xr:uid="{00000000-0005-0000-0000-0000591D0000}"/>
    <cellStyle name="Normal 17 3 16 2" xfId="17346" xr:uid="{00000000-0005-0000-0000-00005A1D0000}"/>
    <cellStyle name="Normal 17 3 17" xfId="5307" xr:uid="{00000000-0005-0000-0000-00005B1D0000}"/>
    <cellStyle name="Normal 17 3 17 2" xfId="17347" xr:uid="{00000000-0005-0000-0000-00005C1D0000}"/>
    <cellStyle name="Normal 17 3 18" xfId="5308" xr:uid="{00000000-0005-0000-0000-00005D1D0000}"/>
    <cellStyle name="Normal 17 3 18 2" xfId="17348" xr:uid="{00000000-0005-0000-0000-00005E1D0000}"/>
    <cellStyle name="Normal 17 3 19" xfId="5309" xr:uid="{00000000-0005-0000-0000-00005F1D0000}"/>
    <cellStyle name="Normal 17 3 19 2" xfId="17349" xr:uid="{00000000-0005-0000-0000-0000601D0000}"/>
    <cellStyle name="Normal 17 3 2" xfId="5310" xr:uid="{00000000-0005-0000-0000-0000611D0000}"/>
    <cellStyle name="Normal 17 3 2 2" xfId="17350" xr:uid="{00000000-0005-0000-0000-0000621D0000}"/>
    <cellStyle name="Normal 17 3 20" xfId="5311" xr:uid="{00000000-0005-0000-0000-0000631D0000}"/>
    <cellStyle name="Normal 17 3 20 2" xfId="17351" xr:uid="{00000000-0005-0000-0000-0000641D0000}"/>
    <cellStyle name="Normal 17 3 21" xfId="5312" xr:uid="{00000000-0005-0000-0000-0000651D0000}"/>
    <cellStyle name="Normal 17 3 21 2" xfId="17352" xr:uid="{00000000-0005-0000-0000-0000661D0000}"/>
    <cellStyle name="Normal 17 3 22" xfId="5313" xr:uid="{00000000-0005-0000-0000-0000671D0000}"/>
    <cellStyle name="Normal 17 3 22 2" xfId="17353" xr:uid="{00000000-0005-0000-0000-0000681D0000}"/>
    <cellStyle name="Normal 17 3 23" xfId="5314" xr:uid="{00000000-0005-0000-0000-0000691D0000}"/>
    <cellStyle name="Normal 17 3 23 2" xfId="17354" xr:uid="{00000000-0005-0000-0000-00006A1D0000}"/>
    <cellStyle name="Normal 17 3 24" xfId="5315" xr:uid="{00000000-0005-0000-0000-00006B1D0000}"/>
    <cellStyle name="Normal 17 3 24 2" xfId="17355" xr:uid="{00000000-0005-0000-0000-00006C1D0000}"/>
    <cellStyle name="Normal 17 3 25" xfId="5316" xr:uid="{00000000-0005-0000-0000-00006D1D0000}"/>
    <cellStyle name="Normal 17 3 25 2" xfId="17356" xr:uid="{00000000-0005-0000-0000-00006E1D0000}"/>
    <cellStyle name="Normal 17 3 26" xfId="5317" xr:uid="{00000000-0005-0000-0000-00006F1D0000}"/>
    <cellStyle name="Normal 17 3 26 2" xfId="17357" xr:uid="{00000000-0005-0000-0000-0000701D0000}"/>
    <cellStyle name="Normal 17 3 27" xfId="5318" xr:uid="{00000000-0005-0000-0000-0000711D0000}"/>
    <cellStyle name="Normal 17 3 27 2" xfId="17358" xr:uid="{00000000-0005-0000-0000-0000721D0000}"/>
    <cellStyle name="Normal 17 3 28" xfId="5319" xr:uid="{00000000-0005-0000-0000-0000731D0000}"/>
    <cellStyle name="Normal 17 3 28 2" xfId="17359" xr:uid="{00000000-0005-0000-0000-0000741D0000}"/>
    <cellStyle name="Normal 17 3 29" xfId="5320" xr:uid="{00000000-0005-0000-0000-0000751D0000}"/>
    <cellStyle name="Normal 17 3 29 2" xfId="17360" xr:uid="{00000000-0005-0000-0000-0000761D0000}"/>
    <cellStyle name="Normal 17 3 3" xfId="5321" xr:uid="{00000000-0005-0000-0000-0000771D0000}"/>
    <cellStyle name="Normal 17 3 3 2" xfId="17361" xr:uid="{00000000-0005-0000-0000-0000781D0000}"/>
    <cellStyle name="Normal 17 3 30" xfId="5322" xr:uid="{00000000-0005-0000-0000-0000791D0000}"/>
    <cellStyle name="Normal 17 3 30 2" xfId="17362" xr:uid="{00000000-0005-0000-0000-00007A1D0000}"/>
    <cellStyle name="Normal 17 3 31" xfId="5323" xr:uid="{00000000-0005-0000-0000-00007B1D0000}"/>
    <cellStyle name="Normal 17 3 31 2" xfId="17363" xr:uid="{00000000-0005-0000-0000-00007C1D0000}"/>
    <cellStyle name="Normal 17 3 32" xfId="5324" xr:uid="{00000000-0005-0000-0000-00007D1D0000}"/>
    <cellStyle name="Normal 17 3 32 2" xfId="17364" xr:uid="{00000000-0005-0000-0000-00007E1D0000}"/>
    <cellStyle name="Normal 17 3 33" xfId="5325" xr:uid="{00000000-0005-0000-0000-00007F1D0000}"/>
    <cellStyle name="Normal 17 3 33 2" xfId="17365" xr:uid="{00000000-0005-0000-0000-0000801D0000}"/>
    <cellStyle name="Normal 17 3 34" xfId="5326" xr:uid="{00000000-0005-0000-0000-0000811D0000}"/>
    <cellStyle name="Normal 17 3 34 2" xfId="17366" xr:uid="{00000000-0005-0000-0000-0000821D0000}"/>
    <cellStyle name="Normal 17 3 35" xfId="5327" xr:uid="{00000000-0005-0000-0000-0000831D0000}"/>
    <cellStyle name="Normal 17 3 35 2" xfId="17367" xr:uid="{00000000-0005-0000-0000-0000841D0000}"/>
    <cellStyle name="Normal 17 3 36" xfId="5328" xr:uid="{00000000-0005-0000-0000-0000851D0000}"/>
    <cellStyle name="Normal 17 3 36 2" xfId="17368" xr:uid="{00000000-0005-0000-0000-0000861D0000}"/>
    <cellStyle name="Normal 17 3 37" xfId="5329" xr:uid="{00000000-0005-0000-0000-0000871D0000}"/>
    <cellStyle name="Normal 17 3 37 2" xfId="17369" xr:uid="{00000000-0005-0000-0000-0000881D0000}"/>
    <cellStyle name="Normal 17 3 38" xfId="5330" xr:uid="{00000000-0005-0000-0000-0000891D0000}"/>
    <cellStyle name="Normal 17 3 38 2" xfId="17370" xr:uid="{00000000-0005-0000-0000-00008A1D0000}"/>
    <cellStyle name="Normal 17 3 39" xfId="5331" xr:uid="{00000000-0005-0000-0000-00008B1D0000}"/>
    <cellStyle name="Normal 17 3 39 2" xfId="17371" xr:uid="{00000000-0005-0000-0000-00008C1D0000}"/>
    <cellStyle name="Normal 17 3 4" xfId="5332" xr:uid="{00000000-0005-0000-0000-00008D1D0000}"/>
    <cellStyle name="Normal 17 3 4 2" xfId="17372" xr:uid="{00000000-0005-0000-0000-00008E1D0000}"/>
    <cellStyle name="Normal 17 3 40" xfId="5333" xr:uid="{00000000-0005-0000-0000-00008F1D0000}"/>
    <cellStyle name="Normal 17 3 40 2" xfId="17373" xr:uid="{00000000-0005-0000-0000-0000901D0000}"/>
    <cellStyle name="Normal 17 3 41" xfId="5334" xr:uid="{00000000-0005-0000-0000-0000911D0000}"/>
    <cellStyle name="Normal 17 3 41 2" xfId="17374" xr:uid="{00000000-0005-0000-0000-0000921D0000}"/>
    <cellStyle name="Normal 17 3 42" xfId="5335" xr:uid="{00000000-0005-0000-0000-0000931D0000}"/>
    <cellStyle name="Normal 17 3 42 2" xfId="17375" xr:uid="{00000000-0005-0000-0000-0000941D0000}"/>
    <cellStyle name="Normal 17 3 43" xfId="5336" xr:uid="{00000000-0005-0000-0000-0000951D0000}"/>
    <cellStyle name="Normal 17 3 43 2" xfId="17376" xr:uid="{00000000-0005-0000-0000-0000961D0000}"/>
    <cellStyle name="Normal 17 3 44" xfId="5337" xr:uid="{00000000-0005-0000-0000-0000971D0000}"/>
    <cellStyle name="Normal 17 3 44 2" xfId="17377" xr:uid="{00000000-0005-0000-0000-0000981D0000}"/>
    <cellStyle name="Normal 17 3 45" xfId="5338" xr:uid="{00000000-0005-0000-0000-0000991D0000}"/>
    <cellStyle name="Normal 17 3 45 2" xfId="17378" xr:uid="{00000000-0005-0000-0000-00009A1D0000}"/>
    <cellStyle name="Normal 17 3 46" xfId="5339" xr:uid="{00000000-0005-0000-0000-00009B1D0000}"/>
    <cellStyle name="Normal 17 3 46 2" xfId="17379" xr:uid="{00000000-0005-0000-0000-00009C1D0000}"/>
    <cellStyle name="Normal 17 3 47" xfId="5340" xr:uid="{00000000-0005-0000-0000-00009D1D0000}"/>
    <cellStyle name="Normal 17 3 47 2" xfId="17380" xr:uid="{00000000-0005-0000-0000-00009E1D0000}"/>
    <cellStyle name="Normal 17 3 48" xfId="5341" xr:uid="{00000000-0005-0000-0000-00009F1D0000}"/>
    <cellStyle name="Normal 17 3 48 2" xfId="17381" xr:uid="{00000000-0005-0000-0000-0000A01D0000}"/>
    <cellStyle name="Normal 17 3 49" xfId="5342" xr:uid="{00000000-0005-0000-0000-0000A11D0000}"/>
    <cellStyle name="Normal 17 3 49 2" xfId="17382" xr:uid="{00000000-0005-0000-0000-0000A21D0000}"/>
    <cellStyle name="Normal 17 3 5" xfId="5343" xr:uid="{00000000-0005-0000-0000-0000A31D0000}"/>
    <cellStyle name="Normal 17 3 5 2" xfId="17383" xr:uid="{00000000-0005-0000-0000-0000A41D0000}"/>
    <cellStyle name="Normal 17 3 50" xfId="5344" xr:uid="{00000000-0005-0000-0000-0000A51D0000}"/>
    <cellStyle name="Normal 17 3 50 2" xfId="17384" xr:uid="{00000000-0005-0000-0000-0000A61D0000}"/>
    <cellStyle name="Normal 17 3 51" xfId="5345" xr:uid="{00000000-0005-0000-0000-0000A71D0000}"/>
    <cellStyle name="Normal 17 3 51 2" xfId="17385" xr:uid="{00000000-0005-0000-0000-0000A81D0000}"/>
    <cellStyle name="Normal 17 3 52" xfId="5346" xr:uid="{00000000-0005-0000-0000-0000A91D0000}"/>
    <cellStyle name="Normal 17 3 52 2" xfId="17386" xr:uid="{00000000-0005-0000-0000-0000AA1D0000}"/>
    <cellStyle name="Normal 17 3 53" xfId="5347" xr:uid="{00000000-0005-0000-0000-0000AB1D0000}"/>
    <cellStyle name="Normal 17 3 53 2" xfId="17387" xr:uid="{00000000-0005-0000-0000-0000AC1D0000}"/>
    <cellStyle name="Normal 17 3 54" xfId="5348" xr:uid="{00000000-0005-0000-0000-0000AD1D0000}"/>
    <cellStyle name="Normal 17 3 54 2" xfId="17388" xr:uid="{00000000-0005-0000-0000-0000AE1D0000}"/>
    <cellStyle name="Normal 17 3 55" xfId="5349" xr:uid="{00000000-0005-0000-0000-0000AF1D0000}"/>
    <cellStyle name="Normal 17 3 55 2" xfId="17389" xr:uid="{00000000-0005-0000-0000-0000B01D0000}"/>
    <cellStyle name="Normal 17 3 56" xfId="5350" xr:uid="{00000000-0005-0000-0000-0000B11D0000}"/>
    <cellStyle name="Normal 17 3 56 2" xfId="17390" xr:uid="{00000000-0005-0000-0000-0000B21D0000}"/>
    <cellStyle name="Normal 17 3 57" xfId="5351" xr:uid="{00000000-0005-0000-0000-0000B31D0000}"/>
    <cellStyle name="Normal 17 3 57 2" xfId="17391" xr:uid="{00000000-0005-0000-0000-0000B41D0000}"/>
    <cellStyle name="Normal 17 3 58" xfId="5352" xr:uid="{00000000-0005-0000-0000-0000B51D0000}"/>
    <cellStyle name="Normal 17 3 58 2" xfId="17392" xr:uid="{00000000-0005-0000-0000-0000B61D0000}"/>
    <cellStyle name="Normal 17 3 59" xfId="5353" xr:uid="{00000000-0005-0000-0000-0000B71D0000}"/>
    <cellStyle name="Normal 17 3 59 2" xfId="17393" xr:uid="{00000000-0005-0000-0000-0000B81D0000}"/>
    <cellStyle name="Normal 17 3 6" xfId="5354" xr:uid="{00000000-0005-0000-0000-0000B91D0000}"/>
    <cellStyle name="Normal 17 3 6 2" xfId="17394" xr:uid="{00000000-0005-0000-0000-0000BA1D0000}"/>
    <cellStyle name="Normal 17 3 60" xfId="5355" xr:uid="{00000000-0005-0000-0000-0000BB1D0000}"/>
    <cellStyle name="Normal 17 3 60 2" xfId="17395" xr:uid="{00000000-0005-0000-0000-0000BC1D0000}"/>
    <cellStyle name="Normal 17 3 61" xfId="5356" xr:uid="{00000000-0005-0000-0000-0000BD1D0000}"/>
    <cellStyle name="Normal 17 3 61 2" xfId="17396" xr:uid="{00000000-0005-0000-0000-0000BE1D0000}"/>
    <cellStyle name="Normal 17 3 62" xfId="5357" xr:uid="{00000000-0005-0000-0000-0000BF1D0000}"/>
    <cellStyle name="Normal 17 3 62 2" xfId="17397" xr:uid="{00000000-0005-0000-0000-0000C01D0000}"/>
    <cellStyle name="Normal 17 3 63" xfId="5358" xr:uid="{00000000-0005-0000-0000-0000C11D0000}"/>
    <cellStyle name="Normal 17 3 63 2" xfId="17398" xr:uid="{00000000-0005-0000-0000-0000C21D0000}"/>
    <cellStyle name="Normal 17 3 64" xfId="5359" xr:uid="{00000000-0005-0000-0000-0000C31D0000}"/>
    <cellStyle name="Normal 17 3 64 2" xfId="17399" xr:uid="{00000000-0005-0000-0000-0000C41D0000}"/>
    <cellStyle name="Normal 17 3 65" xfId="5360" xr:uid="{00000000-0005-0000-0000-0000C51D0000}"/>
    <cellStyle name="Normal 17 3 65 2" xfId="17400" xr:uid="{00000000-0005-0000-0000-0000C61D0000}"/>
    <cellStyle name="Normal 17 3 66" xfId="5361" xr:uid="{00000000-0005-0000-0000-0000C71D0000}"/>
    <cellStyle name="Normal 17 3 66 2" xfId="17401" xr:uid="{00000000-0005-0000-0000-0000C81D0000}"/>
    <cellStyle name="Normal 17 3 67" xfId="5362" xr:uid="{00000000-0005-0000-0000-0000C91D0000}"/>
    <cellStyle name="Normal 17 3 67 2" xfId="17402" xr:uid="{00000000-0005-0000-0000-0000CA1D0000}"/>
    <cellStyle name="Normal 17 3 68" xfId="5363" xr:uid="{00000000-0005-0000-0000-0000CB1D0000}"/>
    <cellStyle name="Normal 17 3 68 2" xfId="17403" xr:uid="{00000000-0005-0000-0000-0000CC1D0000}"/>
    <cellStyle name="Normal 17 3 69" xfId="5364" xr:uid="{00000000-0005-0000-0000-0000CD1D0000}"/>
    <cellStyle name="Normal 17 3 69 2" xfId="17404" xr:uid="{00000000-0005-0000-0000-0000CE1D0000}"/>
    <cellStyle name="Normal 17 3 7" xfId="5365" xr:uid="{00000000-0005-0000-0000-0000CF1D0000}"/>
    <cellStyle name="Normal 17 3 7 2" xfId="17405" xr:uid="{00000000-0005-0000-0000-0000D01D0000}"/>
    <cellStyle name="Normal 17 3 70" xfId="5366" xr:uid="{00000000-0005-0000-0000-0000D11D0000}"/>
    <cellStyle name="Normal 17 3 70 2" xfId="17406" xr:uid="{00000000-0005-0000-0000-0000D21D0000}"/>
    <cellStyle name="Normal 17 3 71" xfId="5367" xr:uid="{00000000-0005-0000-0000-0000D31D0000}"/>
    <cellStyle name="Normal 17 3 71 2" xfId="17407" xr:uid="{00000000-0005-0000-0000-0000D41D0000}"/>
    <cellStyle name="Normal 17 3 72" xfId="5368" xr:uid="{00000000-0005-0000-0000-0000D51D0000}"/>
    <cellStyle name="Normal 17 3 72 2" xfId="17408" xr:uid="{00000000-0005-0000-0000-0000D61D0000}"/>
    <cellStyle name="Normal 17 3 73" xfId="5369" xr:uid="{00000000-0005-0000-0000-0000D71D0000}"/>
    <cellStyle name="Normal 17 3 73 2" xfId="17409" xr:uid="{00000000-0005-0000-0000-0000D81D0000}"/>
    <cellStyle name="Normal 17 3 74" xfId="5370" xr:uid="{00000000-0005-0000-0000-0000D91D0000}"/>
    <cellStyle name="Normal 17 3 74 2" xfId="17410" xr:uid="{00000000-0005-0000-0000-0000DA1D0000}"/>
    <cellStyle name="Normal 17 3 75" xfId="5371" xr:uid="{00000000-0005-0000-0000-0000DB1D0000}"/>
    <cellStyle name="Normal 17 3 75 2" xfId="17411" xr:uid="{00000000-0005-0000-0000-0000DC1D0000}"/>
    <cellStyle name="Normal 17 3 76" xfId="5372" xr:uid="{00000000-0005-0000-0000-0000DD1D0000}"/>
    <cellStyle name="Normal 17 3 76 2" xfId="17412" xr:uid="{00000000-0005-0000-0000-0000DE1D0000}"/>
    <cellStyle name="Normal 17 3 77" xfId="5373" xr:uid="{00000000-0005-0000-0000-0000DF1D0000}"/>
    <cellStyle name="Normal 17 3 77 2" xfId="17413" xr:uid="{00000000-0005-0000-0000-0000E01D0000}"/>
    <cellStyle name="Normal 17 3 78" xfId="5374" xr:uid="{00000000-0005-0000-0000-0000E11D0000}"/>
    <cellStyle name="Normal 17 3 78 2" xfId="17414" xr:uid="{00000000-0005-0000-0000-0000E21D0000}"/>
    <cellStyle name="Normal 17 3 79" xfId="5375" xr:uid="{00000000-0005-0000-0000-0000E31D0000}"/>
    <cellStyle name="Normal 17 3 79 2" xfId="17415" xr:uid="{00000000-0005-0000-0000-0000E41D0000}"/>
    <cellStyle name="Normal 17 3 8" xfId="5376" xr:uid="{00000000-0005-0000-0000-0000E51D0000}"/>
    <cellStyle name="Normal 17 3 8 2" xfId="17416" xr:uid="{00000000-0005-0000-0000-0000E61D0000}"/>
    <cellStyle name="Normal 17 3 80" xfId="17339" xr:uid="{00000000-0005-0000-0000-0000E71D0000}"/>
    <cellStyle name="Normal 17 3 9" xfId="5377" xr:uid="{00000000-0005-0000-0000-0000E81D0000}"/>
    <cellStyle name="Normal 17 3 9 2" xfId="17417" xr:uid="{00000000-0005-0000-0000-0000E91D0000}"/>
    <cellStyle name="Normal 17 30" xfId="5378" xr:uid="{00000000-0005-0000-0000-0000EA1D0000}"/>
    <cellStyle name="Normal 17 30 2" xfId="17418" xr:uid="{00000000-0005-0000-0000-0000EB1D0000}"/>
    <cellStyle name="Normal 17 31" xfId="5379" xr:uid="{00000000-0005-0000-0000-0000EC1D0000}"/>
    <cellStyle name="Normal 17 31 2" xfId="17419" xr:uid="{00000000-0005-0000-0000-0000ED1D0000}"/>
    <cellStyle name="Normal 17 32" xfId="5380" xr:uid="{00000000-0005-0000-0000-0000EE1D0000}"/>
    <cellStyle name="Normal 17 32 2" xfId="17420" xr:uid="{00000000-0005-0000-0000-0000EF1D0000}"/>
    <cellStyle name="Normal 17 33" xfId="5381" xr:uid="{00000000-0005-0000-0000-0000F01D0000}"/>
    <cellStyle name="Normal 17 33 2" xfId="17421" xr:uid="{00000000-0005-0000-0000-0000F11D0000}"/>
    <cellStyle name="Normal 17 34" xfId="5382" xr:uid="{00000000-0005-0000-0000-0000F21D0000}"/>
    <cellStyle name="Normal 17 34 2" xfId="17422" xr:uid="{00000000-0005-0000-0000-0000F31D0000}"/>
    <cellStyle name="Normal 17 35" xfId="5383" xr:uid="{00000000-0005-0000-0000-0000F41D0000}"/>
    <cellStyle name="Normal 17 35 2" xfId="17423" xr:uid="{00000000-0005-0000-0000-0000F51D0000}"/>
    <cellStyle name="Normal 17 36" xfId="5384" xr:uid="{00000000-0005-0000-0000-0000F61D0000}"/>
    <cellStyle name="Normal 17 36 2" xfId="17424" xr:uid="{00000000-0005-0000-0000-0000F71D0000}"/>
    <cellStyle name="Normal 17 37" xfId="5385" xr:uid="{00000000-0005-0000-0000-0000F81D0000}"/>
    <cellStyle name="Normal 17 37 2" xfId="17425" xr:uid="{00000000-0005-0000-0000-0000F91D0000}"/>
    <cellStyle name="Normal 17 38" xfId="5386" xr:uid="{00000000-0005-0000-0000-0000FA1D0000}"/>
    <cellStyle name="Normal 17 38 2" xfId="17426" xr:uid="{00000000-0005-0000-0000-0000FB1D0000}"/>
    <cellStyle name="Normal 17 39" xfId="5387" xr:uid="{00000000-0005-0000-0000-0000FC1D0000}"/>
    <cellStyle name="Normal 17 39 2" xfId="17427" xr:uid="{00000000-0005-0000-0000-0000FD1D0000}"/>
    <cellStyle name="Normal 17 4" xfId="5388" xr:uid="{00000000-0005-0000-0000-0000FE1D0000}"/>
    <cellStyle name="Normal 17 4 10" xfId="5389" xr:uid="{00000000-0005-0000-0000-0000FF1D0000}"/>
    <cellStyle name="Normal 17 4 10 2" xfId="17429" xr:uid="{00000000-0005-0000-0000-0000001E0000}"/>
    <cellStyle name="Normal 17 4 11" xfId="5390" xr:uid="{00000000-0005-0000-0000-0000011E0000}"/>
    <cellStyle name="Normal 17 4 11 2" xfId="17430" xr:uid="{00000000-0005-0000-0000-0000021E0000}"/>
    <cellStyle name="Normal 17 4 12" xfId="5391" xr:uid="{00000000-0005-0000-0000-0000031E0000}"/>
    <cellStyle name="Normal 17 4 12 2" xfId="17431" xr:uid="{00000000-0005-0000-0000-0000041E0000}"/>
    <cellStyle name="Normal 17 4 13" xfId="5392" xr:uid="{00000000-0005-0000-0000-0000051E0000}"/>
    <cellStyle name="Normal 17 4 13 2" xfId="17432" xr:uid="{00000000-0005-0000-0000-0000061E0000}"/>
    <cellStyle name="Normal 17 4 14" xfId="5393" xr:uid="{00000000-0005-0000-0000-0000071E0000}"/>
    <cellStyle name="Normal 17 4 14 2" xfId="17433" xr:uid="{00000000-0005-0000-0000-0000081E0000}"/>
    <cellStyle name="Normal 17 4 15" xfId="5394" xr:uid="{00000000-0005-0000-0000-0000091E0000}"/>
    <cellStyle name="Normal 17 4 15 2" xfId="17434" xr:uid="{00000000-0005-0000-0000-00000A1E0000}"/>
    <cellStyle name="Normal 17 4 16" xfId="5395" xr:uid="{00000000-0005-0000-0000-00000B1E0000}"/>
    <cellStyle name="Normal 17 4 16 2" xfId="17435" xr:uid="{00000000-0005-0000-0000-00000C1E0000}"/>
    <cellStyle name="Normal 17 4 17" xfId="5396" xr:uid="{00000000-0005-0000-0000-00000D1E0000}"/>
    <cellStyle name="Normal 17 4 17 2" xfId="17436" xr:uid="{00000000-0005-0000-0000-00000E1E0000}"/>
    <cellStyle name="Normal 17 4 18" xfId="5397" xr:uid="{00000000-0005-0000-0000-00000F1E0000}"/>
    <cellStyle name="Normal 17 4 18 2" xfId="17437" xr:uid="{00000000-0005-0000-0000-0000101E0000}"/>
    <cellStyle name="Normal 17 4 19" xfId="5398" xr:uid="{00000000-0005-0000-0000-0000111E0000}"/>
    <cellStyle name="Normal 17 4 19 2" xfId="17438" xr:uid="{00000000-0005-0000-0000-0000121E0000}"/>
    <cellStyle name="Normal 17 4 2" xfId="5399" xr:uid="{00000000-0005-0000-0000-0000131E0000}"/>
    <cellStyle name="Normal 17 4 2 2" xfId="17439" xr:uid="{00000000-0005-0000-0000-0000141E0000}"/>
    <cellStyle name="Normal 17 4 20" xfId="5400" xr:uid="{00000000-0005-0000-0000-0000151E0000}"/>
    <cellStyle name="Normal 17 4 20 2" xfId="17440" xr:uid="{00000000-0005-0000-0000-0000161E0000}"/>
    <cellStyle name="Normal 17 4 21" xfId="5401" xr:uid="{00000000-0005-0000-0000-0000171E0000}"/>
    <cellStyle name="Normal 17 4 21 2" xfId="17441" xr:uid="{00000000-0005-0000-0000-0000181E0000}"/>
    <cellStyle name="Normal 17 4 22" xfId="5402" xr:uid="{00000000-0005-0000-0000-0000191E0000}"/>
    <cellStyle name="Normal 17 4 22 2" xfId="17442" xr:uid="{00000000-0005-0000-0000-00001A1E0000}"/>
    <cellStyle name="Normal 17 4 23" xfId="5403" xr:uid="{00000000-0005-0000-0000-00001B1E0000}"/>
    <cellStyle name="Normal 17 4 23 2" xfId="17443" xr:uid="{00000000-0005-0000-0000-00001C1E0000}"/>
    <cellStyle name="Normal 17 4 24" xfId="5404" xr:uid="{00000000-0005-0000-0000-00001D1E0000}"/>
    <cellStyle name="Normal 17 4 24 2" xfId="17444" xr:uid="{00000000-0005-0000-0000-00001E1E0000}"/>
    <cellStyle name="Normal 17 4 25" xfId="5405" xr:uid="{00000000-0005-0000-0000-00001F1E0000}"/>
    <cellStyle name="Normal 17 4 25 2" xfId="17445" xr:uid="{00000000-0005-0000-0000-0000201E0000}"/>
    <cellStyle name="Normal 17 4 26" xfId="5406" xr:uid="{00000000-0005-0000-0000-0000211E0000}"/>
    <cellStyle name="Normal 17 4 26 2" xfId="17446" xr:uid="{00000000-0005-0000-0000-0000221E0000}"/>
    <cellStyle name="Normal 17 4 27" xfId="5407" xr:uid="{00000000-0005-0000-0000-0000231E0000}"/>
    <cellStyle name="Normal 17 4 27 2" xfId="17447" xr:uid="{00000000-0005-0000-0000-0000241E0000}"/>
    <cellStyle name="Normal 17 4 28" xfId="5408" xr:uid="{00000000-0005-0000-0000-0000251E0000}"/>
    <cellStyle name="Normal 17 4 28 2" xfId="17448" xr:uid="{00000000-0005-0000-0000-0000261E0000}"/>
    <cellStyle name="Normal 17 4 29" xfId="5409" xr:uid="{00000000-0005-0000-0000-0000271E0000}"/>
    <cellStyle name="Normal 17 4 29 2" xfId="17449" xr:uid="{00000000-0005-0000-0000-0000281E0000}"/>
    <cellStyle name="Normal 17 4 3" xfId="5410" xr:uid="{00000000-0005-0000-0000-0000291E0000}"/>
    <cellStyle name="Normal 17 4 3 2" xfId="17450" xr:uid="{00000000-0005-0000-0000-00002A1E0000}"/>
    <cellStyle name="Normal 17 4 30" xfId="5411" xr:uid="{00000000-0005-0000-0000-00002B1E0000}"/>
    <cellStyle name="Normal 17 4 30 2" xfId="17451" xr:uid="{00000000-0005-0000-0000-00002C1E0000}"/>
    <cellStyle name="Normal 17 4 31" xfId="5412" xr:uid="{00000000-0005-0000-0000-00002D1E0000}"/>
    <cellStyle name="Normal 17 4 31 2" xfId="17452" xr:uid="{00000000-0005-0000-0000-00002E1E0000}"/>
    <cellStyle name="Normal 17 4 32" xfId="5413" xr:uid="{00000000-0005-0000-0000-00002F1E0000}"/>
    <cellStyle name="Normal 17 4 32 2" xfId="17453" xr:uid="{00000000-0005-0000-0000-0000301E0000}"/>
    <cellStyle name="Normal 17 4 33" xfId="5414" xr:uid="{00000000-0005-0000-0000-0000311E0000}"/>
    <cellStyle name="Normal 17 4 33 2" xfId="17454" xr:uid="{00000000-0005-0000-0000-0000321E0000}"/>
    <cellStyle name="Normal 17 4 34" xfId="5415" xr:uid="{00000000-0005-0000-0000-0000331E0000}"/>
    <cellStyle name="Normal 17 4 34 2" xfId="17455" xr:uid="{00000000-0005-0000-0000-0000341E0000}"/>
    <cellStyle name="Normal 17 4 35" xfId="5416" xr:uid="{00000000-0005-0000-0000-0000351E0000}"/>
    <cellStyle name="Normal 17 4 35 2" xfId="17456" xr:uid="{00000000-0005-0000-0000-0000361E0000}"/>
    <cellStyle name="Normal 17 4 36" xfId="5417" xr:uid="{00000000-0005-0000-0000-0000371E0000}"/>
    <cellStyle name="Normal 17 4 36 2" xfId="17457" xr:uid="{00000000-0005-0000-0000-0000381E0000}"/>
    <cellStyle name="Normal 17 4 37" xfId="5418" xr:uid="{00000000-0005-0000-0000-0000391E0000}"/>
    <cellStyle name="Normal 17 4 37 2" xfId="17458" xr:uid="{00000000-0005-0000-0000-00003A1E0000}"/>
    <cellStyle name="Normal 17 4 38" xfId="5419" xr:uid="{00000000-0005-0000-0000-00003B1E0000}"/>
    <cellStyle name="Normal 17 4 38 2" xfId="17459" xr:uid="{00000000-0005-0000-0000-00003C1E0000}"/>
    <cellStyle name="Normal 17 4 39" xfId="5420" xr:uid="{00000000-0005-0000-0000-00003D1E0000}"/>
    <cellStyle name="Normal 17 4 39 2" xfId="17460" xr:uid="{00000000-0005-0000-0000-00003E1E0000}"/>
    <cellStyle name="Normal 17 4 4" xfId="5421" xr:uid="{00000000-0005-0000-0000-00003F1E0000}"/>
    <cellStyle name="Normal 17 4 4 2" xfId="17461" xr:uid="{00000000-0005-0000-0000-0000401E0000}"/>
    <cellStyle name="Normal 17 4 40" xfId="5422" xr:uid="{00000000-0005-0000-0000-0000411E0000}"/>
    <cellStyle name="Normal 17 4 40 2" xfId="17462" xr:uid="{00000000-0005-0000-0000-0000421E0000}"/>
    <cellStyle name="Normal 17 4 41" xfId="5423" xr:uid="{00000000-0005-0000-0000-0000431E0000}"/>
    <cellStyle name="Normal 17 4 41 2" xfId="17463" xr:uid="{00000000-0005-0000-0000-0000441E0000}"/>
    <cellStyle name="Normal 17 4 42" xfId="5424" xr:uid="{00000000-0005-0000-0000-0000451E0000}"/>
    <cellStyle name="Normal 17 4 42 2" xfId="17464" xr:uid="{00000000-0005-0000-0000-0000461E0000}"/>
    <cellStyle name="Normal 17 4 43" xfId="5425" xr:uid="{00000000-0005-0000-0000-0000471E0000}"/>
    <cellStyle name="Normal 17 4 43 2" xfId="17465" xr:uid="{00000000-0005-0000-0000-0000481E0000}"/>
    <cellStyle name="Normal 17 4 44" xfId="5426" xr:uid="{00000000-0005-0000-0000-0000491E0000}"/>
    <cellStyle name="Normal 17 4 44 2" xfId="17466" xr:uid="{00000000-0005-0000-0000-00004A1E0000}"/>
    <cellStyle name="Normal 17 4 45" xfId="5427" xr:uid="{00000000-0005-0000-0000-00004B1E0000}"/>
    <cellStyle name="Normal 17 4 45 2" xfId="17467" xr:uid="{00000000-0005-0000-0000-00004C1E0000}"/>
    <cellStyle name="Normal 17 4 46" xfId="5428" xr:uid="{00000000-0005-0000-0000-00004D1E0000}"/>
    <cellStyle name="Normal 17 4 46 2" xfId="17468" xr:uid="{00000000-0005-0000-0000-00004E1E0000}"/>
    <cellStyle name="Normal 17 4 47" xfId="5429" xr:uid="{00000000-0005-0000-0000-00004F1E0000}"/>
    <cellStyle name="Normal 17 4 47 2" xfId="17469" xr:uid="{00000000-0005-0000-0000-0000501E0000}"/>
    <cellStyle name="Normal 17 4 48" xfId="5430" xr:uid="{00000000-0005-0000-0000-0000511E0000}"/>
    <cellStyle name="Normal 17 4 48 2" xfId="17470" xr:uid="{00000000-0005-0000-0000-0000521E0000}"/>
    <cellStyle name="Normal 17 4 49" xfId="5431" xr:uid="{00000000-0005-0000-0000-0000531E0000}"/>
    <cellStyle name="Normal 17 4 49 2" xfId="17471" xr:uid="{00000000-0005-0000-0000-0000541E0000}"/>
    <cellStyle name="Normal 17 4 5" xfId="5432" xr:uid="{00000000-0005-0000-0000-0000551E0000}"/>
    <cellStyle name="Normal 17 4 5 2" xfId="17472" xr:uid="{00000000-0005-0000-0000-0000561E0000}"/>
    <cellStyle name="Normal 17 4 50" xfId="5433" xr:uid="{00000000-0005-0000-0000-0000571E0000}"/>
    <cellStyle name="Normal 17 4 50 2" xfId="17473" xr:uid="{00000000-0005-0000-0000-0000581E0000}"/>
    <cellStyle name="Normal 17 4 51" xfId="5434" xr:uid="{00000000-0005-0000-0000-0000591E0000}"/>
    <cellStyle name="Normal 17 4 51 2" xfId="17474" xr:uid="{00000000-0005-0000-0000-00005A1E0000}"/>
    <cellStyle name="Normal 17 4 52" xfId="5435" xr:uid="{00000000-0005-0000-0000-00005B1E0000}"/>
    <cellStyle name="Normal 17 4 52 2" xfId="17475" xr:uid="{00000000-0005-0000-0000-00005C1E0000}"/>
    <cellStyle name="Normal 17 4 53" xfId="5436" xr:uid="{00000000-0005-0000-0000-00005D1E0000}"/>
    <cellStyle name="Normal 17 4 53 2" xfId="17476" xr:uid="{00000000-0005-0000-0000-00005E1E0000}"/>
    <cellStyle name="Normal 17 4 54" xfId="5437" xr:uid="{00000000-0005-0000-0000-00005F1E0000}"/>
    <cellStyle name="Normal 17 4 54 2" xfId="17477" xr:uid="{00000000-0005-0000-0000-0000601E0000}"/>
    <cellStyle name="Normal 17 4 55" xfId="5438" xr:uid="{00000000-0005-0000-0000-0000611E0000}"/>
    <cellStyle name="Normal 17 4 55 2" xfId="17478" xr:uid="{00000000-0005-0000-0000-0000621E0000}"/>
    <cellStyle name="Normal 17 4 56" xfId="5439" xr:uid="{00000000-0005-0000-0000-0000631E0000}"/>
    <cellStyle name="Normal 17 4 56 2" xfId="17479" xr:uid="{00000000-0005-0000-0000-0000641E0000}"/>
    <cellStyle name="Normal 17 4 57" xfId="5440" xr:uid="{00000000-0005-0000-0000-0000651E0000}"/>
    <cellStyle name="Normal 17 4 57 2" xfId="17480" xr:uid="{00000000-0005-0000-0000-0000661E0000}"/>
    <cellStyle name="Normal 17 4 58" xfId="5441" xr:uid="{00000000-0005-0000-0000-0000671E0000}"/>
    <cellStyle name="Normal 17 4 58 2" xfId="17481" xr:uid="{00000000-0005-0000-0000-0000681E0000}"/>
    <cellStyle name="Normal 17 4 59" xfId="5442" xr:uid="{00000000-0005-0000-0000-0000691E0000}"/>
    <cellStyle name="Normal 17 4 59 2" xfId="17482" xr:uid="{00000000-0005-0000-0000-00006A1E0000}"/>
    <cellStyle name="Normal 17 4 6" xfId="5443" xr:uid="{00000000-0005-0000-0000-00006B1E0000}"/>
    <cellStyle name="Normal 17 4 6 2" xfId="17483" xr:uid="{00000000-0005-0000-0000-00006C1E0000}"/>
    <cellStyle name="Normal 17 4 60" xfId="5444" xr:uid="{00000000-0005-0000-0000-00006D1E0000}"/>
    <cellStyle name="Normal 17 4 60 2" xfId="17484" xr:uid="{00000000-0005-0000-0000-00006E1E0000}"/>
    <cellStyle name="Normal 17 4 61" xfId="5445" xr:uid="{00000000-0005-0000-0000-00006F1E0000}"/>
    <cellStyle name="Normal 17 4 61 2" xfId="17485" xr:uid="{00000000-0005-0000-0000-0000701E0000}"/>
    <cellStyle name="Normal 17 4 62" xfId="5446" xr:uid="{00000000-0005-0000-0000-0000711E0000}"/>
    <cellStyle name="Normal 17 4 62 2" xfId="17486" xr:uid="{00000000-0005-0000-0000-0000721E0000}"/>
    <cellStyle name="Normal 17 4 63" xfId="5447" xr:uid="{00000000-0005-0000-0000-0000731E0000}"/>
    <cellStyle name="Normal 17 4 63 2" xfId="17487" xr:uid="{00000000-0005-0000-0000-0000741E0000}"/>
    <cellStyle name="Normal 17 4 64" xfId="5448" xr:uid="{00000000-0005-0000-0000-0000751E0000}"/>
    <cellStyle name="Normal 17 4 64 2" xfId="17488" xr:uid="{00000000-0005-0000-0000-0000761E0000}"/>
    <cellStyle name="Normal 17 4 65" xfId="5449" xr:uid="{00000000-0005-0000-0000-0000771E0000}"/>
    <cellStyle name="Normal 17 4 65 2" xfId="17489" xr:uid="{00000000-0005-0000-0000-0000781E0000}"/>
    <cellStyle name="Normal 17 4 66" xfId="5450" xr:uid="{00000000-0005-0000-0000-0000791E0000}"/>
    <cellStyle name="Normal 17 4 66 2" xfId="17490" xr:uid="{00000000-0005-0000-0000-00007A1E0000}"/>
    <cellStyle name="Normal 17 4 67" xfId="5451" xr:uid="{00000000-0005-0000-0000-00007B1E0000}"/>
    <cellStyle name="Normal 17 4 67 2" xfId="17491" xr:uid="{00000000-0005-0000-0000-00007C1E0000}"/>
    <cellStyle name="Normal 17 4 68" xfId="5452" xr:uid="{00000000-0005-0000-0000-00007D1E0000}"/>
    <cellStyle name="Normal 17 4 68 2" xfId="17492" xr:uid="{00000000-0005-0000-0000-00007E1E0000}"/>
    <cellStyle name="Normal 17 4 69" xfId="5453" xr:uid="{00000000-0005-0000-0000-00007F1E0000}"/>
    <cellStyle name="Normal 17 4 69 2" xfId="17493" xr:uid="{00000000-0005-0000-0000-0000801E0000}"/>
    <cellStyle name="Normal 17 4 7" xfId="5454" xr:uid="{00000000-0005-0000-0000-0000811E0000}"/>
    <cellStyle name="Normal 17 4 7 2" xfId="17494" xr:uid="{00000000-0005-0000-0000-0000821E0000}"/>
    <cellStyle name="Normal 17 4 70" xfId="5455" xr:uid="{00000000-0005-0000-0000-0000831E0000}"/>
    <cellStyle name="Normal 17 4 70 2" xfId="17495" xr:uid="{00000000-0005-0000-0000-0000841E0000}"/>
    <cellStyle name="Normal 17 4 71" xfId="5456" xr:uid="{00000000-0005-0000-0000-0000851E0000}"/>
    <cellStyle name="Normal 17 4 71 2" xfId="17496" xr:uid="{00000000-0005-0000-0000-0000861E0000}"/>
    <cellStyle name="Normal 17 4 72" xfId="5457" xr:uid="{00000000-0005-0000-0000-0000871E0000}"/>
    <cellStyle name="Normal 17 4 72 2" xfId="17497" xr:uid="{00000000-0005-0000-0000-0000881E0000}"/>
    <cellStyle name="Normal 17 4 73" xfId="5458" xr:uid="{00000000-0005-0000-0000-0000891E0000}"/>
    <cellStyle name="Normal 17 4 73 2" xfId="17498" xr:uid="{00000000-0005-0000-0000-00008A1E0000}"/>
    <cellStyle name="Normal 17 4 74" xfId="5459" xr:uid="{00000000-0005-0000-0000-00008B1E0000}"/>
    <cellStyle name="Normal 17 4 74 2" xfId="17499" xr:uid="{00000000-0005-0000-0000-00008C1E0000}"/>
    <cellStyle name="Normal 17 4 75" xfId="5460" xr:uid="{00000000-0005-0000-0000-00008D1E0000}"/>
    <cellStyle name="Normal 17 4 75 2" xfId="17500" xr:uid="{00000000-0005-0000-0000-00008E1E0000}"/>
    <cellStyle name="Normal 17 4 76" xfId="5461" xr:uid="{00000000-0005-0000-0000-00008F1E0000}"/>
    <cellStyle name="Normal 17 4 76 2" xfId="17501" xr:uid="{00000000-0005-0000-0000-0000901E0000}"/>
    <cellStyle name="Normal 17 4 77" xfId="5462" xr:uid="{00000000-0005-0000-0000-0000911E0000}"/>
    <cellStyle name="Normal 17 4 77 2" xfId="17502" xr:uid="{00000000-0005-0000-0000-0000921E0000}"/>
    <cellStyle name="Normal 17 4 78" xfId="5463" xr:uid="{00000000-0005-0000-0000-0000931E0000}"/>
    <cellStyle name="Normal 17 4 78 2" xfId="17503" xr:uid="{00000000-0005-0000-0000-0000941E0000}"/>
    <cellStyle name="Normal 17 4 79" xfId="5464" xr:uid="{00000000-0005-0000-0000-0000951E0000}"/>
    <cellStyle name="Normal 17 4 79 2" xfId="17504" xr:uid="{00000000-0005-0000-0000-0000961E0000}"/>
    <cellStyle name="Normal 17 4 8" xfId="5465" xr:uid="{00000000-0005-0000-0000-0000971E0000}"/>
    <cellStyle name="Normal 17 4 8 2" xfId="17505" xr:uid="{00000000-0005-0000-0000-0000981E0000}"/>
    <cellStyle name="Normal 17 4 80" xfId="17428" xr:uid="{00000000-0005-0000-0000-0000991E0000}"/>
    <cellStyle name="Normal 17 4 9" xfId="5466" xr:uid="{00000000-0005-0000-0000-00009A1E0000}"/>
    <cellStyle name="Normal 17 4 9 2" xfId="17506" xr:uid="{00000000-0005-0000-0000-00009B1E0000}"/>
    <cellStyle name="Normal 17 40" xfId="5467" xr:uid="{00000000-0005-0000-0000-00009C1E0000}"/>
    <cellStyle name="Normal 17 40 2" xfId="17507" xr:uid="{00000000-0005-0000-0000-00009D1E0000}"/>
    <cellStyle name="Normal 17 41" xfId="5468" xr:uid="{00000000-0005-0000-0000-00009E1E0000}"/>
    <cellStyle name="Normal 17 41 2" xfId="17508" xr:uid="{00000000-0005-0000-0000-00009F1E0000}"/>
    <cellStyle name="Normal 17 42" xfId="5469" xr:uid="{00000000-0005-0000-0000-0000A01E0000}"/>
    <cellStyle name="Normal 17 42 2" xfId="17509" xr:uid="{00000000-0005-0000-0000-0000A11E0000}"/>
    <cellStyle name="Normal 17 43" xfId="5470" xr:uid="{00000000-0005-0000-0000-0000A21E0000}"/>
    <cellStyle name="Normal 17 43 2" xfId="17510" xr:uid="{00000000-0005-0000-0000-0000A31E0000}"/>
    <cellStyle name="Normal 17 44" xfId="5471" xr:uid="{00000000-0005-0000-0000-0000A41E0000}"/>
    <cellStyle name="Normal 17 44 2" xfId="17511" xr:uid="{00000000-0005-0000-0000-0000A51E0000}"/>
    <cellStyle name="Normal 17 45" xfId="5472" xr:uid="{00000000-0005-0000-0000-0000A61E0000}"/>
    <cellStyle name="Normal 17 45 2" xfId="17512" xr:uid="{00000000-0005-0000-0000-0000A71E0000}"/>
    <cellStyle name="Normal 17 46" xfId="5473" xr:uid="{00000000-0005-0000-0000-0000A81E0000}"/>
    <cellStyle name="Normal 17 46 2" xfId="17513" xr:uid="{00000000-0005-0000-0000-0000A91E0000}"/>
    <cellStyle name="Normal 17 47" xfId="5474" xr:uid="{00000000-0005-0000-0000-0000AA1E0000}"/>
    <cellStyle name="Normal 17 47 2" xfId="17514" xr:uid="{00000000-0005-0000-0000-0000AB1E0000}"/>
    <cellStyle name="Normal 17 48" xfId="5475" xr:uid="{00000000-0005-0000-0000-0000AC1E0000}"/>
    <cellStyle name="Normal 17 48 2" xfId="17515" xr:uid="{00000000-0005-0000-0000-0000AD1E0000}"/>
    <cellStyle name="Normal 17 49" xfId="5476" xr:uid="{00000000-0005-0000-0000-0000AE1E0000}"/>
    <cellStyle name="Normal 17 49 2" xfId="17516" xr:uid="{00000000-0005-0000-0000-0000AF1E0000}"/>
    <cellStyle name="Normal 17 5" xfId="5477" xr:uid="{00000000-0005-0000-0000-0000B01E0000}"/>
    <cellStyle name="Normal 17 5 2" xfId="17517" xr:uid="{00000000-0005-0000-0000-0000B11E0000}"/>
    <cellStyle name="Normal 17 50" xfId="5478" xr:uid="{00000000-0005-0000-0000-0000B21E0000}"/>
    <cellStyle name="Normal 17 50 2" xfId="17518" xr:uid="{00000000-0005-0000-0000-0000B31E0000}"/>
    <cellStyle name="Normal 17 51" xfId="5479" xr:uid="{00000000-0005-0000-0000-0000B41E0000}"/>
    <cellStyle name="Normal 17 51 2" xfId="17519" xr:uid="{00000000-0005-0000-0000-0000B51E0000}"/>
    <cellStyle name="Normal 17 52" xfId="5480" xr:uid="{00000000-0005-0000-0000-0000B61E0000}"/>
    <cellStyle name="Normal 17 52 2" xfId="17520" xr:uid="{00000000-0005-0000-0000-0000B71E0000}"/>
    <cellStyle name="Normal 17 53" xfId="5481" xr:uid="{00000000-0005-0000-0000-0000B81E0000}"/>
    <cellStyle name="Normal 17 53 2" xfId="17521" xr:uid="{00000000-0005-0000-0000-0000B91E0000}"/>
    <cellStyle name="Normal 17 54" xfId="5482" xr:uid="{00000000-0005-0000-0000-0000BA1E0000}"/>
    <cellStyle name="Normal 17 54 2" xfId="17522" xr:uid="{00000000-0005-0000-0000-0000BB1E0000}"/>
    <cellStyle name="Normal 17 55" xfId="5483" xr:uid="{00000000-0005-0000-0000-0000BC1E0000}"/>
    <cellStyle name="Normal 17 55 2" xfId="17523" xr:uid="{00000000-0005-0000-0000-0000BD1E0000}"/>
    <cellStyle name="Normal 17 56" xfId="5484" xr:uid="{00000000-0005-0000-0000-0000BE1E0000}"/>
    <cellStyle name="Normal 17 56 2" xfId="17524" xr:uid="{00000000-0005-0000-0000-0000BF1E0000}"/>
    <cellStyle name="Normal 17 57" xfId="5485" xr:uid="{00000000-0005-0000-0000-0000C01E0000}"/>
    <cellStyle name="Normal 17 57 2" xfId="17525" xr:uid="{00000000-0005-0000-0000-0000C11E0000}"/>
    <cellStyle name="Normal 17 58" xfId="5486" xr:uid="{00000000-0005-0000-0000-0000C21E0000}"/>
    <cellStyle name="Normal 17 58 2" xfId="17526" xr:uid="{00000000-0005-0000-0000-0000C31E0000}"/>
    <cellStyle name="Normal 17 59" xfId="5487" xr:uid="{00000000-0005-0000-0000-0000C41E0000}"/>
    <cellStyle name="Normal 17 59 2" xfId="17527" xr:uid="{00000000-0005-0000-0000-0000C51E0000}"/>
    <cellStyle name="Normal 17 6" xfId="5488" xr:uid="{00000000-0005-0000-0000-0000C61E0000}"/>
    <cellStyle name="Normal 17 6 2" xfId="17528" xr:uid="{00000000-0005-0000-0000-0000C71E0000}"/>
    <cellStyle name="Normal 17 60" xfId="5489" xr:uid="{00000000-0005-0000-0000-0000C81E0000}"/>
    <cellStyle name="Normal 17 60 2" xfId="17529" xr:uid="{00000000-0005-0000-0000-0000C91E0000}"/>
    <cellStyle name="Normal 17 61" xfId="5490" xr:uid="{00000000-0005-0000-0000-0000CA1E0000}"/>
    <cellStyle name="Normal 17 61 2" xfId="17530" xr:uid="{00000000-0005-0000-0000-0000CB1E0000}"/>
    <cellStyle name="Normal 17 62" xfId="5491" xr:uid="{00000000-0005-0000-0000-0000CC1E0000}"/>
    <cellStyle name="Normal 17 62 2" xfId="17531" xr:uid="{00000000-0005-0000-0000-0000CD1E0000}"/>
    <cellStyle name="Normal 17 63" xfId="5492" xr:uid="{00000000-0005-0000-0000-0000CE1E0000}"/>
    <cellStyle name="Normal 17 63 2" xfId="17532" xr:uid="{00000000-0005-0000-0000-0000CF1E0000}"/>
    <cellStyle name="Normal 17 64" xfId="5493" xr:uid="{00000000-0005-0000-0000-0000D01E0000}"/>
    <cellStyle name="Normal 17 64 2" xfId="17533" xr:uid="{00000000-0005-0000-0000-0000D11E0000}"/>
    <cellStyle name="Normal 17 65" xfId="5494" xr:uid="{00000000-0005-0000-0000-0000D21E0000}"/>
    <cellStyle name="Normal 17 65 2" xfId="17534" xr:uid="{00000000-0005-0000-0000-0000D31E0000}"/>
    <cellStyle name="Normal 17 66" xfId="5495" xr:uid="{00000000-0005-0000-0000-0000D41E0000}"/>
    <cellStyle name="Normal 17 66 2" xfId="17535" xr:uid="{00000000-0005-0000-0000-0000D51E0000}"/>
    <cellStyle name="Normal 17 67" xfId="5496" xr:uid="{00000000-0005-0000-0000-0000D61E0000}"/>
    <cellStyle name="Normal 17 67 2" xfId="17536" xr:uid="{00000000-0005-0000-0000-0000D71E0000}"/>
    <cellStyle name="Normal 17 68" xfId="5497" xr:uid="{00000000-0005-0000-0000-0000D81E0000}"/>
    <cellStyle name="Normal 17 68 2" xfId="17537" xr:uid="{00000000-0005-0000-0000-0000D91E0000}"/>
    <cellStyle name="Normal 17 69" xfId="5498" xr:uid="{00000000-0005-0000-0000-0000DA1E0000}"/>
    <cellStyle name="Normal 17 69 2" xfId="17538" xr:uid="{00000000-0005-0000-0000-0000DB1E0000}"/>
    <cellStyle name="Normal 17 7" xfId="5499" xr:uid="{00000000-0005-0000-0000-0000DC1E0000}"/>
    <cellStyle name="Normal 17 7 2" xfId="17539" xr:uid="{00000000-0005-0000-0000-0000DD1E0000}"/>
    <cellStyle name="Normal 17 70" xfId="5500" xr:uid="{00000000-0005-0000-0000-0000DE1E0000}"/>
    <cellStyle name="Normal 17 70 2" xfId="17540" xr:uid="{00000000-0005-0000-0000-0000DF1E0000}"/>
    <cellStyle name="Normal 17 71" xfId="5501" xr:uid="{00000000-0005-0000-0000-0000E01E0000}"/>
    <cellStyle name="Normal 17 71 2" xfId="17541" xr:uid="{00000000-0005-0000-0000-0000E11E0000}"/>
    <cellStyle name="Normal 17 72" xfId="5502" xr:uid="{00000000-0005-0000-0000-0000E21E0000}"/>
    <cellStyle name="Normal 17 72 2" xfId="17542" xr:uid="{00000000-0005-0000-0000-0000E31E0000}"/>
    <cellStyle name="Normal 17 73" xfId="5503" xr:uid="{00000000-0005-0000-0000-0000E41E0000}"/>
    <cellStyle name="Normal 17 73 2" xfId="17543" xr:uid="{00000000-0005-0000-0000-0000E51E0000}"/>
    <cellStyle name="Normal 17 74" xfId="5504" xr:uid="{00000000-0005-0000-0000-0000E61E0000}"/>
    <cellStyle name="Normal 17 74 2" xfId="17544" xr:uid="{00000000-0005-0000-0000-0000E71E0000}"/>
    <cellStyle name="Normal 17 75" xfId="5505" xr:uid="{00000000-0005-0000-0000-0000E81E0000}"/>
    <cellStyle name="Normal 17 75 2" xfId="17545" xr:uid="{00000000-0005-0000-0000-0000E91E0000}"/>
    <cellStyle name="Normal 17 76" xfId="5506" xr:uid="{00000000-0005-0000-0000-0000EA1E0000}"/>
    <cellStyle name="Normal 17 76 2" xfId="17546" xr:uid="{00000000-0005-0000-0000-0000EB1E0000}"/>
    <cellStyle name="Normal 17 77" xfId="5507" xr:uid="{00000000-0005-0000-0000-0000EC1E0000}"/>
    <cellStyle name="Normal 17 77 2" xfId="17547" xr:uid="{00000000-0005-0000-0000-0000ED1E0000}"/>
    <cellStyle name="Normal 17 78" xfId="5508" xr:uid="{00000000-0005-0000-0000-0000EE1E0000}"/>
    <cellStyle name="Normal 17 78 2" xfId="17548" xr:uid="{00000000-0005-0000-0000-0000EF1E0000}"/>
    <cellStyle name="Normal 17 79" xfId="5509" xr:uid="{00000000-0005-0000-0000-0000F01E0000}"/>
    <cellStyle name="Normal 17 79 2" xfId="17549" xr:uid="{00000000-0005-0000-0000-0000F11E0000}"/>
    <cellStyle name="Normal 17 8" xfId="5510" xr:uid="{00000000-0005-0000-0000-0000F21E0000}"/>
    <cellStyle name="Normal 17 8 2" xfId="17550" xr:uid="{00000000-0005-0000-0000-0000F31E0000}"/>
    <cellStyle name="Normal 17 80" xfId="5511" xr:uid="{00000000-0005-0000-0000-0000F41E0000}"/>
    <cellStyle name="Normal 17 80 2" xfId="17551" xr:uid="{00000000-0005-0000-0000-0000F51E0000}"/>
    <cellStyle name="Normal 17 81" xfId="5512" xr:uid="{00000000-0005-0000-0000-0000F61E0000}"/>
    <cellStyle name="Normal 17 81 2" xfId="17552" xr:uid="{00000000-0005-0000-0000-0000F71E0000}"/>
    <cellStyle name="Normal 17 82" xfId="5513" xr:uid="{00000000-0005-0000-0000-0000F81E0000}"/>
    <cellStyle name="Normal 17 82 2" xfId="17553" xr:uid="{00000000-0005-0000-0000-0000F91E0000}"/>
    <cellStyle name="Normal 17 83" xfId="17239" xr:uid="{00000000-0005-0000-0000-0000FA1E0000}"/>
    <cellStyle name="Normal 17 9" xfId="5514" xr:uid="{00000000-0005-0000-0000-0000FB1E0000}"/>
    <cellStyle name="Normal 17 9 2" xfId="17554" xr:uid="{00000000-0005-0000-0000-0000FC1E0000}"/>
    <cellStyle name="Normal 170" xfId="511" xr:uid="{00000000-0005-0000-0000-0000FD1E0000}"/>
    <cellStyle name="Normal 170 2" xfId="608" xr:uid="{00000000-0005-0000-0000-0000FE1E0000}"/>
    <cellStyle name="Normal 170 3" xfId="1027" xr:uid="{00000000-0005-0000-0000-0000FF1E0000}"/>
    <cellStyle name="Normal 170 4" xfId="1213" xr:uid="{00000000-0005-0000-0000-0000001F0000}"/>
    <cellStyle name="Normal 170 5" xfId="1172" xr:uid="{00000000-0005-0000-0000-0000011F0000}"/>
    <cellStyle name="Normal 170 6" xfId="1334" xr:uid="{00000000-0005-0000-0000-0000021F0000}"/>
    <cellStyle name="Normal 170 7" xfId="1398" xr:uid="{00000000-0005-0000-0000-0000031F0000}"/>
    <cellStyle name="Normal 170 8" xfId="1447" xr:uid="{00000000-0005-0000-0000-0000041F0000}"/>
    <cellStyle name="Normal 170 9" xfId="1473" xr:uid="{00000000-0005-0000-0000-0000051F0000}"/>
    <cellStyle name="Normal 171" xfId="512" xr:uid="{00000000-0005-0000-0000-0000061F0000}"/>
    <cellStyle name="Normal 171 2" xfId="609" xr:uid="{00000000-0005-0000-0000-0000071F0000}"/>
    <cellStyle name="Normal 171 3" xfId="1028" xr:uid="{00000000-0005-0000-0000-0000081F0000}"/>
    <cellStyle name="Normal 171 4" xfId="863" xr:uid="{00000000-0005-0000-0000-0000091F0000}"/>
    <cellStyle name="Normal 171 5" xfId="1290" xr:uid="{00000000-0005-0000-0000-00000A1F0000}"/>
    <cellStyle name="Normal 171 6" xfId="1357" xr:uid="{00000000-0005-0000-0000-00000B1F0000}"/>
    <cellStyle name="Normal 171 7" xfId="1419" xr:uid="{00000000-0005-0000-0000-00000C1F0000}"/>
    <cellStyle name="Normal 171 8" xfId="1457" xr:uid="{00000000-0005-0000-0000-00000D1F0000}"/>
    <cellStyle name="Normal 171 9" xfId="1483" xr:uid="{00000000-0005-0000-0000-00000E1F0000}"/>
    <cellStyle name="Normal 172" xfId="513" xr:uid="{00000000-0005-0000-0000-00000F1F0000}"/>
    <cellStyle name="Normal 172 2" xfId="610" xr:uid="{00000000-0005-0000-0000-0000101F0000}"/>
    <cellStyle name="Normal 172 3" xfId="1029" xr:uid="{00000000-0005-0000-0000-0000111F0000}"/>
    <cellStyle name="Normal 172 4" xfId="1142" xr:uid="{00000000-0005-0000-0000-0000121F0000}"/>
    <cellStyle name="Normal 172 5" xfId="861" xr:uid="{00000000-0005-0000-0000-0000131F0000}"/>
    <cellStyle name="Normal 172 6" xfId="1291" xr:uid="{00000000-0005-0000-0000-0000141F0000}"/>
    <cellStyle name="Normal 172 7" xfId="1358" xr:uid="{00000000-0005-0000-0000-0000151F0000}"/>
    <cellStyle name="Normal 172 8" xfId="1420" xr:uid="{00000000-0005-0000-0000-0000161F0000}"/>
    <cellStyle name="Normal 172 9" xfId="1458" xr:uid="{00000000-0005-0000-0000-0000171F0000}"/>
    <cellStyle name="Normal 173" xfId="514" xr:uid="{00000000-0005-0000-0000-0000181F0000}"/>
    <cellStyle name="Normal 173 2" xfId="611" xr:uid="{00000000-0005-0000-0000-0000191F0000}"/>
    <cellStyle name="Normal 173 3" xfId="1030" xr:uid="{00000000-0005-0000-0000-00001A1F0000}"/>
    <cellStyle name="Normal 173 4" xfId="1141" xr:uid="{00000000-0005-0000-0000-00001B1F0000}"/>
    <cellStyle name="Normal 173 5" xfId="1198" xr:uid="{00000000-0005-0000-0000-00001C1F0000}"/>
    <cellStyle name="Normal 173 6" xfId="987" xr:uid="{00000000-0005-0000-0000-00001D1F0000}"/>
    <cellStyle name="Normal 173 7" xfId="1220" xr:uid="{00000000-0005-0000-0000-00001E1F0000}"/>
    <cellStyle name="Normal 173 8" xfId="977" xr:uid="{00000000-0005-0000-0000-00001F1F0000}"/>
    <cellStyle name="Normal 173 9" xfId="1229" xr:uid="{00000000-0005-0000-0000-0000201F0000}"/>
    <cellStyle name="Normal 174" xfId="515" xr:uid="{00000000-0005-0000-0000-0000211F0000}"/>
    <cellStyle name="Normal 174 2" xfId="612" xr:uid="{00000000-0005-0000-0000-0000221F0000}"/>
    <cellStyle name="Normal 174 3" xfId="1031" xr:uid="{00000000-0005-0000-0000-0000231F0000}"/>
    <cellStyle name="Normal 174 4" xfId="1140" xr:uid="{00000000-0005-0000-0000-0000241F0000}"/>
    <cellStyle name="Normal 174 5" xfId="1199" xr:uid="{00000000-0005-0000-0000-0000251F0000}"/>
    <cellStyle name="Normal 174 6" xfId="1179" xr:uid="{00000000-0005-0000-0000-0000261F0000}"/>
    <cellStyle name="Normal 174 7" xfId="1188" xr:uid="{00000000-0005-0000-0000-0000271F0000}"/>
    <cellStyle name="Normal 174 8" xfId="1185" xr:uid="{00000000-0005-0000-0000-0000281F0000}"/>
    <cellStyle name="Normal 174 9" xfId="1186" xr:uid="{00000000-0005-0000-0000-0000291F0000}"/>
    <cellStyle name="Normal 175" xfId="516" xr:uid="{00000000-0005-0000-0000-00002A1F0000}"/>
    <cellStyle name="Normal 175 2" xfId="613" xr:uid="{00000000-0005-0000-0000-00002B1F0000}"/>
    <cellStyle name="Normal 175 3" xfId="1032" xr:uid="{00000000-0005-0000-0000-00002C1F0000}"/>
    <cellStyle name="Normal 175 4" xfId="1139" xr:uid="{00000000-0005-0000-0000-00002D1F0000}"/>
    <cellStyle name="Normal 175 5" xfId="1109" xr:uid="{00000000-0005-0000-0000-00002E1F0000}"/>
    <cellStyle name="Normal 175 6" xfId="888" xr:uid="{00000000-0005-0000-0000-00002F1F0000}"/>
    <cellStyle name="Normal 175 7" xfId="948" xr:uid="{00000000-0005-0000-0000-0000301F0000}"/>
    <cellStyle name="Normal 175 8" xfId="878" xr:uid="{00000000-0005-0000-0000-0000311F0000}"/>
    <cellStyle name="Normal 175 9" xfId="952" xr:uid="{00000000-0005-0000-0000-0000321F0000}"/>
    <cellStyle name="Normal 176" xfId="517" xr:uid="{00000000-0005-0000-0000-0000331F0000}"/>
    <cellStyle name="Normal 176 2" xfId="614" xr:uid="{00000000-0005-0000-0000-0000341F0000}"/>
    <cellStyle name="Normal 176 3" xfId="1033" xr:uid="{00000000-0005-0000-0000-0000351F0000}"/>
    <cellStyle name="Normal 176 4" xfId="1138" xr:uid="{00000000-0005-0000-0000-0000361F0000}"/>
    <cellStyle name="Normal 176 5" xfId="1110" xr:uid="{00000000-0005-0000-0000-0000371F0000}"/>
    <cellStyle name="Normal 176 6" xfId="850" xr:uid="{00000000-0005-0000-0000-0000381F0000}"/>
    <cellStyle name="Normal 176 7" xfId="1296" xr:uid="{00000000-0005-0000-0000-0000391F0000}"/>
    <cellStyle name="Normal 176 8" xfId="1362" xr:uid="{00000000-0005-0000-0000-00003A1F0000}"/>
    <cellStyle name="Normal 176 9" xfId="1423" xr:uid="{00000000-0005-0000-0000-00003B1F0000}"/>
    <cellStyle name="Normal 177" xfId="518" xr:uid="{00000000-0005-0000-0000-00003C1F0000}"/>
    <cellStyle name="Normal 177 2" xfId="615" xr:uid="{00000000-0005-0000-0000-00003D1F0000}"/>
    <cellStyle name="Normal 177 3" xfId="1034" xr:uid="{00000000-0005-0000-0000-00003E1F0000}"/>
    <cellStyle name="Normal 177 4" xfId="1137" xr:uid="{00000000-0005-0000-0000-00003F1F0000}"/>
    <cellStyle name="Normal 177 5" xfId="1111" xr:uid="{00000000-0005-0000-0000-0000401F0000}"/>
    <cellStyle name="Normal 177 6" xfId="1132" xr:uid="{00000000-0005-0000-0000-0000411F0000}"/>
    <cellStyle name="Normal 177 7" xfId="1116" xr:uid="{00000000-0005-0000-0000-0000421F0000}"/>
    <cellStyle name="Normal 177 8" xfId="1127" xr:uid="{00000000-0005-0000-0000-0000431F0000}"/>
    <cellStyle name="Normal 177 9" xfId="1120" xr:uid="{00000000-0005-0000-0000-0000441F0000}"/>
    <cellStyle name="Normal 178" xfId="519" xr:uid="{00000000-0005-0000-0000-0000451F0000}"/>
    <cellStyle name="Normal 178 2" xfId="616" xr:uid="{00000000-0005-0000-0000-0000461F0000}"/>
    <cellStyle name="Normal 178 3" xfId="1035" xr:uid="{00000000-0005-0000-0000-0000471F0000}"/>
    <cellStyle name="Normal 178 4" xfId="1136" xr:uid="{00000000-0005-0000-0000-0000481F0000}"/>
    <cellStyle name="Normal 178 5" xfId="1112" xr:uid="{00000000-0005-0000-0000-0000491F0000}"/>
    <cellStyle name="Normal 178 6" xfId="1131" xr:uid="{00000000-0005-0000-0000-00004A1F0000}"/>
    <cellStyle name="Normal 178 7" xfId="1117" xr:uid="{00000000-0005-0000-0000-00004B1F0000}"/>
    <cellStyle name="Normal 178 8" xfId="1126" xr:uid="{00000000-0005-0000-0000-00004C1F0000}"/>
    <cellStyle name="Normal 178 9" xfId="1121" xr:uid="{00000000-0005-0000-0000-00004D1F0000}"/>
    <cellStyle name="Normal 179" xfId="520" xr:uid="{00000000-0005-0000-0000-00004E1F0000}"/>
    <cellStyle name="Normal 179 2" xfId="617" xr:uid="{00000000-0005-0000-0000-00004F1F0000}"/>
    <cellStyle name="Normal 179 3" xfId="1036" xr:uid="{00000000-0005-0000-0000-0000501F0000}"/>
    <cellStyle name="Normal 179 4" xfId="1135" xr:uid="{00000000-0005-0000-0000-0000511F0000}"/>
    <cellStyle name="Normal 179 5" xfId="1113" xr:uid="{00000000-0005-0000-0000-0000521F0000}"/>
    <cellStyle name="Normal 179 6" xfId="1130" xr:uid="{00000000-0005-0000-0000-0000531F0000}"/>
    <cellStyle name="Normal 179 7" xfId="1118" xr:uid="{00000000-0005-0000-0000-0000541F0000}"/>
    <cellStyle name="Normal 179 8" xfId="1125" xr:uid="{00000000-0005-0000-0000-0000551F0000}"/>
    <cellStyle name="Normal 179 9" xfId="1122" xr:uid="{00000000-0005-0000-0000-0000561F0000}"/>
    <cellStyle name="Normal 18" xfId="84" xr:uid="{00000000-0005-0000-0000-0000571F0000}"/>
    <cellStyle name="Normal 18 10" xfId="5515" xr:uid="{00000000-0005-0000-0000-0000581F0000}"/>
    <cellStyle name="Normal 18 10 2" xfId="17556" xr:uid="{00000000-0005-0000-0000-0000591F0000}"/>
    <cellStyle name="Normal 18 11" xfId="5516" xr:uid="{00000000-0005-0000-0000-00005A1F0000}"/>
    <cellStyle name="Normal 18 11 2" xfId="17557" xr:uid="{00000000-0005-0000-0000-00005B1F0000}"/>
    <cellStyle name="Normal 18 12" xfId="5517" xr:uid="{00000000-0005-0000-0000-00005C1F0000}"/>
    <cellStyle name="Normal 18 12 2" xfId="17558" xr:uid="{00000000-0005-0000-0000-00005D1F0000}"/>
    <cellStyle name="Normal 18 13" xfId="5518" xr:uid="{00000000-0005-0000-0000-00005E1F0000}"/>
    <cellStyle name="Normal 18 13 2" xfId="17559" xr:uid="{00000000-0005-0000-0000-00005F1F0000}"/>
    <cellStyle name="Normal 18 14" xfId="5519" xr:uid="{00000000-0005-0000-0000-0000601F0000}"/>
    <cellStyle name="Normal 18 14 2" xfId="17560" xr:uid="{00000000-0005-0000-0000-0000611F0000}"/>
    <cellStyle name="Normal 18 15" xfId="5520" xr:uid="{00000000-0005-0000-0000-0000621F0000}"/>
    <cellStyle name="Normal 18 15 2" xfId="17561" xr:uid="{00000000-0005-0000-0000-0000631F0000}"/>
    <cellStyle name="Normal 18 16" xfId="5521" xr:uid="{00000000-0005-0000-0000-0000641F0000}"/>
    <cellStyle name="Normal 18 16 2" xfId="17562" xr:uid="{00000000-0005-0000-0000-0000651F0000}"/>
    <cellStyle name="Normal 18 17" xfId="5522" xr:uid="{00000000-0005-0000-0000-0000661F0000}"/>
    <cellStyle name="Normal 18 17 2" xfId="17563" xr:uid="{00000000-0005-0000-0000-0000671F0000}"/>
    <cellStyle name="Normal 18 18" xfId="5523" xr:uid="{00000000-0005-0000-0000-0000681F0000}"/>
    <cellStyle name="Normal 18 18 2" xfId="17564" xr:uid="{00000000-0005-0000-0000-0000691F0000}"/>
    <cellStyle name="Normal 18 19" xfId="5524" xr:uid="{00000000-0005-0000-0000-00006A1F0000}"/>
    <cellStyle name="Normal 18 19 2" xfId="17565" xr:uid="{00000000-0005-0000-0000-00006B1F0000}"/>
    <cellStyle name="Normal 18 2" xfId="5525" xr:uid="{00000000-0005-0000-0000-00006C1F0000}"/>
    <cellStyle name="Normal 18 2 10" xfId="5526" xr:uid="{00000000-0005-0000-0000-00006D1F0000}"/>
    <cellStyle name="Normal 18 2 10 2" xfId="17567" xr:uid="{00000000-0005-0000-0000-00006E1F0000}"/>
    <cellStyle name="Normal 18 2 11" xfId="5527" xr:uid="{00000000-0005-0000-0000-00006F1F0000}"/>
    <cellStyle name="Normal 18 2 11 2" xfId="17568" xr:uid="{00000000-0005-0000-0000-0000701F0000}"/>
    <cellStyle name="Normal 18 2 12" xfId="5528" xr:uid="{00000000-0005-0000-0000-0000711F0000}"/>
    <cellStyle name="Normal 18 2 12 2" xfId="17569" xr:uid="{00000000-0005-0000-0000-0000721F0000}"/>
    <cellStyle name="Normal 18 2 13" xfId="5529" xr:uid="{00000000-0005-0000-0000-0000731F0000}"/>
    <cellStyle name="Normal 18 2 13 2" xfId="17570" xr:uid="{00000000-0005-0000-0000-0000741F0000}"/>
    <cellStyle name="Normal 18 2 14" xfId="5530" xr:uid="{00000000-0005-0000-0000-0000751F0000}"/>
    <cellStyle name="Normal 18 2 14 2" xfId="17571" xr:uid="{00000000-0005-0000-0000-0000761F0000}"/>
    <cellStyle name="Normal 18 2 15" xfId="5531" xr:uid="{00000000-0005-0000-0000-0000771F0000}"/>
    <cellStyle name="Normal 18 2 15 2" xfId="17572" xr:uid="{00000000-0005-0000-0000-0000781F0000}"/>
    <cellStyle name="Normal 18 2 16" xfId="5532" xr:uid="{00000000-0005-0000-0000-0000791F0000}"/>
    <cellStyle name="Normal 18 2 16 2" xfId="17573" xr:uid="{00000000-0005-0000-0000-00007A1F0000}"/>
    <cellStyle name="Normal 18 2 17" xfId="5533" xr:uid="{00000000-0005-0000-0000-00007B1F0000}"/>
    <cellStyle name="Normal 18 2 17 2" xfId="17574" xr:uid="{00000000-0005-0000-0000-00007C1F0000}"/>
    <cellStyle name="Normal 18 2 18" xfId="5534" xr:uid="{00000000-0005-0000-0000-00007D1F0000}"/>
    <cellStyle name="Normal 18 2 18 2" xfId="17575" xr:uid="{00000000-0005-0000-0000-00007E1F0000}"/>
    <cellStyle name="Normal 18 2 19" xfId="5535" xr:uid="{00000000-0005-0000-0000-00007F1F0000}"/>
    <cellStyle name="Normal 18 2 19 2" xfId="17576" xr:uid="{00000000-0005-0000-0000-0000801F0000}"/>
    <cellStyle name="Normal 18 2 2" xfId="5536" xr:uid="{00000000-0005-0000-0000-0000811F0000}"/>
    <cellStyle name="Normal 18 2 2 2" xfId="17577" xr:uid="{00000000-0005-0000-0000-0000821F0000}"/>
    <cellStyle name="Normal 18 2 20" xfId="5537" xr:uid="{00000000-0005-0000-0000-0000831F0000}"/>
    <cellStyle name="Normal 18 2 20 2" xfId="17578" xr:uid="{00000000-0005-0000-0000-0000841F0000}"/>
    <cellStyle name="Normal 18 2 21" xfId="5538" xr:uid="{00000000-0005-0000-0000-0000851F0000}"/>
    <cellStyle name="Normal 18 2 21 2" xfId="17579" xr:uid="{00000000-0005-0000-0000-0000861F0000}"/>
    <cellStyle name="Normal 18 2 22" xfId="5539" xr:uid="{00000000-0005-0000-0000-0000871F0000}"/>
    <cellStyle name="Normal 18 2 22 2" xfId="17580" xr:uid="{00000000-0005-0000-0000-0000881F0000}"/>
    <cellStyle name="Normal 18 2 23" xfId="5540" xr:uid="{00000000-0005-0000-0000-0000891F0000}"/>
    <cellStyle name="Normal 18 2 23 2" xfId="17581" xr:uid="{00000000-0005-0000-0000-00008A1F0000}"/>
    <cellStyle name="Normal 18 2 24" xfId="5541" xr:uid="{00000000-0005-0000-0000-00008B1F0000}"/>
    <cellStyle name="Normal 18 2 24 2" xfId="17582" xr:uid="{00000000-0005-0000-0000-00008C1F0000}"/>
    <cellStyle name="Normal 18 2 25" xfId="5542" xr:uid="{00000000-0005-0000-0000-00008D1F0000}"/>
    <cellStyle name="Normal 18 2 25 2" xfId="17583" xr:uid="{00000000-0005-0000-0000-00008E1F0000}"/>
    <cellStyle name="Normal 18 2 26" xfId="5543" xr:uid="{00000000-0005-0000-0000-00008F1F0000}"/>
    <cellStyle name="Normal 18 2 26 2" xfId="17584" xr:uid="{00000000-0005-0000-0000-0000901F0000}"/>
    <cellStyle name="Normal 18 2 27" xfId="5544" xr:uid="{00000000-0005-0000-0000-0000911F0000}"/>
    <cellStyle name="Normal 18 2 27 2" xfId="17585" xr:uid="{00000000-0005-0000-0000-0000921F0000}"/>
    <cellStyle name="Normal 18 2 28" xfId="5545" xr:uid="{00000000-0005-0000-0000-0000931F0000}"/>
    <cellStyle name="Normal 18 2 28 2" xfId="17586" xr:uid="{00000000-0005-0000-0000-0000941F0000}"/>
    <cellStyle name="Normal 18 2 29" xfId="5546" xr:uid="{00000000-0005-0000-0000-0000951F0000}"/>
    <cellStyle name="Normal 18 2 29 2" xfId="17587" xr:uid="{00000000-0005-0000-0000-0000961F0000}"/>
    <cellStyle name="Normal 18 2 3" xfId="5547" xr:uid="{00000000-0005-0000-0000-0000971F0000}"/>
    <cellStyle name="Normal 18 2 3 2" xfId="17588" xr:uid="{00000000-0005-0000-0000-0000981F0000}"/>
    <cellStyle name="Normal 18 2 30" xfId="5548" xr:uid="{00000000-0005-0000-0000-0000991F0000}"/>
    <cellStyle name="Normal 18 2 30 2" xfId="17589" xr:uid="{00000000-0005-0000-0000-00009A1F0000}"/>
    <cellStyle name="Normal 18 2 31" xfId="5549" xr:uid="{00000000-0005-0000-0000-00009B1F0000}"/>
    <cellStyle name="Normal 18 2 31 2" xfId="17590" xr:uid="{00000000-0005-0000-0000-00009C1F0000}"/>
    <cellStyle name="Normal 18 2 32" xfId="5550" xr:uid="{00000000-0005-0000-0000-00009D1F0000}"/>
    <cellStyle name="Normal 18 2 32 2" xfId="17591" xr:uid="{00000000-0005-0000-0000-00009E1F0000}"/>
    <cellStyle name="Normal 18 2 33" xfId="5551" xr:uid="{00000000-0005-0000-0000-00009F1F0000}"/>
    <cellStyle name="Normal 18 2 33 2" xfId="17592" xr:uid="{00000000-0005-0000-0000-0000A01F0000}"/>
    <cellStyle name="Normal 18 2 34" xfId="5552" xr:uid="{00000000-0005-0000-0000-0000A11F0000}"/>
    <cellStyle name="Normal 18 2 34 2" xfId="17593" xr:uid="{00000000-0005-0000-0000-0000A21F0000}"/>
    <cellStyle name="Normal 18 2 35" xfId="5553" xr:uid="{00000000-0005-0000-0000-0000A31F0000}"/>
    <cellStyle name="Normal 18 2 35 2" xfId="17594" xr:uid="{00000000-0005-0000-0000-0000A41F0000}"/>
    <cellStyle name="Normal 18 2 36" xfId="5554" xr:uid="{00000000-0005-0000-0000-0000A51F0000}"/>
    <cellStyle name="Normal 18 2 36 2" xfId="17595" xr:uid="{00000000-0005-0000-0000-0000A61F0000}"/>
    <cellStyle name="Normal 18 2 37" xfId="5555" xr:uid="{00000000-0005-0000-0000-0000A71F0000}"/>
    <cellStyle name="Normal 18 2 37 2" xfId="17596" xr:uid="{00000000-0005-0000-0000-0000A81F0000}"/>
    <cellStyle name="Normal 18 2 38" xfId="5556" xr:uid="{00000000-0005-0000-0000-0000A91F0000}"/>
    <cellStyle name="Normal 18 2 38 2" xfId="17597" xr:uid="{00000000-0005-0000-0000-0000AA1F0000}"/>
    <cellStyle name="Normal 18 2 39" xfId="5557" xr:uid="{00000000-0005-0000-0000-0000AB1F0000}"/>
    <cellStyle name="Normal 18 2 39 2" xfId="17598" xr:uid="{00000000-0005-0000-0000-0000AC1F0000}"/>
    <cellStyle name="Normal 18 2 4" xfId="5558" xr:uid="{00000000-0005-0000-0000-0000AD1F0000}"/>
    <cellStyle name="Normal 18 2 4 2" xfId="17599" xr:uid="{00000000-0005-0000-0000-0000AE1F0000}"/>
    <cellStyle name="Normal 18 2 40" xfId="5559" xr:uid="{00000000-0005-0000-0000-0000AF1F0000}"/>
    <cellStyle name="Normal 18 2 40 2" xfId="17600" xr:uid="{00000000-0005-0000-0000-0000B01F0000}"/>
    <cellStyle name="Normal 18 2 41" xfId="5560" xr:uid="{00000000-0005-0000-0000-0000B11F0000}"/>
    <cellStyle name="Normal 18 2 41 2" xfId="17601" xr:uid="{00000000-0005-0000-0000-0000B21F0000}"/>
    <cellStyle name="Normal 18 2 42" xfId="5561" xr:uid="{00000000-0005-0000-0000-0000B31F0000}"/>
    <cellStyle name="Normal 18 2 42 2" xfId="17602" xr:uid="{00000000-0005-0000-0000-0000B41F0000}"/>
    <cellStyle name="Normal 18 2 43" xfId="5562" xr:uid="{00000000-0005-0000-0000-0000B51F0000}"/>
    <cellStyle name="Normal 18 2 43 2" xfId="17603" xr:uid="{00000000-0005-0000-0000-0000B61F0000}"/>
    <cellStyle name="Normal 18 2 44" xfId="5563" xr:uid="{00000000-0005-0000-0000-0000B71F0000}"/>
    <cellStyle name="Normal 18 2 44 2" xfId="17604" xr:uid="{00000000-0005-0000-0000-0000B81F0000}"/>
    <cellStyle name="Normal 18 2 45" xfId="5564" xr:uid="{00000000-0005-0000-0000-0000B91F0000}"/>
    <cellStyle name="Normal 18 2 45 2" xfId="17605" xr:uid="{00000000-0005-0000-0000-0000BA1F0000}"/>
    <cellStyle name="Normal 18 2 46" xfId="5565" xr:uid="{00000000-0005-0000-0000-0000BB1F0000}"/>
    <cellStyle name="Normal 18 2 46 2" xfId="17606" xr:uid="{00000000-0005-0000-0000-0000BC1F0000}"/>
    <cellStyle name="Normal 18 2 47" xfId="5566" xr:uid="{00000000-0005-0000-0000-0000BD1F0000}"/>
    <cellStyle name="Normal 18 2 47 2" xfId="17607" xr:uid="{00000000-0005-0000-0000-0000BE1F0000}"/>
    <cellStyle name="Normal 18 2 48" xfId="5567" xr:uid="{00000000-0005-0000-0000-0000BF1F0000}"/>
    <cellStyle name="Normal 18 2 48 2" xfId="17608" xr:uid="{00000000-0005-0000-0000-0000C01F0000}"/>
    <cellStyle name="Normal 18 2 49" xfId="5568" xr:uid="{00000000-0005-0000-0000-0000C11F0000}"/>
    <cellStyle name="Normal 18 2 49 2" xfId="17609" xr:uid="{00000000-0005-0000-0000-0000C21F0000}"/>
    <cellStyle name="Normal 18 2 5" xfId="5569" xr:uid="{00000000-0005-0000-0000-0000C31F0000}"/>
    <cellStyle name="Normal 18 2 5 2" xfId="17610" xr:uid="{00000000-0005-0000-0000-0000C41F0000}"/>
    <cellStyle name="Normal 18 2 50" xfId="5570" xr:uid="{00000000-0005-0000-0000-0000C51F0000}"/>
    <cellStyle name="Normal 18 2 50 2" xfId="17611" xr:uid="{00000000-0005-0000-0000-0000C61F0000}"/>
    <cellStyle name="Normal 18 2 51" xfId="5571" xr:uid="{00000000-0005-0000-0000-0000C71F0000}"/>
    <cellStyle name="Normal 18 2 51 2" xfId="17612" xr:uid="{00000000-0005-0000-0000-0000C81F0000}"/>
    <cellStyle name="Normal 18 2 52" xfId="5572" xr:uid="{00000000-0005-0000-0000-0000C91F0000}"/>
    <cellStyle name="Normal 18 2 52 2" xfId="17613" xr:uid="{00000000-0005-0000-0000-0000CA1F0000}"/>
    <cellStyle name="Normal 18 2 53" xfId="5573" xr:uid="{00000000-0005-0000-0000-0000CB1F0000}"/>
    <cellStyle name="Normal 18 2 53 2" xfId="17614" xr:uid="{00000000-0005-0000-0000-0000CC1F0000}"/>
    <cellStyle name="Normal 18 2 54" xfId="5574" xr:uid="{00000000-0005-0000-0000-0000CD1F0000}"/>
    <cellStyle name="Normal 18 2 54 2" xfId="17615" xr:uid="{00000000-0005-0000-0000-0000CE1F0000}"/>
    <cellStyle name="Normal 18 2 55" xfId="5575" xr:uid="{00000000-0005-0000-0000-0000CF1F0000}"/>
    <cellStyle name="Normal 18 2 55 2" xfId="17616" xr:uid="{00000000-0005-0000-0000-0000D01F0000}"/>
    <cellStyle name="Normal 18 2 56" xfId="5576" xr:uid="{00000000-0005-0000-0000-0000D11F0000}"/>
    <cellStyle name="Normal 18 2 56 2" xfId="17617" xr:uid="{00000000-0005-0000-0000-0000D21F0000}"/>
    <cellStyle name="Normal 18 2 57" xfId="5577" xr:uid="{00000000-0005-0000-0000-0000D31F0000}"/>
    <cellStyle name="Normal 18 2 57 2" xfId="17618" xr:uid="{00000000-0005-0000-0000-0000D41F0000}"/>
    <cellStyle name="Normal 18 2 58" xfId="5578" xr:uid="{00000000-0005-0000-0000-0000D51F0000}"/>
    <cellStyle name="Normal 18 2 58 2" xfId="17619" xr:uid="{00000000-0005-0000-0000-0000D61F0000}"/>
    <cellStyle name="Normal 18 2 59" xfId="5579" xr:uid="{00000000-0005-0000-0000-0000D71F0000}"/>
    <cellStyle name="Normal 18 2 59 2" xfId="17620" xr:uid="{00000000-0005-0000-0000-0000D81F0000}"/>
    <cellStyle name="Normal 18 2 6" xfId="5580" xr:uid="{00000000-0005-0000-0000-0000D91F0000}"/>
    <cellStyle name="Normal 18 2 6 2" xfId="17621" xr:uid="{00000000-0005-0000-0000-0000DA1F0000}"/>
    <cellStyle name="Normal 18 2 60" xfId="5581" xr:uid="{00000000-0005-0000-0000-0000DB1F0000}"/>
    <cellStyle name="Normal 18 2 60 2" xfId="17622" xr:uid="{00000000-0005-0000-0000-0000DC1F0000}"/>
    <cellStyle name="Normal 18 2 61" xfId="5582" xr:uid="{00000000-0005-0000-0000-0000DD1F0000}"/>
    <cellStyle name="Normal 18 2 61 2" xfId="17623" xr:uid="{00000000-0005-0000-0000-0000DE1F0000}"/>
    <cellStyle name="Normal 18 2 62" xfId="5583" xr:uid="{00000000-0005-0000-0000-0000DF1F0000}"/>
    <cellStyle name="Normal 18 2 62 2" xfId="17624" xr:uid="{00000000-0005-0000-0000-0000E01F0000}"/>
    <cellStyle name="Normal 18 2 63" xfId="5584" xr:uid="{00000000-0005-0000-0000-0000E11F0000}"/>
    <cellStyle name="Normal 18 2 63 2" xfId="17625" xr:uid="{00000000-0005-0000-0000-0000E21F0000}"/>
    <cellStyle name="Normal 18 2 64" xfId="5585" xr:uid="{00000000-0005-0000-0000-0000E31F0000}"/>
    <cellStyle name="Normal 18 2 64 2" xfId="17626" xr:uid="{00000000-0005-0000-0000-0000E41F0000}"/>
    <cellStyle name="Normal 18 2 65" xfId="5586" xr:uid="{00000000-0005-0000-0000-0000E51F0000}"/>
    <cellStyle name="Normal 18 2 65 2" xfId="17627" xr:uid="{00000000-0005-0000-0000-0000E61F0000}"/>
    <cellStyle name="Normal 18 2 66" xfId="5587" xr:uid="{00000000-0005-0000-0000-0000E71F0000}"/>
    <cellStyle name="Normal 18 2 66 2" xfId="17628" xr:uid="{00000000-0005-0000-0000-0000E81F0000}"/>
    <cellStyle name="Normal 18 2 67" xfId="5588" xr:uid="{00000000-0005-0000-0000-0000E91F0000}"/>
    <cellStyle name="Normal 18 2 67 2" xfId="17629" xr:uid="{00000000-0005-0000-0000-0000EA1F0000}"/>
    <cellStyle name="Normal 18 2 68" xfId="5589" xr:uid="{00000000-0005-0000-0000-0000EB1F0000}"/>
    <cellStyle name="Normal 18 2 68 2" xfId="17630" xr:uid="{00000000-0005-0000-0000-0000EC1F0000}"/>
    <cellStyle name="Normal 18 2 69" xfId="5590" xr:uid="{00000000-0005-0000-0000-0000ED1F0000}"/>
    <cellStyle name="Normal 18 2 69 2" xfId="17631" xr:uid="{00000000-0005-0000-0000-0000EE1F0000}"/>
    <cellStyle name="Normal 18 2 7" xfId="5591" xr:uid="{00000000-0005-0000-0000-0000EF1F0000}"/>
    <cellStyle name="Normal 18 2 7 2" xfId="17632" xr:uid="{00000000-0005-0000-0000-0000F01F0000}"/>
    <cellStyle name="Normal 18 2 70" xfId="5592" xr:uid="{00000000-0005-0000-0000-0000F11F0000}"/>
    <cellStyle name="Normal 18 2 70 2" xfId="17633" xr:uid="{00000000-0005-0000-0000-0000F21F0000}"/>
    <cellStyle name="Normal 18 2 71" xfId="5593" xr:uid="{00000000-0005-0000-0000-0000F31F0000}"/>
    <cellStyle name="Normal 18 2 71 2" xfId="17634" xr:uid="{00000000-0005-0000-0000-0000F41F0000}"/>
    <cellStyle name="Normal 18 2 72" xfId="5594" xr:uid="{00000000-0005-0000-0000-0000F51F0000}"/>
    <cellStyle name="Normal 18 2 72 2" xfId="17635" xr:uid="{00000000-0005-0000-0000-0000F61F0000}"/>
    <cellStyle name="Normal 18 2 73" xfId="5595" xr:uid="{00000000-0005-0000-0000-0000F71F0000}"/>
    <cellStyle name="Normal 18 2 73 2" xfId="17636" xr:uid="{00000000-0005-0000-0000-0000F81F0000}"/>
    <cellStyle name="Normal 18 2 74" xfId="5596" xr:uid="{00000000-0005-0000-0000-0000F91F0000}"/>
    <cellStyle name="Normal 18 2 74 2" xfId="17637" xr:uid="{00000000-0005-0000-0000-0000FA1F0000}"/>
    <cellStyle name="Normal 18 2 75" xfId="5597" xr:uid="{00000000-0005-0000-0000-0000FB1F0000}"/>
    <cellStyle name="Normal 18 2 75 2" xfId="17638" xr:uid="{00000000-0005-0000-0000-0000FC1F0000}"/>
    <cellStyle name="Normal 18 2 76" xfId="5598" xr:uid="{00000000-0005-0000-0000-0000FD1F0000}"/>
    <cellStyle name="Normal 18 2 76 2" xfId="17639" xr:uid="{00000000-0005-0000-0000-0000FE1F0000}"/>
    <cellStyle name="Normal 18 2 77" xfId="5599" xr:uid="{00000000-0005-0000-0000-0000FF1F0000}"/>
    <cellStyle name="Normal 18 2 77 2" xfId="17640" xr:uid="{00000000-0005-0000-0000-000000200000}"/>
    <cellStyle name="Normal 18 2 78" xfId="5600" xr:uid="{00000000-0005-0000-0000-000001200000}"/>
    <cellStyle name="Normal 18 2 78 2" xfId="17641" xr:uid="{00000000-0005-0000-0000-000002200000}"/>
    <cellStyle name="Normal 18 2 79" xfId="5601" xr:uid="{00000000-0005-0000-0000-000003200000}"/>
    <cellStyle name="Normal 18 2 79 2" xfId="17642" xr:uid="{00000000-0005-0000-0000-000004200000}"/>
    <cellStyle name="Normal 18 2 8" xfId="5602" xr:uid="{00000000-0005-0000-0000-000005200000}"/>
    <cellStyle name="Normal 18 2 8 2" xfId="17643" xr:uid="{00000000-0005-0000-0000-000006200000}"/>
    <cellStyle name="Normal 18 2 80" xfId="17566" xr:uid="{00000000-0005-0000-0000-000007200000}"/>
    <cellStyle name="Normal 18 2 9" xfId="5603" xr:uid="{00000000-0005-0000-0000-000008200000}"/>
    <cellStyle name="Normal 18 2 9 2" xfId="17644" xr:uid="{00000000-0005-0000-0000-000009200000}"/>
    <cellStyle name="Normal 18 20" xfId="5604" xr:uid="{00000000-0005-0000-0000-00000A200000}"/>
    <cellStyle name="Normal 18 20 2" xfId="17645" xr:uid="{00000000-0005-0000-0000-00000B200000}"/>
    <cellStyle name="Normal 18 21" xfId="5605" xr:uid="{00000000-0005-0000-0000-00000C200000}"/>
    <cellStyle name="Normal 18 21 2" xfId="17646" xr:uid="{00000000-0005-0000-0000-00000D200000}"/>
    <cellStyle name="Normal 18 22" xfId="5606" xr:uid="{00000000-0005-0000-0000-00000E200000}"/>
    <cellStyle name="Normal 18 22 2" xfId="17647" xr:uid="{00000000-0005-0000-0000-00000F200000}"/>
    <cellStyle name="Normal 18 23" xfId="5607" xr:uid="{00000000-0005-0000-0000-000010200000}"/>
    <cellStyle name="Normal 18 23 2" xfId="17648" xr:uid="{00000000-0005-0000-0000-000011200000}"/>
    <cellStyle name="Normal 18 24" xfId="5608" xr:uid="{00000000-0005-0000-0000-000012200000}"/>
    <cellStyle name="Normal 18 24 2" xfId="17649" xr:uid="{00000000-0005-0000-0000-000013200000}"/>
    <cellStyle name="Normal 18 25" xfId="5609" xr:uid="{00000000-0005-0000-0000-000014200000}"/>
    <cellStyle name="Normal 18 25 2" xfId="17650" xr:uid="{00000000-0005-0000-0000-000015200000}"/>
    <cellStyle name="Normal 18 26" xfId="5610" xr:uid="{00000000-0005-0000-0000-000016200000}"/>
    <cellStyle name="Normal 18 26 2" xfId="17651" xr:uid="{00000000-0005-0000-0000-000017200000}"/>
    <cellStyle name="Normal 18 27" xfId="5611" xr:uid="{00000000-0005-0000-0000-000018200000}"/>
    <cellStyle name="Normal 18 27 2" xfId="17652" xr:uid="{00000000-0005-0000-0000-000019200000}"/>
    <cellStyle name="Normal 18 28" xfId="5612" xr:uid="{00000000-0005-0000-0000-00001A200000}"/>
    <cellStyle name="Normal 18 28 2" xfId="17653" xr:uid="{00000000-0005-0000-0000-00001B200000}"/>
    <cellStyle name="Normal 18 29" xfId="5613" xr:uid="{00000000-0005-0000-0000-00001C200000}"/>
    <cellStyle name="Normal 18 29 2" xfId="17654" xr:uid="{00000000-0005-0000-0000-00001D200000}"/>
    <cellStyle name="Normal 18 3" xfId="5614" xr:uid="{00000000-0005-0000-0000-00001E200000}"/>
    <cellStyle name="Normal 18 3 10" xfId="5615" xr:uid="{00000000-0005-0000-0000-00001F200000}"/>
    <cellStyle name="Normal 18 3 10 2" xfId="17656" xr:uid="{00000000-0005-0000-0000-000020200000}"/>
    <cellStyle name="Normal 18 3 11" xfId="5616" xr:uid="{00000000-0005-0000-0000-000021200000}"/>
    <cellStyle name="Normal 18 3 11 2" xfId="17657" xr:uid="{00000000-0005-0000-0000-000022200000}"/>
    <cellStyle name="Normal 18 3 12" xfId="5617" xr:uid="{00000000-0005-0000-0000-000023200000}"/>
    <cellStyle name="Normal 18 3 12 2" xfId="17658" xr:uid="{00000000-0005-0000-0000-000024200000}"/>
    <cellStyle name="Normal 18 3 13" xfId="5618" xr:uid="{00000000-0005-0000-0000-000025200000}"/>
    <cellStyle name="Normal 18 3 13 2" xfId="17659" xr:uid="{00000000-0005-0000-0000-000026200000}"/>
    <cellStyle name="Normal 18 3 14" xfId="5619" xr:uid="{00000000-0005-0000-0000-000027200000}"/>
    <cellStyle name="Normal 18 3 14 2" xfId="17660" xr:uid="{00000000-0005-0000-0000-000028200000}"/>
    <cellStyle name="Normal 18 3 15" xfId="5620" xr:uid="{00000000-0005-0000-0000-000029200000}"/>
    <cellStyle name="Normal 18 3 15 2" xfId="17661" xr:uid="{00000000-0005-0000-0000-00002A200000}"/>
    <cellStyle name="Normal 18 3 16" xfId="5621" xr:uid="{00000000-0005-0000-0000-00002B200000}"/>
    <cellStyle name="Normal 18 3 16 2" xfId="17662" xr:uid="{00000000-0005-0000-0000-00002C200000}"/>
    <cellStyle name="Normal 18 3 17" xfId="5622" xr:uid="{00000000-0005-0000-0000-00002D200000}"/>
    <cellStyle name="Normal 18 3 17 2" xfId="17663" xr:uid="{00000000-0005-0000-0000-00002E200000}"/>
    <cellStyle name="Normal 18 3 18" xfId="5623" xr:uid="{00000000-0005-0000-0000-00002F200000}"/>
    <cellStyle name="Normal 18 3 18 2" xfId="17664" xr:uid="{00000000-0005-0000-0000-000030200000}"/>
    <cellStyle name="Normal 18 3 19" xfId="5624" xr:uid="{00000000-0005-0000-0000-000031200000}"/>
    <cellStyle name="Normal 18 3 19 2" xfId="17665" xr:uid="{00000000-0005-0000-0000-000032200000}"/>
    <cellStyle name="Normal 18 3 2" xfId="5625" xr:uid="{00000000-0005-0000-0000-000033200000}"/>
    <cellStyle name="Normal 18 3 2 2" xfId="17666" xr:uid="{00000000-0005-0000-0000-000034200000}"/>
    <cellStyle name="Normal 18 3 20" xfId="5626" xr:uid="{00000000-0005-0000-0000-000035200000}"/>
    <cellStyle name="Normal 18 3 20 2" xfId="17667" xr:uid="{00000000-0005-0000-0000-000036200000}"/>
    <cellStyle name="Normal 18 3 21" xfId="5627" xr:uid="{00000000-0005-0000-0000-000037200000}"/>
    <cellStyle name="Normal 18 3 21 2" xfId="17668" xr:uid="{00000000-0005-0000-0000-000038200000}"/>
    <cellStyle name="Normal 18 3 22" xfId="5628" xr:uid="{00000000-0005-0000-0000-000039200000}"/>
    <cellStyle name="Normal 18 3 22 2" xfId="17669" xr:uid="{00000000-0005-0000-0000-00003A200000}"/>
    <cellStyle name="Normal 18 3 23" xfId="5629" xr:uid="{00000000-0005-0000-0000-00003B200000}"/>
    <cellStyle name="Normal 18 3 23 2" xfId="17670" xr:uid="{00000000-0005-0000-0000-00003C200000}"/>
    <cellStyle name="Normal 18 3 24" xfId="5630" xr:uid="{00000000-0005-0000-0000-00003D200000}"/>
    <cellStyle name="Normal 18 3 24 2" xfId="17671" xr:uid="{00000000-0005-0000-0000-00003E200000}"/>
    <cellStyle name="Normal 18 3 25" xfId="5631" xr:uid="{00000000-0005-0000-0000-00003F200000}"/>
    <cellStyle name="Normal 18 3 25 2" xfId="17672" xr:uid="{00000000-0005-0000-0000-000040200000}"/>
    <cellStyle name="Normal 18 3 26" xfId="5632" xr:uid="{00000000-0005-0000-0000-000041200000}"/>
    <cellStyle name="Normal 18 3 26 2" xfId="17673" xr:uid="{00000000-0005-0000-0000-000042200000}"/>
    <cellStyle name="Normal 18 3 27" xfId="5633" xr:uid="{00000000-0005-0000-0000-000043200000}"/>
    <cellStyle name="Normal 18 3 27 2" xfId="17674" xr:uid="{00000000-0005-0000-0000-000044200000}"/>
    <cellStyle name="Normal 18 3 28" xfId="5634" xr:uid="{00000000-0005-0000-0000-000045200000}"/>
    <cellStyle name="Normal 18 3 28 2" xfId="17675" xr:uid="{00000000-0005-0000-0000-000046200000}"/>
    <cellStyle name="Normal 18 3 29" xfId="5635" xr:uid="{00000000-0005-0000-0000-000047200000}"/>
    <cellStyle name="Normal 18 3 29 2" xfId="17676" xr:uid="{00000000-0005-0000-0000-000048200000}"/>
    <cellStyle name="Normal 18 3 3" xfId="5636" xr:uid="{00000000-0005-0000-0000-000049200000}"/>
    <cellStyle name="Normal 18 3 3 2" xfId="17677" xr:uid="{00000000-0005-0000-0000-00004A200000}"/>
    <cellStyle name="Normal 18 3 30" xfId="5637" xr:uid="{00000000-0005-0000-0000-00004B200000}"/>
    <cellStyle name="Normal 18 3 30 2" xfId="17678" xr:uid="{00000000-0005-0000-0000-00004C200000}"/>
    <cellStyle name="Normal 18 3 31" xfId="5638" xr:uid="{00000000-0005-0000-0000-00004D200000}"/>
    <cellStyle name="Normal 18 3 31 2" xfId="17679" xr:uid="{00000000-0005-0000-0000-00004E200000}"/>
    <cellStyle name="Normal 18 3 32" xfId="5639" xr:uid="{00000000-0005-0000-0000-00004F200000}"/>
    <cellStyle name="Normal 18 3 32 2" xfId="17680" xr:uid="{00000000-0005-0000-0000-000050200000}"/>
    <cellStyle name="Normal 18 3 33" xfId="5640" xr:uid="{00000000-0005-0000-0000-000051200000}"/>
    <cellStyle name="Normal 18 3 33 2" xfId="17681" xr:uid="{00000000-0005-0000-0000-000052200000}"/>
    <cellStyle name="Normal 18 3 34" xfId="5641" xr:uid="{00000000-0005-0000-0000-000053200000}"/>
    <cellStyle name="Normal 18 3 34 2" xfId="17682" xr:uid="{00000000-0005-0000-0000-000054200000}"/>
    <cellStyle name="Normal 18 3 35" xfId="5642" xr:uid="{00000000-0005-0000-0000-000055200000}"/>
    <cellStyle name="Normal 18 3 35 2" xfId="17683" xr:uid="{00000000-0005-0000-0000-000056200000}"/>
    <cellStyle name="Normal 18 3 36" xfId="5643" xr:uid="{00000000-0005-0000-0000-000057200000}"/>
    <cellStyle name="Normal 18 3 36 2" xfId="17684" xr:uid="{00000000-0005-0000-0000-000058200000}"/>
    <cellStyle name="Normal 18 3 37" xfId="5644" xr:uid="{00000000-0005-0000-0000-000059200000}"/>
    <cellStyle name="Normal 18 3 37 2" xfId="17685" xr:uid="{00000000-0005-0000-0000-00005A200000}"/>
    <cellStyle name="Normal 18 3 38" xfId="5645" xr:uid="{00000000-0005-0000-0000-00005B200000}"/>
    <cellStyle name="Normal 18 3 38 2" xfId="17686" xr:uid="{00000000-0005-0000-0000-00005C200000}"/>
    <cellStyle name="Normal 18 3 39" xfId="5646" xr:uid="{00000000-0005-0000-0000-00005D200000}"/>
    <cellStyle name="Normal 18 3 39 2" xfId="17687" xr:uid="{00000000-0005-0000-0000-00005E200000}"/>
    <cellStyle name="Normal 18 3 4" xfId="5647" xr:uid="{00000000-0005-0000-0000-00005F200000}"/>
    <cellStyle name="Normal 18 3 4 2" xfId="17688" xr:uid="{00000000-0005-0000-0000-000060200000}"/>
    <cellStyle name="Normal 18 3 40" xfId="5648" xr:uid="{00000000-0005-0000-0000-000061200000}"/>
    <cellStyle name="Normal 18 3 40 2" xfId="17689" xr:uid="{00000000-0005-0000-0000-000062200000}"/>
    <cellStyle name="Normal 18 3 41" xfId="5649" xr:uid="{00000000-0005-0000-0000-000063200000}"/>
    <cellStyle name="Normal 18 3 41 2" xfId="17690" xr:uid="{00000000-0005-0000-0000-000064200000}"/>
    <cellStyle name="Normal 18 3 42" xfId="5650" xr:uid="{00000000-0005-0000-0000-000065200000}"/>
    <cellStyle name="Normal 18 3 42 2" xfId="17691" xr:uid="{00000000-0005-0000-0000-000066200000}"/>
    <cellStyle name="Normal 18 3 43" xfId="5651" xr:uid="{00000000-0005-0000-0000-000067200000}"/>
    <cellStyle name="Normal 18 3 43 2" xfId="17692" xr:uid="{00000000-0005-0000-0000-000068200000}"/>
    <cellStyle name="Normal 18 3 44" xfId="5652" xr:uid="{00000000-0005-0000-0000-000069200000}"/>
    <cellStyle name="Normal 18 3 44 2" xfId="17693" xr:uid="{00000000-0005-0000-0000-00006A200000}"/>
    <cellStyle name="Normal 18 3 45" xfId="5653" xr:uid="{00000000-0005-0000-0000-00006B200000}"/>
    <cellStyle name="Normal 18 3 45 2" xfId="17694" xr:uid="{00000000-0005-0000-0000-00006C200000}"/>
    <cellStyle name="Normal 18 3 46" xfId="5654" xr:uid="{00000000-0005-0000-0000-00006D200000}"/>
    <cellStyle name="Normal 18 3 46 2" xfId="17695" xr:uid="{00000000-0005-0000-0000-00006E200000}"/>
    <cellStyle name="Normal 18 3 47" xfId="5655" xr:uid="{00000000-0005-0000-0000-00006F200000}"/>
    <cellStyle name="Normal 18 3 47 2" xfId="17696" xr:uid="{00000000-0005-0000-0000-000070200000}"/>
    <cellStyle name="Normal 18 3 48" xfId="5656" xr:uid="{00000000-0005-0000-0000-000071200000}"/>
    <cellStyle name="Normal 18 3 48 2" xfId="17697" xr:uid="{00000000-0005-0000-0000-000072200000}"/>
    <cellStyle name="Normal 18 3 49" xfId="5657" xr:uid="{00000000-0005-0000-0000-000073200000}"/>
    <cellStyle name="Normal 18 3 49 2" xfId="17698" xr:uid="{00000000-0005-0000-0000-000074200000}"/>
    <cellStyle name="Normal 18 3 5" xfId="5658" xr:uid="{00000000-0005-0000-0000-000075200000}"/>
    <cellStyle name="Normal 18 3 5 2" xfId="17699" xr:uid="{00000000-0005-0000-0000-000076200000}"/>
    <cellStyle name="Normal 18 3 50" xfId="5659" xr:uid="{00000000-0005-0000-0000-000077200000}"/>
    <cellStyle name="Normal 18 3 50 2" xfId="17700" xr:uid="{00000000-0005-0000-0000-000078200000}"/>
    <cellStyle name="Normal 18 3 51" xfId="5660" xr:uid="{00000000-0005-0000-0000-000079200000}"/>
    <cellStyle name="Normal 18 3 51 2" xfId="17701" xr:uid="{00000000-0005-0000-0000-00007A200000}"/>
    <cellStyle name="Normal 18 3 52" xfId="5661" xr:uid="{00000000-0005-0000-0000-00007B200000}"/>
    <cellStyle name="Normal 18 3 52 2" xfId="17702" xr:uid="{00000000-0005-0000-0000-00007C200000}"/>
    <cellStyle name="Normal 18 3 53" xfId="5662" xr:uid="{00000000-0005-0000-0000-00007D200000}"/>
    <cellStyle name="Normal 18 3 53 2" xfId="17703" xr:uid="{00000000-0005-0000-0000-00007E200000}"/>
    <cellStyle name="Normal 18 3 54" xfId="5663" xr:uid="{00000000-0005-0000-0000-00007F200000}"/>
    <cellStyle name="Normal 18 3 54 2" xfId="17704" xr:uid="{00000000-0005-0000-0000-000080200000}"/>
    <cellStyle name="Normal 18 3 55" xfId="5664" xr:uid="{00000000-0005-0000-0000-000081200000}"/>
    <cellStyle name="Normal 18 3 55 2" xfId="17705" xr:uid="{00000000-0005-0000-0000-000082200000}"/>
    <cellStyle name="Normal 18 3 56" xfId="5665" xr:uid="{00000000-0005-0000-0000-000083200000}"/>
    <cellStyle name="Normal 18 3 56 2" xfId="17706" xr:uid="{00000000-0005-0000-0000-000084200000}"/>
    <cellStyle name="Normal 18 3 57" xfId="5666" xr:uid="{00000000-0005-0000-0000-000085200000}"/>
    <cellStyle name="Normal 18 3 57 2" xfId="17707" xr:uid="{00000000-0005-0000-0000-000086200000}"/>
    <cellStyle name="Normal 18 3 58" xfId="5667" xr:uid="{00000000-0005-0000-0000-000087200000}"/>
    <cellStyle name="Normal 18 3 58 2" xfId="17708" xr:uid="{00000000-0005-0000-0000-000088200000}"/>
    <cellStyle name="Normal 18 3 59" xfId="5668" xr:uid="{00000000-0005-0000-0000-000089200000}"/>
    <cellStyle name="Normal 18 3 59 2" xfId="17709" xr:uid="{00000000-0005-0000-0000-00008A200000}"/>
    <cellStyle name="Normal 18 3 6" xfId="5669" xr:uid="{00000000-0005-0000-0000-00008B200000}"/>
    <cellStyle name="Normal 18 3 6 2" xfId="17710" xr:uid="{00000000-0005-0000-0000-00008C200000}"/>
    <cellStyle name="Normal 18 3 60" xfId="5670" xr:uid="{00000000-0005-0000-0000-00008D200000}"/>
    <cellStyle name="Normal 18 3 60 2" xfId="17711" xr:uid="{00000000-0005-0000-0000-00008E200000}"/>
    <cellStyle name="Normal 18 3 61" xfId="5671" xr:uid="{00000000-0005-0000-0000-00008F200000}"/>
    <cellStyle name="Normal 18 3 61 2" xfId="17712" xr:uid="{00000000-0005-0000-0000-000090200000}"/>
    <cellStyle name="Normal 18 3 62" xfId="5672" xr:uid="{00000000-0005-0000-0000-000091200000}"/>
    <cellStyle name="Normal 18 3 62 2" xfId="17713" xr:uid="{00000000-0005-0000-0000-000092200000}"/>
    <cellStyle name="Normal 18 3 63" xfId="5673" xr:uid="{00000000-0005-0000-0000-000093200000}"/>
    <cellStyle name="Normal 18 3 63 2" xfId="17714" xr:uid="{00000000-0005-0000-0000-000094200000}"/>
    <cellStyle name="Normal 18 3 64" xfId="5674" xr:uid="{00000000-0005-0000-0000-000095200000}"/>
    <cellStyle name="Normal 18 3 64 2" xfId="17715" xr:uid="{00000000-0005-0000-0000-000096200000}"/>
    <cellStyle name="Normal 18 3 65" xfId="5675" xr:uid="{00000000-0005-0000-0000-000097200000}"/>
    <cellStyle name="Normal 18 3 65 2" xfId="17716" xr:uid="{00000000-0005-0000-0000-000098200000}"/>
    <cellStyle name="Normal 18 3 66" xfId="5676" xr:uid="{00000000-0005-0000-0000-000099200000}"/>
    <cellStyle name="Normal 18 3 66 2" xfId="17717" xr:uid="{00000000-0005-0000-0000-00009A200000}"/>
    <cellStyle name="Normal 18 3 67" xfId="5677" xr:uid="{00000000-0005-0000-0000-00009B200000}"/>
    <cellStyle name="Normal 18 3 67 2" xfId="17718" xr:uid="{00000000-0005-0000-0000-00009C200000}"/>
    <cellStyle name="Normal 18 3 68" xfId="5678" xr:uid="{00000000-0005-0000-0000-00009D200000}"/>
    <cellStyle name="Normal 18 3 68 2" xfId="17719" xr:uid="{00000000-0005-0000-0000-00009E200000}"/>
    <cellStyle name="Normal 18 3 69" xfId="5679" xr:uid="{00000000-0005-0000-0000-00009F200000}"/>
    <cellStyle name="Normal 18 3 69 2" xfId="17720" xr:uid="{00000000-0005-0000-0000-0000A0200000}"/>
    <cellStyle name="Normal 18 3 7" xfId="5680" xr:uid="{00000000-0005-0000-0000-0000A1200000}"/>
    <cellStyle name="Normal 18 3 7 2" xfId="17721" xr:uid="{00000000-0005-0000-0000-0000A2200000}"/>
    <cellStyle name="Normal 18 3 70" xfId="5681" xr:uid="{00000000-0005-0000-0000-0000A3200000}"/>
    <cellStyle name="Normal 18 3 70 2" xfId="17722" xr:uid="{00000000-0005-0000-0000-0000A4200000}"/>
    <cellStyle name="Normal 18 3 71" xfId="5682" xr:uid="{00000000-0005-0000-0000-0000A5200000}"/>
    <cellStyle name="Normal 18 3 71 2" xfId="17723" xr:uid="{00000000-0005-0000-0000-0000A6200000}"/>
    <cellStyle name="Normal 18 3 72" xfId="5683" xr:uid="{00000000-0005-0000-0000-0000A7200000}"/>
    <cellStyle name="Normal 18 3 72 2" xfId="17724" xr:uid="{00000000-0005-0000-0000-0000A8200000}"/>
    <cellStyle name="Normal 18 3 73" xfId="5684" xr:uid="{00000000-0005-0000-0000-0000A9200000}"/>
    <cellStyle name="Normal 18 3 73 2" xfId="17725" xr:uid="{00000000-0005-0000-0000-0000AA200000}"/>
    <cellStyle name="Normal 18 3 74" xfId="5685" xr:uid="{00000000-0005-0000-0000-0000AB200000}"/>
    <cellStyle name="Normal 18 3 74 2" xfId="17726" xr:uid="{00000000-0005-0000-0000-0000AC200000}"/>
    <cellStyle name="Normal 18 3 75" xfId="5686" xr:uid="{00000000-0005-0000-0000-0000AD200000}"/>
    <cellStyle name="Normal 18 3 75 2" xfId="17727" xr:uid="{00000000-0005-0000-0000-0000AE200000}"/>
    <cellStyle name="Normal 18 3 76" xfId="5687" xr:uid="{00000000-0005-0000-0000-0000AF200000}"/>
    <cellStyle name="Normal 18 3 76 2" xfId="17728" xr:uid="{00000000-0005-0000-0000-0000B0200000}"/>
    <cellStyle name="Normal 18 3 77" xfId="5688" xr:uid="{00000000-0005-0000-0000-0000B1200000}"/>
    <cellStyle name="Normal 18 3 77 2" xfId="17729" xr:uid="{00000000-0005-0000-0000-0000B2200000}"/>
    <cellStyle name="Normal 18 3 78" xfId="5689" xr:uid="{00000000-0005-0000-0000-0000B3200000}"/>
    <cellStyle name="Normal 18 3 78 2" xfId="17730" xr:uid="{00000000-0005-0000-0000-0000B4200000}"/>
    <cellStyle name="Normal 18 3 79" xfId="5690" xr:uid="{00000000-0005-0000-0000-0000B5200000}"/>
    <cellStyle name="Normal 18 3 79 2" xfId="17731" xr:uid="{00000000-0005-0000-0000-0000B6200000}"/>
    <cellStyle name="Normal 18 3 8" xfId="5691" xr:uid="{00000000-0005-0000-0000-0000B7200000}"/>
    <cellStyle name="Normal 18 3 8 2" xfId="17732" xr:uid="{00000000-0005-0000-0000-0000B8200000}"/>
    <cellStyle name="Normal 18 3 80" xfId="17655" xr:uid="{00000000-0005-0000-0000-0000B9200000}"/>
    <cellStyle name="Normal 18 3 9" xfId="5692" xr:uid="{00000000-0005-0000-0000-0000BA200000}"/>
    <cellStyle name="Normal 18 3 9 2" xfId="17733" xr:uid="{00000000-0005-0000-0000-0000BB200000}"/>
    <cellStyle name="Normal 18 30" xfId="5693" xr:uid="{00000000-0005-0000-0000-0000BC200000}"/>
    <cellStyle name="Normal 18 30 2" xfId="17734" xr:uid="{00000000-0005-0000-0000-0000BD200000}"/>
    <cellStyle name="Normal 18 31" xfId="5694" xr:uid="{00000000-0005-0000-0000-0000BE200000}"/>
    <cellStyle name="Normal 18 31 2" xfId="17735" xr:uid="{00000000-0005-0000-0000-0000BF200000}"/>
    <cellStyle name="Normal 18 32" xfId="5695" xr:uid="{00000000-0005-0000-0000-0000C0200000}"/>
    <cellStyle name="Normal 18 32 2" xfId="17736" xr:uid="{00000000-0005-0000-0000-0000C1200000}"/>
    <cellStyle name="Normal 18 33" xfId="5696" xr:uid="{00000000-0005-0000-0000-0000C2200000}"/>
    <cellStyle name="Normal 18 33 2" xfId="17737" xr:uid="{00000000-0005-0000-0000-0000C3200000}"/>
    <cellStyle name="Normal 18 34" xfId="5697" xr:uid="{00000000-0005-0000-0000-0000C4200000}"/>
    <cellStyle name="Normal 18 34 2" xfId="17738" xr:uid="{00000000-0005-0000-0000-0000C5200000}"/>
    <cellStyle name="Normal 18 35" xfId="5698" xr:uid="{00000000-0005-0000-0000-0000C6200000}"/>
    <cellStyle name="Normal 18 35 2" xfId="17739" xr:uid="{00000000-0005-0000-0000-0000C7200000}"/>
    <cellStyle name="Normal 18 36" xfId="5699" xr:uid="{00000000-0005-0000-0000-0000C8200000}"/>
    <cellStyle name="Normal 18 36 2" xfId="17740" xr:uid="{00000000-0005-0000-0000-0000C9200000}"/>
    <cellStyle name="Normal 18 37" xfId="5700" xr:uid="{00000000-0005-0000-0000-0000CA200000}"/>
    <cellStyle name="Normal 18 37 2" xfId="17741" xr:uid="{00000000-0005-0000-0000-0000CB200000}"/>
    <cellStyle name="Normal 18 38" xfId="5701" xr:uid="{00000000-0005-0000-0000-0000CC200000}"/>
    <cellStyle name="Normal 18 38 2" xfId="17742" xr:uid="{00000000-0005-0000-0000-0000CD200000}"/>
    <cellStyle name="Normal 18 39" xfId="5702" xr:uid="{00000000-0005-0000-0000-0000CE200000}"/>
    <cellStyle name="Normal 18 39 2" xfId="17743" xr:uid="{00000000-0005-0000-0000-0000CF200000}"/>
    <cellStyle name="Normal 18 4" xfId="5703" xr:uid="{00000000-0005-0000-0000-0000D0200000}"/>
    <cellStyle name="Normal 18 4 10" xfId="5704" xr:uid="{00000000-0005-0000-0000-0000D1200000}"/>
    <cellStyle name="Normal 18 4 10 2" xfId="17745" xr:uid="{00000000-0005-0000-0000-0000D2200000}"/>
    <cellStyle name="Normal 18 4 11" xfId="5705" xr:uid="{00000000-0005-0000-0000-0000D3200000}"/>
    <cellStyle name="Normal 18 4 11 2" xfId="17746" xr:uid="{00000000-0005-0000-0000-0000D4200000}"/>
    <cellStyle name="Normal 18 4 12" xfId="5706" xr:uid="{00000000-0005-0000-0000-0000D5200000}"/>
    <cellStyle name="Normal 18 4 12 2" xfId="17747" xr:uid="{00000000-0005-0000-0000-0000D6200000}"/>
    <cellStyle name="Normal 18 4 13" xfId="5707" xr:uid="{00000000-0005-0000-0000-0000D7200000}"/>
    <cellStyle name="Normal 18 4 13 2" xfId="17748" xr:uid="{00000000-0005-0000-0000-0000D8200000}"/>
    <cellStyle name="Normal 18 4 14" xfId="5708" xr:uid="{00000000-0005-0000-0000-0000D9200000}"/>
    <cellStyle name="Normal 18 4 14 2" xfId="17749" xr:uid="{00000000-0005-0000-0000-0000DA200000}"/>
    <cellStyle name="Normal 18 4 15" xfId="5709" xr:uid="{00000000-0005-0000-0000-0000DB200000}"/>
    <cellStyle name="Normal 18 4 15 2" xfId="17750" xr:uid="{00000000-0005-0000-0000-0000DC200000}"/>
    <cellStyle name="Normal 18 4 16" xfId="5710" xr:uid="{00000000-0005-0000-0000-0000DD200000}"/>
    <cellStyle name="Normal 18 4 16 2" xfId="17751" xr:uid="{00000000-0005-0000-0000-0000DE200000}"/>
    <cellStyle name="Normal 18 4 17" xfId="5711" xr:uid="{00000000-0005-0000-0000-0000DF200000}"/>
    <cellStyle name="Normal 18 4 17 2" xfId="17752" xr:uid="{00000000-0005-0000-0000-0000E0200000}"/>
    <cellStyle name="Normal 18 4 18" xfId="5712" xr:uid="{00000000-0005-0000-0000-0000E1200000}"/>
    <cellStyle name="Normal 18 4 18 2" xfId="17753" xr:uid="{00000000-0005-0000-0000-0000E2200000}"/>
    <cellStyle name="Normal 18 4 19" xfId="5713" xr:uid="{00000000-0005-0000-0000-0000E3200000}"/>
    <cellStyle name="Normal 18 4 19 2" xfId="17754" xr:uid="{00000000-0005-0000-0000-0000E4200000}"/>
    <cellStyle name="Normal 18 4 2" xfId="5714" xr:uid="{00000000-0005-0000-0000-0000E5200000}"/>
    <cellStyle name="Normal 18 4 2 2" xfId="17755" xr:uid="{00000000-0005-0000-0000-0000E6200000}"/>
    <cellStyle name="Normal 18 4 20" xfId="5715" xr:uid="{00000000-0005-0000-0000-0000E7200000}"/>
    <cellStyle name="Normal 18 4 20 2" xfId="17756" xr:uid="{00000000-0005-0000-0000-0000E8200000}"/>
    <cellStyle name="Normal 18 4 21" xfId="5716" xr:uid="{00000000-0005-0000-0000-0000E9200000}"/>
    <cellStyle name="Normal 18 4 21 2" xfId="17757" xr:uid="{00000000-0005-0000-0000-0000EA200000}"/>
    <cellStyle name="Normal 18 4 22" xfId="5717" xr:uid="{00000000-0005-0000-0000-0000EB200000}"/>
    <cellStyle name="Normal 18 4 22 2" xfId="17758" xr:uid="{00000000-0005-0000-0000-0000EC200000}"/>
    <cellStyle name="Normal 18 4 23" xfId="5718" xr:uid="{00000000-0005-0000-0000-0000ED200000}"/>
    <cellStyle name="Normal 18 4 23 2" xfId="17759" xr:uid="{00000000-0005-0000-0000-0000EE200000}"/>
    <cellStyle name="Normal 18 4 24" xfId="5719" xr:uid="{00000000-0005-0000-0000-0000EF200000}"/>
    <cellStyle name="Normal 18 4 24 2" xfId="17760" xr:uid="{00000000-0005-0000-0000-0000F0200000}"/>
    <cellStyle name="Normal 18 4 25" xfId="5720" xr:uid="{00000000-0005-0000-0000-0000F1200000}"/>
    <cellStyle name="Normal 18 4 25 2" xfId="17761" xr:uid="{00000000-0005-0000-0000-0000F2200000}"/>
    <cellStyle name="Normal 18 4 26" xfId="5721" xr:uid="{00000000-0005-0000-0000-0000F3200000}"/>
    <cellStyle name="Normal 18 4 26 2" xfId="17762" xr:uid="{00000000-0005-0000-0000-0000F4200000}"/>
    <cellStyle name="Normal 18 4 27" xfId="5722" xr:uid="{00000000-0005-0000-0000-0000F5200000}"/>
    <cellStyle name="Normal 18 4 27 2" xfId="17763" xr:uid="{00000000-0005-0000-0000-0000F6200000}"/>
    <cellStyle name="Normal 18 4 28" xfId="5723" xr:uid="{00000000-0005-0000-0000-0000F7200000}"/>
    <cellStyle name="Normal 18 4 28 2" xfId="17764" xr:uid="{00000000-0005-0000-0000-0000F8200000}"/>
    <cellStyle name="Normal 18 4 29" xfId="5724" xr:uid="{00000000-0005-0000-0000-0000F9200000}"/>
    <cellStyle name="Normal 18 4 29 2" xfId="17765" xr:uid="{00000000-0005-0000-0000-0000FA200000}"/>
    <cellStyle name="Normal 18 4 3" xfId="5725" xr:uid="{00000000-0005-0000-0000-0000FB200000}"/>
    <cellStyle name="Normal 18 4 3 2" xfId="17766" xr:uid="{00000000-0005-0000-0000-0000FC200000}"/>
    <cellStyle name="Normal 18 4 30" xfId="5726" xr:uid="{00000000-0005-0000-0000-0000FD200000}"/>
    <cellStyle name="Normal 18 4 30 2" xfId="17767" xr:uid="{00000000-0005-0000-0000-0000FE200000}"/>
    <cellStyle name="Normal 18 4 31" xfId="5727" xr:uid="{00000000-0005-0000-0000-0000FF200000}"/>
    <cellStyle name="Normal 18 4 31 2" xfId="17768" xr:uid="{00000000-0005-0000-0000-000000210000}"/>
    <cellStyle name="Normal 18 4 32" xfId="5728" xr:uid="{00000000-0005-0000-0000-000001210000}"/>
    <cellStyle name="Normal 18 4 32 2" xfId="17769" xr:uid="{00000000-0005-0000-0000-000002210000}"/>
    <cellStyle name="Normal 18 4 33" xfId="5729" xr:uid="{00000000-0005-0000-0000-000003210000}"/>
    <cellStyle name="Normal 18 4 33 2" xfId="17770" xr:uid="{00000000-0005-0000-0000-000004210000}"/>
    <cellStyle name="Normal 18 4 34" xfId="5730" xr:uid="{00000000-0005-0000-0000-000005210000}"/>
    <cellStyle name="Normal 18 4 34 2" xfId="17771" xr:uid="{00000000-0005-0000-0000-000006210000}"/>
    <cellStyle name="Normal 18 4 35" xfId="5731" xr:uid="{00000000-0005-0000-0000-000007210000}"/>
    <cellStyle name="Normal 18 4 35 2" xfId="17772" xr:uid="{00000000-0005-0000-0000-000008210000}"/>
    <cellStyle name="Normal 18 4 36" xfId="5732" xr:uid="{00000000-0005-0000-0000-000009210000}"/>
    <cellStyle name="Normal 18 4 36 2" xfId="17773" xr:uid="{00000000-0005-0000-0000-00000A210000}"/>
    <cellStyle name="Normal 18 4 37" xfId="5733" xr:uid="{00000000-0005-0000-0000-00000B210000}"/>
    <cellStyle name="Normal 18 4 37 2" xfId="17774" xr:uid="{00000000-0005-0000-0000-00000C210000}"/>
    <cellStyle name="Normal 18 4 38" xfId="5734" xr:uid="{00000000-0005-0000-0000-00000D210000}"/>
    <cellStyle name="Normal 18 4 38 2" xfId="17775" xr:uid="{00000000-0005-0000-0000-00000E210000}"/>
    <cellStyle name="Normal 18 4 39" xfId="5735" xr:uid="{00000000-0005-0000-0000-00000F210000}"/>
    <cellStyle name="Normal 18 4 39 2" xfId="17776" xr:uid="{00000000-0005-0000-0000-000010210000}"/>
    <cellStyle name="Normal 18 4 4" xfId="5736" xr:uid="{00000000-0005-0000-0000-000011210000}"/>
    <cellStyle name="Normal 18 4 4 2" xfId="17777" xr:uid="{00000000-0005-0000-0000-000012210000}"/>
    <cellStyle name="Normal 18 4 40" xfId="5737" xr:uid="{00000000-0005-0000-0000-000013210000}"/>
    <cellStyle name="Normal 18 4 40 2" xfId="17778" xr:uid="{00000000-0005-0000-0000-000014210000}"/>
    <cellStyle name="Normal 18 4 41" xfId="5738" xr:uid="{00000000-0005-0000-0000-000015210000}"/>
    <cellStyle name="Normal 18 4 41 2" xfId="17779" xr:uid="{00000000-0005-0000-0000-000016210000}"/>
    <cellStyle name="Normal 18 4 42" xfId="5739" xr:uid="{00000000-0005-0000-0000-000017210000}"/>
    <cellStyle name="Normal 18 4 42 2" xfId="17780" xr:uid="{00000000-0005-0000-0000-000018210000}"/>
    <cellStyle name="Normal 18 4 43" xfId="5740" xr:uid="{00000000-0005-0000-0000-000019210000}"/>
    <cellStyle name="Normal 18 4 43 2" xfId="17781" xr:uid="{00000000-0005-0000-0000-00001A210000}"/>
    <cellStyle name="Normal 18 4 44" xfId="5741" xr:uid="{00000000-0005-0000-0000-00001B210000}"/>
    <cellStyle name="Normal 18 4 44 2" xfId="17782" xr:uid="{00000000-0005-0000-0000-00001C210000}"/>
    <cellStyle name="Normal 18 4 45" xfId="5742" xr:uid="{00000000-0005-0000-0000-00001D210000}"/>
    <cellStyle name="Normal 18 4 45 2" xfId="17783" xr:uid="{00000000-0005-0000-0000-00001E210000}"/>
    <cellStyle name="Normal 18 4 46" xfId="5743" xr:uid="{00000000-0005-0000-0000-00001F210000}"/>
    <cellStyle name="Normal 18 4 46 2" xfId="17784" xr:uid="{00000000-0005-0000-0000-000020210000}"/>
    <cellStyle name="Normal 18 4 47" xfId="5744" xr:uid="{00000000-0005-0000-0000-000021210000}"/>
    <cellStyle name="Normal 18 4 47 2" xfId="17785" xr:uid="{00000000-0005-0000-0000-000022210000}"/>
    <cellStyle name="Normal 18 4 48" xfId="5745" xr:uid="{00000000-0005-0000-0000-000023210000}"/>
    <cellStyle name="Normal 18 4 48 2" xfId="17786" xr:uid="{00000000-0005-0000-0000-000024210000}"/>
    <cellStyle name="Normal 18 4 49" xfId="5746" xr:uid="{00000000-0005-0000-0000-000025210000}"/>
    <cellStyle name="Normal 18 4 49 2" xfId="17787" xr:uid="{00000000-0005-0000-0000-000026210000}"/>
    <cellStyle name="Normal 18 4 5" xfId="5747" xr:uid="{00000000-0005-0000-0000-000027210000}"/>
    <cellStyle name="Normal 18 4 5 2" xfId="17788" xr:uid="{00000000-0005-0000-0000-000028210000}"/>
    <cellStyle name="Normal 18 4 50" xfId="5748" xr:uid="{00000000-0005-0000-0000-000029210000}"/>
    <cellStyle name="Normal 18 4 50 2" xfId="17789" xr:uid="{00000000-0005-0000-0000-00002A210000}"/>
    <cellStyle name="Normal 18 4 51" xfId="5749" xr:uid="{00000000-0005-0000-0000-00002B210000}"/>
    <cellStyle name="Normal 18 4 51 2" xfId="17790" xr:uid="{00000000-0005-0000-0000-00002C210000}"/>
    <cellStyle name="Normal 18 4 52" xfId="5750" xr:uid="{00000000-0005-0000-0000-00002D210000}"/>
    <cellStyle name="Normal 18 4 52 2" xfId="17791" xr:uid="{00000000-0005-0000-0000-00002E210000}"/>
    <cellStyle name="Normal 18 4 53" xfId="5751" xr:uid="{00000000-0005-0000-0000-00002F210000}"/>
    <cellStyle name="Normal 18 4 53 2" xfId="17792" xr:uid="{00000000-0005-0000-0000-000030210000}"/>
    <cellStyle name="Normal 18 4 54" xfId="5752" xr:uid="{00000000-0005-0000-0000-000031210000}"/>
    <cellStyle name="Normal 18 4 54 2" xfId="17793" xr:uid="{00000000-0005-0000-0000-000032210000}"/>
    <cellStyle name="Normal 18 4 55" xfId="5753" xr:uid="{00000000-0005-0000-0000-000033210000}"/>
    <cellStyle name="Normal 18 4 55 2" xfId="17794" xr:uid="{00000000-0005-0000-0000-000034210000}"/>
    <cellStyle name="Normal 18 4 56" xfId="5754" xr:uid="{00000000-0005-0000-0000-000035210000}"/>
    <cellStyle name="Normal 18 4 56 2" xfId="17795" xr:uid="{00000000-0005-0000-0000-000036210000}"/>
    <cellStyle name="Normal 18 4 57" xfId="5755" xr:uid="{00000000-0005-0000-0000-000037210000}"/>
    <cellStyle name="Normal 18 4 57 2" xfId="17796" xr:uid="{00000000-0005-0000-0000-000038210000}"/>
    <cellStyle name="Normal 18 4 58" xfId="5756" xr:uid="{00000000-0005-0000-0000-000039210000}"/>
    <cellStyle name="Normal 18 4 58 2" xfId="17797" xr:uid="{00000000-0005-0000-0000-00003A210000}"/>
    <cellStyle name="Normal 18 4 59" xfId="5757" xr:uid="{00000000-0005-0000-0000-00003B210000}"/>
    <cellStyle name="Normal 18 4 59 2" xfId="17798" xr:uid="{00000000-0005-0000-0000-00003C210000}"/>
    <cellStyle name="Normal 18 4 6" xfId="5758" xr:uid="{00000000-0005-0000-0000-00003D210000}"/>
    <cellStyle name="Normal 18 4 6 2" xfId="17799" xr:uid="{00000000-0005-0000-0000-00003E210000}"/>
    <cellStyle name="Normal 18 4 60" xfId="5759" xr:uid="{00000000-0005-0000-0000-00003F210000}"/>
    <cellStyle name="Normal 18 4 60 2" xfId="17800" xr:uid="{00000000-0005-0000-0000-000040210000}"/>
    <cellStyle name="Normal 18 4 61" xfId="5760" xr:uid="{00000000-0005-0000-0000-000041210000}"/>
    <cellStyle name="Normal 18 4 61 2" xfId="17801" xr:uid="{00000000-0005-0000-0000-000042210000}"/>
    <cellStyle name="Normal 18 4 62" xfId="5761" xr:uid="{00000000-0005-0000-0000-000043210000}"/>
    <cellStyle name="Normal 18 4 62 2" xfId="17802" xr:uid="{00000000-0005-0000-0000-000044210000}"/>
    <cellStyle name="Normal 18 4 63" xfId="5762" xr:uid="{00000000-0005-0000-0000-000045210000}"/>
    <cellStyle name="Normal 18 4 63 2" xfId="17803" xr:uid="{00000000-0005-0000-0000-000046210000}"/>
    <cellStyle name="Normal 18 4 64" xfId="5763" xr:uid="{00000000-0005-0000-0000-000047210000}"/>
    <cellStyle name="Normal 18 4 64 2" xfId="17804" xr:uid="{00000000-0005-0000-0000-000048210000}"/>
    <cellStyle name="Normal 18 4 65" xfId="5764" xr:uid="{00000000-0005-0000-0000-000049210000}"/>
    <cellStyle name="Normal 18 4 65 2" xfId="17805" xr:uid="{00000000-0005-0000-0000-00004A210000}"/>
    <cellStyle name="Normal 18 4 66" xfId="5765" xr:uid="{00000000-0005-0000-0000-00004B210000}"/>
    <cellStyle name="Normal 18 4 66 2" xfId="17806" xr:uid="{00000000-0005-0000-0000-00004C210000}"/>
    <cellStyle name="Normal 18 4 67" xfId="5766" xr:uid="{00000000-0005-0000-0000-00004D210000}"/>
    <cellStyle name="Normal 18 4 67 2" xfId="17807" xr:uid="{00000000-0005-0000-0000-00004E210000}"/>
    <cellStyle name="Normal 18 4 68" xfId="5767" xr:uid="{00000000-0005-0000-0000-00004F210000}"/>
    <cellStyle name="Normal 18 4 68 2" xfId="17808" xr:uid="{00000000-0005-0000-0000-000050210000}"/>
    <cellStyle name="Normal 18 4 69" xfId="5768" xr:uid="{00000000-0005-0000-0000-000051210000}"/>
    <cellStyle name="Normal 18 4 69 2" xfId="17809" xr:uid="{00000000-0005-0000-0000-000052210000}"/>
    <cellStyle name="Normal 18 4 7" xfId="5769" xr:uid="{00000000-0005-0000-0000-000053210000}"/>
    <cellStyle name="Normal 18 4 7 2" xfId="17810" xr:uid="{00000000-0005-0000-0000-000054210000}"/>
    <cellStyle name="Normal 18 4 70" xfId="5770" xr:uid="{00000000-0005-0000-0000-000055210000}"/>
    <cellStyle name="Normal 18 4 70 2" xfId="17811" xr:uid="{00000000-0005-0000-0000-000056210000}"/>
    <cellStyle name="Normal 18 4 71" xfId="5771" xr:uid="{00000000-0005-0000-0000-000057210000}"/>
    <cellStyle name="Normal 18 4 71 2" xfId="17812" xr:uid="{00000000-0005-0000-0000-000058210000}"/>
    <cellStyle name="Normal 18 4 72" xfId="5772" xr:uid="{00000000-0005-0000-0000-000059210000}"/>
    <cellStyle name="Normal 18 4 72 2" xfId="17813" xr:uid="{00000000-0005-0000-0000-00005A210000}"/>
    <cellStyle name="Normal 18 4 73" xfId="5773" xr:uid="{00000000-0005-0000-0000-00005B210000}"/>
    <cellStyle name="Normal 18 4 73 2" xfId="17814" xr:uid="{00000000-0005-0000-0000-00005C210000}"/>
    <cellStyle name="Normal 18 4 74" xfId="5774" xr:uid="{00000000-0005-0000-0000-00005D210000}"/>
    <cellStyle name="Normal 18 4 74 2" xfId="17815" xr:uid="{00000000-0005-0000-0000-00005E210000}"/>
    <cellStyle name="Normal 18 4 75" xfId="5775" xr:uid="{00000000-0005-0000-0000-00005F210000}"/>
    <cellStyle name="Normal 18 4 75 2" xfId="17816" xr:uid="{00000000-0005-0000-0000-000060210000}"/>
    <cellStyle name="Normal 18 4 76" xfId="5776" xr:uid="{00000000-0005-0000-0000-000061210000}"/>
    <cellStyle name="Normal 18 4 76 2" xfId="17817" xr:uid="{00000000-0005-0000-0000-000062210000}"/>
    <cellStyle name="Normal 18 4 77" xfId="5777" xr:uid="{00000000-0005-0000-0000-000063210000}"/>
    <cellStyle name="Normal 18 4 77 2" xfId="17818" xr:uid="{00000000-0005-0000-0000-000064210000}"/>
    <cellStyle name="Normal 18 4 78" xfId="5778" xr:uid="{00000000-0005-0000-0000-000065210000}"/>
    <cellStyle name="Normal 18 4 78 2" xfId="17819" xr:uid="{00000000-0005-0000-0000-000066210000}"/>
    <cellStyle name="Normal 18 4 79" xfId="5779" xr:uid="{00000000-0005-0000-0000-000067210000}"/>
    <cellStyle name="Normal 18 4 79 2" xfId="17820" xr:uid="{00000000-0005-0000-0000-000068210000}"/>
    <cellStyle name="Normal 18 4 8" xfId="5780" xr:uid="{00000000-0005-0000-0000-000069210000}"/>
    <cellStyle name="Normal 18 4 8 2" xfId="17821" xr:uid="{00000000-0005-0000-0000-00006A210000}"/>
    <cellStyle name="Normal 18 4 80" xfId="17744" xr:uid="{00000000-0005-0000-0000-00006B210000}"/>
    <cellStyle name="Normal 18 4 9" xfId="5781" xr:uid="{00000000-0005-0000-0000-00006C210000}"/>
    <cellStyle name="Normal 18 4 9 2" xfId="17822" xr:uid="{00000000-0005-0000-0000-00006D210000}"/>
    <cellStyle name="Normal 18 40" xfId="5782" xr:uid="{00000000-0005-0000-0000-00006E210000}"/>
    <cellStyle name="Normal 18 40 2" xfId="17823" xr:uid="{00000000-0005-0000-0000-00006F210000}"/>
    <cellStyle name="Normal 18 41" xfId="5783" xr:uid="{00000000-0005-0000-0000-000070210000}"/>
    <cellStyle name="Normal 18 41 2" xfId="17824" xr:uid="{00000000-0005-0000-0000-000071210000}"/>
    <cellStyle name="Normal 18 42" xfId="5784" xr:uid="{00000000-0005-0000-0000-000072210000}"/>
    <cellStyle name="Normal 18 42 2" xfId="17825" xr:uid="{00000000-0005-0000-0000-000073210000}"/>
    <cellStyle name="Normal 18 43" xfId="5785" xr:uid="{00000000-0005-0000-0000-000074210000}"/>
    <cellStyle name="Normal 18 43 2" xfId="17826" xr:uid="{00000000-0005-0000-0000-000075210000}"/>
    <cellStyle name="Normal 18 44" xfId="5786" xr:uid="{00000000-0005-0000-0000-000076210000}"/>
    <cellStyle name="Normal 18 44 2" xfId="17827" xr:uid="{00000000-0005-0000-0000-000077210000}"/>
    <cellStyle name="Normal 18 45" xfId="5787" xr:uid="{00000000-0005-0000-0000-000078210000}"/>
    <cellStyle name="Normal 18 45 2" xfId="17828" xr:uid="{00000000-0005-0000-0000-000079210000}"/>
    <cellStyle name="Normal 18 46" xfId="5788" xr:uid="{00000000-0005-0000-0000-00007A210000}"/>
    <cellStyle name="Normal 18 46 2" xfId="17829" xr:uid="{00000000-0005-0000-0000-00007B210000}"/>
    <cellStyle name="Normal 18 47" xfId="5789" xr:uid="{00000000-0005-0000-0000-00007C210000}"/>
    <cellStyle name="Normal 18 47 2" xfId="17830" xr:uid="{00000000-0005-0000-0000-00007D210000}"/>
    <cellStyle name="Normal 18 48" xfId="5790" xr:uid="{00000000-0005-0000-0000-00007E210000}"/>
    <cellStyle name="Normal 18 48 2" xfId="17831" xr:uid="{00000000-0005-0000-0000-00007F210000}"/>
    <cellStyle name="Normal 18 49" xfId="5791" xr:uid="{00000000-0005-0000-0000-000080210000}"/>
    <cellStyle name="Normal 18 49 2" xfId="17832" xr:uid="{00000000-0005-0000-0000-000081210000}"/>
    <cellStyle name="Normal 18 5" xfId="5792" xr:uid="{00000000-0005-0000-0000-000082210000}"/>
    <cellStyle name="Normal 18 5 2" xfId="17833" xr:uid="{00000000-0005-0000-0000-000083210000}"/>
    <cellStyle name="Normal 18 50" xfId="5793" xr:uid="{00000000-0005-0000-0000-000084210000}"/>
    <cellStyle name="Normal 18 50 2" xfId="17834" xr:uid="{00000000-0005-0000-0000-000085210000}"/>
    <cellStyle name="Normal 18 51" xfId="5794" xr:uid="{00000000-0005-0000-0000-000086210000}"/>
    <cellStyle name="Normal 18 51 2" xfId="17835" xr:uid="{00000000-0005-0000-0000-000087210000}"/>
    <cellStyle name="Normal 18 52" xfId="5795" xr:uid="{00000000-0005-0000-0000-000088210000}"/>
    <cellStyle name="Normal 18 52 2" xfId="17836" xr:uid="{00000000-0005-0000-0000-000089210000}"/>
    <cellStyle name="Normal 18 53" xfId="5796" xr:uid="{00000000-0005-0000-0000-00008A210000}"/>
    <cellStyle name="Normal 18 53 2" xfId="17837" xr:uid="{00000000-0005-0000-0000-00008B210000}"/>
    <cellStyle name="Normal 18 54" xfId="5797" xr:uid="{00000000-0005-0000-0000-00008C210000}"/>
    <cellStyle name="Normal 18 54 2" xfId="17838" xr:uid="{00000000-0005-0000-0000-00008D210000}"/>
    <cellStyle name="Normal 18 55" xfId="5798" xr:uid="{00000000-0005-0000-0000-00008E210000}"/>
    <cellStyle name="Normal 18 55 2" xfId="17839" xr:uid="{00000000-0005-0000-0000-00008F210000}"/>
    <cellStyle name="Normal 18 56" xfId="5799" xr:uid="{00000000-0005-0000-0000-000090210000}"/>
    <cellStyle name="Normal 18 56 2" xfId="17840" xr:uid="{00000000-0005-0000-0000-000091210000}"/>
    <cellStyle name="Normal 18 57" xfId="5800" xr:uid="{00000000-0005-0000-0000-000092210000}"/>
    <cellStyle name="Normal 18 57 2" xfId="17841" xr:uid="{00000000-0005-0000-0000-000093210000}"/>
    <cellStyle name="Normal 18 58" xfId="5801" xr:uid="{00000000-0005-0000-0000-000094210000}"/>
    <cellStyle name="Normal 18 58 2" xfId="17842" xr:uid="{00000000-0005-0000-0000-000095210000}"/>
    <cellStyle name="Normal 18 59" xfId="5802" xr:uid="{00000000-0005-0000-0000-000096210000}"/>
    <cellStyle name="Normal 18 59 2" xfId="17843" xr:uid="{00000000-0005-0000-0000-000097210000}"/>
    <cellStyle name="Normal 18 6" xfId="5803" xr:uid="{00000000-0005-0000-0000-000098210000}"/>
    <cellStyle name="Normal 18 6 2" xfId="17844" xr:uid="{00000000-0005-0000-0000-000099210000}"/>
    <cellStyle name="Normal 18 60" xfId="5804" xr:uid="{00000000-0005-0000-0000-00009A210000}"/>
    <cellStyle name="Normal 18 60 2" xfId="17845" xr:uid="{00000000-0005-0000-0000-00009B210000}"/>
    <cellStyle name="Normal 18 61" xfId="5805" xr:uid="{00000000-0005-0000-0000-00009C210000}"/>
    <cellStyle name="Normal 18 61 2" xfId="17846" xr:uid="{00000000-0005-0000-0000-00009D210000}"/>
    <cellStyle name="Normal 18 62" xfId="5806" xr:uid="{00000000-0005-0000-0000-00009E210000}"/>
    <cellStyle name="Normal 18 62 2" xfId="17847" xr:uid="{00000000-0005-0000-0000-00009F210000}"/>
    <cellStyle name="Normal 18 63" xfId="5807" xr:uid="{00000000-0005-0000-0000-0000A0210000}"/>
    <cellStyle name="Normal 18 63 2" xfId="17848" xr:uid="{00000000-0005-0000-0000-0000A1210000}"/>
    <cellStyle name="Normal 18 64" xfId="5808" xr:uid="{00000000-0005-0000-0000-0000A2210000}"/>
    <cellStyle name="Normal 18 64 2" xfId="17849" xr:uid="{00000000-0005-0000-0000-0000A3210000}"/>
    <cellStyle name="Normal 18 65" xfId="5809" xr:uid="{00000000-0005-0000-0000-0000A4210000}"/>
    <cellStyle name="Normal 18 65 2" xfId="17850" xr:uid="{00000000-0005-0000-0000-0000A5210000}"/>
    <cellStyle name="Normal 18 66" xfId="5810" xr:uid="{00000000-0005-0000-0000-0000A6210000}"/>
    <cellStyle name="Normal 18 66 2" xfId="17851" xr:uid="{00000000-0005-0000-0000-0000A7210000}"/>
    <cellStyle name="Normal 18 67" xfId="5811" xr:uid="{00000000-0005-0000-0000-0000A8210000}"/>
    <cellStyle name="Normal 18 67 2" xfId="17852" xr:uid="{00000000-0005-0000-0000-0000A9210000}"/>
    <cellStyle name="Normal 18 68" xfId="5812" xr:uid="{00000000-0005-0000-0000-0000AA210000}"/>
    <cellStyle name="Normal 18 68 2" xfId="17853" xr:uid="{00000000-0005-0000-0000-0000AB210000}"/>
    <cellStyle name="Normal 18 69" xfId="5813" xr:uid="{00000000-0005-0000-0000-0000AC210000}"/>
    <cellStyle name="Normal 18 69 2" xfId="17854" xr:uid="{00000000-0005-0000-0000-0000AD210000}"/>
    <cellStyle name="Normal 18 7" xfId="5814" xr:uid="{00000000-0005-0000-0000-0000AE210000}"/>
    <cellStyle name="Normal 18 7 2" xfId="17855" xr:uid="{00000000-0005-0000-0000-0000AF210000}"/>
    <cellStyle name="Normal 18 70" xfId="5815" xr:uid="{00000000-0005-0000-0000-0000B0210000}"/>
    <cellStyle name="Normal 18 70 2" xfId="17856" xr:uid="{00000000-0005-0000-0000-0000B1210000}"/>
    <cellStyle name="Normal 18 71" xfId="5816" xr:uid="{00000000-0005-0000-0000-0000B2210000}"/>
    <cellStyle name="Normal 18 71 2" xfId="17857" xr:uid="{00000000-0005-0000-0000-0000B3210000}"/>
    <cellStyle name="Normal 18 72" xfId="5817" xr:uid="{00000000-0005-0000-0000-0000B4210000}"/>
    <cellStyle name="Normal 18 72 2" xfId="17858" xr:uid="{00000000-0005-0000-0000-0000B5210000}"/>
    <cellStyle name="Normal 18 73" xfId="5818" xr:uid="{00000000-0005-0000-0000-0000B6210000}"/>
    <cellStyle name="Normal 18 73 2" xfId="17859" xr:uid="{00000000-0005-0000-0000-0000B7210000}"/>
    <cellStyle name="Normal 18 74" xfId="5819" xr:uid="{00000000-0005-0000-0000-0000B8210000}"/>
    <cellStyle name="Normal 18 74 2" xfId="17860" xr:uid="{00000000-0005-0000-0000-0000B9210000}"/>
    <cellStyle name="Normal 18 75" xfId="5820" xr:uid="{00000000-0005-0000-0000-0000BA210000}"/>
    <cellStyle name="Normal 18 75 2" xfId="17861" xr:uid="{00000000-0005-0000-0000-0000BB210000}"/>
    <cellStyle name="Normal 18 76" xfId="5821" xr:uid="{00000000-0005-0000-0000-0000BC210000}"/>
    <cellStyle name="Normal 18 76 2" xfId="17862" xr:uid="{00000000-0005-0000-0000-0000BD210000}"/>
    <cellStyle name="Normal 18 77" xfId="5822" xr:uid="{00000000-0005-0000-0000-0000BE210000}"/>
    <cellStyle name="Normal 18 77 2" xfId="17863" xr:uid="{00000000-0005-0000-0000-0000BF210000}"/>
    <cellStyle name="Normal 18 78" xfId="5823" xr:uid="{00000000-0005-0000-0000-0000C0210000}"/>
    <cellStyle name="Normal 18 78 2" xfId="17864" xr:uid="{00000000-0005-0000-0000-0000C1210000}"/>
    <cellStyle name="Normal 18 79" xfId="5824" xr:uid="{00000000-0005-0000-0000-0000C2210000}"/>
    <cellStyle name="Normal 18 79 2" xfId="17865" xr:uid="{00000000-0005-0000-0000-0000C3210000}"/>
    <cellStyle name="Normal 18 8" xfId="5825" xr:uid="{00000000-0005-0000-0000-0000C4210000}"/>
    <cellStyle name="Normal 18 8 2" xfId="17866" xr:uid="{00000000-0005-0000-0000-0000C5210000}"/>
    <cellStyle name="Normal 18 80" xfId="5826" xr:uid="{00000000-0005-0000-0000-0000C6210000}"/>
    <cellStyle name="Normal 18 80 2" xfId="17867" xr:uid="{00000000-0005-0000-0000-0000C7210000}"/>
    <cellStyle name="Normal 18 81" xfId="5827" xr:uid="{00000000-0005-0000-0000-0000C8210000}"/>
    <cellStyle name="Normal 18 81 2" xfId="17868" xr:uid="{00000000-0005-0000-0000-0000C9210000}"/>
    <cellStyle name="Normal 18 82" xfId="5828" xr:uid="{00000000-0005-0000-0000-0000CA210000}"/>
    <cellStyle name="Normal 18 82 2" xfId="17869" xr:uid="{00000000-0005-0000-0000-0000CB210000}"/>
    <cellStyle name="Normal 18 83" xfId="17555" xr:uid="{00000000-0005-0000-0000-0000CC210000}"/>
    <cellStyle name="Normal 18 9" xfId="5829" xr:uid="{00000000-0005-0000-0000-0000CD210000}"/>
    <cellStyle name="Normal 18 9 2" xfId="17870" xr:uid="{00000000-0005-0000-0000-0000CE210000}"/>
    <cellStyle name="Normal 180" xfId="521" xr:uid="{00000000-0005-0000-0000-0000CF210000}"/>
    <cellStyle name="Normal 180 2" xfId="618" xr:uid="{00000000-0005-0000-0000-0000D0210000}"/>
    <cellStyle name="Normal 180 3" xfId="1037" xr:uid="{00000000-0005-0000-0000-0000D1210000}"/>
    <cellStyle name="Normal 180 4" xfId="1134" xr:uid="{00000000-0005-0000-0000-0000D2210000}"/>
    <cellStyle name="Normal 180 5" xfId="1114" xr:uid="{00000000-0005-0000-0000-0000D3210000}"/>
    <cellStyle name="Normal 180 6" xfId="1129" xr:uid="{00000000-0005-0000-0000-0000D4210000}"/>
    <cellStyle name="Normal 180 7" xfId="862" xr:uid="{00000000-0005-0000-0000-0000D5210000}"/>
    <cellStyle name="Normal 180 8" xfId="958" xr:uid="{00000000-0005-0000-0000-0000D6210000}"/>
    <cellStyle name="Normal 180 9" xfId="1236" xr:uid="{00000000-0005-0000-0000-0000D7210000}"/>
    <cellStyle name="Normal 181" xfId="522" xr:uid="{00000000-0005-0000-0000-0000D8210000}"/>
    <cellStyle name="Normal 181 2" xfId="619" xr:uid="{00000000-0005-0000-0000-0000D9210000}"/>
    <cellStyle name="Normal 181 3" xfId="1038" xr:uid="{00000000-0005-0000-0000-0000DA210000}"/>
    <cellStyle name="Normal 181 4" xfId="1133" xr:uid="{00000000-0005-0000-0000-0000DB210000}"/>
    <cellStyle name="Normal 181 5" xfId="1115" xr:uid="{00000000-0005-0000-0000-0000DC210000}"/>
    <cellStyle name="Normal 181 6" xfId="1128" xr:uid="{00000000-0005-0000-0000-0000DD210000}"/>
    <cellStyle name="Normal 181 7" xfId="1119" xr:uid="{00000000-0005-0000-0000-0000DE210000}"/>
    <cellStyle name="Normal 181 8" xfId="1124" xr:uid="{00000000-0005-0000-0000-0000DF210000}"/>
    <cellStyle name="Normal 181 9" xfId="1123" xr:uid="{00000000-0005-0000-0000-0000E0210000}"/>
    <cellStyle name="Normal 182" xfId="523" xr:uid="{00000000-0005-0000-0000-0000E1210000}"/>
    <cellStyle name="Normal 182 2" xfId="620" xr:uid="{00000000-0005-0000-0000-0000E2210000}"/>
    <cellStyle name="Normal 182 3" xfId="1039" xr:uid="{00000000-0005-0000-0000-0000E3210000}"/>
    <cellStyle name="Normal 182 4" xfId="1212" xr:uid="{00000000-0005-0000-0000-0000E4210000}"/>
    <cellStyle name="Normal 182 5" xfId="981" xr:uid="{00000000-0005-0000-0000-0000E5210000}"/>
    <cellStyle name="Normal 182 6" xfId="1226" xr:uid="{00000000-0005-0000-0000-0000E6210000}"/>
    <cellStyle name="Normal 182 7" xfId="974" xr:uid="{00000000-0005-0000-0000-0000E7210000}"/>
    <cellStyle name="Normal 182 8" xfId="1315" xr:uid="{00000000-0005-0000-0000-0000E8210000}"/>
    <cellStyle name="Normal 182 9" xfId="1380" xr:uid="{00000000-0005-0000-0000-0000E9210000}"/>
    <cellStyle name="Normal 183" xfId="524" xr:uid="{00000000-0005-0000-0000-0000EA210000}"/>
    <cellStyle name="Normal 183 2" xfId="621" xr:uid="{00000000-0005-0000-0000-0000EB210000}"/>
    <cellStyle name="Normal 183 3" xfId="1040" xr:uid="{00000000-0005-0000-0000-0000EC210000}"/>
    <cellStyle name="Normal 183 4" xfId="1211" xr:uid="{00000000-0005-0000-0000-0000ED210000}"/>
    <cellStyle name="Normal 183 5" xfId="1173" xr:uid="{00000000-0005-0000-0000-0000EE210000}"/>
    <cellStyle name="Normal 183 6" xfId="1090" xr:uid="{00000000-0005-0000-0000-0000EF210000}"/>
    <cellStyle name="Normal 183 7" xfId="902" xr:uid="{00000000-0005-0000-0000-0000F0210000}"/>
    <cellStyle name="Normal 183 8" xfId="1269" xr:uid="{00000000-0005-0000-0000-0000F1210000}"/>
    <cellStyle name="Normal 183 9" xfId="1338" xr:uid="{00000000-0005-0000-0000-0000F2210000}"/>
    <cellStyle name="Normal 184" xfId="525" xr:uid="{00000000-0005-0000-0000-0000F3210000}"/>
    <cellStyle name="Normal 184 2" xfId="622" xr:uid="{00000000-0005-0000-0000-0000F4210000}"/>
    <cellStyle name="Normal 184 3" xfId="1041" xr:uid="{00000000-0005-0000-0000-0000F5210000}"/>
    <cellStyle name="Normal 184 4" xfId="937" xr:uid="{00000000-0005-0000-0000-0000F6210000}"/>
    <cellStyle name="Normal 184 5" xfId="1246" xr:uid="{00000000-0005-0000-0000-0000F7210000}"/>
    <cellStyle name="Normal 184 6" xfId="831" xr:uid="{00000000-0005-0000-0000-0000F8210000}"/>
    <cellStyle name="Normal 184 7" xfId="1306" xr:uid="{00000000-0005-0000-0000-0000F9210000}"/>
    <cellStyle name="Normal 184 8" xfId="1371" xr:uid="{00000000-0005-0000-0000-0000FA210000}"/>
    <cellStyle name="Normal 184 9" xfId="1429" xr:uid="{00000000-0005-0000-0000-0000FB210000}"/>
    <cellStyle name="Normal 185" xfId="526" xr:uid="{00000000-0005-0000-0000-0000FC210000}"/>
    <cellStyle name="Normal 185 2" xfId="623" xr:uid="{00000000-0005-0000-0000-0000FD210000}"/>
    <cellStyle name="Normal 185 3" xfId="1042" xr:uid="{00000000-0005-0000-0000-0000FE210000}"/>
    <cellStyle name="Normal 185 4" xfId="1210" xr:uid="{00000000-0005-0000-0000-0000FF210000}"/>
    <cellStyle name="Normal 185 5" xfId="982" xr:uid="{00000000-0005-0000-0000-000000220000}"/>
    <cellStyle name="Normal 185 6" xfId="1225" xr:uid="{00000000-0005-0000-0000-000001220000}"/>
    <cellStyle name="Normal 185 7" xfId="1167" xr:uid="{00000000-0005-0000-0000-000002220000}"/>
    <cellStyle name="Normal 185 8" xfId="1193" xr:uid="{00000000-0005-0000-0000-000003220000}"/>
    <cellStyle name="Normal 185 9" xfId="989" xr:uid="{00000000-0005-0000-0000-000004220000}"/>
    <cellStyle name="Normal 186" xfId="527" xr:uid="{00000000-0005-0000-0000-000005220000}"/>
    <cellStyle name="Normal 186 2" xfId="624" xr:uid="{00000000-0005-0000-0000-000006220000}"/>
    <cellStyle name="Normal 186 3" xfId="1043" xr:uid="{00000000-0005-0000-0000-000007220000}"/>
    <cellStyle name="Normal 186 4" xfId="1209" xr:uid="{00000000-0005-0000-0000-000008220000}"/>
    <cellStyle name="Normal 186 5" xfId="1174" xr:uid="{00000000-0005-0000-0000-000009220000}"/>
    <cellStyle name="Normal 186 6" xfId="1190" xr:uid="{00000000-0005-0000-0000-00000A220000}"/>
    <cellStyle name="Normal 186 7" xfId="858" xr:uid="{00000000-0005-0000-0000-00000B220000}"/>
    <cellStyle name="Normal 186 8" xfId="960" xr:uid="{00000000-0005-0000-0000-00000C220000}"/>
    <cellStyle name="Normal 186 9" xfId="1234" xr:uid="{00000000-0005-0000-0000-00000D220000}"/>
    <cellStyle name="Normal 187" xfId="528" xr:uid="{00000000-0005-0000-0000-00000E220000}"/>
    <cellStyle name="Normal 187 2" xfId="625" xr:uid="{00000000-0005-0000-0000-00000F220000}"/>
    <cellStyle name="Normal 187 3" xfId="1044" xr:uid="{00000000-0005-0000-0000-000010220000}"/>
    <cellStyle name="Normal 187 4" xfId="1325" xr:uid="{00000000-0005-0000-0000-000011220000}"/>
    <cellStyle name="Normal 187 5" xfId="1390" xr:uid="{00000000-0005-0000-0000-000012220000}"/>
    <cellStyle name="Normal 187 6" xfId="1440" xr:uid="{00000000-0005-0000-0000-000013220000}"/>
    <cellStyle name="Normal 187 7" xfId="1469" xr:uid="{00000000-0005-0000-0000-000014220000}"/>
    <cellStyle name="Normal 187 8" xfId="1491" xr:uid="{00000000-0005-0000-0000-000015220000}"/>
    <cellStyle name="Normal 187 9" xfId="1500" xr:uid="{00000000-0005-0000-0000-000016220000}"/>
    <cellStyle name="Normal 188" xfId="529" xr:uid="{00000000-0005-0000-0000-000017220000}"/>
    <cellStyle name="Normal 188 2" xfId="626" xr:uid="{00000000-0005-0000-0000-000018220000}"/>
    <cellStyle name="Normal 188 3" xfId="1045" xr:uid="{00000000-0005-0000-0000-000019220000}"/>
    <cellStyle name="Normal 188 4" xfId="887" xr:uid="{00000000-0005-0000-0000-00001A220000}"/>
    <cellStyle name="Normal 188 5" xfId="1280" xr:uid="{00000000-0005-0000-0000-00001B220000}"/>
    <cellStyle name="Normal 188 6" xfId="1349" xr:uid="{00000000-0005-0000-0000-00001C220000}"/>
    <cellStyle name="Normal 188 7" xfId="1412" xr:uid="{00000000-0005-0000-0000-00001D220000}"/>
    <cellStyle name="Normal 188 8" xfId="1451" xr:uid="{00000000-0005-0000-0000-00001E220000}"/>
    <cellStyle name="Normal 188 9" xfId="1477" xr:uid="{00000000-0005-0000-0000-00001F220000}"/>
    <cellStyle name="Normal 189" xfId="530" xr:uid="{00000000-0005-0000-0000-000020220000}"/>
    <cellStyle name="Normal 189 2" xfId="627" xr:uid="{00000000-0005-0000-0000-000021220000}"/>
    <cellStyle name="Normal 189 3" xfId="1046" xr:uid="{00000000-0005-0000-0000-000022220000}"/>
    <cellStyle name="Normal 189 4" xfId="1208" xr:uid="{00000000-0005-0000-0000-000023220000}"/>
    <cellStyle name="Normal 189 5" xfId="857" xr:uid="{00000000-0005-0000-0000-000024220000}"/>
    <cellStyle name="Normal 189 6" xfId="1293" xr:uid="{00000000-0005-0000-0000-000025220000}"/>
    <cellStyle name="Normal 189 7" xfId="1359" xr:uid="{00000000-0005-0000-0000-000026220000}"/>
    <cellStyle name="Normal 189 8" xfId="1421" xr:uid="{00000000-0005-0000-0000-000027220000}"/>
    <cellStyle name="Normal 189 9" xfId="1459" xr:uid="{00000000-0005-0000-0000-000028220000}"/>
    <cellStyle name="Normal 19" xfId="141" xr:uid="{00000000-0005-0000-0000-000029220000}"/>
    <cellStyle name="Normal 19 10" xfId="5830" xr:uid="{00000000-0005-0000-0000-00002A220000}"/>
    <cellStyle name="Normal 19 10 2" xfId="17872" xr:uid="{00000000-0005-0000-0000-00002B220000}"/>
    <cellStyle name="Normal 19 11" xfId="5831" xr:uid="{00000000-0005-0000-0000-00002C220000}"/>
    <cellStyle name="Normal 19 11 2" xfId="17873" xr:uid="{00000000-0005-0000-0000-00002D220000}"/>
    <cellStyle name="Normal 19 12" xfId="5832" xr:uid="{00000000-0005-0000-0000-00002E220000}"/>
    <cellStyle name="Normal 19 12 2" xfId="17874" xr:uid="{00000000-0005-0000-0000-00002F220000}"/>
    <cellStyle name="Normal 19 13" xfId="5833" xr:uid="{00000000-0005-0000-0000-000030220000}"/>
    <cellStyle name="Normal 19 13 2" xfId="17875" xr:uid="{00000000-0005-0000-0000-000031220000}"/>
    <cellStyle name="Normal 19 14" xfId="5834" xr:uid="{00000000-0005-0000-0000-000032220000}"/>
    <cellStyle name="Normal 19 14 2" xfId="17876" xr:uid="{00000000-0005-0000-0000-000033220000}"/>
    <cellStyle name="Normal 19 15" xfId="5835" xr:uid="{00000000-0005-0000-0000-000034220000}"/>
    <cellStyle name="Normal 19 15 2" xfId="17877" xr:uid="{00000000-0005-0000-0000-000035220000}"/>
    <cellStyle name="Normal 19 16" xfId="5836" xr:uid="{00000000-0005-0000-0000-000036220000}"/>
    <cellStyle name="Normal 19 16 2" xfId="17878" xr:uid="{00000000-0005-0000-0000-000037220000}"/>
    <cellStyle name="Normal 19 17" xfId="5837" xr:uid="{00000000-0005-0000-0000-000038220000}"/>
    <cellStyle name="Normal 19 17 2" xfId="17879" xr:uid="{00000000-0005-0000-0000-000039220000}"/>
    <cellStyle name="Normal 19 18" xfId="5838" xr:uid="{00000000-0005-0000-0000-00003A220000}"/>
    <cellStyle name="Normal 19 18 2" xfId="17880" xr:uid="{00000000-0005-0000-0000-00003B220000}"/>
    <cellStyle name="Normal 19 19" xfId="5839" xr:uid="{00000000-0005-0000-0000-00003C220000}"/>
    <cellStyle name="Normal 19 19 2" xfId="17881" xr:uid="{00000000-0005-0000-0000-00003D220000}"/>
    <cellStyle name="Normal 19 2" xfId="164" xr:uid="{00000000-0005-0000-0000-00003E220000}"/>
    <cellStyle name="Normal 19 2 10" xfId="5841" xr:uid="{00000000-0005-0000-0000-00003F220000}"/>
    <cellStyle name="Normal 19 2 10 2" xfId="17883" xr:uid="{00000000-0005-0000-0000-000040220000}"/>
    <cellStyle name="Normal 19 2 11" xfId="5842" xr:uid="{00000000-0005-0000-0000-000041220000}"/>
    <cellStyle name="Normal 19 2 11 2" xfId="17884" xr:uid="{00000000-0005-0000-0000-000042220000}"/>
    <cellStyle name="Normal 19 2 12" xfId="5843" xr:uid="{00000000-0005-0000-0000-000043220000}"/>
    <cellStyle name="Normal 19 2 12 2" xfId="17885" xr:uid="{00000000-0005-0000-0000-000044220000}"/>
    <cellStyle name="Normal 19 2 13" xfId="5844" xr:uid="{00000000-0005-0000-0000-000045220000}"/>
    <cellStyle name="Normal 19 2 13 2" xfId="17886" xr:uid="{00000000-0005-0000-0000-000046220000}"/>
    <cellStyle name="Normal 19 2 14" xfId="5845" xr:uid="{00000000-0005-0000-0000-000047220000}"/>
    <cellStyle name="Normal 19 2 14 2" xfId="17887" xr:uid="{00000000-0005-0000-0000-000048220000}"/>
    <cellStyle name="Normal 19 2 15" xfId="5846" xr:uid="{00000000-0005-0000-0000-000049220000}"/>
    <cellStyle name="Normal 19 2 15 2" xfId="17888" xr:uid="{00000000-0005-0000-0000-00004A220000}"/>
    <cellStyle name="Normal 19 2 16" xfId="5847" xr:uid="{00000000-0005-0000-0000-00004B220000}"/>
    <cellStyle name="Normal 19 2 16 2" xfId="17889" xr:uid="{00000000-0005-0000-0000-00004C220000}"/>
    <cellStyle name="Normal 19 2 17" xfId="5848" xr:uid="{00000000-0005-0000-0000-00004D220000}"/>
    <cellStyle name="Normal 19 2 17 2" xfId="17890" xr:uid="{00000000-0005-0000-0000-00004E220000}"/>
    <cellStyle name="Normal 19 2 18" xfId="5849" xr:uid="{00000000-0005-0000-0000-00004F220000}"/>
    <cellStyle name="Normal 19 2 18 2" xfId="17891" xr:uid="{00000000-0005-0000-0000-000050220000}"/>
    <cellStyle name="Normal 19 2 19" xfId="5850" xr:uid="{00000000-0005-0000-0000-000051220000}"/>
    <cellStyle name="Normal 19 2 19 2" xfId="17892" xr:uid="{00000000-0005-0000-0000-000052220000}"/>
    <cellStyle name="Normal 19 2 2" xfId="5851" xr:uid="{00000000-0005-0000-0000-000053220000}"/>
    <cellStyle name="Normal 19 2 2 2" xfId="17893" xr:uid="{00000000-0005-0000-0000-000054220000}"/>
    <cellStyle name="Normal 19 2 20" xfId="5852" xr:uid="{00000000-0005-0000-0000-000055220000}"/>
    <cellStyle name="Normal 19 2 20 2" xfId="17894" xr:uid="{00000000-0005-0000-0000-000056220000}"/>
    <cellStyle name="Normal 19 2 21" xfId="5853" xr:uid="{00000000-0005-0000-0000-000057220000}"/>
    <cellStyle name="Normal 19 2 21 2" xfId="17895" xr:uid="{00000000-0005-0000-0000-000058220000}"/>
    <cellStyle name="Normal 19 2 22" xfId="5854" xr:uid="{00000000-0005-0000-0000-000059220000}"/>
    <cellStyle name="Normal 19 2 22 2" xfId="17896" xr:uid="{00000000-0005-0000-0000-00005A220000}"/>
    <cellStyle name="Normal 19 2 23" xfId="5855" xr:uid="{00000000-0005-0000-0000-00005B220000}"/>
    <cellStyle name="Normal 19 2 23 2" xfId="17897" xr:uid="{00000000-0005-0000-0000-00005C220000}"/>
    <cellStyle name="Normal 19 2 24" xfId="5856" xr:uid="{00000000-0005-0000-0000-00005D220000}"/>
    <cellStyle name="Normal 19 2 24 2" xfId="17898" xr:uid="{00000000-0005-0000-0000-00005E220000}"/>
    <cellStyle name="Normal 19 2 25" xfId="5857" xr:uid="{00000000-0005-0000-0000-00005F220000}"/>
    <cellStyle name="Normal 19 2 25 2" xfId="17899" xr:uid="{00000000-0005-0000-0000-000060220000}"/>
    <cellStyle name="Normal 19 2 26" xfId="5858" xr:uid="{00000000-0005-0000-0000-000061220000}"/>
    <cellStyle name="Normal 19 2 26 2" xfId="17900" xr:uid="{00000000-0005-0000-0000-000062220000}"/>
    <cellStyle name="Normal 19 2 27" xfId="5859" xr:uid="{00000000-0005-0000-0000-000063220000}"/>
    <cellStyle name="Normal 19 2 27 2" xfId="17901" xr:uid="{00000000-0005-0000-0000-000064220000}"/>
    <cellStyle name="Normal 19 2 28" xfId="5860" xr:uid="{00000000-0005-0000-0000-000065220000}"/>
    <cellStyle name="Normal 19 2 28 2" xfId="17902" xr:uid="{00000000-0005-0000-0000-000066220000}"/>
    <cellStyle name="Normal 19 2 29" xfId="5861" xr:uid="{00000000-0005-0000-0000-000067220000}"/>
    <cellStyle name="Normal 19 2 29 2" xfId="17903" xr:uid="{00000000-0005-0000-0000-000068220000}"/>
    <cellStyle name="Normal 19 2 3" xfId="5862" xr:uid="{00000000-0005-0000-0000-000069220000}"/>
    <cellStyle name="Normal 19 2 3 2" xfId="17904" xr:uid="{00000000-0005-0000-0000-00006A220000}"/>
    <cellStyle name="Normal 19 2 30" xfId="5863" xr:uid="{00000000-0005-0000-0000-00006B220000}"/>
    <cellStyle name="Normal 19 2 30 2" xfId="17905" xr:uid="{00000000-0005-0000-0000-00006C220000}"/>
    <cellStyle name="Normal 19 2 31" xfId="5864" xr:uid="{00000000-0005-0000-0000-00006D220000}"/>
    <cellStyle name="Normal 19 2 31 2" xfId="17906" xr:uid="{00000000-0005-0000-0000-00006E220000}"/>
    <cellStyle name="Normal 19 2 32" xfId="5865" xr:uid="{00000000-0005-0000-0000-00006F220000}"/>
    <cellStyle name="Normal 19 2 32 2" xfId="17907" xr:uid="{00000000-0005-0000-0000-000070220000}"/>
    <cellStyle name="Normal 19 2 33" xfId="5866" xr:uid="{00000000-0005-0000-0000-000071220000}"/>
    <cellStyle name="Normal 19 2 33 2" xfId="17908" xr:uid="{00000000-0005-0000-0000-000072220000}"/>
    <cellStyle name="Normal 19 2 34" xfId="5867" xr:uid="{00000000-0005-0000-0000-000073220000}"/>
    <cellStyle name="Normal 19 2 34 2" xfId="17909" xr:uid="{00000000-0005-0000-0000-000074220000}"/>
    <cellStyle name="Normal 19 2 35" xfId="5868" xr:uid="{00000000-0005-0000-0000-000075220000}"/>
    <cellStyle name="Normal 19 2 35 2" xfId="17910" xr:uid="{00000000-0005-0000-0000-000076220000}"/>
    <cellStyle name="Normal 19 2 36" xfId="5869" xr:uid="{00000000-0005-0000-0000-000077220000}"/>
    <cellStyle name="Normal 19 2 36 2" xfId="17911" xr:uid="{00000000-0005-0000-0000-000078220000}"/>
    <cellStyle name="Normal 19 2 37" xfId="5870" xr:uid="{00000000-0005-0000-0000-000079220000}"/>
    <cellStyle name="Normal 19 2 37 2" xfId="17912" xr:uid="{00000000-0005-0000-0000-00007A220000}"/>
    <cellStyle name="Normal 19 2 38" xfId="5871" xr:uid="{00000000-0005-0000-0000-00007B220000}"/>
    <cellStyle name="Normal 19 2 38 2" xfId="17913" xr:uid="{00000000-0005-0000-0000-00007C220000}"/>
    <cellStyle name="Normal 19 2 39" xfId="5872" xr:uid="{00000000-0005-0000-0000-00007D220000}"/>
    <cellStyle name="Normal 19 2 39 2" xfId="17914" xr:uid="{00000000-0005-0000-0000-00007E220000}"/>
    <cellStyle name="Normal 19 2 4" xfId="5873" xr:uid="{00000000-0005-0000-0000-00007F220000}"/>
    <cellStyle name="Normal 19 2 4 2" xfId="17915" xr:uid="{00000000-0005-0000-0000-000080220000}"/>
    <cellStyle name="Normal 19 2 40" xfId="5874" xr:uid="{00000000-0005-0000-0000-000081220000}"/>
    <cellStyle name="Normal 19 2 40 2" xfId="17916" xr:uid="{00000000-0005-0000-0000-000082220000}"/>
    <cellStyle name="Normal 19 2 41" xfId="5875" xr:uid="{00000000-0005-0000-0000-000083220000}"/>
    <cellStyle name="Normal 19 2 41 2" xfId="17917" xr:uid="{00000000-0005-0000-0000-000084220000}"/>
    <cellStyle name="Normal 19 2 42" xfId="5876" xr:uid="{00000000-0005-0000-0000-000085220000}"/>
    <cellStyle name="Normal 19 2 42 2" xfId="17918" xr:uid="{00000000-0005-0000-0000-000086220000}"/>
    <cellStyle name="Normal 19 2 43" xfId="5877" xr:uid="{00000000-0005-0000-0000-000087220000}"/>
    <cellStyle name="Normal 19 2 43 2" xfId="17919" xr:uid="{00000000-0005-0000-0000-000088220000}"/>
    <cellStyle name="Normal 19 2 44" xfId="5878" xr:uid="{00000000-0005-0000-0000-000089220000}"/>
    <cellStyle name="Normal 19 2 44 2" xfId="17920" xr:uid="{00000000-0005-0000-0000-00008A220000}"/>
    <cellStyle name="Normal 19 2 45" xfId="5879" xr:uid="{00000000-0005-0000-0000-00008B220000}"/>
    <cellStyle name="Normal 19 2 45 2" xfId="17921" xr:uid="{00000000-0005-0000-0000-00008C220000}"/>
    <cellStyle name="Normal 19 2 46" xfId="5880" xr:uid="{00000000-0005-0000-0000-00008D220000}"/>
    <cellStyle name="Normal 19 2 46 2" xfId="17922" xr:uid="{00000000-0005-0000-0000-00008E220000}"/>
    <cellStyle name="Normal 19 2 47" xfId="5881" xr:uid="{00000000-0005-0000-0000-00008F220000}"/>
    <cellStyle name="Normal 19 2 47 2" xfId="17923" xr:uid="{00000000-0005-0000-0000-000090220000}"/>
    <cellStyle name="Normal 19 2 48" xfId="5882" xr:uid="{00000000-0005-0000-0000-000091220000}"/>
    <cellStyle name="Normal 19 2 48 2" xfId="17924" xr:uid="{00000000-0005-0000-0000-000092220000}"/>
    <cellStyle name="Normal 19 2 49" xfId="5883" xr:uid="{00000000-0005-0000-0000-000093220000}"/>
    <cellStyle name="Normal 19 2 49 2" xfId="17925" xr:uid="{00000000-0005-0000-0000-000094220000}"/>
    <cellStyle name="Normal 19 2 5" xfId="5884" xr:uid="{00000000-0005-0000-0000-000095220000}"/>
    <cellStyle name="Normal 19 2 5 2" xfId="17926" xr:uid="{00000000-0005-0000-0000-000096220000}"/>
    <cellStyle name="Normal 19 2 50" xfId="5885" xr:uid="{00000000-0005-0000-0000-000097220000}"/>
    <cellStyle name="Normal 19 2 50 2" xfId="17927" xr:uid="{00000000-0005-0000-0000-000098220000}"/>
    <cellStyle name="Normal 19 2 51" xfId="5886" xr:uid="{00000000-0005-0000-0000-000099220000}"/>
    <cellStyle name="Normal 19 2 51 2" xfId="17928" xr:uid="{00000000-0005-0000-0000-00009A220000}"/>
    <cellStyle name="Normal 19 2 52" xfId="5887" xr:uid="{00000000-0005-0000-0000-00009B220000}"/>
    <cellStyle name="Normal 19 2 52 2" xfId="17929" xr:uid="{00000000-0005-0000-0000-00009C220000}"/>
    <cellStyle name="Normal 19 2 53" xfId="5888" xr:uid="{00000000-0005-0000-0000-00009D220000}"/>
    <cellStyle name="Normal 19 2 53 2" xfId="17930" xr:uid="{00000000-0005-0000-0000-00009E220000}"/>
    <cellStyle name="Normal 19 2 54" xfId="5889" xr:uid="{00000000-0005-0000-0000-00009F220000}"/>
    <cellStyle name="Normal 19 2 54 2" xfId="17931" xr:uid="{00000000-0005-0000-0000-0000A0220000}"/>
    <cellStyle name="Normal 19 2 55" xfId="5890" xr:uid="{00000000-0005-0000-0000-0000A1220000}"/>
    <cellStyle name="Normal 19 2 55 2" xfId="17932" xr:uid="{00000000-0005-0000-0000-0000A2220000}"/>
    <cellStyle name="Normal 19 2 56" xfId="5891" xr:uid="{00000000-0005-0000-0000-0000A3220000}"/>
    <cellStyle name="Normal 19 2 56 2" xfId="17933" xr:uid="{00000000-0005-0000-0000-0000A4220000}"/>
    <cellStyle name="Normal 19 2 57" xfId="5892" xr:uid="{00000000-0005-0000-0000-0000A5220000}"/>
    <cellStyle name="Normal 19 2 57 2" xfId="17934" xr:uid="{00000000-0005-0000-0000-0000A6220000}"/>
    <cellStyle name="Normal 19 2 58" xfId="5893" xr:uid="{00000000-0005-0000-0000-0000A7220000}"/>
    <cellStyle name="Normal 19 2 58 2" xfId="17935" xr:uid="{00000000-0005-0000-0000-0000A8220000}"/>
    <cellStyle name="Normal 19 2 59" xfId="5894" xr:uid="{00000000-0005-0000-0000-0000A9220000}"/>
    <cellStyle name="Normal 19 2 59 2" xfId="17936" xr:uid="{00000000-0005-0000-0000-0000AA220000}"/>
    <cellStyle name="Normal 19 2 6" xfId="5895" xr:uid="{00000000-0005-0000-0000-0000AB220000}"/>
    <cellStyle name="Normal 19 2 6 2" xfId="17937" xr:uid="{00000000-0005-0000-0000-0000AC220000}"/>
    <cellStyle name="Normal 19 2 60" xfId="5896" xr:uid="{00000000-0005-0000-0000-0000AD220000}"/>
    <cellStyle name="Normal 19 2 60 2" xfId="17938" xr:uid="{00000000-0005-0000-0000-0000AE220000}"/>
    <cellStyle name="Normal 19 2 61" xfId="5897" xr:uid="{00000000-0005-0000-0000-0000AF220000}"/>
    <cellStyle name="Normal 19 2 61 2" xfId="17939" xr:uid="{00000000-0005-0000-0000-0000B0220000}"/>
    <cellStyle name="Normal 19 2 62" xfId="5898" xr:uid="{00000000-0005-0000-0000-0000B1220000}"/>
    <cellStyle name="Normal 19 2 62 2" xfId="17940" xr:uid="{00000000-0005-0000-0000-0000B2220000}"/>
    <cellStyle name="Normal 19 2 63" xfId="5899" xr:uid="{00000000-0005-0000-0000-0000B3220000}"/>
    <cellStyle name="Normal 19 2 63 2" xfId="17941" xr:uid="{00000000-0005-0000-0000-0000B4220000}"/>
    <cellStyle name="Normal 19 2 64" xfId="5900" xr:uid="{00000000-0005-0000-0000-0000B5220000}"/>
    <cellStyle name="Normal 19 2 64 2" xfId="17942" xr:uid="{00000000-0005-0000-0000-0000B6220000}"/>
    <cellStyle name="Normal 19 2 65" xfId="5901" xr:uid="{00000000-0005-0000-0000-0000B7220000}"/>
    <cellStyle name="Normal 19 2 65 2" xfId="17943" xr:uid="{00000000-0005-0000-0000-0000B8220000}"/>
    <cellStyle name="Normal 19 2 66" xfId="5902" xr:uid="{00000000-0005-0000-0000-0000B9220000}"/>
    <cellStyle name="Normal 19 2 66 2" xfId="17944" xr:uid="{00000000-0005-0000-0000-0000BA220000}"/>
    <cellStyle name="Normal 19 2 67" xfId="5903" xr:uid="{00000000-0005-0000-0000-0000BB220000}"/>
    <cellStyle name="Normal 19 2 67 2" xfId="17945" xr:uid="{00000000-0005-0000-0000-0000BC220000}"/>
    <cellStyle name="Normal 19 2 68" xfId="5904" xr:uid="{00000000-0005-0000-0000-0000BD220000}"/>
    <cellStyle name="Normal 19 2 68 2" xfId="17946" xr:uid="{00000000-0005-0000-0000-0000BE220000}"/>
    <cellStyle name="Normal 19 2 69" xfId="5905" xr:uid="{00000000-0005-0000-0000-0000BF220000}"/>
    <cellStyle name="Normal 19 2 69 2" xfId="17947" xr:uid="{00000000-0005-0000-0000-0000C0220000}"/>
    <cellStyle name="Normal 19 2 7" xfId="5906" xr:uid="{00000000-0005-0000-0000-0000C1220000}"/>
    <cellStyle name="Normal 19 2 7 2" xfId="17948" xr:uid="{00000000-0005-0000-0000-0000C2220000}"/>
    <cellStyle name="Normal 19 2 70" xfId="5907" xr:uid="{00000000-0005-0000-0000-0000C3220000}"/>
    <cellStyle name="Normal 19 2 70 2" xfId="17949" xr:uid="{00000000-0005-0000-0000-0000C4220000}"/>
    <cellStyle name="Normal 19 2 71" xfId="5908" xr:uid="{00000000-0005-0000-0000-0000C5220000}"/>
    <cellStyle name="Normal 19 2 71 2" xfId="17950" xr:uid="{00000000-0005-0000-0000-0000C6220000}"/>
    <cellStyle name="Normal 19 2 72" xfId="5909" xr:uid="{00000000-0005-0000-0000-0000C7220000}"/>
    <cellStyle name="Normal 19 2 72 2" xfId="17951" xr:uid="{00000000-0005-0000-0000-0000C8220000}"/>
    <cellStyle name="Normal 19 2 73" xfId="5910" xr:uid="{00000000-0005-0000-0000-0000C9220000}"/>
    <cellStyle name="Normal 19 2 73 2" xfId="17952" xr:uid="{00000000-0005-0000-0000-0000CA220000}"/>
    <cellStyle name="Normal 19 2 74" xfId="5911" xr:uid="{00000000-0005-0000-0000-0000CB220000}"/>
    <cellStyle name="Normal 19 2 74 2" xfId="17953" xr:uid="{00000000-0005-0000-0000-0000CC220000}"/>
    <cellStyle name="Normal 19 2 75" xfId="5912" xr:uid="{00000000-0005-0000-0000-0000CD220000}"/>
    <cellStyle name="Normal 19 2 75 2" xfId="17954" xr:uid="{00000000-0005-0000-0000-0000CE220000}"/>
    <cellStyle name="Normal 19 2 76" xfId="5913" xr:uid="{00000000-0005-0000-0000-0000CF220000}"/>
    <cellStyle name="Normal 19 2 76 2" xfId="17955" xr:uid="{00000000-0005-0000-0000-0000D0220000}"/>
    <cellStyle name="Normal 19 2 77" xfId="5914" xr:uid="{00000000-0005-0000-0000-0000D1220000}"/>
    <cellStyle name="Normal 19 2 77 2" xfId="17956" xr:uid="{00000000-0005-0000-0000-0000D2220000}"/>
    <cellStyle name="Normal 19 2 78" xfId="5915" xr:uid="{00000000-0005-0000-0000-0000D3220000}"/>
    <cellStyle name="Normal 19 2 78 2" xfId="17957" xr:uid="{00000000-0005-0000-0000-0000D4220000}"/>
    <cellStyle name="Normal 19 2 79" xfId="5916" xr:uid="{00000000-0005-0000-0000-0000D5220000}"/>
    <cellStyle name="Normal 19 2 79 2" xfId="17958" xr:uid="{00000000-0005-0000-0000-0000D6220000}"/>
    <cellStyle name="Normal 19 2 8" xfId="5917" xr:uid="{00000000-0005-0000-0000-0000D7220000}"/>
    <cellStyle name="Normal 19 2 8 2" xfId="17959" xr:uid="{00000000-0005-0000-0000-0000D8220000}"/>
    <cellStyle name="Normal 19 2 80" xfId="17882" xr:uid="{00000000-0005-0000-0000-0000D9220000}"/>
    <cellStyle name="Normal 19 2 81" xfId="5840" xr:uid="{00000000-0005-0000-0000-0000DA220000}"/>
    <cellStyle name="Normal 19 2 9" xfId="5918" xr:uid="{00000000-0005-0000-0000-0000DB220000}"/>
    <cellStyle name="Normal 19 2 9 2" xfId="17960" xr:uid="{00000000-0005-0000-0000-0000DC220000}"/>
    <cellStyle name="Normal 19 20" xfId="5919" xr:uid="{00000000-0005-0000-0000-0000DD220000}"/>
    <cellStyle name="Normal 19 20 2" xfId="17961" xr:uid="{00000000-0005-0000-0000-0000DE220000}"/>
    <cellStyle name="Normal 19 21" xfId="5920" xr:uid="{00000000-0005-0000-0000-0000DF220000}"/>
    <cellStyle name="Normal 19 21 2" xfId="17962" xr:uid="{00000000-0005-0000-0000-0000E0220000}"/>
    <cellStyle name="Normal 19 22" xfId="5921" xr:uid="{00000000-0005-0000-0000-0000E1220000}"/>
    <cellStyle name="Normal 19 22 2" xfId="17963" xr:uid="{00000000-0005-0000-0000-0000E2220000}"/>
    <cellStyle name="Normal 19 23" xfId="5922" xr:uid="{00000000-0005-0000-0000-0000E3220000}"/>
    <cellStyle name="Normal 19 23 2" xfId="17964" xr:uid="{00000000-0005-0000-0000-0000E4220000}"/>
    <cellStyle name="Normal 19 24" xfId="5923" xr:uid="{00000000-0005-0000-0000-0000E5220000}"/>
    <cellStyle name="Normal 19 24 2" xfId="17965" xr:uid="{00000000-0005-0000-0000-0000E6220000}"/>
    <cellStyle name="Normal 19 25" xfId="5924" xr:uid="{00000000-0005-0000-0000-0000E7220000}"/>
    <cellStyle name="Normal 19 25 2" xfId="17966" xr:uid="{00000000-0005-0000-0000-0000E8220000}"/>
    <cellStyle name="Normal 19 26" xfId="5925" xr:uid="{00000000-0005-0000-0000-0000E9220000}"/>
    <cellStyle name="Normal 19 26 2" xfId="17967" xr:uid="{00000000-0005-0000-0000-0000EA220000}"/>
    <cellStyle name="Normal 19 27" xfId="5926" xr:uid="{00000000-0005-0000-0000-0000EB220000}"/>
    <cellStyle name="Normal 19 27 2" xfId="17968" xr:uid="{00000000-0005-0000-0000-0000EC220000}"/>
    <cellStyle name="Normal 19 28" xfId="5927" xr:uid="{00000000-0005-0000-0000-0000ED220000}"/>
    <cellStyle name="Normal 19 28 2" xfId="17969" xr:uid="{00000000-0005-0000-0000-0000EE220000}"/>
    <cellStyle name="Normal 19 29" xfId="5928" xr:uid="{00000000-0005-0000-0000-0000EF220000}"/>
    <cellStyle name="Normal 19 29 2" xfId="17970" xr:uid="{00000000-0005-0000-0000-0000F0220000}"/>
    <cellStyle name="Normal 19 3" xfId="699" xr:uid="{00000000-0005-0000-0000-0000F1220000}"/>
    <cellStyle name="Normal 19 3 10" xfId="5930" xr:uid="{00000000-0005-0000-0000-0000F2220000}"/>
    <cellStyle name="Normal 19 3 10 2" xfId="17972" xr:uid="{00000000-0005-0000-0000-0000F3220000}"/>
    <cellStyle name="Normal 19 3 11" xfId="5931" xr:uid="{00000000-0005-0000-0000-0000F4220000}"/>
    <cellStyle name="Normal 19 3 11 2" xfId="17973" xr:uid="{00000000-0005-0000-0000-0000F5220000}"/>
    <cellStyle name="Normal 19 3 12" xfId="5932" xr:uid="{00000000-0005-0000-0000-0000F6220000}"/>
    <cellStyle name="Normal 19 3 12 2" xfId="17974" xr:uid="{00000000-0005-0000-0000-0000F7220000}"/>
    <cellStyle name="Normal 19 3 13" xfId="5933" xr:uid="{00000000-0005-0000-0000-0000F8220000}"/>
    <cellStyle name="Normal 19 3 13 2" xfId="17975" xr:uid="{00000000-0005-0000-0000-0000F9220000}"/>
    <cellStyle name="Normal 19 3 14" xfId="5934" xr:uid="{00000000-0005-0000-0000-0000FA220000}"/>
    <cellStyle name="Normal 19 3 14 2" xfId="17976" xr:uid="{00000000-0005-0000-0000-0000FB220000}"/>
    <cellStyle name="Normal 19 3 15" xfId="5935" xr:uid="{00000000-0005-0000-0000-0000FC220000}"/>
    <cellStyle name="Normal 19 3 15 2" xfId="17977" xr:uid="{00000000-0005-0000-0000-0000FD220000}"/>
    <cellStyle name="Normal 19 3 16" xfId="5936" xr:uid="{00000000-0005-0000-0000-0000FE220000}"/>
    <cellStyle name="Normal 19 3 16 2" xfId="17978" xr:uid="{00000000-0005-0000-0000-0000FF220000}"/>
    <cellStyle name="Normal 19 3 17" xfId="5937" xr:uid="{00000000-0005-0000-0000-000000230000}"/>
    <cellStyle name="Normal 19 3 17 2" xfId="17979" xr:uid="{00000000-0005-0000-0000-000001230000}"/>
    <cellStyle name="Normal 19 3 18" xfId="5938" xr:uid="{00000000-0005-0000-0000-000002230000}"/>
    <cellStyle name="Normal 19 3 18 2" xfId="17980" xr:uid="{00000000-0005-0000-0000-000003230000}"/>
    <cellStyle name="Normal 19 3 19" xfId="5939" xr:uid="{00000000-0005-0000-0000-000004230000}"/>
    <cellStyle name="Normal 19 3 19 2" xfId="17981" xr:uid="{00000000-0005-0000-0000-000005230000}"/>
    <cellStyle name="Normal 19 3 2" xfId="5940" xr:uid="{00000000-0005-0000-0000-000006230000}"/>
    <cellStyle name="Normal 19 3 2 2" xfId="17982" xr:uid="{00000000-0005-0000-0000-000007230000}"/>
    <cellStyle name="Normal 19 3 20" xfId="5941" xr:uid="{00000000-0005-0000-0000-000008230000}"/>
    <cellStyle name="Normal 19 3 20 2" xfId="17983" xr:uid="{00000000-0005-0000-0000-000009230000}"/>
    <cellStyle name="Normal 19 3 21" xfId="5942" xr:uid="{00000000-0005-0000-0000-00000A230000}"/>
    <cellStyle name="Normal 19 3 21 2" xfId="17984" xr:uid="{00000000-0005-0000-0000-00000B230000}"/>
    <cellStyle name="Normal 19 3 22" xfId="5943" xr:uid="{00000000-0005-0000-0000-00000C230000}"/>
    <cellStyle name="Normal 19 3 22 2" xfId="17985" xr:uid="{00000000-0005-0000-0000-00000D230000}"/>
    <cellStyle name="Normal 19 3 23" xfId="5944" xr:uid="{00000000-0005-0000-0000-00000E230000}"/>
    <cellStyle name="Normal 19 3 23 2" xfId="17986" xr:uid="{00000000-0005-0000-0000-00000F230000}"/>
    <cellStyle name="Normal 19 3 24" xfId="5945" xr:uid="{00000000-0005-0000-0000-000010230000}"/>
    <cellStyle name="Normal 19 3 24 2" xfId="17987" xr:uid="{00000000-0005-0000-0000-000011230000}"/>
    <cellStyle name="Normal 19 3 25" xfId="5946" xr:uid="{00000000-0005-0000-0000-000012230000}"/>
    <cellStyle name="Normal 19 3 25 2" xfId="17988" xr:uid="{00000000-0005-0000-0000-000013230000}"/>
    <cellStyle name="Normal 19 3 26" xfId="5947" xr:uid="{00000000-0005-0000-0000-000014230000}"/>
    <cellStyle name="Normal 19 3 26 2" xfId="17989" xr:uid="{00000000-0005-0000-0000-000015230000}"/>
    <cellStyle name="Normal 19 3 27" xfId="5948" xr:uid="{00000000-0005-0000-0000-000016230000}"/>
    <cellStyle name="Normal 19 3 27 2" xfId="17990" xr:uid="{00000000-0005-0000-0000-000017230000}"/>
    <cellStyle name="Normal 19 3 28" xfId="5949" xr:uid="{00000000-0005-0000-0000-000018230000}"/>
    <cellStyle name="Normal 19 3 28 2" xfId="17991" xr:uid="{00000000-0005-0000-0000-000019230000}"/>
    <cellStyle name="Normal 19 3 29" xfId="5950" xr:uid="{00000000-0005-0000-0000-00001A230000}"/>
    <cellStyle name="Normal 19 3 29 2" xfId="17992" xr:uid="{00000000-0005-0000-0000-00001B230000}"/>
    <cellStyle name="Normal 19 3 3" xfId="5951" xr:uid="{00000000-0005-0000-0000-00001C230000}"/>
    <cellStyle name="Normal 19 3 3 2" xfId="17993" xr:uid="{00000000-0005-0000-0000-00001D230000}"/>
    <cellStyle name="Normal 19 3 30" xfId="5952" xr:uid="{00000000-0005-0000-0000-00001E230000}"/>
    <cellStyle name="Normal 19 3 30 2" xfId="17994" xr:uid="{00000000-0005-0000-0000-00001F230000}"/>
    <cellStyle name="Normal 19 3 31" xfId="5953" xr:uid="{00000000-0005-0000-0000-000020230000}"/>
    <cellStyle name="Normal 19 3 31 2" xfId="17995" xr:uid="{00000000-0005-0000-0000-000021230000}"/>
    <cellStyle name="Normal 19 3 32" xfId="5954" xr:uid="{00000000-0005-0000-0000-000022230000}"/>
    <cellStyle name="Normal 19 3 32 2" xfId="17996" xr:uid="{00000000-0005-0000-0000-000023230000}"/>
    <cellStyle name="Normal 19 3 33" xfId="5955" xr:uid="{00000000-0005-0000-0000-000024230000}"/>
    <cellStyle name="Normal 19 3 33 2" xfId="17997" xr:uid="{00000000-0005-0000-0000-000025230000}"/>
    <cellStyle name="Normal 19 3 34" xfId="5956" xr:uid="{00000000-0005-0000-0000-000026230000}"/>
    <cellStyle name="Normal 19 3 34 2" xfId="17998" xr:uid="{00000000-0005-0000-0000-000027230000}"/>
    <cellStyle name="Normal 19 3 35" xfId="5957" xr:uid="{00000000-0005-0000-0000-000028230000}"/>
    <cellStyle name="Normal 19 3 35 2" xfId="17999" xr:uid="{00000000-0005-0000-0000-000029230000}"/>
    <cellStyle name="Normal 19 3 36" xfId="5958" xr:uid="{00000000-0005-0000-0000-00002A230000}"/>
    <cellStyle name="Normal 19 3 36 2" xfId="18000" xr:uid="{00000000-0005-0000-0000-00002B230000}"/>
    <cellStyle name="Normal 19 3 37" xfId="5959" xr:uid="{00000000-0005-0000-0000-00002C230000}"/>
    <cellStyle name="Normal 19 3 37 2" xfId="18001" xr:uid="{00000000-0005-0000-0000-00002D230000}"/>
    <cellStyle name="Normal 19 3 38" xfId="5960" xr:uid="{00000000-0005-0000-0000-00002E230000}"/>
    <cellStyle name="Normal 19 3 38 2" xfId="18002" xr:uid="{00000000-0005-0000-0000-00002F230000}"/>
    <cellStyle name="Normal 19 3 39" xfId="5961" xr:uid="{00000000-0005-0000-0000-000030230000}"/>
    <cellStyle name="Normal 19 3 39 2" xfId="18003" xr:uid="{00000000-0005-0000-0000-000031230000}"/>
    <cellStyle name="Normal 19 3 4" xfId="5962" xr:uid="{00000000-0005-0000-0000-000032230000}"/>
    <cellStyle name="Normal 19 3 4 2" xfId="18004" xr:uid="{00000000-0005-0000-0000-000033230000}"/>
    <cellStyle name="Normal 19 3 40" xfId="5963" xr:uid="{00000000-0005-0000-0000-000034230000}"/>
    <cellStyle name="Normal 19 3 40 2" xfId="18005" xr:uid="{00000000-0005-0000-0000-000035230000}"/>
    <cellStyle name="Normal 19 3 41" xfId="5964" xr:uid="{00000000-0005-0000-0000-000036230000}"/>
    <cellStyle name="Normal 19 3 41 2" xfId="18006" xr:uid="{00000000-0005-0000-0000-000037230000}"/>
    <cellStyle name="Normal 19 3 42" xfId="5965" xr:uid="{00000000-0005-0000-0000-000038230000}"/>
    <cellStyle name="Normal 19 3 42 2" xfId="18007" xr:uid="{00000000-0005-0000-0000-000039230000}"/>
    <cellStyle name="Normal 19 3 43" xfId="5966" xr:uid="{00000000-0005-0000-0000-00003A230000}"/>
    <cellStyle name="Normal 19 3 43 2" xfId="18008" xr:uid="{00000000-0005-0000-0000-00003B230000}"/>
    <cellStyle name="Normal 19 3 44" xfId="5967" xr:uid="{00000000-0005-0000-0000-00003C230000}"/>
    <cellStyle name="Normal 19 3 44 2" xfId="18009" xr:uid="{00000000-0005-0000-0000-00003D230000}"/>
    <cellStyle name="Normal 19 3 45" xfId="5968" xr:uid="{00000000-0005-0000-0000-00003E230000}"/>
    <cellStyle name="Normal 19 3 45 2" xfId="18010" xr:uid="{00000000-0005-0000-0000-00003F230000}"/>
    <cellStyle name="Normal 19 3 46" xfId="5969" xr:uid="{00000000-0005-0000-0000-000040230000}"/>
    <cellStyle name="Normal 19 3 46 2" xfId="18011" xr:uid="{00000000-0005-0000-0000-000041230000}"/>
    <cellStyle name="Normal 19 3 47" xfId="5970" xr:uid="{00000000-0005-0000-0000-000042230000}"/>
    <cellStyle name="Normal 19 3 47 2" xfId="18012" xr:uid="{00000000-0005-0000-0000-000043230000}"/>
    <cellStyle name="Normal 19 3 48" xfId="5971" xr:uid="{00000000-0005-0000-0000-000044230000}"/>
    <cellStyle name="Normal 19 3 48 2" xfId="18013" xr:uid="{00000000-0005-0000-0000-000045230000}"/>
    <cellStyle name="Normal 19 3 49" xfId="5972" xr:uid="{00000000-0005-0000-0000-000046230000}"/>
    <cellStyle name="Normal 19 3 49 2" xfId="18014" xr:uid="{00000000-0005-0000-0000-000047230000}"/>
    <cellStyle name="Normal 19 3 5" xfId="5973" xr:uid="{00000000-0005-0000-0000-000048230000}"/>
    <cellStyle name="Normal 19 3 5 2" xfId="18015" xr:uid="{00000000-0005-0000-0000-000049230000}"/>
    <cellStyle name="Normal 19 3 50" xfId="5974" xr:uid="{00000000-0005-0000-0000-00004A230000}"/>
    <cellStyle name="Normal 19 3 50 2" xfId="18016" xr:uid="{00000000-0005-0000-0000-00004B230000}"/>
    <cellStyle name="Normal 19 3 51" xfId="5975" xr:uid="{00000000-0005-0000-0000-00004C230000}"/>
    <cellStyle name="Normal 19 3 51 2" xfId="18017" xr:uid="{00000000-0005-0000-0000-00004D230000}"/>
    <cellStyle name="Normal 19 3 52" xfId="5976" xr:uid="{00000000-0005-0000-0000-00004E230000}"/>
    <cellStyle name="Normal 19 3 52 2" xfId="18018" xr:uid="{00000000-0005-0000-0000-00004F230000}"/>
    <cellStyle name="Normal 19 3 53" xfId="5977" xr:uid="{00000000-0005-0000-0000-000050230000}"/>
    <cellStyle name="Normal 19 3 53 2" xfId="18019" xr:uid="{00000000-0005-0000-0000-000051230000}"/>
    <cellStyle name="Normal 19 3 54" xfId="5978" xr:uid="{00000000-0005-0000-0000-000052230000}"/>
    <cellStyle name="Normal 19 3 54 2" xfId="18020" xr:uid="{00000000-0005-0000-0000-000053230000}"/>
    <cellStyle name="Normal 19 3 55" xfId="5979" xr:uid="{00000000-0005-0000-0000-000054230000}"/>
    <cellStyle name="Normal 19 3 55 2" xfId="18021" xr:uid="{00000000-0005-0000-0000-000055230000}"/>
    <cellStyle name="Normal 19 3 56" xfId="5980" xr:uid="{00000000-0005-0000-0000-000056230000}"/>
    <cellStyle name="Normal 19 3 56 2" xfId="18022" xr:uid="{00000000-0005-0000-0000-000057230000}"/>
    <cellStyle name="Normal 19 3 57" xfId="5981" xr:uid="{00000000-0005-0000-0000-000058230000}"/>
    <cellStyle name="Normal 19 3 57 2" xfId="18023" xr:uid="{00000000-0005-0000-0000-000059230000}"/>
    <cellStyle name="Normal 19 3 58" xfId="5982" xr:uid="{00000000-0005-0000-0000-00005A230000}"/>
    <cellStyle name="Normal 19 3 58 2" xfId="18024" xr:uid="{00000000-0005-0000-0000-00005B230000}"/>
    <cellStyle name="Normal 19 3 59" xfId="5983" xr:uid="{00000000-0005-0000-0000-00005C230000}"/>
    <cellStyle name="Normal 19 3 59 2" xfId="18025" xr:uid="{00000000-0005-0000-0000-00005D230000}"/>
    <cellStyle name="Normal 19 3 6" xfId="5984" xr:uid="{00000000-0005-0000-0000-00005E230000}"/>
    <cellStyle name="Normal 19 3 6 2" xfId="18026" xr:uid="{00000000-0005-0000-0000-00005F230000}"/>
    <cellStyle name="Normal 19 3 60" xfId="5985" xr:uid="{00000000-0005-0000-0000-000060230000}"/>
    <cellStyle name="Normal 19 3 60 2" xfId="18027" xr:uid="{00000000-0005-0000-0000-000061230000}"/>
    <cellStyle name="Normal 19 3 61" xfId="5986" xr:uid="{00000000-0005-0000-0000-000062230000}"/>
    <cellStyle name="Normal 19 3 61 2" xfId="18028" xr:uid="{00000000-0005-0000-0000-000063230000}"/>
    <cellStyle name="Normal 19 3 62" xfId="5987" xr:uid="{00000000-0005-0000-0000-000064230000}"/>
    <cellStyle name="Normal 19 3 62 2" xfId="18029" xr:uid="{00000000-0005-0000-0000-000065230000}"/>
    <cellStyle name="Normal 19 3 63" xfId="5988" xr:uid="{00000000-0005-0000-0000-000066230000}"/>
    <cellStyle name="Normal 19 3 63 2" xfId="18030" xr:uid="{00000000-0005-0000-0000-000067230000}"/>
    <cellStyle name="Normal 19 3 64" xfId="5989" xr:uid="{00000000-0005-0000-0000-000068230000}"/>
    <cellStyle name="Normal 19 3 64 2" xfId="18031" xr:uid="{00000000-0005-0000-0000-000069230000}"/>
    <cellStyle name="Normal 19 3 65" xfId="5990" xr:uid="{00000000-0005-0000-0000-00006A230000}"/>
    <cellStyle name="Normal 19 3 65 2" xfId="18032" xr:uid="{00000000-0005-0000-0000-00006B230000}"/>
    <cellStyle name="Normal 19 3 66" xfId="5991" xr:uid="{00000000-0005-0000-0000-00006C230000}"/>
    <cellStyle name="Normal 19 3 66 2" xfId="18033" xr:uid="{00000000-0005-0000-0000-00006D230000}"/>
    <cellStyle name="Normal 19 3 67" xfId="5992" xr:uid="{00000000-0005-0000-0000-00006E230000}"/>
    <cellStyle name="Normal 19 3 67 2" xfId="18034" xr:uid="{00000000-0005-0000-0000-00006F230000}"/>
    <cellStyle name="Normal 19 3 68" xfId="5993" xr:uid="{00000000-0005-0000-0000-000070230000}"/>
    <cellStyle name="Normal 19 3 68 2" xfId="18035" xr:uid="{00000000-0005-0000-0000-000071230000}"/>
    <cellStyle name="Normal 19 3 69" xfId="5994" xr:uid="{00000000-0005-0000-0000-000072230000}"/>
    <cellStyle name="Normal 19 3 69 2" xfId="18036" xr:uid="{00000000-0005-0000-0000-000073230000}"/>
    <cellStyle name="Normal 19 3 7" xfId="5995" xr:uid="{00000000-0005-0000-0000-000074230000}"/>
    <cellStyle name="Normal 19 3 7 2" xfId="18037" xr:uid="{00000000-0005-0000-0000-000075230000}"/>
    <cellStyle name="Normal 19 3 70" xfId="5996" xr:uid="{00000000-0005-0000-0000-000076230000}"/>
    <cellStyle name="Normal 19 3 70 2" xfId="18038" xr:uid="{00000000-0005-0000-0000-000077230000}"/>
    <cellStyle name="Normal 19 3 71" xfId="5997" xr:uid="{00000000-0005-0000-0000-000078230000}"/>
    <cellStyle name="Normal 19 3 71 2" xfId="18039" xr:uid="{00000000-0005-0000-0000-000079230000}"/>
    <cellStyle name="Normal 19 3 72" xfId="5998" xr:uid="{00000000-0005-0000-0000-00007A230000}"/>
    <cellStyle name="Normal 19 3 72 2" xfId="18040" xr:uid="{00000000-0005-0000-0000-00007B230000}"/>
    <cellStyle name="Normal 19 3 73" xfId="5999" xr:uid="{00000000-0005-0000-0000-00007C230000}"/>
    <cellStyle name="Normal 19 3 73 2" xfId="18041" xr:uid="{00000000-0005-0000-0000-00007D230000}"/>
    <cellStyle name="Normal 19 3 74" xfId="6000" xr:uid="{00000000-0005-0000-0000-00007E230000}"/>
    <cellStyle name="Normal 19 3 74 2" xfId="18042" xr:uid="{00000000-0005-0000-0000-00007F230000}"/>
    <cellStyle name="Normal 19 3 75" xfId="6001" xr:uid="{00000000-0005-0000-0000-000080230000}"/>
    <cellStyle name="Normal 19 3 75 2" xfId="18043" xr:uid="{00000000-0005-0000-0000-000081230000}"/>
    <cellStyle name="Normal 19 3 76" xfId="6002" xr:uid="{00000000-0005-0000-0000-000082230000}"/>
    <cellStyle name="Normal 19 3 76 2" xfId="18044" xr:uid="{00000000-0005-0000-0000-000083230000}"/>
    <cellStyle name="Normal 19 3 77" xfId="6003" xr:uid="{00000000-0005-0000-0000-000084230000}"/>
    <cellStyle name="Normal 19 3 77 2" xfId="18045" xr:uid="{00000000-0005-0000-0000-000085230000}"/>
    <cellStyle name="Normal 19 3 78" xfId="6004" xr:uid="{00000000-0005-0000-0000-000086230000}"/>
    <cellStyle name="Normal 19 3 78 2" xfId="18046" xr:uid="{00000000-0005-0000-0000-000087230000}"/>
    <cellStyle name="Normal 19 3 79" xfId="6005" xr:uid="{00000000-0005-0000-0000-000088230000}"/>
    <cellStyle name="Normal 19 3 79 2" xfId="18047" xr:uid="{00000000-0005-0000-0000-000089230000}"/>
    <cellStyle name="Normal 19 3 8" xfId="6006" xr:uid="{00000000-0005-0000-0000-00008A230000}"/>
    <cellStyle name="Normal 19 3 8 2" xfId="18048" xr:uid="{00000000-0005-0000-0000-00008B230000}"/>
    <cellStyle name="Normal 19 3 80" xfId="17971" xr:uid="{00000000-0005-0000-0000-00008C230000}"/>
    <cellStyle name="Normal 19 3 81" xfId="5929" xr:uid="{00000000-0005-0000-0000-00008D230000}"/>
    <cellStyle name="Normal 19 3 9" xfId="6007" xr:uid="{00000000-0005-0000-0000-00008E230000}"/>
    <cellStyle name="Normal 19 3 9 2" xfId="18049" xr:uid="{00000000-0005-0000-0000-00008F230000}"/>
    <cellStyle name="Normal 19 30" xfId="6008" xr:uid="{00000000-0005-0000-0000-000090230000}"/>
    <cellStyle name="Normal 19 30 2" xfId="18050" xr:uid="{00000000-0005-0000-0000-000091230000}"/>
    <cellStyle name="Normal 19 31" xfId="6009" xr:uid="{00000000-0005-0000-0000-000092230000}"/>
    <cellStyle name="Normal 19 31 2" xfId="18051" xr:uid="{00000000-0005-0000-0000-000093230000}"/>
    <cellStyle name="Normal 19 32" xfId="6010" xr:uid="{00000000-0005-0000-0000-000094230000}"/>
    <cellStyle name="Normal 19 32 2" xfId="18052" xr:uid="{00000000-0005-0000-0000-000095230000}"/>
    <cellStyle name="Normal 19 33" xfId="6011" xr:uid="{00000000-0005-0000-0000-000096230000}"/>
    <cellStyle name="Normal 19 33 2" xfId="18053" xr:uid="{00000000-0005-0000-0000-000097230000}"/>
    <cellStyle name="Normal 19 34" xfId="6012" xr:uid="{00000000-0005-0000-0000-000098230000}"/>
    <cellStyle name="Normal 19 34 2" xfId="18054" xr:uid="{00000000-0005-0000-0000-000099230000}"/>
    <cellStyle name="Normal 19 35" xfId="6013" xr:uid="{00000000-0005-0000-0000-00009A230000}"/>
    <cellStyle name="Normal 19 35 2" xfId="18055" xr:uid="{00000000-0005-0000-0000-00009B230000}"/>
    <cellStyle name="Normal 19 36" xfId="6014" xr:uid="{00000000-0005-0000-0000-00009C230000}"/>
    <cellStyle name="Normal 19 36 2" xfId="18056" xr:uid="{00000000-0005-0000-0000-00009D230000}"/>
    <cellStyle name="Normal 19 37" xfId="6015" xr:uid="{00000000-0005-0000-0000-00009E230000}"/>
    <cellStyle name="Normal 19 37 2" xfId="18057" xr:uid="{00000000-0005-0000-0000-00009F230000}"/>
    <cellStyle name="Normal 19 38" xfId="6016" xr:uid="{00000000-0005-0000-0000-0000A0230000}"/>
    <cellStyle name="Normal 19 38 2" xfId="18058" xr:uid="{00000000-0005-0000-0000-0000A1230000}"/>
    <cellStyle name="Normal 19 39" xfId="6017" xr:uid="{00000000-0005-0000-0000-0000A2230000}"/>
    <cellStyle name="Normal 19 39 2" xfId="18059" xr:uid="{00000000-0005-0000-0000-0000A3230000}"/>
    <cellStyle name="Normal 19 4" xfId="308" xr:uid="{00000000-0005-0000-0000-0000A4230000}"/>
    <cellStyle name="Normal 19 4 10" xfId="6018" xr:uid="{00000000-0005-0000-0000-0000A5230000}"/>
    <cellStyle name="Normal 19 4 10 2" xfId="18061" xr:uid="{00000000-0005-0000-0000-0000A6230000}"/>
    <cellStyle name="Normal 19 4 11" xfId="6019" xr:uid="{00000000-0005-0000-0000-0000A7230000}"/>
    <cellStyle name="Normal 19 4 11 2" xfId="18062" xr:uid="{00000000-0005-0000-0000-0000A8230000}"/>
    <cellStyle name="Normal 19 4 12" xfId="6020" xr:uid="{00000000-0005-0000-0000-0000A9230000}"/>
    <cellStyle name="Normal 19 4 12 2" xfId="18063" xr:uid="{00000000-0005-0000-0000-0000AA230000}"/>
    <cellStyle name="Normal 19 4 13" xfId="6021" xr:uid="{00000000-0005-0000-0000-0000AB230000}"/>
    <cellStyle name="Normal 19 4 13 2" xfId="18064" xr:uid="{00000000-0005-0000-0000-0000AC230000}"/>
    <cellStyle name="Normal 19 4 14" xfId="6022" xr:uid="{00000000-0005-0000-0000-0000AD230000}"/>
    <cellStyle name="Normal 19 4 14 2" xfId="18065" xr:uid="{00000000-0005-0000-0000-0000AE230000}"/>
    <cellStyle name="Normal 19 4 15" xfId="6023" xr:uid="{00000000-0005-0000-0000-0000AF230000}"/>
    <cellStyle name="Normal 19 4 15 2" xfId="18066" xr:uid="{00000000-0005-0000-0000-0000B0230000}"/>
    <cellStyle name="Normal 19 4 16" xfId="6024" xr:uid="{00000000-0005-0000-0000-0000B1230000}"/>
    <cellStyle name="Normal 19 4 16 2" xfId="18067" xr:uid="{00000000-0005-0000-0000-0000B2230000}"/>
    <cellStyle name="Normal 19 4 17" xfId="6025" xr:uid="{00000000-0005-0000-0000-0000B3230000}"/>
    <cellStyle name="Normal 19 4 17 2" xfId="18068" xr:uid="{00000000-0005-0000-0000-0000B4230000}"/>
    <cellStyle name="Normal 19 4 18" xfId="6026" xr:uid="{00000000-0005-0000-0000-0000B5230000}"/>
    <cellStyle name="Normal 19 4 18 2" xfId="18069" xr:uid="{00000000-0005-0000-0000-0000B6230000}"/>
    <cellStyle name="Normal 19 4 19" xfId="6027" xr:uid="{00000000-0005-0000-0000-0000B7230000}"/>
    <cellStyle name="Normal 19 4 19 2" xfId="18070" xr:uid="{00000000-0005-0000-0000-0000B8230000}"/>
    <cellStyle name="Normal 19 4 2" xfId="6028" xr:uid="{00000000-0005-0000-0000-0000B9230000}"/>
    <cellStyle name="Normal 19 4 2 2" xfId="18071" xr:uid="{00000000-0005-0000-0000-0000BA230000}"/>
    <cellStyle name="Normal 19 4 20" xfId="6029" xr:uid="{00000000-0005-0000-0000-0000BB230000}"/>
    <cellStyle name="Normal 19 4 20 2" xfId="18072" xr:uid="{00000000-0005-0000-0000-0000BC230000}"/>
    <cellStyle name="Normal 19 4 21" xfId="6030" xr:uid="{00000000-0005-0000-0000-0000BD230000}"/>
    <cellStyle name="Normal 19 4 21 2" xfId="18073" xr:uid="{00000000-0005-0000-0000-0000BE230000}"/>
    <cellStyle name="Normal 19 4 22" xfId="6031" xr:uid="{00000000-0005-0000-0000-0000BF230000}"/>
    <cellStyle name="Normal 19 4 22 2" xfId="18074" xr:uid="{00000000-0005-0000-0000-0000C0230000}"/>
    <cellStyle name="Normal 19 4 23" xfId="6032" xr:uid="{00000000-0005-0000-0000-0000C1230000}"/>
    <cellStyle name="Normal 19 4 23 2" xfId="18075" xr:uid="{00000000-0005-0000-0000-0000C2230000}"/>
    <cellStyle name="Normal 19 4 24" xfId="6033" xr:uid="{00000000-0005-0000-0000-0000C3230000}"/>
    <cellStyle name="Normal 19 4 24 2" xfId="18076" xr:uid="{00000000-0005-0000-0000-0000C4230000}"/>
    <cellStyle name="Normal 19 4 25" xfId="6034" xr:uid="{00000000-0005-0000-0000-0000C5230000}"/>
    <cellStyle name="Normal 19 4 25 2" xfId="18077" xr:uid="{00000000-0005-0000-0000-0000C6230000}"/>
    <cellStyle name="Normal 19 4 26" xfId="6035" xr:uid="{00000000-0005-0000-0000-0000C7230000}"/>
    <cellStyle name="Normal 19 4 26 2" xfId="18078" xr:uid="{00000000-0005-0000-0000-0000C8230000}"/>
    <cellStyle name="Normal 19 4 27" xfId="6036" xr:uid="{00000000-0005-0000-0000-0000C9230000}"/>
    <cellStyle name="Normal 19 4 27 2" xfId="18079" xr:uid="{00000000-0005-0000-0000-0000CA230000}"/>
    <cellStyle name="Normal 19 4 28" xfId="6037" xr:uid="{00000000-0005-0000-0000-0000CB230000}"/>
    <cellStyle name="Normal 19 4 28 2" xfId="18080" xr:uid="{00000000-0005-0000-0000-0000CC230000}"/>
    <cellStyle name="Normal 19 4 29" xfId="6038" xr:uid="{00000000-0005-0000-0000-0000CD230000}"/>
    <cellStyle name="Normal 19 4 29 2" xfId="18081" xr:uid="{00000000-0005-0000-0000-0000CE230000}"/>
    <cellStyle name="Normal 19 4 3" xfId="6039" xr:uid="{00000000-0005-0000-0000-0000CF230000}"/>
    <cellStyle name="Normal 19 4 3 2" xfId="18082" xr:uid="{00000000-0005-0000-0000-0000D0230000}"/>
    <cellStyle name="Normal 19 4 30" xfId="6040" xr:uid="{00000000-0005-0000-0000-0000D1230000}"/>
    <cellStyle name="Normal 19 4 30 2" xfId="18083" xr:uid="{00000000-0005-0000-0000-0000D2230000}"/>
    <cellStyle name="Normal 19 4 31" xfId="6041" xr:uid="{00000000-0005-0000-0000-0000D3230000}"/>
    <cellStyle name="Normal 19 4 31 2" xfId="18084" xr:uid="{00000000-0005-0000-0000-0000D4230000}"/>
    <cellStyle name="Normal 19 4 32" xfId="6042" xr:uid="{00000000-0005-0000-0000-0000D5230000}"/>
    <cellStyle name="Normal 19 4 32 2" xfId="18085" xr:uid="{00000000-0005-0000-0000-0000D6230000}"/>
    <cellStyle name="Normal 19 4 33" xfId="6043" xr:uid="{00000000-0005-0000-0000-0000D7230000}"/>
    <cellStyle name="Normal 19 4 33 2" xfId="18086" xr:uid="{00000000-0005-0000-0000-0000D8230000}"/>
    <cellStyle name="Normal 19 4 34" xfId="6044" xr:uid="{00000000-0005-0000-0000-0000D9230000}"/>
    <cellStyle name="Normal 19 4 34 2" xfId="18087" xr:uid="{00000000-0005-0000-0000-0000DA230000}"/>
    <cellStyle name="Normal 19 4 35" xfId="6045" xr:uid="{00000000-0005-0000-0000-0000DB230000}"/>
    <cellStyle name="Normal 19 4 35 2" xfId="18088" xr:uid="{00000000-0005-0000-0000-0000DC230000}"/>
    <cellStyle name="Normal 19 4 36" xfId="6046" xr:uid="{00000000-0005-0000-0000-0000DD230000}"/>
    <cellStyle name="Normal 19 4 36 2" xfId="18089" xr:uid="{00000000-0005-0000-0000-0000DE230000}"/>
    <cellStyle name="Normal 19 4 37" xfId="6047" xr:uid="{00000000-0005-0000-0000-0000DF230000}"/>
    <cellStyle name="Normal 19 4 37 2" xfId="18090" xr:uid="{00000000-0005-0000-0000-0000E0230000}"/>
    <cellStyle name="Normal 19 4 38" xfId="6048" xr:uid="{00000000-0005-0000-0000-0000E1230000}"/>
    <cellStyle name="Normal 19 4 38 2" xfId="18091" xr:uid="{00000000-0005-0000-0000-0000E2230000}"/>
    <cellStyle name="Normal 19 4 39" xfId="6049" xr:uid="{00000000-0005-0000-0000-0000E3230000}"/>
    <cellStyle name="Normal 19 4 39 2" xfId="18092" xr:uid="{00000000-0005-0000-0000-0000E4230000}"/>
    <cellStyle name="Normal 19 4 4" xfId="6050" xr:uid="{00000000-0005-0000-0000-0000E5230000}"/>
    <cellStyle name="Normal 19 4 4 2" xfId="18093" xr:uid="{00000000-0005-0000-0000-0000E6230000}"/>
    <cellStyle name="Normal 19 4 40" xfId="6051" xr:uid="{00000000-0005-0000-0000-0000E7230000}"/>
    <cellStyle name="Normal 19 4 40 2" xfId="18094" xr:uid="{00000000-0005-0000-0000-0000E8230000}"/>
    <cellStyle name="Normal 19 4 41" xfId="6052" xr:uid="{00000000-0005-0000-0000-0000E9230000}"/>
    <cellStyle name="Normal 19 4 41 2" xfId="18095" xr:uid="{00000000-0005-0000-0000-0000EA230000}"/>
    <cellStyle name="Normal 19 4 42" xfId="6053" xr:uid="{00000000-0005-0000-0000-0000EB230000}"/>
    <cellStyle name="Normal 19 4 42 2" xfId="18096" xr:uid="{00000000-0005-0000-0000-0000EC230000}"/>
    <cellStyle name="Normal 19 4 43" xfId="6054" xr:uid="{00000000-0005-0000-0000-0000ED230000}"/>
    <cellStyle name="Normal 19 4 43 2" xfId="18097" xr:uid="{00000000-0005-0000-0000-0000EE230000}"/>
    <cellStyle name="Normal 19 4 44" xfId="6055" xr:uid="{00000000-0005-0000-0000-0000EF230000}"/>
    <cellStyle name="Normal 19 4 44 2" xfId="18098" xr:uid="{00000000-0005-0000-0000-0000F0230000}"/>
    <cellStyle name="Normal 19 4 45" xfId="6056" xr:uid="{00000000-0005-0000-0000-0000F1230000}"/>
    <cellStyle name="Normal 19 4 45 2" xfId="18099" xr:uid="{00000000-0005-0000-0000-0000F2230000}"/>
    <cellStyle name="Normal 19 4 46" xfId="6057" xr:uid="{00000000-0005-0000-0000-0000F3230000}"/>
    <cellStyle name="Normal 19 4 46 2" xfId="18100" xr:uid="{00000000-0005-0000-0000-0000F4230000}"/>
    <cellStyle name="Normal 19 4 47" xfId="6058" xr:uid="{00000000-0005-0000-0000-0000F5230000}"/>
    <cellStyle name="Normal 19 4 47 2" xfId="18101" xr:uid="{00000000-0005-0000-0000-0000F6230000}"/>
    <cellStyle name="Normal 19 4 48" xfId="6059" xr:uid="{00000000-0005-0000-0000-0000F7230000}"/>
    <cellStyle name="Normal 19 4 48 2" xfId="18102" xr:uid="{00000000-0005-0000-0000-0000F8230000}"/>
    <cellStyle name="Normal 19 4 49" xfId="6060" xr:uid="{00000000-0005-0000-0000-0000F9230000}"/>
    <cellStyle name="Normal 19 4 49 2" xfId="18103" xr:uid="{00000000-0005-0000-0000-0000FA230000}"/>
    <cellStyle name="Normal 19 4 5" xfId="6061" xr:uid="{00000000-0005-0000-0000-0000FB230000}"/>
    <cellStyle name="Normal 19 4 5 2" xfId="18104" xr:uid="{00000000-0005-0000-0000-0000FC230000}"/>
    <cellStyle name="Normal 19 4 50" xfId="6062" xr:uid="{00000000-0005-0000-0000-0000FD230000}"/>
    <cellStyle name="Normal 19 4 50 2" xfId="18105" xr:uid="{00000000-0005-0000-0000-0000FE230000}"/>
    <cellStyle name="Normal 19 4 51" xfId="6063" xr:uid="{00000000-0005-0000-0000-0000FF230000}"/>
    <cellStyle name="Normal 19 4 51 2" xfId="18106" xr:uid="{00000000-0005-0000-0000-000000240000}"/>
    <cellStyle name="Normal 19 4 52" xfId="6064" xr:uid="{00000000-0005-0000-0000-000001240000}"/>
    <cellStyle name="Normal 19 4 52 2" xfId="18107" xr:uid="{00000000-0005-0000-0000-000002240000}"/>
    <cellStyle name="Normal 19 4 53" xfId="6065" xr:uid="{00000000-0005-0000-0000-000003240000}"/>
    <cellStyle name="Normal 19 4 53 2" xfId="18108" xr:uid="{00000000-0005-0000-0000-000004240000}"/>
    <cellStyle name="Normal 19 4 54" xfId="6066" xr:uid="{00000000-0005-0000-0000-000005240000}"/>
    <cellStyle name="Normal 19 4 54 2" xfId="18109" xr:uid="{00000000-0005-0000-0000-000006240000}"/>
    <cellStyle name="Normal 19 4 55" xfId="6067" xr:uid="{00000000-0005-0000-0000-000007240000}"/>
    <cellStyle name="Normal 19 4 55 2" xfId="18110" xr:uid="{00000000-0005-0000-0000-000008240000}"/>
    <cellStyle name="Normal 19 4 56" xfId="6068" xr:uid="{00000000-0005-0000-0000-000009240000}"/>
    <cellStyle name="Normal 19 4 56 2" xfId="18111" xr:uid="{00000000-0005-0000-0000-00000A240000}"/>
    <cellStyle name="Normal 19 4 57" xfId="6069" xr:uid="{00000000-0005-0000-0000-00000B240000}"/>
    <cellStyle name="Normal 19 4 57 2" xfId="18112" xr:uid="{00000000-0005-0000-0000-00000C240000}"/>
    <cellStyle name="Normal 19 4 58" xfId="6070" xr:uid="{00000000-0005-0000-0000-00000D240000}"/>
    <cellStyle name="Normal 19 4 58 2" xfId="18113" xr:uid="{00000000-0005-0000-0000-00000E240000}"/>
    <cellStyle name="Normal 19 4 59" xfId="6071" xr:uid="{00000000-0005-0000-0000-00000F240000}"/>
    <cellStyle name="Normal 19 4 59 2" xfId="18114" xr:uid="{00000000-0005-0000-0000-000010240000}"/>
    <cellStyle name="Normal 19 4 6" xfId="6072" xr:uid="{00000000-0005-0000-0000-000011240000}"/>
    <cellStyle name="Normal 19 4 6 2" xfId="18115" xr:uid="{00000000-0005-0000-0000-000012240000}"/>
    <cellStyle name="Normal 19 4 60" xfId="6073" xr:uid="{00000000-0005-0000-0000-000013240000}"/>
    <cellStyle name="Normal 19 4 60 2" xfId="18116" xr:uid="{00000000-0005-0000-0000-000014240000}"/>
    <cellStyle name="Normal 19 4 61" xfId="6074" xr:uid="{00000000-0005-0000-0000-000015240000}"/>
    <cellStyle name="Normal 19 4 61 2" xfId="18117" xr:uid="{00000000-0005-0000-0000-000016240000}"/>
    <cellStyle name="Normal 19 4 62" xfId="6075" xr:uid="{00000000-0005-0000-0000-000017240000}"/>
    <cellStyle name="Normal 19 4 62 2" xfId="18118" xr:uid="{00000000-0005-0000-0000-000018240000}"/>
    <cellStyle name="Normal 19 4 63" xfId="6076" xr:uid="{00000000-0005-0000-0000-000019240000}"/>
    <cellStyle name="Normal 19 4 63 2" xfId="18119" xr:uid="{00000000-0005-0000-0000-00001A240000}"/>
    <cellStyle name="Normal 19 4 64" xfId="6077" xr:uid="{00000000-0005-0000-0000-00001B240000}"/>
    <cellStyle name="Normal 19 4 64 2" xfId="18120" xr:uid="{00000000-0005-0000-0000-00001C240000}"/>
    <cellStyle name="Normal 19 4 65" xfId="6078" xr:uid="{00000000-0005-0000-0000-00001D240000}"/>
    <cellStyle name="Normal 19 4 65 2" xfId="18121" xr:uid="{00000000-0005-0000-0000-00001E240000}"/>
    <cellStyle name="Normal 19 4 66" xfId="6079" xr:uid="{00000000-0005-0000-0000-00001F240000}"/>
    <cellStyle name="Normal 19 4 66 2" xfId="18122" xr:uid="{00000000-0005-0000-0000-000020240000}"/>
    <cellStyle name="Normal 19 4 67" xfId="6080" xr:uid="{00000000-0005-0000-0000-000021240000}"/>
    <cellStyle name="Normal 19 4 67 2" xfId="18123" xr:uid="{00000000-0005-0000-0000-000022240000}"/>
    <cellStyle name="Normal 19 4 68" xfId="6081" xr:uid="{00000000-0005-0000-0000-000023240000}"/>
    <cellStyle name="Normal 19 4 68 2" xfId="18124" xr:uid="{00000000-0005-0000-0000-000024240000}"/>
    <cellStyle name="Normal 19 4 69" xfId="6082" xr:uid="{00000000-0005-0000-0000-000025240000}"/>
    <cellStyle name="Normal 19 4 69 2" xfId="18125" xr:uid="{00000000-0005-0000-0000-000026240000}"/>
    <cellStyle name="Normal 19 4 7" xfId="6083" xr:uid="{00000000-0005-0000-0000-000027240000}"/>
    <cellStyle name="Normal 19 4 7 2" xfId="18126" xr:uid="{00000000-0005-0000-0000-000028240000}"/>
    <cellStyle name="Normal 19 4 70" xfId="6084" xr:uid="{00000000-0005-0000-0000-000029240000}"/>
    <cellStyle name="Normal 19 4 70 2" xfId="18127" xr:uid="{00000000-0005-0000-0000-00002A240000}"/>
    <cellStyle name="Normal 19 4 71" xfId="6085" xr:uid="{00000000-0005-0000-0000-00002B240000}"/>
    <cellStyle name="Normal 19 4 71 2" xfId="18128" xr:uid="{00000000-0005-0000-0000-00002C240000}"/>
    <cellStyle name="Normal 19 4 72" xfId="6086" xr:uid="{00000000-0005-0000-0000-00002D240000}"/>
    <cellStyle name="Normal 19 4 72 2" xfId="18129" xr:uid="{00000000-0005-0000-0000-00002E240000}"/>
    <cellStyle name="Normal 19 4 73" xfId="6087" xr:uid="{00000000-0005-0000-0000-00002F240000}"/>
    <cellStyle name="Normal 19 4 73 2" xfId="18130" xr:uid="{00000000-0005-0000-0000-000030240000}"/>
    <cellStyle name="Normal 19 4 74" xfId="6088" xr:uid="{00000000-0005-0000-0000-000031240000}"/>
    <cellStyle name="Normal 19 4 74 2" xfId="18131" xr:uid="{00000000-0005-0000-0000-000032240000}"/>
    <cellStyle name="Normal 19 4 75" xfId="6089" xr:uid="{00000000-0005-0000-0000-000033240000}"/>
    <cellStyle name="Normal 19 4 75 2" xfId="18132" xr:uid="{00000000-0005-0000-0000-000034240000}"/>
    <cellStyle name="Normal 19 4 76" xfId="6090" xr:uid="{00000000-0005-0000-0000-000035240000}"/>
    <cellStyle name="Normal 19 4 76 2" xfId="18133" xr:uid="{00000000-0005-0000-0000-000036240000}"/>
    <cellStyle name="Normal 19 4 77" xfId="6091" xr:uid="{00000000-0005-0000-0000-000037240000}"/>
    <cellStyle name="Normal 19 4 77 2" xfId="18134" xr:uid="{00000000-0005-0000-0000-000038240000}"/>
    <cellStyle name="Normal 19 4 78" xfId="6092" xr:uid="{00000000-0005-0000-0000-000039240000}"/>
    <cellStyle name="Normal 19 4 78 2" xfId="18135" xr:uid="{00000000-0005-0000-0000-00003A240000}"/>
    <cellStyle name="Normal 19 4 79" xfId="6093" xr:uid="{00000000-0005-0000-0000-00003B240000}"/>
    <cellStyle name="Normal 19 4 79 2" xfId="18136" xr:uid="{00000000-0005-0000-0000-00003C240000}"/>
    <cellStyle name="Normal 19 4 8" xfId="6094" xr:uid="{00000000-0005-0000-0000-00003D240000}"/>
    <cellStyle name="Normal 19 4 8 2" xfId="18137" xr:uid="{00000000-0005-0000-0000-00003E240000}"/>
    <cellStyle name="Normal 19 4 80" xfId="18060" xr:uid="{00000000-0005-0000-0000-00003F240000}"/>
    <cellStyle name="Normal 19 4 9" xfId="6095" xr:uid="{00000000-0005-0000-0000-000040240000}"/>
    <cellStyle name="Normal 19 4 9 2" xfId="18138" xr:uid="{00000000-0005-0000-0000-000041240000}"/>
    <cellStyle name="Normal 19 40" xfId="6096" xr:uid="{00000000-0005-0000-0000-000042240000}"/>
    <cellStyle name="Normal 19 40 2" xfId="18139" xr:uid="{00000000-0005-0000-0000-000043240000}"/>
    <cellStyle name="Normal 19 41" xfId="6097" xr:uid="{00000000-0005-0000-0000-000044240000}"/>
    <cellStyle name="Normal 19 41 2" xfId="18140" xr:uid="{00000000-0005-0000-0000-000045240000}"/>
    <cellStyle name="Normal 19 42" xfId="6098" xr:uid="{00000000-0005-0000-0000-000046240000}"/>
    <cellStyle name="Normal 19 42 2" xfId="18141" xr:uid="{00000000-0005-0000-0000-000047240000}"/>
    <cellStyle name="Normal 19 43" xfId="6099" xr:uid="{00000000-0005-0000-0000-000048240000}"/>
    <cellStyle name="Normal 19 43 2" xfId="18142" xr:uid="{00000000-0005-0000-0000-000049240000}"/>
    <cellStyle name="Normal 19 44" xfId="6100" xr:uid="{00000000-0005-0000-0000-00004A240000}"/>
    <cellStyle name="Normal 19 44 2" xfId="18143" xr:uid="{00000000-0005-0000-0000-00004B240000}"/>
    <cellStyle name="Normal 19 45" xfId="6101" xr:uid="{00000000-0005-0000-0000-00004C240000}"/>
    <cellStyle name="Normal 19 45 2" xfId="18144" xr:uid="{00000000-0005-0000-0000-00004D240000}"/>
    <cellStyle name="Normal 19 46" xfId="6102" xr:uid="{00000000-0005-0000-0000-00004E240000}"/>
    <cellStyle name="Normal 19 46 2" xfId="18145" xr:uid="{00000000-0005-0000-0000-00004F240000}"/>
    <cellStyle name="Normal 19 47" xfId="6103" xr:uid="{00000000-0005-0000-0000-000050240000}"/>
    <cellStyle name="Normal 19 47 2" xfId="18146" xr:uid="{00000000-0005-0000-0000-000051240000}"/>
    <cellStyle name="Normal 19 48" xfId="6104" xr:uid="{00000000-0005-0000-0000-000052240000}"/>
    <cellStyle name="Normal 19 48 2" xfId="18147" xr:uid="{00000000-0005-0000-0000-000053240000}"/>
    <cellStyle name="Normal 19 49" xfId="6105" xr:uid="{00000000-0005-0000-0000-000054240000}"/>
    <cellStyle name="Normal 19 49 2" xfId="18148" xr:uid="{00000000-0005-0000-0000-000055240000}"/>
    <cellStyle name="Normal 19 5" xfId="6106" xr:uid="{00000000-0005-0000-0000-000056240000}"/>
    <cellStyle name="Normal 19 5 2" xfId="18149" xr:uid="{00000000-0005-0000-0000-000057240000}"/>
    <cellStyle name="Normal 19 50" xfId="6107" xr:uid="{00000000-0005-0000-0000-000058240000}"/>
    <cellStyle name="Normal 19 50 2" xfId="18150" xr:uid="{00000000-0005-0000-0000-000059240000}"/>
    <cellStyle name="Normal 19 51" xfId="6108" xr:uid="{00000000-0005-0000-0000-00005A240000}"/>
    <cellStyle name="Normal 19 51 2" xfId="18151" xr:uid="{00000000-0005-0000-0000-00005B240000}"/>
    <cellStyle name="Normal 19 52" xfId="6109" xr:uid="{00000000-0005-0000-0000-00005C240000}"/>
    <cellStyle name="Normal 19 52 2" xfId="18152" xr:uid="{00000000-0005-0000-0000-00005D240000}"/>
    <cellStyle name="Normal 19 53" xfId="6110" xr:uid="{00000000-0005-0000-0000-00005E240000}"/>
    <cellStyle name="Normal 19 53 2" xfId="18153" xr:uid="{00000000-0005-0000-0000-00005F240000}"/>
    <cellStyle name="Normal 19 54" xfId="6111" xr:uid="{00000000-0005-0000-0000-000060240000}"/>
    <cellStyle name="Normal 19 54 2" xfId="18154" xr:uid="{00000000-0005-0000-0000-000061240000}"/>
    <cellStyle name="Normal 19 55" xfId="6112" xr:uid="{00000000-0005-0000-0000-000062240000}"/>
    <cellStyle name="Normal 19 55 2" xfId="18155" xr:uid="{00000000-0005-0000-0000-000063240000}"/>
    <cellStyle name="Normal 19 56" xfId="6113" xr:uid="{00000000-0005-0000-0000-000064240000}"/>
    <cellStyle name="Normal 19 56 2" xfId="18156" xr:uid="{00000000-0005-0000-0000-000065240000}"/>
    <cellStyle name="Normal 19 57" xfId="6114" xr:uid="{00000000-0005-0000-0000-000066240000}"/>
    <cellStyle name="Normal 19 57 2" xfId="18157" xr:uid="{00000000-0005-0000-0000-000067240000}"/>
    <cellStyle name="Normal 19 58" xfId="6115" xr:uid="{00000000-0005-0000-0000-000068240000}"/>
    <cellStyle name="Normal 19 58 2" xfId="18158" xr:uid="{00000000-0005-0000-0000-000069240000}"/>
    <cellStyle name="Normal 19 59" xfId="6116" xr:uid="{00000000-0005-0000-0000-00006A240000}"/>
    <cellStyle name="Normal 19 59 2" xfId="18159" xr:uid="{00000000-0005-0000-0000-00006B240000}"/>
    <cellStyle name="Normal 19 6" xfId="6117" xr:uid="{00000000-0005-0000-0000-00006C240000}"/>
    <cellStyle name="Normal 19 6 2" xfId="18160" xr:uid="{00000000-0005-0000-0000-00006D240000}"/>
    <cellStyle name="Normal 19 60" xfId="6118" xr:uid="{00000000-0005-0000-0000-00006E240000}"/>
    <cellStyle name="Normal 19 60 2" xfId="18161" xr:uid="{00000000-0005-0000-0000-00006F240000}"/>
    <cellStyle name="Normal 19 61" xfId="6119" xr:uid="{00000000-0005-0000-0000-000070240000}"/>
    <cellStyle name="Normal 19 61 2" xfId="18162" xr:uid="{00000000-0005-0000-0000-000071240000}"/>
    <cellStyle name="Normal 19 62" xfId="6120" xr:uid="{00000000-0005-0000-0000-000072240000}"/>
    <cellStyle name="Normal 19 62 2" xfId="18163" xr:uid="{00000000-0005-0000-0000-000073240000}"/>
    <cellStyle name="Normal 19 63" xfId="6121" xr:uid="{00000000-0005-0000-0000-000074240000}"/>
    <cellStyle name="Normal 19 63 2" xfId="18164" xr:uid="{00000000-0005-0000-0000-000075240000}"/>
    <cellStyle name="Normal 19 64" xfId="6122" xr:uid="{00000000-0005-0000-0000-000076240000}"/>
    <cellStyle name="Normal 19 64 2" xfId="18165" xr:uid="{00000000-0005-0000-0000-000077240000}"/>
    <cellStyle name="Normal 19 65" xfId="6123" xr:uid="{00000000-0005-0000-0000-000078240000}"/>
    <cellStyle name="Normal 19 65 2" xfId="18166" xr:uid="{00000000-0005-0000-0000-000079240000}"/>
    <cellStyle name="Normal 19 66" xfId="6124" xr:uid="{00000000-0005-0000-0000-00007A240000}"/>
    <cellStyle name="Normal 19 66 2" xfId="18167" xr:uid="{00000000-0005-0000-0000-00007B240000}"/>
    <cellStyle name="Normal 19 67" xfId="6125" xr:uid="{00000000-0005-0000-0000-00007C240000}"/>
    <cellStyle name="Normal 19 67 2" xfId="18168" xr:uid="{00000000-0005-0000-0000-00007D240000}"/>
    <cellStyle name="Normal 19 68" xfId="6126" xr:uid="{00000000-0005-0000-0000-00007E240000}"/>
    <cellStyle name="Normal 19 68 2" xfId="18169" xr:uid="{00000000-0005-0000-0000-00007F240000}"/>
    <cellStyle name="Normal 19 69" xfId="6127" xr:uid="{00000000-0005-0000-0000-000080240000}"/>
    <cellStyle name="Normal 19 69 2" xfId="18170" xr:uid="{00000000-0005-0000-0000-000081240000}"/>
    <cellStyle name="Normal 19 7" xfId="6128" xr:uid="{00000000-0005-0000-0000-000082240000}"/>
    <cellStyle name="Normal 19 7 2" xfId="18171" xr:uid="{00000000-0005-0000-0000-000083240000}"/>
    <cellStyle name="Normal 19 70" xfId="6129" xr:uid="{00000000-0005-0000-0000-000084240000}"/>
    <cellStyle name="Normal 19 70 2" xfId="18172" xr:uid="{00000000-0005-0000-0000-000085240000}"/>
    <cellStyle name="Normal 19 71" xfId="6130" xr:uid="{00000000-0005-0000-0000-000086240000}"/>
    <cellStyle name="Normal 19 71 2" xfId="18173" xr:uid="{00000000-0005-0000-0000-000087240000}"/>
    <cellStyle name="Normal 19 72" xfId="6131" xr:uid="{00000000-0005-0000-0000-000088240000}"/>
    <cellStyle name="Normal 19 72 2" xfId="18174" xr:uid="{00000000-0005-0000-0000-000089240000}"/>
    <cellStyle name="Normal 19 73" xfId="6132" xr:uid="{00000000-0005-0000-0000-00008A240000}"/>
    <cellStyle name="Normal 19 73 2" xfId="18175" xr:uid="{00000000-0005-0000-0000-00008B240000}"/>
    <cellStyle name="Normal 19 74" xfId="6133" xr:uid="{00000000-0005-0000-0000-00008C240000}"/>
    <cellStyle name="Normal 19 74 2" xfId="18176" xr:uid="{00000000-0005-0000-0000-00008D240000}"/>
    <cellStyle name="Normal 19 75" xfId="6134" xr:uid="{00000000-0005-0000-0000-00008E240000}"/>
    <cellStyle name="Normal 19 75 2" xfId="18177" xr:uid="{00000000-0005-0000-0000-00008F240000}"/>
    <cellStyle name="Normal 19 76" xfId="6135" xr:uid="{00000000-0005-0000-0000-000090240000}"/>
    <cellStyle name="Normal 19 76 2" xfId="18178" xr:uid="{00000000-0005-0000-0000-000091240000}"/>
    <cellStyle name="Normal 19 77" xfId="6136" xr:uid="{00000000-0005-0000-0000-000092240000}"/>
    <cellStyle name="Normal 19 77 2" xfId="18179" xr:uid="{00000000-0005-0000-0000-000093240000}"/>
    <cellStyle name="Normal 19 78" xfId="6137" xr:uid="{00000000-0005-0000-0000-000094240000}"/>
    <cellStyle name="Normal 19 78 2" xfId="18180" xr:uid="{00000000-0005-0000-0000-000095240000}"/>
    <cellStyle name="Normal 19 79" xfId="6138" xr:uid="{00000000-0005-0000-0000-000096240000}"/>
    <cellStyle name="Normal 19 79 2" xfId="18181" xr:uid="{00000000-0005-0000-0000-000097240000}"/>
    <cellStyle name="Normal 19 8" xfId="6139" xr:uid="{00000000-0005-0000-0000-000098240000}"/>
    <cellStyle name="Normal 19 8 2" xfId="18182" xr:uid="{00000000-0005-0000-0000-000099240000}"/>
    <cellStyle name="Normal 19 80" xfId="6140" xr:uid="{00000000-0005-0000-0000-00009A240000}"/>
    <cellStyle name="Normal 19 80 2" xfId="18183" xr:uid="{00000000-0005-0000-0000-00009B240000}"/>
    <cellStyle name="Normal 19 81" xfId="6141" xr:uid="{00000000-0005-0000-0000-00009C240000}"/>
    <cellStyle name="Normal 19 81 2" xfId="18184" xr:uid="{00000000-0005-0000-0000-00009D240000}"/>
    <cellStyle name="Normal 19 82" xfId="6142" xr:uid="{00000000-0005-0000-0000-00009E240000}"/>
    <cellStyle name="Normal 19 82 2" xfId="18185" xr:uid="{00000000-0005-0000-0000-00009F240000}"/>
    <cellStyle name="Normal 19 83" xfId="17871" xr:uid="{00000000-0005-0000-0000-0000A0240000}"/>
    <cellStyle name="Normal 19 9" xfId="6143" xr:uid="{00000000-0005-0000-0000-0000A1240000}"/>
    <cellStyle name="Normal 19 9 2" xfId="18186" xr:uid="{00000000-0005-0000-0000-0000A2240000}"/>
    <cellStyle name="Normal 190" xfId="531" xr:uid="{00000000-0005-0000-0000-0000A3240000}"/>
    <cellStyle name="Normal 190 2" xfId="628" xr:uid="{00000000-0005-0000-0000-0000A4240000}"/>
    <cellStyle name="Normal 190 3" xfId="1047" xr:uid="{00000000-0005-0000-0000-0000A5240000}"/>
    <cellStyle name="Normal 190 4" xfId="1324" xr:uid="{00000000-0005-0000-0000-0000A6240000}"/>
    <cellStyle name="Normal 190 5" xfId="1389" xr:uid="{00000000-0005-0000-0000-0000A7240000}"/>
    <cellStyle name="Normal 190 6" xfId="1439" xr:uid="{00000000-0005-0000-0000-0000A8240000}"/>
    <cellStyle name="Normal 190 7" xfId="1468" xr:uid="{00000000-0005-0000-0000-0000A9240000}"/>
    <cellStyle name="Normal 190 8" xfId="1490" xr:uid="{00000000-0005-0000-0000-0000AA240000}"/>
    <cellStyle name="Normal 190 9" xfId="1499" xr:uid="{00000000-0005-0000-0000-0000AB240000}"/>
    <cellStyle name="Normal 191" xfId="532" xr:uid="{00000000-0005-0000-0000-0000AC240000}"/>
    <cellStyle name="Normal 191 2" xfId="629" xr:uid="{00000000-0005-0000-0000-0000AD240000}"/>
    <cellStyle name="Normal 191 3" xfId="1048" xr:uid="{00000000-0005-0000-0000-0000AE240000}"/>
    <cellStyle name="Normal 191 4" xfId="886" xr:uid="{00000000-0005-0000-0000-0000AF240000}"/>
    <cellStyle name="Normal 191 5" xfId="949" xr:uid="{00000000-0005-0000-0000-0000B0240000}"/>
    <cellStyle name="Normal 191 6" xfId="938" xr:uid="{00000000-0005-0000-0000-0000B1240000}"/>
    <cellStyle name="Normal 191 7" xfId="1245" xr:uid="{00000000-0005-0000-0000-0000B2240000}"/>
    <cellStyle name="Normal 191 8" xfId="835" xr:uid="{00000000-0005-0000-0000-0000B3240000}"/>
    <cellStyle name="Normal 191 9" xfId="968" xr:uid="{00000000-0005-0000-0000-0000B4240000}"/>
    <cellStyle name="Normal 192" xfId="533" xr:uid="{00000000-0005-0000-0000-0000B5240000}"/>
    <cellStyle name="Normal 192 2" xfId="630" xr:uid="{00000000-0005-0000-0000-0000B6240000}"/>
    <cellStyle name="Normal 192 3" xfId="1049" xr:uid="{00000000-0005-0000-0000-0000B7240000}"/>
    <cellStyle name="Normal 192 4" xfId="1207" xr:uid="{00000000-0005-0000-0000-0000B8240000}"/>
    <cellStyle name="Normal 192 5" xfId="1175" xr:uid="{00000000-0005-0000-0000-0000B9240000}"/>
    <cellStyle name="Normal 192 6" xfId="1331" xr:uid="{00000000-0005-0000-0000-0000BA240000}"/>
    <cellStyle name="Normal 192 7" xfId="1395" xr:uid="{00000000-0005-0000-0000-0000BB240000}"/>
    <cellStyle name="Normal 192 8" xfId="1445" xr:uid="{00000000-0005-0000-0000-0000BC240000}"/>
    <cellStyle name="Normal 192 9" xfId="1472" xr:uid="{00000000-0005-0000-0000-0000BD240000}"/>
    <cellStyle name="Normal 193" xfId="534" xr:uid="{00000000-0005-0000-0000-0000BE240000}"/>
    <cellStyle name="Normal 193 2" xfId="631" xr:uid="{00000000-0005-0000-0000-0000BF240000}"/>
    <cellStyle name="Normal 193 3" xfId="1050" xr:uid="{00000000-0005-0000-0000-0000C0240000}"/>
    <cellStyle name="Normal 193 4" xfId="885" xr:uid="{00000000-0005-0000-0000-0000C1240000}"/>
    <cellStyle name="Normal 193 5" xfId="1327" xr:uid="{00000000-0005-0000-0000-0000C2240000}"/>
    <cellStyle name="Normal 193 6" xfId="1392" xr:uid="{00000000-0005-0000-0000-0000C3240000}"/>
    <cellStyle name="Normal 193 7" xfId="1442" xr:uid="{00000000-0005-0000-0000-0000C4240000}"/>
    <cellStyle name="Normal 193 8" xfId="1471" xr:uid="{00000000-0005-0000-0000-0000C5240000}"/>
    <cellStyle name="Normal 193 9" xfId="1492" xr:uid="{00000000-0005-0000-0000-0000C6240000}"/>
    <cellStyle name="Normal 194" xfId="535" xr:uid="{00000000-0005-0000-0000-0000C7240000}"/>
    <cellStyle name="Normal 194 2" xfId="632" xr:uid="{00000000-0005-0000-0000-0000C8240000}"/>
    <cellStyle name="Normal 194 3" xfId="1051" xr:uid="{00000000-0005-0000-0000-0000C9240000}"/>
    <cellStyle name="Normal 194 4" xfId="1206" xr:uid="{00000000-0005-0000-0000-0000CA240000}"/>
    <cellStyle name="Normal 194 5" xfId="983" xr:uid="{00000000-0005-0000-0000-0000CB240000}"/>
    <cellStyle name="Normal 194 6" xfId="1224" xr:uid="{00000000-0005-0000-0000-0000CC240000}"/>
    <cellStyle name="Normal 194 7" xfId="856" xr:uid="{00000000-0005-0000-0000-0000CD240000}"/>
    <cellStyle name="Normal 194 8" xfId="853" xr:uid="{00000000-0005-0000-0000-0000CE240000}"/>
    <cellStyle name="Normal 194 9" xfId="961" xr:uid="{00000000-0005-0000-0000-0000CF240000}"/>
    <cellStyle name="Normal 195" xfId="536" xr:uid="{00000000-0005-0000-0000-0000D0240000}"/>
    <cellStyle name="Normal 195 2" xfId="633" xr:uid="{00000000-0005-0000-0000-0000D1240000}"/>
    <cellStyle name="Normal 195 3" xfId="1052" xr:uid="{00000000-0005-0000-0000-0000D2240000}"/>
    <cellStyle name="Normal 195 4" xfId="1323" xr:uid="{00000000-0005-0000-0000-0000D3240000}"/>
    <cellStyle name="Normal 195 5" xfId="1388" xr:uid="{00000000-0005-0000-0000-0000D4240000}"/>
    <cellStyle name="Normal 195 6" xfId="1438" xr:uid="{00000000-0005-0000-0000-0000D5240000}"/>
    <cellStyle name="Normal 195 7" xfId="1467" xr:uid="{00000000-0005-0000-0000-0000D6240000}"/>
    <cellStyle name="Normal 195 8" xfId="1489" xr:uid="{00000000-0005-0000-0000-0000D7240000}"/>
    <cellStyle name="Normal 195 9" xfId="1498" xr:uid="{00000000-0005-0000-0000-0000D8240000}"/>
    <cellStyle name="Normal 196" xfId="537" xr:uid="{00000000-0005-0000-0000-0000D9240000}"/>
    <cellStyle name="Normal 196 2" xfId="634" xr:uid="{00000000-0005-0000-0000-0000DA240000}"/>
    <cellStyle name="Normal 196 3" xfId="1053" xr:uid="{00000000-0005-0000-0000-0000DB240000}"/>
    <cellStyle name="Normal 196 4" xfId="884" xr:uid="{00000000-0005-0000-0000-0000DC240000}"/>
    <cellStyle name="Normal 196 5" xfId="1281" xr:uid="{00000000-0005-0000-0000-0000DD240000}"/>
    <cellStyle name="Normal 196 6" xfId="1350" xr:uid="{00000000-0005-0000-0000-0000DE240000}"/>
    <cellStyle name="Normal 196 7" xfId="1413" xr:uid="{00000000-0005-0000-0000-0000DF240000}"/>
    <cellStyle name="Normal 196 8" xfId="1452" xr:uid="{00000000-0005-0000-0000-0000E0240000}"/>
    <cellStyle name="Normal 196 9" xfId="1478" xr:uid="{00000000-0005-0000-0000-0000E1240000}"/>
    <cellStyle name="Normal 197" xfId="538" xr:uid="{00000000-0005-0000-0000-0000E2240000}"/>
    <cellStyle name="Normal 197 2" xfId="635" xr:uid="{00000000-0005-0000-0000-0000E3240000}"/>
    <cellStyle name="Normal 197 3" xfId="1054" xr:uid="{00000000-0005-0000-0000-0000E4240000}"/>
    <cellStyle name="Normal 197 4" xfId="936" xr:uid="{00000000-0005-0000-0000-0000E5240000}"/>
    <cellStyle name="Normal 197 5" xfId="914" xr:uid="{00000000-0005-0000-0000-0000E6240000}"/>
    <cellStyle name="Normal 197 6" xfId="1263" xr:uid="{00000000-0005-0000-0000-0000E7240000}"/>
    <cellStyle name="Normal 197 7" xfId="836" xr:uid="{00000000-0005-0000-0000-0000E8240000}"/>
    <cellStyle name="Normal 197 8" xfId="1304" xr:uid="{00000000-0005-0000-0000-0000E9240000}"/>
    <cellStyle name="Normal 197 9" xfId="1369" xr:uid="{00000000-0005-0000-0000-0000EA240000}"/>
    <cellStyle name="Normal 198" xfId="539" xr:uid="{00000000-0005-0000-0000-0000EB240000}"/>
    <cellStyle name="Normal 198 2" xfId="636" xr:uid="{00000000-0005-0000-0000-0000EC240000}"/>
    <cellStyle name="Normal 198 3" xfId="1055" xr:uid="{00000000-0005-0000-0000-0000ED240000}"/>
    <cellStyle name="Normal 198 4" xfId="935" xr:uid="{00000000-0005-0000-0000-0000EE240000}"/>
    <cellStyle name="Normal 198 5" xfId="1247" xr:uid="{00000000-0005-0000-0000-0000EF240000}"/>
    <cellStyle name="Normal 198 6" xfId="827" xr:uid="{00000000-0005-0000-0000-0000F0240000}"/>
    <cellStyle name="Normal 198 7" xfId="1308" xr:uid="{00000000-0005-0000-0000-0000F1240000}"/>
    <cellStyle name="Normal 198 8" xfId="1373" xr:uid="{00000000-0005-0000-0000-0000F2240000}"/>
    <cellStyle name="Normal 198 9" xfId="1431" xr:uid="{00000000-0005-0000-0000-0000F3240000}"/>
    <cellStyle name="Normal 199" xfId="540" xr:uid="{00000000-0005-0000-0000-0000F4240000}"/>
    <cellStyle name="Normal 199 2" xfId="637" xr:uid="{00000000-0005-0000-0000-0000F5240000}"/>
    <cellStyle name="Normal 199 3" xfId="1056" xr:uid="{00000000-0005-0000-0000-0000F6240000}"/>
    <cellStyle name="Normal 199 4" xfId="934" xr:uid="{00000000-0005-0000-0000-0000F7240000}"/>
    <cellStyle name="Normal 199 5" xfId="1248" xr:uid="{00000000-0005-0000-0000-0000F8240000}"/>
    <cellStyle name="Normal 199 6" xfId="849" xr:uid="{00000000-0005-0000-0000-0000F9240000}"/>
    <cellStyle name="Normal 199 7" xfId="1297" xr:uid="{00000000-0005-0000-0000-0000FA240000}"/>
    <cellStyle name="Normal 199 8" xfId="1363" xr:uid="{00000000-0005-0000-0000-0000FB240000}"/>
    <cellStyle name="Normal 199 9" xfId="1424" xr:uid="{00000000-0005-0000-0000-0000FC240000}"/>
    <cellStyle name="Normal 2" xfId="3" xr:uid="{00000000-0005-0000-0000-0000FD240000}"/>
    <cellStyle name="Normal 2 10" xfId="104" xr:uid="{00000000-0005-0000-0000-0000FE240000}"/>
    <cellStyle name="Normal 2 10 2" xfId="700" xr:uid="{00000000-0005-0000-0000-0000FF240000}"/>
    <cellStyle name="Normal 2 10 2 2" xfId="15066" xr:uid="{00000000-0005-0000-0000-000000250000}"/>
    <cellStyle name="Normal 2 10 3" xfId="337" xr:uid="{00000000-0005-0000-0000-000001250000}"/>
    <cellStyle name="Normal 2 11" xfId="338" xr:uid="{00000000-0005-0000-0000-000002250000}"/>
    <cellStyle name="Normal 2 11 2" xfId="805" xr:uid="{00000000-0005-0000-0000-000003250000}"/>
    <cellStyle name="Normal 2 11 3" xfId="701" xr:uid="{00000000-0005-0000-0000-000004250000}"/>
    <cellStyle name="Normal 2 11 3 2" xfId="15067" xr:uid="{00000000-0005-0000-0000-000005250000}"/>
    <cellStyle name="Normal 2 11 4" xfId="14953" xr:uid="{00000000-0005-0000-0000-000006250000}"/>
    <cellStyle name="Normal 2 12" xfId="339" xr:uid="{00000000-0005-0000-0000-000007250000}"/>
    <cellStyle name="Normal 2 12 2" xfId="15068" xr:uid="{00000000-0005-0000-0000-000008250000}"/>
    <cellStyle name="Normal 2 13" xfId="340" xr:uid="{00000000-0005-0000-0000-000009250000}"/>
    <cellStyle name="Normal 2 13 2" xfId="15069" xr:uid="{00000000-0005-0000-0000-00000A250000}"/>
    <cellStyle name="Normal 2 14" xfId="341" xr:uid="{00000000-0005-0000-0000-00000B250000}"/>
    <cellStyle name="Normal 2 14 2" xfId="15070" xr:uid="{00000000-0005-0000-0000-00000C250000}"/>
    <cellStyle name="Normal 2 15" xfId="342" xr:uid="{00000000-0005-0000-0000-00000D250000}"/>
    <cellStyle name="Normal 2 15 2" xfId="15071" xr:uid="{00000000-0005-0000-0000-00000E250000}"/>
    <cellStyle name="Normal 2 16" xfId="343" xr:uid="{00000000-0005-0000-0000-00000F250000}"/>
    <cellStyle name="Normal 2 16 2" xfId="15072" xr:uid="{00000000-0005-0000-0000-000010250000}"/>
    <cellStyle name="Normal 2 17" xfId="344" xr:uid="{00000000-0005-0000-0000-000011250000}"/>
    <cellStyle name="Normal 2 17 2" xfId="15073" xr:uid="{00000000-0005-0000-0000-000012250000}"/>
    <cellStyle name="Normal 2 18" xfId="345" xr:uid="{00000000-0005-0000-0000-000013250000}"/>
    <cellStyle name="Normal 2 18 2" xfId="15074" xr:uid="{00000000-0005-0000-0000-000014250000}"/>
    <cellStyle name="Normal 2 19" xfId="346" xr:uid="{00000000-0005-0000-0000-000015250000}"/>
    <cellStyle name="Normal 2 19 2" xfId="15075" xr:uid="{00000000-0005-0000-0000-000016250000}"/>
    <cellStyle name="Normal 2 2" xfId="1" xr:uid="{00000000-0005-0000-0000-000017250000}"/>
    <cellStyle name="Normal 2 2 10" xfId="2911" xr:uid="{00000000-0005-0000-0000-000018250000}"/>
    <cellStyle name="Normal 2 2 10 2" xfId="15076" xr:uid="{00000000-0005-0000-0000-000019250000}"/>
    <cellStyle name="Normal 2 2 11" xfId="2912" xr:uid="{00000000-0005-0000-0000-00001A250000}"/>
    <cellStyle name="Normal 2 2 11 2" xfId="15077" xr:uid="{00000000-0005-0000-0000-00001B250000}"/>
    <cellStyle name="Normal 2 2 12" xfId="2913" xr:uid="{00000000-0005-0000-0000-00001C250000}"/>
    <cellStyle name="Normal 2 2 12 2" xfId="15078" xr:uid="{00000000-0005-0000-0000-00001D250000}"/>
    <cellStyle name="Normal 2 2 13" xfId="2914" xr:uid="{00000000-0005-0000-0000-00001E250000}"/>
    <cellStyle name="Normal 2 2 13 2" xfId="15079" xr:uid="{00000000-0005-0000-0000-00001F250000}"/>
    <cellStyle name="Normal 2 2 14" xfId="2915" xr:uid="{00000000-0005-0000-0000-000020250000}"/>
    <cellStyle name="Normal 2 2 14 2" xfId="15080" xr:uid="{00000000-0005-0000-0000-000021250000}"/>
    <cellStyle name="Normal 2 2 15" xfId="2916" xr:uid="{00000000-0005-0000-0000-000022250000}"/>
    <cellStyle name="Normal 2 2 15 2" xfId="15081" xr:uid="{00000000-0005-0000-0000-000023250000}"/>
    <cellStyle name="Normal 2 2 16" xfId="2917" xr:uid="{00000000-0005-0000-0000-000024250000}"/>
    <cellStyle name="Normal 2 2 16 2" xfId="15082" xr:uid="{00000000-0005-0000-0000-000025250000}"/>
    <cellStyle name="Normal 2 2 17" xfId="2918" xr:uid="{00000000-0005-0000-0000-000026250000}"/>
    <cellStyle name="Normal 2 2 17 2" xfId="15083" xr:uid="{00000000-0005-0000-0000-000027250000}"/>
    <cellStyle name="Normal 2 2 18" xfId="2919" xr:uid="{00000000-0005-0000-0000-000028250000}"/>
    <cellStyle name="Normal 2 2 18 2" xfId="15084" xr:uid="{00000000-0005-0000-0000-000029250000}"/>
    <cellStyle name="Normal 2 2 19" xfId="2920" xr:uid="{00000000-0005-0000-0000-00002A250000}"/>
    <cellStyle name="Normal 2 2 19 2" xfId="15085" xr:uid="{00000000-0005-0000-0000-00002B250000}"/>
    <cellStyle name="Normal 2 2 2" xfId="57" xr:uid="{00000000-0005-0000-0000-00002C250000}"/>
    <cellStyle name="Normal 2 2 2 2" xfId="1508" xr:uid="{00000000-0005-0000-0000-00002D250000}"/>
    <cellStyle name="Normal 2 2 2 2 2" xfId="15086" xr:uid="{00000000-0005-0000-0000-00002E250000}"/>
    <cellStyle name="Normal 2 2 2 3" xfId="702" xr:uid="{00000000-0005-0000-0000-00002F250000}"/>
    <cellStyle name="Normal 2 2 2 3 2" xfId="15087" xr:uid="{00000000-0005-0000-0000-000030250000}"/>
    <cellStyle name="Normal 2 2 2 3 3" xfId="2921" xr:uid="{00000000-0005-0000-0000-000031250000}"/>
    <cellStyle name="Normal 2 2 2 4" xfId="15028" xr:uid="{00000000-0005-0000-0000-000032250000}"/>
    <cellStyle name="Normal 2 2 2 5" xfId="1605" xr:uid="{00000000-0005-0000-0000-000033250000}"/>
    <cellStyle name="Normal 2 2 20" xfId="2922" xr:uid="{00000000-0005-0000-0000-000034250000}"/>
    <cellStyle name="Normal 2 2 20 2" xfId="15088" xr:uid="{00000000-0005-0000-0000-000035250000}"/>
    <cellStyle name="Normal 2 2 21" xfId="2923" xr:uid="{00000000-0005-0000-0000-000036250000}"/>
    <cellStyle name="Normal 2 2 21 2" xfId="15089" xr:uid="{00000000-0005-0000-0000-000037250000}"/>
    <cellStyle name="Normal 2 2 22" xfId="2924" xr:uid="{00000000-0005-0000-0000-000038250000}"/>
    <cellStyle name="Normal 2 2 22 2" xfId="15090" xr:uid="{00000000-0005-0000-0000-000039250000}"/>
    <cellStyle name="Normal 2 2 23" xfId="2925" xr:uid="{00000000-0005-0000-0000-00003A250000}"/>
    <cellStyle name="Normal 2 2 23 2" xfId="15091" xr:uid="{00000000-0005-0000-0000-00003B250000}"/>
    <cellStyle name="Normal 2 2 24" xfId="2926" xr:uid="{00000000-0005-0000-0000-00003C250000}"/>
    <cellStyle name="Normal 2 2 24 2" xfId="15092" xr:uid="{00000000-0005-0000-0000-00003D250000}"/>
    <cellStyle name="Normal 2 2 25" xfId="2927" xr:uid="{00000000-0005-0000-0000-00003E250000}"/>
    <cellStyle name="Normal 2 2 25 2" xfId="15093" xr:uid="{00000000-0005-0000-0000-00003F250000}"/>
    <cellStyle name="Normal 2 2 26" xfId="2928" xr:uid="{00000000-0005-0000-0000-000040250000}"/>
    <cellStyle name="Normal 2 2 26 2" xfId="15094" xr:uid="{00000000-0005-0000-0000-000041250000}"/>
    <cellStyle name="Normal 2 2 27" xfId="2929" xr:uid="{00000000-0005-0000-0000-000042250000}"/>
    <cellStyle name="Normal 2 2 27 2" xfId="15095" xr:uid="{00000000-0005-0000-0000-000043250000}"/>
    <cellStyle name="Normal 2 2 28" xfId="2930" xr:uid="{00000000-0005-0000-0000-000044250000}"/>
    <cellStyle name="Normal 2 2 28 2" xfId="15096" xr:uid="{00000000-0005-0000-0000-000045250000}"/>
    <cellStyle name="Normal 2 2 29" xfId="6144" xr:uid="{00000000-0005-0000-0000-000046250000}"/>
    <cellStyle name="Normal 2 2 29 2" xfId="18187" xr:uid="{00000000-0005-0000-0000-000047250000}"/>
    <cellStyle name="Normal 2 2 3" xfId="329" xr:uid="{00000000-0005-0000-0000-000048250000}"/>
    <cellStyle name="Normal 2 2 3 2" xfId="15029" xr:uid="{00000000-0005-0000-0000-000049250000}"/>
    <cellStyle name="Normal 2 2 30" xfId="6145" xr:uid="{00000000-0005-0000-0000-00004A250000}"/>
    <cellStyle name="Normal 2 2 30 2" xfId="18188" xr:uid="{00000000-0005-0000-0000-00004B250000}"/>
    <cellStyle name="Normal 2 2 31" xfId="6146" xr:uid="{00000000-0005-0000-0000-00004C250000}"/>
    <cellStyle name="Normal 2 2 31 2" xfId="18189" xr:uid="{00000000-0005-0000-0000-00004D250000}"/>
    <cellStyle name="Normal 2 2 32" xfId="6147" xr:uid="{00000000-0005-0000-0000-00004E250000}"/>
    <cellStyle name="Normal 2 2 32 2" xfId="18190" xr:uid="{00000000-0005-0000-0000-00004F250000}"/>
    <cellStyle name="Normal 2 2 33" xfId="6148" xr:uid="{00000000-0005-0000-0000-000050250000}"/>
    <cellStyle name="Normal 2 2 33 2" xfId="18191" xr:uid="{00000000-0005-0000-0000-000051250000}"/>
    <cellStyle name="Normal 2 2 34" xfId="6149" xr:uid="{00000000-0005-0000-0000-000052250000}"/>
    <cellStyle name="Normal 2 2 34 2" xfId="18192" xr:uid="{00000000-0005-0000-0000-000053250000}"/>
    <cellStyle name="Normal 2 2 35" xfId="6150" xr:uid="{00000000-0005-0000-0000-000054250000}"/>
    <cellStyle name="Normal 2 2 35 2" xfId="18193" xr:uid="{00000000-0005-0000-0000-000055250000}"/>
    <cellStyle name="Normal 2 2 36" xfId="6151" xr:uid="{00000000-0005-0000-0000-000056250000}"/>
    <cellStyle name="Normal 2 2 36 2" xfId="18194" xr:uid="{00000000-0005-0000-0000-000057250000}"/>
    <cellStyle name="Normal 2 2 37" xfId="6152" xr:uid="{00000000-0005-0000-0000-000058250000}"/>
    <cellStyle name="Normal 2 2 37 2" xfId="18195" xr:uid="{00000000-0005-0000-0000-000059250000}"/>
    <cellStyle name="Normal 2 2 38" xfId="6153" xr:uid="{00000000-0005-0000-0000-00005A250000}"/>
    <cellStyle name="Normal 2 2 38 2" xfId="18196" xr:uid="{00000000-0005-0000-0000-00005B250000}"/>
    <cellStyle name="Normal 2 2 39" xfId="6154" xr:uid="{00000000-0005-0000-0000-00005C250000}"/>
    <cellStyle name="Normal 2 2 39 2" xfId="18197" xr:uid="{00000000-0005-0000-0000-00005D250000}"/>
    <cellStyle name="Normal 2 2 4" xfId="1606" xr:uid="{00000000-0005-0000-0000-00005E250000}"/>
    <cellStyle name="Normal 2 2 4 2" xfId="15030" xr:uid="{00000000-0005-0000-0000-00005F250000}"/>
    <cellStyle name="Normal 2 2 4 3" xfId="31347" xr:uid="{00000000-0005-0000-0000-000060250000}"/>
    <cellStyle name="Normal 2 2 40" xfId="6155" xr:uid="{00000000-0005-0000-0000-000061250000}"/>
    <cellStyle name="Normal 2 2 40 2" xfId="18198" xr:uid="{00000000-0005-0000-0000-000062250000}"/>
    <cellStyle name="Normal 2 2 41" xfId="6156" xr:uid="{00000000-0005-0000-0000-000063250000}"/>
    <cellStyle name="Normal 2 2 41 2" xfId="18199" xr:uid="{00000000-0005-0000-0000-000064250000}"/>
    <cellStyle name="Normal 2 2 42" xfId="6157" xr:uid="{00000000-0005-0000-0000-000065250000}"/>
    <cellStyle name="Normal 2 2 42 2" xfId="18200" xr:uid="{00000000-0005-0000-0000-000066250000}"/>
    <cellStyle name="Normal 2 2 43" xfId="6158" xr:uid="{00000000-0005-0000-0000-000067250000}"/>
    <cellStyle name="Normal 2 2 43 2" xfId="18201" xr:uid="{00000000-0005-0000-0000-000068250000}"/>
    <cellStyle name="Normal 2 2 44" xfId="6159" xr:uid="{00000000-0005-0000-0000-000069250000}"/>
    <cellStyle name="Normal 2 2 44 2" xfId="18202" xr:uid="{00000000-0005-0000-0000-00006A250000}"/>
    <cellStyle name="Normal 2 2 45" xfId="6160" xr:uid="{00000000-0005-0000-0000-00006B250000}"/>
    <cellStyle name="Normal 2 2 45 2" xfId="18203" xr:uid="{00000000-0005-0000-0000-00006C250000}"/>
    <cellStyle name="Normal 2 2 46" xfId="6161" xr:uid="{00000000-0005-0000-0000-00006D250000}"/>
    <cellStyle name="Normal 2 2 46 2" xfId="18204" xr:uid="{00000000-0005-0000-0000-00006E250000}"/>
    <cellStyle name="Normal 2 2 47" xfId="6162" xr:uid="{00000000-0005-0000-0000-00006F250000}"/>
    <cellStyle name="Normal 2 2 47 2" xfId="18205" xr:uid="{00000000-0005-0000-0000-000070250000}"/>
    <cellStyle name="Normal 2 2 48" xfId="6163" xr:uid="{00000000-0005-0000-0000-000071250000}"/>
    <cellStyle name="Normal 2 2 48 2" xfId="18206" xr:uid="{00000000-0005-0000-0000-000072250000}"/>
    <cellStyle name="Normal 2 2 49" xfId="6164" xr:uid="{00000000-0005-0000-0000-000073250000}"/>
    <cellStyle name="Normal 2 2 49 2" xfId="18207" xr:uid="{00000000-0005-0000-0000-000074250000}"/>
    <cellStyle name="Normal 2 2 5" xfId="1607" xr:uid="{00000000-0005-0000-0000-000075250000}"/>
    <cellStyle name="Normal 2 2 5 2" xfId="15031" xr:uid="{00000000-0005-0000-0000-000076250000}"/>
    <cellStyle name="Normal 2 2 50" xfId="6165" xr:uid="{00000000-0005-0000-0000-000077250000}"/>
    <cellStyle name="Normal 2 2 50 2" xfId="18208" xr:uid="{00000000-0005-0000-0000-000078250000}"/>
    <cellStyle name="Normal 2 2 51" xfId="6166" xr:uid="{00000000-0005-0000-0000-000079250000}"/>
    <cellStyle name="Normal 2 2 51 2" xfId="18209" xr:uid="{00000000-0005-0000-0000-00007A250000}"/>
    <cellStyle name="Normal 2 2 52" xfId="6167" xr:uid="{00000000-0005-0000-0000-00007B250000}"/>
    <cellStyle name="Normal 2 2 52 2" xfId="18210" xr:uid="{00000000-0005-0000-0000-00007C250000}"/>
    <cellStyle name="Normal 2 2 53" xfId="6168" xr:uid="{00000000-0005-0000-0000-00007D250000}"/>
    <cellStyle name="Normal 2 2 53 2" xfId="18211" xr:uid="{00000000-0005-0000-0000-00007E250000}"/>
    <cellStyle name="Normal 2 2 54" xfId="6169" xr:uid="{00000000-0005-0000-0000-00007F250000}"/>
    <cellStyle name="Normal 2 2 54 2" xfId="18212" xr:uid="{00000000-0005-0000-0000-000080250000}"/>
    <cellStyle name="Normal 2 2 55" xfId="6170" xr:uid="{00000000-0005-0000-0000-000081250000}"/>
    <cellStyle name="Normal 2 2 55 2" xfId="18213" xr:uid="{00000000-0005-0000-0000-000082250000}"/>
    <cellStyle name="Normal 2 2 56" xfId="6171" xr:uid="{00000000-0005-0000-0000-000083250000}"/>
    <cellStyle name="Normal 2 2 56 2" xfId="18214" xr:uid="{00000000-0005-0000-0000-000084250000}"/>
    <cellStyle name="Normal 2 2 57" xfId="6172" xr:uid="{00000000-0005-0000-0000-000085250000}"/>
    <cellStyle name="Normal 2 2 57 2" xfId="18215" xr:uid="{00000000-0005-0000-0000-000086250000}"/>
    <cellStyle name="Normal 2 2 58" xfId="6173" xr:uid="{00000000-0005-0000-0000-000087250000}"/>
    <cellStyle name="Normal 2 2 58 2" xfId="18216" xr:uid="{00000000-0005-0000-0000-000088250000}"/>
    <cellStyle name="Normal 2 2 59" xfId="6174" xr:uid="{00000000-0005-0000-0000-000089250000}"/>
    <cellStyle name="Normal 2 2 59 2" xfId="18217" xr:uid="{00000000-0005-0000-0000-00008A250000}"/>
    <cellStyle name="Normal 2 2 6" xfId="1608" xr:uid="{00000000-0005-0000-0000-00008B250000}"/>
    <cellStyle name="Normal 2 2 6 2" xfId="15032" xr:uid="{00000000-0005-0000-0000-00008C250000}"/>
    <cellStyle name="Normal 2 2 60" xfId="6175" xr:uid="{00000000-0005-0000-0000-00008D250000}"/>
    <cellStyle name="Normal 2 2 60 2" xfId="18218" xr:uid="{00000000-0005-0000-0000-00008E250000}"/>
    <cellStyle name="Normal 2 2 61" xfId="6176" xr:uid="{00000000-0005-0000-0000-00008F250000}"/>
    <cellStyle name="Normal 2 2 61 2" xfId="18219" xr:uid="{00000000-0005-0000-0000-000090250000}"/>
    <cellStyle name="Normal 2 2 62" xfId="6177" xr:uid="{00000000-0005-0000-0000-000091250000}"/>
    <cellStyle name="Normal 2 2 62 2" xfId="18220" xr:uid="{00000000-0005-0000-0000-000092250000}"/>
    <cellStyle name="Normal 2 2 63" xfId="6178" xr:uid="{00000000-0005-0000-0000-000093250000}"/>
    <cellStyle name="Normal 2 2 63 2" xfId="18221" xr:uid="{00000000-0005-0000-0000-000094250000}"/>
    <cellStyle name="Normal 2 2 64" xfId="6179" xr:uid="{00000000-0005-0000-0000-000095250000}"/>
    <cellStyle name="Normal 2 2 64 2" xfId="18222" xr:uid="{00000000-0005-0000-0000-000096250000}"/>
    <cellStyle name="Normal 2 2 65" xfId="6180" xr:uid="{00000000-0005-0000-0000-000097250000}"/>
    <cellStyle name="Normal 2 2 65 2" xfId="18223" xr:uid="{00000000-0005-0000-0000-000098250000}"/>
    <cellStyle name="Normal 2 2 66" xfId="6181" xr:uid="{00000000-0005-0000-0000-000099250000}"/>
    <cellStyle name="Normal 2 2 66 2" xfId="18224" xr:uid="{00000000-0005-0000-0000-00009A250000}"/>
    <cellStyle name="Normal 2 2 67" xfId="6182" xr:uid="{00000000-0005-0000-0000-00009B250000}"/>
    <cellStyle name="Normal 2 2 67 2" xfId="18225" xr:uid="{00000000-0005-0000-0000-00009C250000}"/>
    <cellStyle name="Normal 2 2 68" xfId="6183" xr:uid="{00000000-0005-0000-0000-00009D250000}"/>
    <cellStyle name="Normal 2 2 68 2" xfId="18226" xr:uid="{00000000-0005-0000-0000-00009E250000}"/>
    <cellStyle name="Normal 2 2 69" xfId="6184" xr:uid="{00000000-0005-0000-0000-00009F250000}"/>
    <cellStyle name="Normal 2 2 69 2" xfId="18227" xr:uid="{00000000-0005-0000-0000-0000A0250000}"/>
    <cellStyle name="Normal 2 2 7" xfId="1609" xr:uid="{00000000-0005-0000-0000-0000A1250000}"/>
    <cellStyle name="Normal 2 2 7 2" xfId="15033" xr:uid="{00000000-0005-0000-0000-0000A2250000}"/>
    <cellStyle name="Normal 2 2 70" xfId="6185" xr:uid="{00000000-0005-0000-0000-0000A3250000}"/>
    <cellStyle name="Normal 2 2 70 2" xfId="18228" xr:uid="{00000000-0005-0000-0000-0000A4250000}"/>
    <cellStyle name="Normal 2 2 71" xfId="6186" xr:uid="{00000000-0005-0000-0000-0000A5250000}"/>
    <cellStyle name="Normal 2 2 71 2" xfId="18229" xr:uid="{00000000-0005-0000-0000-0000A6250000}"/>
    <cellStyle name="Normal 2 2 72" xfId="6187" xr:uid="{00000000-0005-0000-0000-0000A7250000}"/>
    <cellStyle name="Normal 2 2 72 2" xfId="18230" xr:uid="{00000000-0005-0000-0000-0000A8250000}"/>
    <cellStyle name="Normal 2 2 73" xfId="6188" xr:uid="{00000000-0005-0000-0000-0000A9250000}"/>
    <cellStyle name="Normal 2 2 73 2" xfId="18231" xr:uid="{00000000-0005-0000-0000-0000AA250000}"/>
    <cellStyle name="Normal 2 2 74" xfId="6189" xr:uid="{00000000-0005-0000-0000-0000AB250000}"/>
    <cellStyle name="Normal 2 2 74 2" xfId="18232" xr:uid="{00000000-0005-0000-0000-0000AC250000}"/>
    <cellStyle name="Normal 2 2 75" xfId="6190" xr:uid="{00000000-0005-0000-0000-0000AD250000}"/>
    <cellStyle name="Normal 2 2 75 2" xfId="18233" xr:uid="{00000000-0005-0000-0000-0000AE250000}"/>
    <cellStyle name="Normal 2 2 76" xfId="6191" xr:uid="{00000000-0005-0000-0000-0000AF250000}"/>
    <cellStyle name="Normal 2 2 76 2" xfId="18234" xr:uid="{00000000-0005-0000-0000-0000B0250000}"/>
    <cellStyle name="Normal 2 2 77" xfId="6192" xr:uid="{00000000-0005-0000-0000-0000B1250000}"/>
    <cellStyle name="Normal 2 2 77 2" xfId="18235" xr:uid="{00000000-0005-0000-0000-0000B2250000}"/>
    <cellStyle name="Normal 2 2 78" xfId="6193" xr:uid="{00000000-0005-0000-0000-0000B3250000}"/>
    <cellStyle name="Normal 2 2 78 2" xfId="18236" xr:uid="{00000000-0005-0000-0000-0000B4250000}"/>
    <cellStyle name="Normal 2 2 79" xfId="6194" xr:uid="{00000000-0005-0000-0000-0000B5250000}"/>
    <cellStyle name="Normal 2 2 79 2" xfId="18237" xr:uid="{00000000-0005-0000-0000-0000B6250000}"/>
    <cellStyle name="Normal 2 2 8" xfId="1610" xr:uid="{00000000-0005-0000-0000-0000B7250000}"/>
    <cellStyle name="Normal 2 2 8 2" xfId="15034" xr:uid="{00000000-0005-0000-0000-0000B8250000}"/>
    <cellStyle name="Normal 2 2 80" xfId="27174" xr:uid="{00000000-0005-0000-0000-0000B9250000}"/>
    <cellStyle name="Normal 2 2 81" xfId="1604" xr:uid="{00000000-0005-0000-0000-0000BA250000}"/>
    <cellStyle name="Normal 2 2 82" xfId="28303" xr:uid="{00000000-0005-0000-0000-0000BB250000}"/>
    <cellStyle name="Normal 2 2 9" xfId="2931" xr:uid="{00000000-0005-0000-0000-0000BC250000}"/>
    <cellStyle name="Normal 2 2 9 2" xfId="14969" xr:uid="{00000000-0005-0000-0000-0000BD250000}"/>
    <cellStyle name="Normal 2 2 9 3" xfId="15097" xr:uid="{00000000-0005-0000-0000-0000BE250000}"/>
    <cellStyle name="Normal 2 2 9 4" xfId="14955" xr:uid="{00000000-0005-0000-0000-0000BF250000}"/>
    <cellStyle name="Normal 2 2_DSS" xfId="1511" xr:uid="{00000000-0005-0000-0000-0000C0250000}"/>
    <cellStyle name="Normal 2 20" xfId="347" xr:uid="{00000000-0005-0000-0000-0000C1250000}"/>
    <cellStyle name="Normal 2 20 2" xfId="15098" xr:uid="{00000000-0005-0000-0000-0000C2250000}"/>
    <cellStyle name="Normal 2 21" xfId="348" xr:uid="{00000000-0005-0000-0000-0000C3250000}"/>
    <cellStyle name="Normal 2 21 2" xfId="15099" xr:uid="{00000000-0005-0000-0000-0000C4250000}"/>
    <cellStyle name="Normal 2 22" xfId="349" xr:uid="{00000000-0005-0000-0000-0000C5250000}"/>
    <cellStyle name="Normal 2 22 2" xfId="15100" xr:uid="{00000000-0005-0000-0000-0000C6250000}"/>
    <cellStyle name="Normal 2 23" xfId="350" xr:uid="{00000000-0005-0000-0000-0000C7250000}"/>
    <cellStyle name="Normal 2 23 2" xfId="15101" xr:uid="{00000000-0005-0000-0000-0000C8250000}"/>
    <cellStyle name="Normal 2 24" xfId="351" xr:uid="{00000000-0005-0000-0000-0000C9250000}"/>
    <cellStyle name="Normal 2 24 2" xfId="15102" xr:uid="{00000000-0005-0000-0000-0000CA250000}"/>
    <cellStyle name="Normal 2 25" xfId="352" xr:uid="{00000000-0005-0000-0000-0000CB250000}"/>
    <cellStyle name="Normal 2 25 2" xfId="15103" xr:uid="{00000000-0005-0000-0000-0000CC250000}"/>
    <cellStyle name="Normal 2 26" xfId="353" xr:uid="{00000000-0005-0000-0000-0000CD250000}"/>
    <cellStyle name="Normal 2 26 2" xfId="15355" xr:uid="{00000000-0005-0000-0000-0000CE250000}"/>
    <cellStyle name="Normal 2 27" xfId="354" xr:uid="{00000000-0005-0000-0000-0000CF250000}"/>
    <cellStyle name="Normal 2 27 2" xfId="18238" xr:uid="{00000000-0005-0000-0000-0000D0250000}"/>
    <cellStyle name="Normal 2 28" xfId="355" xr:uid="{00000000-0005-0000-0000-0000D1250000}"/>
    <cellStyle name="Normal 2 28 2" xfId="18239" xr:uid="{00000000-0005-0000-0000-0000D2250000}"/>
    <cellStyle name="Normal 2 29" xfId="356" xr:uid="{00000000-0005-0000-0000-0000D3250000}"/>
    <cellStyle name="Normal 2 29 2" xfId="18240" xr:uid="{00000000-0005-0000-0000-0000D4250000}"/>
    <cellStyle name="Normal 2 3" xfId="74" xr:uid="{00000000-0005-0000-0000-0000D5250000}"/>
    <cellStyle name="Normal 2 3 10" xfId="2932" xr:uid="{00000000-0005-0000-0000-0000D6250000}"/>
    <cellStyle name="Normal 2 3 10 2" xfId="15104" xr:uid="{00000000-0005-0000-0000-0000D7250000}"/>
    <cellStyle name="Normal 2 3 11" xfId="2933" xr:uid="{00000000-0005-0000-0000-0000D8250000}"/>
    <cellStyle name="Normal 2 3 11 2" xfId="15105" xr:uid="{00000000-0005-0000-0000-0000D9250000}"/>
    <cellStyle name="Normal 2 3 12" xfId="2934" xr:uid="{00000000-0005-0000-0000-0000DA250000}"/>
    <cellStyle name="Normal 2 3 12 2" xfId="15106" xr:uid="{00000000-0005-0000-0000-0000DB250000}"/>
    <cellStyle name="Normal 2 3 13" xfId="2935" xr:uid="{00000000-0005-0000-0000-0000DC250000}"/>
    <cellStyle name="Normal 2 3 13 2" xfId="15107" xr:uid="{00000000-0005-0000-0000-0000DD250000}"/>
    <cellStyle name="Normal 2 3 14" xfId="2936" xr:uid="{00000000-0005-0000-0000-0000DE250000}"/>
    <cellStyle name="Normal 2 3 14 2" xfId="15108" xr:uid="{00000000-0005-0000-0000-0000DF250000}"/>
    <cellStyle name="Normal 2 3 15" xfId="2937" xr:uid="{00000000-0005-0000-0000-0000E0250000}"/>
    <cellStyle name="Normal 2 3 15 2" xfId="15109" xr:uid="{00000000-0005-0000-0000-0000E1250000}"/>
    <cellStyle name="Normal 2 3 16" xfId="2938" xr:uid="{00000000-0005-0000-0000-0000E2250000}"/>
    <cellStyle name="Normal 2 3 16 2" xfId="15110" xr:uid="{00000000-0005-0000-0000-0000E3250000}"/>
    <cellStyle name="Normal 2 3 17" xfId="2939" xr:uid="{00000000-0005-0000-0000-0000E4250000}"/>
    <cellStyle name="Normal 2 3 17 2" xfId="15111" xr:uid="{00000000-0005-0000-0000-0000E5250000}"/>
    <cellStyle name="Normal 2 3 18" xfId="2940" xr:uid="{00000000-0005-0000-0000-0000E6250000}"/>
    <cellStyle name="Normal 2 3 18 2" xfId="15112" xr:uid="{00000000-0005-0000-0000-0000E7250000}"/>
    <cellStyle name="Normal 2 3 19" xfId="2941" xr:uid="{00000000-0005-0000-0000-0000E8250000}"/>
    <cellStyle name="Normal 2 3 19 2" xfId="15113" xr:uid="{00000000-0005-0000-0000-0000E9250000}"/>
    <cellStyle name="Normal 2 3 2" xfId="800" xr:uid="{00000000-0005-0000-0000-0000EA250000}"/>
    <cellStyle name="Normal 2 3 2 2" xfId="2942" xr:uid="{00000000-0005-0000-0000-0000EB250000}"/>
    <cellStyle name="Normal 2 3 2 2 2" xfId="15114" xr:uid="{00000000-0005-0000-0000-0000EC250000}"/>
    <cellStyle name="Normal 2 3 2 3" xfId="2943" xr:uid="{00000000-0005-0000-0000-0000ED250000}"/>
    <cellStyle name="Normal 2 3 2 3 2" xfId="15115" xr:uid="{00000000-0005-0000-0000-0000EE250000}"/>
    <cellStyle name="Normal 2 3 2 4" xfId="15035" xr:uid="{00000000-0005-0000-0000-0000EF250000}"/>
    <cellStyle name="Normal 2 3 2 5" xfId="27415" xr:uid="{00000000-0005-0000-0000-0000F0250000}"/>
    <cellStyle name="Normal 2 3 2 6" xfId="27408" xr:uid="{00000000-0005-0000-0000-0000F1250000}"/>
    <cellStyle name="Normal 2 3 20" xfId="2944" xr:uid="{00000000-0005-0000-0000-0000F2250000}"/>
    <cellStyle name="Normal 2 3 20 2" xfId="15116" xr:uid="{00000000-0005-0000-0000-0000F3250000}"/>
    <cellStyle name="Normal 2 3 21" xfId="2945" xr:uid="{00000000-0005-0000-0000-0000F4250000}"/>
    <cellStyle name="Normal 2 3 21 2" xfId="15117" xr:uid="{00000000-0005-0000-0000-0000F5250000}"/>
    <cellStyle name="Normal 2 3 22" xfId="2946" xr:uid="{00000000-0005-0000-0000-0000F6250000}"/>
    <cellStyle name="Normal 2 3 22 2" xfId="15118" xr:uid="{00000000-0005-0000-0000-0000F7250000}"/>
    <cellStyle name="Normal 2 3 23" xfId="2947" xr:uid="{00000000-0005-0000-0000-0000F8250000}"/>
    <cellStyle name="Normal 2 3 23 2" xfId="15119" xr:uid="{00000000-0005-0000-0000-0000F9250000}"/>
    <cellStyle name="Normal 2 3 24" xfId="2948" xr:uid="{00000000-0005-0000-0000-0000FA250000}"/>
    <cellStyle name="Normal 2 3 24 2" xfId="15120" xr:uid="{00000000-0005-0000-0000-0000FB250000}"/>
    <cellStyle name="Normal 2 3 25" xfId="2949" xr:uid="{00000000-0005-0000-0000-0000FC250000}"/>
    <cellStyle name="Normal 2 3 25 2" xfId="15121" xr:uid="{00000000-0005-0000-0000-0000FD250000}"/>
    <cellStyle name="Normal 2 3 26" xfId="2950" xr:uid="{00000000-0005-0000-0000-0000FE250000}"/>
    <cellStyle name="Normal 2 3 26 2" xfId="15122" xr:uid="{00000000-0005-0000-0000-0000FF250000}"/>
    <cellStyle name="Normal 2 3 27" xfId="2951" xr:uid="{00000000-0005-0000-0000-000000260000}"/>
    <cellStyle name="Normal 2 3 27 2" xfId="15123" xr:uid="{00000000-0005-0000-0000-000001260000}"/>
    <cellStyle name="Normal 2 3 28" xfId="2952" xr:uid="{00000000-0005-0000-0000-000002260000}"/>
    <cellStyle name="Normal 2 3 28 2" xfId="15124" xr:uid="{00000000-0005-0000-0000-000003260000}"/>
    <cellStyle name="Normal 2 3 29" xfId="6195" xr:uid="{00000000-0005-0000-0000-000004260000}"/>
    <cellStyle name="Normal 2 3 29 2" xfId="18241" xr:uid="{00000000-0005-0000-0000-000005260000}"/>
    <cellStyle name="Normal 2 3 3" xfId="703" xr:uid="{00000000-0005-0000-0000-000006260000}"/>
    <cellStyle name="Normal 2 3 3 2" xfId="15036" xr:uid="{00000000-0005-0000-0000-000007260000}"/>
    <cellStyle name="Normal 2 3 3 3" xfId="1612" xr:uid="{00000000-0005-0000-0000-000008260000}"/>
    <cellStyle name="Normal 2 3 30" xfId="6196" xr:uid="{00000000-0005-0000-0000-000009260000}"/>
    <cellStyle name="Normal 2 3 30 2" xfId="18242" xr:uid="{00000000-0005-0000-0000-00000A260000}"/>
    <cellStyle name="Normal 2 3 31" xfId="6197" xr:uid="{00000000-0005-0000-0000-00000B260000}"/>
    <cellStyle name="Normal 2 3 31 2" xfId="18243" xr:uid="{00000000-0005-0000-0000-00000C260000}"/>
    <cellStyle name="Normal 2 3 32" xfId="6198" xr:uid="{00000000-0005-0000-0000-00000D260000}"/>
    <cellStyle name="Normal 2 3 32 2" xfId="18244" xr:uid="{00000000-0005-0000-0000-00000E260000}"/>
    <cellStyle name="Normal 2 3 33" xfId="6199" xr:uid="{00000000-0005-0000-0000-00000F260000}"/>
    <cellStyle name="Normal 2 3 33 2" xfId="18245" xr:uid="{00000000-0005-0000-0000-000010260000}"/>
    <cellStyle name="Normal 2 3 34" xfId="6200" xr:uid="{00000000-0005-0000-0000-000011260000}"/>
    <cellStyle name="Normal 2 3 34 2" xfId="18246" xr:uid="{00000000-0005-0000-0000-000012260000}"/>
    <cellStyle name="Normal 2 3 35" xfId="6201" xr:uid="{00000000-0005-0000-0000-000013260000}"/>
    <cellStyle name="Normal 2 3 35 2" xfId="18247" xr:uid="{00000000-0005-0000-0000-000014260000}"/>
    <cellStyle name="Normal 2 3 36" xfId="6202" xr:uid="{00000000-0005-0000-0000-000015260000}"/>
    <cellStyle name="Normal 2 3 36 2" xfId="18248" xr:uid="{00000000-0005-0000-0000-000016260000}"/>
    <cellStyle name="Normal 2 3 37" xfId="6203" xr:uid="{00000000-0005-0000-0000-000017260000}"/>
    <cellStyle name="Normal 2 3 37 2" xfId="18249" xr:uid="{00000000-0005-0000-0000-000018260000}"/>
    <cellStyle name="Normal 2 3 38" xfId="6204" xr:uid="{00000000-0005-0000-0000-000019260000}"/>
    <cellStyle name="Normal 2 3 38 2" xfId="18250" xr:uid="{00000000-0005-0000-0000-00001A260000}"/>
    <cellStyle name="Normal 2 3 39" xfId="6205" xr:uid="{00000000-0005-0000-0000-00001B260000}"/>
    <cellStyle name="Normal 2 3 39 2" xfId="18251" xr:uid="{00000000-0005-0000-0000-00001C260000}"/>
    <cellStyle name="Normal 2 3 4" xfId="330" xr:uid="{00000000-0005-0000-0000-00001D260000}"/>
    <cellStyle name="Normal 2 3 4 2" xfId="15037" xr:uid="{00000000-0005-0000-0000-00001E260000}"/>
    <cellStyle name="Normal 2 3 40" xfId="6206" xr:uid="{00000000-0005-0000-0000-00001F260000}"/>
    <cellStyle name="Normal 2 3 40 2" xfId="18252" xr:uid="{00000000-0005-0000-0000-000020260000}"/>
    <cellStyle name="Normal 2 3 41" xfId="6207" xr:uid="{00000000-0005-0000-0000-000021260000}"/>
    <cellStyle name="Normal 2 3 41 2" xfId="18253" xr:uid="{00000000-0005-0000-0000-000022260000}"/>
    <cellStyle name="Normal 2 3 42" xfId="6208" xr:uid="{00000000-0005-0000-0000-000023260000}"/>
    <cellStyle name="Normal 2 3 42 2" xfId="18254" xr:uid="{00000000-0005-0000-0000-000024260000}"/>
    <cellStyle name="Normal 2 3 43" xfId="6209" xr:uid="{00000000-0005-0000-0000-000025260000}"/>
    <cellStyle name="Normal 2 3 43 2" xfId="18255" xr:uid="{00000000-0005-0000-0000-000026260000}"/>
    <cellStyle name="Normal 2 3 44" xfId="6210" xr:uid="{00000000-0005-0000-0000-000027260000}"/>
    <cellStyle name="Normal 2 3 44 2" xfId="18256" xr:uid="{00000000-0005-0000-0000-000028260000}"/>
    <cellStyle name="Normal 2 3 45" xfId="6211" xr:uid="{00000000-0005-0000-0000-000029260000}"/>
    <cellStyle name="Normal 2 3 45 2" xfId="18257" xr:uid="{00000000-0005-0000-0000-00002A260000}"/>
    <cellStyle name="Normal 2 3 46" xfId="6212" xr:uid="{00000000-0005-0000-0000-00002B260000}"/>
    <cellStyle name="Normal 2 3 46 2" xfId="18258" xr:uid="{00000000-0005-0000-0000-00002C260000}"/>
    <cellStyle name="Normal 2 3 47" xfId="6213" xr:uid="{00000000-0005-0000-0000-00002D260000}"/>
    <cellStyle name="Normal 2 3 47 2" xfId="18259" xr:uid="{00000000-0005-0000-0000-00002E260000}"/>
    <cellStyle name="Normal 2 3 48" xfId="6214" xr:uid="{00000000-0005-0000-0000-00002F260000}"/>
    <cellStyle name="Normal 2 3 48 2" xfId="18260" xr:uid="{00000000-0005-0000-0000-000030260000}"/>
    <cellStyle name="Normal 2 3 49" xfId="6215" xr:uid="{00000000-0005-0000-0000-000031260000}"/>
    <cellStyle name="Normal 2 3 49 2" xfId="18261" xr:uid="{00000000-0005-0000-0000-000032260000}"/>
    <cellStyle name="Normal 2 3 5" xfId="1613" xr:uid="{00000000-0005-0000-0000-000033260000}"/>
    <cellStyle name="Normal 2 3 5 2" xfId="15038" xr:uid="{00000000-0005-0000-0000-000034260000}"/>
    <cellStyle name="Normal 2 3 50" xfId="6216" xr:uid="{00000000-0005-0000-0000-000035260000}"/>
    <cellStyle name="Normal 2 3 50 2" xfId="18262" xr:uid="{00000000-0005-0000-0000-000036260000}"/>
    <cellStyle name="Normal 2 3 51" xfId="6217" xr:uid="{00000000-0005-0000-0000-000037260000}"/>
    <cellStyle name="Normal 2 3 51 2" xfId="18263" xr:uid="{00000000-0005-0000-0000-000038260000}"/>
    <cellStyle name="Normal 2 3 52" xfId="6218" xr:uid="{00000000-0005-0000-0000-000039260000}"/>
    <cellStyle name="Normal 2 3 52 2" xfId="18264" xr:uid="{00000000-0005-0000-0000-00003A260000}"/>
    <cellStyle name="Normal 2 3 53" xfId="6219" xr:uid="{00000000-0005-0000-0000-00003B260000}"/>
    <cellStyle name="Normal 2 3 53 2" xfId="18265" xr:uid="{00000000-0005-0000-0000-00003C260000}"/>
    <cellStyle name="Normal 2 3 54" xfId="6220" xr:uid="{00000000-0005-0000-0000-00003D260000}"/>
    <cellStyle name="Normal 2 3 54 2" xfId="18266" xr:uid="{00000000-0005-0000-0000-00003E260000}"/>
    <cellStyle name="Normal 2 3 55" xfId="6221" xr:uid="{00000000-0005-0000-0000-00003F260000}"/>
    <cellStyle name="Normal 2 3 55 2" xfId="18267" xr:uid="{00000000-0005-0000-0000-000040260000}"/>
    <cellStyle name="Normal 2 3 56" xfId="6222" xr:uid="{00000000-0005-0000-0000-000041260000}"/>
    <cellStyle name="Normal 2 3 56 2" xfId="18268" xr:uid="{00000000-0005-0000-0000-000042260000}"/>
    <cellStyle name="Normal 2 3 57" xfId="6223" xr:uid="{00000000-0005-0000-0000-000043260000}"/>
    <cellStyle name="Normal 2 3 57 2" xfId="18269" xr:uid="{00000000-0005-0000-0000-000044260000}"/>
    <cellStyle name="Normal 2 3 58" xfId="6224" xr:uid="{00000000-0005-0000-0000-000045260000}"/>
    <cellStyle name="Normal 2 3 58 2" xfId="18270" xr:uid="{00000000-0005-0000-0000-000046260000}"/>
    <cellStyle name="Normal 2 3 59" xfId="6225" xr:uid="{00000000-0005-0000-0000-000047260000}"/>
    <cellStyle name="Normal 2 3 59 2" xfId="18271" xr:uid="{00000000-0005-0000-0000-000048260000}"/>
    <cellStyle name="Normal 2 3 6" xfId="1614" xr:uid="{00000000-0005-0000-0000-000049260000}"/>
    <cellStyle name="Normal 2 3 6 2" xfId="15039" xr:uid="{00000000-0005-0000-0000-00004A260000}"/>
    <cellStyle name="Normal 2 3 60" xfId="6226" xr:uid="{00000000-0005-0000-0000-00004B260000}"/>
    <cellStyle name="Normal 2 3 60 2" xfId="18272" xr:uid="{00000000-0005-0000-0000-00004C260000}"/>
    <cellStyle name="Normal 2 3 61" xfId="6227" xr:uid="{00000000-0005-0000-0000-00004D260000}"/>
    <cellStyle name="Normal 2 3 61 2" xfId="18273" xr:uid="{00000000-0005-0000-0000-00004E260000}"/>
    <cellStyle name="Normal 2 3 62" xfId="6228" xr:uid="{00000000-0005-0000-0000-00004F260000}"/>
    <cellStyle name="Normal 2 3 62 2" xfId="18274" xr:uid="{00000000-0005-0000-0000-000050260000}"/>
    <cellStyle name="Normal 2 3 63" xfId="6229" xr:uid="{00000000-0005-0000-0000-000051260000}"/>
    <cellStyle name="Normal 2 3 63 2" xfId="18275" xr:uid="{00000000-0005-0000-0000-000052260000}"/>
    <cellStyle name="Normal 2 3 64" xfId="6230" xr:uid="{00000000-0005-0000-0000-000053260000}"/>
    <cellStyle name="Normal 2 3 64 2" xfId="18276" xr:uid="{00000000-0005-0000-0000-000054260000}"/>
    <cellStyle name="Normal 2 3 65" xfId="6231" xr:uid="{00000000-0005-0000-0000-000055260000}"/>
    <cellStyle name="Normal 2 3 65 2" xfId="18277" xr:uid="{00000000-0005-0000-0000-000056260000}"/>
    <cellStyle name="Normal 2 3 66" xfId="6232" xr:uid="{00000000-0005-0000-0000-000057260000}"/>
    <cellStyle name="Normal 2 3 66 2" xfId="18278" xr:uid="{00000000-0005-0000-0000-000058260000}"/>
    <cellStyle name="Normal 2 3 67" xfId="6233" xr:uid="{00000000-0005-0000-0000-000059260000}"/>
    <cellStyle name="Normal 2 3 67 2" xfId="18279" xr:uid="{00000000-0005-0000-0000-00005A260000}"/>
    <cellStyle name="Normal 2 3 68" xfId="6234" xr:uid="{00000000-0005-0000-0000-00005B260000}"/>
    <cellStyle name="Normal 2 3 68 2" xfId="18280" xr:uid="{00000000-0005-0000-0000-00005C260000}"/>
    <cellStyle name="Normal 2 3 69" xfId="6235" xr:uid="{00000000-0005-0000-0000-00005D260000}"/>
    <cellStyle name="Normal 2 3 69 2" xfId="18281" xr:uid="{00000000-0005-0000-0000-00005E260000}"/>
    <cellStyle name="Normal 2 3 7" xfId="1615" xr:uid="{00000000-0005-0000-0000-00005F260000}"/>
    <cellStyle name="Normal 2 3 7 2" xfId="15040" xr:uid="{00000000-0005-0000-0000-000060260000}"/>
    <cellStyle name="Normal 2 3 70" xfId="6236" xr:uid="{00000000-0005-0000-0000-000061260000}"/>
    <cellStyle name="Normal 2 3 70 2" xfId="18282" xr:uid="{00000000-0005-0000-0000-000062260000}"/>
    <cellStyle name="Normal 2 3 71" xfId="6237" xr:uid="{00000000-0005-0000-0000-000063260000}"/>
    <cellStyle name="Normal 2 3 71 2" xfId="18283" xr:uid="{00000000-0005-0000-0000-000064260000}"/>
    <cellStyle name="Normal 2 3 72" xfId="6238" xr:uid="{00000000-0005-0000-0000-000065260000}"/>
    <cellStyle name="Normal 2 3 72 2" xfId="18284" xr:uid="{00000000-0005-0000-0000-000066260000}"/>
    <cellStyle name="Normal 2 3 73" xfId="6239" xr:uid="{00000000-0005-0000-0000-000067260000}"/>
    <cellStyle name="Normal 2 3 73 2" xfId="18285" xr:uid="{00000000-0005-0000-0000-000068260000}"/>
    <cellStyle name="Normal 2 3 74" xfId="6240" xr:uid="{00000000-0005-0000-0000-000069260000}"/>
    <cellStyle name="Normal 2 3 74 2" xfId="18286" xr:uid="{00000000-0005-0000-0000-00006A260000}"/>
    <cellStyle name="Normal 2 3 75" xfId="6241" xr:uid="{00000000-0005-0000-0000-00006B260000}"/>
    <cellStyle name="Normal 2 3 75 2" xfId="18287" xr:uid="{00000000-0005-0000-0000-00006C260000}"/>
    <cellStyle name="Normal 2 3 76" xfId="6242" xr:uid="{00000000-0005-0000-0000-00006D260000}"/>
    <cellStyle name="Normal 2 3 76 2" xfId="18288" xr:uid="{00000000-0005-0000-0000-00006E260000}"/>
    <cellStyle name="Normal 2 3 77" xfId="6243" xr:uid="{00000000-0005-0000-0000-00006F260000}"/>
    <cellStyle name="Normal 2 3 77 2" xfId="18289" xr:uid="{00000000-0005-0000-0000-000070260000}"/>
    <cellStyle name="Normal 2 3 78" xfId="6244" xr:uid="{00000000-0005-0000-0000-000071260000}"/>
    <cellStyle name="Normal 2 3 78 2" xfId="18290" xr:uid="{00000000-0005-0000-0000-000072260000}"/>
    <cellStyle name="Normal 2 3 79" xfId="6245" xr:uid="{00000000-0005-0000-0000-000073260000}"/>
    <cellStyle name="Normal 2 3 79 2" xfId="18291" xr:uid="{00000000-0005-0000-0000-000074260000}"/>
    <cellStyle name="Normal 2 3 8" xfId="1616" xr:uid="{00000000-0005-0000-0000-000075260000}"/>
    <cellStyle name="Normal 2 3 8 2" xfId="15041" xr:uid="{00000000-0005-0000-0000-000076260000}"/>
    <cellStyle name="Normal 2 3 80" xfId="27175" xr:uid="{00000000-0005-0000-0000-000077260000}"/>
    <cellStyle name="Normal 2 3 81" xfId="1611" xr:uid="{00000000-0005-0000-0000-000078260000}"/>
    <cellStyle name="Normal 2 3 82" xfId="27406" xr:uid="{00000000-0005-0000-0000-000079260000}"/>
    <cellStyle name="Normal 2 3 9" xfId="2953" xr:uid="{00000000-0005-0000-0000-00007A260000}"/>
    <cellStyle name="Normal 2 3 9 2" xfId="15125" xr:uid="{00000000-0005-0000-0000-00007B260000}"/>
    <cellStyle name="Normal 2 30" xfId="357" xr:uid="{00000000-0005-0000-0000-00007C260000}"/>
    <cellStyle name="Normal 2 30 2" xfId="18292" xr:uid="{00000000-0005-0000-0000-00007D260000}"/>
    <cellStyle name="Normal 2 31" xfId="358" xr:uid="{00000000-0005-0000-0000-00007E260000}"/>
    <cellStyle name="Normal 2 31 2" xfId="18293" xr:uid="{00000000-0005-0000-0000-00007F260000}"/>
    <cellStyle name="Normal 2 32" xfId="359" xr:uid="{00000000-0005-0000-0000-000080260000}"/>
    <cellStyle name="Normal 2 32 2" xfId="18294" xr:uid="{00000000-0005-0000-0000-000081260000}"/>
    <cellStyle name="Normal 2 33" xfId="360" xr:uid="{00000000-0005-0000-0000-000082260000}"/>
    <cellStyle name="Normal 2 33 2" xfId="18295" xr:uid="{00000000-0005-0000-0000-000083260000}"/>
    <cellStyle name="Normal 2 34" xfId="361" xr:uid="{00000000-0005-0000-0000-000084260000}"/>
    <cellStyle name="Normal 2 34 2" xfId="18296" xr:uid="{00000000-0005-0000-0000-000085260000}"/>
    <cellStyle name="Normal 2 35" xfId="362" xr:uid="{00000000-0005-0000-0000-000086260000}"/>
    <cellStyle name="Normal 2 35 2" xfId="18297" xr:uid="{00000000-0005-0000-0000-000087260000}"/>
    <cellStyle name="Normal 2 36" xfId="363" xr:uid="{00000000-0005-0000-0000-000088260000}"/>
    <cellStyle name="Normal 2 36 2" xfId="18298" xr:uid="{00000000-0005-0000-0000-000089260000}"/>
    <cellStyle name="Normal 2 37" xfId="364" xr:uid="{00000000-0005-0000-0000-00008A260000}"/>
    <cellStyle name="Normal 2 37 2" xfId="18299" xr:uid="{00000000-0005-0000-0000-00008B260000}"/>
    <cellStyle name="Normal 2 38" xfId="365" xr:uid="{00000000-0005-0000-0000-00008C260000}"/>
    <cellStyle name="Normal 2 38 2" xfId="18300" xr:uid="{00000000-0005-0000-0000-00008D260000}"/>
    <cellStyle name="Normal 2 39" xfId="366" xr:uid="{00000000-0005-0000-0000-00008E260000}"/>
    <cellStyle name="Normal 2 39 2" xfId="18301" xr:uid="{00000000-0005-0000-0000-00008F260000}"/>
    <cellStyle name="Normal 2 4" xfId="79" xr:uid="{00000000-0005-0000-0000-000090260000}"/>
    <cellStyle name="Normal 2 4 10" xfId="2954" xr:uid="{00000000-0005-0000-0000-000091260000}"/>
    <cellStyle name="Normal 2 4 10 2" xfId="15126" xr:uid="{00000000-0005-0000-0000-000092260000}"/>
    <cellStyle name="Normal 2 4 11" xfId="2955" xr:uid="{00000000-0005-0000-0000-000093260000}"/>
    <cellStyle name="Normal 2 4 11 2" xfId="15127" xr:uid="{00000000-0005-0000-0000-000094260000}"/>
    <cellStyle name="Normal 2 4 12" xfId="2956" xr:uid="{00000000-0005-0000-0000-000095260000}"/>
    <cellStyle name="Normal 2 4 12 2" xfId="15128" xr:uid="{00000000-0005-0000-0000-000096260000}"/>
    <cellStyle name="Normal 2 4 13" xfId="2957" xr:uid="{00000000-0005-0000-0000-000097260000}"/>
    <cellStyle name="Normal 2 4 13 2" xfId="15129" xr:uid="{00000000-0005-0000-0000-000098260000}"/>
    <cellStyle name="Normal 2 4 14" xfId="2958" xr:uid="{00000000-0005-0000-0000-000099260000}"/>
    <cellStyle name="Normal 2 4 14 2" xfId="15130" xr:uid="{00000000-0005-0000-0000-00009A260000}"/>
    <cellStyle name="Normal 2 4 15" xfId="2959" xr:uid="{00000000-0005-0000-0000-00009B260000}"/>
    <cellStyle name="Normal 2 4 15 2" xfId="15131" xr:uid="{00000000-0005-0000-0000-00009C260000}"/>
    <cellStyle name="Normal 2 4 16" xfId="2960" xr:uid="{00000000-0005-0000-0000-00009D260000}"/>
    <cellStyle name="Normal 2 4 16 2" xfId="15132" xr:uid="{00000000-0005-0000-0000-00009E260000}"/>
    <cellStyle name="Normal 2 4 17" xfId="2961" xr:uid="{00000000-0005-0000-0000-00009F260000}"/>
    <cellStyle name="Normal 2 4 17 2" xfId="15133" xr:uid="{00000000-0005-0000-0000-0000A0260000}"/>
    <cellStyle name="Normal 2 4 18" xfId="2962" xr:uid="{00000000-0005-0000-0000-0000A1260000}"/>
    <cellStyle name="Normal 2 4 18 2" xfId="15134" xr:uid="{00000000-0005-0000-0000-0000A2260000}"/>
    <cellStyle name="Normal 2 4 19" xfId="2963" xr:uid="{00000000-0005-0000-0000-0000A3260000}"/>
    <cellStyle name="Normal 2 4 19 2" xfId="15135" xr:uid="{00000000-0005-0000-0000-0000A4260000}"/>
    <cellStyle name="Normal 2 4 2" xfId="801" xr:uid="{00000000-0005-0000-0000-0000A5260000}"/>
    <cellStyle name="Normal 2 4 2 2" xfId="2964" xr:uid="{00000000-0005-0000-0000-0000A6260000}"/>
    <cellStyle name="Normal 2 4 2 2 2" xfId="15137" xr:uid="{00000000-0005-0000-0000-0000A7260000}"/>
    <cellStyle name="Normal 2 4 2 3" xfId="2965" xr:uid="{00000000-0005-0000-0000-0000A8260000}"/>
    <cellStyle name="Normal 2 4 2 3 2" xfId="15138" xr:uid="{00000000-0005-0000-0000-0000A9260000}"/>
    <cellStyle name="Normal 2 4 2 4" xfId="15136" xr:uid="{00000000-0005-0000-0000-0000AA260000}"/>
    <cellStyle name="Normal 2 4 20" xfId="2966" xr:uid="{00000000-0005-0000-0000-0000AB260000}"/>
    <cellStyle name="Normal 2 4 20 2" xfId="15139" xr:uid="{00000000-0005-0000-0000-0000AC260000}"/>
    <cellStyle name="Normal 2 4 21" xfId="2967" xr:uid="{00000000-0005-0000-0000-0000AD260000}"/>
    <cellStyle name="Normal 2 4 21 2" xfId="15140" xr:uid="{00000000-0005-0000-0000-0000AE260000}"/>
    <cellStyle name="Normal 2 4 22" xfId="2968" xr:uid="{00000000-0005-0000-0000-0000AF260000}"/>
    <cellStyle name="Normal 2 4 22 2" xfId="15141" xr:uid="{00000000-0005-0000-0000-0000B0260000}"/>
    <cellStyle name="Normal 2 4 23" xfId="2969" xr:uid="{00000000-0005-0000-0000-0000B1260000}"/>
    <cellStyle name="Normal 2 4 23 2" xfId="15142" xr:uid="{00000000-0005-0000-0000-0000B2260000}"/>
    <cellStyle name="Normal 2 4 24" xfId="2970" xr:uid="{00000000-0005-0000-0000-0000B3260000}"/>
    <cellStyle name="Normal 2 4 24 2" xfId="15143" xr:uid="{00000000-0005-0000-0000-0000B4260000}"/>
    <cellStyle name="Normal 2 4 25" xfId="2971" xr:uid="{00000000-0005-0000-0000-0000B5260000}"/>
    <cellStyle name="Normal 2 4 25 2" xfId="15144" xr:uid="{00000000-0005-0000-0000-0000B6260000}"/>
    <cellStyle name="Normal 2 4 26" xfId="2972" xr:uid="{00000000-0005-0000-0000-0000B7260000}"/>
    <cellStyle name="Normal 2 4 26 2" xfId="15145" xr:uid="{00000000-0005-0000-0000-0000B8260000}"/>
    <cellStyle name="Normal 2 4 27" xfId="2973" xr:uid="{00000000-0005-0000-0000-0000B9260000}"/>
    <cellStyle name="Normal 2 4 27 2" xfId="15146" xr:uid="{00000000-0005-0000-0000-0000BA260000}"/>
    <cellStyle name="Normal 2 4 28" xfId="2974" xr:uid="{00000000-0005-0000-0000-0000BB260000}"/>
    <cellStyle name="Normal 2 4 28 2" xfId="15147" xr:uid="{00000000-0005-0000-0000-0000BC260000}"/>
    <cellStyle name="Normal 2 4 29" xfId="6246" xr:uid="{00000000-0005-0000-0000-0000BD260000}"/>
    <cellStyle name="Normal 2 4 29 2" xfId="18302" xr:uid="{00000000-0005-0000-0000-0000BE260000}"/>
    <cellStyle name="Normal 2 4 3" xfId="704" xr:uid="{00000000-0005-0000-0000-0000BF260000}"/>
    <cellStyle name="Normal 2 4 3 2" xfId="15148" xr:uid="{00000000-0005-0000-0000-0000C0260000}"/>
    <cellStyle name="Normal 2 4 3 3" xfId="2975" xr:uid="{00000000-0005-0000-0000-0000C1260000}"/>
    <cellStyle name="Normal 2 4 30" xfId="6247" xr:uid="{00000000-0005-0000-0000-0000C2260000}"/>
    <cellStyle name="Normal 2 4 30 2" xfId="18303" xr:uid="{00000000-0005-0000-0000-0000C3260000}"/>
    <cellStyle name="Normal 2 4 31" xfId="6248" xr:uid="{00000000-0005-0000-0000-0000C4260000}"/>
    <cellStyle name="Normal 2 4 31 2" xfId="18304" xr:uid="{00000000-0005-0000-0000-0000C5260000}"/>
    <cellStyle name="Normal 2 4 32" xfId="6249" xr:uid="{00000000-0005-0000-0000-0000C6260000}"/>
    <cellStyle name="Normal 2 4 32 2" xfId="18305" xr:uid="{00000000-0005-0000-0000-0000C7260000}"/>
    <cellStyle name="Normal 2 4 33" xfId="6250" xr:uid="{00000000-0005-0000-0000-0000C8260000}"/>
    <cellStyle name="Normal 2 4 33 2" xfId="18306" xr:uid="{00000000-0005-0000-0000-0000C9260000}"/>
    <cellStyle name="Normal 2 4 34" xfId="6251" xr:uid="{00000000-0005-0000-0000-0000CA260000}"/>
    <cellStyle name="Normal 2 4 34 2" xfId="18307" xr:uid="{00000000-0005-0000-0000-0000CB260000}"/>
    <cellStyle name="Normal 2 4 35" xfId="6252" xr:uid="{00000000-0005-0000-0000-0000CC260000}"/>
    <cellStyle name="Normal 2 4 35 2" xfId="18308" xr:uid="{00000000-0005-0000-0000-0000CD260000}"/>
    <cellStyle name="Normal 2 4 36" xfId="6253" xr:uid="{00000000-0005-0000-0000-0000CE260000}"/>
    <cellStyle name="Normal 2 4 36 2" xfId="18309" xr:uid="{00000000-0005-0000-0000-0000CF260000}"/>
    <cellStyle name="Normal 2 4 37" xfId="6254" xr:uid="{00000000-0005-0000-0000-0000D0260000}"/>
    <cellStyle name="Normal 2 4 37 2" xfId="18310" xr:uid="{00000000-0005-0000-0000-0000D1260000}"/>
    <cellStyle name="Normal 2 4 38" xfId="6255" xr:uid="{00000000-0005-0000-0000-0000D2260000}"/>
    <cellStyle name="Normal 2 4 38 2" xfId="18311" xr:uid="{00000000-0005-0000-0000-0000D3260000}"/>
    <cellStyle name="Normal 2 4 39" xfId="6256" xr:uid="{00000000-0005-0000-0000-0000D4260000}"/>
    <cellStyle name="Normal 2 4 39 2" xfId="18312" xr:uid="{00000000-0005-0000-0000-0000D5260000}"/>
    <cellStyle name="Normal 2 4 4" xfId="331" xr:uid="{00000000-0005-0000-0000-0000D6260000}"/>
    <cellStyle name="Normal 2 4 4 2" xfId="15149" xr:uid="{00000000-0005-0000-0000-0000D7260000}"/>
    <cellStyle name="Normal 2 4 40" xfId="6257" xr:uid="{00000000-0005-0000-0000-0000D8260000}"/>
    <cellStyle name="Normal 2 4 40 2" xfId="18313" xr:uid="{00000000-0005-0000-0000-0000D9260000}"/>
    <cellStyle name="Normal 2 4 41" xfId="6258" xr:uid="{00000000-0005-0000-0000-0000DA260000}"/>
    <cellStyle name="Normal 2 4 41 2" xfId="18314" xr:uid="{00000000-0005-0000-0000-0000DB260000}"/>
    <cellStyle name="Normal 2 4 42" xfId="6259" xr:uid="{00000000-0005-0000-0000-0000DC260000}"/>
    <cellStyle name="Normal 2 4 42 2" xfId="18315" xr:uid="{00000000-0005-0000-0000-0000DD260000}"/>
    <cellStyle name="Normal 2 4 43" xfId="6260" xr:uid="{00000000-0005-0000-0000-0000DE260000}"/>
    <cellStyle name="Normal 2 4 43 2" xfId="18316" xr:uid="{00000000-0005-0000-0000-0000DF260000}"/>
    <cellStyle name="Normal 2 4 44" xfId="6261" xr:uid="{00000000-0005-0000-0000-0000E0260000}"/>
    <cellStyle name="Normal 2 4 44 2" xfId="18317" xr:uid="{00000000-0005-0000-0000-0000E1260000}"/>
    <cellStyle name="Normal 2 4 45" xfId="6262" xr:uid="{00000000-0005-0000-0000-0000E2260000}"/>
    <cellStyle name="Normal 2 4 45 2" xfId="18318" xr:uid="{00000000-0005-0000-0000-0000E3260000}"/>
    <cellStyle name="Normal 2 4 46" xfId="6263" xr:uid="{00000000-0005-0000-0000-0000E4260000}"/>
    <cellStyle name="Normal 2 4 46 2" xfId="18319" xr:uid="{00000000-0005-0000-0000-0000E5260000}"/>
    <cellStyle name="Normal 2 4 47" xfId="6264" xr:uid="{00000000-0005-0000-0000-0000E6260000}"/>
    <cellStyle name="Normal 2 4 47 2" xfId="18320" xr:uid="{00000000-0005-0000-0000-0000E7260000}"/>
    <cellStyle name="Normal 2 4 48" xfId="6265" xr:uid="{00000000-0005-0000-0000-0000E8260000}"/>
    <cellStyle name="Normal 2 4 48 2" xfId="18321" xr:uid="{00000000-0005-0000-0000-0000E9260000}"/>
    <cellStyle name="Normal 2 4 49" xfId="6266" xr:uid="{00000000-0005-0000-0000-0000EA260000}"/>
    <cellStyle name="Normal 2 4 49 2" xfId="18322" xr:uid="{00000000-0005-0000-0000-0000EB260000}"/>
    <cellStyle name="Normal 2 4 5" xfId="2976" xr:uid="{00000000-0005-0000-0000-0000EC260000}"/>
    <cellStyle name="Normal 2 4 5 2" xfId="15150" xr:uid="{00000000-0005-0000-0000-0000ED260000}"/>
    <cellStyle name="Normal 2 4 50" xfId="6267" xr:uid="{00000000-0005-0000-0000-0000EE260000}"/>
    <cellStyle name="Normal 2 4 50 2" xfId="18323" xr:uid="{00000000-0005-0000-0000-0000EF260000}"/>
    <cellStyle name="Normal 2 4 51" xfId="6268" xr:uid="{00000000-0005-0000-0000-0000F0260000}"/>
    <cellStyle name="Normal 2 4 51 2" xfId="18324" xr:uid="{00000000-0005-0000-0000-0000F1260000}"/>
    <cellStyle name="Normal 2 4 52" xfId="6269" xr:uid="{00000000-0005-0000-0000-0000F2260000}"/>
    <cellStyle name="Normal 2 4 52 2" xfId="18325" xr:uid="{00000000-0005-0000-0000-0000F3260000}"/>
    <cellStyle name="Normal 2 4 53" xfId="6270" xr:uid="{00000000-0005-0000-0000-0000F4260000}"/>
    <cellStyle name="Normal 2 4 53 2" xfId="18326" xr:uid="{00000000-0005-0000-0000-0000F5260000}"/>
    <cellStyle name="Normal 2 4 54" xfId="6271" xr:uid="{00000000-0005-0000-0000-0000F6260000}"/>
    <cellStyle name="Normal 2 4 54 2" xfId="18327" xr:uid="{00000000-0005-0000-0000-0000F7260000}"/>
    <cellStyle name="Normal 2 4 55" xfId="6272" xr:uid="{00000000-0005-0000-0000-0000F8260000}"/>
    <cellStyle name="Normal 2 4 55 2" xfId="18328" xr:uid="{00000000-0005-0000-0000-0000F9260000}"/>
    <cellStyle name="Normal 2 4 56" xfId="6273" xr:uid="{00000000-0005-0000-0000-0000FA260000}"/>
    <cellStyle name="Normal 2 4 56 2" xfId="18329" xr:uid="{00000000-0005-0000-0000-0000FB260000}"/>
    <cellStyle name="Normal 2 4 57" xfId="6274" xr:uid="{00000000-0005-0000-0000-0000FC260000}"/>
    <cellStyle name="Normal 2 4 57 2" xfId="18330" xr:uid="{00000000-0005-0000-0000-0000FD260000}"/>
    <cellStyle name="Normal 2 4 58" xfId="6275" xr:uid="{00000000-0005-0000-0000-0000FE260000}"/>
    <cellStyle name="Normal 2 4 58 2" xfId="18331" xr:uid="{00000000-0005-0000-0000-0000FF260000}"/>
    <cellStyle name="Normal 2 4 59" xfId="6276" xr:uid="{00000000-0005-0000-0000-000000270000}"/>
    <cellStyle name="Normal 2 4 59 2" xfId="18332" xr:uid="{00000000-0005-0000-0000-000001270000}"/>
    <cellStyle name="Normal 2 4 6" xfId="2977" xr:uid="{00000000-0005-0000-0000-000002270000}"/>
    <cellStyle name="Normal 2 4 6 2" xfId="15151" xr:uid="{00000000-0005-0000-0000-000003270000}"/>
    <cellStyle name="Normal 2 4 60" xfId="6277" xr:uid="{00000000-0005-0000-0000-000004270000}"/>
    <cellStyle name="Normal 2 4 60 2" xfId="18333" xr:uid="{00000000-0005-0000-0000-000005270000}"/>
    <cellStyle name="Normal 2 4 61" xfId="6278" xr:uid="{00000000-0005-0000-0000-000006270000}"/>
    <cellStyle name="Normal 2 4 61 2" xfId="18334" xr:uid="{00000000-0005-0000-0000-000007270000}"/>
    <cellStyle name="Normal 2 4 62" xfId="6279" xr:uid="{00000000-0005-0000-0000-000008270000}"/>
    <cellStyle name="Normal 2 4 62 2" xfId="18335" xr:uid="{00000000-0005-0000-0000-000009270000}"/>
    <cellStyle name="Normal 2 4 63" xfId="6280" xr:uid="{00000000-0005-0000-0000-00000A270000}"/>
    <cellStyle name="Normal 2 4 63 2" xfId="18336" xr:uid="{00000000-0005-0000-0000-00000B270000}"/>
    <cellStyle name="Normal 2 4 64" xfId="6281" xr:uid="{00000000-0005-0000-0000-00000C270000}"/>
    <cellStyle name="Normal 2 4 64 2" xfId="18337" xr:uid="{00000000-0005-0000-0000-00000D270000}"/>
    <cellStyle name="Normal 2 4 65" xfId="6282" xr:uid="{00000000-0005-0000-0000-00000E270000}"/>
    <cellStyle name="Normal 2 4 65 2" xfId="18338" xr:uid="{00000000-0005-0000-0000-00000F270000}"/>
    <cellStyle name="Normal 2 4 66" xfId="6283" xr:uid="{00000000-0005-0000-0000-000010270000}"/>
    <cellStyle name="Normal 2 4 66 2" xfId="18339" xr:uid="{00000000-0005-0000-0000-000011270000}"/>
    <cellStyle name="Normal 2 4 67" xfId="6284" xr:uid="{00000000-0005-0000-0000-000012270000}"/>
    <cellStyle name="Normal 2 4 67 2" xfId="18340" xr:uid="{00000000-0005-0000-0000-000013270000}"/>
    <cellStyle name="Normal 2 4 68" xfId="6285" xr:uid="{00000000-0005-0000-0000-000014270000}"/>
    <cellStyle name="Normal 2 4 68 2" xfId="18341" xr:uid="{00000000-0005-0000-0000-000015270000}"/>
    <cellStyle name="Normal 2 4 69" xfId="6286" xr:uid="{00000000-0005-0000-0000-000016270000}"/>
    <cellStyle name="Normal 2 4 69 2" xfId="18342" xr:uid="{00000000-0005-0000-0000-000017270000}"/>
    <cellStyle name="Normal 2 4 7" xfId="2978" xr:uid="{00000000-0005-0000-0000-000018270000}"/>
    <cellStyle name="Normal 2 4 7 2" xfId="15152" xr:uid="{00000000-0005-0000-0000-000019270000}"/>
    <cellStyle name="Normal 2 4 70" xfId="6287" xr:uid="{00000000-0005-0000-0000-00001A270000}"/>
    <cellStyle name="Normal 2 4 70 2" xfId="18343" xr:uid="{00000000-0005-0000-0000-00001B270000}"/>
    <cellStyle name="Normal 2 4 71" xfId="6288" xr:uid="{00000000-0005-0000-0000-00001C270000}"/>
    <cellStyle name="Normal 2 4 71 2" xfId="18344" xr:uid="{00000000-0005-0000-0000-00001D270000}"/>
    <cellStyle name="Normal 2 4 72" xfId="6289" xr:uid="{00000000-0005-0000-0000-00001E270000}"/>
    <cellStyle name="Normal 2 4 72 2" xfId="18345" xr:uid="{00000000-0005-0000-0000-00001F270000}"/>
    <cellStyle name="Normal 2 4 73" xfId="6290" xr:uid="{00000000-0005-0000-0000-000020270000}"/>
    <cellStyle name="Normal 2 4 73 2" xfId="18346" xr:uid="{00000000-0005-0000-0000-000021270000}"/>
    <cellStyle name="Normal 2 4 74" xfId="6291" xr:uid="{00000000-0005-0000-0000-000022270000}"/>
    <cellStyle name="Normal 2 4 74 2" xfId="18347" xr:uid="{00000000-0005-0000-0000-000023270000}"/>
    <cellStyle name="Normal 2 4 75" xfId="6292" xr:uid="{00000000-0005-0000-0000-000024270000}"/>
    <cellStyle name="Normal 2 4 75 2" xfId="18348" xr:uid="{00000000-0005-0000-0000-000025270000}"/>
    <cellStyle name="Normal 2 4 76" xfId="6293" xr:uid="{00000000-0005-0000-0000-000026270000}"/>
    <cellStyle name="Normal 2 4 76 2" xfId="18349" xr:uid="{00000000-0005-0000-0000-000027270000}"/>
    <cellStyle name="Normal 2 4 77" xfId="6294" xr:uid="{00000000-0005-0000-0000-000028270000}"/>
    <cellStyle name="Normal 2 4 77 2" xfId="18350" xr:uid="{00000000-0005-0000-0000-000029270000}"/>
    <cellStyle name="Normal 2 4 78" xfId="6295" xr:uid="{00000000-0005-0000-0000-00002A270000}"/>
    <cellStyle name="Normal 2 4 78 2" xfId="18351" xr:uid="{00000000-0005-0000-0000-00002B270000}"/>
    <cellStyle name="Normal 2 4 79" xfId="6296" xr:uid="{00000000-0005-0000-0000-00002C270000}"/>
    <cellStyle name="Normal 2 4 79 2" xfId="18352" xr:uid="{00000000-0005-0000-0000-00002D270000}"/>
    <cellStyle name="Normal 2 4 8" xfId="2979" xr:uid="{00000000-0005-0000-0000-00002E270000}"/>
    <cellStyle name="Normal 2 4 8 2" xfId="15153" xr:uid="{00000000-0005-0000-0000-00002F270000}"/>
    <cellStyle name="Normal 2 4 80" xfId="15042" xr:uid="{00000000-0005-0000-0000-000030270000}"/>
    <cellStyle name="Normal 2 4 9" xfId="2980" xr:uid="{00000000-0005-0000-0000-000031270000}"/>
    <cellStyle name="Normal 2 4 9 2" xfId="15154" xr:uid="{00000000-0005-0000-0000-000032270000}"/>
    <cellStyle name="Normal 2 40" xfId="373" xr:uid="{00000000-0005-0000-0000-000033270000}"/>
    <cellStyle name="Normal 2 40 2" xfId="18353" xr:uid="{00000000-0005-0000-0000-000034270000}"/>
    <cellStyle name="Normal 2 41" xfId="374" xr:uid="{00000000-0005-0000-0000-000035270000}"/>
    <cellStyle name="Normal 2 41 2" xfId="18354" xr:uid="{00000000-0005-0000-0000-000036270000}"/>
    <cellStyle name="Normal 2 42" xfId="375" xr:uid="{00000000-0005-0000-0000-000037270000}"/>
    <cellStyle name="Normal 2 42 2" xfId="18355" xr:uid="{00000000-0005-0000-0000-000038270000}"/>
    <cellStyle name="Normal 2 43" xfId="376" xr:uid="{00000000-0005-0000-0000-000039270000}"/>
    <cellStyle name="Normal 2 43 2" xfId="18356" xr:uid="{00000000-0005-0000-0000-00003A270000}"/>
    <cellStyle name="Normal 2 44" xfId="377" xr:uid="{00000000-0005-0000-0000-00003B270000}"/>
    <cellStyle name="Normal 2 44 2" xfId="18357" xr:uid="{00000000-0005-0000-0000-00003C270000}"/>
    <cellStyle name="Normal 2 45" xfId="378" xr:uid="{00000000-0005-0000-0000-00003D270000}"/>
    <cellStyle name="Normal 2 45 2" xfId="18358" xr:uid="{00000000-0005-0000-0000-00003E270000}"/>
    <cellStyle name="Normal 2 46" xfId="379" xr:uid="{00000000-0005-0000-0000-00003F270000}"/>
    <cellStyle name="Normal 2 46 2" xfId="18359" xr:uid="{00000000-0005-0000-0000-000040270000}"/>
    <cellStyle name="Normal 2 47" xfId="380" xr:uid="{00000000-0005-0000-0000-000041270000}"/>
    <cellStyle name="Normal 2 47 2" xfId="18360" xr:uid="{00000000-0005-0000-0000-000042270000}"/>
    <cellStyle name="Normal 2 48" xfId="381" xr:uid="{00000000-0005-0000-0000-000043270000}"/>
    <cellStyle name="Normal 2 48 2" xfId="18361" xr:uid="{00000000-0005-0000-0000-000044270000}"/>
    <cellStyle name="Normal 2 49" xfId="382" xr:uid="{00000000-0005-0000-0000-000045270000}"/>
    <cellStyle name="Normal 2 49 2" xfId="18362" xr:uid="{00000000-0005-0000-0000-000046270000}"/>
    <cellStyle name="Normal 2 5" xfId="81" xr:uid="{00000000-0005-0000-0000-000047270000}"/>
    <cellStyle name="Normal 2 5 10" xfId="2981" xr:uid="{00000000-0005-0000-0000-000048270000}"/>
    <cellStyle name="Normal 2 5 10 2" xfId="15155" xr:uid="{00000000-0005-0000-0000-000049270000}"/>
    <cellStyle name="Normal 2 5 11" xfId="2982" xr:uid="{00000000-0005-0000-0000-00004A270000}"/>
    <cellStyle name="Normal 2 5 11 2" xfId="15156" xr:uid="{00000000-0005-0000-0000-00004B270000}"/>
    <cellStyle name="Normal 2 5 12" xfId="2983" xr:uid="{00000000-0005-0000-0000-00004C270000}"/>
    <cellStyle name="Normal 2 5 12 2" xfId="15157" xr:uid="{00000000-0005-0000-0000-00004D270000}"/>
    <cellStyle name="Normal 2 5 13" xfId="2984" xr:uid="{00000000-0005-0000-0000-00004E270000}"/>
    <cellStyle name="Normal 2 5 13 2" xfId="15158" xr:uid="{00000000-0005-0000-0000-00004F270000}"/>
    <cellStyle name="Normal 2 5 14" xfId="2985" xr:uid="{00000000-0005-0000-0000-000050270000}"/>
    <cellStyle name="Normal 2 5 14 2" xfId="15159" xr:uid="{00000000-0005-0000-0000-000051270000}"/>
    <cellStyle name="Normal 2 5 15" xfId="2986" xr:uid="{00000000-0005-0000-0000-000052270000}"/>
    <cellStyle name="Normal 2 5 15 2" xfId="15160" xr:uid="{00000000-0005-0000-0000-000053270000}"/>
    <cellStyle name="Normal 2 5 16" xfId="2987" xr:uid="{00000000-0005-0000-0000-000054270000}"/>
    <cellStyle name="Normal 2 5 16 2" xfId="15161" xr:uid="{00000000-0005-0000-0000-000055270000}"/>
    <cellStyle name="Normal 2 5 17" xfId="2988" xr:uid="{00000000-0005-0000-0000-000056270000}"/>
    <cellStyle name="Normal 2 5 17 2" xfId="15162" xr:uid="{00000000-0005-0000-0000-000057270000}"/>
    <cellStyle name="Normal 2 5 18" xfId="2989" xr:uid="{00000000-0005-0000-0000-000058270000}"/>
    <cellStyle name="Normal 2 5 18 2" xfId="15163" xr:uid="{00000000-0005-0000-0000-000059270000}"/>
    <cellStyle name="Normal 2 5 19" xfId="2990" xr:uid="{00000000-0005-0000-0000-00005A270000}"/>
    <cellStyle name="Normal 2 5 19 2" xfId="15164" xr:uid="{00000000-0005-0000-0000-00005B270000}"/>
    <cellStyle name="Normal 2 5 2" xfId="705" xr:uid="{00000000-0005-0000-0000-00005C270000}"/>
    <cellStyle name="Normal 2 5 2 2" xfId="2992" xr:uid="{00000000-0005-0000-0000-00005D270000}"/>
    <cellStyle name="Normal 2 5 2 2 2" xfId="15166" xr:uid="{00000000-0005-0000-0000-00005E270000}"/>
    <cellStyle name="Normal 2 5 2 3" xfId="2993" xr:uid="{00000000-0005-0000-0000-00005F270000}"/>
    <cellStyle name="Normal 2 5 2 3 2" xfId="15167" xr:uid="{00000000-0005-0000-0000-000060270000}"/>
    <cellStyle name="Normal 2 5 2 4" xfId="15165" xr:uid="{00000000-0005-0000-0000-000061270000}"/>
    <cellStyle name="Normal 2 5 2 5" xfId="2991" xr:uid="{00000000-0005-0000-0000-000062270000}"/>
    <cellStyle name="Normal 2 5 20" xfId="2994" xr:uid="{00000000-0005-0000-0000-000063270000}"/>
    <cellStyle name="Normal 2 5 20 2" xfId="15168" xr:uid="{00000000-0005-0000-0000-000064270000}"/>
    <cellStyle name="Normal 2 5 21" xfId="2995" xr:uid="{00000000-0005-0000-0000-000065270000}"/>
    <cellStyle name="Normal 2 5 21 2" xfId="15169" xr:uid="{00000000-0005-0000-0000-000066270000}"/>
    <cellStyle name="Normal 2 5 22" xfId="2996" xr:uid="{00000000-0005-0000-0000-000067270000}"/>
    <cellStyle name="Normal 2 5 22 2" xfId="15170" xr:uid="{00000000-0005-0000-0000-000068270000}"/>
    <cellStyle name="Normal 2 5 23" xfId="2997" xr:uid="{00000000-0005-0000-0000-000069270000}"/>
    <cellStyle name="Normal 2 5 23 2" xfId="15171" xr:uid="{00000000-0005-0000-0000-00006A270000}"/>
    <cellStyle name="Normal 2 5 24" xfId="2998" xr:uid="{00000000-0005-0000-0000-00006B270000}"/>
    <cellStyle name="Normal 2 5 24 2" xfId="15172" xr:uid="{00000000-0005-0000-0000-00006C270000}"/>
    <cellStyle name="Normal 2 5 25" xfId="2999" xr:uid="{00000000-0005-0000-0000-00006D270000}"/>
    <cellStyle name="Normal 2 5 25 2" xfId="15173" xr:uid="{00000000-0005-0000-0000-00006E270000}"/>
    <cellStyle name="Normal 2 5 26" xfId="3000" xr:uid="{00000000-0005-0000-0000-00006F270000}"/>
    <cellStyle name="Normal 2 5 26 2" xfId="15174" xr:uid="{00000000-0005-0000-0000-000070270000}"/>
    <cellStyle name="Normal 2 5 27" xfId="3001" xr:uid="{00000000-0005-0000-0000-000071270000}"/>
    <cellStyle name="Normal 2 5 27 2" xfId="15175" xr:uid="{00000000-0005-0000-0000-000072270000}"/>
    <cellStyle name="Normal 2 5 28" xfId="3002" xr:uid="{00000000-0005-0000-0000-000073270000}"/>
    <cellStyle name="Normal 2 5 28 2" xfId="15176" xr:uid="{00000000-0005-0000-0000-000074270000}"/>
    <cellStyle name="Normal 2 5 29" xfId="15043" xr:uid="{00000000-0005-0000-0000-000075270000}"/>
    <cellStyle name="Normal 2 5 3" xfId="332" xr:uid="{00000000-0005-0000-0000-000076270000}"/>
    <cellStyle name="Normal 2 5 3 2" xfId="15177" xr:uid="{00000000-0005-0000-0000-000077270000}"/>
    <cellStyle name="Normal 2 5 4" xfId="3003" xr:uid="{00000000-0005-0000-0000-000078270000}"/>
    <cellStyle name="Normal 2 5 4 2" xfId="15178" xr:uid="{00000000-0005-0000-0000-000079270000}"/>
    <cellStyle name="Normal 2 5 5" xfId="3004" xr:uid="{00000000-0005-0000-0000-00007A270000}"/>
    <cellStyle name="Normal 2 5 5 2" xfId="15179" xr:uid="{00000000-0005-0000-0000-00007B270000}"/>
    <cellStyle name="Normal 2 5 6" xfId="3005" xr:uid="{00000000-0005-0000-0000-00007C270000}"/>
    <cellStyle name="Normal 2 5 6 2" xfId="15180" xr:uid="{00000000-0005-0000-0000-00007D270000}"/>
    <cellStyle name="Normal 2 5 7" xfId="3006" xr:uid="{00000000-0005-0000-0000-00007E270000}"/>
    <cellStyle name="Normal 2 5 7 2" xfId="15181" xr:uid="{00000000-0005-0000-0000-00007F270000}"/>
    <cellStyle name="Normal 2 5 8" xfId="3007" xr:uid="{00000000-0005-0000-0000-000080270000}"/>
    <cellStyle name="Normal 2 5 8 2" xfId="15182" xr:uid="{00000000-0005-0000-0000-000081270000}"/>
    <cellStyle name="Normal 2 5 9" xfId="3008" xr:uid="{00000000-0005-0000-0000-000082270000}"/>
    <cellStyle name="Normal 2 5 9 2" xfId="15183" xr:uid="{00000000-0005-0000-0000-000083270000}"/>
    <cellStyle name="Normal 2 50" xfId="383" xr:uid="{00000000-0005-0000-0000-000084270000}"/>
    <cellStyle name="Normal 2 50 2" xfId="18363" xr:uid="{00000000-0005-0000-0000-000085270000}"/>
    <cellStyle name="Normal 2 51" xfId="384" xr:uid="{00000000-0005-0000-0000-000086270000}"/>
    <cellStyle name="Normal 2 51 2" xfId="18364" xr:uid="{00000000-0005-0000-0000-000087270000}"/>
    <cellStyle name="Normal 2 52" xfId="385" xr:uid="{00000000-0005-0000-0000-000088270000}"/>
    <cellStyle name="Normal 2 52 2" xfId="18365" xr:uid="{00000000-0005-0000-0000-000089270000}"/>
    <cellStyle name="Normal 2 53" xfId="386" xr:uid="{00000000-0005-0000-0000-00008A270000}"/>
    <cellStyle name="Normal 2 53 2" xfId="18366" xr:uid="{00000000-0005-0000-0000-00008B270000}"/>
    <cellStyle name="Normal 2 54" xfId="387" xr:uid="{00000000-0005-0000-0000-00008C270000}"/>
    <cellStyle name="Normal 2 54 2" xfId="18367" xr:uid="{00000000-0005-0000-0000-00008D270000}"/>
    <cellStyle name="Normal 2 55" xfId="388" xr:uid="{00000000-0005-0000-0000-00008E270000}"/>
    <cellStyle name="Normal 2 55 2" xfId="18368" xr:uid="{00000000-0005-0000-0000-00008F270000}"/>
    <cellStyle name="Normal 2 56" xfId="389" xr:uid="{00000000-0005-0000-0000-000090270000}"/>
    <cellStyle name="Normal 2 56 2" xfId="18369" xr:uid="{00000000-0005-0000-0000-000091270000}"/>
    <cellStyle name="Normal 2 57" xfId="390" xr:uid="{00000000-0005-0000-0000-000092270000}"/>
    <cellStyle name="Normal 2 57 2" xfId="18370" xr:uid="{00000000-0005-0000-0000-000093270000}"/>
    <cellStyle name="Normal 2 58" xfId="299" xr:uid="{00000000-0005-0000-0000-000094270000}"/>
    <cellStyle name="Normal 2 58 2" xfId="18371" xr:uid="{00000000-0005-0000-0000-000095270000}"/>
    <cellStyle name="Normal 2 59" xfId="49" xr:uid="{00000000-0005-0000-0000-000096270000}"/>
    <cellStyle name="Normal 2 59 2" xfId="18372" xr:uid="{00000000-0005-0000-0000-000097270000}"/>
    <cellStyle name="Normal 2 6" xfId="103" xr:uid="{00000000-0005-0000-0000-000098270000}"/>
    <cellStyle name="Normal 2 6 10" xfId="3009" xr:uid="{00000000-0005-0000-0000-000099270000}"/>
    <cellStyle name="Normal 2 6 10 2" xfId="15184" xr:uid="{00000000-0005-0000-0000-00009A270000}"/>
    <cellStyle name="Normal 2 6 11" xfId="3010" xr:uid="{00000000-0005-0000-0000-00009B270000}"/>
    <cellStyle name="Normal 2 6 11 2" xfId="15185" xr:uid="{00000000-0005-0000-0000-00009C270000}"/>
    <cellStyle name="Normal 2 6 12" xfId="3011" xr:uid="{00000000-0005-0000-0000-00009D270000}"/>
    <cellStyle name="Normal 2 6 12 2" xfId="15186" xr:uid="{00000000-0005-0000-0000-00009E270000}"/>
    <cellStyle name="Normal 2 6 13" xfId="3012" xr:uid="{00000000-0005-0000-0000-00009F270000}"/>
    <cellStyle name="Normal 2 6 13 2" xfId="15187" xr:uid="{00000000-0005-0000-0000-0000A0270000}"/>
    <cellStyle name="Normal 2 6 14" xfId="3013" xr:uid="{00000000-0005-0000-0000-0000A1270000}"/>
    <cellStyle name="Normal 2 6 14 2" xfId="15188" xr:uid="{00000000-0005-0000-0000-0000A2270000}"/>
    <cellStyle name="Normal 2 6 15" xfId="3014" xr:uid="{00000000-0005-0000-0000-0000A3270000}"/>
    <cellStyle name="Normal 2 6 15 2" xfId="15189" xr:uid="{00000000-0005-0000-0000-0000A4270000}"/>
    <cellStyle name="Normal 2 6 16" xfId="3015" xr:uid="{00000000-0005-0000-0000-0000A5270000}"/>
    <cellStyle name="Normal 2 6 16 2" xfId="15190" xr:uid="{00000000-0005-0000-0000-0000A6270000}"/>
    <cellStyle name="Normal 2 6 17" xfId="3016" xr:uid="{00000000-0005-0000-0000-0000A7270000}"/>
    <cellStyle name="Normal 2 6 17 2" xfId="15191" xr:uid="{00000000-0005-0000-0000-0000A8270000}"/>
    <cellStyle name="Normal 2 6 18" xfId="3017" xr:uid="{00000000-0005-0000-0000-0000A9270000}"/>
    <cellStyle name="Normal 2 6 18 2" xfId="15192" xr:uid="{00000000-0005-0000-0000-0000AA270000}"/>
    <cellStyle name="Normal 2 6 19" xfId="3018" xr:uid="{00000000-0005-0000-0000-0000AB270000}"/>
    <cellStyle name="Normal 2 6 19 2" xfId="15193" xr:uid="{00000000-0005-0000-0000-0000AC270000}"/>
    <cellStyle name="Normal 2 6 2" xfId="802" xr:uid="{00000000-0005-0000-0000-0000AD270000}"/>
    <cellStyle name="Normal 2 6 2 2" xfId="3019" xr:uid="{00000000-0005-0000-0000-0000AE270000}"/>
    <cellStyle name="Normal 2 6 2 2 2" xfId="15195" xr:uid="{00000000-0005-0000-0000-0000AF270000}"/>
    <cellStyle name="Normal 2 6 2 3" xfId="3020" xr:uid="{00000000-0005-0000-0000-0000B0270000}"/>
    <cellStyle name="Normal 2 6 2 3 2" xfId="15196" xr:uid="{00000000-0005-0000-0000-0000B1270000}"/>
    <cellStyle name="Normal 2 6 2 4" xfId="15194" xr:uid="{00000000-0005-0000-0000-0000B2270000}"/>
    <cellStyle name="Normal 2 6 20" xfId="3021" xr:uid="{00000000-0005-0000-0000-0000B3270000}"/>
    <cellStyle name="Normal 2 6 20 2" xfId="15197" xr:uid="{00000000-0005-0000-0000-0000B4270000}"/>
    <cellStyle name="Normal 2 6 21" xfId="3022" xr:uid="{00000000-0005-0000-0000-0000B5270000}"/>
    <cellStyle name="Normal 2 6 21 2" xfId="15198" xr:uid="{00000000-0005-0000-0000-0000B6270000}"/>
    <cellStyle name="Normal 2 6 22" xfId="3023" xr:uid="{00000000-0005-0000-0000-0000B7270000}"/>
    <cellStyle name="Normal 2 6 22 2" xfId="15199" xr:uid="{00000000-0005-0000-0000-0000B8270000}"/>
    <cellStyle name="Normal 2 6 23" xfId="3024" xr:uid="{00000000-0005-0000-0000-0000B9270000}"/>
    <cellStyle name="Normal 2 6 23 2" xfId="15200" xr:uid="{00000000-0005-0000-0000-0000BA270000}"/>
    <cellStyle name="Normal 2 6 24" xfId="3025" xr:uid="{00000000-0005-0000-0000-0000BB270000}"/>
    <cellStyle name="Normal 2 6 24 2" xfId="15201" xr:uid="{00000000-0005-0000-0000-0000BC270000}"/>
    <cellStyle name="Normal 2 6 25" xfId="3026" xr:uid="{00000000-0005-0000-0000-0000BD270000}"/>
    <cellStyle name="Normal 2 6 25 2" xfId="15202" xr:uid="{00000000-0005-0000-0000-0000BE270000}"/>
    <cellStyle name="Normal 2 6 26" xfId="3027" xr:uid="{00000000-0005-0000-0000-0000BF270000}"/>
    <cellStyle name="Normal 2 6 26 2" xfId="15203" xr:uid="{00000000-0005-0000-0000-0000C0270000}"/>
    <cellStyle name="Normal 2 6 27" xfId="3028" xr:uid="{00000000-0005-0000-0000-0000C1270000}"/>
    <cellStyle name="Normal 2 6 27 2" xfId="15204" xr:uid="{00000000-0005-0000-0000-0000C2270000}"/>
    <cellStyle name="Normal 2 6 28" xfId="3029" xr:uid="{00000000-0005-0000-0000-0000C3270000}"/>
    <cellStyle name="Normal 2 6 28 2" xfId="15205" xr:uid="{00000000-0005-0000-0000-0000C4270000}"/>
    <cellStyle name="Normal 2 6 29" xfId="15044" xr:uid="{00000000-0005-0000-0000-0000C5270000}"/>
    <cellStyle name="Normal 2 6 3" xfId="706" xr:uid="{00000000-0005-0000-0000-0000C6270000}"/>
    <cellStyle name="Normal 2 6 3 2" xfId="15206" xr:uid="{00000000-0005-0000-0000-0000C7270000}"/>
    <cellStyle name="Normal 2 6 3 3" xfId="3030" xr:uid="{00000000-0005-0000-0000-0000C8270000}"/>
    <cellStyle name="Normal 2 6 4" xfId="333" xr:uid="{00000000-0005-0000-0000-0000C9270000}"/>
    <cellStyle name="Normal 2 6 4 2" xfId="15207" xr:uid="{00000000-0005-0000-0000-0000CA270000}"/>
    <cellStyle name="Normal 2 6 5" xfId="3031" xr:uid="{00000000-0005-0000-0000-0000CB270000}"/>
    <cellStyle name="Normal 2 6 5 2" xfId="15208" xr:uid="{00000000-0005-0000-0000-0000CC270000}"/>
    <cellStyle name="Normal 2 6 6" xfId="3032" xr:uid="{00000000-0005-0000-0000-0000CD270000}"/>
    <cellStyle name="Normal 2 6 6 2" xfId="15209" xr:uid="{00000000-0005-0000-0000-0000CE270000}"/>
    <cellStyle name="Normal 2 6 7" xfId="3033" xr:uid="{00000000-0005-0000-0000-0000CF270000}"/>
    <cellStyle name="Normal 2 6 7 2" xfId="15210" xr:uid="{00000000-0005-0000-0000-0000D0270000}"/>
    <cellStyle name="Normal 2 6 8" xfId="3034" xr:uid="{00000000-0005-0000-0000-0000D1270000}"/>
    <cellStyle name="Normal 2 6 8 2" xfId="15211" xr:uid="{00000000-0005-0000-0000-0000D2270000}"/>
    <cellStyle name="Normal 2 6 9" xfId="3035" xr:uid="{00000000-0005-0000-0000-0000D3270000}"/>
    <cellStyle name="Normal 2 6 9 2" xfId="15212" xr:uid="{00000000-0005-0000-0000-0000D4270000}"/>
    <cellStyle name="Normal 2 60" xfId="6297" xr:uid="{00000000-0005-0000-0000-0000D5270000}"/>
    <cellStyle name="Normal 2 60 2" xfId="18373" xr:uid="{00000000-0005-0000-0000-0000D6270000}"/>
    <cellStyle name="Normal 2 61" xfId="6298" xr:uid="{00000000-0005-0000-0000-0000D7270000}"/>
    <cellStyle name="Normal 2 61 2" xfId="18374" xr:uid="{00000000-0005-0000-0000-0000D8270000}"/>
    <cellStyle name="Normal 2 62" xfId="6299" xr:uid="{00000000-0005-0000-0000-0000D9270000}"/>
    <cellStyle name="Normal 2 62 2" xfId="18375" xr:uid="{00000000-0005-0000-0000-0000DA270000}"/>
    <cellStyle name="Normal 2 63" xfId="6300" xr:uid="{00000000-0005-0000-0000-0000DB270000}"/>
    <cellStyle name="Normal 2 63 2" xfId="18376" xr:uid="{00000000-0005-0000-0000-0000DC270000}"/>
    <cellStyle name="Normal 2 64" xfId="6301" xr:uid="{00000000-0005-0000-0000-0000DD270000}"/>
    <cellStyle name="Normal 2 64 2" xfId="18377" xr:uid="{00000000-0005-0000-0000-0000DE270000}"/>
    <cellStyle name="Normal 2 65" xfId="6302" xr:uid="{00000000-0005-0000-0000-0000DF270000}"/>
    <cellStyle name="Normal 2 65 2" xfId="18378" xr:uid="{00000000-0005-0000-0000-0000E0270000}"/>
    <cellStyle name="Normal 2 66" xfId="6303" xr:uid="{00000000-0005-0000-0000-0000E1270000}"/>
    <cellStyle name="Normal 2 66 2" xfId="18379" xr:uid="{00000000-0005-0000-0000-0000E2270000}"/>
    <cellStyle name="Normal 2 67" xfId="6304" xr:uid="{00000000-0005-0000-0000-0000E3270000}"/>
    <cellStyle name="Normal 2 67 2" xfId="18380" xr:uid="{00000000-0005-0000-0000-0000E4270000}"/>
    <cellStyle name="Normal 2 68" xfId="6305" xr:uid="{00000000-0005-0000-0000-0000E5270000}"/>
    <cellStyle name="Normal 2 68 2" xfId="18381" xr:uid="{00000000-0005-0000-0000-0000E6270000}"/>
    <cellStyle name="Normal 2 69" xfId="6306" xr:uid="{00000000-0005-0000-0000-0000E7270000}"/>
    <cellStyle name="Normal 2 69 2" xfId="18382" xr:uid="{00000000-0005-0000-0000-0000E8270000}"/>
    <cellStyle name="Normal 2 7" xfId="105" xr:uid="{00000000-0005-0000-0000-0000E9270000}"/>
    <cellStyle name="Normal 2 7 10" xfId="3036" xr:uid="{00000000-0005-0000-0000-0000EA270000}"/>
    <cellStyle name="Normal 2 7 10 2" xfId="15213" xr:uid="{00000000-0005-0000-0000-0000EB270000}"/>
    <cellStyle name="Normal 2 7 11" xfId="3037" xr:uid="{00000000-0005-0000-0000-0000EC270000}"/>
    <cellStyle name="Normal 2 7 11 2" xfId="15214" xr:uid="{00000000-0005-0000-0000-0000ED270000}"/>
    <cellStyle name="Normal 2 7 12" xfId="3038" xr:uid="{00000000-0005-0000-0000-0000EE270000}"/>
    <cellStyle name="Normal 2 7 12 2" xfId="15215" xr:uid="{00000000-0005-0000-0000-0000EF270000}"/>
    <cellStyle name="Normal 2 7 13" xfId="3039" xr:uid="{00000000-0005-0000-0000-0000F0270000}"/>
    <cellStyle name="Normal 2 7 13 2" xfId="15216" xr:uid="{00000000-0005-0000-0000-0000F1270000}"/>
    <cellStyle name="Normal 2 7 14" xfId="3040" xr:uid="{00000000-0005-0000-0000-0000F2270000}"/>
    <cellStyle name="Normal 2 7 14 2" xfId="15217" xr:uid="{00000000-0005-0000-0000-0000F3270000}"/>
    <cellStyle name="Normal 2 7 15" xfId="3041" xr:uid="{00000000-0005-0000-0000-0000F4270000}"/>
    <cellStyle name="Normal 2 7 15 2" xfId="15218" xr:uid="{00000000-0005-0000-0000-0000F5270000}"/>
    <cellStyle name="Normal 2 7 16" xfId="3042" xr:uid="{00000000-0005-0000-0000-0000F6270000}"/>
    <cellStyle name="Normal 2 7 16 2" xfId="15219" xr:uid="{00000000-0005-0000-0000-0000F7270000}"/>
    <cellStyle name="Normal 2 7 17" xfId="3043" xr:uid="{00000000-0005-0000-0000-0000F8270000}"/>
    <cellStyle name="Normal 2 7 17 2" xfId="15220" xr:uid="{00000000-0005-0000-0000-0000F9270000}"/>
    <cellStyle name="Normal 2 7 18" xfId="3044" xr:uid="{00000000-0005-0000-0000-0000FA270000}"/>
    <cellStyle name="Normal 2 7 18 2" xfId="15221" xr:uid="{00000000-0005-0000-0000-0000FB270000}"/>
    <cellStyle name="Normal 2 7 19" xfId="3045" xr:uid="{00000000-0005-0000-0000-0000FC270000}"/>
    <cellStyle name="Normal 2 7 19 2" xfId="15222" xr:uid="{00000000-0005-0000-0000-0000FD270000}"/>
    <cellStyle name="Normal 2 7 2" xfId="707" xr:uid="{00000000-0005-0000-0000-0000FE270000}"/>
    <cellStyle name="Normal 2 7 2 2" xfId="3047" xr:uid="{00000000-0005-0000-0000-0000FF270000}"/>
    <cellStyle name="Normal 2 7 2 2 2" xfId="15224" xr:uid="{00000000-0005-0000-0000-000000280000}"/>
    <cellStyle name="Normal 2 7 2 3" xfId="3048" xr:uid="{00000000-0005-0000-0000-000001280000}"/>
    <cellStyle name="Normal 2 7 2 3 2" xfId="15225" xr:uid="{00000000-0005-0000-0000-000002280000}"/>
    <cellStyle name="Normal 2 7 2 4" xfId="15223" xr:uid="{00000000-0005-0000-0000-000003280000}"/>
    <cellStyle name="Normal 2 7 2 5" xfId="3046" xr:uid="{00000000-0005-0000-0000-000004280000}"/>
    <cellStyle name="Normal 2 7 20" xfId="3049" xr:uid="{00000000-0005-0000-0000-000005280000}"/>
    <cellStyle name="Normal 2 7 20 2" xfId="15226" xr:uid="{00000000-0005-0000-0000-000006280000}"/>
    <cellStyle name="Normal 2 7 21" xfId="3050" xr:uid="{00000000-0005-0000-0000-000007280000}"/>
    <cellStyle name="Normal 2 7 21 2" xfId="15227" xr:uid="{00000000-0005-0000-0000-000008280000}"/>
    <cellStyle name="Normal 2 7 22" xfId="3051" xr:uid="{00000000-0005-0000-0000-000009280000}"/>
    <cellStyle name="Normal 2 7 22 2" xfId="15228" xr:uid="{00000000-0005-0000-0000-00000A280000}"/>
    <cellStyle name="Normal 2 7 23" xfId="3052" xr:uid="{00000000-0005-0000-0000-00000B280000}"/>
    <cellStyle name="Normal 2 7 23 2" xfId="15229" xr:uid="{00000000-0005-0000-0000-00000C280000}"/>
    <cellStyle name="Normal 2 7 24" xfId="3053" xr:uid="{00000000-0005-0000-0000-00000D280000}"/>
    <cellStyle name="Normal 2 7 24 2" xfId="15230" xr:uid="{00000000-0005-0000-0000-00000E280000}"/>
    <cellStyle name="Normal 2 7 25" xfId="3054" xr:uid="{00000000-0005-0000-0000-00000F280000}"/>
    <cellStyle name="Normal 2 7 25 2" xfId="15231" xr:uid="{00000000-0005-0000-0000-000010280000}"/>
    <cellStyle name="Normal 2 7 26" xfId="3055" xr:uid="{00000000-0005-0000-0000-000011280000}"/>
    <cellStyle name="Normal 2 7 26 2" xfId="15232" xr:uid="{00000000-0005-0000-0000-000012280000}"/>
    <cellStyle name="Normal 2 7 27" xfId="3056" xr:uid="{00000000-0005-0000-0000-000013280000}"/>
    <cellStyle name="Normal 2 7 27 2" xfId="15233" xr:uid="{00000000-0005-0000-0000-000014280000}"/>
    <cellStyle name="Normal 2 7 28" xfId="3057" xr:uid="{00000000-0005-0000-0000-000015280000}"/>
    <cellStyle name="Normal 2 7 28 2" xfId="15234" xr:uid="{00000000-0005-0000-0000-000016280000}"/>
    <cellStyle name="Normal 2 7 29" xfId="15045" xr:uid="{00000000-0005-0000-0000-000017280000}"/>
    <cellStyle name="Normal 2 7 3" xfId="334" xr:uid="{00000000-0005-0000-0000-000018280000}"/>
    <cellStyle name="Normal 2 7 3 2" xfId="15235" xr:uid="{00000000-0005-0000-0000-000019280000}"/>
    <cellStyle name="Normal 2 7 4" xfId="3058" xr:uid="{00000000-0005-0000-0000-00001A280000}"/>
    <cellStyle name="Normal 2 7 4 2" xfId="15236" xr:uid="{00000000-0005-0000-0000-00001B280000}"/>
    <cellStyle name="Normal 2 7 5" xfId="3059" xr:uid="{00000000-0005-0000-0000-00001C280000}"/>
    <cellStyle name="Normal 2 7 5 2" xfId="15237" xr:uid="{00000000-0005-0000-0000-00001D280000}"/>
    <cellStyle name="Normal 2 7 6" xfId="3060" xr:uid="{00000000-0005-0000-0000-00001E280000}"/>
    <cellStyle name="Normal 2 7 6 2" xfId="15238" xr:uid="{00000000-0005-0000-0000-00001F280000}"/>
    <cellStyle name="Normal 2 7 7" xfId="3061" xr:uid="{00000000-0005-0000-0000-000020280000}"/>
    <cellStyle name="Normal 2 7 7 2" xfId="15239" xr:uid="{00000000-0005-0000-0000-000021280000}"/>
    <cellStyle name="Normal 2 7 8" xfId="3062" xr:uid="{00000000-0005-0000-0000-000022280000}"/>
    <cellStyle name="Normal 2 7 8 2" xfId="15240" xr:uid="{00000000-0005-0000-0000-000023280000}"/>
    <cellStyle name="Normal 2 7 9" xfId="3063" xr:uid="{00000000-0005-0000-0000-000024280000}"/>
    <cellStyle name="Normal 2 7 9 2" xfId="15241" xr:uid="{00000000-0005-0000-0000-000025280000}"/>
    <cellStyle name="Normal 2 70" xfId="6307" xr:uid="{00000000-0005-0000-0000-000026280000}"/>
    <cellStyle name="Normal 2 70 2" xfId="18383" xr:uid="{00000000-0005-0000-0000-000027280000}"/>
    <cellStyle name="Normal 2 71" xfId="6308" xr:uid="{00000000-0005-0000-0000-000028280000}"/>
    <cellStyle name="Normal 2 71 2" xfId="18384" xr:uid="{00000000-0005-0000-0000-000029280000}"/>
    <cellStyle name="Normal 2 72" xfId="6309" xr:uid="{00000000-0005-0000-0000-00002A280000}"/>
    <cellStyle name="Normal 2 72 2" xfId="18385" xr:uid="{00000000-0005-0000-0000-00002B280000}"/>
    <cellStyle name="Normal 2 73" xfId="6310" xr:uid="{00000000-0005-0000-0000-00002C280000}"/>
    <cellStyle name="Normal 2 73 2" xfId="18386" xr:uid="{00000000-0005-0000-0000-00002D280000}"/>
    <cellStyle name="Normal 2 74" xfId="6311" xr:uid="{00000000-0005-0000-0000-00002E280000}"/>
    <cellStyle name="Normal 2 74 2" xfId="18387" xr:uid="{00000000-0005-0000-0000-00002F280000}"/>
    <cellStyle name="Normal 2 75" xfId="6312" xr:uid="{00000000-0005-0000-0000-000030280000}"/>
    <cellStyle name="Normal 2 75 2" xfId="18388" xr:uid="{00000000-0005-0000-0000-000031280000}"/>
    <cellStyle name="Normal 2 76" xfId="6313" xr:uid="{00000000-0005-0000-0000-000032280000}"/>
    <cellStyle name="Normal 2 76 2" xfId="18389" xr:uid="{00000000-0005-0000-0000-000033280000}"/>
    <cellStyle name="Normal 2 77" xfId="6314" xr:uid="{00000000-0005-0000-0000-000034280000}"/>
    <cellStyle name="Normal 2 77 2" xfId="18390" xr:uid="{00000000-0005-0000-0000-000035280000}"/>
    <cellStyle name="Normal 2 78" xfId="6315" xr:uid="{00000000-0005-0000-0000-000036280000}"/>
    <cellStyle name="Normal 2 78 2" xfId="18391" xr:uid="{00000000-0005-0000-0000-000037280000}"/>
    <cellStyle name="Normal 2 79" xfId="6316" xr:uid="{00000000-0005-0000-0000-000038280000}"/>
    <cellStyle name="Normal 2 79 2" xfId="18392" xr:uid="{00000000-0005-0000-0000-000039280000}"/>
    <cellStyle name="Normal 2 8" xfId="120" xr:uid="{00000000-0005-0000-0000-00003A280000}"/>
    <cellStyle name="Normal 2 8 10" xfId="3064" xr:uid="{00000000-0005-0000-0000-00003B280000}"/>
    <cellStyle name="Normal 2 8 10 2" xfId="15242" xr:uid="{00000000-0005-0000-0000-00003C280000}"/>
    <cellStyle name="Normal 2 8 11" xfId="3065" xr:uid="{00000000-0005-0000-0000-00003D280000}"/>
    <cellStyle name="Normal 2 8 11 2" xfId="15243" xr:uid="{00000000-0005-0000-0000-00003E280000}"/>
    <cellStyle name="Normal 2 8 12" xfId="3066" xr:uid="{00000000-0005-0000-0000-00003F280000}"/>
    <cellStyle name="Normal 2 8 12 2" xfId="15244" xr:uid="{00000000-0005-0000-0000-000040280000}"/>
    <cellStyle name="Normal 2 8 13" xfId="3067" xr:uid="{00000000-0005-0000-0000-000041280000}"/>
    <cellStyle name="Normal 2 8 13 2" xfId="15245" xr:uid="{00000000-0005-0000-0000-000042280000}"/>
    <cellStyle name="Normal 2 8 14" xfId="3068" xr:uid="{00000000-0005-0000-0000-000043280000}"/>
    <cellStyle name="Normal 2 8 14 2" xfId="15246" xr:uid="{00000000-0005-0000-0000-000044280000}"/>
    <cellStyle name="Normal 2 8 15" xfId="3069" xr:uid="{00000000-0005-0000-0000-000045280000}"/>
    <cellStyle name="Normal 2 8 15 2" xfId="15247" xr:uid="{00000000-0005-0000-0000-000046280000}"/>
    <cellStyle name="Normal 2 8 16" xfId="3070" xr:uid="{00000000-0005-0000-0000-000047280000}"/>
    <cellStyle name="Normal 2 8 16 2" xfId="15248" xr:uid="{00000000-0005-0000-0000-000048280000}"/>
    <cellStyle name="Normal 2 8 17" xfId="3071" xr:uid="{00000000-0005-0000-0000-000049280000}"/>
    <cellStyle name="Normal 2 8 17 2" xfId="15249" xr:uid="{00000000-0005-0000-0000-00004A280000}"/>
    <cellStyle name="Normal 2 8 18" xfId="3072" xr:uid="{00000000-0005-0000-0000-00004B280000}"/>
    <cellStyle name="Normal 2 8 18 2" xfId="15250" xr:uid="{00000000-0005-0000-0000-00004C280000}"/>
    <cellStyle name="Normal 2 8 19" xfId="3073" xr:uid="{00000000-0005-0000-0000-00004D280000}"/>
    <cellStyle name="Normal 2 8 19 2" xfId="15251" xr:uid="{00000000-0005-0000-0000-00004E280000}"/>
    <cellStyle name="Normal 2 8 2" xfId="803" xr:uid="{00000000-0005-0000-0000-00004F280000}"/>
    <cellStyle name="Normal 2 8 2 2" xfId="3074" xr:uid="{00000000-0005-0000-0000-000050280000}"/>
    <cellStyle name="Normal 2 8 2 2 2" xfId="15253" xr:uid="{00000000-0005-0000-0000-000051280000}"/>
    <cellStyle name="Normal 2 8 2 3" xfId="3075" xr:uid="{00000000-0005-0000-0000-000052280000}"/>
    <cellStyle name="Normal 2 8 2 3 2" xfId="15254" xr:uid="{00000000-0005-0000-0000-000053280000}"/>
    <cellStyle name="Normal 2 8 2 4" xfId="15252" xr:uid="{00000000-0005-0000-0000-000054280000}"/>
    <cellStyle name="Normal 2 8 20" xfId="3076" xr:uid="{00000000-0005-0000-0000-000055280000}"/>
    <cellStyle name="Normal 2 8 20 2" xfId="15255" xr:uid="{00000000-0005-0000-0000-000056280000}"/>
    <cellStyle name="Normal 2 8 21" xfId="3077" xr:uid="{00000000-0005-0000-0000-000057280000}"/>
    <cellStyle name="Normal 2 8 21 2" xfId="15256" xr:uid="{00000000-0005-0000-0000-000058280000}"/>
    <cellStyle name="Normal 2 8 22" xfId="3078" xr:uid="{00000000-0005-0000-0000-000059280000}"/>
    <cellStyle name="Normal 2 8 22 2" xfId="15257" xr:uid="{00000000-0005-0000-0000-00005A280000}"/>
    <cellStyle name="Normal 2 8 23" xfId="3079" xr:uid="{00000000-0005-0000-0000-00005B280000}"/>
    <cellStyle name="Normal 2 8 23 2" xfId="15258" xr:uid="{00000000-0005-0000-0000-00005C280000}"/>
    <cellStyle name="Normal 2 8 24" xfId="3080" xr:uid="{00000000-0005-0000-0000-00005D280000}"/>
    <cellStyle name="Normal 2 8 24 2" xfId="15259" xr:uid="{00000000-0005-0000-0000-00005E280000}"/>
    <cellStyle name="Normal 2 8 25" xfId="3081" xr:uid="{00000000-0005-0000-0000-00005F280000}"/>
    <cellStyle name="Normal 2 8 25 2" xfId="15260" xr:uid="{00000000-0005-0000-0000-000060280000}"/>
    <cellStyle name="Normal 2 8 26" xfId="3082" xr:uid="{00000000-0005-0000-0000-000061280000}"/>
    <cellStyle name="Normal 2 8 26 2" xfId="15261" xr:uid="{00000000-0005-0000-0000-000062280000}"/>
    <cellStyle name="Normal 2 8 27" xfId="3083" xr:uid="{00000000-0005-0000-0000-000063280000}"/>
    <cellStyle name="Normal 2 8 27 2" xfId="15262" xr:uid="{00000000-0005-0000-0000-000064280000}"/>
    <cellStyle name="Normal 2 8 28" xfId="3084" xr:uid="{00000000-0005-0000-0000-000065280000}"/>
    <cellStyle name="Normal 2 8 28 2" xfId="15263" xr:uid="{00000000-0005-0000-0000-000066280000}"/>
    <cellStyle name="Normal 2 8 29" xfId="15046" xr:uid="{00000000-0005-0000-0000-000067280000}"/>
    <cellStyle name="Normal 2 8 3" xfId="708" xr:uid="{00000000-0005-0000-0000-000068280000}"/>
    <cellStyle name="Normal 2 8 3 2" xfId="15264" xr:uid="{00000000-0005-0000-0000-000069280000}"/>
    <cellStyle name="Normal 2 8 3 3" xfId="3085" xr:uid="{00000000-0005-0000-0000-00006A280000}"/>
    <cellStyle name="Normal 2 8 4" xfId="335" xr:uid="{00000000-0005-0000-0000-00006B280000}"/>
    <cellStyle name="Normal 2 8 4 2" xfId="15265" xr:uid="{00000000-0005-0000-0000-00006C280000}"/>
    <cellStyle name="Normal 2 8 5" xfId="3086" xr:uid="{00000000-0005-0000-0000-00006D280000}"/>
    <cellStyle name="Normal 2 8 5 2" xfId="15266" xr:uid="{00000000-0005-0000-0000-00006E280000}"/>
    <cellStyle name="Normal 2 8 6" xfId="3087" xr:uid="{00000000-0005-0000-0000-00006F280000}"/>
    <cellStyle name="Normal 2 8 6 2" xfId="15267" xr:uid="{00000000-0005-0000-0000-000070280000}"/>
    <cellStyle name="Normal 2 8 7" xfId="3088" xr:uid="{00000000-0005-0000-0000-000071280000}"/>
    <cellStyle name="Normal 2 8 7 2" xfId="15268" xr:uid="{00000000-0005-0000-0000-000072280000}"/>
    <cellStyle name="Normal 2 8 8" xfId="3089" xr:uid="{00000000-0005-0000-0000-000073280000}"/>
    <cellStyle name="Normal 2 8 8 2" xfId="15269" xr:uid="{00000000-0005-0000-0000-000074280000}"/>
    <cellStyle name="Normal 2 8 9" xfId="3090" xr:uid="{00000000-0005-0000-0000-000075280000}"/>
    <cellStyle name="Normal 2 8 9 2" xfId="15270" xr:uid="{00000000-0005-0000-0000-000076280000}"/>
    <cellStyle name="Normal 2 80" xfId="6317" xr:uid="{00000000-0005-0000-0000-000077280000}"/>
    <cellStyle name="Normal 2 80 2" xfId="18393" xr:uid="{00000000-0005-0000-0000-000078280000}"/>
    <cellStyle name="Normal 2 81" xfId="6318" xr:uid="{00000000-0005-0000-0000-000079280000}"/>
    <cellStyle name="Normal 2 81 2" xfId="18394" xr:uid="{00000000-0005-0000-0000-00007A280000}"/>
    <cellStyle name="Normal 2 82" xfId="6319" xr:uid="{00000000-0005-0000-0000-00007B280000}"/>
    <cellStyle name="Normal 2 82 2" xfId="18395" xr:uid="{00000000-0005-0000-0000-00007C280000}"/>
    <cellStyle name="Normal 2 83" xfId="28305" xr:uid="{00000000-0005-0000-0000-00007D280000}"/>
    <cellStyle name="Normal 2 9" xfId="122" xr:uid="{00000000-0005-0000-0000-00007E280000}"/>
    <cellStyle name="Normal 2 9 10" xfId="3091" xr:uid="{00000000-0005-0000-0000-00007F280000}"/>
    <cellStyle name="Normal 2 9 10 2" xfId="15271" xr:uid="{00000000-0005-0000-0000-000080280000}"/>
    <cellStyle name="Normal 2 9 11" xfId="3092" xr:uid="{00000000-0005-0000-0000-000081280000}"/>
    <cellStyle name="Normal 2 9 11 2" xfId="15272" xr:uid="{00000000-0005-0000-0000-000082280000}"/>
    <cellStyle name="Normal 2 9 12" xfId="3093" xr:uid="{00000000-0005-0000-0000-000083280000}"/>
    <cellStyle name="Normal 2 9 12 2" xfId="15273" xr:uid="{00000000-0005-0000-0000-000084280000}"/>
    <cellStyle name="Normal 2 9 13" xfId="3094" xr:uid="{00000000-0005-0000-0000-000085280000}"/>
    <cellStyle name="Normal 2 9 13 2" xfId="15274" xr:uid="{00000000-0005-0000-0000-000086280000}"/>
    <cellStyle name="Normal 2 9 14" xfId="3095" xr:uid="{00000000-0005-0000-0000-000087280000}"/>
    <cellStyle name="Normal 2 9 14 2" xfId="15275" xr:uid="{00000000-0005-0000-0000-000088280000}"/>
    <cellStyle name="Normal 2 9 15" xfId="3096" xr:uid="{00000000-0005-0000-0000-000089280000}"/>
    <cellStyle name="Normal 2 9 15 2" xfId="15276" xr:uid="{00000000-0005-0000-0000-00008A280000}"/>
    <cellStyle name="Normal 2 9 16" xfId="3097" xr:uid="{00000000-0005-0000-0000-00008B280000}"/>
    <cellStyle name="Normal 2 9 16 2" xfId="15277" xr:uid="{00000000-0005-0000-0000-00008C280000}"/>
    <cellStyle name="Normal 2 9 17" xfId="3098" xr:uid="{00000000-0005-0000-0000-00008D280000}"/>
    <cellStyle name="Normal 2 9 17 2" xfId="15278" xr:uid="{00000000-0005-0000-0000-00008E280000}"/>
    <cellStyle name="Normal 2 9 18" xfId="3099" xr:uid="{00000000-0005-0000-0000-00008F280000}"/>
    <cellStyle name="Normal 2 9 18 2" xfId="15279" xr:uid="{00000000-0005-0000-0000-000090280000}"/>
    <cellStyle name="Normal 2 9 19" xfId="3100" xr:uid="{00000000-0005-0000-0000-000091280000}"/>
    <cellStyle name="Normal 2 9 19 2" xfId="15280" xr:uid="{00000000-0005-0000-0000-000092280000}"/>
    <cellStyle name="Normal 2 9 2" xfId="804" xr:uid="{00000000-0005-0000-0000-000093280000}"/>
    <cellStyle name="Normal 2 9 2 2" xfId="3101" xr:uid="{00000000-0005-0000-0000-000094280000}"/>
    <cellStyle name="Normal 2 9 2 2 2" xfId="15282" xr:uid="{00000000-0005-0000-0000-000095280000}"/>
    <cellStyle name="Normal 2 9 2 3" xfId="3102" xr:uid="{00000000-0005-0000-0000-000096280000}"/>
    <cellStyle name="Normal 2 9 2 3 2" xfId="15283" xr:uid="{00000000-0005-0000-0000-000097280000}"/>
    <cellStyle name="Normal 2 9 2 4" xfId="15281" xr:uid="{00000000-0005-0000-0000-000098280000}"/>
    <cellStyle name="Normal 2 9 20" xfId="3103" xr:uid="{00000000-0005-0000-0000-000099280000}"/>
    <cellStyle name="Normal 2 9 20 2" xfId="15284" xr:uid="{00000000-0005-0000-0000-00009A280000}"/>
    <cellStyle name="Normal 2 9 21" xfId="3104" xr:uid="{00000000-0005-0000-0000-00009B280000}"/>
    <cellStyle name="Normal 2 9 21 2" xfId="15285" xr:uid="{00000000-0005-0000-0000-00009C280000}"/>
    <cellStyle name="Normal 2 9 22" xfId="3105" xr:uid="{00000000-0005-0000-0000-00009D280000}"/>
    <cellStyle name="Normal 2 9 22 2" xfId="15286" xr:uid="{00000000-0005-0000-0000-00009E280000}"/>
    <cellStyle name="Normal 2 9 23" xfId="3106" xr:uid="{00000000-0005-0000-0000-00009F280000}"/>
    <cellStyle name="Normal 2 9 23 2" xfId="15287" xr:uid="{00000000-0005-0000-0000-0000A0280000}"/>
    <cellStyle name="Normal 2 9 24" xfId="3107" xr:uid="{00000000-0005-0000-0000-0000A1280000}"/>
    <cellStyle name="Normal 2 9 24 2" xfId="15288" xr:uid="{00000000-0005-0000-0000-0000A2280000}"/>
    <cellStyle name="Normal 2 9 25" xfId="3108" xr:uid="{00000000-0005-0000-0000-0000A3280000}"/>
    <cellStyle name="Normal 2 9 25 2" xfId="15289" xr:uid="{00000000-0005-0000-0000-0000A4280000}"/>
    <cellStyle name="Normal 2 9 26" xfId="3109" xr:uid="{00000000-0005-0000-0000-0000A5280000}"/>
    <cellStyle name="Normal 2 9 26 2" xfId="15290" xr:uid="{00000000-0005-0000-0000-0000A6280000}"/>
    <cellStyle name="Normal 2 9 27" xfId="3110" xr:uid="{00000000-0005-0000-0000-0000A7280000}"/>
    <cellStyle name="Normal 2 9 27 2" xfId="15291" xr:uid="{00000000-0005-0000-0000-0000A8280000}"/>
    <cellStyle name="Normal 2 9 28" xfId="3111" xr:uid="{00000000-0005-0000-0000-0000A9280000}"/>
    <cellStyle name="Normal 2 9 28 2" xfId="15292" xr:uid="{00000000-0005-0000-0000-0000AA280000}"/>
    <cellStyle name="Normal 2 9 29" xfId="15047" xr:uid="{00000000-0005-0000-0000-0000AB280000}"/>
    <cellStyle name="Normal 2 9 3" xfId="709" xr:uid="{00000000-0005-0000-0000-0000AC280000}"/>
    <cellStyle name="Normal 2 9 3 2" xfId="15293" xr:uid="{00000000-0005-0000-0000-0000AD280000}"/>
    <cellStyle name="Normal 2 9 3 3" xfId="3112" xr:uid="{00000000-0005-0000-0000-0000AE280000}"/>
    <cellStyle name="Normal 2 9 4" xfId="336" xr:uid="{00000000-0005-0000-0000-0000AF280000}"/>
    <cellStyle name="Normal 2 9 4 2" xfId="15294" xr:uid="{00000000-0005-0000-0000-0000B0280000}"/>
    <cellStyle name="Normal 2 9 5" xfId="3113" xr:uid="{00000000-0005-0000-0000-0000B1280000}"/>
    <cellStyle name="Normal 2 9 5 2" xfId="15295" xr:uid="{00000000-0005-0000-0000-0000B2280000}"/>
    <cellStyle name="Normal 2 9 6" xfId="3114" xr:uid="{00000000-0005-0000-0000-0000B3280000}"/>
    <cellStyle name="Normal 2 9 6 2" xfId="15296" xr:uid="{00000000-0005-0000-0000-0000B4280000}"/>
    <cellStyle name="Normal 2 9 7" xfId="3115" xr:uid="{00000000-0005-0000-0000-0000B5280000}"/>
    <cellStyle name="Normal 2 9 7 2" xfId="15297" xr:uid="{00000000-0005-0000-0000-0000B6280000}"/>
    <cellStyle name="Normal 2 9 8" xfId="3116" xr:uid="{00000000-0005-0000-0000-0000B7280000}"/>
    <cellStyle name="Normal 2 9 8 2" xfId="15298" xr:uid="{00000000-0005-0000-0000-0000B8280000}"/>
    <cellStyle name="Normal 2 9 9" xfId="3117" xr:uid="{00000000-0005-0000-0000-0000B9280000}"/>
    <cellStyle name="Normal 2 9 9 2" xfId="15299" xr:uid="{00000000-0005-0000-0000-0000BA280000}"/>
    <cellStyle name="Normal 2_Master List" xfId="99" xr:uid="{00000000-0005-0000-0000-0000BB280000}"/>
    <cellStyle name="Normal 20" xfId="62" xr:uid="{00000000-0005-0000-0000-0000BC280000}"/>
    <cellStyle name="Normal 20 10" xfId="6320" xr:uid="{00000000-0005-0000-0000-0000BD280000}"/>
    <cellStyle name="Normal 20 10 2" xfId="18397" xr:uid="{00000000-0005-0000-0000-0000BE280000}"/>
    <cellStyle name="Normal 20 11" xfId="6321" xr:uid="{00000000-0005-0000-0000-0000BF280000}"/>
    <cellStyle name="Normal 20 11 2" xfId="18398" xr:uid="{00000000-0005-0000-0000-0000C0280000}"/>
    <cellStyle name="Normal 20 12" xfId="6322" xr:uid="{00000000-0005-0000-0000-0000C1280000}"/>
    <cellStyle name="Normal 20 12 2" xfId="18399" xr:uid="{00000000-0005-0000-0000-0000C2280000}"/>
    <cellStyle name="Normal 20 13" xfId="6323" xr:uid="{00000000-0005-0000-0000-0000C3280000}"/>
    <cellStyle name="Normal 20 13 2" xfId="18400" xr:uid="{00000000-0005-0000-0000-0000C4280000}"/>
    <cellStyle name="Normal 20 14" xfId="6324" xr:uid="{00000000-0005-0000-0000-0000C5280000}"/>
    <cellStyle name="Normal 20 14 2" xfId="18401" xr:uid="{00000000-0005-0000-0000-0000C6280000}"/>
    <cellStyle name="Normal 20 15" xfId="6325" xr:uid="{00000000-0005-0000-0000-0000C7280000}"/>
    <cellStyle name="Normal 20 15 2" xfId="18402" xr:uid="{00000000-0005-0000-0000-0000C8280000}"/>
    <cellStyle name="Normal 20 16" xfId="6326" xr:uid="{00000000-0005-0000-0000-0000C9280000}"/>
    <cellStyle name="Normal 20 16 2" xfId="18403" xr:uid="{00000000-0005-0000-0000-0000CA280000}"/>
    <cellStyle name="Normal 20 17" xfId="6327" xr:uid="{00000000-0005-0000-0000-0000CB280000}"/>
    <cellStyle name="Normal 20 17 2" xfId="18404" xr:uid="{00000000-0005-0000-0000-0000CC280000}"/>
    <cellStyle name="Normal 20 18" xfId="6328" xr:uid="{00000000-0005-0000-0000-0000CD280000}"/>
    <cellStyle name="Normal 20 18 2" xfId="18405" xr:uid="{00000000-0005-0000-0000-0000CE280000}"/>
    <cellStyle name="Normal 20 19" xfId="6329" xr:uid="{00000000-0005-0000-0000-0000CF280000}"/>
    <cellStyle name="Normal 20 19 2" xfId="18406" xr:uid="{00000000-0005-0000-0000-0000D0280000}"/>
    <cellStyle name="Normal 20 2" xfId="165" xr:uid="{00000000-0005-0000-0000-0000D1280000}"/>
    <cellStyle name="Normal 20 2 10" xfId="6331" xr:uid="{00000000-0005-0000-0000-0000D2280000}"/>
    <cellStyle name="Normal 20 2 10 2" xfId="18408" xr:uid="{00000000-0005-0000-0000-0000D3280000}"/>
    <cellStyle name="Normal 20 2 11" xfId="6332" xr:uid="{00000000-0005-0000-0000-0000D4280000}"/>
    <cellStyle name="Normal 20 2 11 2" xfId="18409" xr:uid="{00000000-0005-0000-0000-0000D5280000}"/>
    <cellStyle name="Normal 20 2 12" xfId="6333" xr:uid="{00000000-0005-0000-0000-0000D6280000}"/>
    <cellStyle name="Normal 20 2 12 2" xfId="18410" xr:uid="{00000000-0005-0000-0000-0000D7280000}"/>
    <cellStyle name="Normal 20 2 13" xfId="6334" xr:uid="{00000000-0005-0000-0000-0000D8280000}"/>
    <cellStyle name="Normal 20 2 13 2" xfId="18411" xr:uid="{00000000-0005-0000-0000-0000D9280000}"/>
    <cellStyle name="Normal 20 2 14" xfId="6335" xr:uid="{00000000-0005-0000-0000-0000DA280000}"/>
    <cellStyle name="Normal 20 2 14 2" xfId="18412" xr:uid="{00000000-0005-0000-0000-0000DB280000}"/>
    <cellStyle name="Normal 20 2 15" xfId="6336" xr:uid="{00000000-0005-0000-0000-0000DC280000}"/>
    <cellStyle name="Normal 20 2 15 2" xfId="18413" xr:uid="{00000000-0005-0000-0000-0000DD280000}"/>
    <cellStyle name="Normal 20 2 16" xfId="6337" xr:uid="{00000000-0005-0000-0000-0000DE280000}"/>
    <cellStyle name="Normal 20 2 16 2" xfId="18414" xr:uid="{00000000-0005-0000-0000-0000DF280000}"/>
    <cellStyle name="Normal 20 2 17" xfId="6338" xr:uid="{00000000-0005-0000-0000-0000E0280000}"/>
    <cellStyle name="Normal 20 2 17 2" xfId="18415" xr:uid="{00000000-0005-0000-0000-0000E1280000}"/>
    <cellStyle name="Normal 20 2 18" xfId="6339" xr:uid="{00000000-0005-0000-0000-0000E2280000}"/>
    <cellStyle name="Normal 20 2 18 2" xfId="18416" xr:uid="{00000000-0005-0000-0000-0000E3280000}"/>
    <cellStyle name="Normal 20 2 19" xfId="6340" xr:uid="{00000000-0005-0000-0000-0000E4280000}"/>
    <cellStyle name="Normal 20 2 19 2" xfId="18417" xr:uid="{00000000-0005-0000-0000-0000E5280000}"/>
    <cellStyle name="Normal 20 2 2" xfId="6341" xr:uid="{00000000-0005-0000-0000-0000E6280000}"/>
    <cellStyle name="Normal 20 2 2 2" xfId="18418" xr:uid="{00000000-0005-0000-0000-0000E7280000}"/>
    <cellStyle name="Normal 20 2 20" xfId="6342" xr:uid="{00000000-0005-0000-0000-0000E8280000}"/>
    <cellStyle name="Normal 20 2 20 2" xfId="18419" xr:uid="{00000000-0005-0000-0000-0000E9280000}"/>
    <cellStyle name="Normal 20 2 21" xfId="6343" xr:uid="{00000000-0005-0000-0000-0000EA280000}"/>
    <cellStyle name="Normal 20 2 21 2" xfId="18420" xr:uid="{00000000-0005-0000-0000-0000EB280000}"/>
    <cellStyle name="Normal 20 2 22" xfId="6344" xr:uid="{00000000-0005-0000-0000-0000EC280000}"/>
    <cellStyle name="Normal 20 2 22 2" xfId="18421" xr:uid="{00000000-0005-0000-0000-0000ED280000}"/>
    <cellStyle name="Normal 20 2 23" xfId="6345" xr:uid="{00000000-0005-0000-0000-0000EE280000}"/>
    <cellStyle name="Normal 20 2 23 2" xfId="18422" xr:uid="{00000000-0005-0000-0000-0000EF280000}"/>
    <cellStyle name="Normal 20 2 24" xfId="6346" xr:uid="{00000000-0005-0000-0000-0000F0280000}"/>
    <cellStyle name="Normal 20 2 24 2" xfId="18423" xr:uid="{00000000-0005-0000-0000-0000F1280000}"/>
    <cellStyle name="Normal 20 2 25" xfId="6347" xr:uid="{00000000-0005-0000-0000-0000F2280000}"/>
    <cellStyle name="Normal 20 2 25 2" xfId="18424" xr:uid="{00000000-0005-0000-0000-0000F3280000}"/>
    <cellStyle name="Normal 20 2 26" xfId="6348" xr:uid="{00000000-0005-0000-0000-0000F4280000}"/>
    <cellStyle name="Normal 20 2 26 2" xfId="18425" xr:uid="{00000000-0005-0000-0000-0000F5280000}"/>
    <cellStyle name="Normal 20 2 27" xfId="6349" xr:uid="{00000000-0005-0000-0000-0000F6280000}"/>
    <cellStyle name="Normal 20 2 27 2" xfId="18426" xr:uid="{00000000-0005-0000-0000-0000F7280000}"/>
    <cellStyle name="Normal 20 2 28" xfId="6350" xr:uid="{00000000-0005-0000-0000-0000F8280000}"/>
    <cellStyle name="Normal 20 2 28 2" xfId="18427" xr:uid="{00000000-0005-0000-0000-0000F9280000}"/>
    <cellStyle name="Normal 20 2 29" xfId="6351" xr:uid="{00000000-0005-0000-0000-0000FA280000}"/>
    <cellStyle name="Normal 20 2 29 2" xfId="18428" xr:uid="{00000000-0005-0000-0000-0000FB280000}"/>
    <cellStyle name="Normal 20 2 3" xfId="6352" xr:uid="{00000000-0005-0000-0000-0000FC280000}"/>
    <cellStyle name="Normal 20 2 3 2" xfId="18429" xr:uid="{00000000-0005-0000-0000-0000FD280000}"/>
    <cellStyle name="Normal 20 2 30" xfId="6353" xr:uid="{00000000-0005-0000-0000-0000FE280000}"/>
    <cellStyle name="Normal 20 2 30 2" xfId="18430" xr:uid="{00000000-0005-0000-0000-0000FF280000}"/>
    <cellStyle name="Normal 20 2 31" xfId="6354" xr:uid="{00000000-0005-0000-0000-000000290000}"/>
    <cellStyle name="Normal 20 2 31 2" xfId="18431" xr:uid="{00000000-0005-0000-0000-000001290000}"/>
    <cellStyle name="Normal 20 2 32" xfId="6355" xr:uid="{00000000-0005-0000-0000-000002290000}"/>
    <cellStyle name="Normal 20 2 32 2" xfId="18432" xr:uid="{00000000-0005-0000-0000-000003290000}"/>
    <cellStyle name="Normal 20 2 33" xfId="6356" xr:uid="{00000000-0005-0000-0000-000004290000}"/>
    <cellStyle name="Normal 20 2 33 2" xfId="18433" xr:uid="{00000000-0005-0000-0000-000005290000}"/>
    <cellStyle name="Normal 20 2 34" xfId="6357" xr:uid="{00000000-0005-0000-0000-000006290000}"/>
    <cellStyle name="Normal 20 2 34 2" xfId="18434" xr:uid="{00000000-0005-0000-0000-000007290000}"/>
    <cellStyle name="Normal 20 2 35" xfId="6358" xr:uid="{00000000-0005-0000-0000-000008290000}"/>
    <cellStyle name="Normal 20 2 35 2" xfId="18435" xr:uid="{00000000-0005-0000-0000-000009290000}"/>
    <cellStyle name="Normal 20 2 36" xfId="6359" xr:uid="{00000000-0005-0000-0000-00000A290000}"/>
    <cellStyle name="Normal 20 2 36 2" xfId="18436" xr:uid="{00000000-0005-0000-0000-00000B290000}"/>
    <cellStyle name="Normal 20 2 37" xfId="6360" xr:uid="{00000000-0005-0000-0000-00000C290000}"/>
    <cellStyle name="Normal 20 2 37 2" xfId="18437" xr:uid="{00000000-0005-0000-0000-00000D290000}"/>
    <cellStyle name="Normal 20 2 38" xfId="6361" xr:uid="{00000000-0005-0000-0000-00000E290000}"/>
    <cellStyle name="Normal 20 2 38 2" xfId="18438" xr:uid="{00000000-0005-0000-0000-00000F290000}"/>
    <cellStyle name="Normal 20 2 39" xfId="6362" xr:uid="{00000000-0005-0000-0000-000010290000}"/>
    <cellStyle name="Normal 20 2 39 2" xfId="18439" xr:uid="{00000000-0005-0000-0000-000011290000}"/>
    <cellStyle name="Normal 20 2 4" xfId="6363" xr:uid="{00000000-0005-0000-0000-000012290000}"/>
    <cellStyle name="Normal 20 2 4 2" xfId="18440" xr:uid="{00000000-0005-0000-0000-000013290000}"/>
    <cellStyle name="Normal 20 2 40" xfId="6364" xr:uid="{00000000-0005-0000-0000-000014290000}"/>
    <cellStyle name="Normal 20 2 40 2" xfId="18441" xr:uid="{00000000-0005-0000-0000-000015290000}"/>
    <cellStyle name="Normal 20 2 41" xfId="6365" xr:uid="{00000000-0005-0000-0000-000016290000}"/>
    <cellStyle name="Normal 20 2 41 2" xfId="18442" xr:uid="{00000000-0005-0000-0000-000017290000}"/>
    <cellStyle name="Normal 20 2 42" xfId="6366" xr:uid="{00000000-0005-0000-0000-000018290000}"/>
    <cellStyle name="Normal 20 2 42 2" xfId="18443" xr:uid="{00000000-0005-0000-0000-000019290000}"/>
    <cellStyle name="Normal 20 2 43" xfId="6367" xr:uid="{00000000-0005-0000-0000-00001A290000}"/>
    <cellStyle name="Normal 20 2 43 2" xfId="18444" xr:uid="{00000000-0005-0000-0000-00001B290000}"/>
    <cellStyle name="Normal 20 2 44" xfId="6368" xr:uid="{00000000-0005-0000-0000-00001C290000}"/>
    <cellStyle name="Normal 20 2 44 2" xfId="18445" xr:uid="{00000000-0005-0000-0000-00001D290000}"/>
    <cellStyle name="Normal 20 2 45" xfId="6369" xr:uid="{00000000-0005-0000-0000-00001E290000}"/>
    <cellStyle name="Normal 20 2 45 2" xfId="18446" xr:uid="{00000000-0005-0000-0000-00001F290000}"/>
    <cellStyle name="Normal 20 2 46" xfId="6370" xr:uid="{00000000-0005-0000-0000-000020290000}"/>
    <cellStyle name="Normal 20 2 46 2" xfId="18447" xr:uid="{00000000-0005-0000-0000-000021290000}"/>
    <cellStyle name="Normal 20 2 47" xfId="6371" xr:uid="{00000000-0005-0000-0000-000022290000}"/>
    <cellStyle name="Normal 20 2 47 2" xfId="18448" xr:uid="{00000000-0005-0000-0000-000023290000}"/>
    <cellStyle name="Normal 20 2 48" xfId="6372" xr:uid="{00000000-0005-0000-0000-000024290000}"/>
    <cellStyle name="Normal 20 2 48 2" xfId="18449" xr:uid="{00000000-0005-0000-0000-000025290000}"/>
    <cellStyle name="Normal 20 2 49" xfId="6373" xr:uid="{00000000-0005-0000-0000-000026290000}"/>
    <cellStyle name="Normal 20 2 49 2" xfId="18450" xr:uid="{00000000-0005-0000-0000-000027290000}"/>
    <cellStyle name="Normal 20 2 5" xfId="6374" xr:uid="{00000000-0005-0000-0000-000028290000}"/>
    <cellStyle name="Normal 20 2 5 2" xfId="18451" xr:uid="{00000000-0005-0000-0000-000029290000}"/>
    <cellStyle name="Normal 20 2 50" xfId="6375" xr:uid="{00000000-0005-0000-0000-00002A290000}"/>
    <cellStyle name="Normal 20 2 50 2" xfId="18452" xr:uid="{00000000-0005-0000-0000-00002B290000}"/>
    <cellStyle name="Normal 20 2 51" xfId="6376" xr:uid="{00000000-0005-0000-0000-00002C290000}"/>
    <cellStyle name="Normal 20 2 51 2" xfId="18453" xr:uid="{00000000-0005-0000-0000-00002D290000}"/>
    <cellStyle name="Normal 20 2 52" xfId="6377" xr:uid="{00000000-0005-0000-0000-00002E290000}"/>
    <cellStyle name="Normal 20 2 52 2" xfId="18454" xr:uid="{00000000-0005-0000-0000-00002F290000}"/>
    <cellStyle name="Normal 20 2 53" xfId="6378" xr:uid="{00000000-0005-0000-0000-000030290000}"/>
    <cellStyle name="Normal 20 2 53 2" xfId="18455" xr:uid="{00000000-0005-0000-0000-000031290000}"/>
    <cellStyle name="Normal 20 2 54" xfId="6379" xr:uid="{00000000-0005-0000-0000-000032290000}"/>
    <cellStyle name="Normal 20 2 54 2" xfId="18456" xr:uid="{00000000-0005-0000-0000-000033290000}"/>
    <cellStyle name="Normal 20 2 55" xfId="6380" xr:uid="{00000000-0005-0000-0000-000034290000}"/>
    <cellStyle name="Normal 20 2 55 2" xfId="18457" xr:uid="{00000000-0005-0000-0000-000035290000}"/>
    <cellStyle name="Normal 20 2 56" xfId="6381" xr:uid="{00000000-0005-0000-0000-000036290000}"/>
    <cellStyle name="Normal 20 2 56 2" xfId="18458" xr:uid="{00000000-0005-0000-0000-000037290000}"/>
    <cellStyle name="Normal 20 2 57" xfId="6382" xr:uid="{00000000-0005-0000-0000-000038290000}"/>
    <cellStyle name="Normal 20 2 57 2" xfId="18459" xr:uid="{00000000-0005-0000-0000-000039290000}"/>
    <cellStyle name="Normal 20 2 58" xfId="6383" xr:uid="{00000000-0005-0000-0000-00003A290000}"/>
    <cellStyle name="Normal 20 2 58 2" xfId="18460" xr:uid="{00000000-0005-0000-0000-00003B290000}"/>
    <cellStyle name="Normal 20 2 59" xfId="6384" xr:uid="{00000000-0005-0000-0000-00003C290000}"/>
    <cellStyle name="Normal 20 2 59 2" xfId="18461" xr:uid="{00000000-0005-0000-0000-00003D290000}"/>
    <cellStyle name="Normal 20 2 6" xfId="6385" xr:uid="{00000000-0005-0000-0000-00003E290000}"/>
    <cellStyle name="Normal 20 2 6 2" xfId="18462" xr:uid="{00000000-0005-0000-0000-00003F290000}"/>
    <cellStyle name="Normal 20 2 60" xfId="6386" xr:uid="{00000000-0005-0000-0000-000040290000}"/>
    <cellStyle name="Normal 20 2 60 2" xfId="18463" xr:uid="{00000000-0005-0000-0000-000041290000}"/>
    <cellStyle name="Normal 20 2 61" xfId="6387" xr:uid="{00000000-0005-0000-0000-000042290000}"/>
    <cellStyle name="Normal 20 2 61 2" xfId="18464" xr:uid="{00000000-0005-0000-0000-000043290000}"/>
    <cellStyle name="Normal 20 2 62" xfId="6388" xr:uid="{00000000-0005-0000-0000-000044290000}"/>
    <cellStyle name="Normal 20 2 62 2" xfId="18465" xr:uid="{00000000-0005-0000-0000-000045290000}"/>
    <cellStyle name="Normal 20 2 63" xfId="6389" xr:uid="{00000000-0005-0000-0000-000046290000}"/>
    <cellStyle name="Normal 20 2 63 2" xfId="18466" xr:uid="{00000000-0005-0000-0000-000047290000}"/>
    <cellStyle name="Normal 20 2 64" xfId="6390" xr:uid="{00000000-0005-0000-0000-000048290000}"/>
    <cellStyle name="Normal 20 2 64 2" xfId="18467" xr:uid="{00000000-0005-0000-0000-000049290000}"/>
    <cellStyle name="Normal 20 2 65" xfId="6391" xr:uid="{00000000-0005-0000-0000-00004A290000}"/>
    <cellStyle name="Normal 20 2 65 2" xfId="18468" xr:uid="{00000000-0005-0000-0000-00004B290000}"/>
    <cellStyle name="Normal 20 2 66" xfId="6392" xr:uid="{00000000-0005-0000-0000-00004C290000}"/>
    <cellStyle name="Normal 20 2 66 2" xfId="18469" xr:uid="{00000000-0005-0000-0000-00004D290000}"/>
    <cellStyle name="Normal 20 2 67" xfId="6393" xr:uid="{00000000-0005-0000-0000-00004E290000}"/>
    <cellStyle name="Normal 20 2 67 2" xfId="18470" xr:uid="{00000000-0005-0000-0000-00004F290000}"/>
    <cellStyle name="Normal 20 2 68" xfId="6394" xr:uid="{00000000-0005-0000-0000-000050290000}"/>
    <cellStyle name="Normal 20 2 68 2" xfId="18471" xr:uid="{00000000-0005-0000-0000-000051290000}"/>
    <cellStyle name="Normal 20 2 69" xfId="6395" xr:uid="{00000000-0005-0000-0000-000052290000}"/>
    <cellStyle name="Normal 20 2 69 2" xfId="18472" xr:uid="{00000000-0005-0000-0000-000053290000}"/>
    <cellStyle name="Normal 20 2 7" xfId="6396" xr:uid="{00000000-0005-0000-0000-000054290000}"/>
    <cellStyle name="Normal 20 2 7 2" xfId="18473" xr:uid="{00000000-0005-0000-0000-000055290000}"/>
    <cellStyle name="Normal 20 2 70" xfId="6397" xr:uid="{00000000-0005-0000-0000-000056290000}"/>
    <cellStyle name="Normal 20 2 70 2" xfId="18474" xr:uid="{00000000-0005-0000-0000-000057290000}"/>
    <cellStyle name="Normal 20 2 71" xfId="6398" xr:uid="{00000000-0005-0000-0000-000058290000}"/>
    <cellStyle name="Normal 20 2 71 2" xfId="18475" xr:uid="{00000000-0005-0000-0000-000059290000}"/>
    <cellStyle name="Normal 20 2 72" xfId="6399" xr:uid="{00000000-0005-0000-0000-00005A290000}"/>
    <cellStyle name="Normal 20 2 72 2" xfId="18476" xr:uid="{00000000-0005-0000-0000-00005B290000}"/>
    <cellStyle name="Normal 20 2 73" xfId="6400" xr:uid="{00000000-0005-0000-0000-00005C290000}"/>
    <cellStyle name="Normal 20 2 73 2" xfId="18477" xr:uid="{00000000-0005-0000-0000-00005D290000}"/>
    <cellStyle name="Normal 20 2 74" xfId="6401" xr:uid="{00000000-0005-0000-0000-00005E290000}"/>
    <cellStyle name="Normal 20 2 74 2" xfId="18478" xr:uid="{00000000-0005-0000-0000-00005F290000}"/>
    <cellStyle name="Normal 20 2 75" xfId="6402" xr:uid="{00000000-0005-0000-0000-000060290000}"/>
    <cellStyle name="Normal 20 2 75 2" xfId="18479" xr:uid="{00000000-0005-0000-0000-000061290000}"/>
    <cellStyle name="Normal 20 2 76" xfId="6403" xr:uid="{00000000-0005-0000-0000-000062290000}"/>
    <cellStyle name="Normal 20 2 76 2" xfId="18480" xr:uid="{00000000-0005-0000-0000-000063290000}"/>
    <cellStyle name="Normal 20 2 77" xfId="6404" xr:uid="{00000000-0005-0000-0000-000064290000}"/>
    <cellStyle name="Normal 20 2 77 2" xfId="18481" xr:uid="{00000000-0005-0000-0000-000065290000}"/>
    <cellStyle name="Normal 20 2 78" xfId="6405" xr:uid="{00000000-0005-0000-0000-000066290000}"/>
    <cellStyle name="Normal 20 2 78 2" xfId="18482" xr:uid="{00000000-0005-0000-0000-000067290000}"/>
    <cellStyle name="Normal 20 2 79" xfId="6406" xr:uid="{00000000-0005-0000-0000-000068290000}"/>
    <cellStyle name="Normal 20 2 79 2" xfId="18483" xr:uid="{00000000-0005-0000-0000-000069290000}"/>
    <cellStyle name="Normal 20 2 8" xfId="6407" xr:uid="{00000000-0005-0000-0000-00006A290000}"/>
    <cellStyle name="Normal 20 2 8 2" xfId="18484" xr:uid="{00000000-0005-0000-0000-00006B290000}"/>
    <cellStyle name="Normal 20 2 80" xfId="18407" xr:uid="{00000000-0005-0000-0000-00006C290000}"/>
    <cellStyle name="Normal 20 2 81" xfId="6330" xr:uid="{00000000-0005-0000-0000-00006D290000}"/>
    <cellStyle name="Normal 20 2 9" xfId="6408" xr:uid="{00000000-0005-0000-0000-00006E290000}"/>
    <cellStyle name="Normal 20 2 9 2" xfId="18485" xr:uid="{00000000-0005-0000-0000-00006F290000}"/>
    <cellStyle name="Normal 20 20" xfId="6409" xr:uid="{00000000-0005-0000-0000-000070290000}"/>
    <cellStyle name="Normal 20 20 2" xfId="18486" xr:uid="{00000000-0005-0000-0000-000071290000}"/>
    <cellStyle name="Normal 20 21" xfId="6410" xr:uid="{00000000-0005-0000-0000-000072290000}"/>
    <cellStyle name="Normal 20 21 2" xfId="18487" xr:uid="{00000000-0005-0000-0000-000073290000}"/>
    <cellStyle name="Normal 20 22" xfId="6411" xr:uid="{00000000-0005-0000-0000-000074290000}"/>
    <cellStyle name="Normal 20 22 2" xfId="18488" xr:uid="{00000000-0005-0000-0000-000075290000}"/>
    <cellStyle name="Normal 20 23" xfId="6412" xr:uid="{00000000-0005-0000-0000-000076290000}"/>
    <cellStyle name="Normal 20 23 2" xfId="18489" xr:uid="{00000000-0005-0000-0000-000077290000}"/>
    <cellStyle name="Normal 20 24" xfId="6413" xr:uid="{00000000-0005-0000-0000-000078290000}"/>
    <cellStyle name="Normal 20 24 2" xfId="18490" xr:uid="{00000000-0005-0000-0000-000079290000}"/>
    <cellStyle name="Normal 20 25" xfId="6414" xr:uid="{00000000-0005-0000-0000-00007A290000}"/>
    <cellStyle name="Normal 20 25 2" xfId="18491" xr:uid="{00000000-0005-0000-0000-00007B290000}"/>
    <cellStyle name="Normal 20 26" xfId="6415" xr:uid="{00000000-0005-0000-0000-00007C290000}"/>
    <cellStyle name="Normal 20 26 2" xfId="18492" xr:uid="{00000000-0005-0000-0000-00007D290000}"/>
    <cellStyle name="Normal 20 27" xfId="6416" xr:uid="{00000000-0005-0000-0000-00007E290000}"/>
    <cellStyle name="Normal 20 27 2" xfId="18493" xr:uid="{00000000-0005-0000-0000-00007F290000}"/>
    <cellStyle name="Normal 20 28" xfId="6417" xr:uid="{00000000-0005-0000-0000-000080290000}"/>
    <cellStyle name="Normal 20 28 2" xfId="18494" xr:uid="{00000000-0005-0000-0000-000081290000}"/>
    <cellStyle name="Normal 20 29" xfId="6418" xr:uid="{00000000-0005-0000-0000-000082290000}"/>
    <cellStyle name="Normal 20 29 2" xfId="18495" xr:uid="{00000000-0005-0000-0000-000083290000}"/>
    <cellStyle name="Normal 20 3" xfId="710" xr:uid="{00000000-0005-0000-0000-000084290000}"/>
    <cellStyle name="Normal 20 3 10" xfId="6420" xr:uid="{00000000-0005-0000-0000-000085290000}"/>
    <cellStyle name="Normal 20 3 10 2" xfId="18497" xr:uid="{00000000-0005-0000-0000-000086290000}"/>
    <cellStyle name="Normal 20 3 11" xfId="6421" xr:uid="{00000000-0005-0000-0000-000087290000}"/>
    <cellStyle name="Normal 20 3 11 2" xfId="18498" xr:uid="{00000000-0005-0000-0000-000088290000}"/>
    <cellStyle name="Normal 20 3 12" xfId="6422" xr:uid="{00000000-0005-0000-0000-000089290000}"/>
    <cellStyle name="Normal 20 3 12 2" xfId="18499" xr:uid="{00000000-0005-0000-0000-00008A290000}"/>
    <cellStyle name="Normal 20 3 13" xfId="6423" xr:uid="{00000000-0005-0000-0000-00008B290000}"/>
    <cellStyle name="Normal 20 3 13 2" xfId="18500" xr:uid="{00000000-0005-0000-0000-00008C290000}"/>
    <cellStyle name="Normal 20 3 14" xfId="6424" xr:uid="{00000000-0005-0000-0000-00008D290000}"/>
    <cellStyle name="Normal 20 3 14 2" xfId="18501" xr:uid="{00000000-0005-0000-0000-00008E290000}"/>
    <cellStyle name="Normal 20 3 15" xfId="6425" xr:uid="{00000000-0005-0000-0000-00008F290000}"/>
    <cellStyle name="Normal 20 3 15 2" xfId="18502" xr:uid="{00000000-0005-0000-0000-000090290000}"/>
    <cellStyle name="Normal 20 3 16" xfId="6426" xr:uid="{00000000-0005-0000-0000-000091290000}"/>
    <cellStyle name="Normal 20 3 16 2" xfId="18503" xr:uid="{00000000-0005-0000-0000-000092290000}"/>
    <cellStyle name="Normal 20 3 17" xfId="6427" xr:uid="{00000000-0005-0000-0000-000093290000}"/>
    <cellStyle name="Normal 20 3 17 2" xfId="18504" xr:uid="{00000000-0005-0000-0000-000094290000}"/>
    <cellStyle name="Normal 20 3 18" xfId="6428" xr:uid="{00000000-0005-0000-0000-000095290000}"/>
    <cellStyle name="Normal 20 3 18 2" xfId="18505" xr:uid="{00000000-0005-0000-0000-000096290000}"/>
    <cellStyle name="Normal 20 3 19" xfId="6429" xr:uid="{00000000-0005-0000-0000-000097290000}"/>
    <cellStyle name="Normal 20 3 19 2" xfId="18506" xr:uid="{00000000-0005-0000-0000-000098290000}"/>
    <cellStyle name="Normal 20 3 2" xfId="6430" xr:uid="{00000000-0005-0000-0000-000099290000}"/>
    <cellStyle name="Normal 20 3 2 2" xfId="18507" xr:uid="{00000000-0005-0000-0000-00009A290000}"/>
    <cellStyle name="Normal 20 3 20" xfId="6431" xr:uid="{00000000-0005-0000-0000-00009B290000}"/>
    <cellStyle name="Normal 20 3 20 2" xfId="18508" xr:uid="{00000000-0005-0000-0000-00009C290000}"/>
    <cellStyle name="Normal 20 3 21" xfId="6432" xr:uid="{00000000-0005-0000-0000-00009D290000}"/>
    <cellStyle name="Normal 20 3 21 2" xfId="18509" xr:uid="{00000000-0005-0000-0000-00009E290000}"/>
    <cellStyle name="Normal 20 3 22" xfId="6433" xr:uid="{00000000-0005-0000-0000-00009F290000}"/>
    <cellStyle name="Normal 20 3 22 2" xfId="18510" xr:uid="{00000000-0005-0000-0000-0000A0290000}"/>
    <cellStyle name="Normal 20 3 23" xfId="6434" xr:uid="{00000000-0005-0000-0000-0000A1290000}"/>
    <cellStyle name="Normal 20 3 23 2" xfId="18511" xr:uid="{00000000-0005-0000-0000-0000A2290000}"/>
    <cellStyle name="Normal 20 3 24" xfId="6435" xr:uid="{00000000-0005-0000-0000-0000A3290000}"/>
    <cellStyle name="Normal 20 3 24 2" xfId="18512" xr:uid="{00000000-0005-0000-0000-0000A4290000}"/>
    <cellStyle name="Normal 20 3 25" xfId="6436" xr:uid="{00000000-0005-0000-0000-0000A5290000}"/>
    <cellStyle name="Normal 20 3 25 2" xfId="18513" xr:uid="{00000000-0005-0000-0000-0000A6290000}"/>
    <cellStyle name="Normal 20 3 26" xfId="6437" xr:uid="{00000000-0005-0000-0000-0000A7290000}"/>
    <cellStyle name="Normal 20 3 26 2" xfId="18514" xr:uid="{00000000-0005-0000-0000-0000A8290000}"/>
    <cellStyle name="Normal 20 3 27" xfId="6438" xr:uid="{00000000-0005-0000-0000-0000A9290000}"/>
    <cellStyle name="Normal 20 3 27 2" xfId="18515" xr:uid="{00000000-0005-0000-0000-0000AA290000}"/>
    <cellStyle name="Normal 20 3 28" xfId="6439" xr:uid="{00000000-0005-0000-0000-0000AB290000}"/>
    <cellStyle name="Normal 20 3 28 2" xfId="18516" xr:uid="{00000000-0005-0000-0000-0000AC290000}"/>
    <cellStyle name="Normal 20 3 29" xfId="6440" xr:uid="{00000000-0005-0000-0000-0000AD290000}"/>
    <cellStyle name="Normal 20 3 29 2" xfId="18517" xr:uid="{00000000-0005-0000-0000-0000AE290000}"/>
    <cellStyle name="Normal 20 3 3" xfId="6441" xr:uid="{00000000-0005-0000-0000-0000AF290000}"/>
    <cellStyle name="Normal 20 3 3 2" xfId="18518" xr:uid="{00000000-0005-0000-0000-0000B0290000}"/>
    <cellStyle name="Normal 20 3 30" xfId="6442" xr:uid="{00000000-0005-0000-0000-0000B1290000}"/>
    <cellStyle name="Normal 20 3 30 2" xfId="18519" xr:uid="{00000000-0005-0000-0000-0000B2290000}"/>
    <cellStyle name="Normal 20 3 31" xfId="6443" xr:uid="{00000000-0005-0000-0000-0000B3290000}"/>
    <cellStyle name="Normal 20 3 31 2" xfId="18520" xr:uid="{00000000-0005-0000-0000-0000B4290000}"/>
    <cellStyle name="Normal 20 3 32" xfId="6444" xr:uid="{00000000-0005-0000-0000-0000B5290000}"/>
    <cellStyle name="Normal 20 3 32 2" xfId="18521" xr:uid="{00000000-0005-0000-0000-0000B6290000}"/>
    <cellStyle name="Normal 20 3 33" xfId="6445" xr:uid="{00000000-0005-0000-0000-0000B7290000}"/>
    <cellStyle name="Normal 20 3 33 2" xfId="18522" xr:uid="{00000000-0005-0000-0000-0000B8290000}"/>
    <cellStyle name="Normal 20 3 34" xfId="6446" xr:uid="{00000000-0005-0000-0000-0000B9290000}"/>
    <cellStyle name="Normal 20 3 34 2" xfId="18523" xr:uid="{00000000-0005-0000-0000-0000BA290000}"/>
    <cellStyle name="Normal 20 3 35" xfId="6447" xr:uid="{00000000-0005-0000-0000-0000BB290000}"/>
    <cellStyle name="Normal 20 3 35 2" xfId="18524" xr:uid="{00000000-0005-0000-0000-0000BC290000}"/>
    <cellStyle name="Normal 20 3 36" xfId="6448" xr:uid="{00000000-0005-0000-0000-0000BD290000}"/>
    <cellStyle name="Normal 20 3 36 2" xfId="18525" xr:uid="{00000000-0005-0000-0000-0000BE290000}"/>
    <cellStyle name="Normal 20 3 37" xfId="6449" xr:uid="{00000000-0005-0000-0000-0000BF290000}"/>
    <cellStyle name="Normal 20 3 37 2" xfId="18526" xr:uid="{00000000-0005-0000-0000-0000C0290000}"/>
    <cellStyle name="Normal 20 3 38" xfId="6450" xr:uid="{00000000-0005-0000-0000-0000C1290000}"/>
    <cellStyle name="Normal 20 3 38 2" xfId="18527" xr:uid="{00000000-0005-0000-0000-0000C2290000}"/>
    <cellStyle name="Normal 20 3 39" xfId="6451" xr:uid="{00000000-0005-0000-0000-0000C3290000}"/>
    <cellStyle name="Normal 20 3 39 2" xfId="18528" xr:uid="{00000000-0005-0000-0000-0000C4290000}"/>
    <cellStyle name="Normal 20 3 4" xfId="6452" xr:uid="{00000000-0005-0000-0000-0000C5290000}"/>
    <cellStyle name="Normal 20 3 4 2" xfId="18529" xr:uid="{00000000-0005-0000-0000-0000C6290000}"/>
    <cellStyle name="Normal 20 3 40" xfId="6453" xr:uid="{00000000-0005-0000-0000-0000C7290000}"/>
    <cellStyle name="Normal 20 3 40 2" xfId="18530" xr:uid="{00000000-0005-0000-0000-0000C8290000}"/>
    <cellStyle name="Normal 20 3 41" xfId="6454" xr:uid="{00000000-0005-0000-0000-0000C9290000}"/>
    <cellStyle name="Normal 20 3 41 2" xfId="18531" xr:uid="{00000000-0005-0000-0000-0000CA290000}"/>
    <cellStyle name="Normal 20 3 42" xfId="6455" xr:uid="{00000000-0005-0000-0000-0000CB290000}"/>
    <cellStyle name="Normal 20 3 42 2" xfId="18532" xr:uid="{00000000-0005-0000-0000-0000CC290000}"/>
    <cellStyle name="Normal 20 3 43" xfId="6456" xr:uid="{00000000-0005-0000-0000-0000CD290000}"/>
    <cellStyle name="Normal 20 3 43 2" xfId="18533" xr:uid="{00000000-0005-0000-0000-0000CE290000}"/>
    <cellStyle name="Normal 20 3 44" xfId="6457" xr:uid="{00000000-0005-0000-0000-0000CF290000}"/>
    <cellStyle name="Normal 20 3 44 2" xfId="18534" xr:uid="{00000000-0005-0000-0000-0000D0290000}"/>
    <cellStyle name="Normal 20 3 45" xfId="6458" xr:uid="{00000000-0005-0000-0000-0000D1290000}"/>
    <cellStyle name="Normal 20 3 45 2" xfId="18535" xr:uid="{00000000-0005-0000-0000-0000D2290000}"/>
    <cellStyle name="Normal 20 3 46" xfId="6459" xr:uid="{00000000-0005-0000-0000-0000D3290000}"/>
    <cellStyle name="Normal 20 3 46 2" xfId="18536" xr:uid="{00000000-0005-0000-0000-0000D4290000}"/>
    <cellStyle name="Normal 20 3 47" xfId="6460" xr:uid="{00000000-0005-0000-0000-0000D5290000}"/>
    <cellStyle name="Normal 20 3 47 2" xfId="18537" xr:uid="{00000000-0005-0000-0000-0000D6290000}"/>
    <cellStyle name="Normal 20 3 48" xfId="6461" xr:uid="{00000000-0005-0000-0000-0000D7290000}"/>
    <cellStyle name="Normal 20 3 48 2" xfId="18538" xr:uid="{00000000-0005-0000-0000-0000D8290000}"/>
    <cellStyle name="Normal 20 3 49" xfId="6462" xr:uid="{00000000-0005-0000-0000-0000D9290000}"/>
    <cellStyle name="Normal 20 3 49 2" xfId="18539" xr:uid="{00000000-0005-0000-0000-0000DA290000}"/>
    <cellStyle name="Normal 20 3 5" xfId="6463" xr:uid="{00000000-0005-0000-0000-0000DB290000}"/>
    <cellStyle name="Normal 20 3 5 2" xfId="18540" xr:uid="{00000000-0005-0000-0000-0000DC290000}"/>
    <cellStyle name="Normal 20 3 50" xfId="6464" xr:uid="{00000000-0005-0000-0000-0000DD290000}"/>
    <cellStyle name="Normal 20 3 50 2" xfId="18541" xr:uid="{00000000-0005-0000-0000-0000DE290000}"/>
    <cellStyle name="Normal 20 3 51" xfId="6465" xr:uid="{00000000-0005-0000-0000-0000DF290000}"/>
    <cellStyle name="Normal 20 3 51 2" xfId="18542" xr:uid="{00000000-0005-0000-0000-0000E0290000}"/>
    <cellStyle name="Normal 20 3 52" xfId="6466" xr:uid="{00000000-0005-0000-0000-0000E1290000}"/>
    <cellStyle name="Normal 20 3 52 2" xfId="18543" xr:uid="{00000000-0005-0000-0000-0000E2290000}"/>
    <cellStyle name="Normal 20 3 53" xfId="6467" xr:uid="{00000000-0005-0000-0000-0000E3290000}"/>
    <cellStyle name="Normal 20 3 53 2" xfId="18544" xr:uid="{00000000-0005-0000-0000-0000E4290000}"/>
    <cellStyle name="Normal 20 3 54" xfId="6468" xr:uid="{00000000-0005-0000-0000-0000E5290000}"/>
    <cellStyle name="Normal 20 3 54 2" xfId="18545" xr:uid="{00000000-0005-0000-0000-0000E6290000}"/>
    <cellStyle name="Normal 20 3 55" xfId="6469" xr:uid="{00000000-0005-0000-0000-0000E7290000}"/>
    <cellStyle name="Normal 20 3 55 2" xfId="18546" xr:uid="{00000000-0005-0000-0000-0000E8290000}"/>
    <cellStyle name="Normal 20 3 56" xfId="6470" xr:uid="{00000000-0005-0000-0000-0000E9290000}"/>
    <cellStyle name="Normal 20 3 56 2" xfId="18547" xr:uid="{00000000-0005-0000-0000-0000EA290000}"/>
    <cellStyle name="Normal 20 3 57" xfId="6471" xr:uid="{00000000-0005-0000-0000-0000EB290000}"/>
    <cellStyle name="Normal 20 3 57 2" xfId="18548" xr:uid="{00000000-0005-0000-0000-0000EC290000}"/>
    <cellStyle name="Normal 20 3 58" xfId="6472" xr:uid="{00000000-0005-0000-0000-0000ED290000}"/>
    <cellStyle name="Normal 20 3 58 2" xfId="18549" xr:uid="{00000000-0005-0000-0000-0000EE290000}"/>
    <cellStyle name="Normal 20 3 59" xfId="6473" xr:uid="{00000000-0005-0000-0000-0000EF290000}"/>
    <cellStyle name="Normal 20 3 59 2" xfId="18550" xr:uid="{00000000-0005-0000-0000-0000F0290000}"/>
    <cellStyle name="Normal 20 3 6" xfId="6474" xr:uid="{00000000-0005-0000-0000-0000F1290000}"/>
    <cellStyle name="Normal 20 3 6 2" xfId="18551" xr:uid="{00000000-0005-0000-0000-0000F2290000}"/>
    <cellStyle name="Normal 20 3 60" xfId="6475" xr:uid="{00000000-0005-0000-0000-0000F3290000}"/>
    <cellStyle name="Normal 20 3 60 2" xfId="18552" xr:uid="{00000000-0005-0000-0000-0000F4290000}"/>
    <cellStyle name="Normal 20 3 61" xfId="6476" xr:uid="{00000000-0005-0000-0000-0000F5290000}"/>
    <cellStyle name="Normal 20 3 61 2" xfId="18553" xr:uid="{00000000-0005-0000-0000-0000F6290000}"/>
    <cellStyle name="Normal 20 3 62" xfId="6477" xr:uid="{00000000-0005-0000-0000-0000F7290000}"/>
    <cellStyle name="Normal 20 3 62 2" xfId="18554" xr:uid="{00000000-0005-0000-0000-0000F8290000}"/>
    <cellStyle name="Normal 20 3 63" xfId="6478" xr:uid="{00000000-0005-0000-0000-0000F9290000}"/>
    <cellStyle name="Normal 20 3 63 2" xfId="18555" xr:uid="{00000000-0005-0000-0000-0000FA290000}"/>
    <cellStyle name="Normal 20 3 64" xfId="6479" xr:uid="{00000000-0005-0000-0000-0000FB290000}"/>
    <cellStyle name="Normal 20 3 64 2" xfId="18556" xr:uid="{00000000-0005-0000-0000-0000FC290000}"/>
    <cellStyle name="Normal 20 3 65" xfId="6480" xr:uid="{00000000-0005-0000-0000-0000FD290000}"/>
    <cellStyle name="Normal 20 3 65 2" xfId="18557" xr:uid="{00000000-0005-0000-0000-0000FE290000}"/>
    <cellStyle name="Normal 20 3 66" xfId="6481" xr:uid="{00000000-0005-0000-0000-0000FF290000}"/>
    <cellStyle name="Normal 20 3 66 2" xfId="18558" xr:uid="{00000000-0005-0000-0000-0000002A0000}"/>
    <cellStyle name="Normal 20 3 67" xfId="6482" xr:uid="{00000000-0005-0000-0000-0000012A0000}"/>
    <cellStyle name="Normal 20 3 67 2" xfId="18559" xr:uid="{00000000-0005-0000-0000-0000022A0000}"/>
    <cellStyle name="Normal 20 3 68" xfId="6483" xr:uid="{00000000-0005-0000-0000-0000032A0000}"/>
    <cellStyle name="Normal 20 3 68 2" xfId="18560" xr:uid="{00000000-0005-0000-0000-0000042A0000}"/>
    <cellStyle name="Normal 20 3 69" xfId="6484" xr:uid="{00000000-0005-0000-0000-0000052A0000}"/>
    <cellStyle name="Normal 20 3 69 2" xfId="18561" xr:uid="{00000000-0005-0000-0000-0000062A0000}"/>
    <cellStyle name="Normal 20 3 7" xfId="6485" xr:uid="{00000000-0005-0000-0000-0000072A0000}"/>
    <cellStyle name="Normal 20 3 7 2" xfId="18562" xr:uid="{00000000-0005-0000-0000-0000082A0000}"/>
    <cellStyle name="Normal 20 3 70" xfId="6486" xr:uid="{00000000-0005-0000-0000-0000092A0000}"/>
    <cellStyle name="Normal 20 3 70 2" xfId="18563" xr:uid="{00000000-0005-0000-0000-00000A2A0000}"/>
    <cellStyle name="Normal 20 3 71" xfId="6487" xr:uid="{00000000-0005-0000-0000-00000B2A0000}"/>
    <cellStyle name="Normal 20 3 71 2" xfId="18564" xr:uid="{00000000-0005-0000-0000-00000C2A0000}"/>
    <cellStyle name="Normal 20 3 72" xfId="6488" xr:uid="{00000000-0005-0000-0000-00000D2A0000}"/>
    <cellStyle name="Normal 20 3 72 2" xfId="18565" xr:uid="{00000000-0005-0000-0000-00000E2A0000}"/>
    <cellStyle name="Normal 20 3 73" xfId="6489" xr:uid="{00000000-0005-0000-0000-00000F2A0000}"/>
    <cellStyle name="Normal 20 3 73 2" xfId="18566" xr:uid="{00000000-0005-0000-0000-0000102A0000}"/>
    <cellStyle name="Normal 20 3 74" xfId="6490" xr:uid="{00000000-0005-0000-0000-0000112A0000}"/>
    <cellStyle name="Normal 20 3 74 2" xfId="18567" xr:uid="{00000000-0005-0000-0000-0000122A0000}"/>
    <cellStyle name="Normal 20 3 75" xfId="6491" xr:uid="{00000000-0005-0000-0000-0000132A0000}"/>
    <cellStyle name="Normal 20 3 75 2" xfId="18568" xr:uid="{00000000-0005-0000-0000-0000142A0000}"/>
    <cellStyle name="Normal 20 3 76" xfId="6492" xr:uid="{00000000-0005-0000-0000-0000152A0000}"/>
    <cellStyle name="Normal 20 3 76 2" xfId="18569" xr:uid="{00000000-0005-0000-0000-0000162A0000}"/>
    <cellStyle name="Normal 20 3 77" xfId="6493" xr:uid="{00000000-0005-0000-0000-0000172A0000}"/>
    <cellStyle name="Normal 20 3 77 2" xfId="18570" xr:uid="{00000000-0005-0000-0000-0000182A0000}"/>
    <cellStyle name="Normal 20 3 78" xfId="6494" xr:uid="{00000000-0005-0000-0000-0000192A0000}"/>
    <cellStyle name="Normal 20 3 78 2" xfId="18571" xr:uid="{00000000-0005-0000-0000-00001A2A0000}"/>
    <cellStyle name="Normal 20 3 79" xfId="6495" xr:uid="{00000000-0005-0000-0000-00001B2A0000}"/>
    <cellStyle name="Normal 20 3 79 2" xfId="18572" xr:uid="{00000000-0005-0000-0000-00001C2A0000}"/>
    <cellStyle name="Normal 20 3 8" xfId="6496" xr:uid="{00000000-0005-0000-0000-00001D2A0000}"/>
    <cellStyle name="Normal 20 3 8 2" xfId="18573" xr:uid="{00000000-0005-0000-0000-00001E2A0000}"/>
    <cellStyle name="Normal 20 3 80" xfId="18496" xr:uid="{00000000-0005-0000-0000-00001F2A0000}"/>
    <cellStyle name="Normal 20 3 81" xfId="6419" xr:uid="{00000000-0005-0000-0000-0000202A0000}"/>
    <cellStyle name="Normal 20 3 9" xfId="6497" xr:uid="{00000000-0005-0000-0000-0000212A0000}"/>
    <cellStyle name="Normal 20 3 9 2" xfId="18574" xr:uid="{00000000-0005-0000-0000-0000222A0000}"/>
    <cellStyle name="Normal 20 30" xfId="6498" xr:uid="{00000000-0005-0000-0000-0000232A0000}"/>
    <cellStyle name="Normal 20 30 2" xfId="18575" xr:uid="{00000000-0005-0000-0000-0000242A0000}"/>
    <cellStyle name="Normal 20 31" xfId="6499" xr:uid="{00000000-0005-0000-0000-0000252A0000}"/>
    <cellStyle name="Normal 20 31 2" xfId="18576" xr:uid="{00000000-0005-0000-0000-0000262A0000}"/>
    <cellStyle name="Normal 20 32" xfId="6500" xr:uid="{00000000-0005-0000-0000-0000272A0000}"/>
    <cellStyle name="Normal 20 32 2" xfId="18577" xr:uid="{00000000-0005-0000-0000-0000282A0000}"/>
    <cellStyle name="Normal 20 33" xfId="6501" xr:uid="{00000000-0005-0000-0000-0000292A0000}"/>
    <cellStyle name="Normal 20 33 2" xfId="18578" xr:uid="{00000000-0005-0000-0000-00002A2A0000}"/>
    <cellStyle name="Normal 20 34" xfId="6502" xr:uid="{00000000-0005-0000-0000-00002B2A0000}"/>
    <cellStyle name="Normal 20 34 2" xfId="18579" xr:uid="{00000000-0005-0000-0000-00002C2A0000}"/>
    <cellStyle name="Normal 20 35" xfId="6503" xr:uid="{00000000-0005-0000-0000-00002D2A0000}"/>
    <cellStyle name="Normal 20 35 2" xfId="18580" xr:uid="{00000000-0005-0000-0000-00002E2A0000}"/>
    <cellStyle name="Normal 20 36" xfId="6504" xr:uid="{00000000-0005-0000-0000-00002F2A0000}"/>
    <cellStyle name="Normal 20 36 2" xfId="18581" xr:uid="{00000000-0005-0000-0000-0000302A0000}"/>
    <cellStyle name="Normal 20 37" xfId="6505" xr:uid="{00000000-0005-0000-0000-0000312A0000}"/>
    <cellStyle name="Normal 20 37 2" xfId="18582" xr:uid="{00000000-0005-0000-0000-0000322A0000}"/>
    <cellStyle name="Normal 20 38" xfId="6506" xr:uid="{00000000-0005-0000-0000-0000332A0000}"/>
    <cellStyle name="Normal 20 38 2" xfId="18583" xr:uid="{00000000-0005-0000-0000-0000342A0000}"/>
    <cellStyle name="Normal 20 39" xfId="6507" xr:uid="{00000000-0005-0000-0000-0000352A0000}"/>
    <cellStyle name="Normal 20 39 2" xfId="18584" xr:uid="{00000000-0005-0000-0000-0000362A0000}"/>
    <cellStyle name="Normal 20 4" xfId="391" xr:uid="{00000000-0005-0000-0000-0000372A0000}"/>
    <cellStyle name="Normal 20 4 10" xfId="6508" xr:uid="{00000000-0005-0000-0000-0000382A0000}"/>
    <cellStyle name="Normal 20 4 10 2" xfId="18586" xr:uid="{00000000-0005-0000-0000-0000392A0000}"/>
    <cellStyle name="Normal 20 4 11" xfId="6509" xr:uid="{00000000-0005-0000-0000-00003A2A0000}"/>
    <cellStyle name="Normal 20 4 11 2" xfId="18587" xr:uid="{00000000-0005-0000-0000-00003B2A0000}"/>
    <cellStyle name="Normal 20 4 12" xfId="6510" xr:uid="{00000000-0005-0000-0000-00003C2A0000}"/>
    <cellStyle name="Normal 20 4 12 2" xfId="18588" xr:uid="{00000000-0005-0000-0000-00003D2A0000}"/>
    <cellStyle name="Normal 20 4 13" xfId="6511" xr:uid="{00000000-0005-0000-0000-00003E2A0000}"/>
    <cellStyle name="Normal 20 4 13 2" xfId="18589" xr:uid="{00000000-0005-0000-0000-00003F2A0000}"/>
    <cellStyle name="Normal 20 4 14" xfId="6512" xr:uid="{00000000-0005-0000-0000-0000402A0000}"/>
    <cellStyle name="Normal 20 4 14 2" xfId="18590" xr:uid="{00000000-0005-0000-0000-0000412A0000}"/>
    <cellStyle name="Normal 20 4 15" xfId="6513" xr:uid="{00000000-0005-0000-0000-0000422A0000}"/>
    <cellStyle name="Normal 20 4 15 2" xfId="18591" xr:uid="{00000000-0005-0000-0000-0000432A0000}"/>
    <cellStyle name="Normal 20 4 16" xfId="6514" xr:uid="{00000000-0005-0000-0000-0000442A0000}"/>
    <cellStyle name="Normal 20 4 16 2" xfId="18592" xr:uid="{00000000-0005-0000-0000-0000452A0000}"/>
    <cellStyle name="Normal 20 4 17" xfId="6515" xr:uid="{00000000-0005-0000-0000-0000462A0000}"/>
    <cellStyle name="Normal 20 4 17 2" xfId="18593" xr:uid="{00000000-0005-0000-0000-0000472A0000}"/>
    <cellStyle name="Normal 20 4 18" xfId="6516" xr:uid="{00000000-0005-0000-0000-0000482A0000}"/>
    <cellStyle name="Normal 20 4 18 2" xfId="18594" xr:uid="{00000000-0005-0000-0000-0000492A0000}"/>
    <cellStyle name="Normal 20 4 19" xfId="6517" xr:uid="{00000000-0005-0000-0000-00004A2A0000}"/>
    <cellStyle name="Normal 20 4 19 2" xfId="18595" xr:uid="{00000000-0005-0000-0000-00004B2A0000}"/>
    <cellStyle name="Normal 20 4 2" xfId="6518" xr:uid="{00000000-0005-0000-0000-00004C2A0000}"/>
    <cellStyle name="Normal 20 4 2 2" xfId="18596" xr:uid="{00000000-0005-0000-0000-00004D2A0000}"/>
    <cellStyle name="Normal 20 4 20" xfId="6519" xr:uid="{00000000-0005-0000-0000-00004E2A0000}"/>
    <cellStyle name="Normal 20 4 20 2" xfId="18597" xr:uid="{00000000-0005-0000-0000-00004F2A0000}"/>
    <cellStyle name="Normal 20 4 21" xfId="6520" xr:uid="{00000000-0005-0000-0000-0000502A0000}"/>
    <cellStyle name="Normal 20 4 21 2" xfId="18598" xr:uid="{00000000-0005-0000-0000-0000512A0000}"/>
    <cellStyle name="Normal 20 4 22" xfId="6521" xr:uid="{00000000-0005-0000-0000-0000522A0000}"/>
    <cellStyle name="Normal 20 4 22 2" xfId="18599" xr:uid="{00000000-0005-0000-0000-0000532A0000}"/>
    <cellStyle name="Normal 20 4 23" xfId="6522" xr:uid="{00000000-0005-0000-0000-0000542A0000}"/>
    <cellStyle name="Normal 20 4 23 2" xfId="18600" xr:uid="{00000000-0005-0000-0000-0000552A0000}"/>
    <cellStyle name="Normal 20 4 24" xfId="6523" xr:uid="{00000000-0005-0000-0000-0000562A0000}"/>
    <cellStyle name="Normal 20 4 24 2" xfId="18601" xr:uid="{00000000-0005-0000-0000-0000572A0000}"/>
    <cellStyle name="Normal 20 4 25" xfId="6524" xr:uid="{00000000-0005-0000-0000-0000582A0000}"/>
    <cellStyle name="Normal 20 4 25 2" xfId="18602" xr:uid="{00000000-0005-0000-0000-0000592A0000}"/>
    <cellStyle name="Normal 20 4 26" xfId="6525" xr:uid="{00000000-0005-0000-0000-00005A2A0000}"/>
    <cellStyle name="Normal 20 4 26 2" xfId="18603" xr:uid="{00000000-0005-0000-0000-00005B2A0000}"/>
    <cellStyle name="Normal 20 4 27" xfId="6526" xr:uid="{00000000-0005-0000-0000-00005C2A0000}"/>
    <cellStyle name="Normal 20 4 27 2" xfId="18604" xr:uid="{00000000-0005-0000-0000-00005D2A0000}"/>
    <cellStyle name="Normal 20 4 28" xfId="6527" xr:uid="{00000000-0005-0000-0000-00005E2A0000}"/>
    <cellStyle name="Normal 20 4 28 2" xfId="18605" xr:uid="{00000000-0005-0000-0000-00005F2A0000}"/>
    <cellStyle name="Normal 20 4 29" xfId="6528" xr:uid="{00000000-0005-0000-0000-0000602A0000}"/>
    <cellStyle name="Normal 20 4 29 2" xfId="18606" xr:uid="{00000000-0005-0000-0000-0000612A0000}"/>
    <cellStyle name="Normal 20 4 3" xfId="6529" xr:uid="{00000000-0005-0000-0000-0000622A0000}"/>
    <cellStyle name="Normal 20 4 3 2" xfId="18607" xr:uid="{00000000-0005-0000-0000-0000632A0000}"/>
    <cellStyle name="Normal 20 4 30" xfId="6530" xr:uid="{00000000-0005-0000-0000-0000642A0000}"/>
    <cellStyle name="Normal 20 4 30 2" xfId="18608" xr:uid="{00000000-0005-0000-0000-0000652A0000}"/>
    <cellStyle name="Normal 20 4 31" xfId="6531" xr:uid="{00000000-0005-0000-0000-0000662A0000}"/>
    <cellStyle name="Normal 20 4 31 2" xfId="18609" xr:uid="{00000000-0005-0000-0000-0000672A0000}"/>
    <cellStyle name="Normal 20 4 32" xfId="6532" xr:uid="{00000000-0005-0000-0000-0000682A0000}"/>
    <cellStyle name="Normal 20 4 32 2" xfId="18610" xr:uid="{00000000-0005-0000-0000-0000692A0000}"/>
    <cellStyle name="Normal 20 4 33" xfId="6533" xr:uid="{00000000-0005-0000-0000-00006A2A0000}"/>
    <cellStyle name="Normal 20 4 33 2" xfId="18611" xr:uid="{00000000-0005-0000-0000-00006B2A0000}"/>
    <cellStyle name="Normal 20 4 34" xfId="6534" xr:uid="{00000000-0005-0000-0000-00006C2A0000}"/>
    <cellStyle name="Normal 20 4 34 2" xfId="18612" xr:uid="{00000000-0005-0000-0000-00006D2A0000}"/>
    <cellStyle name="Normal 20 4 35" xfId="6535" xr:uid="{00000000-0005-0000-0000-00006E2A0000}"/>
    <cellStyle name="Normal 20 4 35 2" xfId="18613" xr:uid="{00000000-0005-0000-0000-00006F2A0000}"/>
    <cellStyle name="Normal 20 4 36" xfId="6536" xr:uid="{00000000-0005-0000-0000-0000702A0000}"/>
    <cellStyle name="Normal 20 4 36 2" xfId="18614" xr:uid="{00000000-0005-0000-0000-0000712A0000}"/>
    <cellStyle name="Normal 20 4 37" xfId="6537" xr:uid="{00000000-0005-0000-0000-0000722A0000}"/>
    <cellStyle name="Normal 20 4 37 2" xfId="18615" xr:uid="{00000000-0005-0000-0000-0000732A0000}"/>
    <cellStyle name="Normal 20 4 38" xfId="6538" xr:uid="{00000000-0005-0000-0000-0000742A0000}"/>
    <cellStyle name="Normal 20 4 38 2" xfId="18616" xr:uid="{00000000-0005-0000-0000-0000752A0000}"/>
    <cellStyle name="Normal 20 4 39" xfId="6539" xr:uid="{00000000-0005-0000-0000-0000762A0000}"/>
    <cellStyle name="Normal 20 4 39 2" xfId="18617" xr:uid="{00000000-0005-0000-0000-0000772A0000}"/>
    <cellStyle name="Normal 20 4 4" xfId="6540" xr:uid="{00000000-0005-0000-0000-0000782A0000}"/>
    <cellStyle name="Normal 20 4 4 2" xfId="18618" xr:uid="{00000000-0005-0000-0000-0000792A0000}"/>
    <cellStyle name="Normal 20 4 40" xfId="6541" xr:uid="{00000000-0005-0000-0000-00007A2A0000}"/>
    <cellStyle name="Normal 20 4 40 2" xfId="18619" xr:uid="{00000000-0005-0000-0000-00007B2A0000}"/>
    <cellStyle name="Normal 20 4 41" xfId="6542" xr:uid="{00000000-0005-0000-0000-00007C2A0000}"/>
    <cellStyle name="Normal 20 4 41 2" xfId="18620" xr:uid="{00000000-0005-0000-0000-00007D2A0000}"/>
    <cellStyle name="Normal 20 4 42" xfId="6543" xr:uid="{00000000-0005-0000-0000-00007E2A0000}"/>
    <cellStyle name="Normal 20 4 42 2" xfId="18621" xr:uid="{00000000-0005-0000-0000-00007F2A0000}"/>
    <cellStyle name="Normal 20 4 43" xfId="6544" xr:uid="{00000000-0005-0000-0000-0000802A0000}"/>
    <cellStyle name="Normal 20 4 43 2" xfId="18622" xr:uid="{00000000-0005-0000-0000-0000812A0000}"/>
    <cellStyle name="Normal 20 4 44" xfId="6545" xr:uid="{00000000-0005-0000-0000-0000822A0000}"/>
    <cellStyle name="Normal 20 4 44 2" xfId="18623" xr:uid="{00000000-0005-0000-0000-0000832A0000}"/>
    <cellStyle name="Normal 20 4 45" xfId="6546" xr:uid="{00000000-0005-0000-0000-0000842A0000}"/>
    <cellStyle name="Normal 20 4 45 2" xfId="18624" xr:uid="{00000000-0005-0000-0000-0000852A0000}"/>
    <cellStyle name="Normal 20 4 46" xfId="6547" xr:uid="{00000000-0005-0000-0000-0000862A0000}"/>
    <cellStyle name="Normal 20 4 46 2" xfId="18625" xr:uid="{00000000-0005-0000-0000-0000872A0000}"/>
    <cellStyle name="Normal 20 4 47" xfId="6548" xr:uid="{00000000-0005-0000-0000-0000882A0000}"/>
    <cellStyle name="Normal 20 4 47 2" xfId="18626" xr:uid="{00000000-0005-0000-0000-0000892A0000}"/>
    <cellStyle name="Normal 20 4 48" xfId="6549" xr:uid="{00000000-0005-0000-0000-00008A2A0000}"/>
    <cellStyle name="Normal 20 4 48 2" xfId="18627" xr:uid="{00000000-0005-0000-0000-00008B2A0000}"/>
    <cellStyle name="Normal 20 4 49" xfId="6550" xr:uid="{00000000-0005-0000-0000-00008C2A0000}"/>
    <cellStyle name="Normal 20 4 49 2" xfId="18628" xr:uid="{00000000-0005-0000-0000-00008D2A0000}"/>
    <cellStyle name="Normal 20 4 5" xfId="6551" xr:uid="{00000000-0005-0000-0000-00008E2A0000}"/>
    <cellStyle name="Normal 20 4 5 2" xfId="18629" xr:uid="{00000000-0005-0000-0000-00008F2A0000}"/>
    <cellStyle name="Normal 20 4 50" xfId="6552" xr:uid="{00000000-0005-0000-0000-0000902A0000}"/>
    <cellStyle name="Normal 20 4 50 2" xfId="18630" xr:uid="{00000000-0005-0000-0000-0000912A0000}"/>
    <cellStyle name="Normal 20 4 51" xfId="6553" xr:uid="{00000000-0005-0000-0000-0000922A0000}"/>
    <cellStyle name="Normal 20 4 51 2" xfId="18631" xr:uid="{00000000-0005-0000-0000-0000932A0000}"/>
    <cellStyle name="Normal 20 4 52" xfId="6554" xr:uid="{00000000-0005-0000-0000-0000942A0000}"/>
    <cellStyle name="Normal 20 4 52 2" xfId="18632" xr:uid="{00000000-0005-0000-0000-0000952A0000}"/>
    <cellStyle name="Normal 20 4 53" xfId="6555" xr:uid="{00000000-0005-0000-0000-0000962A0000}"/>
    <cellStyle name="Normal 20 4 53 2" xfId="18633" xr:uid="{00000000-0005-0000-0000-0000972A0000}"/>
    <cellStyle name="Normal 20 4 54" xfId="6556" xr:uid="{00000000-0005-0000-0000-0000982A0000}"/>
    <cellStyle name="Normal 20 4 54 2" xfId="18634" xr:uid="{00000000-0005-0000-0000-0000992A0000}"/>
    <cellStyle name="Normal 20 4 55" xfId="6557" xr:uid="{00000000-0005-0000-0000-00009A2A0000}"/>
    <cellStyle name="Normal 20 4 55 2" xfId="18635" xr:uid="{00000000-0005-0000-0000-00009B2A0000}"/>
    <cellStyle name="Normal 20 4 56" xfId="6558" xr:uid="{00000000-0005-0000-0000-00009C2A0000}"/>
    <cellStyle name="Normal 20 4 56 2" xfId="18636" xr:uid="{00000000-0005-0000-0000-00009D2A0000}"/>
    <cellStyle name="Normal 20 4 57" xfId="6559" xr:uid="{00000000-0005-0000-0000-00009E2A0000}"/>
    <cellStyle name="Normal 20 4 57 2" xfId="18637" xr:uid="{00000000-0005-0000-0000-00009F2A0000}"/>
    <cellStyle name="Normal 20 4 58" xfId="6560" xr:uid="{00000000-0005-0000-0000-0000A02A0000}"/>
    <cellStyle name="Normal 20 4 58 2" xfId="18638" xr:uid="{00000000-0005-0000-0000-0000A12A0000}"/>
    <cellStyle name="Normal 20 4 59" xfId="6561" xr:uid="{00000000-0005-0000-0000-0000A22A0000}"/>
    <cellStyle name="Normal 20 4 59 2" xfId="18639" xr:uid="{00000000-0005-0000-0000-0000A32A0000}"/>
    <cellStyle name="Normal 20 4 6" xfId="6562" xr:uid="{00000000-0005-0000-0000-0000A42A0000}"/>
    <cellStyle name="Normal 20 4 6 2" xfId="18640" xr:uid="{00000000-0005-0000-0000-0000A52A0000}"/>
    <cellStyle name="Normal 20 4 60" xfId="6563" xr:uid="{00000000-0005-0000-0000-0000A62A0000}"/>
    <cellStyle name="Normal 20 4 60 2" xfId="18641" xr:uid="{00000000-0005-0000-0000-0000A72A0000}"/>
    <cellStyle name="Normal 20 4 61" xfId="6564" xr:uid="{00000000-0005-0000-0000-0000A82A0000}"/>
    <cellStyle name="Normal 20 4 61 2" xfId="18642" xr:uid="{00000000-0005-0000-0000-0000A92A0000}"/>
    <cellStyle name="Normal 20 4 62" xfId="6565" xr:uid="{00000000-0005-0000-0000-0000AA2A0000}"/>
    <cellStyle name="Normal 20 4 62 2" xfId="18643" xr:uid="{00000000-0005-0000-0000-0000AB2A0000}"/>
    <cellStyle name="Normal 20 4 63" xfId="6566" xr:uid="{00000000-0005-0000-0000-0000AC2A0000}"/>
    <cellStyle name="Normal 20 4 63 2" xfId="18644" xr:uid="{00000000-0005-0000-0000-0000AD2A0000}"/>
    <cellStyle name="Normal 20 4 64" xfId="6567" xr:uid="{00000000-0005-0000-0000-0000AE2A0000}"/>
    <cellStyle name="Normal 20 4 64 2" xfId="18645" xr:uid="{00000000-0005-0000-0000-0000AF2A0000}"/>
    <cellStyle name="Normal 20 4 65" xfId="6568" xr:uid="{00000000-0005-0000-0000-0000B02A0000}"/>
    <cellStyle name="Normal 20 4 65 2" xfId="18646" xr:uid="{00000000-0005-0000-0000-0000B12A0000}"/>
    <cellStyle name="Normal 20 4 66" xfId="6569" xr:uid="{00000000-0005-0000-0000-0000B22A0000}"/>
    <cellStyle name="Normal 20 4 66 2" xfId="18647" xr:uid="{00000000-0005-0000-0000-0000B32A0000}"/>
    <cellStyle name="Normal 20 4 67" xfId="6570" xr:uid="{00000000-0005-0000-0000-0000B42A0000}"/>
    <cellStyle name="Normal 20 4 67 2" xfId="18648" xr:uid="{00000000-0005-0000-0000-0000B52A0000}"/>
    <cellStyle name="Normal 20 4 68" xfId="6571" xr:uid="{00000000-0005-0000-0000-0000B62A0000}"/>
    <cellStyle name="Normal 20 4 68 2" xfId="18649" xr:uid="{00000000-0005-0000-0000-0000B72A0000}"/>
    <cellStyle name="Normal 20 4 69" xfId="6572" xr:uid="{00000000-0005-0000-0000-0000B82A0000}"/>
    <cellStyle name="Normal 20 4 69 2" xfId="18650" xr:uid="{00000000-0005-0000-0000-0000B92A0000}"/>
    <cellStyle name="Normal 20 4 7" xfId="6573" xr:uid="{00000000-0005-0000-0000-0000BA2A0000}"/>
    <cellStyle name="Normal 20 4 7 2" xfId="18651" xr:uid="{00000000-0005-0000-0000-0000BB2A0000}"/>
    <cellStyle name="Normal 20 4 70" xfId="6574" xr:uid="{00000000-0005-0000-0000-0000BC2A0000}"/>
    <cellStyle name="Normal 20 4 70 2" xfId="18652" xr:uid="{00000000-0005-0000-0000-0000BD2A0000}"/>
    <cellStyle name="Normal 20 4 71" xfId="6575" xr:uid="{00000000-0005-0000-0000-0000BE2A0000}"/>
    <cellStyle name="Normal 20 4 71 2" xfId="18653" xr:uid="{00000000-0005-0000-0000-0000BF2A0000}"/>
    <cellStyle name="Normal 20 4 72" xfId="6576" xr:uid="{00000000-0005-0000-0000-0000C02A0000}"/>
    <cellStyle name="Normal 20 4 72 2" xfId="18654" xr:uid="{00000000-0005-0000-0000-0000C12A0000}"/>
    <cellStyle name="Normal 20 4 73" xfId="6577" xr:uid="{00000000-0005-0000-0000-0000C22A0000}"/>
    <cellStyle name="Normal 20 4 73 2" xfId="18655" xr:uid="{00000000-0005-0000-0000-0000C32A0000}"/>
    <cellStyle name="Normal 20 4 74" xfId="6578" xr:uid="{00000000-0005-0000-0000-0000C42A0000}"/>
    <cellStyle name="Normal 20 4 74 2" xfId="18656" xr:uid="{00000000-0005-0000-0000-0000C52A0000}"/>
    <cellStyle name="Normal 20 4 75" xfId="6579" xr:uid="{00000000-0005-0000-0000-0000C62A0000}"/>
    <cellStyle name="Normal 20 4 75 2" xfId="18657" xr:uid="{00000000-0005-0000-0000-0000C72A0000}"/>
    <cellStyle name="Normal 20 4 76" xfId="6580" xr:uid="{00000000-0005-0000-0000-0000C82A0000}"/>
    <cellStyle name="Normal 20 4 76 2" xfId="18658" xr:uid="{00000000-0005-0000-0000-0000C92A0000}"/>
    <cellStyle name="Normal 20 4 77" xfId="6581" xr:uid="{00000000-0005-0000-0000-0000CA2A0000}"/>
    <cellStyle name="Normal 20 4 77 2" xfId="18659" xr:uid="{00000000-0005-0000-0000-0000CB2A0000}"/>
    <cellStyle name="Normal 20 4 78" xfId="6582" xr:uid="{00000000-0005-0000-0000-0000CC2A0000}"/>
    <cellStyle name="Normal 20 4 78 2" xfId="18660" xr:uid="{00000000-0005-0000-0000-0000CD2A0000}"/>
    <cellStyle name="Normal 20 4 79" xfId="6583" xr:uid="{00000000-0005-0000-0000-0000CE2A0000}"/>
    <cellStyle name="Normal 20 4 79 2" xfId="18661" xr:uid="{00000000-0005-0000-0000-0000CF2A0000}"/>
    <cellStyle name="Normal 20 4 8" xfId="6584" xr:uid="{00000000-0005-0000-0000-0000D02A0000}"/>
    <cellStyle name="Normal 20 4 8 2" xfId="18662" xr:uid="{00000000-0005-0000-0000-0000D12A0000}"/>
    <cellStyle name="Normal 20 4 80" xfId="18585" xr:uid="{00000000-0005-0000-0000-0000D22A0000}"/>
    <cellStyle name="Normal 20 4 9" xfId="6585" xr:uid="{00000000-0005-0000-0000-0000D32A0000}"/>
    <cellStyle name="Normal 20 4 9 2" xfId="18663" xr:uid="{00000000-0005-0000-0000-0000D42A0000}"/>
    <cellStyle name="Normal 20 40" xfId="6586" xr:uid="{00000000-0005-0000-0000-0000D52A0000}"/>
    <cellStyle name="Normal 20 40 2" xfId="18664" xr:uid="{00000000-0005-0000-0000-0000D62A0000}"/>
    <cellStyle name="Normal 20 41" xfId="6587" xr:uid="{00000000-0005-0000-0000-0000D72A0000}"/>
    <cellStyle name="Normal 20 41 2" xfId="18665" xr:uid="{00000000-0005-0000-0000-0000D82A0000}"/>
    <cellStyle name="Normal 20 42" xfId="6588" xr:uid="{00000000-0005-0000-0000-0000D92A0000}"/>
    <cellStyle name="Normal 20 42 2" xfId="18666" xr:uid="{00000000-0005-0000-0000-0000DA2A0000}"/>
    <cellStyle name="Normal 20 43" xfId="6589" xr:uid="{00000000-0005-0000-0000-0000DB2A0000}"/>
    <cellStyle name="Normal 20 43 2" xfId="18667" xr:uid="{00000000-0005-0000-0000-0000DC2A0000}"/>
    <cellStyle name="Normal 20 44" xfId="6590" xr:uid="{00000000-0005-0000-0000-0000DD2A0000}"/>
    <cellStyle name="Normal 20 44 2" xfId="18668" xr:uid="{00000000-0005-0000-0000-0000DE2A0000}"/>
    <cellStyle name="Normal 20 45" xfId="6591" xr:uid="{00000000-0005-0000-0000-0000DF2A0000}"/>
    <cellStyle name="Normal 20 45 2" xfId="18669" xr:uid="{00000000-0005-0000-0000-0000E02A0000}"/>
    <cellStyle name="Normal 20 46" xfId="6592" xr:uid="{00000000-0005-0000-0000-0000E12A0000}"/>
    <cellStyle name="Normal 20 46 2" xfId="18670" xr:uid="{00000000-0005-0000-0000-0000E22A0000}"/>
    <cellStyle name="Normal 20 47" xfId="6593" xr:uid="{00000000-0005-0000-0000-0000E32A0000}"/>
    <cellStyle name="Normal 20 47 2" xfId="18671" xr:uid="{00000000-0005-0000-0000-0000E42A0000}"/>
    <cellStyle name="Normal 20 48" xfId="6594" xr:uid="{00000000-0005-0000-0000-0000E52A0000}"/>
    <cellStyle name="Normal 20 48 2" xfId="18672" xr:uid="{00000000-0005-0000-0000-0000E62A0000}"/>
    <cellStyle name="Normal 20 49" xfId="6595" xr:uid="{00000000-0005-0000-0000-0000E72A0000}"/>
    <cellStyle name="Normal 20 49 2" xfId="18673" xr:uid="{00000000-0005-0000-0000-0000E82A0000}"/>
    <cellStyle name="Normal 20 5" xfId="142" xr:uid="{00000000-0005-0000-0000-0000E92A0000}"/>
    <cellStyle name="Normal 20 5 2" xfId="18674" xr:uid="{00000000-0005-0000-0000-0000EA2A0000}"/>
    <cellStyle name="Normal 20 5 3" xfId="6596" xr:uid="{00000000-0005-0000-0000-0000EB2A0000}"/>
    <cellStyle name="Normal 20 50" xfId="6597" xr:uid="{00000000-0005-0000-0000-0000EC2A0000}"/>
    <cellStyle name="Normal 20 50 2" xfId="18675" xr:uid="{00000000-0005-0000-0000-0000ED2A0000}"/>
    <cellStyle name="Normal 20 51" xfId="6598" xr:uid="{00000000-0005-0000-0000-0000EE2A0000}"/>
    <cellStyle name="Normal 20 51 2" xfId="18676" xr:uid="{00000000-0005-0000-0000-0000EF2A0000}"/>
    <cellStyle name="Normal 20 52" xfId="6599" xr:uid="{00000000-0005-0000-0000-0000F02A0000}"/>
    <cellStyle name="Normal 20 52 2" xfId="18677" xr:uid="{00000000-0005-0000-0000-0000F12A0000}"/>
    <cellStyle name="Normal 20 53" xfId="6600" xr:uid="{00000000-0005-0000-0000-0000F22A0000}"/>
    <cellStyle name="Normal 20 53 2" xfId="18678" xr:uid="{00000000-0005-0000-0000-0000F32A0000}"/>
    <cellStyle name="Normal 20 54" xfId="6601" xr:uid="{00000000-0005-0000-0000-0000F42A0000}"/>
    <cellStyle name="Normal 20 54 2" xfId="18679" xr:uid="{00000000-0005-0000-0000-0000F52A0000}"/>
    <cellStyle name="Normal 20 55" xfId="6602" xr:uid="{00000000-0005-0000-0000-0000F62A0000}"/>
    <cellStyle name="Normal 20 55 2" xfId="18680" xr:uid="{00000000-0005-0000-0000-0000F72A0000}"/>
    <cellStyle name="Normal 20 56" xfId="6603" xr:uid="{00000000-0005-0000-0000-0000F82A0000}"/>
    <cellStyle name="Normal 20 56 2" xfId="18681" xr:uid="{00000000-0005-0000-0000-0000F92A0000}"/>
    <cellStyle name="Normal 20 57" xfId="6604" xr:uid="{00000000-0005-0000-0000-0000FA2A0000}"/>
    <cellStyle name="Normal 20 57 2" xfId="18682" xr:uid="{00000000-0005-0000-0000-0000FB2A0000}"/>
    <cellStyle name="Normal 20 58" xfId="6605" xr:uid="{00000000-0005-0000-0000-0000FC2A0000}"/>
    <cellStyle name="Normal 20 58 2" xfId="18683" xr:uid="{00000000-0005-0000-0000-0000FD2A0000}"/>
    <cellStyle name="Normal 20 59" xfId="6606" xr:uid="{00000000-0005-0000-0000-0000FE2A0000}"/>
    <cellStyle name="Normal 20 59 2" xfId="18684" xr:uid="{00000000-0005-0000-0000-0000FF2A0000}"/>
    <cellStyle name="Normal 20 6" xfId="6607" xr:uid="{00000000-0005-0000-0000-0000002B0000}"/>
    <cellStyle name="Normal 20 6 2" xfId="18685" xr:uid="{00000000-0005-0000-0000-0000012B0000}"/>
    <cellStyle name="Normal 20 60" xfId="6608" xr:uid="{00000000-0005-0000-0000-0000022B0000}"/>
    <cellStyle name="Normal 20 60 2" xfId="18686" xr:uid="{00000000-0005-0000-0000-0000032B0000}"/>
    <cellStyle name="Normal 20 61" xfId="6609" xr:uid="{00000000-0005-0000-0000-0000042B0000}"/>
    <cellStyle name="Normal 20 61 2" xfId="18687" xr:uid="{00000000-0005-0000-0000-0000052B0000}"/>
    <cellStyle name="Normal 20 62" xfId="6610" xr:uid="{00000000-0005-0000-0000-0000062B0000}"/>
    <cellStyle name="Normal 20 62 2" xfId="18688" xr:uid="{00000000-0005-0000-0000-0000072B0000}"/>
    <cellStyle name="Normal 20 63" xfId="6611" xr:uid="{00000000-0005-0000-0000-0000082B0000}"/>
    <cellStyle name="Normal 20 63 2" xfId="18689" xr:uid="{00000000-0005-0000-0000-0000092B0000}"/>
    <cellStyle name="Normal 20 64" xfId="6612" xr:uid="{00000000-0005-0000-0000-00000A2B0000}"/>
    <cellStyle name="Normal 20 64 2" xfId="18690" xr:uid="{00000000-0005-0000-0000-00000B2B0000}"/>
    <cellStyle name="Normal 20 65" xfId="6613" xr:uid="{00000000-0005-0000-0000-00000C2B0000}"/>
    <cellStyle name="Normal 20 65 2" xfId="18691" xr:uid="{00000000-0005-0000-0000-00000D2B0000}"/>
    <cellStyle name="Normal 20 66" xfId="6614" xr:uid="{00000000-0005-0000-0000-00000E2B0000}"/>
    <cellStyle name="Normal 20 66 2" xfId="18692" xr:uid="{00000000-0005-0000-0000-00000F2B0000}"/>
    <cellStyle name="Normal 20 67" xfId="6615" xr:uid="{00000000-0005-0000-0000-0000102B0000}"/>
    <cellStyle name="Normal 20 67 2" xfId="18693" xr:uid="{00000000-0005-0000-0000-0000112B0000}"/>
    <cellStyle name="Normal 20 68" xfId="6616" xr:uid="{00000000-0005-0000-0000-0000122B0000}"/>
    <cellStyle name="Normal 20 68 2" xfId="18694" xr:uid="{00000000-0005-0000-0000-0000132B0000}"/>
    <cellStyle name="Normal 20 69" xfId="6617" xr:uid="{00000000-0005-0000-0000-0000142B0000}"/>
    <cellStyle name="Normal 20 69 2" xfId="18695" xr:uid="{00000000-0005-0000-0000-0000152B0000}"/>
    <cellStyle name="Normal 20 7" xfId="6618" xr:uid="{00000000-0005-0000-0000-0000162B0000}"/>
    <cellStyle name="Normal 20 7 2" xfId="18696" xr:uid="{00000000-0005-0000-0000-0000172B0000}"/>
    <cellStyle name="Normal 20 70" xfId="6619" xr:uid="{00000000-0005-0000-0000-0000182B0000}"/>
    <cellStyle name="Normal 20 70 2" xfId="18697" xr:uid="{00000000-0005-0000-0000-0000192B0000}"/>
    <cellStyle name="Normal 20 71" xfId="6620" xr:uid="{00000000-0005-0000-0000-00001A2B0000}"/>
    <cellStyle name="Normal 20 71 2" xfId="18698" xr:uid="{00000000-0005-0000-0000-00001B2B0000}"/>
    <cellStyle name="Normal 20 72" xfId="6621" xr:uid="{00000000-0005-0000-0000-00001C2B0000}"/>
    <cellStyle name="Normal 20 72 2" xfId="18699" xr:uid="{00000000-0005-0000-0000-00001D2B0000}"/>
    <cellStyle name="Normal 20 73" xfId="6622" xr:uid="{00000000-0005-0000-0000-00001E2B0000}"/>
    <cellStyle name="Normal 20 73 2" xfId="18700" xr:uid="{00000000-0005-0000-0000-00001F2B0000}"/>
    <cellStyle name="Normal 20 74" xfId="6623" xr:uid="{00000000-0005-0000-0000-0000202B0000}"/>
    <cellStyle name="Normal 20 74 2" xfId="18701" xr:uid="{00000000-0005-0000-0000-0000212B0000}"/>
    <cellStyle name="Normal 20 75" xfId="6624" xr:uid="{00000000-0005-0000-0000-0000222B0000}"/>
    <cellStyle name="Normal 20 75 2" xfId="18702" xr:uid="{00000000-0005-0000-0000-0000232B0000}"/>
    <cellStyle name="Normal 20 76" xfId="6625" xr:uid="{00000000-0005-0000-0000-0000242B0000}"/>
    <cellStyle name="Normal 20 76 2" xfId="18703" xr:uid="{00000000-0005-0000-0000-0000252B0000}"/>
    <cellStyle name="Normal 20 77" xfId="6626" xr:uid="{00000000-0005-0000-0000-0000262B0000}"/>
    <cellStyle name="Normal 20 77 2" xfId="18704" xr:uid="{00000000-0005-0000-0000-0000272B0000}"/>
    <cellStyle name="Normal 20 78" xfId="6627" xr:uid="{00000000-0005-0000-0000-0000282B0000}"/>
    <cellStyle name="Normal 20 78 2" xfId="18705" xr:uid="{00000000-0005-0000-0000-0000292B0000}"/>
    <cellStyle name="Normal 20 79" xfId="6628" xr:uid="{00000000-0005-0000-0000-00002A2B0000}"/>
    <cellStyle name="Normal 20 79 2" xfId="18706" xr:uid="{00000000-0005-0000-0000-00002B2B0000}"/>
    <cellStyle name="Normal 20 8" xfId="6629" xr:uid="{00000000-0005-0000-0000-00002C2B0000}"/>
    <cellStyle name="Normal 20 8 2" xfId="18707" xr:uid="{00000000-0005-0000-0000-00002D2B0000}"/>
    <cellStyle name="Normal 20 80" xfId="6630" xr:uid="{00000000-0005-0000-0000-00002E2B0000}"/>
    <cellStyle name="Normal 20 80 2" xfId="18708" xr:uid="{00000000-0005-0000-0000-00002F2B0000}"/>
    <cellStyle name="Normal 20 81" xfId="6631" xr:uid="{00000000-0005-0000-0000-0000302B0000}"/>
    <cellStyle name="Normal 20 81 2" xfId="18709" xr:uid="{00000000-0005-0000-0000-0000312B0000}"/>
    <cellStyle name="Normal 20 82" xfId="6632" xr:uid="{00000000-0005-0000-0000-0000322B0000}"/>
    <cellStyle name="Normal 20 82 2" xfId="18710" xr:uid="{00000000-0005-0000-0000-0000332B0000}"/>
    <cellStyle name="Normal 20 83" xfId="18396" xr:uid="{00000000-0005-0000-0000-0000342B0000}"/>
    <cellStyle name="Normal 20 9" xfId="6633" xr:uid="{00000000-0005-0000-0000-0000352B0000}"/>
    <cellStyle name="Normal 20 9 2" xfId="18711" xr:uid="{00000000-0005-0000-0000-0000362B0000}"/>
    <cellStyle name="Normal 200" xfId="541" xr:uid="{00000000-0005-0000-0000-0000372B0000}"/>
    <cellStyle name="Normal 200 2" xfId="638" xr:uid="{00000000-0005-0000-0000-0000382B0000}"/>
    <cellStyle name="Normal 200 3" xfId="1057" xr:uid="{00000000-0005-0000-0000-0000392B0000}"/>
    <cellStyle name="Normal 200 4" xfId="933" xr:uid="{00000000-0005-0000-0000-00003A2B0000}"/>
    <cellStyle name="Normal 200 5" xfId="915" xr:uid="{00000000-0005-0000-0000-00003B2B0000}"/>
    <cellStyle name="Normal 200 6" xfId="918" xr:uid="{00000000-0005-0000-0000-00003C2B0000}"/>
    <cellStyle name="Normal 200 7" xfId="1260" xr:uid="{00000000-0005-0000-0000-00003D2B0000}"/>
    <cellStyle name="Normal 200 8" xfId="847" xr:uid="{00000000-0005-0000-0000-00003E2B0000}"/>
    <cellStyle name="Normal 200 9" xfId="1298" xr:uid="{00000000-0005-0000-0000-00003F2B0000}"/>
    <cellStyle name="Normal 201" xfId="542" xr:uid="{00000000-0005-0000-0000-0000402B0000}"/>
    <cellStyle name="Normal 201 2" xfId="639" xr:uid="{00000000-0005-0000-0000-0000412B0000}"/>
    <cellStyle name="Normal 201 3" xfId="1058" xr:uid="{00000000-0005-0000-0000-0000422B0000}"/>
    <cellStyle name="Normal 201 4" xfId="932" xr:uid="{00000000-0005-0000-0000-0000432B0000}"/>
    <cellStyle name="Normal 201 5" xfId="1249" xr:uid="{00000000-0005-0000-0000-0000442B0000}"/>
    <cellStyle name="Normal 201 6" xfId="846" xr:uid="{00000000-0005-0000-0000-0000452B0000}"/>
    <cellStyle name="Normal 201 7" xfId="1299" xr:uid="{00000000-0005-0000-0000-0000462B0000}"/>
    <cellStyle name="Normal 201 8" xfId="1364" xr:uid="{00000000-0005-0000-0000-0000472B0000}"/>
    <cellStyle name="Normal 201 9" xfId="1425" xr:uid="{00000000-0005-0000-0000-0000482B0000}"/>
    <cellStyle name="Normal 202" xfId="543" xr:uid="{00000000-0005-0000-0000-0000492B0000}"/>
    <cellStyle name="Normal 202 2" xfId="640" xr:uid="{00000000-0005-0000-0000-00004A2B0000}"/>
    <cellStyle name="Normal 202 3" xfId="1059" xr:uid="{00000000-0005-0000-0000-00004B2B0000}"/>
    <cellStyle name="Normal 202 4" xfId="931" xr:uid="{00000000-0005-0000-0000-00004C2B0000}"/>
    <cellStyle name="Normal 202 5" xfId="1250" xr:uid="{00000000-0005-0000-0000-00004D2B0000}"/>
    <cellStyle name="Normal 202 6" xfId="842" xr:uid="{00000000-0005-0000-0000-00004E2B0000}"/>
    <cellStyle name="Normal 202 7" xfId="1301" xr:uid="{00000000-0005-0000-0000-00004F2B0000}"/>
    <cellStyle name="Normal 202 8" xfId="1366" xr:uid="{00000000-0005-0000-0000-0000502B0000}"/>
    <cellStyle name="Normal 202 9" xfId="1426" xr:uid="{00000000-0005-0000-0000-0000512B0000}"/>
    <cellStyle name="Normal 203" xfId="544" xr:uid="{00000000-0005-0000-0000-0000522B0000}"/>
    <cellStyle name="Normal 203 2" xfId="641" xr:uid="{00000000-0005-0000-0000-0000532B0000}"/>
    <cellStyle name="Normal 203 3" xfId="1060" xr:uid="{00000000-0005-0000-0000-0000542B0000}"/>
    <cellStyle name="Normal 203 4" xfId="930" xr:uid="{00000000-0005-0000-0000-0000552B0000}"/>
    <cellStyle name="Normal 203 5" xfId="916" xr:uid="{00000000-0005-0000-0000-0000562B0000}"/>
    <cellStyle name="Normal 203 6" xfId="1262" xr:uid="{00000000-0005-0000-0000-0000572B0000}"/>
    <cellStyle name="Normal 203 7" xfId="840" xr:uid="{00000000-0005-0000-0000-0000582B0000}"/>
    <cellStyle name="Normal 203 8" xfId="1302" xr:uid="{00000000-0005-0000-0000-0000592B0000}"/>
    <cellStyle name="Normal 203 9" xfId="1367" xr:uid="{00000000-0005-0000-0000-00005A2B0000}"/>
    <cellStyle name="Normal 204" xfId="545" xr:uid="{00000000-0005-0000-0000-00005B2B0000}"/>
    <cellStyle name="Normal 204 2" xfId="642" xr:uid="{00000000-0005-0000-0000-00005C2B0000}"/>
    <cellStyle name="Normal 204 3" xfId="1061" xr:uid="{00000000-0005-0000-0000-00005D2B0000}"/>
    <cellStyle name="Normal 204 4" xfId="929" xr:uid="{00000000-0005-0000-0000-00005E2B0000}"/>
    <cellStyle name="Normal 204 5" xfId="1251" xr:uid="{00000000-0005-0000-0000-00005F2B0000}"/>
    <cellStyle name="Normal 204 6" xfId="838" xr:uid="{00000000-0005-0000-0000-0000602B0000}"/>
    <cellStyle name="Normal 204 7" xfId="1303" xr:uid="{00000000-0005-0000-0000-0000612B0000}"/>
    <cellStyle name="Normal 204 8" xfId="1368" xr:uid="{00000000-0005-0000-0000-0000622B0000}"/>
    <cellStyle name="Normal 204 9" xfId="1427" xr:uid="{00000000-0005-0000-0000-0000632B0000}"/>
    <cellStyle name="Normal 205" xfId="546" xr:uid="{00000000-0005-0000-0000-0000642B0000}"/>
    <cellStyle name="Normal 205 2" xfId="643" xr:uid="{00000000-0005-0000-0000-0000652B0000}"/>
    <cellStyle name="Normal 205 3" xfId="1062" xr:uid="{00000000-0005-0000-0000-0000662B0000}"/>
    <cellStyle name="Normal 205 4" xfId="1205" xr:uid="{00000000-0005-0000-0000-0000672B0000}"/>
    <cellStyle name="Normal 205 5" xfId="1176" xr:uid="{00000000-0005-0000-0000-0000682B0000}"/>
    <cellStyle name="Normal 205 6" xfId="1089" xr:uid="{00000000-0005-0000-0000-0000692B0000}"/>
    <cellStyle name="Normal 205 7" xfId="903" xr:uid="{00000000-0005-0000-0000-00006A2B0000}"/>
    <cellStyle name="Normal 205 8" xfId="944" xr:uid="{00000000-0005-0000-0000-00006B2B0000}"/>
    <cellStyle name="Normal 205 9" xfId="1242" xr:uid="{00000000-0005-0000-0000-00006C2B0000}"/>
    <cellStyle name="Normal 206" xfId="547" xr:uid="{00000000-0005-0000-0000-00006D2B0000}"/>
    <cellStyle name="Normal 206 2" xfId="644" xr:uid="{00000000-0005-0000-0000-00006E2B0000}"/>
    <cellStyle name="Normal 206 3" xfId="1063" xr:uid="{00000000-0005-0000-0000-00006F2B0000}"/>
    <cellStyle name="Normal 206 4" xfId="883" xr:uid="{00000000-0005-0000-0000-0000702B0000}"/>
    <cellStyle name="Normal 206 5" xfId="950" xr:uid="{00000000-0005-0000-0000-0000712B0000}"/>
    <cellStyle name="Normal 206 6" xfId="877" xr:uid="{00000000-0005-0000-0000-0000722B0000}"/>
    <cellStyle name="Normal 206 7" xfId="1328" xr:uid="{00000000-0005-0000-0000-0000732B0000}"/>
    <cellStyle name="Normal 206 8" xfId="1393" xr:uid="{00000000-0005-0000-0000-0000742B0000}"/>
    <cellStyle name="Normal 206 9" xfId="1443" xr:uid="{00000000-0005-0000-0000-0000752B0000}"/>
    <cellStyle name="Normal 207" xfId="548" xr:uid="{00000000-0005-0000-0000-0000762B0000}"/>
    <cellStyle name="Normal 207 2" xfId="645" xr:uid="{00000000-0005-0000-0000-0000772B0000}"/>
    <cellStyle name="Normal 207 3" xfId="1064" xr:uid="{00000000-0005-0000-0000-0000782B0000}"/>
    <cellStyle name="Normal 207 4" xfId="928" xr:uid="{00000000-0005-0000-0000-0000792B0000}"/>
    <cellStyle name="Normal 207 5" xfId="1252" xr:uid="{00000000-0005-0000-0000-00007A2B0000}"/>
    <cellStyle name="Normal 207 6" xfId="834" xr:uid="{00000000-0005-0000-0000-00007B2B0000}"/>
    <cellStyle name="Normal 207 7" xfId="1329" xr:uid="{00000000-0005-0000-0000-00007C2B0000}"/>
    <cellStyle name="Normal 207 8" xfId="1394" xr:uid="{00000000-0005-0000-0000-00007D2B0000}"/>
    <cellStyle name="Normal 207 9" xfId="1444" xr:uid="{00000000-0005-0000-0000-00007E2B0000}"/>
    <cellStyle name="Normal 208" xfId="549" xr:uid="{00000000-0005-0000-0000-00007F2B0000}"/>
    <cellStyle name="Normal 208 2" xfId="646" xr:uid="{00000000-0005-0000-0000-0000802B0000}"/>
    <cellStyle name="Normal 208 3" xfId="1065" xr:uid="{00000000-0005-0000-0000-0000812B0000}"/>
    <cellStyle name="Normal 208 4" xfId="927" xr:uid="{00000000-0005-0000-0000-0000822B0000}"/>
    <cellStyle name="Normal 208 5" xfId="917" xr:uid="{00000000-0005-0000-0000-0000832B0000}"/>
    <cellStyle name="Normal 208 6" xfId="1261" xr:uid="{00000000-0005-0000-0000-0000842B0000}"/>
    <cellStyle name="Normal 208 7" xfId="844" xr:uid="{00000000-0005-0000-0000-0000852B0000}"/>
    <cellStyle name="Normal 208 8" xfId="1300" xr:uid="{00000000-0005-0000-0000-0000862B0000}"/>
    <cellStyle name="Normal 208 9" xfId="1365" xr:uid="{00000000-0005-0000-0000-0000872B0000}"/>
    <cellStyle name="Normal 209" xfId="550" xr:uid="{00000000-0005-0000-0000-0000882B0000}"/>
    <cellStyle name="Normal 209 2" xfId="647" xr:uid="{00000000-0005-0000-0000-0000892B0000}"/>
    <cellStyle name="Normal 209 3" xfId="1066" xr:uid="{00000000-0005-0000-0000-00008A2B0000}"/>
    <cellStyle name="Normal 209 4" xfId="926" xr:uid="{00000000-0005-0000-0000-00008B2B0000}"/>
    <cellStyle name="Normal 209 5" xfId="1253" xr:uid="{00000000-0005-0000-0000-00008C2B0000}"/>
    <cellStyle name="Normal 209 6" xfId="830" xr:uid="{00000000-0005-0000-0000-00008D2B0000}"/>
    <cellStyle name="Normal 209 7" xfId="970" xr:uid="{00000000-0005-0000-0000-00008E2B0000}"/>
    <cellStyle name="Normal 209 8" xfId="872" xr:uid="{00000000-0005-0000-0000-00008F2B0000}"/>
    <cellStyle name="Normal 209 9" xfId="1286" xr:uid="{00000000-0005-0000-0000-0000902B0000}"/>
    <cellStyle name="Normal 21" xfId="85" xr:uid="{00000000-0005-0000-0000-0000912B0000}"/>
    <cellStyle name="Normal 21 10" xfId="6634" xr:uid="{00000000-0005-0000-0000-0000922B0000}"/>
    <cellStyle name="Normal 21 10 2" xfId="18713" xr:uid="{00000000-0005-0000-0000-0000932B0000}"/>
    <cellStyle name="Normal 21 11" xfId="6635" xr:uid="{00000000-0005-0000-0000-0000942B0000}"/>
    <cellStyle name="Normal 21 11 2" xfId="18714" xr:uid="{00000000-0005-0000-0000-0000952B0000}"/>
    <cellStyle name="Normal 21 12" xfId="6636" xr:uid="{00000000-0005-0000-0000-0000962B0000}"/>
    <cellStyle name="Normal 21 12 2" xfId="18715" xr:uid="{00000000-0005-0000-0000-0000972B0000}"/>
    <cellStyle name="Normal 21 13" xfId="6637" xr:uid="{00000000-0005-0000-0000-0000982B0000}"/>
    <cellStyle name="Normal 21 13 2" xfId="18716" xr:uid="{00000000-0005-0000-0000-0000992B0000}"/>
    <cellStyle name="Normal 21 14" xfId="6638" xr:uid="{00000000-0005-0000-0000-00009A2B0000}"/>
    <cellStyle name="Normal 21 14 2" xfId="18717" xr:uid="{00000000-0005-0000-0000-00009B2B0000}"/>
    <cellStyle name="Normal 21 15" xfId="6639" xr:uid="{00000000-0005-0000-0000-00009C2B0000}"/>
    <cellStyle name="Normal 21 15 2" xfId="18718" xr:uid="{00000000-0005-0000-0000-00009D2B0000}"/>
    <cellStyle name="Normal 21 16" xfId="6640" xr:uid="{00000000-0005-0000-0000-00009E2B0000}"/>
    <cellStyle name="Normal 21 16 2" xfId="18719" xr:uid="{00000000-0005-0000-0000-00009F2B0000}"/>
    <cellStyle name="Normal 21 17" xfId="6641" xr:uid="{00000000-0005-0000-0000-0000A02B0000}"/>
    <cellStyle name="Normal 21 17 2" xfId="18720" xr:uid="{00000000-0005-0000-0000-0000A12B0000}"/>
    <cellStyle name="Normal 21 18" xfId="6642" xr:uid="{00000000-0005-0000-0000-0000A22B0000}"/>
    <cellStyle name="Normal 21 18 2" xfId="18721" xr:uid="{00000000-0005-0000-0000-0000A32B0000}"/>
    <cellStyle name="Normal 21 19" xfId="6643" xr:uid="{00000000-0005-0000-0000-0000A42B0000}"/>
    <cellStyle name="Normal 21 19 2" xfId="18722" xr:uid="{00000000-0005-0000-0000-0000A52B0000}"/>
    <cellStyle name="Normal 21 2" xfId="86" xr:uid="{00000000-0005-0000-0000-0000A62B0000}"/>
    <cellStyle name="Normal 21 2 10" xfId="6644" xr:uid="{00000000-0005-0000-0000-0000A72B0000}"/>
    <cellStyle name="Normal 21 2 10 2" xfId="18724" xr:uid="{00000000-0005-0000-0000-0000A82B0000}"/>
    <cellStyle name="Normal 21 2 11" xfId="6645" xr:uid="{00000000-0005-0000-0000-0000A92B0000}"/>
    <cellStyle name="Normal 21 2 11 2" xfId="18725" xr:uid="{00000000-0005-0000-0000-0000AA2B0000}"/>
    <cellStyle name="Normal 21 2 12" xfId="6646" xr:uid="{00000000-0005-0000-0000-0000AB2B0000}"/>
    <cellStyle name="Normal 21 2 12 2" xfId="18726" xr:uid="{00000000-0005-0000-0000-0000AC2B0000}"/>
    <cellStyle name="Normal 21 2 13" xfId="6647" xr:uid="{00000000-0005-0000-0000-0000AD2B0000}"/>
    <cellStyle name="Normal 21 2 13 2" xfId="18727" xr:uid="{00000000-0005-0000-0000-0000AE2B0000}"/>
    <cellStyle name="Normal 21 2 14" xfId="6648" xr:uid="{00000000-0005-0000-0000-0000AF2B0000}"/>
    <cellStyle name="Normal 21 2 14 2" xfId="18728" xr:uid="{00000000-0005-0000-0000-0000B02B0000}"/>
    <cellStyle name="Normal 21 2 15" xfId="6649" xr:uid="{00000000-0005-0000-0000-0000B12B0000}"/>
    <cellStyle name="Normal 21 2 15 2" xfId="18729" xr:uid="{00000000-0005-0000-0000-0000B22B0000}"/>
    <cellStyle name="Normal 21 2 16" xfId="6650" xr:uid="{00000000-0005-0000-0000-0000B32B0000}"/>
    <cellStyle name="Normal 21 2 16 2" xfId="18730" xr:uid="{00000000-0005-0000-0000-0000B42B0000}"/>
    <cellStyle name="Normal 21 2 17" xfId="6651" xr:uid="{00000000-0005-0000-0000-0000B52B0000}"/>
    <cellStyle name="Normal 21 2 17 2" xfId="18731" xr:uid="{00000000-0005-0000-0000-0000B62B0000}"/>
    <cellStyle name="Normal 21 2 18" xfId="6652" xr:uid="{00000000-0005-0000-0000-0000B72B0000}"/>
    <cellStyle name="Normal 21 2 18 2" xfId="18732" xr:uid="{00000000-0005-0000-0000-0000B82B0000}"/>
    <cellStyle name="Normal 21 2 19" xfId="6653" xr:uid="{00000000-0005-0000-0000-0000B92B0000}"/>
    <cellStyle name="Normal 21 2 19 2" xfId="18733" xr:uid="{00000000-0005-0000-0000-0000BA2B0000}"/>
    <cellStyle name="Normal 21 2 2" xfId="6654" xr:uid="{00000000-0005-0000-0000-0000BB2B0000}"/>
    <cellStyle name="Normal 21 2 2 2" xfId="18734" xr:uid="{00000000-0005-0000-0000-0000BC2B0000}"/>
    <cellStyle name="Normal 21 2 20" xfId="6655" xr:uid="{00000000-0005-0000-0000-0000BD2B0000}"/>
    <cellStyle name="Normal 21 2 20 2" xfId="18735" xr:uid="{00000000-0005-0000-0000-0000BE2B0000}"/>
    <cellStyle name="Normal 21 2 21" xfId="6656" xr:uid="{00000000-0005-0000-0000-0000BF2B0000}"/>
    <cellStyle name="Normal 21 2 21 2" xfId="18736" xr:uid="{00000000-0005-0000-0000-0000C02B0000}"/>
    <cellStyle name="Normal 21 2 22" xfId="6657" xr:uid="{00000000-0005-0000-0000-0000C12B0000}"/>
    <cellStyle name="Normal 21 2 22 2" xfId="18737" xr:uid="{00000000-0005-0000-0000-0000C22B0000}"/>
    <cellStyle name="Normal 21 2 23" xfId="6658" xr:uid="{00000000-0005-0000-0000-0000C32B0000}"/>
    <cellStyle name="Normal 21 2 23 2" xfId="18738" xr:uid="{00000000-0005-0000-0000-0000C42B0000}"/>
    <cellStyle name="Normal 21 2 24" xfId="6659" xr:uid="{00000000-0005-0000-0000-0000C52B0000}"/>
    <cellStyle name="Normal 21 2 24 2" xfId="18739" xr:uid="{00000000-0005-0000-0000-0000C62B0000}"/>
    <cellStyle name="Normal 21 2 25" xfId="6660" xr:uid="{00000000-0005-0000-0000-0000C72B0000}"/>
    <cellStyle name="Normal 21 2 25 2" xfId="18740" xr:uid="{00000000-0005-0000-0000-0000C82B0000}"/>
    <cellStyle name="Normal 21 2 26" xfId="6661" xr:uid="{00000000-0005-0000-0000-0000C92B0000}"/>
    <cellStyle name="Normal 21 2 26 2" xfId="18741" xr:uid="{00000000-0005-0000-0000-0000CA2B0000}"/>
    <cellStyle name="Normal 21 2 27" xfId="6662" xr:uid="{00000000-0005-0000-0000-0000CB2B0000}"/>
    <cellStyle name="Normal 21 2 27 2" xfId="18742" xr:uid="{00000000-0005-0000-0000-0000CC2B0000}"/>
    <cellStyle name="Normal 21 2 28" xfId="6663" xr:uid="{00000000-0005-0000-0000-0000CD2B0000}"/>
    <cellStyle name="Normal 21 2 28 2" xfId="18743" xr:uid="{00000000-0005-0000-0000-0000CE2B0000}"/>
    <cellStyle name="Normal 21 2 29" xfId="6664" xr:uid="{00000000-0005-0000-0000-0000CF2B0000}"/>
    <cellStyle name="Normal 21 2 29 2" xfId="18744" xr:uid="{00000000-0005-0000-0000-0000D02B0000}"/>
    <cellStyle name="Normal 21 2 3" xfId="6665" xr:uid="{00000000-0005-0000-0000-0000D12B0000}"/>
    <cellStyle name="Normal 21 2 3 2" xfId="18745" xr:uid="{00000000-0005-0000-0000-0000D22B0000}"/>
    <cellStyle name="Normal 21 2 30" xfId="6666" xr:uid="{00000000-0005-0000-0000-0000D32B0000}"/>
    <cellStyle name="Normal 21 2 30 2" xfId="18746" xr:uid="{00000000-0005-0000-0000-0000D42B0000}"/>
    <cellStyle name="Normal 21 2 31" xfId="6667" xr:uid="{00000000-0005-0000-0000-0000D52B0000}"/>
    <cellStyle name="Normal 21 2 31 2" xfId="18747" xr:uid="{00000000-0005-0000-0000-0000D62B0000}"/>
    <cellStyle name="Normal 21 2 32" xfId="6668" xr:uid="{00000000-0005-0000-0000-0000D72B0000}"/>
    <cellStyle name="Normal 21 2 32 2" xfId="18748" xr:uid="{00000000-0005-0000-0000-0000D82B0000}"/>
    <cellStyle name="Normal 21 2 33" xfId="6669" xr:uid="{00000000-0005-0000-0000-0000D92B0000}"/>
    <cellStyle name="Normal 21 2 33 2" xfId="18749" xr:uid="{00000000-0005-0000-0000-0000DA2B0000}"/>
    <cellStyle name="Normal 21 2 34" xfId="6670" xr:uid="{00000000-0005-0000-0000-0000DB2B0000}"/>
    <cellStyle name="Normal 21 2 34 2" xfId="18750" xr:uid="{00000000-0005-0000-0000-0000DC2B0000}"/>
    <cellStyle name="Normal 21 2 35" xfId="6671" xr:uid="{00000000-0005-0000-0000-0000DD2B0000}"/>
    <cellStyle name="Normal 21 2 35 2" xfId="18751" xr:uid="{00000000-0005-0000-0000-0000DE2B0000}"/>
    <cellStyle name="Normal 21 2 36" xfId="6672" xr:uid="{00000000-0005-0000-0000-0000DF2B0000}"/>
    <cellStyle name="Normal 21 2 36 2" xfId="18752" xr:uid="{00000000-0005-0000-0000-0000E02B0000}"/>
    <cellStyle name="Normal 21 2 37" xfId="6673" xr:uid="{00000000-0005-0000-0000-0000E12B0000}"/>
    <cellStyle name="Normal 21 2 37 2" xfId="18753" xr:uid="{00000000-0005-0000-0000-0000E22B0000}"/>
    <cellStyle name="Normal 21 2 38" xfId="6674" xr:uid="{00000000-0005-0000-0000-0000E32B0000}"/>
    <cellStyle name="Normal 21 2 38 2" xfId="18754" xr:uid="{00000000-0005-0000-0000-0000E42B0000}"/>
    <cellStyle name="Normal 21 2 39" xfId="6675" xr:uid="{00000000-0005-0000-0000-0000E52B0000}"/>
    <cellStyle name="Normal 21 2 39 2" xfId="18755" xr:uid="{00000000-0005-0000-0000-0000E62B0000}"/>
    <cellStyle name="Normal 21 2 4" xfId="6676" xr:uid="{00000000-0005-0000-0000-0000E72B0000}"/>
    <cellStyle name="Normal 21 2 4 2" xfId="18756" xr:uid="{00000000-0005-0000-0000-0000E82B0000}"/>
    <cellStyle name="Normal 21 2 40" xfId="6677" xr:uid="{00000000-0005-0000-0000-0000E92B0000}"/>
    <cellStyle name="Normal 21 2 40 2" xfId="18757" xr:uid="{00000000-0005-0000-0000-0000EA2B0000}"/>
    <cellStyle name="Normal 21 2 41" xfId="6678" xr:uid="{00000000-0005-0000-0000-0000EB2B0000}"/>
    <cellStyle name="Normal 21 2 41 2" xfId="18758" xr:uid="{00000000-0005-0000-0000-0000EC2B0000}"/>
    <cellStyle name="Normal 21 2 42" xfId="6679" xr:uid="{00000000-0005-0000-0000-0000ED2B0000}"/>
    <cellStyle name="Normal 21 2 42 2" xfId="18759" xr:uid="{00000000-0005-0000-0000-0000EE2B0000}"/>
    <cellStyle name="Normal 21 2 43" xfId="6680" xr:uid="{00000000-0005-0000-0000-0000EF2B0000}"/>
    <cellStyle name="Normal 21 2 43 2" xfId="18760" xr:uid="{00000000-0005-0000-0000-0000F02B0000}"/>
    <cellStyle name="Normal 21 2 44" xfId="6681" xr:uid="{00000000-0005-0000-0000-0000F12B0000}"/>
    <cellStyle name="Normal 21 2 44 2" xfId="18761" xr:uid="{00000000-0005-0000-0000-0000F22B0000}"/>
    <cellStyle name="Normal 21 2 45" xfId="6682" xr:uid="{00000000-0005-0000-0000-0000F32B0000}"/>
    <cellStyle name="Normal 21 2 45 2" xfId="18762" xr:uid="{00000000-0005-0000-0000-0000F42B0000}"/>
    <cellStyle name="Normal 21 2 46" xfId="6683" xr:uid="{00000000-0005-0000-0000-0000F52B0000}"/>
    <cellStyle name="Normal 21 2 46 2" xfId="18763" xr:uid="{00000000-0005-0000-0000-0000F62B0000}"/>
    <cellStyle name="Normal 21 2 47" xfId="6684" xr:uid="{00000000-0005-0000-0000-0000F72B0000}"/>
    <cellStyle name="Normal 21 2 47 2" xfId="18764" xr:uid="{00000000-0005-0000-0000-0000F82B0000}"/>
    <cellStyle name="Normal 21 2 48" xfId="6685" xr:uid="{00000000-0005-0000-0000-0000F92B0000}"/>
    <cellStyle name="Normal 21 2 48 2" xfId="18765" xr:uid="{00000000-0005-0000-0000-0000FA2B0000}"/>
    <cellStyle name="Normal 21 2 49" xfId="6686" xr:uid="{00000000-0005-0000-0000-0000FB2B0000}"/>
    <cellStyle name="Normal 21 2 49 2" xfId="18766" xr:uid="{00000000-0005-0000-0000-0000FC2B0000}"/>
    <cellStyle name="Normal 21 2 5" xfId="6687" xr:uid="{00000000-0005-0000-0000-0000FD2B0000}"/>
    <cellStyle name="Normal 21 2 5 2" xfId="18767" xr:uid="{00000000-0005-0000-0000-0000FE2B0000}"/>
    <cellStyle name="Normal 21 2 50" xfId="6688" xr:uid="{00000000-0005-0000-0000-0000FF2B0000}"/>
    <cellStyle name="Normal 21 2 50 2" xfId="18768" xr:uid="{00000000-0005-0000-0000-0000002C0000}"/>
    <cellStyle name="Normal 21 2 51" xfId="6689" xr:uid="{00000000-0005-0000-0000-0000012C0000}"/>
    <cellStyle name="Normal 21 2 51 2" xfId="18769" xr:uid="{00000000-0005-0000-0000-0000022C0000}"/>
    <cellStyle name="Normal 21 2 52" xfId="6690" xr:uid="{00000000-0005-0000-0000-0000032C0000}"/>
    <cellStyle name="Normal 21 2 52 2" xfId="18770" xr:uid="{00000000-0005-0000-0000-0000042C0000}"/>
    <cellStyle name="Normal 21 2 53" xfId="6691" xr:uid="{00000000-0005-0000-0000-0000052C0000}"/>
    <cellStyle name="Normal 21 2 53 2" xfId="18771" xr:uid="{00000000-0005-0000-0000-0000062C0000}"/>
    <cellStyle name="Normal 21 2 54" xfId="6692" xr:uid="{00000000-0005-0000-0000-0000072C0000}"/>
    <cellStyle name="Normal 21 2 54 2" xfId="18772" xr:uid="{00000000-0005-0000-0000-0000082C0000}"/>
    <cellStyle name="Normal 21 2 55" xfId="6693" xr:uid="{00000000-0005-0000-0000-0000092C0000}"/>
    <cellStyle name="Normal 21 2 55 2" xfId="18773" xr:uid="{00000000-0005-0000-0000-00000A2C0000}"/>
    <cellStyle name="Normal 21 2 56" xfId="6694" xr:uid="{00000000-0005-0000-0000-00000B2C0000}"/>
    <cellStyle name="Normal 21 2 56 2" xfId="18774" xr:uid="{00000000-0005-0000-0000-00000C2C0000}"/>
    <cellStyle name="Normal 21 2 57" xfId="6695" xr:uid="{00000000-0005-0000-0000-00000D2C0000}"/>
    <cellStyle name="Normal 21 2 57 2" xfId="18775" xr:uid="{00000000-0005-0000-0000-00000E2C0000}"/>
    <cellStyle name="Normal 21 2 58" xfId="6696" xr:uid="{00000000-0005-0000-0000-00000F2C0000}"/>
    <cellStyle name="Normal 21 2 58 2" xfId="18776" xr:uid="{00000000-0005-0000-0000-0000102C0000}"/>
    <cellStyle name="Normal 21 2 59" xfId="6697" xr:uid="{00000000-0005-0000-0000-0000112C0000}"/>
    <cellStyle name="Normal 21 2 59 2" xfId="18777" xr:uid="{00000000-0005-0000-0000-0000122C0000}"/>
    <cellStyle name="Normal 21 2 6" xfId="6698" xr:uid="{00000000-0005-0000-0000-0000132C0000}"/>
    <cellStyle name="Normal 21 2 6 2" xfId="18778" xr:uid="{00000000-0005-0000-0000-0000142C0000}"/>
    <cellStyle name="Normal 21 2 60" xfId="6699" xr:uid="{00000000-0005-0000-0000-0000152C0000}"/>
    <cellStyle name="Normal 21 2 60 2" xfId="18779" xr:uid="{00000000-0005-0000-0000-0000162C0000}"/>
    <cellStyle name="Normal 21 2 61" xfId="6700" xr:uid="{00000000-0005-0000-0000-0000172C0000}"/>
    <cellStyle name="Normal 21 2 61 2" xfId="18780" xr:uid="{00000000-0005-0000-0000-0000182C0000}"/>
    <cellStyle name="Normal 21 2 62" xfId="6701" xr:uid="{00000000-0005-0000-0000-0000192C0000}"/>
    <cellStyle name="Normal 21 2 62 2" xfId="18781" xr:uid="{00000000-0005-0000-0000-00001A2C0000}"/>
    <cellStyle name="Normal 21 2 63" xfId="6702" xr:uid="{00000000-0005-0000-0000-00001B2C0000}"/>
    <cellStyle name="Normal 21 2 63 2" xfId="18782" xr:uid="{00000000-0005-0000-0000-00001C2C0000}"/>
    <cellStyle name="Normal 21 2 64" xfId="6703" xr:uid="{00000000-0005-0000-0000-00001D2C0000}"/>
    <cellStyle name="Normal 21 2 64 2" xfId="18783" xr:uid="{00000000-0005-0000-0000-00001E2C0000}"/>
    <cellStyle name="Normal 21 2 65" xfId="6704" xr:uid="{00000000-0005-0000-0000-00001F2C0000}"/>
    <cellStyle name="Normal 21 2 65 2" xfId="18784" xr:uid="{00000000-0005-0000-0000-0000202C0000}"/>
    <cellStyle name="Normal 21 2 66" xfId="6705" xr:uid="{00000000-0005-0000-0000-0000212C0000}"/>
    <cellStyle name="Normal 21 2 66 2" xfId="18785" xr:uid="{00000000-0005-0000-0000-0000222C0000}"/>
    <cellStyle name="Normal 21 2 67" xfId="6706" xr:uid="{00000000-0005-0000-0000-0000232C0000}"/>
    <cellStyle name="Normal 21 2 67 2" xfId="18786" xr:uid="{00000000-0005-0000-0000-0000242C0000}"/>
    <cellStyle name="Normal 21 2 68" xfId="6707" xr:uid="{00000000-0005-0000-0000-0000252C0000}"/>
    <cellStyle name="Normal 21 2 68 2" xfId="18787" xr:uid="{00000000-0005-0000-0000-0000262C0000}"/>
    <cellStyle name="Normal 21 2 69" xfId="6708" xr:uid="{00000000-0005-0000-0000-0000272C0000}"/>
    <cellStyle name="Normal 21 2 69 2" xfId="18788" xr:uid="{00000000-0005-0000-0000-0000282C0000}"/>
    <cellStyle name="Normal 21 2 7" xfId="6709" xr:uid="{00000000-0005-0000-0000-0000292C0000}"/>
    <cellStyle name="Normal 21 2 7 2" xfId="18789" xr:uid="{00000000-0005-0000-0000-00002A2C0000}"/>
    <cellStyle name="Normal 21 2 70" xfId="6710" xr:uid="{00000000-0005-0000-0000-00002B2C0000}"/>
    <cellStyle name="Normal 21 2 70 2" xfId="18790" xr:uid="{00000000-0005-0000-0000-00002C2C0000}"/>
    <cellStyle name="Normal 21 2 71" xfId="6711" xr:uid="{00000000-0005-0000-0000-00002D2C0000}"/>
    <cellStyle name="Normal 21 2 71 2" xfId="18791" xr:uid="{00000000-0005-0000-0000-00002E2C0000}"/>
    <cellStyle name="Normal 21 2 72" xfId="6712" xr:uid="{00000000-0005-0000-0000-00002F2C0000}"/>
    <cellStyle name="Normal 21 2 72 2" xfId="18792" xr:uid="{00000000-0005-0000-0000-0000302C0000}"/>
    <cellStyle name="Normal 21 2 73" xfId="6713" xr:uid="{00000000-0005-0000-0000-0000312C0000}"/>
    <cellStyle name="Normal 21 2 73 2" xfId="18793" xr:uid="{00000000-0005-0000-0000-0000322C0000}"/>
    <cellStyle name="Normal 21 2 74" xfId="6714" xr:uid="{00000000-0005-0000-0000-0000332C0000}"/>
    <cellStyle name="Normal 21 2 74 2" xfId="18794" xr:uid="{00000000-0005-0000-0000-0000342C0000}"/>
    <cellStyle name="Normal 21 2 75" xfId="6715" xr:uid="{00000000-0005-0000-0000-0000352C0000}"/>
    <cellStyle name="Normal 21 2 75 2" xfId="18795" xr:uid="{00000000-0005-0000-0000-0000362C0000}"/>
    <cellStyle name="Normal 21 2 76" xfId="6716" xr:uid="{00000000-0005-0000-0000-0000372C0000}"/>
    <cellStyle name="Normal 21 2 76 2" xfId="18796" xr:uid="{00000000-0005-0000-0000-0000382C0000}"/>
    <cellStyle name="Normal 21 2 77" xfId="6717" xr:uid="{00000000-0005-0000-0000-0000392C0000}"/>
    <cellStyle name="Normal 21 2 77 2" xfId="18797" xr:uid="{00000000-0005-0000-0000-00003A2C0000}"/>
    <cellStyle name="Normal 21 2 78" xfId="6718" xr:uid="{00000000-0005-0000-0000-00003B2C0000}"/>
    <cellStyle name="Normal 21 2 78 2" xfId="18798" xr:uid="{00000000-0005-0000-0000-00003C2C0000}"/>
    <cellStyle name="Normal 21 2 79" xfId="6719" xr:uid="{00000000-0005-0000-0000-00003D2C0000}"/>
    <cellStyle name="Normal 21 2 79 2" xfId="18799" xr:uid="{00000000-0005-0000-0000-00003E2C0000}"/>
    <cellStyle name="Normal 21 2 8" xfId="6720" xr:uid="{00000000-0005-0000-0000-00003F2C0000}"/>
    <cellStyle name="Normal 21 2 8 2" xfId="18800" xr:uid="{00000000-0005-0000-0000-0000402C0000}"/>
    <cellStyle name="Normal 21 2 80" xfId="18723" xr:uid="{00000000-0005-0000-0000-0000412C0000}"/>
    <cellStyle name="Normal 21 2 9" xfId="6721" xr:uid="{00000000-0005-0000-0000-0000422C0000}"/>
    <cellStyle name="Normal 21 2 9 2" xfId="18801" xr:uid="{00000000-0005-0000-0000-0000432C0000}"/>
    <cellStyle name="Normal 21 20" xfId="6722" xr:uid="{00000000-0005-0000-0000-0000442C0000}"/>
    <cellStyle name="Normal 21 20 2" xfId="18802" xr:uid="{00000000-0005-0000-0000-0000452C0000}"/>
    <cellStyle name="Normal 21 21" xfId="6723" xr:uid="{00000000-0005-0000-0000-0000462C0000}"/>
    <cellStyle name="Normal 21 21 2" xfId="18803" xr:uid="{00000000-0005-0000-0000-0000472C0000}"/>
    <cellStyle name="Normal 21 22" xfId="6724" xr:uid="{00000000-0005-0000-0000-0000482C0000}"/>
    <cellStyle name="Normal 21 22 2" xfId="18804" xr:uid="{00000000-0005-0000-0000-0000492C0000}"/>
    <cellStyle name="Normal 21 23" xfId="6725" xr:uid="{00000000-0005-0000-0000-00004A2C0000}"/>
    <cellStyle name="Normal 21 23 2" xfId="18805" xr:uid="{00000000-0005-0000-0000-00004B2C0000}"/>
    <cellStyle name="Normal 21 24" xfId="6726" xr:uid="{00000000-0005-0000-0000-00004C2C0000}"/>
    <cellStyle name="Normal 21 24 2" xfId="18806" xr:uid="{00000000-0005-0000-0000-00004D2C0000}"/>
    <cellStyle name="Normal 21 25" xfId="6727" xr:uid="{00000000-0005-0000-0000-00004E2C0000}"/>
    <cellStyle name="Normal 21 25 2" xfId="18807" xr:uid="{00000000-0005-0000-0000-00004F2C0000}"/>
    <cellStyle name="Normal 21 26" xfId="6728" xr:uid="{00000000-0005-0000-0000-0000502C0000}"/>
    <cellStyle name="Normal 21 26 2" xfId="18808" xr:uid="{00000000-0005-0000-0000-0000512C0000}"/>
    <cellStyle name="Normal 21 27" xfId="6729" xr:uid="{00000000-0005-0000-0000-0000522C0000}"/>
    <cellStyle name="Normal 21 27 2" xfId="18809" xr:uid="{00000000-0005-0000-0000-0000532C0000}"/>
    <cellStyle name="Normal 21 28" xfId="6730" xr:uid="{00000000-0005-0000-0000-0000542C0000}"/>
    <cellStyle name="Normal 21 28 2" xfId="18810" xr:uid="{00000000-0005-0000-0000-0000552C0000}"/>
    <cellStyle name="Normal 21 29" xfId="6731" xr:uid="{00000000-0005-0000-0000-0000562C0000}"/>
    <cellStyle name="Normal 21 29 2" xfId="18811" xr:uid="{00000000-0005-0000-0000-0000572C0000}"/>
    <cellStyle name="Normal 21 3" xfId="6732" xr:uid="{00000000-0005-0000-0000-0000582C0000}"/>
    <cellStyle name="Normal 21 3 10" xfId="6733" xr:uid="{00000000-0005-0000-0000-0000592C0000}"/>
    <cellStyle name="Normal 21 3 10 2" xfId="18813" xr:uid="{00000000-0005-0000-0000-00005A2C0000}"/>
    <cellStyle name="Normal 21 3 11" xfId="6734" xr:uid="{00000000-0005-0000-0000-00005B2C0000}"/>
    <cellStyle name="Normal 21 3 11 2" xfId="18814" xr:uid="{00000000-0005-0000-0000-00005C2C0000}"/>
    <cellStyle name="Normal 21 3 12" xfId="6735" xr:uid="{00000000-0005-0000-0000-00005D2C0000}"/>
    <cellStyle name="Normal 21 3 12 2" xfId="18815" xr:uid="{00000000-0005-0000-0000-00005E2C0000}"/>
    <cellStyle name="Normal 21 3 13" xfId="6736" xr:uid="{00000000-0005-0000-0000-00005F2C0000}"/>
    <cellStyle name="Normal 21 3 13 2" xfId="18816" xr:uid="{00000000-0005-0000-0000-0000602C0000}"/>
    <cellStyle name="Normal 21 3 14" xfId="6737" xr:uid="{00000000-0005-0000-0000-0000612C0000}"/>
    <cellStyle name="Normal 21 3 14 2" xfId="18817" xr:uid="{00000000-0005-0000-0000-0000622C0000}"/>
    <cellStyle name="Normal 21 3 15" xfId="6738" xr:uid="{00000000-0005-0000-0000-0000632C0000}"/>
    <cellStyle name="Normal 21 3 15 2" xfId="18818" xr:uid="{00000000-0005-0000-0000-0000642C0000}"/>
    <cellStyle name="Normal 21 3 16" xfId="6739" xr:uid="{00000000-0005-0000-0000-0000652C0000}"/>
    <cellStyle name="Normal 21 3 16 2" xfId="18819" xr:uid="{00000000-0005-0000-0000-0000662C0000}"/>
    <cellStyle name="Normal 21 3 17" xfId="6740" xr:uid="{00000000-0005-0000-0000-0000672C0000}"/>
    <cellStyle name="Normal 21 3 17 2" xfId="18820" xr:uid="{00000000-0005-0000-0000-0000682C0000}"/>
    <cellStyle name="Normal 21 3 18" xfId="6741" xr:uid="{00000000-0005-0000-0000-0000692C0000}"/>
    <cellStyle name="Normal 21 3 18 2" xfId="18821" xr:uid="{00000000-0005-0000-0000-00006A2C0000}"/>
    <cellStyle name="Normal 21 3 19" xfId="6742" xr:uid="{00000000-0005-0000-0000-00006B2C0000}"/>
    <cellStyle name="Normal 21 3 19 2" xfId="18822" xr:uid="{00000000-0005-0000-0000-00006C2C0000}"/>
    <cellStyle name="Normal 21 3 2" xfId="6743" xr:uid="{00000000-0005-0000-0000-00006D2C0000}"/>
    <cellStyle name="Normal 21 3 2 2" xfId="18823" xr:uid="{00000000-0005-0000-0000-00006E2C0000}"/>
    <cellStyle name="Normal 21 3 20" xfId="6744" xr:uid="{00000000-0005-0000-0000-00006F2C0000}"/>
    <cellStyle name="Normal 21 3 20 2" xfId="18824" xr:uid="{00000000-0005-0000-0000-0000702C0000}"/>
    <cellStyle name="Normal 21 3 21" xfId="6745" xr:uid="{00000000-0005-0000-0000-0000712C0000}"/>
    <cellStyle name="Normal 21 3 21 2" xfId="18825" xr:uid="{00000000-0005-0000-0000-0000722C0000}"/>
    <cellStyle name="Normal 21 3 22" xfId="6746" xr:uid="{00000000-0005-0000-0000-0000732C0000}"/>
    <cellStyle name="Normal 21 3 22 2" xfId="18826" xr:uid="{00000000-0005-0000-0000-0000742C0000}"/>
    <cellStyle name="Normal 21 3 23" xfId="6747" xr:uid="{00000000-0005-0000-0000-0000752C0000}"/>
    <cellStyle name="Normal 21 3 23 2" xfId="18827" xr:uid="{00000000-0005-0000-0000-0000762C0000}"/>
    <cellStyle name="Normal 21 3 24" xfId="6748" xr:uid="{00000000-0005-0000-0000-0000772C0000}"/>
    <cellStyle name="Normal 21 3 24 2" xfId="18828" xr:uid="{00000000-0005-0000-0000-0000782C0000}"/>
    <cellStyle name="Normal 21 3 25" xfId="6749" xr:uid="{00000000-0005-0000-0000-0000792C0000}"/>
    <cellStyle name="Normal 21 3 25 2" xfId="18829" xr:uid="{00000000-0005-0000-0000-00007A2C0000}"/>
    <cellStyle name="Normal 21 3 26" xfId="6750" xr:uid="{00000000-0005-0000-0000-00007B2C0000}"/>
    <cellStyle name="Normal 21 3 26 2" xfId="18830" xr:uid="{00000000-0005-0000-0000-00007C2C0000}"/>
    <cellStyle name="Normal 21 3 27" xfId="6751" xr:uid="{00000000-0005-0000-0000-00007D2C0000}"/>
    <cellStyle name="Normal 21 3 27 2" xfId="18831" xr:uid="{00000000-0005-0000-0000-00007E2C0000}"/>
    <cellStyle name="Normal 21 3 28" xfId="6752" xr:uid="{00000000-0005-0000-0000-00007F2C0000}"/>
    <cellStyle name="Normal 21 3 28 2" xfId="18832" xr:uid="{00000000-0005-0000-0000-0000802C0000}"/>
    <cellStyle name="Normal 21 3 29" xfId="6753" xr:uid="{00000000-0005-0000-0000-0000812C0000}"/>
    <cellStyle name="Normal 21 3 29 2" xfId="18833" xr:uid="{00000000-0005-0000-0000-0000822C0000}"/>
    <cellStyle name="Normal 21 3 3" xfId="6754" xr:uid="{00000000-0005-0000-0000-0000832C0000}"/>
    <cellStyle name="Normal 21 3 3 2" xfId="18834" xr:uid="{00000000-0005-0000-0000-0000842C0000}"/>
    <cellStyle name="Normal 21 3 30" xfId="6755" xr:uid="{00000000-0005-0000-0000-0000852C0000}"/>
    <cellStyle name="Normal 21 3 30 2" xfId="18835" xr:uid="{00000000-0005-0000-0000-0000862C0000}"/>
    <cellStyle name="Normal 21 3 31" xfId="6756" xr:uid="{00000000-0005-0000-0000-0000872C0000}"/>
    <cellStyle name="Normal 21 3 31 2" xfId="18836" xr:uid="{00000000-0005-0000-0000-0000882C0000}"/>
    <cellStyle name="Normal 21 3 32" xfId="6757" xr:uid="{00000000-0005-0000-0000-0000892C0000}"/>
    <cellStyle name="Normal 21 3 32 2" xfId="18837" xr:uid="{00000000-0005-0000-0000-00008A2C0000}"/>
    <cellStyle name="Normal 21 3 33" xfId="6758" xr:uid="{00000000-0005-0000-0000-00008B2C0000}"/>
    <cellStyle name="Normal 21 3 33 2" xfId="18838" xr:uid="{00000000-0005-0000-0000-00008C2C0000}"/>
    <cellStyle name="Normal 21 3 34" xfId="6759" xr:uid="{00000000-0005-0000-0000-00008D2C0000}"/>
    <cellStyle name="Normal 21 3 34 2" xfId="18839" xr:uid="{00000000-0005-0000-0000-00008E2C0000}"/>
    <cellStyle name="Normal 21 3 35" xfId="6760" xr:uid="{00000000-0005-0000-0000-00008F2C0000}"/>
    <cellStyle name="Normal 21 3 35 2" xfId="18840" xr:uid="{00000000-0005-0000-0000-0000902C0000}"/>
    <cellStyle name="Normal 21 3 36" xfId="6761" xr:uid="{00000000-0005-0000-0000-0000912C0000}"/>
    <cellStyle name="Normal 21 3 36 2" xfId="18841" xr:uid="{00000000-0005-0000-0000-0000922C0000}"/>
    <cellStyle name="Normal 21 3 37" xfId="6762" xr:uid="{00000000-0005-0000-0000-0000932C0000}"/>
    <cellStyle name="Normal 21 3 37 2" xfId="18842" xr:uid="{00000000-0005-0000-0000-0000942C0000}"/>
    <cellStyle name="Normal 21 3 38" xfId="6763" xr:uid="{00000000-0005-0000-0000-0000952C0000}"/>
    <cellStyle name="Normal 21 3 38 2" xfId="18843" xr:uid="{00000000-0005-0000-0000-0000962C0000}"/>
    <cellStyle name="Normal 21 3 39" xfId="6764" xr:uid="{00000000-0005-0000-0000-0000972C0000}"/>
    <cellStyle name="Normal 21 3 39 2" xfId="18844" xr:uid="{00000000-0005-0000-0000-0000982C0000}"/>
    <cellStyle name="Normal 21 3 4" xfId="6765" xr:uid="{00000000-0005-0000-0000-0000992C0000}"/>
    <cellStyle name="Normal 21 3 4 2" xfId="18845" xr:uid="{00000000-0005-0000-0000-00009A2C0000}"/>
    <cellStyle name="Normal 21 3 40" xfId="6766" xr:uid="{00000000-0005-0000-0000-00009B2C0000}"/>
    <cellStyle name="Normal 21 3 40 2" xfId="18846" xr:uid="{00000000-0005-0000-0000-00009C2C0000}"/>
    <cellStyle name="Normal 21 3 41" xfId="6767" xr:uid="{00000000-0005-0000-0000-00009D2C0000}"/>
    <cellStyle name="Normal 21 3 41 2" xfId="18847" xr:uid="{00000000-0005-0000-0000-00009E2C0000}"/>
    <cellStyle name="Normal 21 3 42" xfId="6768" xr:uid="{00000000-0005-0000-0000-00009F2C0000}"/>
    <cellStyle name="Normal 21 3 42 2" xfId="18848" xr:uid="{00000000-0005-0000-0000-0000A02C0000}"/>
    <cellStyle name="Normal 21 3 43" xfId="6769" xr:uid="{00000000-0005-0000-0000-0000A12C0000}"/>
    <cellStyle name="Normal 21 3 43 2" xfId="18849" xr:uid="{00000000-0005-0000-0000-0000A22C0000}"/>
    <cellStyle name="Normal 21 3 44" xfId="6770" xr:uid="{00000000-0005-0000-0000-0000A32C0000}"/>
    <cellStyle name="Normal 21 3 44 2" xfId="18850" xr:uid="{00000000-0005-0000-0000-0000A42C0000}"/>
    <cellStyle name="Normal 21 3 45" xfId="6771" xr:uid="{00000000-0005-0000-0000-0000A52C0000}"/>
    <cellStyle name="Normal 21 3 45 2" xfId="18851" xr:uid="{00000000-0005-0000-0000-0000A62C0000}"/>
    <cellStyle name="Normal 21 3 46" xfId="6772" xr:uid="{00000000-0005-0000-0000-0000A72C0000}"/>
    <cellStyle name="Normal 21 3 46 2" xfId="18852" xr:uid="{00000000-0005-0000-0000-0000A82C0000}"/>
    <cellStyle name="Normal 21 3 47" xfId="6773" xr:uid="{00000000-0005-0000-0000-0000A92C0000}"/>
    <cellStyle name="Normal 21 3 47 2" xfId="18853" xr:uid="{00000000-0005-0000-0000-0000AA2C0000}"/>
    <cellStyle name="Normal 21 3 48" xfId="6774" xr:uid="{00000000-0005-0000-0000-0000AB2C0000}"/>
    <cellStyle name="Normal 21 3 48 2" xfId="18854" xr:uid="{00000000-0005-0000-0000-0000AC2C0000}"/>
    <cellStyle name="Normal 21 3 49" xfId="6775" xr:uid="{00000000-0005-0000-0000-0000AD2C0000}"/>
    <cellStyle name="Normal 21 3 49 2" xfId="18855" xr:uid="{00000000-0005-0000-0000-0000AE2C0000}"/>
    <cellStyle name="Normal 21 3 5" xfId="6776" xr:uid="{00000000-0005-0000-0000-0000AF2C0000}"/>
    <cellStyle name="Normal 21 3 5 2" xfId="18856" xr:uid="{00000000-0005-0000-0000-0000B02C0000}"/>
    <cellStyle name="Normal 21 3 50" xfId="6777" xr:uid="{00000000-0005-0000-0000-0000B12C0000}"/>
    <cellStyle name="Normal 21 3 50 2" xfId="18857" xr:uid="{00000000-0005-0000-0000-0000B22C0000}"/>
    <cellStyle name="Normal 21 3 51" xfId="6778" xr:uid="{00000000-0005-0000-0000-0000B32C0000}"/>
    <cellStyle name="Normal 21 3 51 2" xfId="18858" xr:uid="{00000000-0005-0000-0000-0000B42C0000}"/>
    <cellStyle name="Normal 21 3 52" xfId="6779" xr:uid="{00000000-0005-0000-0000-0000B52C0000}"/>
    <cellStyle name="Normal 21 3 52 2" xfId="18859" xr:uid="{00000000-0005-0000-0000-0000B62C0000}"/>
    <cellStyle name="Normal 21 3 53" xfId="6780" xr:uid="{00000000-0005-0000-0000-0000B72C0000}"/>
    <cellStyle name="Normal 21 3 53 2" xfId="18860" xr:uid="{00000000-0005-0000-0000-0000B82C0000}"/>
    <cellStyle name="Normal 21 3 54" xfId="6781" xr:uid="{00000000-0005-0000-0000-0000B92C0000}"/>
    <cellStyle name="Normal 21 3 54 2" xfId="18861" xr:uid="{00000000-0005-0000-0000-0000BA2C0000}"/>
    <cellStyle name="Normal 21 3 55" xfId="6782" xr:uid="{00000000-0005-0000-0000-0000BB2C0000}"/>
    <cellStyle name="Normal 21 3 55 2" xfId="18862" xr:uid="{00000000-0005-0000-0000-0000BC2C0000}"/>
    <cellStyle name="Normal 21 3 56" xfId="6783" xr:uid="{00000000-0005-0000-0000-0000BD2C0000}"/>
    <cellStyle name="Normal 21 3 56 2" xfId="18863" xr:uid="{00000000-0005-0000-0000-0000BE2C0000}"/>
    <cellStyle name="Normal 21 3 57" xfId="6784" xr:uid="{00000000-0005-0000-0000-0000BF2C0000}"/>
    <cellStyle name="Normal 21 3 57 2" xfId="18864" xr:uid="{00000000-0005-0000-0000-0000C02C0000}"/>
    <cellStyle name="Normal 21 3 58" xfId="6785" xr:uid="{00000000-0005-0000-0000-0000C12C0000}"/>
    <cellStyle name="Normal 21 3 58 2" xfId="18865" xr:uid="{00000000-0005-0000-0000-0000C22C0000}"/>
    <cellStyle name="Normal 21 3 59" xfId="6786" xr:uid="{00000000-0005-0000-0000-0000C32C0000}"/>
    <cellStyle name="Normal 21 3 59 2" xfId="18866" xr:uid="{00000000-0005-0000-0000-0000C42C0000}"/>
    <cellStyle name="Normal 21 3 6" xfId="6787" xr:uid="{00000000-0005-0000-0000-0000C52C0000}"/>
    <cellStyle name="Normal 21 3 6 2" xfId="18867" xr:uid="{00000000-0005-0000-0000-0000C62C0000}"/>
    <cellStyle name="Normal 21 3 60" xfId="6788" xr:uid="{00000000-0005-0000-0000-0000C72C0000}"/>
    <cellStyle name="Normal 21 3 60 2" xfId="18868" xr:uid="{00000000-0005-0000-0000-0000C82C0000}"/>
    <cellStyle name="Normal 21 3 61" xfId="6789" xr:uid="{00000000-0005-0000-0000-0000C92C0000}"/>
    <cellStyle name="Normal 21 3 61 2" xfId="18869" xr:uid="{00000000-0005-0000-0000-0000CA2C0000}"/>
    <cellStyle name="Normal 21 3 62" xfId="6790" xr:uid="{00000000-0005-0000-0000-0000CB2C0000}"/>
    <cellStyle name="Normal 21 3 62 2" xfId="18870" xr:uid="{00000000-0005-0000-0000-0000CC2C0000}"/>
    <cellStyle name="Normal 21 3 63" xfId="6791" xr:uid="{00000000-0005-0000-0000-0000CD2C0000}"/>
    <cellStyle name="Normal 21 3 63 2" xfId="18871" xr:uid="{00000000-0005-0000-0000-0000CE2C0000}"/>
    <cellStyle name="Normal 21 3 64" xfId="6792" xr:uid="{00000000-0005-0000-0000-0000CF2C0000}"/>
    <cellStyle name="Normal 21 3 64 2" xfId="18872" xr:uid="{00000000-0005-0000-0000-0000D02C0000}"/>
    <cellStyle name="Normal 21 3 65" xfId="6793" xr:uid="{00000000-0005-0000-0000-0000D12C0000}"/>
    <cellStyle name="Normal 21 3 65 2" xfId="18873" xr:uid="{00000000-0005-0000-0000-0000D22C0000}"/>
    <cellStyle name="Normal 21 3 66" xfId="6794" xr:uid="{00000000-0005-0000-0000-0000D32C0000}"/>
    <cellStyle name="Normal 21 3 66 2" xfId="18874" xr:uid="{00000000-0005-0000-0000-0000D42C0000}"/>
    <cellStyle name="Normal 21 3 67" xfId="6795" xr:uid="{00000000-0005-0000-0000-0000D52C0000}"/>
    <cellStyle name="Normal 21 3 67 2" xfId="18875" xr:uid="{00000000-0005-0000-0000-0000D62C0000}"/>
    <cellStyle name="Normal 21 3 68" xfId="6796" xr:uid="{00000000-0005-0000-0000-0000D72C0000}"/>
    <cellStyle name="Normal 21 3 68 2" xfId="18876" xr:uid="{00000000-0005-0000-0000-0000D82C0000}"/>
    <cellStyle name="Normal 21 3 69" xfId="6797" xr:uid="{00000000-0005-0000-0000-0000D92C0000}"/>
    <cellStyle name="Normal 21 3 69 2" xfId="18877" xr:uid="{00000000-0005-0000-0000-0000DA2C0000}"/>
    <cellStyle name="Normal 21 3 7" xfId="6798" xr:uid="{00000000-0005-0000-0000-0000DB2C0000}"/>
    <cellStyle name="Normal 21 3 7 2" xfId="18878" xr:uid="{00000000-0005-0000-0000-0000DC2C0000}"/>
    <cellStyle name="Normal 21 3 70" xfId="6799" xr:uid="{00000000-0005-0000-0000-0000DD2C0000}"/>
    <cellStyle name="Normal 21 3 70 2" xfId="18879" xr:uid="{00000000-0005-0000-0000-0000DE2C0000}"/>
    <cellStyle name="Normal 21 3 71" xfId="6800" xr:uid="{00000000-0005-0000-0000-0000DF2C0000}"/>
    <cellStyle name="Normal 21 3 71 2" xfId="18880" xr:uid="{00000000-0005-0000-0000-0000E02C0000}"/>
    <cellStyle name="Normal 21 3 72" xfId="6801" xr:uid="{00000000-0005-0000-0000-0000E12C0000}"/>
    <cellStyle name="Normal 21 3 72 2" xfId="18881" xr:uid="{00000000-0005-0000-0000-0000E22C0000}"/>
    <cellStyle name="Normal 21 3 73" xfId="6802" xr:uid="{00000000-0005-0000-0000-0000E32C0000}"/>
    <cellStyle name="Normal 21 3 73 2" xfId="18882" xr:uid="{00000000-0005-0000-0000-0000E42C0000}"/>
    <cellStyle name="Normal 21 3 74" xfId="6803" xr:uid="{00000000-0005-0000-0000-0000E52C0000}"/>
    <cellStyle name="Normal 21 3 74 2" xfId="18883" xr:uid="{00000000-0005-0000-0000-0000E62C0000}"/>
    <cellStyle name="Normal 21 3 75" xfId="6804" xr:uid="{00000000-0005-0000-0000-0000E72C0000}"/>
    <cellStyle name="Normal 21 3 75 2" xfId="18884" xr:uid="{00000000-0005-0000-0000-0000E82C0000}"/>
    <cellStyle name="Normal 21 3 76" xfId="6805" xr:uid="{00000000-0005-0000-0000-0000E92C0000}"/>
    <cellStyle name="Normal 21 3 76 2" xfId="18885" xr:uid="{00000000-0005-0000-0000-0000EA2C0000}"/>
    <cellStyle name="Normal 21 3 77" xfId="6806" xr:uid="{00000000-0005-0000-0000-0000EB2C0000}"/>
    <cellStyle name="Normal 21 3 77 2" xfId="18886" xr:uid="{00000000-0005-0000-0000-0000EC2C0000}"/>
    <cellStyle name="Normal 21 3 78" xfId="6807" xr:uid="{00000000-0005-0000-0000-0000ED2C0000}"/>
    <cellStyle name="Normal 21 3 78 2" xfId="18887" xr:uid="{00000000-0005-0000-0000-0000EE2C0000}"/>
    <cellStyle name="Normal 21 3 79" xfId="6808" xr:uid="{00000000-0005-0000-0000-0000EF2C0000}"/>
    <cellStyle name="Normal 21 3 79 2" xfId="18888" xr:uid="{00000000-0005-0000-0000-0000F02C0000}"/>
    <cellStyle name="Normal 21 3 8" xfId="6809" xr:uid="{00000000-0005-0000-0000-0000F12C0000}"/>
    <cellStyle name="Normal 21 3 8 2" xfId="18889" xr:uid="{00000000-0005-0000-0000-0000F22C0000}"/>
    <cellStyle name="Normal 21 3 80" xfId="18812" xr:uid="{00000000-0005-0000-0000-0000F32C0000}"/>
    <cellStyle name="Normal 21 3 9" xfId="6810" xr:uid="{00000000-0005-0000-0000-0000F42C0000}"/>
    <cellStyle name="Normal 21 3 9 2" xfId="18890" xr:uid="{00000000-0005-0000-0000-0000F52C0000}"/>
    <cellStyle name="Normal 21 30" xfId="6811" xr:uid="{00000000-0005-0000-0000-0000F62C0000}"/>
    <cellStyle name="Normal 21 30 2" xfId="18891" xr:uid="{00000000-0005-0000-0000-0000F72C0000}"/>
    <cellStyle name="Normal 21 31" xfId="6812" xr:uid="{00000000-0005-0000-0000-0000F82C0000}"/>
    <cellStyle name="Normal 21 31 2" xfId="18892" xr:uid="{00000000-0005-0000-0000-0000F92C0000}"/>
    <cellStyle name="Normal 21 32" xfId="6813" xr:uid="{00000000-0005-0000-0000-0000FA2C0000}"/>
    <cellStyle name="Normal 21 32 2" xfId="18893" xr:uid="{00000000-0005-0000-0000-0000FB2C0000}"/>
    <cellStyle name="Normal 21 33" xfId="6814" xr:uid="{00000000-0005-0000-0000-0000FC2C0000}"/>
    <cellStyle name="Normal 21 33 2" xfId="18894" xr:uid="{00000000-0005-0000-0000-0000FD2C0000}"/>
    <cellStyle name="Normal 21 34" xfId="6815" xr:uid="{00000000-0005-0000-0000-0000FE2C0000}"/>
    <cellStyle name="Normal 21 34 2" xfId="18895" xr:uid="{00000000-0005-0000-0000-0000FF2C0000}"/>
    <cellStyle name="Normal 21 35" xfId="6816" xr:uid="{00000000-0005-0000-0000-0000002D0000}"/>
    <cellStyle name="Normal 21 35 2" xfId="18896" xr:uid="{00000000-0005-0000-0000-0000012D0000}"/>
    <cellStyle name="Normal 21 36" xfId="6817" xr:uid="{00000000-0005-0000-0000-0000022D0000}"/>
    <cellStyle name="Normal 21 36 2" xfId="18897" xr:uid="{00000000-0005-0000-0000-0000032D0000}"/>
    <cellStyle name="Normal 21 37" xfId="6818" xr:uid="{00000000-0005-0000-0000-0000042D0000}"/>
    <cellStyle name="Normal 21 37 2" xfId="18898" xr:uid="{00000000-0005-0000-0000-0000052D0000}"/>
    <cellStyle name="Normal 21 38" xfId="6819" xr:uid="{00000000-0005-0000-0000-0000062D0000}"/>
    <cellStyle name="Normal 21 38 2" xfId="18899" xr:uid="{00000000-0005-0000-0000-0000072D0000}"/>
    <cellStyle name="Normal 21 39" xfId="6820" xr:uid="{00000000-0005-0000-0000-0000082D0000}"/>
    <cellStyle name="Normal 21 39 2" xfId="18900" xr:uid="{00000000-0005-0000-0000-0000092D0000}"/>
    <cellStyle name="Normal 21 4" xfId="6821" xr:uid="{00000000-0005-0000-0000-00000A2D0000}"/>
    <cellStyle name="Normal 21 4 10" xfId="6822" xr:uid="{00000000-0005-0000-0000-00000B2D0000}"/>
    <cellStyle name="Normal 21 4 10 2" xfId="18902" xr:uid="{00000000-0005-0000-0000-00000C2D0000}"/>
    <cellStyle name="Normal 21 4 11" xfId="6823" xr:uid="{00000000-0005-0000-0000-00000D2D0000}"/>
    <cellStyle name="Normal 21 4 11 2" xfId="18903" xr:uid="{00000000-0005-0000-0000-00000E2D0000}"/>
    <cellStyle name="Normal 21 4 12" xfId="6824" xr:uid="{00000000-0005-0000-0000-00000F2D0000}"/>
    <cellStyle name="Normal 21 4 12 2" xfId="18904" xr:uid="{00000000-0005-0000-0000-0000102D0000}"/>
    <cellStyle name="Normal 21 4 13" xfId="6825" xr:uid="{00000000-0005-0000-0000-0000112D0000}"/>
    <cellStyle name="Normal 21 4 13 2" xfId="18905" xr:uid="{00000000-0005-0000-0000-0000122D0000}"/>
    <cellStyle name="Normal 21 4 14" xfId="6826" xr:uid="{00000000-0005-0000-0000-0000132D0000}"/>
    <cellStyle name="Normal 21 4 14 2" xfId="18906" xr:uid="{00000000-0005-0000-0000-0000142D0000}"/>
    <cellStyle name="Normal 21 4 15" xfId="6827" xr:uid="{00000000-0005-0000-0000-0000152D0000}"/>
    <cellStyle name="Normal 21 4 15 2" xfId="18907" xr:uid="{00000000-0005-0000-0000-0000162D0000}"/>
    <cellStyle name="Normal 21 4 16" xfId="6828" xr:uid="{00000000-0005-0000-0000-0000172D0000}"/>
    <cellStyle name="Normal 21 4 16 2" xfId="18908" xr:uid="{00000000-0005-0000-0000-0000182D0000}"/>
    <cellStyle name="Normal 21 4 17" xfId="6829" xr:uid="{00000000-0005-0000-0000-0000192D0000}"/>
    <cellStyle name="Normal 21 4 17 2" xfId="18909" xr:uid="{00000000-0005-0000-0000-00001A2D0000}"/>
    <cellStyle name="Normal 21 4 18" xfId="6830" xr:uid="{00000000-0005-0000-0000-00001B2D0000}"/>
    <cellStyle name="Normal 21 4 18 2" xfId="18910" xr:uid="{00000000-0005-0000-0000-00001C2D0000}"/>
    <cellStyle name="Normal 21 4 19" xfId="6831" xr:uid="{00000000-0005-0000-0000-00001D2D0000}"/>
    <cellStyle name="Normal 21 4 19 2" xfId="18911" xr:uid="{00000000-0005-0000-0000-00001E2D0000}"/>
    <cellStyle name="Normal 21 4 2" xfId="6832" xr:uid="{00000000-0005-0000-0000-00001F2D0000}"/>
    <cellStyle name="Normal 21 4 2 2" xfId="18912" xr:uid="{00000000-0005-0000-0000-0000202D0000}"/>
    <cellStyle name="Normal 21 4 20" xfId="6833" xr:uid="{00000000-0005-0000-0000-0000212D0000}"/>
    <cellStyle name="Normal 21 4 20 2" xfId="18913" xr:uid="{00000000-0005-0000-0000-0000222D0000}"/>
    <cellStyle name="Normal 21 4 21" xfId="6834" xr:uid="{00000000-0005-0000-0000-0000232D0000}"/>
    <cellStyle name="Normal 21 4 21 2" xfId="18914" xr:uid="{00000000-0005-0000-0000-0000242D0000}"/>
    <cellStyle name="Normal 21 4 22" xfId="6835" xr:uid="{00000000-0005-0000-0000-0000252D0000}"/>
    <cellStyle name="Normal 21 4 22 2" xfId="18915" xr:uid="{00000000-0005-0000-0000-0000262D0000}"/>
    <cellStyle name="Normal 21 4 23" xfId="6836" xr:uid="{00000000-0005-0000-0000-0000272D0000}"/>
    <cellStyle name="Normal 21 4 23 2" xfId="18916" xr:uid="{00000000-0005-0000-0000-0000282D0000}"/>
    <cellStyle name="Normal 21 4 24" xfId="6837" xr:uid="{00000000-0005-0000-0000-0000292D0000}"/>
    <cellStyle name="Normal 21 4 24 2" xfId="18917" xr:uid="{00000000-0005-0000-0000-00002A2D0000}"/>
    <cellStyle name="Normal 21 4 25" xfId="6838" xr:uid="{00000000-0005-0000-0000-00002B2D0000}"/>
    <cellStyle name="Normal 21 4 25 2" xfId="18918" xr:uid="{00000000-0005-0000-0000-00002C2D0000}"/>
    <cellStyle name="Normal 21 4 26" xfId="6839" xr:uid="{00000000-0005-0000-0000-00002D2D0000}"/>
    <cellStyle name="Normal 21 4 26 2" xfId="18919" xr:uid="{00000000-0005-0000-0000-00002E2D0000}"/>
    <cellStyle name="Normal 21 4 27" xfId="6840" xr:uid="{00000000-0005-0000-0000-00002F2D0000}"/>
    <cellStyle name="Normal 21 4 27 2" xfId="18920" xr:uid="{00000000-0005-0000-0000-0000302D0000}"/>
    <cellStyle name="Normal 21 4 28" xfId="6841" xr:uid="{00000000-0005-0000-0000-0000312D0000}"/>
    <cellStyle name="Normal 21 4 28 2" xfId="18921" xr:uid="{00000000-0005-0000-0000-0000322D0000}"/>
    <cellStyle name="Normal 21 4 29" xfId="6842" xr:uid="{00000000-0005-0000-0000-0000332D0000}"/>
    <cellStyle name="Normal 21 4 29 2" xfId="18922" xr:uid="{00000000-0005-0000-0000-0000342D0000}"/>
    <cellStyle name="Normal 21 4 3" xfId="6843" xr:uid="{00000000-0005-0000-0000-0000352D0000}"/>
    <cellStyle name="Normal 21 4 3 2" xfId="18923" xr:uid="{00000000-0005-0000-0000-0000362D0000}"/>
    <cellStyle name="Normal 21 4 30" xfId="6844" xr:uid="{00000000-0005-0000-0000-0000372D0000}"/>
    <cellStyle name="Normal 21 4 30 2" xfId="18924" xr:uid="{00000000-0005-0000-0000-0000382D0000}"/>
    <cellStyle name="Normal 21 4 31" xfId="6845" xr:uid="{00000000-0005-0000-0000-0000392D0000}"/>
    <cellStyle name="Normal 21 4 31 2" xfId="18925" xr:uid="{00000000-0005-0000-0000-00003A2D0000}"/>
    <cellStyle name="Normal 21 4 32" xfId="6846" xr:uid="{00000000-0005-0000-0000-00003B2D0000}"/>
    <cellStyle name="Normal 21 4 32 2" xfId="18926" xr:uid="{00000000-0005-0000-0000-00003C2D0000}"/>
    <cellStyle name="Normal 21 4 33" xfId="6847" xr:uid="{00000000-0005-0000-0000-00003D2D0000}"/>
    <cellStyle name="Normal 21 4 33 2" xfId="18927" xr:uid="{00000000-0005-0000-0000-00003E2D0000}"/>
    <cellStyle name="Normal 21 4 34" xfId="6848" xr:uid="{00000000-0005-0000-0000-00003F2D0000}"/>
    <cellStyle name="Normal 21 4 34 2" xfId="18928" xr:uid="{00000000-0005-0000-0000-0000402D0000}"/>
    <cellStyle name="Normal 21 4 35" xfId="6849" xr:uid="{00000000-0005-0000-0000-0000412D0000}"/>
    <cellStyle name="Normal 21 4 35 2" xfId="18929" xr:uid="{00000000-0005-0000-0000-0000422D0000}"/>
    <cellStyle name="Normal 21 4 36" xfId="6850" xr:uid="{00000000-0005-0000-0000-0000432D0000}"/>
    <cellStyle name="Normal 21 4 36 2" xfId="18930" xr:uid="{00000000-0005-0000-0000-0000442D0000}"/>
    <cellStyle name="Normal 21 4 37" xfId="6851" xr:uid="{00000000-0005-0000-0000-0000452D0000}"/>
    <cellStyle name="Normal 21 4 37 2" xfId="18931" xr:uid="{00000000-0005-0000-0000-0000462D0000}"/>
    <cellStyle name="Normal 21 4 38" xfId="6852" xr:uid="{00000000-0005-0000-0000-0000472D0000}"/>
    <cellStyle name="Normal 21 4 38 2" xfId="18932" xr:uid="{00000000-0005-0000-0000-0000482D0000}"/>
    <cellStyle name="Normal 21 4 39" xfId="6853" xr:uid="{00000000-0005-0000-0000-0000492D0000}"/>
    <cellStyle name="Normal 21 4 39 2" xfId="18933" xr:uid="{00000000-0005-0000-0000-00004A2D0000}"/>
    <cellStyle name="Normal 21 4 4" xfId="6854" xr:uid="{00000000-0005-0000-0000-00004B2D0000}"/>
    <cellStyle name="Normal 21 4 4 2" xfId="18934" xr:uid="{00000000-0005-0000-0000-00004C2D0000}"/>
    <cellStyle name="Normal 21 4 40" xfId="6855" xr:uid="{00000000-0005-0000-0000-00004D2D0000}"/>
    <cellStyle name="Normal 21 4 40 2" xfId="18935" xr:uid="{00000000-0005-0000-0000-00004E2D0000}"/>
    <cellStyle name="Normal 21 4 41" xfId="6856" xr:uid="{00000000-0005-0000-0000-00004F2D0000}"/>
    <cellStyle name="Normal 21 4 41 2" xfId="18936" xr:uid="{00000000-0005-0000-0000-0000502D0000}"/>
    <cellStyle name="Normal 21 4 42" xfId="6857" xr:uid="{00000000-0005-0000-0000-0000512D0000}"/>
    <cellStyle name="Normal 21 4 42 2" xfId="18937" xr:uid="{00000000-0005-0000-0000-0000522D0000}"/>
    <cellStyle name="Normal 21 4 43" xfId="6858" xr:uid="{00000000-0005-0000-0000-0000532D0000}"/>
    <cellStyle name="Normal 21 4 43 2" xfId="18938" xr:uid="{00000000-0005-0000-0000-0000542D0000}"/>
    <cellStyle name="Normal 21 4 44" xfId="6859" xr:uid="{00000000-0005-0000-0000-0000552D0000}"/>
    <cellStyle name="Normal 21 4 44 2" xfId="18939" xr:uid="{00000000-0005-0000-0000-0000562D0000}"/>
    <cellStyle name="Normal 21 4 45" xfId="6860" xr:uid="{00000000-0005-0000-0000-0000572D0000}"/>
    <cellStyle name="Normal 21 4 45 2" xfId="18940" xr:uid="{00000000-0005-0000-0000-0000582D0000}"/>
    <cellStyle name="Normal 21 4 46" xfId="6861" xr:uid="{00000000-0005-0000-0000-0000592D0000}"/>
    <cellStyle name="Normal 21 4 46 2" xfId="18941" xr:uid="{00000000-0005-0000-0000-00005A2D0000}"/>
    <cellStyle name="Normal 21 4 47" xfId="6862" xr:uid="{00000000-0005-0000-0000-00005B2D0000}"/>
    <cellStyle name="Normal 21 4 47 2" xfId="18942" xr:uid="{00000000-0005-0000-0000-00005C2D0000}"/>
    <cellStyle name="Normal 21 4 48" xfId="6863" xr:uid="{00000000-0005-0000-0000-00005D2D0000}"/>
    <cellStyle name="Normal 21 4 48 2" xfId="18943" xr:uid="{00000000-0005-0000-0000-00005E2D0000}"/>
    <cellStyle name="Normal 21 4 49" xfId="6864" xr:uid="{00000000-0005-0000-0000-00005F2D0000}"/>
    <cellStyle name="Normal 21 4 49 2" xfId="18944" xr:uid="{00000000-0005-0000-0000-0000602D0000}"/>
    <cellStyle name="Normal 21 4 5" xfId="6865" xr:uid="{00000000-0005-0000-0000-0000612D0000}"/>
    <cellStyle name="Normal 21 4 5 2" xfId="18945" xr:uid="{00000000-0005-0000-0000-0000622D0000}"/>
    <cellStyle name="Normal 21 4 50" xfId="6866" xr:uid="{00000000-0005-0000-0000-0000632D0000}"/>
    <cellStyle name="Normal 21 4 50 2" xfId="18946" xr:uid="{00000000-0005-0000-0000-0000642D0000}"/>
    <cellStyle name="Normal 21 4 51" xfId="6867" xr:uid="{00000000-0005-0000-0000-0000652D0000}"/>
    <cellStyle name="Normal 21 4 51 2" xfId="18947" xr:uid="{00000000-0005-0000-0000-0000662D0000}"/>
    <cellStyle name="Normal 21 4 52" xfId="6868" xr:uid="{00000000-0005-0000-0000-0000672D0000}"/>
    <cellStyle name="Normal 21 4 52 2" xfId="18948" xr:uid="{00000000-0005-0000-0000-0000682D0000}"/>
    <cellStyle name="Normal 21 4 53" xfId="6869" xr:uid="{00000000-0005-0000-0000-0000692D0000}"/>
    <cellStyle name="Normal 21 4 53 2" xfId="18949" xr:uid="{00000000-0005-0000-0000-00006A2D0000}"/>
    <cellStyle name="Normal 21 4 54" xfId="6870" xr:uid="{00000000-0005-0000-0000-00006B2D0000}"/>
    <cellStyle name="Normal 21 4 54 2" xfId="18950" xr:uid="{00000000-0005-0000-0000-00006C2D0000}"/>
    <cellStyle name="Normal 21 4 55" xfId="6871" xr:uid="{00000000-0005-0000-0000-00006D2D0000}"/>
    <cellStyle name="Normal 21 4 55 2" xfId="18951" xr:uid="{00000000-0005-0000-0000-00006E2D0000}"/>
    <cellStyle name="Normal 21 4 56" xfId="6872" xr:uid="{00000000-0005-0000-0000-00006F2D0000}"/>
    <cellStyle name="Normal 21 4 56 2" xfId="18952" xr:uid="{00000000-0005-0000-0000-0000702D0000}"/>
    <cellStyle name="Normal 21 4 57" xfId="6873" xr:uid="{00000000-0005-0000-0000-0000712D0000}"/>
    <cellStyle name="Normal 21 4 57 2" xfId="18953" xr:uid="{00000000-0005-0000-0000-0000722D0000}"/>
    <cellStyle name="Normal 21 4 58" xfId="6874" xr:uid="{00000000-0005-0000-0000-0000732D0000}"/>
    <cellStyle name="Normal 21 4 58 2" xfId="18954" xr:uid="{00000000-0005-0000-0000-0000742D0000}"/>
    <cellStyle name="Normal 21 4 59" xfId="6875" xr:uid="{00000000-0005-0000-0000-0000752D0000}"/>
    <cellStyle name="Normal 21 4 59 2" xfId="18955" xr:uid="{00000000-0005-0000-0000-0000762D0000}"/>
    <cellStyle name="Normal 21 4 6" xfId="6876" xr:uid="{00000000-0005-0000-0000-0000772D0000}"/>
    <cellStyle name="Normal 21 4 6 2" xfId="18956" xr:uid="{00000000-0005-0000-0000-0000782D0000}"/>
    <cellStyle name="Normal 21 4 60" xfId="6877" xr:uid="{00000000-0005-0000-0000-0000792D0000}"/>
    <cellStyle name="Normal 21 4 60 2" xfId="18957" xr:uid="{00000000-0005-0000-0000-00007A2D0000}"/>
    <cellStyle name="Normal 21 4 61" xfId="6878" xr:uid="{00000000-0005-0000-0000-00007B2D0000}"/>
    <cellStyle name="Normal 21 4 61 2" xfId="18958" xr:uid="{00000000-0005-0000-0000-00007C2D0000}"/>
    <cellStyle name="Normal 21 4 62" xfId="6879" xr:uid="{00000000-0005-0000-0000-00007D2D0000}"/>
    <cellStyle name="Normal 21 4 62 2" xfId="18959" xr:uid="{00000000-0005-0000-0000-00007E2D0000}"/>
    <cellStyle name="Normal 21 4 63" xfId="6880" xr:uid="{00000000-0005-0000-0000-00007F2D0000}"/>
    <cellStyle name="Normal 21 4 63 2" xfId="18960" xr:uid="{00000000-0005-0000-0000-0000802D0000}"/>
    <cellStyle name="Normal 21 4 64" xfId="6881" xr:uid="{00000000-0005-0000-0000-0000812D0000}"/>
    <cellStyle name="Normal 21 4 64 2" xfId="18961" xr:uid="{00000000-0005-0000-0000-0000822D0000}"/>
    <cellStyle name="Normal 21 4 65" xfId="6882" xr:uid="{00000000-0005-0000-0000-0000832D0000}"/>
    <cellStyle name="Normal 21 4 65 2" xfId="18962" xr:uid="{00000000-0005-0000-0000-0000842D0000}"/>
    <cellStyle name="Normal 21 4 66" xfId="6883" xr:uid="{00000000-0005-0000-0000-0000852D0000}"/>
    <cellStyle name="Normal 21 4 66 2" xfId="18963" xr:uid="{00000000-0005-0000-0000-0000862D0000}"/>
    <cellStyle name="Normal 21 4 67" xfId="6884" xr:uid="{00000000-0005-0000-0000-0000872D0000}"/>
    <cellStyle name="Normal 21 4 67 2" xfId="18964" xr:uid="{00000000-0005-0000-0000-0000882D0000}"/>
    <cellStyle name="Normal 21 4 68" xfId="6885" xr:uid="{00000000-0005-0000-0000-0000892D0000}"/>
    <cellStyle name="Normal 21 4 68 2" xfId="18965" xr:uid="{00000000-0005-0000-0000-00008A2D0000}"/>
    <cellStyle name="Normal 21 4 69" xfId="6886" xr:uid="{00000000-0005-0000-0000-00008B2D0000}"/>
    <cellStyle name="Normal 21 4 69 2" xfId="18966" xr:uid="{00000000-0005-0000-0000-00008C2D0000}"/>
    <cellStyle name="Normal 21 4 7" xfId="6887" xr:uid="{00000000-0005-0000-0000-00008D2D0000}"/>
    <cellStyle name="Normal 21 4 7 2" xfId="18967" xr:uid="{00000000-0005-0000-0000-00008E2D0000}"/>
    <cellStyle name="Normal 21 4 70" xfId="6888" xr:uid="{00000000-0005-0000-0000-00008F2D0000}"/>
    <cellStyle name="Normal 21 4 70 2" xfId="18968" xr:uid="{00000000-0005-0000-0000-0000902D0000}"/>
    <cellStyle name="Normal 21 4 71" xfId="6889" xr:uid="{00000000-0005-0000-0000-0000912D0000}"/>
    <cellStyle name="Normal 21 4 71 2" xfId="18969" xr:uid="{00000000-0005-0000-0000-0000922D0000}"/>
    <cellStyle name="Normal 21 4 72" xfId="6890" xr:uid="{00000000-0005-0000-0000-0000932D0000}"/>
    <cellStyle name="Normal 21 4 72 2" xfId="18970" xr:uid="{00000000-0005-0000-0000-0000942D0000}"/>
    <cellStyle name="Normal 21 4 73" xfId="6891" xr:uid="{00000000-0005-0000-0000-0000952D0000}"/>
    <cellStyle name="Normal 21 4 73 2" xfId="18971" xr:uid="{00000000-0005-0000-0000-0000962D0000}"/>
    <cellStyle name="Normal 21 4 74" xfId="6892" xr:uid="{00000000-0005-0000-0000-0000972D0000}"/>
    <cellStyle name="Normal 21 4 74 2" xfId="18972" xr:uid="{00000000-0005-0000-0000-0000982D0000}"/>
    <cellStyle name="Normal 21 4 75" xfId="6893" xr:uid="{00000000-0005-0000-0000-0000992D0000}"/>
    <cellStyle name="Normal 21 4 75 2" xfId="18973" xr:uid="{00000000-0005-0000-0000-00009A2D0000}"/>
    <cellStyle name="Normal 21 4 76" xfId="6894" xr:uid="{00000000-0005-0000-0000-00009B2D0000}"/>
    <cellStyle name="Normal 21 4 76 2" xfId="18974" xr:uid="{00000000-0005-0000-0000-00009C2D0000}"/>
    <cellStyle name="Normal 21 4 77" xfId="6895" xr:uid="{00000000-0005-0000-0000-00009D2D0000}"/>
    <cellStyle name="Normal 21 4 77 2" xfId="18975" xr:uid="{00000000-0005-0000-0000-00009E2D0000}"/>
    <cellStyle name="Normal 21 4 78" xfId="6896" xr:uid="{00000000-0005-0000-0000-00009F2D0000}"/>
    <cellStyle name="Normal 21 4 78 2" xfId="18976" xr:uid="{00000000-0005-0000-0000-0000A02D0000}"/>
    <cellStyle name="Normal 21 4 79" xfId="6897" xr:uid="{00000000-0005-0000-0000-0000A12D0000}"/>
    <cellStyle name="Normal 21 4 79 2" xfId="18977" xr:uid="{00000000-0005-0000-0000-0000A22D0000}"/>
    <cellStyle name="Normal 21 4 8" xfId="6898" xr:uid="{00000000-0005-0000-0000-0000A32D0000}"/>
    <cellStyle name="Normal 21 4 8 2" xfId="18978" xr:uid="{00000000-0005-0000-0000-0000A42D0000}"/>
    <cellStyle name="Normal 21 4 80" xfId="18901" xr:uid="{00000000-0005-0000-0000-0000A52D0000}"/>
    <cellStyle name="Normal 21 4 9" xfId="6899" xr:uid="{00000000-0005-0000-0000-0000A62D0000}"/>
    <cellStyle name="Normal 21 4 9 2" xfId="18979" xr:uid="{00000000-0005-0000-0000-0000A72D0000}"/>
    <cellStyle name="Normal 21 40" xfId="6900" xr:uid="{00000000-0005-0000-0000-0000A82D0000}"/>
    <cellStyle name="Normal 21 40 2" xfId="18980" xr:uid="{00000000-0005-0000-0000-0000A92D0000}"/>
    <cellStyle name="Normal 21 41" xfId="6901" xr:uid="{00000000-0005-0000-0000-0000AA2D0000}"/>
    <cellStyle name="Normal 21 41 2" xfId="18981" xr:uid="{00000000-0005-0000-0000-0000AB2D0000}"/>
    <cellStyle name="Normal 21 42" xfId="6902" xr:uid="{00000000-0005-0000-0000-0000AC2D0000}"/>
    <cellStyle name="Normal 21 42 2" xfId="18982" xr:uid="{00000000-0005-0000-0000-0000AD2D0000}"/>
    <cellStyle name="Normal 21 43" xfId="6903" xr:uid="{00000000-0005-0000-0000-0000AE2D0000}"/>
    <cellStyle name="Normal 21 43 2" xfId="18983" xr:uid="{00000000-0005-0000-0000-0000AF2D0000}"/>
    <cellStyle name="Normal 21 44" xfId="6904" xr:uid="{00000000-0005-0000-0000-0000B02D0000}"/>
    <cellStyle name="Normal 21 44 2" xfId="18984" xr:uid="{00000000-0005-0000-0000-0000B12D0000}"/>
    <cellStyle name="Normal 21 45" xfId="6905" xr:uid="{00000000-0005-0000-0000-0000B22D0000}"/>
    <cellStyle name="Normal 21 45 2" xfId="18985" xr:uid="{00000000-0005-0000-0000-0000B32D0000}"/>
    <cellStyle name="Normal 21 46" xfId="6906" xr:uid="{00000000-0005-0000-0000-0000B42D0000}"/>
    <cellStyle name="Normal 21 46 2" xfId="18986" xr:uid="{00000000-0005-0000-0000-0000B52D0000}"/>
    <cellStyle name="Normal 21 47" xfId="6907" xr:uid="{00000000-0005-0000-0000-0000B62D0000}"/>
    <cellStyle name="Normal 21 47 2" xfId="18987" xr:uid="{00000000-0005-0000-0000-0000B72D0000}"/>
    <cellStyle name="Normal 21 48" xfId="6908" xr:uid="{00000000-0005-0000-0000-0000B82D0000}"/>
    <cellStyle name="Normal 21 48 2" xfId="18988" xr:uid="{00000000-0005-0000-0000-0000B92D0000}"/>
    <cellStyle name="Normal 21 49" xfId="6909" xr:uid="{00000000-0005-0000-0000-0000BA2D0000}"/>
    <cellStyle name="Normal 21 49 2" xfId="18989" xr:uid="{00000000-0005-0000-0000-0000BB2D0000}"/>
    <cellStyle name="Normal 21 5" xfId="6910" xr:uid="{00000000-0005-0000-0000-0000BC2D0000}"/>
    <cellStyle name="Normal 21 5 2" xfId="18990" xr:uid="{00000000-0005-0000-0000-0000BD2D0000}"/>
    <cellStyle name="Normal 21 50" xfId="6911" xr:uid="{00000000-0005-0000-0000-0000BE2D0000}"/>
    <cellStyle name="Normal 21 50 2" xfId="18991" xr:uid="{00000000-0005-0000-0000-0000BF2D0000}"/>
    <cellStyle name="Normal 21 51" xfId="6912" xr:uid="{00000000-0005-0000-0000-0000C02D0000}"/>
    <cellStyle name="Normal 21 51 2" xfId="18992" xr:uid="{00000000-0005-0000-0000-0000C12D0000}"/>
    <cellStyle name="Normal 21 52" xfId="6913" xr:uid="{00000000-0005-0000-0000-0000C22D0000}"/>
    <cellStyle name="Normal 21 52 2" xfId="18993" xr:uid="{00000000-0005-0000-0000-0000C32D0000}"/>
    <cellStyle name="Normal 21 53" xfId="6914" xr:uid="{00000000-0005-0000-0000-0000C42D0000}"/>
    <cellStyle name="Normal 21 53 2" xfId="18994" xr:uid="{00000000-0005-0000-0000-0000C52D0000}"/>
    <cellStyle name="Normal 21 54" xfId="6915" xr:uid="{00000000-0005-0000-0000-0000C62D0000}"/>
    <cellStyle name="Normal 21 54 2" xfId="18995" xr:uid="{00000000-0005-0000-0000-0000C72D0000}"/>
    <cellStyle name="Normal 21 55" xfId="6916" xr:uid="{00000000-0005-0000-0000-0000C82D0000}"/>
    <cellStyle name="Normal 21 55 2" xfId="18996" xr:uid="{00000000-0005-0000-0000-0000C92D0000}"/>
    <cellStyle name="Normal 21 56" xfId="6917" xr:uid="{00000000-0005-0000-0000-0000CA2D0000}"/>
    <cellStyle name="Normal 21 56 2" xfId="18997" xr:uid="{00000000-0005-0000-0000-0000CB2D0000}"/>
    <cellStyle name="Normal 21 57" xfId="6918" xr:uid="{00000000-0005-0000-0000-0000CC2D0000}"/>
    <cellStyle name="Normal 21 57 2" xfId="18998" xr:uid="{00000000-0005-0000-0000-0000CD2D0000}"/>
    <cellStyle name="Normal 21 58" xfId="6919" xr:uid="{00000000-0005-0000-0000-0000CE2D0000}"/>
    <cellStyle name="Normal 21 58 2" xfId="18999" xr:uid="{00000000-0005-0000-0000-0000CF2D0000}"/>
    <cellStyle name="Normal 21 59" xfId="6920" xr:uid="{00000000-0005-0000-0000-0000D02D0000}"/>
    <cellStyle name="Normal 21 59 2" xfId="19000" xr:uid="{00000000-0005-0000-0000-0000D12D0000}"/>
    <cellStyle name="Normal 21 6" xfId="6921" xr:uid="{00000000-0005-0000-0000-0000D22D0000}"/>
    <cellStyle name="Normal 21 6 2" xfId="19001" xr:uid="{00000000-0005-0000-0000-0000D32D0000}"/>
    <cellStyle name="Normal 21 60" xfId="6922" xr:uid="{00000000-0005-0000-0000-0000D42D0000}"/>
    <cellStyle name="Normal 21 60 2" xfId="19002" xr:uid="{00000000-0005-0000-0000-0000D52D0000}"/>
    <cellStyle name="Normal 21 61" xfId="6923" xr:uid="{00000000-0005-0000-0000-0000D62D0000}"/>
    <cellStyle name="Normal 21 61 2" xfId="19003" xr:uid="{00000000-0005-0000-0000-0000D72D0000}"/>
    <cellStyle name="Normal 21 62" xfId="6924" xr:uid="{00000000-0005-0000-0000-0000D82D0000}"/>
    <cellStyle name="Normal 21 62 2" xfId="19004" xr:uid="{00000000-0005-0000-0000-0000D92D0000}"/>
    <cellStyle name="Normal 21 63" xfId="6925" xr:uid="{00000000-0005-0000-0000-0000DA2D0000}"/>
    <cellStyle name="Normal 21 63 2" xfId="19005" xr:uid="{00000000-0005-0000-0000-0000DB2D0000}"/>
    <cellStyle name="Normal 21 64" xfId="6926" xr:uid="{00000000-0005-0000-0000-0000DC2D0000}"/>
    <cellStyle name="Normal 21 64 2" xfId="19006" xr:uid="{00000000-0005-0000-0000-0000DD2D0000}"/>
    <cellStyle name="Normal 21 65" xfId="6927" xr:uid="{00000000-0005-0000-0000-0000DE2D0000}"/>
    <cellStyle name="Normal 21 65 2" xfId="19007" xr:uid="{00000000-0005-0000-0000-0000DF2D0000}"/>
    <cellStyle name="Normal 21 66" xfId="6928" xr:uid="{00000000-0005-0000-0000-0000E02D0000}"/>
    <cellStyle name="Normal 21 66 2" xfId="19008" xr:uid="{00000000-0005-0000-0000-0000E12D0000}"/>
    <cellStyle name="Normal 21 67" xfId="6929" xr:uid="{00000000-0005-0000-0000-0000E22D0000}"/>
    <cellStyle name="Normal 21 67 2" xfId="19009" xr:uid="{00000000-0005-0000-0000-0000E32D0000}"/>
    <cellStyle name="Normal 21 68" xfId="6930" xr:uid="{00000000-0005-0000-0000-0000E42D0000}"/>
    <cellStyle name="Normal 21 68 2" xfId="19010" xr:uid="{00000000-0005-0000-0000-0000E52D0000}"/>
    <cellStyle name="Normal 21 69" xfId="6931" xr:uid="{00000000-0005-0000-0000-0000E62D0000}"/>
    <cellStyle name="Normal 21 69 2" xfId="19011" xr:uid="{00000000-0005-0000-0000-0000E72D0000}"/>
    <cellStyle name="Normal 21 7" xfId="6932" xr:uid="{00000000-0005-0000-0000-0000E82D0000}"/>
    <cellStyle name="Normal 21 7 2" xfId="19012" xr:uid="{00000000-0005-0000-0000-0000E92D0000}"/>
    <cellStyle name="Normal 21 70" xfId="6933" xr:uid="{00000000-0005-0000-0000-0000EA2D0000}"/>
    <cellStyle name="Normal 21 70 2" xfId="19013" xr:uid="{00000000-0005-0000-0000-0000EB2D0000}"/>
    <cellStyle name="Normal 21 71" xfId="6934" xr:uid="{00000000-0005-0000-0000-0000EC2D0000}"/>
    <cellStyle name="Normal 21 71 2" xfId="19014" xr:uid="{00000000-0005-0000-0000-0000ED2D0000}"/>
    <cellStyle name="Normal 21 72" xfId="6935" xr:uid="{00000000-0005-0000-0000-0000EE2D0000}"/>
    <cellStyle name="Normal 21 72 2" xfId="19015" xr:uid="{00000000-0005-0000-0000-0000EF2D0000}"/>
    <cellStyle name="Normal 21 73" xfId="6936" xr:uid="{00000000-0005-0000-0000-0000F02D0000}"/>
    <cellStyle name="Normal 21 73 2" xfId="19016" xr:uid="{00000000-0005-0000-0000-0000F12D0000}"/>
    <cellStyle name="Normal 21 74" xfId="6937" xr:uid="{00000000-0005-0000-0000-0000F22D0000}"/>
    <cellStyle name="Normal 21 74 2" xfId="19017" xr:uid="{00000000-0005-0000-0000-0000F32D0000}"/>
    <cellStyle name="Normal 21 75" xfId="6938" xr:uid="{00000000-0005-0000-0000-0000F42D0000}"/>
    <cellStyle name="Normal 21 75 2" xfId="19018" xr:uid="{00000000-0005-0000-0000-0000F52D0000}"/>
    <cellStyle name="Normal 21 76" xfId="6939" xr:uid="{00000000-0005-0000-0000-0000F62D0000}"/>
    <cellStyle name="Normal 21 76 2" xfId="19019" xr:uid="{00000000-0005-0000-0000-0000F72D0000}"/>
    <cellStyle name="Normal 21 77" xfId="6940" xr:uid="{00000000-0005-0000-0000-0000F82D0000}"/>
    <cellStyle name="Normal 21 77 2" xfId="19020" xr:uid="{00000000-0005-0000-0000-0000F92D0000}"/>
    <cellStyle name="Normal 21 78" xfId="6941" xr:uid="{00000000-0005-0000-0000-0000FA2D0000}"/>
    <cellStyle name="Normal 21 78 2" xfId="19021" xr:uid="{00000000-0005-0000-0000-0000FB2D0000}"/>
    <cellStyle name="Normal 21 79" xfId="6942" xr:uid="{00000000-0005-0000-0000-0000FC2D0000}"/>
    <cellStyle name="Normal 21 79 2" xfId="19022" xr:uid="{00000000-0005-0000-0000-0000FD2D0000}"/>
    <cellStyle name="Normal 21 8" xfId="6943" xr:uid="{00000000-0005-0000-0000-0000FE2D0000}"/>
    <cellStyle name="Normal 21 8 2" xfId="19023" xr:uid="{00000000-0005-0000-0000-0000FF2D0000}"/>
    <cellStyle name="Normal 21 80" xfId="6944" xr:uid="{00000000-0005-0000-0000-0000002E0000}"/>
    <cellStyle name="Normal 21 80 2" xfId="19024" xr:uid="{00000000-0005-0000-0000-0000012E0000}"/>
    <cellStyle name="Normal 21 81" xfId="6945" xr:uid="{00000000-0005-0000-0000-0000022E0000}"/>
    <cellStyle name="Normal 21 81 2" xfId="19025" xr:uid="{00000000-0005-0000-0000-0000032E0000}"/>
    <cellStyle name="Normal 21 82" xfId="6946" xr:uid="{00000000-0005-0000-0000-0000042E0000}"/>
    <cellStyle name="Normal 21 82 2" xfId="19026" xr:uid="{00000000-0005-0000-0000-0000052E0000}"/>
    <cellStyle name="Normal 21 83" xfId="18712" xr:uid="{00000000-0005-0000-0000-0000062E0000}"/>
    <cellStyle name="Normal 21 9" xfId="6947" xr:uid="{00000000-0005-0000-0000-0000072E0000}"/>
    <cellStyle name="Normal 21 9 2" xfId="19027" xr:uid="{00000000-0005-0000-0000-0000082E0000}"/>
    <cellStyle name="Normal 210" xfId="551" xr:uid="{00000000-0005-0000-0000-0000092E0000}"/>
    <cellStyle name="Normal 210 2" xfId="648" xr:uid="{00000000-0005-0000-0000-00000A2E0000}"/>
    <cellStyle name="Normal 210 3" xfId="1067" xr:uid="{00000000-0005-0000-0000-00000B2E0000}"/>
    <cellStyle name="Normal 210 4" xfId="925" xr:uid="{00000000-0005-0000-0000-00000C2E0000}"/>
    <cellStyle name="Normal 210 5" xfId="852" xr:uid="{00000000-0005-0000-0000-00000D2E0000}"/>
    <cellStyle name="Normal 210 6" xfId="1295" xr:uid="{00000000-0005-0000-0000-00000E2E0000}"/>
    <cellStyle name="Normal 210 7" xfId="1361" xr:uid="{00000000-0005-0000-0000-00000F2E0000}"/>
    <cellStyle name="Normal 210 8" xfId="1422" xr:uid="{00000000-0005-0000-0000-0000102E0000}"/>
    <cellStyle name="Normal 210 9" xfId="1460" xr:uid="{00000000-0005-0000-0000-0000112E0000}"/>
    <cellStyle name="Normal 211" xfId="552" xr:uid="{00000000-0005-0000-0000-0000122E0000}"/>
    <cellStyle name="Normal 211 2" xfId="649" xr:uid="{00000000-0005-0000-0000-0000132E0000}"/>
    <cellStyle name="Normal 211 3" xfId="1068" xr:uid="{00000000-0005-0000-0000-0000142E0000}"/>
    <cellStyle name="Normal 211 4" xfId="924" xr:uid="{00000000-0005-0000-0000-0000152E0000}"/>
    <cellStyle name="Normal 211 5" xfId="1254" xr:uid="{00000000-0005-0000-0000-0000162E0000}"/>
    <cellStyle name="Normal 211 6" xfId="848" xr:uid="{00000000-0005-0000-0000-0000172E0000}"/>
    <cellStyle name="Normal 211 7" xfId="963" xr:uid="{00000000-0005-0000-0000-0000182E0000}"/>
    <cellStyle name="Normal 211 8" xfId="1318" xr:uid="{00000000-0005-0000-0000-0000192E0000}"/>
    <cellStyle name="Normal 211 9" xfId="1383" xr:uid="{00000000-0005-0000-0000-00001A2E0000}"/>
    <cellStyle name="Normal 212" xfId="553" xr:uid="{00000000-0005-0000-0000-00001B2E0000}"/>
    <cellStyle name="Normal 212 2" xfId="650" xr:uid="{00000000-0005-0000-0000-00001C2E0000}"/>
    <cellStyle name="Normal 212 3" xfId="1069" xr:uid="{00000000-0005-0000-0000-00001D2E0000}"/>
    <cellStyle name="Normal 212 4" xfId="923" xr:uid="{00000000-0005-0000-0000-00001E2E0000}"/>
    <cellStyle name="Normal 212 5" xfId="1255" xr:uid="{00000000-0005-0000-0000-00001F2E0000}"/>
    <cellStyle name="Normal 212 6" xfId="845" xr:uid="{00000000-0005-0000-0000-0000202E0000}"/>
    <cellStyle name="Normal 212 7" xfId="964" xr:uid="{00000000-0005-0000-0000-0000212E0000}"/>
    <cellStyle name="Normal 212 8" xfId="874" xr:uid="{00000000-0005-0000-0000-0000222E0000}"/>
    <cellStyle name="Normal 212 9" xfId="1285" xr:uid="{00000000-0005-0000-0000-0000232E0000}"/>
    <cellStyle name="Normal 213" xfId="554" xr:uid="{00000000-0005-0000-0000-0000242E0000}"/>
    <cellStyle name="Normal 213 2" xfId="651" xr:uid="{00000000-0005-0000-0000-0000252E0000}"/>
    <cellStyle name="Normal 213 3" xfId="1070" xr:uid="{00000000-0005-0000-0000-0000262E0000}"/>
    <cellStyle name="Normal 213 4" xfId="922" xr:uid="{00000000-0005-0000-0000-0000272E0000}"/>
    <cellStyle name="Normal 213 5" xfId="1256" xr:uid="{00000000-0005-0000-0000-0000282E0000}"/>
    <cellStyle name="Normal 213 6" xfId="841" xr:uid="{00000000-0005-0000-0000-0000292E0000}"/>
    <cellStyle name="Normal 213 7" xfId="966" xr:uid="{00000000-0005-0000-0000-00002A2E0000}"/>
    <cellStyle name="Normal 213 8" xfId="1317" xr:uid="{00000000-0005-0000-0000-00002B2E0000}"/>
    <cellStyle name="Normal 213 9" xfId="1382" xr:uid="{00000000-0005-0000-0000-00002C2E0000}"/>
    <cellStyle name="Normal 214" xfId="555" xr:uid="{00000000-0005-0000-0000-00002D2E0000}"/>
    <cellStyle name="Normal 214 2" xfId="652" xr:uid="{00000000-0005-0000-0000-00002E2E0000}"/>
    <cellStyle name="Normal 214 3" xfId="1071" xr:uid="{00000000-0005-0000-0000-00002F2E0000}"/>
    <cellStyle name="Normal 214 4" xfId="921" xr:uid="{00000000-0005-0000-0000-0000302E0000}"/>
    <cellStyle name="Normal 214 5" xfId="1257" xr:uid="{00000000-0005-0000-0000-0000312E0000}"/>
    <cellStyle name="Normal 214 6" xfId="837" xr:uid="{00000000-0005-0000-0000-0000322E0000}"/>
    <cellStyle name="Normal 214 7" xfId="854" xr:uid="{00000000-0005-0000-0000-0000332E0000}"/>
    <cellStyle name="Normal 214 8" xfId="1294" xr:uid="{00000000-0005-0000-0000-0000342E0000}"/>
    <cellStyle name="Normal 214 9" xfId="1360" xr:uid="{00000000-0005-0000-0000-0000352E0000}"/>
    <cellStyle name="Normal 215" xfId="556" xr:uid="{00000000-0005-0000-0000-0000362E0000}"/>
    <cellStyle name="Normal 215 2" xfId="653" xr:uid="{00000000-0005-0000-0000-0000372E0000}"/>
    <cellStyle name="Normal 215 3" xfId="1072" xr:uid="{00000000-0005-0000-0000-0000382E0000}"/>
    <cellStyle name="Normal 215 4" xfId="920" xr:uid="{00000000-0005-0000-0000-0000392E0000}"/>
    <cellStyle name="Normal 215 5" xfId="1258" xr:uid="{00000000-0005-0000-0000-00003A2E0000}"/>
    <cellStyle name="Normal 215 6" xfId="833" xr:uid="{00000000-0005-0000-0000-00003B2E0000}"/>
    <cellStyle name="Normal 215 7" xfId="1305" xr:uid="{00000000-0005-0000-0000-00003C2E0000}"/>
    <cellStyle name="Normal 215 8" xfId="1370" xr:uid="{00000000-0005-0000-0000-00003D2E0000}"/>
    <cellStyle name="Normal 215 9" xfId="1428" xr:uid="{00000000-0005-0000-0000-00003E2E0000}"/>
    <cellStyle name="Normal 216" xfId="557" xr:uid="{00000000-0005-0000-0000-00003F2E0000}"/>
    <cellStyle name="Normal 216 2" xfId="654" xr:uid="{00000000-0005-0000-0000-0000402E0000}"/>
    <cellStyle name="Normal 216 3" xfId="1073" xr:uid="{00000000-0005-0000-0000-0000412E0000}"/>
    <cellStyle name="Normal 216 4" xfId="919" xr:uid="{00000000-0005-0000-0000-0000422E0000}"/>
    <cellStyle name="Normal 216 5" xfId="1259" xr:uid="{00000000-0005-0000-0000-0000432E0000}"/>
    <cellStyle name="Normal 216 6" xfId="829" xr:uid="{00000000-0005-0000-0000-0000442E0000}"/>
    <cellStyle name="Normal 216 7" xfId="1307" xr:uid="{00000000-0005-0000-0000-0000452E0000}"/>
    <cellStyle name="Normal 216 8" xfId="1372" xr:uid="{00000000-0005-0000-0000-0000462E0000}"/>
    <cellStyle name="Normal 216 9" xfId="1430" xr:uid="{00000000-0005-0000-0000-0000472E0000}"/>
    <cellStyle name="Normal 217" xfId="558" xr:uid="{00000000-0005-0000-0000-0000482E0000}"/>
    <cellStyle name="Normal 217 2" xfId="655" xr:uid="{00000000-0005-0000-0000-0000492E0000}"/>
    <cellStyle name="Normal 217 3" xfId="1074" xr:uid="{00000000-0005-0000-0000-00004A2E0000}"/>
    <cellStyle name="Normal 217 4" xfId="1204" xr:uid="{00000000-0005-0000-0000-00004B2E0000}"/>
    <cellStyle name="Normal 217 5" xfId="984" xr:uid="{00000000-0005-0000-0000-00004C2E0000}"/>
    <cellStyle name="Normal 217 6" xfId="1223" xr:uid="{00000000-0005-0000-0000-00004D2E0000}"/>
    <cellStyle name="Normal 217 7" xfId="975" xr:uid="{00000000-0005-0000-0000-00004E2E0000}"/>
    <cellStyle name="Normal 217 8" xfId="1230" xr:uid="{00000000-0005-0000-0000-00004F2E0000}"/>
    <cellStyle name="Normal 217 9" xfId="973" xr:uid="{00000000-0005-0000-0000-0000502E0000}"/>
    <cellStyle name="Normal 218" xfId="559" xr:uid="{00000000-0005-0000-0000-0000512E0000}"/>
    <cellStyle name="Normal 218 2" xfId="656" xr:uid="{00000000-0005-0000-0000-0000522E0000}"/>
    <cellStyle name="Normal 218 3" xfId="1075" xr:uid="{00000000-0005-0000-0000-0000532E0000}"/>
    <cellStyle name="Normal 218 4" xfId="1322" xr:uid="{00000000-0005-0000-0000-0000542E0000}"/>
    <cellStyle name="Normal 218 5" xfId="1387" xr:uid="{00000000-0005-0000-0000-0000552E0000}"/>
    <cellStyle name="Normal 218 6" xfId="1437" xr:uid="{00000000-0005-0000-0000-0000562E0000}"/>
    <cellStyle name="Normal 218 7" xfId="1466" xr:uid="{00000000-0005-0000-0000-0000572E0000}"/>
    <cellStyle name="Normal 218 8" xfId="1488" xr:uid="{00000000-0005-0000-0000-0000582E0000}"/>
    <cellStyle name="Normal 218 9" xfId="1497" xr:uid="{00000000-0005-0000-0000-0000592E0000}"/>
    <cellStyle name="Normal 219" xfId="560" xr:uid="{00000000-0005-0000-0000-00005A2E0000}"/>
    <cellStyle name="Normal 219 2" xfId="657" xr:uid="{00000000-0005-0000-0000-00005B2E0000}"/>
    <cellStyle name="Normal 219 3" xfId="1076" xr:uid="{00000000-0005-0000-0000-00005C2E0000}"/>
    <cellStyle name="Normal 219 4" xfId="882" xr:uid="{00000000-0005-0000-0000-00005D2E0000}"/>
    <cellStyle name="Normal 219 5" xfId="1282" xr:uid="{00000000-0005-0000-0000-00005E2E0000}"/>
    <cellStyle name="Normal 219 6" xfId="1351" xr:uid="{00000000-0005-0000-0000-00005F2E0000}"/>
    <cellStyle name="Normal 219 7" xfId="1414" xr:uid="{00000000-0005-0000-0000-0000602E0000}"/>
    <cellStyle name="Normal 219 8" xfId="1453" xr:uid="{00000000-0005-0000-0000-0000612E0000}"/>
    <cellStyle name="Normal 219 9" xfId="1479" xr:uid="{00000000-0005-0000-0000-0000622E0000}"/>
    <cellStyle name="Normal 22" xfId="61" xr:uid="{00000000-0005-0000-0000-0000632E0000}"/>
    <cellStyle name="Normal 22 10" xfId="6948" xr:uid="{00000000-0005-0000-0000-0000642E0000}"/>
    <cellStyle name="Normal 22 10 2" xfId="19028" xr:uid="{00000000-0005-0000-0000-0000652E0000}"/>
    <cellStyle name="Normal 22 11" xfId="6949" xr:uid="{00000000-0005-0000-0000-0000662E0000}"/>
    <cellStyle name="Normal 22 11 2" xfId="19029" xr:uid="{00000000-0005-0000-0000-0000672E0000}"/>
    <cellStyle name="Normal 22 12" xfId="6950" xr:uid="{00000000-0005-0000-0000-0000682E0000}"/>
    <cellStyle name="Normal 22 12 2" xfId="19030" xr:uid="{00000000-0005-0000-0000-0000692E0000}"/>
    <cellStyle name="Normal 22 13" xfId="6951" xr:uid="{00000000-0005-0000-0000-00006A2E0000}"/>
    <cellStyle name="Normal 22 13 2" xfId="19031" xr:uid="{00000000-0005-0000-0000-00006B2E0000}"/>
    <cellStyle name="Normal 22 14" xfId="6952" xr:uid="{00000000-0005-0000-0000-00006C2E0000}"/>
    <cellStyle name="Normal 22 14 2" xfId="19032" xr:uid="{00000000-0005-0000-0000-00006D2E0000}"/>
    <cellStyle name="Normal 22 15" xfId="6953" xr:uid="{00000000-0005-0000-0000-00006E2E0000}"/>
    <cellStyle name="Normal 22 15 2" xfId="19033" xr:uid="{00000000-0005-0000-0000-00006F2E0000}"/>
    <cellStyle name="Normal 22 16" xfId="6954" xr:uid="{00000000-0005-0000-0000-0000702E0000}"/>
    <cellStyle name="Normal 22 16 2" xfId="19034" xr:uid="{00000000-0005-0000-0000-0000712E0000}"/>
    <cellStyle name="Normal 22 17" xfId="6955" xr:uid="{00000000-0005-0000-0000-0000722E0000}"/>
    <cellStyle name="Normal 22 17 2" xfId="19035" xr:uid="{00000000-0005-0000-0000-0000732E0000}"/>
    <cellStyle name="Normal 22 18" xfId="6956" xr:uid="{00000000-0005-0000-0000-0000742E0000}"/>
    <cellStyle name="Normal 22 18 2" xfId="19036" xr:uid="{00000000-0005-0000-0000-0000752E0000}"/>
    <cellStyle name="Normal 22 19" xfId="6957" xr:uid="{00000000-0005-0000-0000-0000762E0000}"/>
    <cellStyle name="Normal 22 19 2" xfId="19037" xr:uid="{00000000-0005-0000-0000-0000772E0000}"/>
    <cellStyle name="Normal 22 2" xfId="711" xr:uid="{00000000-0005-0000-0000-0000782E0000}"/>
    <cellStyle name="Normal 22 2 10" xfId="6959" xr:uid="{00000000-0005-0000-0000-0000792E0000}"/>
    <cellStyle name="Normal 22 2 10 2" xfId="19039" xr:uid="{00000000-0005-0000-0000-00007A2E0000}"/>
    <cellStyle name="Normal 22 2 11" xfId="6960" xr:uid="{00000000-0005-0000-0000-00007B2E0000}"/>
    <cellStyle name="Normal 22 2 11 2" xfId="19040" xr:uid="{00000000-0005-0000-0000-00007C2E0000}"/>
    <cellStyle name="Normal 22 2 12" xfId="6961" xr:uid="{00000000-0005-0000-0000-00007D2E0000}"/>
    <cellStyle name="Normal 22 2 12 2" xfId="19041" xr:uid="{00000000-0005-0000-0000-00007E2E0000}"/>
    <cellStyle name="Normal 22 2 13" xfId="6962" xr:uid="{00000000-0005-0000-0000-00007F2E0000}"/>
    <cellStyle name="Normal 22 2 13 2" xfId="19042" xr:uid="{00000000-0005-0000-0000-0000802E0000}"/>
    <cellStyle name="Normal 22 2 14" xfId="6963" xr:uid="{00000000-0005-0000-0000-0000812E0000}"/>
    <cellStyle name="Normal 22 2 14 2" xfId="19043" xr:uid="{00000000-0005-0000-0000-0000822E0000}"/>
    <cellStyle name="Normal 22 2 15" xfId="6964" xr:uid="{00000000-0005-0000-0000-0000832E0000}"/>
    <cellStyle name="Normal 22 2 15 2" xfId="19044" xr:uid="{00000000-0005-0000-0000-0000842E0000}"/>
    <cellStyle name="Normal 22 2 16" xfId="6965" xr:uid="{00000000-0005-0000-0000-0000852E0000}"/>
    <cellStyle name="Normal 22 2 16 2" xfId="19045" xr:uid="{00000000-0005-0000-0000-0000862E0000}"/>
    <cellStyle name="Normal 22 2 17" xfId="6966" xr:uid="{00000000-0005-0000-0000-0000872E0000}"/>
    <cellStyle name="Normal 22 2 17 2" xfId="19046" xr:uid="{00000000-0005-0000-0000-0000882E0000}"/>
    <cellStyle name="Normal 22 2 18" xfId="6967" xr:uid="{00000000-0005-0000-0000-0000892E0000}"/>
    <cellStyle name="Normal 22 2 18 2" xfId="19047" xr:uid="{00000000-0005-0000-0000-00008A2E0000}"/>
    <cellStyle name="Normal 22 2 19" xfId="6968" xr:uid="{00000000-0005-0000-0000-00008B2E0000}"/>
    <cellStyle name="Normal 22 2 19 2" xfId="19048" xr:uid="{00000000-0005-0000-0000-00008C2E0000}"/>
    <cellStyle name="Normal 22 2 2" xfId="6969" xr:uid="{00000000-0005-0000-0000-00008D2E0000}"/>
    <cellStyle name="Normal 22 2 2 2" xfId="19049" xr:uid="{00000000-0005-0000-0000-00008E2E0000}"/>
    <cellStyle name="Normal 22 2 20" xfId="6970" xr:uid="{00000000-0005-0000-0000-00008F2E0000}"/>
    <cellStyle name="Normal 22 2 20 2" xfId="19050" xr:uid="{00000000-0005-0000-0000-0000902E0000}"/>
    <cellStyle name="Normal 22 2 21" xfId="6971" xr:uid="{00000000-0005-0000-0000-0000912E0000}"/>
    <cellStyle name="Normal 22 2 21 2" xfId="19051" xr:uid="{00000000-0005-0000-0000-0000922E0000}"/>
    <cellStyle name="Normal 22 2 22" xfId="6972" xr:uid="{00000000-0005-0000-0000-0000932E0000}"/>
    <cellStyle name="Normal 22 2 22 2" xfId="19052" xr:uid="{00000000-0005-0000-0000-0000942E0000}"/>
    <cellStyle name="Normal 22 2 23" xfId="6973" xr:uid="{00000000-0005-0000-0000-0000952E0000}"/>
    <cellStyle name="Normal 22 2 23 2" xfId="19053" xr:uid="{00000000-0005-0000-0000-0000962E0000}"/>
    <cellStyle name="Normal 22 2 24" xfId="6974" xr:uid="{00000000-0005-0000-0000-0000972E0000}"/>
    <cellStyle name="Normal 22 2 24 2" xfId="19054" xr:uid="{00000000-0005-0000-0000-0000982E0000}"/>
    <cellStyle name="Normal 22 2 25" xfId="6975" xr:uid="{00000000-0005-0000-0000-0000992E0000}"/>
    <cellStyle name="Normal 22 2 25 2" xfId="19055" xr:uid="{00000000-0005-0000-0000-00009A2E0000}"/>
    <cellStyle name="Normal 22 2 26" xfId="6976" xr:uid="{00000000-0005-0000-0000-00009B2E0000}"/>
    <cellStyle name="Normal 22 2 26 2" xfId="19056" xr:uid="{00000000-0005-0000-0000-00009C2E0000}"/>
    <cellStyle name="Normal 22 2 27" xfId="6977" xr:uid="{00000000-0005-0000-0000-00009D2E0000}"/>
    <cellStyle name="Normal 22 2 27 2" xfId="19057" xr:uid="{00000000-0005-0000-0000-00009E2E0000}"/>
    <cellStyle name="Normal 22 2 28" xfId="6978" xr:uid="{00000000-0005-0000-0000-00009F2E0000}"/>
    <cellStyle name="Normal 22 2 28 2" xfId="19058" xr:uid="{00000000-0005-0000-0000-0000A02E0000}"/>
    <cellStyle name="Normal 22 2 29" xfId="6979" xr:uid="{00000000-0005-0000-0000-0000A12E0000}"/>
    <cellStyle name="Normal 22 2 29 2" xfId="19059" xr:uid="{00000000-0005-0000-0000-0000A22E0000}"/>
    <cellStyle name="Normal 22 2 3" xfId="6980" xr:uid="{00000000-0005-0000-0000-0000A32E0000}"/>
    <cellStyle name="Normal 22 2 3 2" xfId="19060" xr:uid="{00000000-0005-0000-0000-0000A42E0000}"/>
    <cellStyle name="Normal 22 2 30" xfId="6981" xr:uid="{00000000-0005-0000-0000-0000A52E0000}"/>
    <cellStyle name="Normal 22 2 30 2" xfId="19061" xr:uid="{00000000-0005-0000-0000-0000A62E0000}"/>
    <cellStyle name="Normal 22 2 31" xfId="6982" xr:uid="{00000000-0005-0000-0000-0000A72E0000}"/>
    <cellStyle name="Normal 22 2 31 2" xfId="19062" xr:uid="{00000000-0005-0000-0000-0000A82E0000}"/>
    <cellStyle name="Normal 22 2 32" xfId="6983" xr:uid="{00000000-0005-0000-0000-0000A92E0000}"/>
    <cellStyle name="Normal 22 2 32 2" xfId="19063" xr:uid="{00000000-0005-0000-0000-0000AA2E0000}"/>
    <cellStyle name="Normal 22 2 33" xfId="6984" xr:uid="{00000000-0005-0000-0000-0000AB2E0000}"/>
    <cellStyle name="Normal 22 2 33 2" xfId="19064" xr:uid="{00000000-0005-0000-0000-0000AC2E0000}"/>
    <cellStyle name="Normal 22 2 34" xfId="6985" xr:uid="{00000000-0005-0000-0000-0000AD2E0000}"/>
    <cellStyle name="Normal 22 2 34 2" xfId="19065" xr:uid="{00000000-0005-0000-0000-0000AE2E0000}"/>
    <cellStyle name="Normal 22 2 35" xfId="6986" xr:uid="{00000000-0005-0000-0000-0000AF2E0000}"/>
    <cellStyle name="Normal 22 2 35 2" xfId="19066" xr:uid="{00000000-0005-0000-0000-0000B02E0000}"/>
    <cellStyle name="Normal 22 2 36" xfId="6987" xr:uid="{00000000-0005-0000-0000-0000B12E0000}"/>
    <cellStyle name="Normal 22 2 36 2" xfId="19067" xr:uid="{00000000-0005-0000-0000-0000B22E0000}"/>
    <cellStyle name="Normal 22 2 37" xfId="6988" xr:uid="{00000000-0005-0000-0000-0000B32E0000}"/>
    <cellStyle name="Normal 22 2 37 2" xfId="19068" xr:uid="{00000000-0005-0000-0000-0000B42E0000}"/>
    <cellStyle name="Normal 22 2 38" xfId="6989" xr:uid="{00000000-0005-0000-0000-0000B52E0000}"/>
    <cellStyle name="Normal 22 2 38 2" xfId="19069" xr:uid="{00000000-0005-0000-0000-0000B62E0000}"/>
    <cellStyle name="Normal 22 2 39" xfId="6990" xr:uid="{00000000-0005-0000-0000-0000B72E0000}"/>
    <cellStyle name="Normal 22 2 39 2" xfId="19070" xr:uid="{00000000-0005-0000-0000-0000B82E0000}"/>
    <cellStyle name="Normal 22 2 4" xfId="6991" xr:uid="{00000000-0005-0000-0000-0000B92E0000}"/>
    <cellStyle name="Normal 22 2 4 2" xfId="19071" xr:uid="{00000000-0005-0000-0000-0000BA2E0000}"/>
    <cellStyle name="Normal 22 2 40" xfId="6992" xr:uid="{00000000-0005-0000-0000-0000BB2E0000}"/>
    <cellStyle name="Normal 22 2 40 2" xfId="19072" xr:uid="{00000000-0005-0000-0000-0000BC2E0000}"/>
    <cellStyle name="Normal 22 2 41" xfId="6993" xr:uid="{00000000-0005-0000-0000-0000BD2E0000}"/>
    <cellStyle name="Normal 22 2 41 2" xfId="19073" xr:uid="{00000000-0005-0000-0000-0000BE2E0000}"/>
    <cellStyle name="Normal 22 2 42" xfId="6994" xr:uid="{00000000-0005-0000-0000-0000BF2E0000}"/>
    <cellStyle name="Normal 22 2 42 2" xfId="19074" xr:uid="{00000000-0005-0000-0000-0000C02E0000}"/>
    <cellStyle name="Normal 22 2 43" xfId="6995" xr:uid="{00000000-0005-0000-0000-0000C12E0000}"/>
    <cellStyle name="Normal 22 2 43 2" xfId="19075" xr:uid="{00000000-0005-0000-0000-0000C22E0000}"/>
    <cellStyle name="Normal 22 2 44" xfId="6996" xr:uid="{00000000-0005-0000-0000-0000C32E0000}"/>
    <cellStyle name="Normal 22 2 44 2" xfId="19076" xr:uid="{00000000-0005-0000-0000-0000C42E0000}"/>
    <cellStyle name="Normal 22 2 45" xfId="6997" xr:uid="{00000000-0005-0000-0000-0000C52E0000}"/>
    <cellStyle name="Normal 22 2 45 2" xfId="19077" xr:uid="{00000000-0005-0000-0000-0000C62E0000}"/>
    <cellStyle name="Normal 22 2 46" xfId="6998" xr:uid="{00000000-0005-0000-0000-0000C72E0000}"/>
    <cellStyle name="Normal 22 2 46 2" xfId="19078" xr:uid="{00000000-0005-0000-0000-0000C82E0000}"/>
    <cellStyle name="Normal 22 2 47" xfId="6999" xr:uid="{00000000-0005-0000-0000-0000C92E0000}"/>
    <cellStyle name="Normal 22 2 47 2" xfId="19079" xr:uid="{00000000-0005-0000-0000-0000CA2E0000}"/>
    <cellStyle name="Normal 22 2 48" xfId="7000" xr:uid="{00000000-0005-0000-0000-0000CB2E0000}"/>
    <cellStyle name="Normal 22 2 48 2" xfId="19080" xr:uid="{00000000-0005-0000-0000-0000CC2E0000}"/>
    <cellStyle name="Normal 22 2 49" xfId="7001" xr:uid="{00000000-0005-0000-0000-0000CD2E0000}"/>
    <cellStyle name="Normal 22 2 49 2" xfId="19081" xr:uid="{00000000-0005-0000-0000-0000CE2E0000}"/>
    <cellStyle name="Normal 22 2 5" xfId="7002" xr:uid="{00000000-0005-0000-0000-0000CF2E0000}"/>
    <cellStyle name="Normal 22 2 5 2" xfId="19082" xr:uid="{00000000-0005-0000-0000-0000D02E0000}"/>
    <cellStyle name="Normal 22 2 50" xfId="7003" xr:uid="{00000000-0005-0000-0000-0000D12E0000}"/>
    <cellStyle name="Normal 22 2 50 2" xfId="19083" xr:uid="{00000000-0005-0000-0000-0000D22E0000}"/>
    <cellStyle name="Normal 22 2 51" xfId="7004" xr:uid="{00000000-0005-0000-0000-0000D32E0000}"/>
    <cellStyle name="Normal 22 2 51 2" xfId="19084" xr:uid="{00000000-0005-0000-0000-0000D42E0000}"/>
    <cellStyle name="Normal 22 2 52" xfId="7005" xr:uid="{00000000-0005-0000-0000-0000D52E0000}"/>
    <cellStyle name="Normal 22 2 52 2" xfId="19085" xr:uid="{00000000-0005-0000-0000-0000D62E0000}"/>
    <cellStyle name="Normal 22 2 53" xfId="7006" xr:uid="{00000000-0005-0000-0000-0000D72E0000}"/>
    <cellStyle name="Normal 22 2 53 2" xfId="19086" xr:uid="{00000000-0005-0000-0000-0000D82E0000}"/>
    <cellStyle name="Normal 22 2 54" xfId="7007" xr:uid="{00000000-0005-0000-0000-0000D92E0000}"/>
    <cellStyle name="Normal 22 2 54 2" xfId="19087" xr:uid="{00000000-0005-0000-0000-0000DA2E0000}"/>
    <cellStyle name="Normal 22 2 55" xfId="7008" xr:uid="{00000000-0005-0000-0000-0000DB2E0000}"/>
    <cellStyle name="Normal 22 2 55 2" xfId="19088" xr:uid="{00000000-0005-0000-0000-0000DC2E0000}"/>
    <cellStyle name="Normal 22 2 56" xfId="7009" xr:uid="{00000000-0005-0000-0000-0000DD2E0000}"/>
    <cellStyle name="Normal 22 2 56 2" xfId="19089" xr:uid="{00000000-0005-0000-0000-0000DE2E0000}"/>
    <cellStyle name="Normal 22 2 57" xfId="7010" xr:uid="{00000000-0005-0000-0000-0000DF2E0000}"/>
    <cellStyle name="Normal 22 2 57 2" xfId="19090" xr:uid="{00000000-0005-0000-0000-0000E02E0000}"/>
    <cellStyle name="Normal 22 2 58" xfId="7011" xr:uid="{00000000-0005-0000-0000-0000E12E0000}"/>
    <cellStyle name="Normal 22 2 58 2" xfId="19091" xr:uid="{00000000-0005-0000-0000-0000E22E0000}"/>
    <cellStyle name="Normal 22 2 59" xfId="7012" xr:uid="{00000000-0005-0000-0000-0000E32E0000}"/>
    <cellStyle name="Normal 22 2 59 2" xfId="19092" xr:uid="{00000000-0005-0000-0000-0000E42E0000}"/>
    <cellStyle name="Normal 22 2 6" xfId="7013" xr:uid="{00000000-0005-0000-0000-0000E52E0000}"/>
    <cellStyle name="Normal 22 2 6 2" xfId="19093" xr:uid="{00000000-0005-0000-0000-0000E62E0000}"/>
    <cellStyle name="Normal 22 2 60" xfId="7014" xr:uid="{00000000-0005-0000-0000-0000E72E0000}"/>
    <cellStyle name="Normal 22 2 60 2" xfId="19094" xr:uid="{00000000-0005-0000-0000-0000E82E0000}"/>
    <cellStyle name="Normal 22 2 61" xfId="7015" xr:uid="{00000000-0005-0000-0000-0000E92E0000}"/>
    <cellStyle name="Normal 22 2 61 2" xfId="19095" xr:uid="{00000000-0005-0000-0000-0000EA2E0000}"/>
    <cellStyle name="Normal 22 2 62" xfId="7016" xr:uid="{00000000-0005-0000-0000-0000EB2E0000}"/>
    <cellStyle name="Normal 22 2 62 2" xfId="19096" xr:uid="{00000000-0005-0000-0000-0000EC2E0000}"/>
    <cellStyle name="Normal 22 2 63" xfId="7017" xr:uid="{00000000-0005-0000-0000-0000ED2E0000}"/>
    <cellStyle name="Normal 22 2 63 2" xfId="19097" xr:uid="{00000000-0005-0000-0000-0000EE2E0000}"/>
    <cellStyle name="Normal 22 2 64" xfId="7018" xr:uid="{00000000-0005-0000-0000-0000EF2E0000}"/>
    <cellStyle name="Normal 22 2 64 2" xfId="19098" xr:uid="{00000000-0005-0000-0000-0000F02E0000}"/>
    <cellStyle name="Normal 22 2 65" xfId="7019" xr:uid="{00000000-0005-0000-0000-0000F12E0000}"/>
    <cellStyle name="Normal 22 2 65 2" xfId="19099" xr:uid="{00000000-0005-0000-0000-0000F22E0000}"/>
    <cellStyle name="Normal 22 2 66" xfId="7020" xr:uid="{00000000-0005-0000-0000-0000F32E0000}"/>
    <cellStyle name="Normal 22 2 66 2" xfId="19100" xr:uid="{00000000-0005-0000-0000-0000F42E0000}"/>
    <cellStyle name="Normal 22 2 67" xfId="7021" xr:uid="{00000000-0005-0000-0000-0000F52E0000}"/>
    <cellStyle name="Normal 22 2 67 2" xfId="19101" xr:uid="{00000000-0005-0000-0000-0000F62E0000}"/>
    <cellStyle name="Normal 22 2 68" xfId="7022" xr:uid="{00000000-0005-0000-0000-0000F72E0000}"/>
    <cellStyle name="Normal 22 2 68 2" xfId="19102" xr:uid="{00000000-0005-0000-0000-0000F82E0000}"/>
    <cellStyle name="Normal 22 2 69" xfId="7023" xr:uid="{00000000-0005-0000-0000-0000F92E0000}"/>
    <cellStyle name="Normal 22 2 69 2" xfId="19103" xr:uid="{00000000-0005-0000-0000-0000FA2E0000}"/>
    <cellStyle name="Normal 22 2 7" xfId="7024" xr:uid="{00000000-0005-0000-0000-0000FB2E0000}"/>
    <cellStyle name="Normal 22 2 7 2" xfId="19104" xr:uid="{00000000-0005-0000-0000-0000FC2E0000}"/>
    <cellStyle name="Normal 22 2 70" xfId="7025" xr:uid="{00000000-0005-0000-0000-0000FD2E0000}"/>
    <cellStyle name="Normal 22 2 70 2" xfId="19105" xr:uid="{00000000-0005-0000-0000-0000FE2E0000}"/>
    <cellStyle name="Normal 22 2 71" xfId="7026" xr:uid="{00000000-0005-0000-0000-0000FF2E0000}"/>
    <cellStyle name="Normal 22 2 71 2" xfId="19106" xr:uid="{00000000-0005-0000-0000-0000002F0000}"/>
    <cellStyle name="Normal 22 2 72" xfId="7027" xr:uid="{00000000-0005-0000-0000-0000012F0000}"/>
    <cellStyle name="Normal 22 2 72 2" xfId="19107" xr:uid="{00000000-0005-0000-0000-0000022F0000}"/>
    <cellStyle name="Normal 22 2 73" xfId="7028" xr:uid="{00000000-0005-0000-0000-0000032F0000}"/>
    <cellStyle name="Normal 22 2 73 2" xfId="19108" xr:uid="{00000000-0005-0000-0000-0000042F0000}"/>
    <cellStyle name="Normal 22 2 74" xfId="7029" xr:uid="{00000000-0005-0000-0000-0000052F0000}"/>
    <cellStyle name="Normal 22 2 74 2" xfId="19109" xr:uid="{00000000-0005-0000-0000-0000062F0000}"/>
    <cellStyle name="Normal 22 2 75" xfId="7030" xr:uid="{00000000-0005-0000-0000-0000072F0000}"/>
    <cellStyle name="Normal 22 2 75 2" xfId="19110" xr:uid="{00000000-0005-0000-0000-0000082F0000}"/>
    <cellStyle name="Normal 22 2 76" xfId="7031" xr:uid="{00000000-0005-0000-0000-0000092F0000}"/>
    <cellStyle name="Normal 22 2 76 2" xfId="19111" xr:uid="{00000000-0005-0000-0000-00000A2F0000}"/>
    <cellStyle name="Normal 22 2 77" xfId="7032" xr:uid="{00000000-0005-0000-0000-00000B2F0000}"/>
    <cellStyle name="Normal 22 2 77 2" xfId="19112" xr:uid="{00000000-0005-0000-0000-00000C2F0000}"/>
    <cellStyle name="Normal 22 2 78" xfId="7033" xr:uid="{00000000-0005-0000-0000-00000D2F0000}"/>
    <cellStyle name="Normal 22 2 78 2" xfId="19113" xr:uid="{00000000-0005-0000-0000-00000E2F0000}"/>
    <cellStyle name="Normal 22 2 79" xfId="7034" xr:uid="{00000000-0005-0000-0000-00000F2F0000}"/>
    <cellStyle name="Normal 22 2 79 2" xfId="19114" xr:uid="{00000000-0005-0000-0000-0000102F0000}"/>
    <cellStyle name="Normal 22 2 8" xfId="7035" xr:uid="{00000000-0005-0000-0000-0000112F0000}"/>
    <cellStyle name="Normal 22 2 8 2" xfId="19115" xr:uid="{00000000-0005-0000-0000-0000122F0000}"/>
    <cellStyle name="Normal 22 2 80" xfId="19038" xr:uid="{00000000-0005-0000-0000-0000132F0000}"/>
    <cellStyle name="Normal 22 2 81" xfId="6958" xr:uid="{00000000-0005-0000-0000-0000142F0000}"/>
    <cellStyle name="Normal 22 2 9" xfId="7036" xr:uid="{00000000-0005-0000-0000-0000152F0000}"/>
    <cellStyle name="Normal 22 2 9 2" xfId="19116" xr:uid="{00000000-0005-0000-0000-0000162F0000}"/>
    <cellStyle name="Normal 22 20" xfId="7037" xr:uid="{00000000-0005-0000-0000-0000172F0000}"/>
    <cellStyle name="Normal 22 20 2" xfId="19117" xr:uid="{00000000-0005-0000-0000-0000182F0000}"/>
    <cellStyle name="Normal 22 21" xfId="7038" xr:uid="{00000000-0005-0000-0000-0000192F0000}"/>
    <cellStyle name="Normal 22 21 2" xfId="19118" xr:uid="{00000000-0005-0000-0000-00001A2F0000}"/>
    <cellStyle name="Normal 22 22" xfId="7039" xr:uid="{00000000-0005-0000-0000-00001B2F0000}"/>
    <cellStyle name="Normal 22 22 2" xfId="19119" xr:uid="{00000000-0005-0000-0000-00001C2F0000}"/>
    <cellStyle name="Normal 22 23" xfId="7040" xr:uid="{00000000-0005-0000-0000-00001D2F0000}"/>
    <cellStyle name="Normal 22 23 2" xfId="19120" xr:uid="{00000000-0005-0000-0000-00001E2F0000}"/>
    <cellStyle name="Normal 22 24" xfId="7041" xr:uid="{00000000-0005-0000-0000-00001F2F0000}"/>
    <cellStyle name="Normal 22 24 2" xfId="19121" xr:uid="{00000000-0005-0000-0000-0000202F0000}"/>
    <cellStyle name="Normal 22 25" xfId="7042" xr:uid="{00000000-0005-0000-0000-0000212F0000}"/>
    <cellStyle name="Normal 22 25 2" xfId="19122" xr:uid="{00000000-0005-0000-0000-0000222F0000}"/>
    <cellStyle name="Normal 22 26" xfId="7043" xr:uid="{00000000-0005-0000-0000-0000232F0000}"/>
    <cellStyle name="Normal 22 26 2" xfId="19123" xr:uid="{00000000-0005-0000-0000-0000242F0000}"/>
    <cellStyle name="Normal 22 27" xfId="7044" xr:uid="{00000000-0005-0000-0000-0000252F0000}"/>
    <cellStyle name="Normal 22 27 2" xfId="19124" xr:uid="{00000000-0005-0000-0000-0000262F0000}"/>
    <cellStyle name="Normal 22 28" xfId="7045" xr:uid="{00000000-0005-0000-0000-0000272F0000}"/>
    <cellStyle name="Normal 22 28 2" xfId="19125" xr:uid="{00000000-0005-0000-0000-0000282F0000}"/>
    <cellStyle name="Normal 22 29" xfId="7046" xr:uid="{00000000-0005-0000-0000-0000292F0000}"/>
    <cellStyle name="Normal 22 29 2" xfId="19126" xr:uid="{00000000-0005-0000-0000-00002A2F0000}"/>
    <cellStyle name="Normal 22 3" xfId="309" xr:uid="{00000000-0005-0000-0000-00002B2F0000}"/>
    <cellStyle name="Normal 22 3 10" xfId="7047" xr:uid="{00000000-0005-0000-0000-00002C2F0000}"/>
    <cellStyle name="Normal 22 3 10 2" xfId="19128" xr:uid="{00000000-0005-0000-0000-00002D2F0000}"/>
    <cellStyle name="Normal 22 3 11" xfId="7048" xr:uid="{00000000-0005-0000-0000-00002E2F0000}"/>
    <cellStyle name="Normal 22 3 11 2" xfId="19129" xr:uid="{00000000-0005-0000-0000-00002F2F0000}"/>
    <cellStyle name="Normal 22 3 12" xfId="7049" xr:uid="{00000000-0005-0000-0000-0000302F0000}"/>
    <cellStyle name="Normal 22 3 12 2" xfId="19130" xr:uid="{00000000-0005-0000-0000-0000312F0000}"/>
    <cellStyle name="Normal 22 3 13" xfId="7050" xr:uid="{00000000-0005-0000-0000-0000322F0000}"/>
    <cellStyle name="Normal 22 3 13 2" xfId="19131" xr:uid="{00000000-0005-0000-0000-0000332F0000}"/>
    <cellStyle name="Normal 22 3 14" xfId="7051" xr:uid="{00000000-0005-0000-0000-0000342F0000}"/>
    <cellStyle name="Normal 22 3 14 2" xfId="19132" xr:uid="{00000000-0005-0000-0000-0000352F0000}"/>
    <cellStyle name="Normal 22 3 15" xfId="7052" xr:uid="{00000000-0005-0000-0000-0000362F0000}"/>
    <cellStyle name="Normal 22 3 15 2" xfId="19133" xr:uid="{00000000-0005-0000-0000-0000372F0000}"/>
    <cellStyle name="Normal 22 3 16" xfId="7053" xr:uid="{00000000-0005-0000-0000-0000382F0000}"/>
    <cellStyle name="Normal 22 3 16 2" xfId="19134" xr:uid="{00000000-0005-0000-0000-0000392F0000}"/>
    <cellStyle name="Normal 22 3 17" xfId="7054" xr:uid="{00000000-0005-0000-0000-00003A2F0000}"/>
    <cellStyle name="Normal 22 3 17 2" xfId="19135" xr:uid="{00000000-0005-0000-0000-00003B2F0000}"/>
    <cellStyle name="Normal 22 3 18" xfId="7055" xr:uid="{00000000-0005-0000-0000-00003C2F0000}"/>
    <cellStyle name="Normal 22 3 18 2" xfId="19136" xr:uid="{00000000-0005-0000-0000-00003D2F0000}"/>
    <cellStyle name="Normal 22 3 19" xfId="7056" xr:uid="{00000000-0005-0000-0000-00003E2F0000}"/>
    <cellStyle name="Normal 22 3 19 2" xfId="19137" xr:uid="{00000000-0005-0000-0000-00003F2F0000}"/>
    <cellStyle name="Normal 22 3 2" xfId="7057" xr:uid="{00000000-0005-0000-0000-0000402F0000}"/>
    <cellStyle name="Normal 22 3 2 2" xfId="19138" xr:uid="{00000000-0005-0000-0000-0000412F0000}"/>
    <cellStyle name="Normal 22 3 20" xfId="7058" xr:uid="{00000000-0005-0000-0000-0000422F0000}"/>
    <cellStyle name="Normal 22 3 20 2" xfId="19139" xr:uid="{00000000-0005-0000-0000-0000432F0000}"/>
    <cellStyle name="Normal 22 3 21" xfId="7059" xr:uid="{00000000-0005-0000-0000-0000442F0000}"/>
    <cellStyle name="Normal 22 3 21 2" xfId="19140" xr:uid="{00000000-0005-0000-0000-0000452F0000}"/>
    <cellStyle name="Normal 22 3 22" xfId="7060" xr:uid="{00000000-0005-0000-0000-0000462F0000}"/>
    <cellStyle name="Normal 22 3 22 2" xfId="19141" xr:uid="{00000000-0005-0000-0000-0000472F0000}"/>
    <cellStyle name="Normal 22 3 23" xfId="7061" xr:uid="{00000000-0005-0000-0000-0000482F0000}"/>
    <cellStyle name="Normal 22 3 23 2" xfId="19142" xr:uid="{00000000-0005-0000-0000-0000492F0000}"/>
    <cellStyle name="Normal 22 3 24" xfId="7062" xr:uid="{00000000-0005-0000-0000-00004A2F0000}"/>
    <cellStyle name="Normal 22 3 24 2" xfId="19143" xr:uid="{00000000-0005-0000-0000-00004B2F0000}"/>
    <cellStyle name="Normal 22 3 25" xfId="7063" xr:uid="{00000000-0005-0000-0000-00004C2F0000}"/>
    <cellStyle name="Normal 22 3 25 2" xfId="19144" xr:uid="{00000000-0005-0000-0000-00004D2F0000}"/>
    <cellStyle name="Normal 22 3 26" xfId="7064" xr:uid="{00000000-0005-0000-0000-00004E2F0000}"/>
    <cellStyle name="Normal 22 3 26 2" xfId="19145" xr:uid="{00000000-0005-0000-0000-00004F2F0000}"/>
    <cellStyle name="Normal 22 3 27" xfId="7065" xr:uid="{00000000-0005-0000-0000-0000502F0000}"/>
    <cellStyle name="Normal 22 3 27 2" xfId="19146" xr:uid="{00000000-0005-0000-0000-0000512F0000}"/>
    <cellStyle name="Normal 22 3 28" xfId="7066" xr:uid="{00000000-0005-0000-0000-0000522F0000}"/>
    <cellStyle name="Normal 22 3 28 2" xfId="19147" xr:uid="{00000000-0005-0000-0000-0000532F0000}"/>
    <cellStyle name="Normal 22 3 29" xfId="7067" xr:uid="{00000000-0005-0000-0000-0000542F0000}"/>
    <cellStyle name="Normal 22 3 29 2" xfId="19148" xr:uid="{00000000-0005-0000-0000-0000552F0000}"/>
    <cellStyle name="Normal 22 3 3" xfId="7068" xr:uid="{00000000-0005-0000-0000-0000562F0000}"/>
    <cellStyle name="Normal 22 3 3 2" xfId="19149" xr:uid="{00000000-0005-0000-0000-0000572F0000}"/>
    <cellStyle name="Normal 22 3 30" xfId="7069" xr:uid="{00000000-0005-0000-0000-0000582F0000}"/>
    <cellStyle name="Normal 22 3 30 2" xfId="19150" xr:uid="{00000000-0005-0000-0000-0000592F0000}"/>
    <cellStyle name="Normal 22 3 31" xfId="7070" xr:uid="{00000000-0005-0000-0000-00005A2F0000}"/>
    <cellStyle name="Normal 22 3 31 2" xfId="19151" xr:uid="{00000000-0005-0000-0000-00005B2F0000}"/>
    <cellStyle name="Normal 22 3 32" xfId="7071" xr:uid="{00000000-0005-0000-0000-00005C2F0000}"/>
    <cellStyle name="Normal 22 3 32 2" xfId="19152" xr:uid="{00000000-0005-0000-0000-00005D2F0000}"/>
    <cellStyle name="Normal 22 3 33" xfId="7072" xr:uid="{00000000-0005-0000-0000-00005E2F0000}"/>
    <cellStyle name="Normal 22 3 33 2" xfId="19153" xr:uid="{00000000-0005-0000-0000-00005F2F0000}"/>
    <cellStyle name="Normal 22 3 34" xfId="7073" xr:uid="{00000000-0005-0000-0000-0000602F0000}"/>
    <cellStyle name="Normal 22 3 34 2" xfId="19154" xr:uid="{00000000-0005-0000-0000-0000612F0000}"/>
    <cellStyle name="Normal 22 3 35" xfId="7074" xr:uid="{00000000-0005-0000-0000-0000622F0000}"/>
    <cellStyle name="Normal 22 3 35 2" xfId="19155" xr:uid="{00000000-0005-0000-0000-0000632F0000}"/>
    <cellStyle name="Normal 22 3 36" xfId="7075" xr:uid="{00000000-0005-0000-0000-0000642F0000}"/>
    <cellStyle name="Normal 22 3 36 2" xfId="19156" xr:uid="{00000000-0005-0000-0000-0000652F0000}"/>
    <cellStyle name="Normal 22 3 37" xfId="7076" xr:uid="{00000000-0005-0000-0000-0000662F0000}"/>
    <cellStyle name="Normal 22 3 37 2" xfId="19157" xr:uid="{00000000-0005-0000-0000-0000672F0000}"/>
    <cellStyle name="Normal 22 3 38" xfId="7077" xr:uid="{00000000-0005-0000-0000-0000682F0000}"/>
    <cellStyle name="Normal 22 3 38 2" xfId="19158" xr:uid="{00000000-0005-0000-0000-0000692F0000}"/>
    <cellStyle name="Normal 22 3 39" xfId="7078" xr:uid="{00000000-0005-0000-0000-00006A2F0000}"/>
    <cellStyle name="Normal 22 3 39 2" xfId="19159" xr:uid="{00000000-0005-0000-0000-00006B2F0000}"/>
    <cellStyle name="Normal 22 3 4" xfId="7079" xr:uid="{00000000-0005-0000-0000-00006C2F0000}"/>
    <cellStyle name="Normal 22 3 4 2" xfId="19160" xr:uid="{00000000-0005-0000-0000-00006D2F0000}"/>
    <cellStyle name="Normal 22 3 40" xfId="7080" xr:uid="{00000000-0005-0000-0000-00006E2F0000}"/>
    <cellStyle name="Normal 22 3 40 2" xfId="19161" xr:uid="{00000000-0005-0000-0000-00006F2F0000}"/>
    <cellStyle name="Normal 22 3 41" xfId="7081" xr:uid="{00000000-0005-0000-0000-0000702F0000}"/>
    <cellStyle name="Normal 22 3 41 2" xfId="19162" xr:uid="{00000000-0005-0000-0000-0000712F0000}"/>
    <cellStyle name="Normal 22 3 42" xfId="7082" xr:uid="{00000000-0005-0000-0000-0000722F0000}"/>
    <cellStyle name="Normal 22 3 42 2" xfId="19163" xr:uid="{00000000-0005-0000-0000-0000732F0000}"/>
    <cellStyle name="Normal 22 3 43" xfId="7083" xr:uid="{00000000-0005-0000-0000-0000742F0000}"/>
    <cellStyle name="Normal 22 3 43 2" xfId="19164" xr:uid="{00000000-0005-0000-0000-0000752F0000}"/>
    <cellStyle name="Normal 22 3 44" xfId="7084" xr:uid="{00000000-0005-0000-0000-0000762F0000}"/>
    <cellStyle name="Normal 22 3 44 2" xfId="19165" xr:uid="{00000000-0005-0000-0000-0000772F0000}"/>
    <cellStyle name="Normal 22 3 45" xfId="7085" xr:uid="{00000000-0005-0000-0000-0000782F0000}"/>
    <cellStyle name="Normal 22 3 45 2" xfId="19166" xr:uid="{00000000-0005-0000-0000-0000792F0000}"/>
    <cellStyle name="Normal 22 3 46" xfId="7086" xr:uid="{00000000-0005-0000-0000-00007A2F0000}"/>
    <cellStyle name="Normal 22 3 46 2" xfId="19167" xr:uid="{00000000-0005-0000-0000-00007B2F0000}"/>
    <cellStyle name="Normal 22 3 47" xfId="7087" xr:uid="{00000000-0005-0000-0000-00007C2F0000}"/>
    <cellStyle name="Normal 22 3 47 2" xfId="19168" xr:uid="{00000000-0005-0000-0000-00007D2F0000}"/>
    <cellStyle name="Normal 22 3 48" xfId="7088" xr:uid="{00000000-0005-0000-0000-00007E2F0000}"/>
    <cellStyle name="Normal 22 3 48 2" xfId="19169" xr:uid="{00000000-0005-0000-0000-00007F2F0000}"/>
    <cellStyle name="Normal 22 3 49" xfId="7089" xr:uid="{00000000-0005-0000-0000-0000802F0000}"/>
    <cellStyle name="Normal 22 3 49 2" xfId="19170" xr:uid="{00000000-0005-0000-0000-0000812F0000}"/>
    <cellStyle name="Normal 22 3 5" xfId="7090" xr:uid="{00000000-0005-0000-0000-0000822F0000}"/>
    <cellStyle name="Normal 22 3 5 2" xfId="19171" xr:uid="{00000000-0005-0000-0000-0000832F0000}"/>
    <cellStyle name="Normal 22 3 50" xfId="7091" xr:uid="{00000000-0005-0000-0000-0000842F0000}"/>
    <cellStyle name="Normal 22 3 50 2" xfId="19172" xr:uid="{00000000-0005-0000-0000-0000852F0000}"/>
    <cellStyle name="Normal 22 3 51" xfId="7092" xr:uid="{00000000-0005-0000-0000-0000862F0000}"/>
    <cellStyle name="Normal 22 3 51 2" xfId="19173" xr:uid="{00000000-0005-0000-0000-0000872F0000}"/>
    <cellStyle name="Normal 22 3 52" xfId="7093" xr:uid="{00000000-0005-0000-0000-0000882F0000}"/>
    <cellStyle name="Normal 22 3 52 2" xfId="19174" xr:uid="{00000000-0005-0000-0000-0000892F0000}"/>
    <cellStyle name="Normal 22 3 53" xfId="7094" xr:uid="{00000000-0005-0000-0000-00008A2F0000}"/>
    <cellStyle name="Normal 22 3 53 2" xfId="19175" xr:uid="{00000000-0005-0000-0000-00008B2F0000}"/>
    <cellStyle name="Normal 22 3 54" xfId="7095" xr:uid="{00000000-0005-0000-0000-00008C2F0000}"/>
    <cellStyle name="Normal 22 3 54 2" xfId="19176" xr:uid="{00000000-0005-0000-0000-00008D2F0000}"/>
    <cellStyle name="Normal 22 3 55" xfId="7096" xr:uid="{00000000-0005-0000-0000-00008E2F0000}"/>
    <cellStyle name="Normal 22 3 55 2" xfId="19177" xr:uid="{00000000-0005-0000-0000-00008F2F0000}"/>
    <cellStyle name="Normal 22 3 56" xfId="7097" xr:uid="{00000000-0005-0000-0000-0000902F0000}"/>
    <cellStyle name="Normal 22 3 56 2" xfId="19178" xr:uid="{00000000-0005-0000-0000-0000912F0000}"/>
    <cellStyle name="Normal 22 3 57" xfId="7098" xr:uid="{00000000-0005-0000-0000-0000922F0000}"/>
    <cellStyle name="Normal 22 3 57 2" xfId="19179" xr:uid="{00000000-0005-0000-0000-0000932F0000}"/>
    <cellStyle name="Normal 22 3 58" xfId="7099" xr:uid="{00000000-0005-0000-0000-0000942F0000}"/>
    <cellStyle name="Normal 22 3 58 2" xfId="19180" xr:uid="{00000000-0005-0000-0000-0000952F0000}"/>
    <cellStyle name="Normal 22 3 59" xfId="7100" xr:uid="{00000000-0005-0000-0000-0000962F0000}"/>
    <cellStyle name="Normal 22 3 59 2" xfId="19181" xr:uid="{00000000-0005-0000-0000-0000972F0000}"/>
    <cellStyle name="Normal 22 3 6" xfId="7101" xr:uid="{00000000-0005-0000-0000-0000982F0000}"/>
    <cellStyle name="Normal 22 3 6 2" xfId="19182" xr:uid="{00000000-0005-0000-0000-0000992F0000}"/>
    <cellStyle name="Normal 22 3 60" xfId="7102" xr:uid="{00000000-0005-0000-0000-00009A2F0000}"/>
    <cellStyle name="Normal 22 3 60 2" xfId="19183" xr:uid="{00000000-0005-0000-0000-00009B2F0000}"/>
    <cellStyle name="Normal 22 3 61" xfId="7103" xr:uid="{00000000-0005-0000-0000-00009C2F0000}"/>
    <cellStyle name="Normal 22 3 61 2" xfId="19184" xr:uid="{00000000-0005-0000-0000-00009D2F0000}"/>
    <cellStyle name="Normal 22 3 62" xfId="7104" xr:uid="{00000000-0005-0000-0000-00009E2F0000}"/>
    <cellStyle name="Normal 22 3 62 2" xfId="19185" xr:uid="{00000000-0005-0000-0000-00009F2F0000}"/>
    <cellStyle name="Normal 22 3 63" xfId="7105" xr:uid="{00000000-0005-0000-0000-0000A02F0000}"/>
    <cellStyle name="Normal 22 3 63 2" xfId="19186" xr:uid="{00000000-0005-0000-0000-0000A12F0000}"/>
    <cellStyle name="Normal 22 3 64" xfId="7106" xr:uid="{00000000-0005-0000-0000-0000A22F0000}"/>
    <cellStyle name="Normal 22 3 64 2" xfId="19187" xr:uid="{00000000-0005-0000-0000-0000A32F0000}"/>
    <cellStyle name="Normal 22 3 65" xfId="7107" xr:uid="{00000000-0005-0000-0000-0000A42F0000}"/>
    <cellStyle name="Normal 22 3 65 2" xfId="19188" xr:uid="{00000000-0005-0000-0000-0000A52F0000}"/>
    <cellStyle name="Normal 22 3 66" xfId="7108" xr:uid="{00000000-0005-0000-0000-0000A62F0000}"/>
    <cellStyle name="Normal 22 3 66 2" xfId="19189" xr:uid="{00000000-0005-0000-0000-0000A72F0000}"/>
    <cellStyle name="Normal 22 3 67" xfId="7109" xr:uid="{00000000-0005-0000-0000-0000A82F0000}"/>
    <cellStyle name="Normal 22 3 67 2" xfId="19190" xr:uid="{00000000-0005-0000-0000-0000A92F0000}"/>
    <cellStyle name="Normal 22 3 68" xfId="7110" xr:uid="{00000000-0005-0000-0000-0000AA2F0000}"/>
    <cellStyle name="Normal 22 3 68 2" xfId="19191" xr:uid="{00000000-0005-0000-0000-0000AB2F0000}"/>
    <cellStyle name="Normal 22 3 69" xfId="7111" xr:uid="{00000000-0005-0000-0000-0000AC2F0000}"/>
    <cellStyle name="Normal 22 3 69 2" xfId="19192" xr:uid="{00000000-0005-0000-0000-0000AD2F0000}"/>
    <cellStyle name="Normal 22 3 7" xfId="7112" xr:uid="{00000000-0005-0000-0000-0000AE2F0000}"/>
    <cellStyle name="Normal 22 3 7 2" xfId="19193" xr:uid="{00000000-0005-0000-0000-0000AF2F0000}"/>
    <cellStyle name="Normal 22 3 70" xfId="7113" xr:uid="{00000000-0005-0000-0000-0000B02F0000}"/>
    <cellStyle name="Normal 22 3 70 2" xfId="19194" xr:uid="{00000000-0005-0000-0000-0000B12F0000}"/>
    <cellStyle name="Normal 22 3 71" xfId="7114" xr:uid="{00000000-0005-0000-0000-0000B22F0000}"/>
    <cellStyle name="Normal 22 3 71 2" xfId="19195" xr:uid="{00000000-0005-0000-0000-0000B32F0000}"/>
    <cellStyle name="Normal 22 3 72" xfId="7115" xr:uid="{00000000-0005-0000-0000-0000B42F0000}"/>
    <cellStyle name="Normal 22 3 72 2" xfId="19196" xr:uid="{00000000-0005-0000-0000-0000B52F0000}"/>
    <cellStyle name="Normal 22 3 73" xfId="7116" xr:uid="{00000000-0005-0000-0000-0000B62F0000}"/>
    <cellStyle name="Normal 22 3 73 2" xfId="19197" xr:uid="{00000000-0005-0000-0000-0000B72F0000}"/>
    <cellStyle name="Normal 22 3 74" xfId="7117" xr:uid="{00000000-0005-0000-0000-0000B82F0000}"/>
    <cellStyle name="Normal 22 3 74 2" xfId="19198" xr:uid="{00000000-0005-0000-0000-0000B92F0000}"/>
    <cellStyle name="Normal 22 3 75" xfId="7118" xr:uid="{00000000-0005-0000-0000-0000BA2F0000}"/>
    <cellStyle name="Normal 22 3 75 2" xfId="19199" xr:uid="{00000000-0005-0000-0000-0000BB2F0000}"/>
    <cellStyle name="Normal 22 3 76" xfId="7119" xr:uid="{00000000-0005-0000-0000-0000BC2F0000}"/>
    <cellStyle name="Normal 22 3 76 2" xfId="19200" xr:uid="{00000000-0005-0000-0000-0000BD2F0000}"/>
    <cellStyle name="Normal 22 3 77" xfId="7120" xr:uid="{00000000-0005-0000-0000-0000BE2F0000}"/>
    <cellStyle name="Normal 22 3 77 2" xfId="19201" xr:uid="{00000000-0005-0000-0000-0000BF2F0000}"/>
    <cellStyle name="Normal 22 3 78" xfId="7121" xr:uid="{00000000-0005-0000-0000-0000C02F0000}"/>
    <cellStyle name="Normal 22 3 78 2" xfId="19202" xr:uid="{00000000-0005-0000-0000-0000C12F0000}"/>
    <cellStyle name="Normal 22 3 79" xfId="7122" xr:uid="{00000000-0005-0000-0000-0000C22F0000}"/>
    <cellStyle name="Normal 22 3 79 2" xfId="19203" xr:uid="{00000000-0005-0000-0000-0000C32F0000}"/>
    <cellStyle name="Normal 22 3 8" xfId="7123" xr:uid="{00000000-0005-0000-0000-0000C42F0000}"/>
    <cellStyle name="Normal 22 3 8 2" xfId="19204" xr:uid="{00000000-0005-0000-0000-0000C52F0000}"/>
    <cellStyle name="Normal 22 3 80" xfId="19127" xr:uid="{00000000-0005-0000-0000-0000C62F0000}"/>
    <cellStyle name="Normal 22 3 9" xfId="7124" xr:uid="{00000000-0005-0000-0000-0000C72F0000}"/>
    <cellStyle name="Normal 22 3 9 2" xfId="19205" xr:uid="{00000000-0005-0000-0000-0000C82F0000}"/>
    <cellStyle name="Normal 22 30" xfId="7125" xr:uid="{00000000-0005-0000-0000-0000C92F0000}"/>
    <cellStyle name="Normal 22 30 2" xfId="19206" xr:uid="{00000000-0005-0000-0000-0000CA2F0000}"/>
    <cellStyle name="Normal 22 31" xfId="7126" xr:uid="{00000000-0005-0000-0000-0000CB2F0000}"/>
    <cellStyle name="Normal 22 31 2" xfId="19207" xr:uid="{00000000-0005-0000-0000-0000CC2F0000}"/>
    <cellStyle name="Normal 22 32" xfId="7127" xr:uid="{00000000-0005-0000-0000-0000CD2F0000}"/>
    <cellStyle name="Normal 22 32 2" xfId="19208" xr:uid="{00000000-0005-0000-0000-0000CE2F0000}"/>
    <cellStyle name="Normal 22 33" xfId="7128" xr:uid="{00000000-0005-0000-0000-0000CF2F0000}"/>
    <cellStyle name="Normal 22 33 2" xfId="19209" xr:uid="{00000000-0005-0000-0000-0000D02F0000}"/>
    <cellStyle name="Normal 22 34" xfId="7129" xr:uid="{00000000-0005-0000-0000-0000D12F0000}"/>
    <cellStyle name="Normal 22 34 2" xfId="19210" xr:uid="{00000000-0005-0000-0000-0000D22F0000}"/>
    <cellStyle name="Normal 22 35" xfId="7130" xr:uid="{00000000-0005-0000-0000-0000D32F0000}"/>
    <cellStyle name="Normal 22 35 2" xfId="19211" xr:uid="{00000000-0005-0000-0000-0000D42F0000}"/>
    <cellStyle name="Normal 22 36" xfId="7131" xr:uid="{00000000-0005-0000-0000-0000D52F0000}"/>
    <cellStyle name="Normal 22 36 2" xfId="19212" xr:uid="{00000000-0005-0000-0000-0000D62F0000}"/>
    <cellStyle name="Normal 22 37" xfId="7132" xr:uid="{00000000-0005-0000-0000-0000D72F0000}"/>
    <cellStyle name="Normal 22 37 2" xfId="19213" xr:uid="{00000000-0005-0000-0000-0000D82F0000}"/>
    <cellStyle name="Normal 22 38" xfId="7133" xr:uid="{00000000-0005-0000-0000-0000D92F0000}"/>
    <cellStyle name="Normal 22 38 2" xfId="19214" xr:uid="{00000000-0005-0000-0000-0000DA2F0000}"/>
    <cellStyle name="Normal 22 39" xfId="7134" xr:uid="{00000000-0005-0000-0000-0000DB2F0000}"/>
    <cellStyle name="Normal 22 39 2" xfId="19215" xr:uid="{00000000-0005-0000-0000-0000DC2F0000}"/>
    <cellStyle name="Normal 22 4" xfId="87" xr:uid="{00000000-0005-0000-0000-0000DD2F0000}"/>
    <cellStyle name="Normal 22 4 10" xfId="7136" xr:uid="{00000000-0005-0000-0000-0000DE2F0000}"/>
    <cellStyle name="Normal 22 4 10 2" xfId="19217" xr:uid="{00000000-0005-0000-0000-0000DF2F0000}"/>
    <cellStyle name="Normal 22 4 11" xfId="7137" xr:uid="{00000000-0005-0000-0000-0000E02F0000}"/>
    <cellStyle name="Normal 22 4 11 2" xfId="19218" xr:uid="{00000000-0005-0000-0000-0000E12F0000}"/>
    <cellStyle name="Normal 22 4 12" xfId="7138" xr:uid="{00000000-0005-0000-0000-0000E22F0000}"/>
    <cellStyle name="Normal 22 4 12 2" xfId="19219" xr:uid="{00000000-0005-0000-0000-0000E32F0000}"/>
    <cellStyle name="Normal 22 4 13" xfId="7139" xr:uid="{00000000-0005-0000-0000-0000E42F0000}"/>
    <cellStyle name="Normal 22 4 13 2" xfId="19220" xr:uid="{00000000-0005-0000-0000-0000E52F0000}"/>
    <cellStyle name="Normal 22 4 14" xfId="7140" xr:uid="{00000000-0005-0000-0000-0000E62F0000}"/>
    <cellStyle name="Normal 22 4 14 2" xfId="19221" xr:uid="{00000000-0005-0000-0000-0000E72F0000}"/>
    <cellStyle name="Normal 22 4 15" xfId="7141" xr:uid="{00000000-0005-0000-0000-0000E82F0000}"/>
    <cellStyle name="Normal 22 4 15 2" xfId="19222" xr:uid="{00000000-0005-0000-0000-0000E92F0000}"/>
    <cellStyle name="Normal 22 4 16" xfId="7142" xr:uid="{00000000-0005-0000-0000-0000EA2F0000}"/>
    <cellStyle name="Normal 22 4 16 2" xfId="19223" xr:uid="{00000000-0005-0000-0000-0000EB2F0000}"/>
    <cellStyle name="Normal 22 4 17" xfId="7143" xr:uid="{00000000-0005-0000-0000-0000EC2F0000}"/>
    <cellStyle name="Normal 22 4 17 2" xfId="19224" xr:uid="{00000000-0005-0000-0000-0000ED2F0000}"/>
    <cellStyle name="Normal 22 4 18" xfId="7144" xr:uid="{00000000-0005-0000-0000-0000EE2F0000}"/>
    <cellStyle name="Normal 22 4 18 2" xfId="19225" xr:uid="{00000000-0005-0000-0000-0000EF2F0000}"/>
    <cellStyle name="Normal 22 4 19" xfId="7145" xr:uid="{00000000-0005-0000-0000-0000F02F0000}"/>
    <cellStyle name="Normal 22 4 19 2" xfId="19226" xr:uid="{00000000-0005-0000-0000-0000F12F0000}"/>
    <cellStyle name="Normal 22 4 2" xfId="7146" xr:uid="{00000000-0005-0000-0000-0000F22F0000}"/>
    <cellStyle name="Normal 22 4 2 2" xfId="19227" xr:uid="{00000000-0005-0000-0000-0000F32F0000}"/>
    <cellStyle name="Normal 22 4 20" xfId="7147" xr:uid="{00000000-0005-0000-0000-0000F42F0000}"/>
    <cellStyle name="Normal 22 4 20 2" xfId="19228" xr:uid="{00000000-0005-0000-0000-0000F52F0000}"/>
    <cellStyle name="Normal 22 4 21" xfId="7148" xr:uid="{00000000-0005-0000-0000-0000F62F0000}"/>
    <cellStyle name="Normal 22 4 21 2" xfId="19229" xr:uid="{00000000-0005-0000-0000-0000F72F0000}"/>
    <cellStyle name="Normal 22 4 22" xfId="7149" xr:uid="{00000000-0005-0000-0000-0000F82F0000}"/>
    <cellStyle name="Normal 22 4 22 2" xfId="19230" xr:uid="{00000000-0005-0000-0000-0000F92F0000}"/>
    <cellStyle name="Normal 22 4 23" xfId="7150" xr:uid="{00000000-0005-0000-0000-0000FA2F0000}"/>
    <cellStyle name="Normal 22 4 23 2" xfId="19231" xr:uid="{00000000-0005-0000-0000-0000FB2F0000}"/>
    <cellStyle name="Normal 22 4 24" xfId="7151" xr:uid="{00000000-0005-0000-0000-0000FC2F0000}"/>
    <cellStyle name="Normal 22 4 24 2" xfId="19232" xr:uid="{00000000-0005-0000-0000-0000FD2F0000}"/>
    <cellStyle name="Normal 22 4 25" xfId="7152" xr:uid="{00000000-0005-0000-0000-0000FE2F0000}"/>
    <cellStyle name="Normal 22 4 25 2" xfId="19233" xr:uid="{00000000-0005-0000-0000-0000FF2F0000}"/>
    <cellStyle name="Normal 22 4 26" xfId="7153" xr:uid="{00000000-0005-0000-0000-000000300000}"/>
    <cellStyle name="Normal 22 4 26 2" xfId="19234" xr:uid="{00000000-0005-0000-0000-000001300000}"/>
    <cellStyle name="Normal 22 4 27" xfId="7154" xr:uid="{00000000-0005-0000-0000-000002300000}"/>
    <cellStyle name="Normal 22 4 27 2" xfId="19235" xr:uid="{00000000-0005-0000-0000-000003300000}"/>
    <cellStyle name="Normal 22 4 28" xfId="7155" xr:uid="{00000000-0005-0000-0000-000004300000}"/>
    <cellStyle name="Normal 22 4 28 2" xfId="19236" xr:uid="{00000000-0005-0000-0000-000005300000}"/>
    <cellStyle name="Normal 22 4 29" xfId="7156" xr:uid="{00000000-0005-0000-0000-000006300000}"/>
    <cellStyle name="Normal 22 4 29 2" xfId="19237" xr:uid="{00000000-0005-0000-0000-000007300000}"/>
    <cellStyle name="Normal 22 4 3" xfId="7157" xr:uid="{00000000-0005-0000-0000-000008300000}"/>
    <cellStyle name="Normal 22 4 3 2" xfId="19238" xr:uid="{00000000-0005-0000-0000-000009300000}"/>
    <cellStyle name="Normal 22 4 30" xfId="7158" xr:uid="{00000000-0005-0000-0000-00000A300000}"/>
    <cellStyle name="Normal 22 4 30 2" xfId="19239" xr:uid="{00000000-0005-0000-0000-00000B300000}"/>
    <cellStyle name="Normal 22 4 31" xfId="7159" xr:uid="{00000000-0005-0000-0000-00000C300000}"/>
    <cellStyle name="Normal 22 4 31 2" xfId="19240" xr:uid="{00000000-0005-0000-0000-00000D300000}"/>
    <cellStyle name="Normal 22 4 32" xfId="7160" xr:uid="{00000000-0005-0000-0000-00000E300000}"/>
    <cellStyle name="Normal 22 4 32 2" xfId="19241" xr:uid="{00000000-0005-0000-0000-00000F300000}"/>
    <cellStyle name="Normal 22 4 33" xfId="7161" xr:uid="{00000000-0005-0000-0000-000010300000}"/>
    <cellStyle name="Normal 22 4 33 2" xfId="19242" xr:uid="{00000000-0005-0000-0000-000011300000}"/>
    <cellStyle name="Normal 22 4 34" xfId="7162" xr:uid="{00000000-0005-0000-0000-000012300000}"/>
    <cellStyle name="Normal 22 4 34 2" xfId="19243" xr:uid="{00000000-0005-0000-0000-000013300000}"/>
    <cellStyle name="Normal 22 4 35" xfId="7163" xr:uid="{00000000-0005-0000-0000-000014300000}"/>
    <cellStyle name="Normal 22 4 35 2" xfId="19244" xr:uid="{00000000-0005-0000-0000-000015300000}"/>
    <cellStyle name="Normal 22 4 36" xfId="7164" xr:uid="{00000000-0005-0000-0000-000016300000}"/>
    <cellStyle name="Normal 22 4 36 2" xfId="19245" xr:uid="{00000000-0005-0000-0000-000017300000}"/>
    <cellStyle name="Normal 22 4 37" xfId="7165" xr:uid="{00000000-0005-0000-0000-000018300000}"/>
    <cellStyle name="Normal 22 4 37 2" xfId="19246" xr:uid="{00000000-0005-0000-0000-000019300000}"/>
    <cellStyle name="Normal 22 4 38" xfId="7166" xr:uid="{00000000-0005-0000-0000-00001A300000}"/>
    <cellStyle name="Normal 22 4 38 2" xfId="19247" xr:uid="{00000000-0005-0000-0000-00001B300000}"/>
    <cellStyle name="Normal 22 4 39" xfId="7167" xr:uid="{00000000-0005-0000-0000-00001C300000}"/>
    <cellStyle name="Normal 22 4 39 2" xfId="19248" xr:uid="{00000000-0005-0000-0000-00001D300000}"/>
    <cellStyle name="Normal 22 4 4" xfId="7168" xr:uid="{00000000-0005-0000-0000-00001E300000}"/>
    <cellStyle name="Normal 22 4 4 2" xfId="19249" xr:uid="{00000000-0005-0000-0000-00001F300000}"/>
    <cellStyle name="Normal 22 4 40" xfId="7169" xr:uid="{00000000-0005-0000-0000-000020300000}"/>
    <cellStyle name="Normal 22 4 40 2" xfId="19250" xr:uid="{00000000-0005-0000-0000-000021300000}"/>
    <cellStyle name="Normal 22 4 41" xfId="7170" xr:uid="{00000000-0005-0000-0000-000022300000}"/>
    <cellStyle name="Normal 22 4 41 2" xfId="19251" xr:uid="{00000000-0005-0000-0000-000023300000}"/>
    <cellStyle name="Normal 22 4 42" xfId="7171" xr:uid="{00000000-0005-0000-0000-000024300000}"/>
    <cellStyle name="Normal 22 4 42 2" xfId="19252" xr:uid="{00000000-0005-0000-0000-000025300000}"/>
    <cellStyle name="Normal 22 4 43" xfId="7172" xr:uid="{00000000-0005-0000-0000-000026300000}"/>
    <cellStyle name="Normal 22 4 43 2" xfId="19253" xr:uid="{00000000-0005-0000-0000-000027300000}"/>
    <cellStyle name="Normal 22 4 44" xfId="7173" xr:uid="{00000000-0005-0000-0000-000028300000}"/>
    <cellStyle name="Normal 22 4 44 2" xfId="19254" xr:uid="{00000000-0005-0000-0000-000029300000}"/>
    <cellStyle name="Normal 22 4 45" xfId="7174" xr:uid="{00000000-0005-0000-0000-00002A300000}"/>
    <cellStyle name="Normal 22 4 45 2" xfId="19255" xr:uid="{00000000-0005-0000-0000-00002B300000}"/>
    <cellStyle name="Normal 22 4 46" xfId="7175" xr:uid="{00000000-0005-0000-0000-00002C300000}"/>
    <cellStyle name="Normal 22 4 46 2" xfId="19256" xr:uid="{00000000-0005-0000-0000-00002D300000}"/>
    <cellStyle name="Normal 22 4 47" xfId="7176" xr:uid="{00000000-0005-0000-0000-00002E300000}"/>
    <cellStyle name="Normal 22 4 47 2" xfId="19257" xr:uid="{00000000-0005-0000-0000-00002F300000}"/>
    <cellStyle name="Normal 22 4 48" xfId="7177" xr:uid="{00000000-0005-0000-0000-000030300000}"/>
    <cellStyle name="Normal 22 4 48 2" xfId="19258" xr:uid="{00000000-0005-0000-0000-000031300000}"/>
    <cellStyle name="Normal 22 4 49" xfId="7178" xr:uid="{00000000-0005-0000-0000-000032300000}"/>
    <cellStyle name="Normal 22 4 49 2" xfId="19259" xr:uid="{00000000-0005-0000-0000-000033300000}"/>
    <cellStyle name="Normal 22 4 5" xfId="7179" xr:uid="{00000000-0005-0000-0000-000034300000}"/>
    <cellStyle name="Normal 22 4 5 2" xfId="19260" xr:uid="{00000000-0005-0000-0000-000035300000}"/>
    <cellStyle name="Normal 22 4 50" xfId="7180" xr:uid="{00000000-0005-0000-0000-000036300000}"/>
    <cellStyle name="Normal 22 4 50 2" xfId="19261" xr:uid="{00000000-0005-0000-0000-000037300000}"/>
    <cellStyle name="Normal 22 4 51" xfId="7181" xr:uid="{00000000-0005-0000-0000-000038300000}"/>
    <cellStyle name="Normal 22 4 51 2" xfId="19262" xr:uid="{00000000-0005-0000-0000-000039300000}"/>
    <cellStyle name="Normal 22 4 52" xfId="7182" xr:uid="{00000000-0005-0000-0000-00003A300000}"/>
    <cellStyle name="Normal 22 4 52 2" xfId="19263" xr:uid="{00000000-0005-0000-0000-00003B300000}"/>
    <cellStyle name="Normal 22 4 53" xfId="7183" xr:uid="{00000000-0005-0000-0000-00003C300000}"/>
    <cellStyle name="Normal 22 4 53 2" xfId="19264" xr:uid="{00000000-0005-0000-0000-00003D300000}"/>
    <cellStyle name="Normal 22 4 54" xfId="7184" xr:uid="{00000000-0005-0000-0000-00003E300000}"/>
    <cellStyle name="Normal 22 4 54 2" xfId="19265" xr:uid="{00000000-0005-0000-0000-00003F300000}"/>
    <cellStyle name="Normal 22 4 55" xfId="7185" xr:uid="{00000000-0005-0000-0000-000040300000}"/>
    <cellStyle name="Normal 22 4 55 2" xfId="19266" xr:uid="{00000000-0005-0000-0000-000041300000}"/>
    <cellStyle name="Normal 22 4 56" xfId="7186" xr:uid="{00000000-0005-0000-0000-000042300000}"/>
    <cellStyle name="Normal 22 4 56 2" xfId="19267" xr:uid="{00000000-0005-0000-0000-000043300000}"/>
    <cellStyle name="Normal 22 4 57" xfId="7187" xr:uid="{00000000-0005-0000-0000-000044300000}"/>
    <cellStyle name="Normal 22 4 57 2" xfId="19268" xr:uid="{00000000-0005-0000-0000-000045300000}"/>
    <cellStyle name="Normal 22 4 58" xfId="7188" xr:uid="{00000000-0005-0000-0000-000046300000}"/>
    <cellStyle name="Normal 22 4 58 2" xfId="19269" xr:uid="{00000000-0005-0000-0000-000047300000}"/>
    <cellStyle name="Normal 22 4 59" xfId="7189" xr:uid="{00000000-0005-0000-0000-000048300000}"/>
    <cellStyle name="Normal 22 4 59 2" xfId="19270" xr:uid="{00000000-0005-0000-0000-000049300000}"/>
    <cellStyle name="Normal 22 4 6" xfId="7190" xr:uid="{00000000-0005-0000-0000-00004A300000}"/>
    <cellStyle name="Normal 22 4 6 2" xfId="19271" xr:uid="{00000000-0005-0000-0000-00004B300000}"/>
    <cellStyle name="Normal 22 4 60" xfId="7191" xr:uid="{00000000-0005-0000-0000-00004C300000}"/>
    <cellStyle name="Normal 22 4 60 2" xfId="19272" xr:uid="{00000000-0005-0000-0000-00004D300000}"/>
    <cellStyle name="Normal 22 4 61" xfId="7192" xr:uid="{00000000-0005-0000-0000-00004E300000}"/>
    <cellStyle name="Normal 22 4 61 2" xfId="19273" xr:uid="{00000000-0005-0000-0000-00004F300000}"/>
    <cellStyle name="Normal 22 4 62" xfId="7193" xr:uid="{00000000-0005-0000-0000-000050300000}"/>
    <cellStyle name="Normal 22 4 62 2" xfId="19274" xr:uid="{00000000-0005-0000-0000-000051300000}"/>
    <cellStyle name="Normal 22 4 63" xfId="7194" xr:uid="{00000000-0005-0000-0000-000052300000}"/>
    <cellStyle name="Normal 22 4 63 2" xfId="19275" xr:uid="{00000000-0005-0000-0000-000053300000}"/>
    <cellStyle name="Normal 22 4 64" xfId="7195" xr:uid="{00000000-0005-0000-0000-000054300000}"/>
    <cellStyle name="Normal 22 4 64 2" xfId="19276" xr:uid="{00000000-0005-0000-0000-000055300000}"/>
    <cellStyle name="Normal 22 4 65" xfId="7196" xr:uid="{00000000-0005-0000-0000-000056300000}"/>
    <cellStyle name="Normal 22 4 65 2" xfId="19277" xr:uid="{00000000-0005-0000-0000-000057300000}"/>
    <cellStyle name="Normal 22 4 66" xfId="7197" xr:uid="{00000000-0005-0000-0000-000058300000}"/>
    <cellStyle name="Normal 22 4 66 2" xfId="19278" xr:uid="{00000000-0005-0000-0000-000059300000}"/>
    <cellStyle name="Normal 22 4 67" xfId="7198" xr:uid="{00000000-0005-0000-0000-00005A300000}"/>
    <cellStyle name="Normal 22 4 67 2" xfId="19279" xr:uid="{00000000-0005-0000-0000-00005B300000}"/>
    <cellStyle name="Normal 22 4 68" xfId="7199" xr:uid="{00000000-0005-0000-0000-00005C300000}"/>
    <cellStyle name="Normal 22 4 68 2" xfId="19280" xr:uid="{00000000-0005-0000-0000-00005D300000}"/>
    <cellStyle name="Normal 22 4 69" xfId="7200" xr:uid="{00000000-0005-0000-0000-00005E300000}"/>
    <cellStyle name="Normal 22 4 69 2" xfId="19281" xr:uid="{00000000-0005-0000-0000-00005F300000}"/>
    <cellStyle name="Normal 22 4 7" xfId="7201" xr:uid="{00000000-0005-0000-0000-000060300000}"/>
    <cellStyle name="Normal 22 4 7 2" xfId="19282" xr:uid="{00000000-0005-0000-0000-000061300000}"/>
    <cellStyle name="Normal 22 4 70" xfId="7202" xr:uid="{00000000-0005-0000-0000-000062300000}"/>
    <cellStyle name="Normal 22 4 70 2" xfId="19283" xr:uid="{00000000-0005-0000-0000-000063300000}"/>
    <cellStyle name="Normal 22 4 71" xfId="7203" xr:uid="{00000000-0005-0000-0000-000064300000}"/>
    <cellStyle name="Normal 22 4 71 2" xfId="19284" xr:uid="{00000000-0005-0000-0000-000065300000}"/>
    <cellStyle name="Normal 22 4 72" xfId="7204" xr:uid="{00000000-0005-0000-0000-000066300000}"/>
    <cellStyle name="Normal 22 4 72 2" xfId="19285" xr:uid="{00000000-0005-0000-0000-000067300000}"/>
    <cellStyle name="Normal 22 4 73" xfId="7205" xr:uid="{00000000-0005-0000-0000-000068300000}"/>
    <cellStyle name="Normal 22 4 73 2" xfId="19286" xr:uid="{00000000-0005-0000-0000-000069300000}"/>
    <cellStyle name="Normal 22 4 74" xfId="7206" xr:uid="{00000000-0005-0000-0000-00006A300000}"/>
    <cellStyle name="Normal 22 4 74 2" xfId="19287" xr:uid="{00000000-0005-0000-0000-00006B300000}"/>
    <cellStyle name="Normal 22 4 75" xfId="7207" xr:uid="{00000000-0005-0000-0000-00006C300000}"/>
    <cellStyle name="Normal 22 4 75 2" xfId="19288" xr:uid="{00000000-0005-0000-0000-00006D300000}"/>
    <cellStyle name="Normal 22 4 76" xfId="7208" xr:uid="{00000000-0005-0000-0000-00006E300000}"/>
    <cellStyle name="Normal 22 4 76 2" xfId="19289" xr:uid="{00000000-0005-0000-0000-00006F300000}"/>
    <cellStyle name="Normal 22 4 77" xfId="7209" xr:uid="{00000000-0005-0000-0000-000070300000}"/>
    <cellStyle name="Normal 22 4 77 2" xfId="19290" xr:uid="{00000000-0005-0000-0000-000071300000}"/>
    <cellStyle name="Normal 22 4 78" xfId="7210" xr:uid="{00000000-0005-0000-0000-000072300000}"/>
    <cellStyle name="Normal 22 4 78 2" xfId="19291" xr:uid="{00000000-0005-0000-0000-000073300000}"/>
    <cellStyle name="Normal 22 4 79" xfId="7211" xr:uid="{00000000-0005-0000-0000-000074300000}"/>
    <cellStyle name="Normal 22 4 79 2" xfId="19292" xr:uid="{00000000-0005-0000-0000-000075300000}"/>
    <cellStyle name="Normal 22 4 8" xfId="7212" xr:uid="{00000000-0005-0000-0000-000076300000}"/>
    <cellStyle name="Normal 22 4 8 2" xfId="19293" xr:uid="{00000000-0005-0000-0000-000077300000}"/>
    <cellStyle name="Normal 22 4 80" xfId="19216" xr:uid="{00000000-0005-0000-0000-000078300000}"/>
    <cellStyle name="Normal 22 4 81" xfId="7135" xr:uid="{00000000-0005-0000-0000-000079300000}"/>
    <cellStyle name="Normal 22 4 9" xfId="7213" xr:uid="{00000000-0005-0000-0000-00007A300000}"/>
    <cellStyle name="Normal 22 4 9 2" xfId="19294" xr:uid="{00000000-0005-0000-0000-00007B300000}"/>
    <cellStyle name="Normal 22 40" xfId="7214" xr:uid="{00000000-0005-0000-0000-00007C300000}"/>
    <cellStyle name="Normal 22 40 2" xfId="19295" xr:uid="{00000000-0005-0000-0000-00007D300000}"/>
    <cellStyle name="Normal 22 41" xfId="7215" xr:uid="{00000000-0005-0000-0000-00007E300000}"/>
    <cellStyle name="Normal 22 41 2" xfId="19296" xr:uid="{00000000-0005-0000-0000-00007F300000}"/>
    <cellStyle name="Normal 22 42" xfId="7216" xr:uid="{00000000-0005-0000-0000-000080300000}"/>
    <cellStyle name="Normal 22 42 2" xfId="19297" xr:uid="{00000000-0005-0000-0000-000081300000}"/>
    <cellStyle name="Normal 22 43" xfId="7217" xr:uid="{00000000-0005-0000-0000-000082300000}"/>
    <cellStyle name="Normal 22 43 2" xfId="19298" xr:uid="{00000000-0005-0000-0000-000083300000}"/>
    <cellStyle name="Normal 22 44" xfId="7218" xr:uid="{00000000-0005-0000-0000-000084300000}"/>
    <cellStyle name="Normal 22 44 2" xfId="19299" xr:uid="{00000000-0005-0000-0000-000085300000}"/>
    <cellStyle name="Normal 22 45" xfId="7219" xr:uid="{00000000-0005-0000-0000-000086300000}"/>
    <cellStyle name="Normal 22 45 2" xfId="19300" xr:uid="{00000000-0005-0000-0000-000087300000}"/>
    <cellStyle name="Normal 22 46" xfId="7220" xr:uid="{00000000-0005-0000-0000-000088300000}"/>
    <cellStyle name="Normal 22 46 2" xfId="19301" xr:uid="{00000000-0005-0000-0000-000089300000}"/>
    <cellStyle name="Normal 22 47" xfId="7221" xr:uid="{00000000-0005-0000-0000-00008A300000}"/>
    <cellStyle name="Normal 22 47 2" xfId="19302" xr:uid="{00000000-0005-0000-0000-00008B300000}"/>
    <cellStyle name="Normal 22 48" xfId="7222" xr:uid="{00000000-0005-0000-0000-00008C300000}"/>
    <cellStyle name="Normal 22 48 2" xfId="19303" xr:uid="{00000000-0005-0000-0000-00008D300000}"/>
    <cellStyle name="Normal 22 49" xfId="7223" xr:uid="{00000000-0005-0000-0000-00008E300000}"/>
    <cellStyle name="Normal 22 49 2" xfId="19304" xr:uid="{00000000-0005-0000-0000-00008F300000}"/>
    <cellStyle name="Normal 22 5" xfId="7224" xr:uid="{00000000-0005-0000-0000-000090300000}"/>
    <cellStyle name="Normal 22 5 2" xfId="19305" xr:uid="{00000000-0005-0000-0000-000091300000}"/>
    <cellStyle name="Normal 22 50" xfId="7225" xr:uid="{00000000-0005-0000-0000-000092300000}"/>
    <cellStyle name="Normal 22 50 2" xfId="19306" xr:uid="{00000000-0005-0000-0000-000093300000}"/>
    <cellStyle name="Normal 22 51" xfId="7226" xr:uid="{00000000-0005-0000-0000-000094300000}"/>
    <cellStyle name="Normal 22 51 2" xfId="19307" xr:uid="{00000000-0005-0000-0000-000095300000}"/>
    <cellStyle name="Normal 22 52" xfId="7227" xr:uid="{00000000-0005-0000-0000-000096300000}"/>
    <cellStyle name="Normal 22 52 2" xfId="19308" xr:uid="{00000000-0005-0000-0000-000097300000}"/>
    <cellStyle name="Normal 22 53" xfId="7228" xr:uid="{00000000-0005-0000-0000-000098300000}"/>
    <cellStyle name="Normal 22 53 2" xfId="19309" xr:uid="{00000000-0005-0000-0000-000099300000}"/>
    <cellStyle name="Normal 22 54" xfId="7229" xr:uid="{00000000-0005-0000-0000-00009A300000}"/>
    <cellStyle name="Normal 22 54 2" xfId="19310" xr:uid="{00000000-0005-0000-0000-00009B300000}"/>
    <cellStyle name="Normal 22 55" xfId="7230" xr:uid="{00000000-0005-0000-0000-00009C300000}"/>
    <cellStyle name="Normal 22 55 2" xfId="19311" xr:uid="{00000000-0005-0000-0000-00009D300000}"/>
    <cellStyle name="Normal 22 56" xfId="7231" xr:uid="{00000000-0005-0000-0000-00009E300000}"/>
    <cellStyle name="Normal 22 56 2" xfId="19312" xr:uid="{00000000-0005-0000-0000-00009F300000}"/>
    <cellStyle name="Normal 22 57" xfId="7232" xr:uid="{00000000-0005-0000-0000-0000A0300000}"/>
    <cellStyle name="Normal 22 57 2" xfId="19313" xr:uid="{00000000-0005-0000-0000-0000A1300000}"/>
    <cellStyle name="Normal 22 58" xfId="7233" xr:uid="{00000000-0005-0000-0000-0000A2300000}"/>
    <cellStyle name="Normal 22 58 2" xfId="19314" xr:uid="{00000000-0005-0000-0000-0000A3300000}"/>
    <cellStyle name="Normal 22 59" xfId="7234" xr:uid="{00000000-0005-0000-0000-0000A4300000}"/>
    <cellStyle name="Normal 22 59 2" xfId="19315" xr:uid="{00000000-0005-0000-0000-0000A5300000}"/>
    <cellStyle name="Normal 22 6" xfId="7235" xr:uid="{00000000-0005-0000-0000-0000A6300000}"/>
    <cellStyle name="Normal 22 6 2" xfId="19316" xr:uid="{00000000-0005-0000-0000-0000A7300000}"/>
    <cellStyle name="Normal 22 60" xfId="7236" xr:uid="{00000000-0005-0000-0000-0000A8300000}"/>
    <cellStyle name="Normal 22 60 2" xfId="19317" xr:uid="{00000000-0005-0000-0000-0000A9300000}"/>
    <cellStyle name="Normal 22 61" xfId="7237" xr:uid="{00000000-0005-0000-0000-0000AA300000}"/>
    <cellStyle name="Normal 22 61 2" xfId="19318" xr:uid="{00000000-0005-0000-0000-0000AB300000}"/>
    <cellStyle name="Normal 22 62" xfId="7238" xr:uid="{00000000-0005-0000-0000-0000AC300000}"/>
    <cellStyle name="Normal 22 62 2" xfId="19319" xr:uid="{00000000-0005-0000-0000-0000AD300000}"/>
    <cellStyle name="Normal 22 63" xfId="7239" xr:uid="{00000000-0005-0000-0000-0000AE300000}"/>
    <cellStyle name="Normal 22 63 2" xfId="19320" xr:uid="{00000000-0005-0000-0000-0000AF300000}"/>
    <cellStyle name="Normal 22 64" xfId="7240" xr:uid="{00000000-0005-0000-0000-0000B0300000}"/>
    <cellStyle name="Normal 22 64 2" xfId="19321" xr:uid="{00000000-0005-0000-0000-0000B1300000}"/>
    <cellStyle name="Normal 22 65" xfId="7241" xr:uid="{00000000-0005-0000-0000-0000B2300000}"/>
    <cellStyle name="Normal 22 65 2" xfId="19322" xr:uid="{00000000-0005-0000-0000-0000B3300000}"/>
    <cellStyle name="Normal 22 66" xfId="7242" xr:uid="{00000000-0005-0000-0000-0000B4300000}"/>
    <cellStyle name="Normal 22 66 2" xfId="19323" xr:uid="{00000000-0005-0000-0000-0000B5300000}"/>
    <cellStyle name="Normal 22 67" xfId="7243" xr:uid="{00000000-0005-0000-0000-0000B6300000}"/>
    <cellStyle name="Normal 22 67 2" xfId="19324" xr:uid="{00000000-0005-0000-0000-0000B7300000}"/>
    <cellStyle name="Normal 22 68" xfId="7244" xr:uid="{00000000-0005-0000-0000-0000B8300000}"/>
    <cellStyle name="Normal 22 68 2" xfId="19325" xr:uid="{00000000-0005-0000-0000-0000B9300000}"/>
    <cellStyle name="Normal 22 69" xfId="7245" xr:uid="{00000000-0005-0000-0000-0000BA300000}"/>
    <cellStyle name="Normal 22 69 2" xfId="19326" xr:uid="{00000000-0005-0000-0000-0000BB300000}"/>
    <cellStyle name="Normal 22 7" xfId="7246" xr:uid="{00000000-0005-0000-0000-0000BC300000}"/>
    <cellStyle name="Normal 22 7 2" xfId="19327" xr:uid="{00000000-0005-0000-0000-0000BD300000}"/>
    <cellStyle name="Normal 22 70" xfId="7247" xr:uid="{00000000-0005-0000-0000-0000BE300000}"/>
    <cellStyle name="Normal 22 70 2" xfId="19328" xr:uid="{00000000-0005-0000-0000-0000BF300000}"/>
    <cellStyle name="Normal 22 71" xfId="7248" xr:uid="{00000000-0005-0000-0000-0000C0300000}"/>
    <cellStyle name="Normal 22 71 2" xfId="19329" xr:uid="{00000000-0005-0000-0000-0000C1300000}"/>
    <cellStyle name="Normal 22 72" xfId="7249" xr:uid="{00000000-0005-0000-0000-0000C2300000}"/>
    <cellStyle name="Normal 22 72 2" xfId="19330" xr:uid="{00000000-0005-0000-0000-0000C3300000}"/>
    <cellStyle name="Normal 22 73" xfId="7250" xr:uid="{00000000-0005-0000-0000-0000C4300000}"/>
    <cellStyle name="Normal 22 73 2" xfId="19331" xr:uid="{00000000-0005-0000-0000-0000C5300000}"/>
    <cellStyle name="Normal 22 74" xfId="7251" xr:uid="{00000000-0005-0000-0000-0000C6300000}"/>
    <cellStyle name="Normal 22 74 2" xfId="19332" xr:uid="{00000000-0005-0000-0000-0000C7300000}"/>
    <cellStyle name="Normal 22 75" xfId="7252" xr:uid="{00000000-0005-0000-0000-0000C8300000}"/>
    <cellStyle name="Normal 22 75 2" xfId="19333" xr:uid="{00000000-0005-0000-0000-0000C9300000}"/>
    <cellStyle name="Normal 22 76" xfId="7253" xr:uid="{00000000-0005-0000-0000-0000CA300000}"/>
    <cellStyle name="Normal 22 76 2" xfId="19334" xr:uid="{00000000-0005-0000-0000-0000CB300000}"/>
    <cellStyle name="Normal 22 77" xfId="7254" xr:uid="{00000000-0005-0000-0000-0000CC300000}"/>
    <cellStyle name="Normal 22 77 2" xfId="19335" xr:uid="{00000000-0005-0000-0000-0000CD300000}"/>
    <cellStyle name="Normal 22 78" xfId="7255" xr:uid="{00000000-0005-0000-0000-0000CE300000}"/>
    <cellStyle name="Normal 22 78 2" xfId="19336" xr:uid="{00000000-0005-0000-0000-0000CF300000}"/>
    <cellStyle name="Normal 22 79" xfId="7256" xr:uid="{00000000-0005-0000-0000-0000D0300000}"/>
    <cellStyle name="Normal 22 79 2" xfId="19337" xr:uid="{00000000-0005-0000-0000-0000D1300000}"/>
    <cellStyle name="Normal 22 8" xfId="7257" xr:uid="{00000000-0005-0000-0000-0000D2300000}"/>
    <cellStyle name="Normal 22 8 2" xfId="19338" xr:uid="{00000000-0005-0000-0000-0000D3300000}"/>
    <cellStyle name="Normal 22 80" xfId="7258" xr:uid="{00000000-0005-0000-0000-0000D4300000}"/>
    <cellStyle name="Normal 22 80 2" xfId="19339" xr:uid="{00000000-0005-0000-0000-0000D5300000}"/>
    <cellStyle name="Normal 22 81" xfId="7259" xr:uid="{00000000-0005-0000-0000-0000D6300000}"/>
    <cellStyle name="Normal 22 81 2" xfId="19340" xr:uid="{00000000-0005-0000-0000-0000D7300000}"/>
    <cellStyle name="Normal 22 82" xfId="7260" xr:uid="{00000000-0005-0000-0000-0000D8300000}"/>
    <cellStyle name="Normal 22 82 2" xfId="19341" xr:uid="{00000000-0005-0000-0000-0000D9300000}"/>
    <cellStyle name="Normal 22 9" xfId="7261" xr:uid="{00000000-0005-0000-0000-0000DA300000}"/>
    <cellStyle name="Normal 22 9 2" xfId="19342" xr:uid="{00000000-0005-0000-0000-0000DB300000}"/>
    <cellStyle name="Normal 220" xfId="561" xr:uid="{00000000-0005-0000-0000-0000DC300000}"/>
    <cellStyle name="Normal 220 2" xfId="658" xr:uid="{00000000-0005-0000-0000-0000DD300000}"/>
    <cellStyle name="Normal 220 3" xfId="1077" xr:uid="{00000000-0005-0000-0000-0000DE300000}"/>
    <cellStyle name="Normal 220 4" xfId="913" xr:uid="{00000000-0005-0000-0000-0000DF300000}"/>
    <cellStyle name="Normal 220 5" xfId="1264" xr:uid="{00000000-0005-0000-0000-0000E0300000}"/>
    <cellStyle name="Normal 220 6" xfId="832" xr:uid="{00000000-0005-0000-0000-0000E1300000}"/>
    <cellStyle name="Normal 220 7" xfId="969" xr:uid="{00000000-0005-0000-0000-0000E2300000}"/>
    <cellStyle name="Normal 220 8" xfId="1316" xr:uid="{00000000-0005-0000-0000-0000E3300000}"/>
    <cellStyle name="Normal 220 9" xfId="1381" xr:uid="{00000000-0005-0000-0000-0000E4300000}"/>
    <cellStyle name="Normal 221" xfId="562" xr:uid="{00000000-0005-0000-0000-0000E5300000}"/>
    <cellStyle name="Normal 221 2" xfId="659" xr:uid="{00000000-0005-0000-0000-0000E6300000}"/>
    <cellStyle name="Normal 221 3" xfId="1078" xr:uid="{00000000-0005-0000-0000-0000E7300000}"/>
    <cellStyle name="Normal 221 4" xfId="912" xr:uid="{00000000-0005-0000-0000-0000E8300000}"/>
    <cellStyle name="Normal 221 5" xfId="939" xr:uid="{00000000-0005-0000-0000-0000E9300000}"/>
    <cellStyle name="Normal 221 6" xfId="1244" xr:uid="{00000000-0005-0000-0000-0000EA300000}"/>
    <cellStyle name="Normal 221 7" xfId="839" xr:uid="{00000000-0005-0000-0000-0000EB300000}"/>
    <cellStyle name="Normal 221 8" xfId="967" xr:uid="{00000000-0005-0000-0000-0000EC300000}"/>
    <cellStyle name="Normal 221 9" xfId="873" xr:uid="{00000000-0005-0000-0000-0000ED300000}"/>
    <cellStyle name="Normal 222" xfId="563" xr:uid="{00000000-0005-0000-0000-0000EE300000}"/>
    <cellStyle name="Normal 222 2" xfId="660" xr:uid="{00000000-0005-0000-0000-0000EF300000}"/>
    <cellStyle name="Normal 222 3" xfId="1079" xr:uid="{00000000-0005-0000-0000-0000F0300000}"/>
    <cellStyle name="Normal 222 4" xfId="911" xr:uid="{00000000-0005-0000-0000-0000F1300000}"/>
    <cellStyle name="Normal 222 5" xfId="1265" xr:uid="{00000000-0005-0000-0000-0000F2300000}"/>
    <cellStyle name="Normal 222 6" xfId="828" xr:uid="{00000000-0005-0000-0000-0000F3300000}"/>
    <cellStyle name="Normal 222 7" xfId="971" xr:uid="{00000000-0005-0000-0000-0000F4300000}"/>
    <cellStyle name="Normal 222 8" xfId="1232" xr:uid="{00000000-0005-0000-0000-0000F5300000}"/>
    <cellStyle name="Normal 222 9" xfId="1164" xr:uid="{00000000-0005-0000-0000-0000F6300000}"/>
    <cellStyle name="Normal 223" xfId="564" xr:uid="{00000000-0005-0000-0000-0000F7300000}"/>
    <cellStyle name="Normal 223 2" xfId="661" xr:uid="{00000000-0005-0000-0000-0000F8300000}"/>
    <cellStyle name="Normal 223 3" xfId="1080" xr:uid="{00000000-0005-0000-0000-0000F9300000}"/>
    <cellStyle name="Normal 223 4" xfId="910" xr:uid="{00000000-0005-0000-0000-0000FA300000}"/>
    <cellStyle name="Normal 223 5" xfId="940" xr:uid="{00000000-0005-0000-0000-0000FB300000}"/>
    <cellStyle name="Normal 223 6" xfId="1243" xr:uid="{00000000-0005-0000-0000-0000FC300000}"/>
    <cellStyle name="Normal 223 7" xfId="843" xr:uid="{00000000-0005-0000-0000-0000FD300000}"/>
    <cellStyle name="Normal 223 8" xfId="965" xr:uid="{00000000-0005-0000-0000-0000FE300000}"/>
    <cellStyle name="Normal 223 9" xfId="1233" xr:uid="{00000000-0005-0000-0000-0000FF300000}"/>
    <cellStyle name="Normal 224" xfId="565" xr:uid="{00000000-0005-0000-0000-000000310000}"/>
    <cellStyle name="Normal 224 2" xfId="662" xr:uid="{00000000-0005-0000-0000-000001310000}"/>
    <cellStyle name="Normal 224 3" xfId="1081" xr:uid="{00000000-0005-0000-0000-000002310000}"/>
    <cellStyle name="Normal 224 4" xfId="909" xr:uid="{00000000-0005-0000-0000-000003310000}"/>
    <cellStyle name="Normal 224 5" xfId="1266" xr:uid="{00000000-0005-0000-0000-000004310000}"/>
    <cellStyle name="Normal 224 6" xfId="1335" xr:uid="{00000000-0005-0000-0000-000005310000}"/>
    <cellStyle name="Normal 224 7" xfId="1399" xr:uid="{00000000-0005-0000-0000-000006310000}"/>
    <cellStyle name="Normal 224 8" xfId="1448" xr:uid="{00000000-0005-0000-0000-000007310000}"/>
    <cellStyle name="Normal 224 9" xfId="1474" xr:uid="{00000000-0005-0000-0000-000008310000}"/>
    <cellStyle name="Normal 225" xfId="566" xr:uid="{00000000-0005-0000-0000-000009310000}"/>
    <cellStyle name="Normal 225 2" xfId="663" xr:uid="{00000000-0005-0000-0000-00000A310000}"/>
    <cellStyle name="Normal 225 3" xfId="1082" xr:uid="{00000000-0005-0000-0000-00000B310000}"/>
    <cellStyle name="Normal 225 4" xfId="908" xr:uid="{00000000-0005-0000-0000-00000C310000}"/>
    <cellStyle name="Normal 225 5" xfId="941" xr:uid="{00000000-0005-0000-0000-00000D310000}"/>
    <cellStyle name="Normal 225 6" xfId="880" xr:uid="{00000000-0005-0000-0000-00000E310000}"/>
    <cellStyle name="Normal 225 7" xfId="951" xr:uid="{00000000-0005-0000-0000-00000F310000}"/>
    <cellStyle name="Normal 225 8" xfId="1237" xr:uid="{00000000-0005-0000-0000-000010310000}"/>
    <cellStyle name="Normal 225 9" xfId="824" xr:uid="{00000000-0005-0000-0000-000011310000}"/>
    <cellStyle name="Normal 226" xfId="567" xr:uid="{00000000-0005-0000-0000-000012310000}"/>
    <cellStyle name="Normal 226 2" xfId="664" xr:uid="{00000000-0005-0000-0000-000013310000}"/>
    <cellStyle name="Normal 226 3" xfId="1083" xr:uid="{00000000-0005-0000-0000-000014310000}"/>
    <cellStyle name="Normal 226 4" xfId="907" xr:uid="{00000000-0005-0000-0000-000015310000}"/>
    <cellStyle name="Normal 226 5" xfId="1267" xr:uid="{00000000-0005-0000-0000-000016310000}"/>
    <cellStyle name="Normal 226 6" xfId="1336" xr:uid="{00000000-0005-0000-0000-000017310000}"/>
    <cellStyle name="Normal 226 7" xfId="1400" xr:uid="{00000000-0005-0000-0000-000018310000}"/>
    <cellStyle name="Normal 226 8" xfId="1449" xr:uid="{00000000-0005-0000-0000-000019310000}"/>
    <cellStyle name="Normal 226 9" xfId="1475" xr:uid="{00000000-0005-0000-0000-00001A310000}"/>
    <cellStyle name="Normal 227" xfId="568" xr:uid="{00000000-0005-0000-0000-00001B310000}"/>
    <cellStyle name="Normal 227 2" xfId="665" xr:uid="{00000000-0005-0000-0000-00001C310000}"/>
    <cellStyle name="Normal 227 3" xfId="1084" xr:uid="{00000000-0005-0000-0000-00001D310000}"/>
    <cellStyle name="Normal 227 4" xfId="906" xr:uid="{00000000-0005-0000-0000-00001E310000}"/>
    <cellStyle name="Normal 227 5" xfId="942" xr:uid="{00000000-0005-0000-0000-00001F310000}"/>
    <cellStyle name="Normal 227 6" xfId="1241" xr:uid="{00000000-0005-0000-0000-000020310000}"/>
    <cellStyle name="Normal 227 7" xfId="823" xr:uid="{00000000-0005-0000-0000-000021310000}"/>
    <cellStyle name="Normal 227 8" xfId="1309" xr:uid="{00000000-0005-0000-0000-000022310000}"/>
    <cellStyle name="Normal 227 9" xfId="1374" xr:uid="{00000000-0005-0000-0000-000023310000}"/>
    <cellStyle name="Normal 228" xfId="569" xr:uid="{00000000-0005-0000-0000-000024310000}"/>
    <cellStyle name="Normal 228 2" xfId="666" xr:uid="{00000000-0005-0000-0000-000025310000}"/>
    <cellStyle name="Normal 228 3" xfId="1085" xr:uid="{00000000-0005-0000-0000-000026310000}"/>
    <cellStyle name="Normal 228 4" xfId="905" xr:uid="{00000000-0005-0000-0000-000027310000}"/>
    <cellStyle name="Normal 228 5" xfId="943" xr:uid="{00000000-0005-0000-0000-000028310000}"/>
    <cellStyle name="Normal 228 6" xfId="1320" xr:uid="{00000000-0005-0000-0000-000029310000}"/>
    <cellStyle name="Normal 228 7" xfId="1385" xr:uid="{00000000-0005-0000-0000-00002A310000}"/>
    <cellStyle name="Normal 228 8" xfId="1436" xr:uid="{00000000-0005-0000-0000-00002B310000}"/>
    <cellStyle name="Normal 228 9" xfId="1465" xr:uid="{00000000-0005-0000-0000-00002C310000}"/>
    <cellStyle name="Normal 229" xfId="570" xr:uid="{00000000-0005-0000-0000-00002D310000}"/>
    <cellStyle name="Normal 229 2" xfId="667" xr:uid="{00000000-0005-0000-0000-00002E310000}"/>
    <cellStyle name="Normal 229 3" xfId="1086" xr:uid="{00000000-0005-0000-0000-00002F310000}"/>
    <cellStyle name="Normal 229 4" xfId="904" xr:uid="{00000000-0005-0000-0000-000030310000}"/>
    <cellStyle name="Normal 229 5" xfId="1268" xr:uid="{00000000-0005-0000-0000-000031310000}"/>
    <cellStyle name="Normal 229 6" xfId="1337" xr:uid="{00000000-0005-0000-0000-000032310000}"/>
    <cellStyle name="Normal 229 7" xfId="1401" xr:uid="{00000000-0005-0000-0000-000033310000}"/>
    <cellStyle name="Normal 229 8" xfId="1450" xr:uid="{00000000-0005-0000-0000-000034310000}"/>
    <cellStyle name="Normal 229 9" xfId="1476" xr:uid="{00000000-0005-0000-0000-000035310000}"/>
    <cellStyle name="Normal 23" xfId="88" xr:uid="{00000000-0005-0000-0000-000036310000}"/>
    <cellStyle name="Normal 23 10" xfId="7262" xr:uid="{00000000-0005-0000-0000-000037310000}"/>
    <cellStyle name="Normal 23 10 2" xfId="19344" xr:uid="{00000000-0005-0000-0000-000038310000}"/>
    <cellStyle name="Normal 23 11" xfId="7263" xr:uid="{00000000-0005-0000-0000-000039310000}"/>
    <cellStyle name="Normal 23 11 2" xfId="19345" xr:uid="{00000000-0005-0000-0000-00003A310000}"/>
    <cellStyle name="Normal 23 12" xfId="7264" xr:uid="{00000000-0005-0000-0000-00003B310000}"/>
    <cellStyle name="Normal 23 12 2" xfId="19346" xr:uid="{00000000-0005-0000-0000-00003C310000}"/>
    <cellStyle name="Normal 23 13" xfId="7265" xr:uid="{00000000-0005-0000-0000-00003D310000}"/>
    <cellStyle name="Normal 23 13 2" xfId="19347" xr:uid="{00000000-0005-0000-0000-00003E310000}"/>
    <cellStyle name="Normal 23 14" xfId="7266" xr:uid="{00000000-0005-0000-0000-00003F310000}"/>
    <cellStyle name="Normal 23 14 2" xfId="19348" xr:uid="{00000000-0005-0000-0000-000040310000}"/>
    <cellStyle name="Normal 23 15" xfId="7267" xr:uid="{00000000-0005-0000-0000-000041310000}"/>
    <cellStyle name="Normal 23 15 2" xfId="19349" xr:uid="{00000000-0005-0000-0000-000042310000}"/>
    <cellStyle name="Normal 23 16" xfId="7268" xr:uid="{00000000-0005-0000-0000-000043310000}"/>
    <cellStyle name="Normal 23 16 2" xfId="19350" xr:uid="{00000000-0005-0000-0000-000044310000}"/>
    <cellStyle name="Normal 23 17" xfId="7269" xr:uid="{00000000-0005-0000-0000-000045310000}"/>
    <cellStyle name="Normal 23 17 2" xfId="19351" xr:uid="{00000000-0005-0000-0000-000046310000}"/>
    <cellStyle name="Normal 23 18" xfId="7270" xr:uid="{00000000-0005-0000-0000-000047310000}"/>
    <cellStyle name="Normal 23 18 2" xfId="19352" xr:uid="{00000000-0005-0000-0000-000048310000}"/>
    <cellStyle name="Normal 23 19" xfId="7271" xr:uid="{00000000-0005-0000-0000-000049310000}"/>
    <cellStyle name="Normal 23 19 2" xfId="19353" xr:uid="{00000000-0005-0000-0000-00004A310000}"/>
    <cellStyle name="Normal 23 2" xfId="7272" xr:uid="{00000000-0005-0000-0000-00004B310000}"/>
    <cellStyle name="Normal 23 2 10" xfId="7273" xr:uid="{00000000-0005-0000-0000-00004C310000}"/>
    <cellStyle name="Normal 23 2 10 2" xfId="19355" xr:uid="{00000000-0005-0000-0000-00004D310000}"/>
    <cellStyle name="Normal 23 2 11" xfId="7274" xr:uid="{00000000-0005-0000-0000-00004E310000}"/>
    <cellStyle name="Normal 23 2 11 2" xfId="19356" xr:uid="{00000000-0005-0000-0000-00004F310000}"/>
    <cellStyle name="Normal 23 2 12" xfId="7275" xr:uid="{00000000-0005-0000-0000-000050310000}"/>
    <cellStyle name="Normal 23 2 12 2" xfId="19357" xr:uid="{00000000-0005-0000-0000-000051310000}"/>
    <cellStyle name="Normal 23 2 13" xfId="7276" xr:uid="{00000000-0005-0000-0000-000052310000}"/>
    <cellStyle name="Normal 23 2 13 2" xfId="19358" xr:uid="{00000000-0005-0000-0000-000053310000}"/>
    <cellStyle name="Normal 23 2 14" xfId="7277" xr:uid="{00000000-0005-0000-0000-000054310000}"/>
    <cellStyle name="Normal 23 2 14 2" xfId="19359" xr:uid="{00000000-0005-0000-0000-000055310000}"/>
    <cellStyle name="Normal 23 2 15" xfId="7278" xr:uid="{00000000-0005-0000-0000-000056310000}"/>
    <cellStyle name="Normal 23 2 15 2" xfId="19360" xr:uid="{00000000-0005-0000-0000-000057310000}"/>
    <cellStyle name="Normal 23 2 16" xfId="7279" xr:uid="{00000000-0005-0000-0000-000058310000}"/>
    <cellStyle name="Normal 23 2 16 2" xfId="19361" xr:uid="{00000000-0005-0000-0000-000059310000}"/>
    <cellStyle name="Normal 23 2 17" xfId="7280" xr:uid="{00000000-0005-0000-0000-00005A310000}"/>
    <cellStyle name="Normal 23 2 17 2" xfId="19362" xr:uid="{00000000-0005-0000-0000-00005B310000}"/>
    <cellStyle name="Normal 23 2 18" xfId="7281" xr:uid="{00000000-0005-0000-0000-00005C310000}"/>
    <cellStyle name="Normal 23 2 18 2" xfId="19363" xr:uid="{00000000-0005-0000-0000-00005D310000}"/>
    <cellStyle name="Normal 23 2 19" xfId="7282" xr:uid="{00000000-0005-0000-0000-00005E310000}"/>
    <cellStyle name="Normal 23 2 19 2" xfId="19364" xr:uid="{00000000-0005-0000-0000-00005F310000}"/>
    <cellStyle name="Normal 23 2 2" xfId="7283" xr:uid="{00000000-0005-0000-0000-000060310000}"/>
    <cellStyle name="Normal 23 2 2 2" xfId="19365" xr:uid="{00000000-0005-0000-0000-000061310000}"/>
    <cellStyle name="Normal 23 2 20" xfId="7284" xr:uid="{00000000-0005-0000-0000-000062310000}"/>
    <cellStyle name="Normal 23 2 20 2" xfId="19366" xr:uid="{00000000-0005-0000-0000-000063310000}"/>
    <cellStyle name="Normal 23 2 21" xfId="7285" xr:uid="{00000000-0005-0000-0000-000064310000}"/>
    <cellStyle name="Normal 23 2 21 2" xfId="19367" xr:uid="{00000000-0005-0000-0000-000065310000}"/>
    <cellStyle name="Normal 23 2 22" xfId="7286" xr:uid="{00000000-0005-0000-0000-000066310000}"/>
    <cellStyle name="Normal 23 2 22 2" xfId="19368" xr:uid="{00000000-0005-0000-0000-000067310000}"/>
    <cellStyle name="Normal 23 2 23" xfId="7287" xr:uid="{00000000-0005-0000-0000-000068310000}"/>
    <cellStyle name="Normal 23 2 23 2" xfId="19369" xr:uid="{00000000-0005-0000-0000-000069310000}"/>
    <cellStyle name="Normal 23 2 24" xfId="7288" xr:uid="{00000000-0005-0000-0000-00006A310000}"/>
    <cellStyle name="Normal 23 2 24 2" xfId="19370" xr:uid="{00000000-0005-0000-0000-00006B310000}"/>
    <cellStyle name="Normal 23 2 25" xfId="7289" xr:uid="{00000000-0005-0000-0000-00006C310000}"/>
    <cellStyle name="Normal 23 2 25 2" xfId="19371" xr:uid="{00000000-0005-0000-0000-00006D310000}"/>
    <cellStyle name="Normal 23 2 26" xfId="7290" xr:uid="{00000000-0005-0000-0000-00006E310000}"/>
    <cellStyle name="Normal 23 2 26 2" xfId="19372" xr:uid="{00000000-0005-0000-0000-00006F310000}"/>
    <cellStyle name="Normal 23 2 27" xfId="7291" xr:uid="{00000000-0005-0000-0000-000070310000}"/>
    <cellStyle name="Normal 23 2 27 2" xfId="19373" xr:uid="{00000000-0005-0000-0000-000071310000}"/>
    <cellStyle name="Normal 23 2 28" xfId="7292" xr:uid="{00000000-0005-0000-0000-000072310000}"/>
    <cellStyle name="Normal 23 2 28 2" xfId="19374" xr:uid="{00000000-0005-0000-0000-000073310000}"/>
    <cellStyle name="Normal 23 2 29" xfId="7293" xr:uid="{00000000-0005-0000-0000-000074310000}"/>
    <cellStyle name="Normal 23 2 29 2" xfId="19375" xr:uid="{00000000-0005-0000-0000-000075310000}"/>
    <cellStyle name="Normal 23 2 3" xfId="7294" xr:uid="{00000000-0005-0000-0000-000076310000}"/>
    <cellStyle name="Normal 23 2 3 2" xfId="19376" xr:uid="{00000000-0005-0000-0000-000077310000}"/>
    <cellStyle name="Normal 23 2 30" xfId="7295" xr:uid="{00000000-0005-0000-0000-000078310000}"/>
    <cellStyle name="Normal 23 2 30 2" xfId="19377" xr:uid="{00000000-0005-0000-0000-000079310000}"/>
    <cellStyle name="Normal 23 2 31" xfId="7296" xr:uid="{00000000-0005-0000-0000-00007A310000}"/>
    <cellStyle name="Normal 23 2 31 2" xfId="19378" xr:uid="{00000000-0005-0000-0000-00007B310000}"/>
    <cellStyle name="Normal 23 2 32" xfId="7297" xr:uid="{00000000-0005-0000-0000-00007C310000}"/>
    <cellStyle name="Normal 23 2 32 2" xfId="19379" xr:uid="{00000000-0005-0000-0000-00007D310000}"/>
    <cellStyle name="Normal 23 2 33" xfId="7298" xr:uid="{00000000-0005-0000-0000-00007E310000}"/>
    <cellStyle name="Normal 23 2 33 2" xfId="19380" xr:uid="{00000000-0005-0000-0000-00007F310000}"/>
    <cellStyle name="Normal 23 2 34" xfId="7299" xr:uid="{00000000-0005-0000-0000-000080310000}"/>
    <cellStyle name="Normal 23 2 34 2" xfId="19381" xr:uid="{00000000-0005-0000-0000-000081310000}"/>
    <cellStyle name="Normal 23 2 35" xfId="7300" xr:uid="{00000000-0005-0000-0000-000082310000}"/>
    <cellStyle name="Normal 23 2 35 2" xfId="19382" xr:uid="{00000000-0005-0000-0000-000083310000}"/>
    <cellStyle name="Normal 23 2 36" xfId="7301" xr:uid="{00000000-0005-0000-0000-000084310000}"/>
    <cellStyle name="Normal 23 2 36 2" xfId="19383" xr:uid="{00000000-0005-0000-0000-000085310000}"/>
    <cellStyle name="Normal 23 2 37" xfId="7302" xr:uid="{00000000-0005-0000-0000-000086310000}"/>
    <cellStyle name="Normal 23 2 37 2" xfId="19384" xr:uid="{00000000-0005-0000-0000-000087310000}"/>
    <cellStyle name="Normal 23 2 38" xfId="7303" xr:uid="{00000000-0005-0000-0000-000088310000}"/>
    <cellStyle name="Normal 23 2 38 2" xfId="19385" xr:uid="{00000000-0005-0000-0000-000089310000}"/>
    <cellStyle name="Normal 23 2 39" xfId="7304" xr:uid="{00000000-0005-0000-0000-00008A310000}"/>
    <cellStyle name="Normal 23 2 39 2" xfId="19386" xr:uid="{00000000-0005-0000-0000-00008B310000}"/>
    <cellStyle name="Normal 23 2 4" xfId="7305" xr:uid="{00000000-0005-0000-0000-00008C310000}"/>
    <cellStyle name="Normal 23 2 4 2" xfId="19387" xr:uid="{00000000-0005-0000-0000-00008D310000}"/>
    <cellStyle name="Normal 23 2 40" xfId="7306" xr:uid="{00000000-0005-0000-0000-00008E310000}"/>
    <cellStyle name="Normal 23 2 40 2" xfId="19388" xr:uid="{00000000-0005-0000-0000-00008F310000}"/>
    <cellStyle name="Normal 23 2 41" xfId="7307" xr:uid="{00000000-0005-0000-0000-000090310000}"/>
    <cellStyle name="Normal 23 2 41 2" xfId="19389" xr:uid="{00000000-0005-0000-0000-000091310000}"/>
    <cellStyle name="Normal 23 2 42" xfId="7308" xr:uid="{00000000-0005-0000-0000-000092310000}"/>
    <cellStyle name="Normal 23 2 42 2" xfId="19390" xr:uid="{00000000-0005-0000-0000-000093310000}"/>
    <cellStyle name="Normal 23 2 43" xfId="7309" xr:uid="{00000000-0005-0000-0000-000094310000}"/>
    <cellStyle name="Normal 23 2 43 2" xfId="19391" xr:uid="{00000000-0005-0000-0000-000095310000}"/>
    <cellStyle name="Normal 23 2 44" xfId="7310" xr:uid="{00000000-0005-0000-0000-000096310000}"/>
    <cellStyle name="Normal 23 2 44 2" xfId="19392" xr:uid="{00000000-0005-0000-0000-000097310000}"/>
    <cellStyle name="Normal 23 2 45" xfId="7311" xr:uid="{00000000-0005-0000-0000-000098310000}"/>
    <cellStyle name="Normal 23 2 45 2" xfId="19393" xr:uid="{00000000-0005-0000-0000-000099310000}"/>
    <cellStyle name="Normal 23 2 46" xfId="7312" xr:uid="{00000000-0005-0000-0000-00009A310000}"/>
    <cellStyle name="Normal 23 2 46 2" xfId="19394" xr:uid="{00000000-0005-0000-0000-00009B310000}"/>
    <cellStyle name="Normal 23 2 47" xfId="7313" xr:uid="{00000000-0005-0000-0000-00009C310000}"/>
    <cellStyle name="Normal 23 2 47 2" xfId="19395" xr:uid="{00000000-0005-0000-0000-00009D310000}"/>
    <cellStyle name="Normal 23 2 48" xfId="7314" xr:uid="{00000000-0005-0000-0000-00009E310000}"/>
    <cellStyle name="Normal 23 2 48 2" xfId="19396" xr:uid="{00000000-0005-0000-0000-00009F310000}"/>
    <cellStyle name="Normal 23 2 49" xfId="7315" xr:uid="{00000000-0005-0000-0000-0000A0310000}"/>
    <cellStyle name="Normal 23 2 49 2" xfId="19397" xr:uid="{00000000-0005-0000-0000-0000A1310000}"/>
    <cellStyle name="Normal 23 2 5" xfId="7316" xr:uid="{00000000-0005-0000-0000-0000A2310000}"/>
    <cellStyle name="Normal 23 2 5 2" xfId="19398" xr:uid="{00000000-0005-0000-0000-0000A3310000}"/>
    <cellStyle name="Normal 23 2 50" xfId="7317" xr:uid="{00000000-0005-0000-0000-0000A4310000}"/>
    <cellStyle name="Normal 23 2 50 2" xfId="19399" xr:uid="{00000000-0005-0000-0000-0000A5310000}"/>
    <cellStyle name="Normal 23 2 51" xfId="7318" xr:uid="{00000000-0005-0000-0000-0000A6310000}"/>
    <cellStyle name="Normal 23 2 51 2" xfId="19400" xr:uid="{00000000-0005-0000-0000-0000A7310000}"/>
    <cellStyle name="Normal 23 2 52" xfId="7319" xr:uid="{00000000-0005-0000-0000-0000A8310000}"/>
    <cellStyle name="Normal 23 2 52 2" xfId="19401" xr:uid="{00000000-0005-0000-0000-0000A9310000}"/>
    <cellStyle name="Normal 23 2 53" xfId="7320" xr:uid="{00000000-0005-0000-0000-0000AA310000}"/>
    <cellStyle name="Normal 23 2 53 2" xfId="19402" xr:uid="{00000000-0005-0000-0000-0000AB310000}"/>
    <cellStyle name="Normal 23 2 54" xfId="7321" xr:uid="{00000000-0005-0000-0000-0000AC310000}"/>
    <cellStyle name="Normal 23 2 54 2" xfId="19403" xr:uid="{00000000-0005-0000-0000-0000AD310000}"/>
    <cellStyle name="Normal 23 2 55" xfId="7322" xr:uid="{00000000-0005-0000-0000-0000AE310000}"/>
    <cellStyle name="Normal 23 2 55 2" xfId="19404" xr:uid="{00000000-0005-0000-0000-0000AF310000}"/>
    <cellStyle name="Normal 23 2 56" xfId="7323" xr:uid="{00000000-0005-0000-0000-0000B0310000}"/>
    <cellStyle name="Normal 23 2 56 2" xfId="19405" xr:uid="{00000000-0005-0000-0000-0000B1310000}"/>
    <cellStyle name="Normal 23 2 57" xfId="7324" xr:uid="{00000000-0005-0000-0000-0000B2310000}"/>
    <cellStyle name="Normal 23 2 57 2" xfId="19406" xr:uid="{00000000-0005-0000-0000-0000B3310000}"/>
    <cellStyle name="Normal 23 2 58" xfId="7325" xr:uid="{00000000-0005-0000-0000-0000B4310000}"/>
    <cellStyle name="Normal 23 2 58 2" xfId="19407" xr:uid="{00000000-0005-0000-0000-0000B5310000}"/>
    <cellStyle name="Normal 23 2 59" xfId="7326" xr:uid="{00000000-0005-0000-0000-0000B6310000}"/>
    <cellStyle name="Normal 23 2 59 2" xfId="19408" xr:uid="{00000000-0005-0000-0000-0000B7310000}"/>
    <cellStyle name="Normal 23 2 6" xfId="7327" xr:uid="{00000000-0005-0000-0000-0000B8310000}"/>
    <cellStyle name="Normal 23 2 6 2" xfId="19409" xr:uid="{00000000-0005-0000-0000-0000B9310000}"/>
    <cellStyle name="Normal 23 2 60" xfId="7328" xr:uid="{00000000-0005-0000-0000-0000BA310000}"/>
    <cellStyle name="Normal 23 2 60 2" xfId="19410" xr:uid="{00000000-0005-0000-0000-0000BB310000}"/>
    <cellStyle name="Normal 23 2 61" xfId="7329" xr:uid="{00000000-0005-0000-0000-0000BC310000}"/>
    <cellStyle name="Normal 23 2 61 2" xfId="19411" xr:uid="{00000000-0005-0000-0000-0000BD310000}"/>
    <cellStyle name="Normal 23 2 62" xfId="7330" xr:uid="{00000000-0005-0000-0000-0000BE310000}"/>
    <cellStyle name="Normal 23 2 62 2" xfId="19412" xr:uid="{00000000-0005-0000-0000-0000BF310000}"/>
    <cellStyle name="Normal 23 2 63" xfId="7331" xr:uid="{00000000-0005-0000-0000-0000C0310000}"/>
    <cellStyle name="Normal 23 2 63 2" xfId="19413" xr:uid="{00000000-0005-0000-0000-0000C1310000}"/>
    <cellStyle name="Normal 23 2 64" xfId="7332" xr:uid="{00000000-0005-0000-0000-0000C2310000}"/>
    <cellStyle name="Normal 23 2 64 2" xfId="19414" xr:uid="{00000000-0005-0000-0000-0000C3310000}"/>
    <cellStyle name="Normal 23 2 65" xfId="7333" xr:uid="{00000000-0005-0000-0000-0000C4310000}"/>
    <cellStyle name="Normal 23 2 65 2" xfId="19415" xr:uid="{00000000-0005-0000-0000-0000C5310000}"/>
    <cellStyle name="Normal 23 2 66" xfId="7334" xr:uid="{00000000-0005-0000-0000-0000C6310000}"/>
    <cellStyle name="Normal 23 2 66 2" xfId="19416" xr:uid="{00000000-0005-0000-0000-0000C7310000}"/>
    <cellStyle name="Normal 23 2 67" xfId="7335" xr:uid="{00000000-0005-0000-0000-0000C8310000}"/>
    <cellStyle name="Normal 23 2 67 2" xfId="19417" xr:uid="{00000000-0005-0000-0000-0000C9310000}"/>
    <cellStyle name="Normal 23 2 68" xfId="7336" xr:uid="{00000000-0005-0000-0000-0000CA310000}"/>
    <cellStyle name="Normal 23 2 68 2" xfId="19418" xr:uid="{00000000-0005-0000-0000-0000CB310000}"/>
    <cellStyle name="Normal 23 2 69" xfId="7337" xr:uid="{00000000-0005-0000-0000-0000CC310000}"/>
    <cellStyle name="Normal 23 2 69 2" xfId="19419" xr:uid="{00000000-0005-0000-0000-0000CD310000}"/>
    <cellStyle name="Normal 23 2 7" xfId="7338" xr:uid="{00000000-0005-0000-0000-0000CE310000}"/>
    <cellStyle name="Normal 23 2 7 2" xfId="19420" xr:uid="{00000000-0005-0000-0000-0000CF310000}"/>
    <cellStyle name="Normal 23 2 70" xfId="7339" xr:uid="{00000000-0005-0000-0000-0000D0310000}"/>
    <cellStyle name="Normal 23 2 70 2" xfId="19421" xr:uid="{00000000-0005-0000-0000-0000D1310000}"/>
    <cellStyle name="Normal 23 2 71" xfId="7340" xr:uid="{00000000-0005-0000-0000-0000D2310000}"/>
    <cellStyle name="Normal 23 2 71 2" xfId="19422" xr:uid="{00000000-0005-0000-0000-0000D3310000}"/>
    <cellStyle name="Normal 23 2 72" xfId="7341" xr:uid="{00000000-0005-0000-0000-0000D4310000}"/>
    <cellStyle name="Normal 23 2 72 2" xfId="19423" xr:uid="{00000000-0005-0000-0000-0000D5310000}"/>
    <cellStyle name="Normal 23 2 73" xfId="7342" xr:uid="{00000000-0005-0000-0000-0000D6310000}"/>
    <cellStyle name="Normal 23 2 73 2" xfId="19424" xr:uid="{00000000-0005-0000-0000-0000D7310000}"/>
    <cellStyle name="Normal 23 2 74" xfId="7343" xr:uid="{00000000-0005-0000-0000-0000D8310000}"/>
    <cellStyle name="Normal 23 2 74 2" xfId="19425" xr:uid="{00000000-0005-0000-0000-0000D9310000}"/>
    <cellStyle name="Normal 23 2 75" xfId="7344" xr:uid="{00000000-0005-0000-0000-0000DA310000}"/>
    <cellStyle name="Normal 23 2 75 2" xfId="19426" xr:uid="{00000000-0005-0000-0000-0000DB310000}"/>
    <cellStyle name="Normal 23 2 76" xfId="7345" xr:uid="{00000000-0005-0000-0000-0000DC310000}"/>
    <cellStyle name="Normal 23 2 76 2" xfId="19427" xr:uid="{00000000-0005-0000-0000-0000DD310000}"/>
    <cellStyle name="Normal 23 2 77" xfId="7346" xr:uid="{00000000-0005-0000-0000-0000DE310000}"/>
    <cellStyle name="Normal 23 2 77 2" xfId="19428" xr:uid="{00000000-0005-0000-0000-0000DF310000}"/>
    <cellStyle name="Normal 23 2 78" xfId="7347" xr:uid="{00000000-0005-0000-0000-0000E0310000}"/>
    <cellStyle name="Normal 23 2 78 2" xfId="19429" xr:uid="{00000000-0005-0000-0000-0000E1310000}"/>
    <cellStyle name="Normal 23 2 79" xfId="7348" xr:uid="{00000000-0005-0000-0000-0000E2310000}"/>
    <cellStyle name="Normal 23 2 79 2" xfId="19430" xr:uid="{00000000-0005-0000-0000-0000E3310000}"/>
    <cellStyle name="Normal 23 2 8" xfId="7349" xr:uid="{00000000-0005-0000-0000-0000E4310000}"/>
    <cellStyle name="Normal 23 2 8 2" xfId="19431" xr:uid="{00000000-0005-0000-0000-0000E5310000}"/>
    <cellStyle name="Normal 23 2 80" xfId="19354" xr:uid="{00000000-0005-0000-0000-0000E6310000}"/>
    <cellStyle name="Normal 23 2 9" xfId="7350" xr:uid="{00000000-0005-0000-0000-0000E7310000}"/>
    <cellStyle name="Normal 23 2 9 2" xfId="19432" xr:uid="{00000000-0005-0000-0000-0000E8310000}"/>
    <cellStyle name="Normal 23 20" xfId="7351" xr:uid="{00000000-0005-0000-0000-0000E9310000}"/>
    <cellStyle name="Normal 23 20 2" xfId="19433" xr:uid="{00000000-0005-0000-0000-0000EA310000}"/>
    <cellStyle name="Normal 23 21" xfId="7352" xr:uid="{00000000-0005-0000-0000-0000EB310000}"/>
    <cellStyle name="Normal 23 21 2" xfId="19434" xr:uid="{00000000-0005-0000-0000-0000EC310000}"/>
    <cellStyle name="Normal 23 22" xfId="7353" xr:uid="{00000000-0005-0000-0000-0000ED310000}"/>
    <cellStyle name="Normal 23 22 2" xfId="19435" xr:uid="{00000000-0005-0000-0000-0000EE310000}"/>
    <cellStyle name="Normal 23 23" xfId="7354" xr:uid="{00000000-0005-0000-0000-0000EF310000}"/>
    <cellStyle name="Normal 23 23 2" xfId="19436" xr:uid="{00000000-0005-0000-0000-0000F0310000}"/>
    <cellStyle name="Normal 23 24" xfId="7355" xr:uid="{00000000-0005-0000-0000-0000F1310000}"/>
    <cellStyle name="Normal 23 24 2" xfId="19437" xr:uid="{00000000-0005-0000-0000-0000F2310000}"/>
    <cellStyle name="Normal 23 25" xfId="7356" xr:uid="{00000000-0005-0000-0000-0000F3310000}"/>
    <cellStyle name="Normal 23 25 2" xfId="19438" xr:uid="{00000000-0005-0000-0000-0000F4310000}"/>
    <cellStyle name="Normal 23 26" xfId="7357" xr:uid="{00000000-0005-0000-0000-0000F5310000}"/>
    <cellStyle name="Normal 23 26 2" xfId="19439" xr:uid="{00000000-0005-0000-0000-0000F6310000}"/>
    <cellStyle name="Normal 23 27" xfId="7358" xr:uid="{00000000-0005-0000-0000-0000F7310000}"/>
    <cellStyle name="Normal 23 27 2" xfId="19440" xr:uid="{00000000-0005-0000-0000-0000F8310000}"/>
    <cellStyle name="Normal 23 28" xfId="7359" xr:uid="{00000000-0005-0000-0000-0000F9310000}"/>
    <cellStyle name="Normal 23 28 2" xfId="19441" xr:uid="{00000000-0005-0000-0000-0000FA310000}"/>
    <cellStyle name="Normal 23 29" xfId="7360" xr:uid="{00000000-0005-0000-0000-0000FB310000}"/>
    <cellStyle name="Normal 23 29 2" xfId="19442" xr:uid="{00000000-0005-0000-0000-0000FC310000}"/>
    <cellStyle name="Normal 23 3" xfId="7361" xr:uid="{00000000-0005-0000-0000-0000FD310000}"/>
    <cellStyle name="Normal 23 3 10" xfId="7362" xr:uid="{00000000-0005-0000-0000-0000FE310000}"/>
    <cellStyle name="Normal 23 3 10 2" xfId="19444" xr:uid="{00000000-0005-0000-0000-0000FF310000}"/>
    <cellStyle name="Normal 23 3 11" xfId="7363" xr:uid="{00000000-0005-0000-0000-000000320000}"/>
    <cellStyle name="Normal 23 3 11 2" xfId="19445" xr:uid="{00000000-0005-0000-0000-000001320000}"/>
    <cellStyle name="Normal 23 3 12" xfId="7364" xr:uid="{00000000-0005-0000-0000-000002320000}"/>
    <cellStyle name="Normal 23 3 12 2" xfId="19446" xr:uid="{00000000-0005-0000-0000-000003320000}"/>
    <cellStyle name="Normal 23 3 13" xfId="7365" xr:uid="{00000000-0005-0000-0000-000004320000}"/>
    <cellStyle name="Normal 23 3 13 2" xfId="19447" xr:uid="{00000000-0005-0000-0000-000005320000}"/>
    <cellStyle name="Normal 23 3 14" xfId="7366" xr:uid="{00000000-0005-0000-0000-000006320000}"/>
    <cellStyle name="Normal 23 3 14 2" xfId="19448" xr:uid="{00000000-0005-0000-0000-000007320000}"/>
    <cellStyle name="Normal 23 3 15" xfId="7367" xr:uid="{00000000-0005-0000-0000-000008320000}"/>
    <cellStyle name="Normal 23 3 15 2" xfId="19449" xr:uid="{00000000-0005-0000-0000-000009320000}"/>
    <cellStyle name="Normal 23 3 16" xfId="7368" xr:uid="{00000000-0005-0000-0000-00000A320000}"/>
    <cellStyle name="Normal 23 3 16 2" xfId="19450" xr:uid="{00000000-0005-0000-0000-00000B320000}"/>
    <cellStyle name="Normal 23 3 17" xfId="7369" xr:uid="{00000000-0005-0000-0000-00000C320000}"/>
    <cellStyle name="Normal 23 3 17 2" xfId="19451" xr:uid="{00000000-0005-0000-0000-00000D320000}"/>
    <cellStyle name="Normal 23 3 18" xfId="7370" xr:uid="{00000000-0005-0000-0000-00000E320000}"/>
    <cellStyle name="Normal 23 3 18 2" xfId="19452" xr:uid="{00000000-0005-0000-0000-00000F320000}"/>
    <cellStyle name="Normal 23 3 19" xfId="7371" xr:uid="{00000000-0005-0000-0000-000010320000}"/>
    <cellStyle name="Normal 23 3 19 2" xfId="19453" xr:uid="{00000000-0005-0000-0000-000011320000}"/>
    <cellStyle name="Normal 23 3 2" xfId="7372" xr:uid="{00000000-0005-0000-0000-000012320000}"/>
    <cellStyle name="Normal 23 3 2 2" xfId="19454" xr:uid="{00000000-0005-0000-0000-000013320000}"/>
    <cellStyle name="Normal 23 3 20" xfId="7373" xr:uid="{00000000-0005-0000-0000-000014320000}"/>
    <cellStyle name="Normal 23 3 20 2" xfId="19455" xr:uid="{00000000-0005-0000-0000-000015320000}"/>
    <cellStyle name="Normal 23 3 21" xfId="7374" xr:uid="{00000000-0005-0000-0000-000016320000}"/>
    <cellStyle name="Normal 23 3 21 2" xfId="19456" xr:uid="{00000000-0005-0000-0000-000017320000}"/>
    <cellStyle name="Normal 23 3 22" xfId="7375" xr:uid="{00000000-0005-0000-0000-000018320000}"/>
    <cellStyle name="Normal 23 3 22 2" xfId="19457" xr:uid="{00000000-0005-0000-0000-000019320000}"/>
    <cellStyle name="Normal 23 3 23" xfId="7376" xr:uid="{00000000-0005-0000-0000-00001A320000}"/>
    <cellStyle name="Normal 23 3 23 2" xfId="19458" xr:uid="{00000000-0005-0000-0000-00001B320000}"/>
    <cellStyle name="Normal 23 3 24" xfId="7377" xr:uid="{00000000-0005-0000-0000-00001C320000}"/>
    <cellStyle name="Normal 23 3 24 2" xfId="19459" xr:uid="{00000000-0005-0000-0000-00001D320000}"/>
    <cellStyle name="Normal 23 3 25" xfId="7378" xr:uid="{00000000-0005-0000-0000-00001E320000}"/>
    <cellStyle name="Normal 23 3 25 2" xfId="19460" xr:uid="{00000000-0005-0000-0000-00001F320000}"/>
    <cellStyle name="Normal 23 3 26" xfId="7379" xr:uid="{00000000-0005-0000-0000-000020320000}"/>
    <cellStyle name="Normal 23 3 26 2" xfId="19461" xr:uid="{00000000-0005-0000-0000-000021320000}"/>
    <cellStyle name="Normal 23 3 27" xfId="7380" xr:uid="{00000000-0005-0000-0000-000022320000}"/>
    <cellStyle name="Normal 23 3 27 2" xfId="19462" xr:uid="{00000000-0005-0000-0000-000023320000}"/>
    <cellStyle name="Normal 23 3 28" xfId="7381" xr:uid="{00000000-0005-0000-0000-000024320000}"/>
    <cellStyle name="Normal 23 3 28 2" xfId="19463" xr:uid="{00000000-0005-0000-0000-000025320000}"/>
    <cellStyle name="Normal 23 3 29" xfId="7382" xr:uid="{00000000-0005-0000-0000-000026320000}"/>
    <cellStyle name="Normal 23 3 29 2" xfId="19464" xr:uid="{00000000-0005-0000-0000-000027320000}"/>
    <cellStyle name="Normal 23 3 3" xfId="7383" xr:uid="{00000000-0005-0000-0000-000028320000}"/>
    <cellStyle name="Normal 23 3 3 2" xfId="19465" xr:uid="{00000000-0005-0000-0000-000029320000}"/>
    <cellStyle name="Normal 23 3 30" xfId="7384" xr:uid="{00000000-0005-0000-0000-00002A320000}"/>
    <cellStyle name="Normal 23 3 30 2" xfId="19466" xr:uid="{00000000-0005-0000-0000-00002B320000}"/>
    <cellStyle name="Normal 23 3 31" xfId="7385" xr:uid="{00000000-0005-0000-0000-00002C320000}"/>
    <cellStyle name="Normal 23 3 31 2" xfId="19467" xr:uid="{00000000-0005-0000-0000-00002D320000}"/>
    <cellStyle name="Normal 23 3 32" xfId="7386" xr:uid="{00000000-0005-0000-0000-00002E320000}"/>
    <cellStyle name="Normal 23 3 32 2" xfId="19468" xr:uid="{00000000-0005-0000-0000-00002F320000}"/>
    <cellStyle name="Normal 23 3 33" xfId="7387" xr:uid="{00000000-0005-0000-0000-000030320000}"/>
    <cellStyle name="Normal 23 3 33 2" xfId="19469" xr:uid="{00000000-0005-0000-0000-000031320000}"/>
    <cellStyle name="Normal 23 3 34" xfId="7388" xr:uid="{00000000-0005-0000-0000-000032320000}"/>
    <cellStyle name="Normal 23 3 34 2" xfId="19470" xr:uid="{00000000-0005-0000-0000-000033320000}"/>
    <cellStyle name="Normal 23 3 35" xfId="7389" xr:uid="{00000000-0005-0000-0000-000034320000}"/>
    <cellStyle name="Normal 23 3 35 2" xfId="19471" xr:uid="{00000000-0005-0000-0000-000035320000}"/>
    <cellStyle name="Normal 23 3 36" xfId="7390" xr:uid="{00000000-0005-0000-0000-000036320000}"/>
    <cellStyle name="Normal 23 3 36 2" xfId="19472" xr:uid="{00000000-0005-0000-0000-000037320000}"/>
    <cellStyle name="Normal 23 3 37" xfId="7391" xr:uid="{00000000-0005-0000-0000-000038320000}"/>
    <cellStyle name="Normal 23 3 37 2" xfId="19473" xr:uid="{00000000-0005-0000-0000-000039320000}"/>
    <cellStyle name="Normal 23 3 38" xfId="7392" xr:uid="{00000000-0005-0000-0000-00003A320000}"/>
    <cellStyle name="Normal 23 3 38 2" xfId="19474" xr:uid="{00000000-0005-0000-0000-00003B320000}"/>
    <cellStyle name="Normal 23 3 39" xfId="7393" xr:uid="{00000000-0005-0000-0000-00003C320000}"/>
    <cellStyle name="Normal 23 3 39 2" xfId="19475" xr:uid="{00000000-0005-0000-0000-00003D320000}"/>
    <cellStyle name="Normal 23 3 4" xfId="7394" xr:uid="{00000000-0005-0000-0000-00003E320000}"/>
    <cellStyle name="Normal 23 3 4 2" xfId="19476" xr:uid="{00000000-0005-0000-0000-00003F320000}"/>
    <cellStyle name="Normal 23 3 40" xfId="7395" xr:uid="{00000000-0005-0000-0000-000040320000}"/>
    <cellStyle name="Normal 23 3 40 2" xfId="19477" xr:uid="{00000000-0005-0000-0000-000041320000}"/>
    <cellStyle name="Normal 23 3 41" xfId="7396" xr:uid="{00000000-0005-0000-0000-000042320000}"/>
    <cellStyle name="Normal 23 3 41 2" xfId="19478" xr:uid="{00000000-0005-0000-0000-000043320000}"/>
    <cellStyle name="Normal 23 3 42" xfId="7397" xr:uid="{00000000-0005-0000-0000-000044320000}"/>
    <cellStyle name="Normal 23 3 42 2" xfId="19479" xr:uid="{00000000-0005-0000-0000-000045320000}"/>
    <cellStyle name="Normal 23 3 43" xfId="7398" xr:uid="{00000000-0005-0000-0000-000046320000}"/>
    <cellStyle name="Normal 23 3 43 2" xfId="19480" xr:uid="{00000000-0005-0000-0000-000047320000}"/>
    <cellStyle name="Normal 23 3 44" xfId="7399" xr:uid="{00000000-0005-0000-0000-000048320000}"/>
    <cellStyle name="Normal 23 3 44 2" xfId="19481" xr:uid="{00000000-0005-0000-0000-000049320000}"/>
    <cellStyle name="Normal 23 3 45" xfId="7400" xr:uid="{00000000-0005-0000-0000-00004A320000}"/>
    <cellStyle name="Normal 23 3 45 2" xfId="19482" xr:uid="{00000000-0005-0000-0000-00004B320000}"/>
    <cellStyle name="Normal 23 3 46" xfId="7401" xr:uid="{00000000-0005-0000-0000-00004C320000}"/>
    <cellStyle name="Normal 23 3 46 2" xfId="19483" xr:uid="{00000000-0005-0000-0000-00004D320000}"/>
    <cellStyle name="Normal 23 3 47" xfId="7402" xr:uid="{00000000-0005-0000-0000-00004E320000}"/>
    <cellStyle name="Normal 23 3 47 2" xfId="19484" xr:uid="{00000000-0005-0000-0000-00004F320000}"/>
    <cellStyle name="Normal 23 3 48" xfId="7403" xr:uid="{00000000-0005-0000-0000-000050320000}"/>
    <cellStyle name="Normal 23 3 48 2" xfId="19485" xr:uid="{00000000-0005-0000-0000-000051320000}"/>
    <cellStyle name="Normal 23 3 49" xfId="7404" xr:uid="{00000000-0005-0000-0000-000052320000}"/>
    <cellStyle name="Normal 23 3 49 2" xfId="19486" xr:uid="{00000000-0005-0000-0000-000053320000}"/>
    <cellStyle name="Normal 23 3 5" xfId="7405" xr:uid="{00000000-0005-0000-0000-000054320000}"/>
    <cellStyle name="Normal 23 3 5 2" xfId="19487" xr:uid="{00000000-0005-0000-0000-000055320000}"/>
    <cellStyle name="Normal 23 3 50" xfId="7406" xr:uid="{00000000-0005-0000-0000-000056320000}"/>
    <cellStyle name="Normal 23 3 50 2" xfId="19488" xr:uid="{00000000-0005-0000-0000-000057320000}"/>
    <cellStyle name="Normal 23 3 51" xfId="7407" xr:uid="{00000000-0005-0000-0000-000058320000}"/>
    <cellStyle name="Normal 23 3 51 2" xfId="19489" xr:uid="{00000000-0005-0000-0000-000059320000}"/>
    <cellStyle name="Normal 23 3 52" xfId="7408" xr:uid="{00000000-0005-0000-0000-00005A320000}"/>
    <cellStyle name="Normal 23 3 52 2" xfId="19490" xr:uid="{00000000-0005-0000-0000-00005B320000}"/>
    <cellStyle name="Normal 23 3 53" xfId="7409" xr:uid="{00000000-0005-0000-0000-00005C320000}"/>
    <cellStyle name="Normal 23 3 53 2" xfId="19491" xr:uid="{00000000-0005-0000-0000-00005D320000}"/>
    <cellStyle name="Normal 23 3 54" xfId="7410" xr:uid="{00000000-0005-0000-0000-00005E320000}"/>
    <cellStyle name="Normal 23 3 54 2" xfId="19492" xr:uid="{00000000-0005-0000-0000-00005F320000}"/>
    <cellStyle name="Normal 23 3 55" xfId="7411" xr:uid="{00000000-0005-0000-0000-000060320000}"/>
    <cellStyle name="Normal 23 3 55 2" xfId="19493" xr:uid="{00000000-0005-0000-0000-000061320000}"/>
    <cellStyle name="Normal 23 3 56" xfId="7412" xr:uid="{00000000-0005-0000-0000-000062320000}"/>
    <cellStyle name="Normal 23 3 56 2" xfId="19494" xr:uid="{00000000-0005-0000-0000-000063320000}"/>
    <cellStyle name="Normal 23 3 57" xfId="7413" xr:uid="{00000000-0005-0000-0000-000064320000}"/>
    <cellStyle name="Normal 23 3 57 2" xfId="19495" xr:uid="{00000000-0005-0000-0000-000065320000}"/>
    <cellStyle name="Normal 23 3 58" xfId="7414" xr:uid="{00000000-0005-0000-0000-000066320000}"/>
    <cellStyle name="Normal 23 3 58 2" xfId="19496" xr:uid="{00000000-0005-0000-0000-000067320000}"/>
    <cellStyle name="Normal 23 3 59" xfId="7415" xr:uid="{00000000-0005-0000-0000-000068320000}"/>
    <cellStyle name="Normal 23 3 59 2" xfId="19497" xr:uid="{00000000-0005-0000-0000-000069320000}"/>
    <cellStyle name="Normal 23 3 6" xfId="7416" xr:uid="{00000000-0005-0000-0000-00006A320000}"/>
    <cellStyle name="Normal 23 3 6 2" xfId="19498" xr:uid="{00000000-0005-0000-0000-00006B320000}"/>
    <cellStyle name="Normal 23 3 60" xfId="7417" xr:uid="{00000000-0005-0000-0000-00006C320000}"/>
    <cellStyle name="Normal 23 3 60 2" xfId="19499" xr:uid="{00000000-0005-0000-0000-00006D320000}"/>
    <cellStyle name="Normal 23 3 61" xfId="7418" xr:uid="{00000000-0005-0000-0000-00006E320000}"/>
    <cellStyle name="Normal 23 3 61 2" xfId="19500" xr:uid="{00000000-0005-0000-0000-00006F320000}"/>
    <cellStyle name="Normal 23 3 62" xfId="7419" xr:uid="{00000000-0005-0000-0000-000070320000}"/>
    <cellStyle name="Normal 23 3 62 2" xfId="19501" xr:uid="{00000000-0005-0000-0000-000071320000}"/>
    <cellStyle name="Normal 23 3 63" xfId="7420" xr:uid="{00000000-0005-0000-0000-000072320000}"/>
    <cellStyle name="Normal 23 3 63 2" xfId="19502" xr:uid="{00000000-0005-0000-0000-000073320000}"/>
    <cellStyle name="Normal 23 3 64" xfId="7421" xr:uid="{00000000-0005-0000-0000-000074320000}"/>
    <cellStyle name="Normal 23 3 64 2" xfId="19503" xr:uid="{00000000-0005-0000-0000-000075320000}"/>
    <cellStyle name="Normal 23 3 65" xfId="7422" xr:uid="{00000000-0005-0000-0000-000076320000}"/>
    <cellStyle name="Normal 23 3 65 2" xfId="19504" xr:uid="{00000000-0005-0000-0000-000077320000}"/>
    <cellStyle name="Normal 23 3 66" xfId="7423" xr:uid="{00000000-0005-0000-0000-000078320000}"/>
    <cellStyle name="Normal 23 3 66 2" xfId="19505" xr:uid="{00000000-0005-0000-0000-000079320000}"/>
    <cellStyle name="Normal 23 3 67" xfId="7424" xr:uid="{00000000-0005-0000-0000-00007A320000}"/>
    <cellStyle name="Normal 23 3 67 2" xfId="19506" xr:uid="{00000000-0005-0000-0000-00007B320000}"/>
    <cellStyle name="Normal 23 3 68" xfId="7425" xr:uid="{00000000-0005-0000-0000-00007C320000}"/>
    <cellStyle name="Normal 23 3 68 2" xfId="19507" xr:uid="{00000000-0005-0000-0000-00007D320000}"/>
    <cellStyle name="Normal 23 3 69" xfId="7426" xr:uid="{00000000-0005-0000-0000-00007E320000}"/>
    <cellStyle name="Normal 23 3 69 2" xfId="19508" xr:uid="{00000000-0005-0000-0000-00007F320000}"/>
    <cellStyle name="Normal 23 3 7" xfId="7427" xr:uid="{00000000-0005-0000-0000-000080320000}"/>
    <cellStyle name="Normal 23 3 7 2" xfId="19509" xr:uid="{00000000-0005-0000-0000-000081320000}"/>
    <cellStyle name="Normal 23 3 70" xfId="7428" xr:uid="{00000000-0005-0000-0000-000082320000}"/>
    <cellStyle name="Normal 23 3 70 2" xfId="19510" xr:uid="{00000000-0005-0000-0000-000083320000}"/>
    <cellStyle name="Normal 23 3 71" xfId="7429" xr:uid="{00000000-0005-0000-0000-000084320000}"/>
    <cellStyle name="Normal 23 3 71 2" xfId="19511" xr:uid="{00000000-0005-0000-0000-000085320000}"/>
    <cellStyle name="Normal 23 3 72" xfId="7430" xr:uid="{00000000-0005-0000-0000-000086320000}"/>
    <cellStyle name="Normal 23 3 72 2" xfId="19512" xr:uid="{00000000-0005-0000-0000-000087320000}"/>
    <cellStyle name="Normal 23 3 73" xfId="7431" xr:uid="{00000000-0005-0000-0000-000088320000}"/>
    <cellStyle name="Normal 23 3 73 2" xfId="19513" xr:uid="{00000000-0005-0000-0000-000089320000}"/>
    <cellStyle name="Normal 23 3 74" xfId="7432" xr:uid="{00000000-0005-0000-0000-00008A320000}"/>
    <cellStyle name="Normal 23 3 74 2" xfId="19514" xr:uid="{00000000-0005-0000-0000-00008B320000}"/>
    <cellStyle name="Normal 23 3 75" xfId="7433" xr:uid="{00000000-0005-0000-0000-00008C320000}"/>
    <cellStyle name="Normal 23 3 75 2" xfId="19515" xr:uid="{00000000-0005-0000-0000-00008D320000}"/>
    <cellStyle name="Normal 23 3 76" xfId="7434" xr:uid="{00000000-0005-0000-0000-00008E320000}"/>
    <cellStyle name="Normal 23 3 76 2" xfId="19516" xr:uid="{00000000-0005-0000-0000-00008F320000}"/>
    <cellStyle name="Normal 23 3 77" xfId="7435" xr:uid="{00000000-0005-0000-0000-000090320000}"/>
    <cellStyle name="Normal 23 3 77 2" xfId="19517" xr:uid="{00000000-0005-0000-0000-000091320000}"/>
    <cellStyle name="Normal 23 3 78" xfId="7436" xr:uid="{00000000-0005-0000-0000-000092320000}"/>
    <cellStyle name="Normal 23 3 78 2" xfId="19518" xr:uid="{00000000-0005-0000-0000-000093320000}"/>
    <cellStyle name="Normal 23 3 79" xfId="7437" xr:uid="{00000000-0005-0000-0000-000094320000}"/>
    <cellStyle name="Normal 23 3 79 2" xfId="19519" xr:uid="{00000000-0005-0000-0000-000095320000}"/>
    <cellStyle name="Normal 23 3 8" xfId="7438" xr:uid="{00000000-0005-0000-0000-000096320000}"/>
    <cellStyle name="Normal 23 3 8 2" xfId="19520" xr:uid="{00000000-0005-0000-0000-000097320000}"/>
    <cellStyle name="Normal 23 3 80" xfId="19443" xr:uid="{00000000-0005-0000-0000-000098320000}"/>
    <cellStyle name="Normal 23 3 9" xfId="7439" xr:uid="{00000000-0005-0000-0000-000099320000}"/>
    <cellStyle name="Normal 23 3 9 2" xfId="19521" xr:uid="{00000000-0005-0000-0000-00009A320000}"/>
    <cellStyle name="Normal 23 30" xfId="7440" xr:uid="{00000000-0005-0000-0000-00009B320000}"/>
    <cellStyle name="Normal 23 30 2" xfId="19522" xr:uid="{00000000-0005-0000-0000-00009C320000}"/>
    <cellStyle name="Normal 23 31" xfId="7441" xr:uid="{00000000-0005-0000-0000-00009D320000}"/>
    <cellStyle name="Normal 23 31 2" xfId="19523" xr:uid="{00000000-0005-0000-0000-00009E320000}"/>
    <cellStyle name="Normal 23 32" xfId="7442" xr:uid="{00000000-0005-0000-0000-00009F320000}"/>
    <cellStyle name="Normal 23 32 2" xfId="19524" xr:uid="{00000000-0005-0000-0000-0000A0320000}"/>
    <cellStyle name="Normal 23 33" xfId="7443" xr:uid="{00000000-0005-0000-0000-0000A1320000}"/>
    <cellStyle name="Normal 23 33 2" xfId="19525" xr:uid="{00000000-0005-0000-0000-0000A2320000}"/>
    <cellStyle name="Normal 23 34" xfId="7444" xr:uid="{00000000-0005-0000-0000-0000A3320000}"/>
    <cellStyle name="Normal 23 34 2" xfId="19526" xr:uid="{00000000-0005-0000-0000-0000A4320000}"/>
    <cellStyle name="Normal 23 35" xfId="7445" xr:uid="{00000000-0005-0000-0000-0000A5320000}"/>
    <cellStyle name="Normal 23 35 2" xfId="19527" xr:uid="{00000000-0005-0000-0000-0000A6320000}"/>
    <cellStyle name="Normal 23 36" xfId="7446" xr:uid="{00000000-0005-0000-0000-0000A7320000}"/>
    <cellStyle name="Normal 23 36 2" xfId="19528" xr:uid="{00000000-0005-0000-0000-0000A8320000}"/>
    <cellStyle name="Normal 23 37" xfId="7447" xr:uid="{00000000-0005-0000-0000-0000A9320000}"/>
    <cellStyle name="Normal 23 37 2" xfId="19529" xr:uid="{00000000-0005-0000-0000-0000AA320000}"/>
    <cellStyle name="Normal 23 38" xfId="7448" xr:uid="{00000000-0005-0000-0000-0000AB320000}"/>
    <cellStyle name="Normal 23 38 2" xfId="19530" xr:uid="{00000000-0005-0000-0000-0000AC320000}"/>
    <cellStyle name="Normal 23 39" xfId="7449" xr:uid="{00000000-0005-0000-0000-0000AD320000}"/>
    <cellStyle name="Normal 23 39 2" xfId="19531" xr:uid="{00000000-0005-0000-0000-0000AE320000}"/>
    <cellStyle name="Normal 23 4" xfId="7450" xr:uid="{00000000-0005-0000-0000-0000AF320000}"/>
    <cellStyle name="Normal 23 4 10" xfId="7451" xr:uid="{00000000-0005-0000-0000-0000B0320000}"/>
    <cellStyle name="Normal 23 4 10 2" xfId="19533" xr:uid="{00000000-0005-0000-0000-0000B1320000}"/>
    <cellStyle name="Normal 23 4 11" xfId="7452" xr:uid="{00000000-0005-0000-0000-0000B2320000}"/>
    <cellStyle name="Normal 23 4 11 2" xfId="19534" xr:uid="{00000000-0005-0000-0000-0000B3320000}"/>
    <cellStyle name="Normal 23 4 12" xfId="7453" xr:uid="{00000000-0005-0000-0000-0000B4320000}"/>
    <cellStyle name="Normal 23 4 12 2" xfId="19535" xr:uid="{00000000-0005-0000-0000-0000B5320000}"/>
    <cellStyle name="Normal 23 4 13" xfId="7454" xr:uid="{00000000-0005-0000-0000-0000B6320000}"/>
    <cellStyle name="Normal 23 4 13 2" xfId="19536" xr:uid="{00000000-0005-0000-0000-0000B7320000}"/>
    <cellStyle name="Normal 23 4 14" xfId="7455" xr:uid="{00000000-0005-0000-0000-0000B8320000}"/>
    <cellStyle name="Normal 23 4 14 2" xfId="19537" xr:uid="{00000000-0005-0000-0000-0000B9320000}"/>
    <cellStyle name="Normal 23 4 15" xfId="7456" xr:uid="{00000000-0005-0000-0000-0000BA320000}"/>
    <cellStyle name="Normal 23 4 15 2" xfId="19538" xr:uid="{00000000-0005-0000-0000-0000BB320000}"/>
    <cellStyle name="Normal 23 4 16" xfId="7457" xr:uid="{00000000-0005-0000-0000-0000BC320000}"/>
    <cellStyle name="Normal 23 4 16 2" xfId="19539" xr:uid="{00000000-0005-0000-0000-0000BD320000}"/>
    <cellStyle name="Normal 23 4 17" xfId="7458" xr:uid="{00000000-0005-0000-0000-0000BE320000}"/>
    <cellStyle name="Normal 23 4 17 2" xfId="19540" xr:uid="{00000000-0005-0000-0000-0000BF320000}"/>
    <cellStyle name="Normal 23 4 18" xfId="7459" xr:uid="{00000000-0005-0000-0000-0000C0320000}"/>
    <cellStyle name="Normal 23 4 18 2" xfId="19541" xr:uid="{00000000-0005-0000-0000-0000C1320000}"/>
    <cellStyle name="Normal 23 4 19" xfId="7460" xr:uid="{00000000-0005-0000-0000-0000C2320000}"/>
    <cellStyle name="Normal 23 4 19 2" xfId="19542" xr:uid="{00000000-0005-0000-0000-0000C3320000}"/>
    <cellStyle name="Normal 23 4 2" xfId="7461" xr:uid="{00000000-0005-0000-0000-0000C4320000}"/>
    <cellStyle name="Normal 23 4 2 2" xfId="19543" xr:uid="{00000000-0005-0000-0000-0000C5320000}"/>
    <cellStyle name="Normal 23 4 20" xfId="7462" xr:uid="{00000000-0005-0000-0000-0000C6320000}"/>
    <cellStyle name="Normal 23 4 20 2" xfId="19544" xr:uid="{00000000-0005-0000-0000-0000C7320000}"/>
    <cellStyle name="Normal 23 4 21" xfId="7463" xr:uid="{00000000-0005-0000-0000-0000C8320000}"/>
    <cellStyle name="Normal 23 4 21 2" xfId="19545" xr:uid="{00000000-0005-0000-0000-0000C9320000}"/>
    <cellStyle name="Normal 23 4 22" xfId="7464" xr:uid="{00000000-0005-0000-0000-0000CA320000}"/>
    <cellStyle name="Normal 23 4 22 2" xfId="19546" xr:uid="{00000000-0005-0000-0000-0000CB320000}"/>
    <cellStyle name="Normal 23 4 23" xfId="7465" xr:uid="{00000000-0005-0000-0000-0000CC320000}"/>
    <cellStyle name="Normal 23 4 23 2" xfId="19547" xr:uid="{00000000-0005-0000-0000-0000CD320000}"/>
    <cellStyle name="Normal 23 4 24" xfId="7466" xr:uid="{00000000-0005-0000-0000-0000CE320000}"/>
    <cellStyle name="Normal 23 4 24 2" xfId="19548" xr:uid="{00000000-0005-0000-0000-0000CF320000}"/>
    <cellStyle name="Normal 23 4 25" xfId="7467" xr:uid="{00000000-0005-0000-0000-0000D0320000}"/>
    <cellStyle name="Normal 23 4 25 2" xfId="19549" xr:uid="{00000000-0005-0000-0000-0000D1320000}"/>
    <cellStyle name="Normal 23 4 26" xfId="7468" xr:uid="{00000000-0005-0000-0000-0000D2320000}"/>
    <cellStyle name="Normal 23 4 26 2" xfId="19550" xr:uid="{00000000-0005-0000-0000-0000D3320000}"/>
    <cellStyle name="Normal 23 4 27" xfId="7469" xr:uid="{00000000-0005-0000-0000-0000D4320000}"/>
    <cellStyle name="Normal 23 4 27 2" xfId="19551" xr:uid="{00000000-0005-0000-0000-0000D5320000}"/>
    <cellStyle name="Normal 23 4 28" xfId="7470" xr:uid="{00000000-0005-0000-0000-0000D6320000}"/>
    <cellStyle name="Normal 23 4 28 2" xfId="19552" xr:uid="{00000000-0005-0000-0000-0000D7320000}"/>
    <cellStyle name="Normal 23 4 29" xfId="7471" xr:uid="{00000000-0005-0000-0000-0000D8320000}"/>
    <cellStyle name="Normal 23 4 29 2" xfId="19553" xr:uid="{00000000-0005-0000-0000-0000D9320000}"/>
    <cellStyle name="Normal 23 4 3" xfId="7472" xr:uid="{00000000-0005-0000-0000-0000DA320000}"/>
    <cellStyle name="Normal 23 4 3 2" xfId="19554" xr:uid="{00000000-0005-0000-0000-0000DB320000}"/>
    <cellStyle name="Normal 23 4 30" xfId="7473" xr:uid="{00000000-0005-0000-0000-0000DC320000}"/>
    <cellStyle name="Normal 23 4 30 2" xfId="19555" xr:uid="{00000000-0005-0000-0000-0000DD320000}"/>
    <cellStyle name="Normal 23 4 31" xfId="7474" xr:uid="{00000000-0005-0000-0000-0000DE320000}"/>
    <cellStyle name="Normal 23 4 31 2" xfId="19556" xr:uid="{00000000-0005-0000-0000-0000DF320000}"/>
    <cellStyle name="Normal 23 4 32" xfId="7475" xr:uid="{00000000-0005-0000-0000-0000E0320000}"/>
    <cellStyle name="Normal 23 4 32 2" xfId="19557" xr:uid="{00000000-0005-0000-0000-0000E1320000}"/>
    <cellStyle name="Normal 23 4 33" xfId="7476" xr:uid="{00000000-0005-0000-0000-0000E2320000}"/>
    <cellStyle name="Normal 23 4 33 2" xfId="19558" xr:uid="{00000000-0005-0000-0000-0000E3320000}"/>
    <cellStyle name="Normal 23 4 34" xfId="7477" xr:uid="{00000000-0005-0000-0000-0000E4320000}"/>
    <cellStyle name="Normal 23 4 34 2" xfId="19559" xr:uid="{00000000-0005-0000-0000-0000E5320000}"/>
    <cellStyle name="Normal 23 4 35" xfId="7478" xr:uid="{00000000-0005-0000-0000-0000E6320000}"/>
    <cellStyle name="Normal 23 4 35 2" xfId="19560" xr:uid="{00000000-0005-0000-0000-0000E7320000}"/>
    <cellStyle name="Normal 23 4 36" xfId="7479" xr:uid="{00000000-0005-0000-0000-0000E8320000}"/>
    <cellStyle name="Normal 23 4 36 2" xfId="19561" xr:uid="{00000000-0005-0000-0000-0000E9320000}"/>
    <cellStyle name="Normal 23 4 37" xfId="7480" xr:uid="{00000000-0005-0000-0000-0000EA320000}"/>
    <cellStyle name="Normal 23 4 37 2" xfId="19562" xr:uid="{00000000-0005-0000-0000-0000EB320000}"/>
    <cellStyle name="Normal 23 4 38" xfId="7481" xr:uid="{00000000-0005-0000-0000-0000EC320000}"/>
    <cellStyle name="Normal 23 4 38 2" xfId="19563" xr:uid="{00000000-0005-0000-0000-0000ED320000}"/>
    <cellStyle name="Normal 23 4 39" xfId="7482" xr:uid="{00000000-0005-0000-0000-0000EE320000}"/>
    <cellStyle name="Normal 23 4 39 2" xfId="19564" xr:uid="{00000000-0005-0000-0000-0000EF320000}"/>
    <cellStyle name="Normal 23 4 4" xfId="7483" xr:uid="{00000000-0005-0000-0000-0000F0320000}"/>
    <cellStyle name="Normal 23 4 4 2" xfId="19565" xr:uid="{00000000-0005-0000-0000-0000F1320000}"/>
    <cellStyle name="Normal 23 4 40" xfId="7484" xr:uid="{00000000-0005-0000-0000-0000F2320000}"/>
    <cellStyle name="Normal 23 4 40 2" xfId="19566" xr:uid="{00000000-0005-0000-0000-0000F3320000}"/>
    <cellStyle name="Normal 23 4 41" xfId="7485" xr:uid="{00000000-0005-0000-0000-0000F4320000}"/>
    <cellStyle name="Normal 23 4 41 2" xfId="19567" xr:uid="{00000000-0005-0000-0000-0000F5320000}"/>
    <cellStyle name="Normal 23 4 42" xfId="7486" xr:uid="{00000000-0005-0000-0000-0000F6320000}"/>
    <cellStyle name="Normal 23 4 42 2" xfId="19568" xr:uid="{00000000-0005-0000-0000-0000F7320000}"/>
    <cellStyle name="Normal 23 4 43" xfId="7487" xr:uid="{00000000-0005-0000-0000-0000F8320000}"/>
    <cellStyle name="Normal 23 4 43 2" xfId="19569" xr:uid="{00000000-0005-0000-0000-0000F9320000}"/>
    <cellStyle name="Normal 23 4 44" xfId="7488" xr:uid="{00000000-0005-0000-0000-0000FA320000}"/>
    <cellStyle name="Normal 23 4 44 2" xfId="19570" xr:uid="{00000000-0005-0000-0000-0000FB320000}"/>
    <cellStyle name="Normal 23 4 45" xfId="7489" xr:uid="{00000000-0005-0000-0000-0000FC320000}"/>
    <cellStyle name="Normal 23 4 45 2" xfId="19571" xr:uid="{00000000-0005-0000-0000-0000FD320000}"/>
    <cellStyle name="Normal 23 4 46" xfId="7490" xr:uid="{00000000-0005-0000-0000-0000FE320000}"/>
    <cellStyle name="Normal 23 4 46 2" xfId="19572" xr:uid="{00000000-0005-0000-0000-0000FF320000}"/>
    <cellStyle name="Normal 23 4 47" xfId="7491" xr:uid="{00000000-0005-0000-0000-000000330000}"/>
    <cellStyle name="Normal 23 4 47 2" xfId="19573" xr:uid="{00000000-0005-0000-0000-000001330000}"/>
    <cellStyle name="Normal 23 4 48" xfId="7492" xr:uid="{00000000-0005-0000-0000-000002330000}"/>
    <cellStyle name="Normal 23 4 48 2" xfId="19574" xr:uid="{00000000-0005-0000-0000-000003330000}"/>
    <cellStyle name="Normal 23 4 49" xfId="7493" xr:uid="{00000000-0005-0000-0000-000004330000}"/>
    <cellStyle name="Normal 23 4 49 2" xfId="19575" xr:uid="{00000000-0005-0000-0000-000005330000}"/>
    <cellStyle name="Normal 23 4 5" xfId="7494" xr:uid="{00000000-0005-0000-0000-000006330000}"/>
    <cellStyle name="Normal 23 4 5 2" xfId="19576" xr:uid="{00000000-0005-0000-0000-000007330000}"/>
    <cellStyle name="Normal 23 4 50" xfId="7495" xr:uid="{00000000-0005-0000-0000-000008330000}"/>
    <cellStyle name="Normal 23 4 50 2" xfId="19577" xr:uid="{00000000-0005-0000-0000-000009330000}"/>
    <cellStyle name="Normal 23 4 51" xfId="7496" xr:uid="{00000000-0005-0000-0000-00000A330000}"/>
    <cellStyle name="Normal 23 4 51 2" xfId="19578" xr:uid="{00000000-0005-0000-0000-00000B330000}"/>
    <cellStyle name="Normal 23 4 52" xfId="7497" xr:uid="{00000000-0005-0000-0000-00000C330000}"/>
    <cellStyle name="Normal 23 4 52 2" xfId="19579" xr:uid="{00000000-0005-0000-0000-00000D330000}"/>
    <cellStyle name="Normal 23 4 53" xfId="7498" xr:uid="{00000000-0005-0000-0000-00000E330000}"/>
    <cellStyle name="Normal 23 4 53 2" xfId="19580" xr:uid="{00000000-0005-0000-0000-00000F330000}"/>
    <cellStyle name="Normal 23 4 54" xfId="7499" xr:uid="{00000000-0005-0000-0000-000010330000}"/>
    <cellStyle name="Normal 23 4 54 2" xfId="19581" xr:uid="{00000000-0005-0000-0000-000011330000}"/>
    <cellStyle name="Normal 23 4 55" xfId="7500" xr:uid="{00000000-0005-0000-0000-000012330000}"/>
    <cellStyle name="Normal 23 4 55 2" xfId="19582" xr:uid="{00000000-0005-0000-0000-000013330000}"/>
    <cellStyle name="Normal 23 4 56" xfId="7501" xr:uid="{00000000-0005-0000-0000-000014330000}"/>
    <cellStyle name="Normal 23 4 56 2" xfId="19583" xr:uid="{00000000-0005-0000-0000-000015330000}"/>
    <cellStyle name="Normal 23 4 57" xfId="7502" xr:uid="{00000000-0005-0000-0000-000016330000}"/>
    <cellStyle name="Normal 23 4 57 2" xfId="19584" xr:uid="{00000000-0005-0000-0000-000017330000}"/>
    <cellStyle name="Normal 23 4 58" xfId="7503" xr:uid="{00000000-0005-0000-0000-000018330000}"/>
    <cellStyle name="Normal 23 4 58 2" xfId="19585" xr:uid="{00000000-0005-0000-0000-000019330000}"/>
    <cellStyle name="Normal 23 4 59" xfId="7504" xr:uid="{00000000-0005-0000-0000-00001A330000}"/>
    <cellStyle name="Normal 23 4 59 2" xfId="19586" xr:uid="{00000000-0005-0000-0000-00001B330000}"/>
    <cellStyle name="Normal 23 4 6" xfId="7505" xr:uid="{00000000-0005-0000-0000-00001C330000}"/>
    <cellStyle name="Normal 23 4 6 2" xfId="19587" xr:uid="{00000000-0005-0000-0000-00001D330000}"/>
    <cellStyle name="Normal 23 4 60" xfId="7506" xr:uid="{00000000-0005-0000-0000-00001E330000}"/>
    <cellStyle name="Normal 23 4 60 2" xfId="19588" xr:uid="{00000000-0005-0000-0000-00001F330000}"/>
    <cellStyle name="Normal 23 4 61" xfId="7507" xr:uid="{00000000-0005-0000-0000-000020330000}"/>
    <cellStyle name="Normal 23 4 61 2" xfId="19589" xr:uid="{00000000-0005-0000-0000-000021330000}"/>
    <cellStyle name="Normal 23 4 62" xfId="7508" xr:uid="{00000000-0005-0000-0000-000022330000}"/>
    <cellStyle name="Normal 23 4 62 2" xfId="19590" xr:uid="{00000000-0005-0000-0000-000023330000}"/>
    <cellStyle name="Normal 23 4 63" xfId="7509" xr:uid="{00000000-0005-0000-0000-000024330000}"/>
    <cellStyle name="Normal 23 4 63 2" xfId="19591" xr:uid="{00000000-0005-0000-0000-000025330000}"/>
    <cellStyle name="Normal 23 4 64" xfId="7510" xr:uid="{00000000-0005-0000-0000-000026330000}"/>
    <cellStyle name="Normal 23 4 64 2" xfId="19592" xr:uid="{00000000-0005-0000-0000-000027330000}"/>
    <cellStyle name="Normal 23 4 65" xfId="7511" xr:uid="{00000000-0005-0000-0000-000028330000}"/>
    <cellStyle name="Normal 23 4 65 2" xfId="19593" xr:uid="{00000000-0005-0000-0000-000029330000}"/>
    <cellStyle name="Normal 23 4 66" xfId="7512" xr:uid="{00000000-0005-0000-0000-00002A330000}"/>
    <cellStyle name="Normal 23 4 66 2" xfId="19594" xr:uid="{00000000-0005-0000-0000-00002B330000}"/>
    <cellStyle name="Normal 23 4 67" xfId="7513" xr:uid="{00000000-0005-0000-0000-00002C330000}"/>
    <cellStyle name="Normal 23 4 67 2" xfId="19595" xr:uid="{00000000-0005-0000-0000-00002D330000}"/>
    <cellStyle name="Normal 23 4 68" xfId="7514" xr:uid="{00000000-0005-0000-0000-00002E330000}"/>
    <cellStyle name="Normal 23 4 68 2" xfId="19596" xr:uid="{00000000-0005-0000-0000-00002F330000}"/>
    <cellStyle name="Normal 23 4 69" xfId="7515" xr:uid="{00000000-0005-0000-0000-000030330000}"/>
    <cellStyle name="Normal 23 4 69 2" xfId="19597" xr:uid="{00000000-0005-0000-0000-000031330000}"/>
    <cellStyle name="Normal 23 4 7" xfId="7516" xr:uid="{00000000-0005-0000-0000-000032330000}"/>
    <cellStyle name="Normal 23 4 7 2" xfId="19598" xr:uid="{00000000-0005-0000-0000-000033330000}"/>
    <cellStyle name="Normal 23 4 70" xfId="7517" xr:uid="{00000000-0005-0000-0000-000034330000}"/>
    <cellStyle name="Normal 23 4 70 2" xfId="19599" xr:uid="{00000000-0005-0000-0000-000035330000}"/>
    <cellStyle name="Normal 23 4 71" xfId="7518" xr:uid="{00000000-0005-0000-0000-000036330000}"/>
    <cellStyle name="Normal 23 4 71 2" xfId="19600" xr:uid="{00000000-0005-0000-0000-000037330000}"/>
    <cellStyle name="Normal 23 4 72" xfId="7519" xr:uid="{00000000-0005-0000-0000-000038330000}"/>
    <cellStyle name="Normal 23 4 72 2" xfId="19601" xr:uid="{00000000-0005-0000-0000-000039330000}"/>
    <cellStyle name="Normal 23 4 73" xfId="7520" xr:uid="{00000000-0005-0000-0000-00003A330000}"/>
    <cellStyle name="Normal 23 4 73 2" xfId="19602" xr:uid="{00000000-0005-0000-0000-00003B330000}"/>
    <cellStyle name="Normal 23 4 74" xfId="7521" xr:uid="{00000000-0005-0000-0000-00003C330000}"/>
    <cellStyle name="Normal 23 4 74 2" xfId="19603" xr:uid="{00000000-0005-0000-0000-00003D330000}"/>
    <cellStyle name="Normal 23 4 75" xfId="7522" xr:uid="{00000000-0005-0000-0000-00003E330000}"/>
    <cellStyle name="Normal 23 4 75 2" xfId="19604" xr:uid="{00000000-0005-0000-0000-00003F330000}"/>
    <cellStyle name="Normal 23 4 76" xfId="7523" xr:uid="{00000000-0005-0000-0000-000040330000}"/>
    <cellStyle name="Normal 23 4 76 2" xfId="19605" xr:uid="{00000000-0005-0000-0000-000041330000}"/>
    <cellStyle name="Normal 23 4 77" xfId="7524" xr:uid="{00000000-0005-0000-0000-000042330000}"/>
    <cellStyle name="Normal 23 4 77 2" xfId="19606" xr:uid="{00000000-0005-0000-0000-000043330000}"/>
    <cellStyle name="Normal 23 4 78" xfId="7525" xr:uid="{00000000-0005-0000-0000-000044330000}"/>
    <cellStyle name="Normal 23 4 78 2" xfId="19607" xr:uid="{00000000-0005-0000-0000-000045330000}"/>
    <cellStyle name="Normal 23 4 79" xfId="7526" xr:uid="{00000000-0005-0000-0000-000046330000}"/>
    <cellStyle name="Normal 23 4 79 2" xfId="19608" xr:uid="{00000000-0005-0000-0000-000047330000}"/>
    <cellStyle name="Normal 23 4 8" xfId="7527" xr:uid="{00000000-0005-0000-0000-000048330000}"/>
    <cellStyle name="Normal 23 4 8 2" xfId="19609" xr:uid="{00000000-0005-0000-0000-000049330000}"/>
    <cellStyle name="Normal 23 4 80" xfId="19532" xr:uid="{00000000-0005-0000-0000-00004A330000}"/>
    <cellStyle name="Normal 23 4 9" xfId="7528" xr:uid="{00000000-0005-0000-0000-00004B330000}"/>
    <cellStyle name="Normal 23 4 9 2" xfId="19610" xr:uid="{00000000-0005-0000-0000-00004C330000}"/>
    <cellStyle name="Normal 23 40" xfId="7529" xr:uid="{00000000-0005-0000-0000-00004D330000}"/>
    <cellStyle name="Normal 23 40 2" xfId="19611" xr:uid="{00000000-0005-0000-0000-00004E330000}"/>
    <cellStyle name="Normal 23 41" xfId="7530" xr:uid="{00000000-0005-0000-0000-00004F330000}"/>
    <cellStyle name="Normal 23 41 2" xfId="19612" xr:uid="{00000000-0005-0000-0000-000050330000}"/>
    <cellStyle name="Normal 23 42" xfId="7531" xr:uid="{00000000-0005-0000-0000-000051330000}"/>
    <cellStyle name="Normal 23 42 2" xfId="19613" xr:uid="{00000000-0005-0000-0000-000052330000}"/>
    <cellStyle name="Normal 23 43" xfId="7532" xr:uid="{00000000-0005-0000-0000-000053330000}"/>
    <cellStyle name="Normal 23 43 2" xfId="19614" xr:uid="{00000000-0005-0000-0000-000054330000}"/>
    <cellStyle name="Normal 23 44" xfId="7533" xr:uid="{00000000-0005-0000-0000-000055330000}"/>
    <cellStyle name="Normal 23 44 2" xfId="19615" xr:uid="{00000000-0005-0000-0000-000056330000}"/>
    <cellStyle name="Normal 23 45" xfId="7534" xr:uid="{00000000-0005-0000-0000-000057330000}"/>
    <cellStyle name="Normal 23 45 2" xfId="19616" xr:uid="{00000000-0005-0000-0000-000058330000}"/>
    <cellStyle name="Normal 23 46" xfId="7535" xr:uid="{00000000-0005-0000-0000-000059330000}"/>
    <cellStyle name="Normal 23 46 2" xfId="19617" xr:uid="{00000000-0005-0000-0000-00005A330000}"/>
    <cellStyle name="Normal 23 47" xfId="7536" xr:uid="{00000000-0005-0000-0000-00005B330000}"/>
    <cellStyle name="Normal 23 47 2" xfId="19618" xr:uid="{00000000-0005-0000-0000-00005C330000}"/>
    <cellStyle name="Normal 23 48" xfId="7537" xr:uid="{00000000-0005-0000-0000-00005D330000}"/>
    <cellStyle name="Normal 23 48 2" xfId="19619" xr:uid="{00000000-0005-0000-0000-00005E330000}"/>
    <cellStyle name="Normal 23 49" xfId="7538" xr:uid="{00000000-0005-0000-0000-00005F330000}"/>
    <cellStyle name="Normal 23 49 2" xfId="19620" xr:uid="{00000000-0005-0000-0000-000060330000}"/>
    <cellStyle name="Normal 23 5" xfId="7539" xr:uid="{00000000-0005-0000-0000-000061330000}"/>
    <cellStyle name="Normal 23 5 2" xfId="19621" xr:uid="{00000000-0005-0000-0000-000062330000}"/>
    <cellStyle name="Normal 23 50" xfId="7540" xr:uid="{00000000-0005-0000-0000-000063330000}"/>
    <cellStyle name="Normal 23 50 2" xfId="19622" xr:uid="{00000000-0005-0000-0000-000064330000}"/>
    <cellStyle name="Normal 23 51" xfId="7541" xr:uid="{00000000-0005-0000-0000-000065330000}"/>
    <cellStyle name="Normal 23 51 2" xfId="19623" xr:uid="{00000000-0005-0000-0000-000066330000}"/>
    <cellStyle name="Normal 23 52" xfId="7542" xr:uid="{00000000-0005-0000-0000-000067330000}"/>
    <cellStyle name="Normal 23 52 2" xfId="19624" xr:uid="{00000000-0005-0000-0000-000068330000}"/>
    <cellStyle name="Normal 23 53" xfId="7543" xr:uid="{00000000-0005-0000-0000-000069330000}"/>
    <cellStyle name="Normal 23 53 2" xfId="19625" xr:uid="{00000000-0005-0000-0000-00006A330000}"/>
    <cellStyle name="Normal 23 54" xfId="7544" xr:uid="{00000000-0005-0000-0000-00006B330000}"/>
    <cellStyle name="Normal 23 54 2" xfId="19626" xr:uid="{00000000-0005-0000-0000-00006C330000}"/>
    <cellStyle name="Normal 23 55" xfId="7545" xr:uid="{00000000-0005-0000-0000-00006D330000}"/>
    <cellStyle name="Normal 23 55 2" xfId="19627" xr:uid="{00000000-0005-0000-0000-00006E330000}"/>
    <cellStyle name="Normal 23 56" xfId="7546" xr:uid="{00000000-0005-0000-0000-00006F330000}"/>
    <cellStyle name="Normal 23 56 2" xfId="19628" xr:uid="{00000000-0005-0000-0000-000070330000}"/>
    <cellStyle name="Normal 23 57" xfId="7547" xr:uid="{00000000-0005-0000-0000-000071330000}"/>
    <cellStyle name="Normal 23 57 2" xfId="19629" xr:uid="{00000000-0005-0000-0000-000072330000}"/>
    <cellStyle name="Normal 23 58" xfId="7548" xr:uid="{00000000-0005-0000-0000-000073330000}"/>
    <cellStyle name="Normal 23 58 2" xfId="19630" xr:uid="{00000000-0005-0000-0000-000074330000}"/>
    <cellStyle name="Normal 23 59" xfId="7549" xr:uid="{00000000-0005-0000-0000-000075330000}"/>
    <cellStyle name="Normal 23 59 2" xfId="19631" xr:uid="{00000000-0005-0000-0000-000076330000}"/>
    <cellStyle name="Normal 23 6" xfId="7550" xr:uid="{00000000-0005-0000-0000-000077330000}"/>
    <cellStyle name="Normal 23 6 2" xfId="19632" xr:uid="{00000000-0005-0000-0000-000078330000}"/>
    <cellStyle name="Normal 23 60" xfId="7551" xr:uid="{00000000-0005-0000-0000-000079330000}"/>
    <cellStyle name="Normal 23 60 2" xfId="19633" xr:uid="{00000000-0005-0000-0000-00007A330000}"/>
    <cellStyle name="Normal 23 61" xfId="7552" xr:uid="{00000000-0005-0000-0000-00007B330000}"/>
    <cellStyle name="Normal 23 61 2" xfId="19634" xr:uid="{00000000-0005-0000-0000-00007C330000}"/>
    <cellStyle name="Normal 23 62" xfId="7553" xr:uid="{00000000-0005-0000-0000-00007D330000}"/>
    <cellStyle name="Normal 23 62 2" xfId="19635" xr:uid="{00000000-0005-0000-0000-00007E330000}"/>
    <cellStyle name="Normal 23 63" xfId="7554" xr:uid="{00000000-0005-0000-0000-00007F330000}"/>
    <cellStyle name="Normal 23 63 2" xfId="19636" xr:uid="{00000000-0005-0000-0000-000080330000}"/>
    <cellStyle name="Normal 23 64" xfId="7555" xr:uid="{00000000-0005-0000-0000-000081330000}"/>
    <cellStyle name="Normal 23 64 2" xfId="19637" xr:uid="{00000000-0005-0000-0000-000082330000}"/>
    <cellStyle name="Normal 23 65" xfId="7556" xr:uid="{00000000-0005-0000-0000-000083330000}"/>
    <cellStyle name="Normal 23 65 2" xfId="19638" xr:uid="{00000000-0005-0000-0000-000084330000}"/>
    <cellStyle name="Normal 23 66" xfId="7557" xr:uid="{00000000-0005-0000-0000-000085330000}"/>
    <cellStyle name="Normal 23 66 2" xfId="19639" xr:uid="{00000000-0005-0000-0000-000086330000}"/>
    <cellStyle name="Normal 23 67" xfId="7558" xr:uid="{00000000-0005-0000-0000-000087330000}"/>
    <cellStyle name="Normal 23 67 2" xfId="19640" xr:uid="{00000000-0005-0000-0000-000088330000}"/>
    <cellStyle name="Normal 23 68" xfId="7559" xr:uid="{00000000-0005-0000-0000-000089330000}"/>
    <cellStyle name="Normal 23 68 2" xfId="19641" xr:uid="{00000000-0005-0000-0000-00008A330000}"/>
    <cellStyle name="Normal 23 69" xfId="7560" xr:uid="{00000000-0005-0000-0000-00008B330000}"/>
    <cellStyle name="Normal 23 69 2" xfId="19642" xr:uid="{00000000-0005-0000-0000-00008C330000}"/>
    <cellStyle name="Normal 23 7" xfId="7561" xr:uid="{00000000-0005-0000-0000-00008D330000}"/>
    <cellStyle name="Normal 23 7 2" xfId="19643" xr:uid="{00000000-0005-0000-0000-00008E330000}"/>
    <cellStyle name="Normal 23 70" xfId="7562" xr:uid="{00000000-0005-0000-0000-00008F330000}"/>
    <cellStyle name="Normal 23 70 2" xfId="19644" xr:uid="{00000000-0005-0000-0000-000090330000}"/>
    <cellStyle name="Normal 23 71" xfId="7563" xr:uid="{00000000-0005-0000-0000-000091330000}"/>
    <cellStyle name="Normal 23 71 2" xfId="19645" xr:uid="{00000000-0005-0000-0000-000092330000}"/>
    <cellStyle name="Normal 23 72" xfId="7564" xr:uid="{00000000-0005-0000-0000-000093330000}"/>
    <cellStyle name="Normal 23 72 2" xfId="19646" xr:uid="{00000000-0005-0000-0000-000094330000}"/>
    <cellStyle name="Normal 23 73" xfId="7565" xr:uid="{00000000-0005-0000-0000-000095330000}"/>
    <cellStyle name="Normal 23 73 2" xfId="19647" xr:uid="{00000000-0005-0000-0000-000096330000}"/>
    <cellStyle name="Normal 23 74" xfId="7566" xr:uid="{00000000-0005-0000-0000-000097330000}"/>
    <cellStyle name="Normal 23 74 2" xfId="19648" xr:uid="{00000000-0005-0000-0000-000098330000}"/>
    <cellStyle name="Normal 23 75" xfId="7567" xr:uid="{00000000-0005-0000-0000-000099330000}"/>
    <cellStyle name="Normal 23 75 2" xfId="19649" xr:uid="{00000000-0005-0000-0000-00009A330000}"/>
    <cellStyle name="Normal 23 76" xfId="7568" xr:uid="{00000000-0005-0000-0000-00009B330000}"/>
    <cellStyle name="Normal 23 76 2" xfId="19650" xr:uid="{00000000-0005-0000-0000-00009C330000}"/>
    <cellStyle name="Normal 23 77" xfId="7569" xr:uid="{00000000-0005-0000-0000-00009D330000}"/>
    <cellStyle name="Normal 23 77 2" xfId="19651" xr:uid="{00000000-0005-0000-0000-00009E330000}"/>
    <cellStyle name="Normal 23 78" xfId="7570" xr:uid="{00000000-0005-0000-0000-00009F330000}"/>
    <cellStyle name="Normal 23 78 2" xfId="19652" xr:uid="{00000000-0005-0000-0000-0000A0330000}"/>
    <cellStyle name="Normal 23 79" xfId="7571" xr:uid="{00000000-0005-0000-0000-0000A1330000}"/>
    <cellStyle name="Normal 23 79 2" xfId="19653" xr:uid="{00000000-0005-0000-0000-0000A2330000}"/>
    <cellStyle name="Normal 23 8" xfId="7572" xr:uid="{00000000-0005-0000-0000-0000A3330000}"/>
    <cellStyle name="Normal 23 8 2" xfId="19654" xr:uid="{00000000-0005-0000-0000-0000A4330000}"/>
    <cellStyle name="Normal 23 80" xfId="7573" xr:uid="{00000000-0005-0000-0000-0000A5330000}"/>
    <cellStyle name="Normal 23 80 2" xfId="19655" xr:uid="{00000000-0005-0000-0000-0000A6330000}"/>
    <cellStyle name="Normal 23 81" xfId="7574" xr:uid="{00000000-0005-0000-0000-0000A7330000}"/>
    <cellStyle name="Normal 23 81 2" xfId="19656" xr:uid="{00000000-0005-0000-0000-0000A8330000}"/>
    <cellStyle name="Normal 23 82" xfId="7575" xr:uid="{00000000-0005-0000-0000-0000A9330000}"/>
    <cellStyle name="Normal 23 82 2" xfId="19657" xr:uid="{00000000-0005-0000-0000-0000AA330000}"/>
    <cellStyle name="Normal 23 83" xfId="19343" xr:uid="{00000000-0005-0000-0000-0000AB330000}"/>
    <cellStyle name="Normal 23 9" xfId="7576" xr:uid="{00000000-0005-0000-0000-0000AC330000}"/>
    <cellStyle name="Normal 23 9 2" xfId="19658" xr:uid="{00000000-0005-0000-0000-0000AD330000}"/>
    <cellStyle name="Normal 230" xfId="571" xr:uid="{00000000-0005-0000-0000-0000AE330000}"/>
    <cellStyle name="Normal 230 2" xfId="668" xr:uid="{00000000-0005-0000-0000-0000AF330000}"/>
    <cellStyle name="Normal 230 3" xfId="1087" xr:uid="{00000000-0005-0000-0000-0000B0330000}"/>
    <cellStyle name="Normal 230 4" xfId="1203" xr:uid="{00000000-0005-0000-0000-0000B1330000}"/>
    <cellStyle name="Normal 230 5" xfId="1177" xr:uid="{00000000-0005-0000-0000-0000B2330000}"/>
    <cellStyle name="Normal 230 6" xfId="1189" xr:uid="{00000000-0005-0000-0000-0000B3330000}"/>
    <cellStyle name="Normal 230 7" xfId="1184" xr:uid="{00000000-0005-0000-0000-0000B4330000}"/>
    <cellStyle name="Normal 230 8" xfId="990" xr:uid="{00000000-0005-0000-0000-0000B5330000}"/>
    <cellStyle name="Normal 230 9" xfId="870" xr:uid="{00000000-0005-0000-0000-0000B6330000}"/>
    <cellStyle name="Normal 231" xfId="28302" xr:uid="{00000000-0005-0000-0000-0000B7330000}"/>
    <cellStyle name="Normal 24" xfId="78" xr:uid="{00000000-0005-0000-0000-0000B8330000}"/>
    <cellStyle name="Normal 24 10" xfId="7577" xr:uid="{00000000-0005-0000-0000-0000B9330000}"/>
    <cellStyle name="Normal 24 10 2" xfId="19660" xr:uid="{00000000-0005-0000-0000-0000BA330000}"/>
    <cellStyle name="Normal 24 11" xfId="7578" xr:uid="{00000000-0005-0000-0000-0000BB330000}"/>
    <cellStyle name="Normal 24 11 2" xfId="19661" xr:uid="{00000000-0005-0000-0000-0000BC330000}"/>
    <cellStyle name="Normal 24 12" xfId="7579" xr:uid="{00000000-0005-0000-0000-0000BD330000}"/>
    <cellStyle name="Normal 24 12 2" xfId="19662" xr:uid="{00000000-0005-0000-0000-0000BE330000}"/>
    <cellStyle name="Normal 24 13" xfId="7580" xr:uid="{00000000-0005-0000-0000-0000BF330000}"/>
    <cellStyle name="Normal 24 13 2" xfId="19663" xr:uid="{00000000-0005-0000-0000-0000C0330000}"/>
    <cellStyle name="Normal 24 14" xfId="7581" xr:uid="{00000000-0005-0000-0000-0000C1330000}"/>
    <cellStyle name="Normal 24 14 2" xfId="19664" xr:uid="{00000000-0005-0000-0000-0000C2330000}"/>
    <cellStyle name="Normal 24 15" xfId="7582" xr:uid="{00000000-0005-0000-0000-0000C3330000}"/>
    <cellStyle name="Normal 24 15 2" xfId="19665" xr:uid="{00000000-0005-0000-0000-0000C4330000}"/>
    <cellStyle name="Normal 24 16" xfId="7583" xr:uid="{00000000-0005-0000-0000-0000C5330000}"/>
    <cellStyle name="Normal 24 16 2" xfId="19666" xr:uid="{00000000-0005-0000-0000-0000C6330000}"/>
    <cellStyle name="Normal 24 17" xfId="7584" xr:uid="{00000000-0005-0000-0000-0000C7330000}"/>
    <cellStyle name="Normal 24 17 2" xfId="19667" xr:uid="{00000000-0005-0000-0000-0000C8330000}"/>
    <cellStyle name="Normal 24 18" xfId="7585" xr:uid="{00000000-0005-0000-0000-0000C9330000}"/>
    <cellStyle name="Normal 24 18 2" xfId="19668" xr:uid="{00000000-0005-0000-0000-0000CA330000}"/>
    <cellStyle name="Normal 24 19" xfId="7586" xr:uid="{00000000-0005-0000-0000-0000CB330000}"/>
    <cellStyle name="Normal 24 19 2" xfId="19669" xr:uid="{00000000-0005-0000-0000-0000CC330000}"/>
    <cellStyle name="Normal 24 2" xfId="783" xr:uid="{00000000-0005-0000-0000-0000CD330000}"/>
    <cellStyle name="Normal 24 2 10" xfId="7587" xr:uid="{00000000-0005-0000-0000-0000CE330000}"/>
    <cellStyle name="Normal 24 2 10 2" xfId="19671" xr:uid="{00000000-0005-0000-0000-0000CF330000}"/>
    <cellStyle name="Normal 24 2 11" xfId="7588" xr:uid="{00000000-0005-0000-0000-0000D0330000}"/>
    <cellStyle name="Normal 24 2 11 2" xfId="19672" xr:uid="{00000000-0005-0000-0000-0000D1330000}"/>
    <cellStyle name="Normal 24 2 12" xfId="7589" xr:uid="{00000000-0005-0000-0000-0000D2330000}"/>
    <cellStyle name="Normal 24 2 12 2" xfId="19673" xr:uid="{00000000-0005-0000-0000-0000D3330000}"/>
    <cellStyle name="Normal 24 2 13" xfId="7590" xr:uid="{00000000-0005-0000-0000-0000D4330000}"/>
    <cellStyle name="Normal 24 2 13 2" xfId="19674" xr:uid="{00000000-0005-0000-0000-0000D5330000}"/>
    <cellStyle name="Normal 24 2 14" xfId="7591" xr:uid="{00000000-0005-0000-0000-0000D6330000}"/>
    <cellStyle name="Normal 24 2 14 2" xfId="19675" xr:uid="{00000000-0005-0000-0000-0000D7330000}"/>
    <cellStyle name="Normal 24 2 15" xfId="7592" xr:uid="{00000000-0005-0000-0000-0000D8330000}"/>
    <cellStyle name="Normal 24 2 15 2" xfId="19676" xr:uid="{00000000-0005-0000-0000-0000D9330000}"/>
    <cellStyle name="Normal 24 2 16" xfId="7593" xr:uid="{00000000-0005-0000-0000-0000DA330000}"/>
    <cellStyle name="Normal 24 2 16 2" xfId="19677" xr:uid="{00000000-0005-0000-0000-0000DB330000}"/>
    <cellStyle name="Normal 24 2 17" xfId="7594" xr:uid="{00000000-0005-0000-0000-0000DC330000}"/>
    <cellStyle name="Normal 24 2 17 2" xfId="19678" xr:uid="{00000000-0005-0000-0000-0000DD330000}"/>
    <cellStyle name="Normal 24 2 18" xfId="7595" xr:uid="{00000000-0005-0000-0000-0000DE330000}"/>
    <cellStyle name="Normal 24 2 18 2" xfId="19679" xr:uid="{00000000-0005-0000-0000-0000DF330000}"/>
    <cellStyle name="Normal 24 2 19" xfId="7596" xr:uid="{00000000-0005-0000-0000-0000E0330000}"/>
    <cellStyle name="Normal 24 2 19 2" xfId="19680" xr:uid="{00000000-0005-0000-0000-0000E1330000}"/>
    <cellStyle name="Normal 24 2 2" xfId="7597" xr:uid="{00000000-0005-0000-0000-0000E2330000}"/>
    <cellStyle name="Normal 24 2 2 2" xfId="19681" xr:uid="{00000000-0005-0000-0000-0000E3330000}"/>
    <cellStyle name="Normal 24 2 20" xfId="7598" xr:uid="{00000000-0005-0000-0000-0000E4330000}"/>
    <cellStyle name="Normal 24 2 20 2" xfId="19682" xr:uid="{00000000-0005-0000-0000-0000E5330000}"/>
    <cellStyle name="Normal 24 2 21" xfId="7599" xr:uid="{00000000-0005-0000-0000-0000E6330000}"/>
    <cellStyle name="Normal 24 2 21 2" xfId="19683" xr:uid="{00000000-0005-0000-0000-0000E7330000}"/>
    <cellStyle name="Normal 24 2 22" xfId="7600" xr:uid="{00000000-0005-0000-0000-0000E8330000}"/>
    <cellStyle name="Normal 24 2 22 2" xfId="19684" xr:uid="{00000000-0005-0000-0000-0000E9330000}"/>
    <cellStyle name="Normal 24 2 23" xfId="7601" xr:uid="{00000000-0005-0000-0000-0000EA330000}"/>
    <cellStyle name="Normal 24 2 23 2" xfId="19685" xr:uid="{00000000-0005-0000-0000-0000EB330000}"/>
    <cellStyle name="Normal 24 2 24" xfId="7602" xr:uid="{00000000-0005-0000-0000-0000EC330000}"/>
    <cellStyle name="Normal 24 2 24 2" xfId="19686" xr:uid="{00000000-0005-0000-0000-0000ED330000}"/>
    <cellStyle name="Normal 24 2 25" xfId="7603" xr:uid="{00000000-0005-0000-0000-0000EE330000}"/>
    <cellStyle name="Normal 24 2 25 2" xfId="19687" xr:uid="{00000000-0005-0000-0000-0000EF330000}"/>
    <cellStyle name="Normal 24 2 26" xfId="7604" xr:uid="{00000000-0005-0000-0000-0000F0330000}"/>
    <cellStyle name="Normal 24 2 26 2" xfId="19688" xr:uid="{00000000-0005-0000-0000-0000F1330000}"/>
    <cellStyle name="Normal 24 2 27" xfId="7605" xr:uid="{00000000-0005-0000-0000-0000F2330000}"/>
    <cellStyle name="Normal 24 2 27 2" xfId="19689" xr:uid="{00000000-0005-0000-0000-0000F3330000}"/>
    <cellStyle name="Normal 24 2 28" xfId="7606" xr:uid="{00000000-0005-0000-0000-0000F4330000}"/>
    <cellStyle name="Normal 24 2 28 2" xfId="19690" xr:uid="{00000000-0005-0000-0000-0000F5330000}"/>
    <cellStyle name="Normal 24 2 29" xfId="7607" xr:uid="{00000000-0005-0000-0000-0000F6330000}"/>
    <cellStyle name="Normal 24 2 29 2" xfId="19691" xr:uid="{00000000-0005-0000-0000-0000F7330000}"/>
    <cellStyle name="Normal 24 2 3" xfId="7608" xr:uid="{00000000-0005-0000-0000-0000F8330000}"/>
    <cellStyle name="Normal 24 2 3 2" xfId="19692" xr:uid="{00000000-0005-0000-0000-0000F9330000}"/>
    <cellStyle name="Normal 24 2 30" xfId="7609" xr:uid="{00000000-0005-0000-0000-0000FA330000}"/>
    <cellStyle name="Normal 24 2 30 2" xfId="19693" xr:uid="{00000000-0005-0000-0000-0000FB330000}"/>
    <cellStyle name="Normal 24 2 31" xfId="7610" xr:uid="{00000000-0005-0000-0000-0000FC330000}"/>
    <cellStyle name="Normal 24 2 31 2" xfId="19694" xr:uid="{00000000-0005-0000-0000-0000FD330000}"/>
    <cellStyle name="Normal 24 2 32" xfId="7611" xr:uid="{00000000-0005-0000-0000-0000FE330000}"/>
    <cellStyle name="Normal 24 2 32 2" xfId="19695" xr:uid="{00000000-0005-0000-0000-0000FF330000}"/>
    <cellStyle name="Normal 24 2 33" xfId="7612" xr:uid="{00000000-0005-0000-0000-000000340000}"/>
    <cellStyle name="Normal 24 2 33 2" xfId="19696" xr:uid="{00000000-0005-0000-0000-000001340000}"/>
    <cellStyle name="Normal 24 2 34" xfId="7613" xr:uid="{00000000-0005-0000-0000-000002340000}"/>
    <cellStyle name="Normal 24 2 34 2" xfId="19697" xr:uid="{00000000-0005-0000-0000-000003340000}"/>
    <cellStyle name="Normal 24 2 35" xfId="7614" xr:uid="{00000000-0005-0000-0000-000004340000}"/>
    <cellStyle name="Normal 24 2 35 2" xfId="19698" xr:uid="{00000000-0005-0000-0000-000005340000}"/>
    <cellStyle name="Normal 24 2 36" xfId="7615" xr:uid="{00000000-0005-0000-0000-000006340000}"/>
    <cellStyle name="Normal 24 2 36 2" xfId="19699" xr:uid="{00000000-0005-0000-0000-000007340000}"/>
    <cellStyle name="Normal 24 2 37" xfId="7616" xr:uid="{00000000-0005-0000-0000-000008340000}"/>
    <cellStyle name="Normal 24 2 37 2" xfId="19700" xr:uid="{00000000-0005-0000-0000-000009340000}"/>
    <cellStyle name="Normal 24 2 38" xfId="7617" xr:uid="{00000000-0005-0000-0000-00000A340000}"/>
    <cellStyle name="Normal 24 2 38 2" xfId="19701" xr:uid="{00000000-0005-0000-0000-00000B340000}"/>
    <cellStyle name="Normal 24 2 39" xfId="7618" xr:uid="{00000000-0005-0000-0000-00000C340000}"/>
    <cellStyle name="Normal 24 2 39 2" xfId="19702" xr:uid="{00000000-0005-0000-0000-00000D340000}"/>
    <cellStyle name="Normal 24 2 4" xfId="7619" xr:uid="{00000000-0005-0000-0000-00000E340000}"/>
    <cellStyle name="Normal 24 2 4 2" xfId="19703" xr:uid="{00000000-0005-0000-0000-00000F340000}"/>
    <cellStyle name="Normal 24 2 40" xfId="7620" xr:uid="{00000000-0005-0000-0000-000010340000}"/>
    <cellStyle name="Normal 24 2 40 2" xfId="19704" xr:uid="{00000000-0005-0000-0000-000011340000}"/>
    <cellStyle name="Normal 24 2 41" xfId="7621" xr:uid="{00000000-0005-0000-0000-000012340000}"/>
    <cellStyle name="Normal 24 2 41 2" xfId="19705" xr:uid="{00000000-0005-0000-0000-000013340000}"/>
    <cellStyle name="Normal 24 2 42" xfId="7622" xr:uid="{00000000-0005-0000-0000-000014340000}"/>
    <cellStyle name="Normal 24 2 42 2" xfId="19706" xr:uid="{00000000-0005-0000-0000-000015340000}"/>
    <cellStyle name="Normal 24 2 43" xfId="7623" xr:uid="{00000000-0005-0000-0000-000016340000}"/>
    <cellStyle name="Normal 24 2 43 2" xfId="19707" xr:uid="{00000000-0005-0000-0000-000017340000}"/>
    <cellStyle name="Normal 24 2 44" xfId="7624" xr:uid="{00000000-0005-0000-0000-000018340000}"/>
    <cellStyle name="Normal 24 2 44 2" xfId="19708" xr:uid="{00000000-0005-0000-0000-000019340000}"/>
    <cellStyle name="Normal 24 2 45" xfId="7625" xr:uid="{00000000-0005-0000-0000-00001A340000}"/>
    <cellStyle name="Normal 24 2 45 2" xfId="19709" xr:uid="{00000000-0005-0000-0000-00001B340000}"/>
    <cellStyle name="Normal 24 2 46" xfId="7626" xr:uid="{00000000-0005-0000-0000-00001C340000}"/>
    <cellStyle name="Normal 24 2 46 2" xfId="19710" xr:uid="{00000000-0005-0000-0000-00001D340000}"/>
    <cellStyle name="Normal 24 2 47" xfId="7627" xr:uid="{00000000-0005-0000-0000-00001E340000}"/>
    <cellStyle name="Normal 24 2 47 2" xfId="19711" xr:uid="{00000000-0005-0000-0000-00001F340000}"/>
    <cellStyle name="Normal 24 2 48" xfId="7628" xr:uid="{00000000-0005-0000-0000-000020340000}"/>
    <cellStyle name="Normal 24 2 48 2" xfId="19712" xr:uid="{00000000-0005-0000-0000-000021340000}"/>
    <cellStyle name="Normal 24 2 49" xfId="7629" xr:uid="{00000000-0005-0000-0000-000022340000}"/>
    <cellStyle name="Normal 24 2 49 2" xfId="19713" xr:uid="{00000000-0005-0000-0000-000023340000}"/>
    <cellStyle name="Normal 24 2 5" xfId="7630" xr:uid="{00000000-0005-0000-0000-000024340000}"/>
    <cellStyle name="Normal 24 2 5 2" xfId="19714" xr:uid="{00000000-0005-0000-0000-000025340000}"/>
    <cellStyle name="Normal 24 2 50" xfId="7631" xr:uid="{00000000-0005-0000-0000-000026340000}"/>
    <cellStyle name="Normal 24 2 50 2" xfId="19715" xr:uid="{00000000-0005-0000-0000-000027340000}"/>
    <cellStyle name="Normal 24 2 51" xfId="7632" xr:uid="{00000000-0005-0000-0000-000028340000}"/>
    <cellStyle name="Normal 24 2 51 2" xfId="19716" xr:uid="{00000000-0005-0000-0000-000029340000}"/>
    <cellStyle name="Normal 24 2 52" xfId="7633" xr:uid="{00000000-0005-0000-0000-00002A340000}"/>
    <cellStyle name="Normal 24 2 52 2" xfId="19717" xr:uid="{00000000-0005-0000-0000-00002B340000}"/>
    <cellStyle name="Normal 24 2 53" xfId="7634" xr:uid="{00000000-0005-0000-0000-00002C340000}"/>
    <cellStyle name="Normal 24 2 53 2" xfId="19718" xr:uid="{00000000-0005-0000-0000-00002D340000}"/>
    <cellStyle name="Normal 24 2 54" xfId="7635" xr:uid="{00000000-0005-0000-0000-00002E340000}"/>
    <cellStyle name="Normal 24 2 54 2" xfId="19719" xr:uid="{00000000-0005-0000-0000-00002F340000}"/>
    <cellStyle name="Normal 24 2 55" xfId="7636" xr:uid="{00000000-0005-0000-0000-000030340000}"/>
    <cellStyle name="Normal 24 2 55 2" xfId="19720" xr:uid="{00000000-0005-0000-0000-000031340000}"/>
    <cellStyle name="Normal 24 2 56" xfId="7637" xr:uid="{00000000-0005-0000-0000-000032340000}"/>
    <cellStyle name="Normal 24 2 56 2" xfId="19721" xr:uid="{00000000-0005-0000-0000-000033340000}"/>
    <cellStyle name="Normal 24 2 57" xfId="7638" xr:uid="{00000000-0005-0000-0000-000034340000}"/>
    <cellStyle name="Normal 24 2 57 2" xfId="19722" xr:uid="{00000000-0005-0000-0000-000035340000}"/>
    <cellStyle name="Normal 24 2 58" xfId="7639" xr:uid="{00000000-0005-0000-0000-000036340000}"/>
    <cellStyle name="Normal 24 2 58 2" xfId="19723" xr:uid="{00000000-0005-0000-0000-000037340000}"/>
    <cellStyle name="Normal 24 2 59" xfId="7640" xr:uid="{00000000-0005-0000-0000-000038340000}"/>
    <cellStyle name="Normal 24 2 59 2" xfId="19724" xr:uid="{00000000-0005-0000-0000-000039340000}"/>
    <cellStyle name="Normal 24 2 6" xfId="7641" xr:uid="{00000000-0005-0000-0000-00003A340000}"/>
    <cellStyle name="Normal 24 2 6 2" xfId="19725" xr:uid="{00000000-0005-0000-0000-00003B340000}"/>
    <cellStyle name="Normal 24 2 60" xfId="7642" xr:uid="{00000000-0005-0000-0000-00003C340000}"/>
    <cellStyle name="Normal 24 2 60 2" xfId="19726" xr:uid="{00000000-0005-0000-0000-00003D340000}"/>
    <cellStyle name="Normal 24 2 61" xfId="7643" xr:uid="{00000000-0005-0000-0000-00003E340000}"/>
    <cellStyle name="Normal 24 2 61 2" xfId="19727" xr:uid="{00000000-0005-0000-0000-00003F340000}"/>
    <cellStyle name="Normal 24 2 62" xfId="7644" xr:uid="{00000000-0005-0000-0000-000040340000}"/>
    <cellStyle name="Normal 24 2 62 2" xfId="19728" xr:uid="{00000000-0005-0000-0000-000041340000}"/>
    <cellStyle name="Normal 24 2 63" xfId="7645" xr:uid="{00000000-0005-0000-0000-000042340000}"/>
    <cellStyle name="Normal 24 2 63 2" xfId="19729" xr:uid="{00000000-0005-0000-0000-000043340000}"/>
    <cellStyle name="Normal 24 2 64" xfId="7646" xr:uid="{00000000-0005-0000-0000-000044340000}"/>
    <cellStyle name="Normal 24 2 64 2" xfId="19730" xr:uid="{00000000-0005-0000-0000-000045340000}"/>
    <cellStyle name="Normal 24 2 65" xfId="7647" xr:uid="{00000000-0005-0000-0000-000046340000}"/>
    <cellStyle name="Normal 24 2 65 2" xfId="19731" xr:uid="{00000000-0005-0000-0000-000047340000}"/>
    <cellStyle name="Normal 24 2 66" xfId="7648" xr:uid="{00000000-0005-0000-0000-000048340000}"/>
    <cellStyle name="Normal 24 2 66 2" xfId="19732" xr:uid="{00000000-0005-0000-0000-000049340000}"/>
    <cellStyle name="Normal 24 2 67" xfId="7649" xr:uid="{00000000-0005-0000-0000-00004A340000}"/>
    <cellStyle name="Normal 24 2 67 2" xfId="19733" xr:uid="{00000000-0005-0000-0000-00004B340000}"/>
    <cellStyle name="Normal 24 2 68" xfId="7650" xr:uid="{00000000-0005-0000-0000-00004C340000}"/>
    <cellStyle name="Normal 24 2 68 2" xfId="19734" xr:uid="{00000000-0005-0000-0000-00004D340000}"/>
    <cellStyle name="Normal 24 2 69" xfId="7651" xr:uid="{00000000-0005-0000-0000-00004E340000}"/>
    <cellStyle name="Normal 24 2 69 2" xfId="19735" xr:uid="{00000000-0005-0000-0000-00004F340000}"/>
    <cellStyle name="Normal 24 2 7" xfId="7652" xr:uid="{00000000-0005-0000-0000-000050340000}"/>
    <cellStyle name="Normal 24 2 7 2" xfId="19736" xr:uid="{00000000-0005-0000-0000-000051340000}"/>
    <cellStyle name="Normal 24 2 70" xfId="7653" xr:uid="{00000000-0005-0000-0000-000052340000}"/>
    <cellStyle name="Normal 24 2 70 2" xfId="19737" xr:uid="{00000000-0005-0000-0000-000053340000}"/>
    <cellStyle name="Normal 24 2 71" xfId="7654" xr:uid="{00000000-0005-0000-0000-000054340000}"/>
    <cellStyle name="Normal 24 2 71 2" xfId="19738" xr:uid="{00000000-0005-0000-0000-000055340000}"/>
    <cellStyle name="Normal 24 2 72" xfId="7655" xr:uid="{00000000-0005-0000-0000-000056340000}"/>
    <cellStyle name="Normal 24 2 72 2" xfId="19739" xr:uid="{00000000-0005-0000-0000-000057340000}"/>
    <cellStyle name="Normal 24 2 73" xfId="7656" xr:uid="{00000000-0005-0000-0000-000058340000}"/>
    <cellStyle name="Normal 24 2 73 2" xfId="19740" xr:uid="{00000000-0005-0000-0000-000059340000}"/>
    <cellStyle name="Normal 24 2 74" xfId="7657" xr:uid="{00000000-0005-0000-0000-00005A340000}"/>
    <cellStyle name="Normal 24 2 74 2" xfId="19741" xr:uid="{00000000-0005-0000-0000-00005B340000}"/>
    <cellStyle name="Normal 24 2 75" xfId="7658" xr:uid="{00000000-0005-0000-0000-00005C340000}"/>
    <cellStyle name="Normal 24 2 75 2" xfId="19742" xr:uid="{00000000-0005-0000-0000-00005D340000}"/>
    <cellStyle name="Normal 24 2 76" xfId="7659" xr:uid="{00000000-0005-0000-0000-00005E340000}"/>
    <cellStyle name="Normal 24 2 76 2" xfId="19743" xr:uid="{00000000-0005-0000-0000-00005F340000}"/>
    <cellStyle name="Normal 24 2 77" xfId="7660" xr:uid="{00000000-0005-0000-0000-000060340000}"/>
    <cellStyle name="Normal 24 2 77 2" xfId="19744" xr:uid="{00000000-0005-0000-0000-000061340000}"/>
    <cellStyle name="Normal 24 2 78" xfId="7661" xr:uid="{00000000-0005-0000-0000-000062340000}"/>
    <cellStyle name="Normal 24 2 78 2" xfId="19745" xr:uid="{00000000-0005-0000-0000-000063340000}"/>
    <cellStyle name="Normal 24 2 79" xfId="7662" xr:uid="{00000000-0005-0000-0000-000064340000}"/>
    <cellStyle name="Normal 24 2 79 2" xfId="19746" xr:uid="{00000000-0005-0000-0000-000065340000}"/>
    <cellStyle name="Normal 24 2 8" xfId="7663" xr:uid="{00000000-0005-0000-0000-000066340000}"/>
    <cellStyle name="Normal 24 2 8 2" xfId="19747" xr:uid="{00000000-0005-0000-0000-000067340000}"/>
    <cellStyle name="Normal 24 2 80" xfId="19670" xr:uid="{00000000-0005-0000-0000-000068340000}"/>
    <cellStyle name="Normal 24 2 9" xfId="7664" xr:uid="{00000000-0005-0000-0000-000069340000}"/>
    <cellStyle name="Normal 24 2 9 2" xfId="19748" xr:uid="{00000000-0005-0000-0000-00006A340000}"/>
    <cellStyle name="Normal 24 20" xfId="7665" xr:uid="{00000000-0005-0000-0000-00006B340000}"/>
    <cellStyle name="Normal 24 20 2" xfId="19749" xr:uid="{00000000-0005-0000-0000-00006C340000}"/>
    <cellStyle name="Normal 24 21" xfId="7666" xr:uid="{00000000-0005-0000-0000-00006D340000}"/>
    <cellStyle name="Normal 24 21 2" xfId="19750" xr:uid="{00000000-0005-0000-0000-00006E340000}"/>
    <cellStyle name="Normal 24 22" xfId="7667" xr:uid="{00000000-0005-0000-0000-00006F340000}"/>
    <cellStyle name="Normal 24 22 2" xfId="19751" xr:uid="{00000000-0005-0000-0000-000070340000}"/>
    <cellStyle name="Normal 24 23" xfId="7668" xr:uid="{00000000-0005-0000-0000-000071340000}"/>
    <cellStyle name="Normal 24 23 2" xfId="19752" xr:uid="{00000000-0005-0000-0000-000072340000}"/>
    <cellStyle name="Normal 24 24" xfId="7669" xr:uid="{00000000-0005-0000-0000-000073340000}"/>
    <cellStyle name="Normal 24 24 2" xfId="19753" xr:uid="{00000000-0005-0000-0000-000074340000}"/>
    <cellStyle name="Normal 24 25" xfId="7670" xr:uid="{00000000-0005-0000-0000-000075340000}"/>
    <cellStyle name="Normal 24 25 2" xfId="19754" xr:uid="{00000000-0005-0000-0000-000076340000}"/>
    <cellStyle name="Normal 24 26" xfId="7671" xr:uid="{00000000-0005-0000-0000-000077340000}"/>
    <cellStyle name="Normal 24 26 2" xfId="19755" xr:uid="{00000000-0005-0000-0000-000078340000}"/>
    <cellStyle name="Normal 24 27" xfId="7672" xr:uid="{00000000-0005-0000-0000-000079340000}"/>
    <cellStyle name="Normal 24 27 2" xfId="19756" xr:uid="{00000000-0005-0000-0000-00007A340000}"/>
    <cellStyle name="Normal 24 28" xfId="7673" xr:uid="{00000000-0005-0000-0000-00007B340000}"/>
    <cellStyle name="Normal 24 28 2" xfId="19757" xr:uid="{00000000-0005-0000-0000-00007C340000}"/>
    <cellStyle name="Normal 24 29" xfId="7674" xr:uid="{00000000-0005-0000-0000-00007D340000}"/>
    <cellStyle name="Normal 24 29 2" xfId="19758" xr:uid="{00000000-0005-0000-0000-00007E340000}"/>
    <cellStyle name="Normal 24 3" xfId="712" xr:uid="{00000000-0005-0000-0000-00007F340000}"/>
    <cellStyle name="Normal 24 3 10" xfId="7676" xr:uid="{00000000-0005-0000-0000-000080340000}"/>
    <cellStyle name="Normal 24 3 10 2" xfId="19760" xr:uid="{00000000-0005-0000-0000-000081340000}"/>
    <cellStyle name="Normal 24 3 11" xfId="7677" xr:uid="{00000000-0005-0000-0000-000082340000}"/>
    <cellStyle name="Normal 24 3 11 2" xfId="19761" xr:uid="{00000000-0005-0000-0000-000083340000}"/>
    <cellStyle name="Normal 24 3 12" xfId="7678" xr:uid="{00000000-0005-0000-0000-000084340000}"/>
    <cellStyle name="Normal 24 3 12 2" xfId="19762" xr:uid="{00000000-0005-0000-0000-000085340000}"/>
    <cellStyle name="Normal 24 3 13" xfId="7679" xr:uid="{00000000-0005-0000-0000-000086340000}"/>
    <cellStyle name="Normal 24 3 13 2" xfId="19763" xr:uid="{00000000-0005-0000-0000-000087340000}"/>
    <cellStyle name="Normal 24 3 14" xfId="7680" xr:uid="{00000000-0005-0000-0000-000088340000}"/>
    <cellStyle name="Normal 24 3 14 2" xfId="19764" xr:uid="{00000000-0005-0000-0000-000089340000}"/>
    <cellStyle name="Normal 24 3 15" xfId="7681" xr:uid="{00000000-0005-0000-0000-00008A340000}"/>
    <cellStyle name="Normal 24 3 15 2" xfId="19765" xr:uid="{00000000-0005-0000-0000-00008B340000}"/>
    <cellStyle name="Normal 24 3 16" xfId="7682" xr:uid="{00000000-0005-0000-0000-00008C340000}"/>
    <cellStyle name="Normal 24 3 16 2" xfId="19766" xr:uid="{00000000-0005-0000-0000-00008D340000}"/>
    <cellStyle name="Normal 24 3 17" xfId="7683" xr:uid="{00000000-0005-0000-0000-00008E340000}"/>
    <cellStyle name="Normal 24 3 17 2" xfId="19767" xr:uid="{00000000-0005-0000-0000-00008F340000}"/>
    <cellStyle name="Normal 24 3 18" xfId="7684" xr:uid="{00000000-0005-0000-0000-000090340000}"/>
    <cellStyle name="Normal 24 3 18 2" xfId="19768" xr:uid="{00000000-0005-0000-0000-000091340000}"/>
    <cellStyle name="Normal 24 3 19" xfId="7685" xr:uid="{00000000-0005-0000-0000-000092340000}"/>
    <cellStyle name="Normal 24 3 19 2" xfId="19769" xr:uid="{00000000-0005-0000-0000-000093340000}"/>
    <cellStyle name="Normal 24 3 2" xfId="7686" xr:uid="{00000000-0005-0000-0000-000094340000}"/>
    <cellStyle name="Normal 24 3 2 2" xfId="19770" xr:uid="{00000000-0005-0000-0000-000095340000}"/>
    <cellStyle name="Normal 24 3 20" xfId="7687" xr:uid="{00000000-0005-0000-0000-000096340000}"/>
    <cellStyle name="Normal 24 3 20 2" xfId="19771" xr:uid="{00000000-0005-0000-0000-000097340000}"/>
    <cellStyle name="Normal 24 3 21" xfId="7688" xr:uid="{00000000-0005-0000-0000-000098340000}"/>
    <cellStyle name="Normal 24 3 21 2" xfId="19772" xr:uid="{00000000-0005-0000-0000-000099340000}"/>
    <cellStyle name="Normal 24 3 22" xfId="7689" xr:uid="{00000000-0005-0000-0000-00009A340000}"/>
    <cellStyle name="Normal 24 3 22 2" xfId="19773" xr:uid="{00000000-0005-0000-0000-00009B340000}"/>
    <cellStyle name="Normal 24 3 23" xfId="7690" xr:uid="{00000000-0005-0000-0000-00009C340000}"/>
    <cellStyle name="Normal 24 3 23 2" xfId="19774" xr:uid="{00000000-0005-0000-0000-00009D340000}"/>
    <cellStyle name="Normal 24 3 24" xfId="7691" xr:uid="{00000000-0005-0000-0000-00009E340000}"/>
    <cellStyle name="Normal 24 3 24 2" xfId="19775" xr:uid="{00000000-0005-0000-0000-00009F340000}"/>
    <cellStyle name="Normal 24 3 25" xfId="7692" xr:uid="{00000000-0005-0000-0000-0000A0340000}"/>
    <cellStyle name="Normal 24 3 25 2" xfId="19776" xr:uid="{00000000-0005-0000-0000-0000A1340000}"/>
    <cellStyle name="Normal 24 3 26" xfId="7693" xr:uid="{00000000-0005-0000-0000-0000A2340000}"/>
    <cellStyle name="Normal 24 3 26 2" xfId="19777" xr:uid="{00000000-0005-0000-0000-0000A3340000}"/>
    <cellStyle name="Normal 24 3 27" xfId="7694" xr:uid="{00000000-0005-0000-0000-0000A4340000}"/>
    <cellStyle name="Normal 24 3 27 2" xfId="19778" xr:uid="{00000000-0005-0000-0000-0000A5340000}"/>
    <cellStyle name="Normal 24 3 28" xfId="7695" xr:uid="{00000000-0005-0000-0000-0000A6340000}"/>
    <cellStyle name="Normal 24 3 28 2" xfId="19779" xr:uid="{00000000-0005-0000-0000-0000A7340000}"/>
    <cellStyle name="Normal 24 3 29" xfId="7696" xr:uid="{00000000-0005-0000-0000-0000A8340000}"/>
    <cellStyle name="Normal 24 3 29 2" xfId="19780" xr:uid="{00000000-0005-0000-0000-0000A9340000}"/>
    <cellStyle name="Normal 24 3 3" xfId="7697" xr:uid="{00000000-0005-0000-0000-0000AA340000}"/>
    <cellStyle name="Normal 24 3 3 2" xfId="19781" xr:uid="{00000000-0005-0000-0000-0000AB340000}"/>
    <cellStyle name="Normal 24 3 30" xfId="7698" xr:uid="{00000000-0005-0000-0000-0000AC340000}"/>
    <cellStyle name="Normal 24 3 30 2" xfId="19782" xr:uid="{00000000-0005-0000-0000-0000AD340000}"/>
    <cellStyle name="Normal 24 3 31" xfId="7699" xr:uid="{00000000-0005-0000-0000-0000AE340000}"/>
    <cellStyle name="Normal 24 3 31 2" xfId="19783" xr:uid="{00000000-0005-0000-0000-0000AF340000}"/>
    <cellStyle name="Normal 24 3 32" xfId="7700" xr:uid="{00000000-0005-0000-0000-0000B0340000}"/>
    <cellStyle name="Normal 24 3 32 2" xfId="19784" xr:uid="{00000000-0005-0000-0000-0000B1340000}"/>
    <cellStyle name="Normal 24 3 33" xfId="7701" xr:uid="{00000000-0005-0000-0000-0000B2340000}"/>
    <cellStyle name="Normal 24 3 33 2" xfId="19785" xr:uid="{00000000-0005-0000-0000-0000B3340000}"/>
    <cellStyle name="Normal 24 3 34" xfId="7702" xr:uid="{00000000-0005-0000-0000-0000B4340000}"/>
    <cellStyle name="Normal 24 3 34 2" xfId="19786" xr:uid="{00000000-0005-0000-0000-0000B5340000}"/>
    <cellStyle name="Normal 24 3 35" xfId="7703" xr:uid="{00000000-0005-0000-0000-0000B6340000}"/>
    <cellStyle name="Normal 24 3 35 2" xfId="19787" xr:uid="{00000000-0005-0000-0000-0000B7340000}"/>
    <cellStyle name="Normal 24 3 36" xfId="7704" xr:uid="{00000000-0005-0000-0000-0000B8340000}"/>
    <cellStyle name="Normal 24 3 36 2" xfId="19788" xr:uid="{00000000-0005-0000-0000-0000B9340000}"/>
    <cellStyle name="Normal 24 3 37" xfId="7705" xr:uid="{00000000-0005-0000-0000-0000BA340000}"/>
    <cellStyle name="Normal 24 3 37 2" xfId="19789" xr:uid="{00000000-0005-0000-0000-0000BB340000}"/>
    <cellStyle name="Normal 24 3 38" xfId="7706" xr:uid="{00000000-0005-0000-0000-0000BC340000}"/>
    <cellStyle name="Normal 24 3 38 2" xfId="19790" xr:uid="{00000000-0005-0000-0000-0000BD340000}"/>
    <cellStyle name="Normal 24 3 39" xfId="7707" xr:uid="{00000000-0005-0000-0000-0000BE340000}"/>
    <cellStyle name="Normal 24 3 39 2" xfId="19791" xr:uid="{00000000-0005-0000-0000-0000BF340000}"/>
    <cellStyle name="Normal 24 3 4" xfId="7708" xr:uid="{00000000-0005-0000-0000-0000C0340000}"/>
    <cellStyle name="Normal 24 3 4 2" xfId="19792" xr:uid="{00000000-0005-0000-0000-0000C1340000}"/>
    <cellStyle name="Normal 24 3 40" xfId="7709" xr:uid="{00000000-0005-0000-0000-0000C2340000}"/>
    <cellStyle name="Normal 24 3 40 2" xfId="19793" xr:uid="{00000000-0005-0000-0000-0000C3340000}"/>
    <cellStyle name="Normal 24 3 41" xfId="7710" xr:uid="{00000000-0005-0000-0000-0000C4340000}"/>
    <cellStyle name="Normal 24 3 41 2" xfId="19794" xr:uid="{00000000-0005-0000-0000-0000C5340000}"/>
    <cellStyle name="Normal 24 3 42" xfId="7711" xr:uid="{00000000-0005-0000-0000-0000C6340000}"/>
    <cellStyle name="Normal 24 3 42 2" xfId="19795" xr:uid="{00000000-0005-0000-0000-0000C7340000}"/>
    <cellStyle name="Normal 24 3 43" xfId="7712" xr:uid="{00000000-0005-0000-0000-0000C8340000}"/>
    <cellStyle name="Normal 24 3 43 2" xfId="19796" xr:uid="{00000000-0005-0000-0000-0000C9340000}"/>
    <cellStyle name="Normal 24 3 44" xfId="7713" xr:uid="{00000000-0005-0000-0000-0000CA340000}"/>
    <cellStyle name="Normal 24 3 44 2" xfId="19797" xr:uid="{00000000-0005-0000-0000-0000CB340000}"/>
    <cellStyle name="Normal 24 3 45" xfId="7714" xr:uid="{00000000-0005-0000-0000-0000CC340000}"/>
    <cellStyle name="Normal 24 3 45 2" xfId="19798" xr:uid="{00000000-0005-0000-0000-0000CD340000}"/>
    <cellStyle name="Normal 24 3 46" xfId="7715" xr:uid="{00000000-0005-0000-0000-0000CE340000}"/>
    <cellStyle name="Normal 24 3 46 2" xfId="19799" xr:uid="{00000000-0005-0000-0000-0000CF340000}"/>
    <cellStyle name="Normal 24 3 47" xfId="7716" xr:uid="{00000000-0005-0000-0000-0000D0340000}"/>
    <cellStyle name="Normal 24 3 47 2" xfId="19800" xr:uid="{00000000-0005-0000-0000-0000D1340000}"/>
    <cellStyle name="Normal 24 3 48" xfId="7717" xr:uid="{00000000-0005-0000-0000-0000D2340000}"/>
    <cellStyle name="Normal 24 3 48 2" xfId="19801" xr:uid="{00000000-0005-0000-0000-0000D3340000}"/>
    <cellStyle name="Normal 24 3 49" xfId="7718" xr:uid="{00000000-0005-0000-0000-0000D4340000}"/>
    <cellStyle name="Normal 24 3 49 2" xfId="19802" xr:uid="{00000000-0005-0000-0000-0000D5340000}"/>
    <cellStyle name="Normal 24 3 5" xfId="7719" xr:uid="{00000000-0005-0000-0000-0000D6340000}"/>
    <cellStyle name="Normal 24 3 5 2" xfId="19803" xr:uid="{00000000-0005-0000-0000-0000D7340000}"/>
    <cellStyle name="Normal 24 3 50" xfId="7720" xr:uid="{00000000-0005-0000-0000-0000D8340000}"/>
    <cellStyle name="Normal 24 3 50 2" xfId="19804" xr:uid="{00000000-0005-0000-0000-0000D9340000}"/>
    <cellStyle name="Normal 24 3 51" xfId="7721" xr:uid="{00000000-0005-0000-0000-0000DA340000}"/>
    <cellStyle name="Normal 24 3 51 2" xfId="19805" xr:uid="{00000000-0005-0000-0000-0000DB340000}"/>
    <cellStyle name="Normal 24 3 52" xfId="7722" xr:uid="{00000000-0005-0000-0000-0000DC340000}"/>
    <cellStyle name="Normal 24 3 52 2" xfId="19806" xr:uid="{00000000-0005-0000-0000-0000DD340000}"/>
    <cellStyle name="Normal 24 3 53" xfId="7723" xr:uid="{00000000-0005-0000-0000-0000DE340000}"/>
    <cellStyle name="Normal 24 3 53 2" xfId="19807" xr:uid="{00000000-0005-0000-0000-0000DF340000}"/>
    <cellStyle name="Normal 24 3 54" xfId="7724" xr:uid="{00000000-0005-0000-0000-0000E0340000}"/>
    <cellStyle name="Normal 24 3 54 2" xfId="19808" xr:uid="{00000000-0005-0000-0000-0000E1340000}"/>
    <cellStyle name="Normal 24 3 55" xfId="7725" xr:uid="{00000000-0005-0000-0000-0000E2340000}"/>
    <cellStyle name="Normal 24 3 55 2" xfId="19809" xr:uid="{00000000-0005-0000-0000-0000E3340000}"/>
    <cellStyle name="Normal 24 3 56" xfId="7726" xr:uid="{00000000-0005-0000-0000-0000E4340000}"/>
    <cellStyle name="Normal 24 3 56 2" xfId="19810" xr:uid="{00000000-0005-0000-0000-0000E5340000}"/>
    <cellStyle name="Normal 24 3 57" xfId="7727" xr:uid="{00000000-0005-0000-0000-0000E6340000}"/>
    <cellStyle name="Normal 24 3 57 2" xfId="19811" xr:uid="{00000000-0005-0000-0000-0000E7340000}"/>
    <cellStyle name="Normal 24 3 58" xfId="7728" xr:uid="{00000000-0005-0000-0000-0000E8340000}"/>
    <cellStyle name="Normal 24 3 58 2" xfId="19812" xr:uid="{00000000-0005-0000-0000-0000E9340000}"/>
    <cellStyle name="Normal 24 3 59" xfId="7729" xr:uid="{00000000-0005-0000-0000-0000EA340000}"/>
    <cellStyle name="Normal 24 3 59 2" xfId="19813" xr:uid="{00000000-0005-0000-0000-0000EB340000}"/>
    <cellStyle name="Normal 24 3 6" xfId="7730" xr:uid="{00000000-0005-0000-0000-0000EC340000}"/>
    <cellStyle name="Normal 24 3 6 2" xfId="19814" xr:uid="{00000000-0005-0000-0000-0000ED340000}"/>
    <cellStyle name="Normal 24 3 60" xfId="7731" xr:uid="{00000000-0005-0000-0000-0000EE340000}"/>
    <cellStyle name="Normal 24 3 60 2" xfId="19815" xr:uid="{00000000-0005-0000-0000-0000EF340000}"/>
    <cellStyle name="Normal 24 3 61" xfId="7732" xr:uid="{00000000-0005-0000-0000-0000F0340000}"/>
    <cellStyle name="Normal 24 3 61 2" xfId="19816" xr:uid="{00000000-0005-0000-0000-0000F1340000}"/>
    <cellStyle name="Normal 24 3 62" xfId="7733" xr:uid="{00000000-0005-0000-0000-0000F2340000}"/>
    <cellStyle name="Normal 24 3 62 2" xfId="19817" xr:uid="{00000000-0005-0000-0000-0000F3340000}"/>
    <cellStyle name="Normal 24 3 63" xfId="7734" xr:uid="{00000000-0005-0000-0000-0000F4340000}"/>
    <cellStyle name="Normal 24 3 63 2" xfId="19818" xr:uid="{00000000-0005-0000-0000-0000F5340000}"/>
    <cellStyle name="Normal 24 3 64" xfId="7735" xr:uid="{00000000-0005-0000-0000-0000F6340000}"/>
    <cellStyle name="Normal 24 3 64 2" xfId="19819" xr:uid="{00000000-0005-0000-0000-0000F7340000}"/>
    <cellStyle name="Normal 24 3 65" xfId="7736" xr:uid="{00000000-0005-0000-0000-0000F8340000}"/>
    <cellStyle name="Normal 24 3 65 2" xfId="19820" xr:uid="{00000000-0005-0000-0000-0000F9340000}"/>
    <cellStyle name="Normal 24 3 66" xfId="7737" xr:uid="{00000000-0005-0000-0000-0000FA340000}"/>
    <cellStyle name="Normal 24 3 66 2" xfId="19821" xr:uid="{00000000-0005-0000-0000-0000FB340000}"/>
    <cellStyle name="Normal 24 3 67" xfId="7738" xr:uid="{00000000-0005-0000-0000-0000FC340000}"/>
    <cellStyle name="Normal 24 3 67 2" xfId="19822" xr:uid="{00000000-0005-0000-0000-0000FD340000}"/>
    <cellStyle name="Normal 24 3 68" xfId="7739" xr:uid="{00000000-0005-0000-0000-0000FE340000}"/>
    <cellStyle name="Normal 24 3 68 2" xfId="19823" xr:uid="{00000000-0005-0000-0000-0000FF340000}"/>
    <cellStyle name="Normal 24 3 69" xfId="7740" xr:uid="{00000000-0005-0000-0000-000000350000}"/>
    <cellStyle name="Normal 24 3 69 2" xfId="19824" xr:uid="{00000000-0005-0000-0000-000001350000}"/>
    <cellStyle name="Normal 24 3 7" xfId="7741" xr:uid="{00000000-0005-0000-0000-000002350000}"/>
    <cellStyle name="Normal 24 3 7 2" xfId="19825" xr:uid="{00000000-0005-0000-0000-000003350000}"/>
    <cellStyle name="Normal 24 3 70" xfId="7742" xr:uid="{00000000-0005-0000-0000-000004350000}"/>
    <cellStyle name="Normal 24 3 70 2" xfId="19826" xr:uid="{00000000-0005-0000-0000-000005350000}"/>
    <cellStyle name="Normal 24 3 71" xfId="7743" xr:uid="{00000000-0005-0000-0000-000006350000}"/>
    <cellStyle name="Normal 24 3 71 2" xfId="19827" xr:uid="{00000000-0005-0000-0000-000007350000}"/>
    <cellStyle name="Normal 24 3 72" xfId="7744" xr:uid="{00000000-0005-0000-0000-000008350000}"/>
    <cellStyle name="Normal 24 3 72 2" xfId="19828" xr:uid="{00000000-0005-0000-0000-000009350000}"/>
    <cellStyle name="Normal 24 3 73" xfId="7745" xr:uid="{00000000-0005-0000-0000-00000A350000}"/>
    <cellStyle name="Normal 24 3 73 2" xfId="19829" xr:uid="{00000000-0005-0000-0000-00000B350000}"/>
    <cellStyle name="Normal 24 3 74" xfId="7746" xr:uid="{00000000-0005-0000-0000-00000C350000}"/>
    <cellStyle name="Normal 24 3 74 2" xfId="19830" xr:uid="{00000000-0005-0000-0000-00000D350000}"/>
    <cellStyle name="Normal 24 3 75" xfId="7747" xr:uid="{00000000-0005-0000-0000-00000E350000}"/>
    <cellStyle name="Normal 24 3 75 2" xfId="19831" xr:uid="{00000000-0005-0000-0000-00000F350000}"/>
    <cellStyle name="Normal 24 3 76" xfId="7748" xr:uid="{00000000-0005-0000-0000-000010350000}"/>
    <cellStyle name="Normal 24 3 76 2" xfId="19832" xr:uid="{00000000-0005-0000-0000-000011350000}"/>
    <cellStyle name="Normal 24 3 77" xfId="7749" xr:uid="{00000000-0005-0000-0000-000012350000}"/>
    <cellStyle name="Normal 24 3 77 2" xfId="19833" xr:uid="{00000000-0005-0000-0000-000013350000}"/>
    <cellStyle name="Normal 24 3 78" xfId="7750" xr:uid="{00000000-0005-0000-0000-000014350000}"/>
    <cellStyle name="Normal 24 3 78 2" xfId="19834" xr:uid="{00000000-0005-0000-0000-000015350000}"/>
    <cellStyle name="Normal 24 3 79" xfId="7751" xr:uid="{00000000-0005-0000-0000-000016350000}"/>
    <cellStyle name="Normal 24 3 79 2" xfId="19835" xr:uid="{00000000-0005-0000-0000-000017350000}"/>
    <cellStyle name="Normal 24 3 8" xfId="7752" xr:uid="{00000000-0005-0000-0000-000018350000}"/>
    <cellStyle name="Normal 24 3 8 2" xfId="19836" xr:uid="{00000000-0005-0000-0000-000019350000}"/>
    <cellStyle name="Normal 24 3 80" xfId="19759" xr:uid="{00000000-0005-0000-0000-00001A350000}"/>
    <cellStyle name="Normal 24 3 81" xfId="7675" xr:uid="{00000000-0005-0000-0000-00001B350000}"/>
    <cellStyle name="Normal 24 3 9" xfId="7753" xr:uid="{00000000-0005-0000-0000-00001C350000}"/>
    <cellStyle name="Normal 24 3 9 2" xfId="19837" xr:uid="{00000000-0005-0000-0000-00001D350000}"/>
    <cellStyle name="Normal 24 30" xfId="7754" xr:uid="{00000000-0005-0000-0000-00001E350000}"/>
    <cellStyle name="Normal 24 30 2" xfId="19838" xr:uid="{00000000-0005-0000-0000-00001F350000}"/>
    <cellStyle name="Normal 24 31" xfId="7755" xr:uid="{00000000-0005-0000-0000-000020350000}"/>
    <cellStyle name="Normal 24 31 2" xfId="19839" xr:uid="{00000000-0005-0000-0000-000021350000}"/>
    <cellStyle name="Normal 24 32" xfId="7756" xr:uid="{00000000-0005-0000-0000-000022350000}"/>
    <cellStyle name="Normal 24 32 2" xfId="19840" xr:uid="{00000000-0005-0000-0000-000023350000}"/>
    <cellStyle name="Normal 24 33" xfId="7757" xr:uid="{00000000-0005-0000-0000-000024350000}"/>
    <cellStyle name="Normal 24 33 2" xfId="19841" xr:uid="{00000000-0005-0000-0000-000025350000}"/>
    <cellStyle name="Normal 24 34" xfId="7758" xr:uid="{00000000-0005-0000-0000-000026350000}"/>
    <cellStyle name="Normal 24 34 2" xfId="19842" xr:uid="{00000000-0005-0000-0000-000027350000}"/>
    <cellStyle name="Normal 24 35" xfId="7759" xr:uid="{00000000-0005-0000-0000-000028350000}"/>
    <cellStyle name="Normal 24 35 2" xfId="19843" xr:uid="{00000000-0005-0000-0000-000029350000}"/>
    <cellStyle name="Normal 24 36" xfId="7760" xr:uid="{00000000-0005-0000-0000-00002A350000}"/>
    <cellStyle name="Normal 24 36 2" xfId="19844" xr:uid="{00000000-0005-0000-0000-00002B350000}"/>
    <cellStyle name="Normal 24 37" xfId="7761" xr:uid="{00000000-0005-0000-0000-00002C350000}"/>
    <cellStyle name="Normal 24 37 2" xfId="19845" xr:uid="{00000000-0005-0000-0000-00002D350000}"/>
    <cellStyle name="Normal 24 38" xfId="7762" xr:uid="{00000000-0005-0000-0000-00002E350000}"/>
    <cellStyle name="Normal 24 38 2" xfId="19846" xr:uid="{00000000-0005-0000-0000-00002F350000}"/>
    <cellStyle name="Normal 24 39" xfId="7763" xr:uid="{00000000-0005-0000-0000-000030350000}"/>
    <cellStyle name="Normal 24 39 2" xfId="19847" xr:uid="{00000000-0005-0000-0000-000031350000}"/>
    <cellStyle name="Normal 24 4" xfId="310" xr:uid="{00000000-0005-0000-0000-000032350000}"/>
    <cellStyle name="Normal 24 4 10" xfId="7764" xr:uid="{00000000-0005-0000-0000-000033350000}"/>
    <cellStyle name="Normal 24 4 10 2" xfId="19849" xr:uid="{00000000-0005-0000-0000-000034350000}"/>
    <cellStyle name="Normal 24 4 11" xfId="7765" xr:uid="{00000000-0005-0000-0000-000035350000}"/>
    <cellStyle name="Normal 24 4 11 2" xfId="19850" xr:uid="{00000000-0005-0000-0000-000036350000}"/>
    <cellStyle name="Normal 24 4 12" xfId="7766" xr:uid="{00000000-0005-0000-0000-000037350000}"/>
    <cellStyle name="Normal 24 4 12 2" xfId="19851" xr:uid="{00000000-0005-0000-0000-000038350000}"/>
    <cellStyle name="Normal 24 4 13" xfId="7767" xr:uid="{00000000-0005-0000-0000-000039350000}"/>
    <cellStyle name="Normal 24 4 13 2" xfId="19852" xr:uid="{00000000-0005-0000-0000-00003A350000}"/>
    <cellStyle name="Normal 24 4 14" xfId="7768" xr:uid="{00000000-0005-0000-0000-00003B350000}"/>
    <cellStyle name="Normal 24 4 14 2" xfId="19853" xr:uid="{00000000-0005-0000-0000-00003C350000}"/>
    <cellStyle name="Normal 24 4 15" xfId="7769" xr:uid="{00000000-0005-0000-0000-00003D350000}"/>
    <cellStyle name="Normal 24 4 15 2" xfId="19854" xr:uid="{00000000-0005-0000-0000-00003E350000}"/>
    <cellStyle name="Normal 24 4 16" xfId="7770" xr:uid="{00000000-0005-0000-0000-00003F350000}"/>
    <cellStyle name="Normal 24 4 16 2" xfId="19855" xr:uid="{00000000-0005-0000-0000-000040350000}"/>
    <cellStyle name="Normal 24 4 17" xfId="7771" xr:uid="{00000000-0005-0000-0000-000041350000}"/>
    <cellStyle name="Normal 24 4 17 2" xfId="19856" xr:uid="{00000000-0005-0000-0000-000042350000}"/>
    <cellStyle name="Normal 24 4 18" xfId="7772" xr:uid="{00000000-0005-0000-0000-000043350000}"/>
    <cellStyle name="Normal 24 4 18 2" xfId="19857" xr:uid="{00000000-0005-0000-0000-000044350000}"/>
    <cellStyle name="Normal 24 4 19" xfId="7773" xr:uid="{00000000-0005-0000-0000-000045350000}"/>
    <cellStyle name="Normal 24 4 19 2" xfId="19858" xr:uid="{00000000-0005-0000-0000-000046350000}"/>
    <cellStyle name="Normal 24 4 2" xfId="7774" xr:uid="{00000000-0005-0000-0000-000047350000}"/>
    <cellStyle name="Normal 24 4 2 2" xfId="19859" xr:uid="{00000000-0005-0000-0000-000048350000}"/>
    <cellStyle name="Normal 24 4 20" xfId="7775" xr:uid="{00000000-0005-0000-0000-000049350000}"/>
    <cellStyle name="Normal 24 4 20 2" xfId="19860" xr:uid="{00000000-0005-0000-0000-00004A350000}"/>
    <cellStyle name="Normal 24 4 21" xfId="7776" xr:uid="{00000000-0005-0000-0000-00004B350000}"/>
    <cellStyle name="Normal 24 4 21 2" xfId="19861" xr:uid="{00000000-0005-0000-0000-00004C350000}"/>
    <cellStyle name="Normal 24 4 22" xfId="7777" xr:uid="{00000000-0005-0000-0000-00004D350000}"/>
    <cellStyle name="Normal 24 4 22 2" xfId="19862" xr:uid="{00000000-0005-0000-0000-00004E350000}"/>
    <cellStyle name="Normal 24 4 23" xfId="7778" xr:uid="{00000000-0005-0000-0000-00004F350000}"/>
    <cellStyle name="Normal 24 4 23 2" xfId="19863" xr:uid="{00000000-0005-0000-0000-000050350000}"/>
    <cellStyle name="Normal 24 4 24" xfId="7779" xr:uid="{00000000-0005-0000-0000-000051350000}"/>
    <cellStyle name="Normal 24 4 24 2" xfId="19864" xr:uid="{00000000-0005-0000-0000-000052350000}"/>
    <cellStyle name="Normal 24 4 25" xfId="7780" xr:uid="{00000000-0005-0000-0000-000053350000}"/>
    <cellStyle name="Normal 24 4 25 2" xfId="19865" xr:uid="{00000000-0005-0000-0000-000054350000}"/>
    <cellStyle name="Normal 24 4 26" xfId="7781" xr:uid="{00000000-0005-0000-0000-000055350000}"/>
    <cellStyle name="Normal 24 4 26 2" xfId="19866" xr:uid="{00000000-0005-0000-0000-000056350000}"/>
    <cellStyle name="Normal 24 4 27" xfId="7782" xr:uid="{00000000-0005-0000-0000-000057350000}"/>
    <cellStyle name="Normal 24 4 27 2" xfId="19867" xr:uid="{00000000-0005-0000-0000-000058350000}"/>
    <cellStyle name="Normal 24 4 28" xfId="7783" xr:uid="{00000000-0005-0000-0000-000059350000}"/>
    <cellStyle name="Normal 24 4 28 2" xfId="19868" xr:uid="{00000000-0005-0000-0000-00005A350000}"/>
    <cellStyle name="Normal 24 4 29" xfId="7784" xr:uid="{00000000-0005-0000-0000-00005B350000}"/>
    <cellStyle name="Normal 24 4 29 2" xfId="19869" xr:uid="{00000000-0005-0000-0000-00005C350000}"/>
    <cellStyle name="Normal 24 4 3" xfId="7785" xr:uid="{00000000-0005-0000-0000-00005D350000}"/>
    <cellStyle name="Normal 24 4 3 2" xfId="19870" xr:uid="{00000000-0005-0000-0000-00005E350000}"/>
    <cellStyle name="Normal 24 4 30" xfId="7786" xr:uid="{00000000-0005-0000-0000-00005F350000}"/>
    <cellStyle name="Normal 24 4 30 2" xfId="19871" xr:uid="{00000000-0005-0000-0000-000060350000}"/>
    <cellStyle name="Normal 24 4 31" xfId="7787" xr:uid="{00000000-0005-0000-0000-000061350000}"/>
    <cellStyle name="Normal 24 4 31 2" xfId="19872" xr:uid="{00000000-0005-0000-0000-000062350000}"/>
    <cellStyle name="Normal 24 4 32" xfId="7788" xr:uid="{00000000-0005-0000-0000-000063350000}"/>
    <cellStyle name="Normal 24 4 32 2" xfId="19873" xr:uid="{00000000-0005-0000-0000-000064350000}"/>
    <cellStyle name="Normal 24 4 33" xfId="7789" xr:uid="{00000000-0005-0000-0000-000065350000}"/>
    <cellStyle name="Normal 24 4 33 2" xfId="19874" xr:uid="{00000000-0005-0000-0000-000066350000}"/>
    <cellStyle name="Normal 24 4 34" xfId="7790" xr:uid="{00000000-0005-0000-0000-000067350000}"/>
    <cellStyle name="Normal 24 4 34 2" xfId="19875" xr:uid="{00000000-0005-0000-0000-000068350000}"/>
    <cellStyle name="Normal 24 4 35" xfId="7791" xr:uid="{00000000-0005-0000-0000-000069350000}"/>
    <cellStyle name="Normal 24 4 35 2" xfId="19876" xr:uid="{00000000-0005-0000-0000-00006A350000}"/>
    <cellStyle name="Normal 24 4 36" xfId="7792" xr:uid="{00000000-0005-0000-0000-00006B350000}"/>
    <cellStyle name="Normal 24 4 36 2" xfId="19877" xr:uid="{00000000-0005-0000-0000-00006C350000}"/>
    <cellStyle name="Normal 24 4 37" xfId="7793" xr:uid="{00000000-0005-0000-0000-00006D350000}"/>
    <cellStyle name="Normal 24 4 37 2" xfId="19878" xr:uid="{00000000-0005-0000-0000-00006E350000}"/>
    <cellStyle name="Normal 24 4 38" xfId="7794" xr:uid="{00000000-0005-0000-0000-00006F350000}"/>
    <cellStyle name="Normal 24 4 38 2" xfId="19879" xr:uid="{00000000-0005-0000-0000-000070350000}"/>
    <cellStyle name="Normal 24 4 39" xfId="7795" xr:uid="{00000000-0005-0000-0000-000071350000}"/>
    <cellStyle name="Normal 24 4 39 2" xfId="19880" xr:uid="{00000000-0005-0000-0000-000072350000}"/>
    <cellStyle name="Normal 24 4 4" xfId="7796" xr:uid="{00000000-0005-0000-0000-000073350000}"/>
    <cellStyle name="Normal 24 4 4 2" xfId="19881" xr:uid="{00000000-0005-0000-0000-000074350000}"/>
    <cellStyle name="Normal 24 4 40" xfId="7797" xr:uid="{00000000-0005-0000-0000-000075350000}"/>
    <cellStyle name="Normal 24 4 40 2" xfId="19882" xr:uid="{00000000-0005-0000-0000-000076350000}"/>
    <cellStyle name="Normal 24 4 41" xfId="7798" xr:uid="{00000000-0005-0000-0000-000077350000}"/>
    <cellStyle name="Normal 24 4 41 2" xfId="19883" xr:uid="{00000000-0005-0000-0000-000078350000}"/>
    <cellStyle name="Normal 24 4 42" xfId="7799" xr:uid="{00000000-0005-0000-0000-000079350000}"/>
    <cellStyle name="Normal 24 4 42 2" xfId="19884" xr:uid="{00000000-0005-0000-0000-00007A350000}"/>
    <cellStyle name="Normal 24 4 43" xfId="7800" xr:uid="{00000000-0005-0000-0000-00007B350000}"/>
    <cellStyle name="Normal 24 4 43 2" xfId="19885" xr:uid="{00000000-0005-0000-0000-00007C350000}"/>
    <cellStyle name="Normal 24 4 44" xfId="7801" xr:uid="{00000000-0005-0000-0000-00007D350000}"/>
    <cellStyle name="Normal 24 4 44 2" xfId="19886" xr:uid="{00000000-0005-0000-0000-00007E350000}"/>
    <cellStyle name="Normal 24 4 45" xfId="7802" xr:uid="{00000000-0005-0000-0000-00007F350000}"/>
    <cellStyle name="Normal 24 4 45 2" xfId="19887" xr:uid="{00000000-0005-0000-0000-000080350000}"/>
    <cellStyle name="Normal 24 4 46" xfId="7803" xr:uid="{00000000-0005-0000-0000-000081350000}"/>
    <cellStyle name="Normal 24 4 46 2" xfId="19888" xr:uid="{00000000-0005-0000-0000-000082350000}"/>
    <cellStyle name="Normal 24 4 47" xfId="7804" xr:uid="{00000000-0005-0000-0000-000083350000}"/>
    <cellStyle name="Normal 24 4 47 2" xfId="19889" xr:uid="{00000000-0005-0000-0000-000084350000}"/>
    <cellStyle name="Normal 24 4 48" xfId="7805" xr:uid="{00000000-0005-0000-0000-000085350000}"/>
    <cellStyle name="Normal 24 4 48 2" xfId="19890" xr:uid="{00000000-0005-0000-0000-000086350000}"/>
    <cellStyle name="Normal 24 4 49" xfId="7806" xr:uid="{00000000-0005-0000-0000-000087350000}"/>
    <cellStyle name="Normal 24 4 49 2" xfId="19891" xr:uid="{00000000-0005-0000-0000-000088350000}"/>
    <cellStyle name="Normal 24 4 5" xfId="7807" xr:uid="{00000000-0005-0000-0000-000089350000}"/>
    <cellStyle name="Normal 24 4 5 2" xfId="19892" xr:uid="{00000000-0005-0000-0000-00008A350000}"/>
    <cellStyle name="Normal 24 4 50" xfId="7808" xr:uid="{00000000-0005-0000-0000-00008B350000}"/>
    <cellStyle name="Normal 24 4 50 2" xfId="19893" xr:uid="{00000000-0005-0000-0000-00008C350000}"/>
    <cellStyle name="Normal 24 4 51" xfId="7809" xr:uid="{00000000-0005-0000-0000-00008D350000}"/>
    <cellStyle name="Normal 24 4 51 2" xfId="19894" xr:uid="{00000000-0005-0000-0000-00008E350000}"/>
    <cellStyle name="Normal 24 4 52" xfId="7810" xr:uid="{00000000-0005-0000-0000-00008F350000}"/>
    <cellStyle name="Normal 24 4 52 2" xfId="19895" xr:uid="{00000000-0005-0000-0000-000090350000}"/>
    <cellStyle name="Normal 24 4 53" xfId="7811" xr:uid="{00000000-0005-0000-0000-000091350000}"/>
    <cellStyle name="Normal 24 4 53 2" xfId="19896" xr:uid="{00000000-0005-0000-0000-000092350000}"/>
    <cellStyle name="Normal 24 4 54" xfId="7812" xr:uid="{00000000-0005-0000-0000-000093350000}"/>
    <cellStyle name="Normal 24 4 54 2" xfId="19897" xr:uid="{00000000-0005-0000-0000-000094350000}"/>
    <cellStyle name="Normal 24 4 55" xfId="7813" xr:uid="{00000000-0005-0000-0000-000095350000}"/>
    <cellStyle name="Normal 24 4 55 2" xfId="19898" xr:uid="{00000000-0005-0000-0000-000096350000}"/>
    <cellStyle name="Normal 24 4 56" xfId="7814" xr:uid="{00000000-0005-0000-0000-000097350000}"/>
    <cellStyle name="Normal 24 4 56 2" xfId="19899" xr:uid="{00000000-0005-0000-0000-000098350000}"/>
    <cellStyle name="Normal 24 4 57" xfId="7815" xr:uid="{00000000-0005-0000-0000-000099350000}"/>
    <cellStyle name="Normal 24 4 57 2" xfId="19900" xr:uid="{00000000-0005-0000-0000-00009A350000}"/>
    <cellStyle name="Normal 24 4 58" xfId="7816" xr:uid="{00000000-0005-0000-0000-00009B350000}"/>
    <cellStyle name="Normal 24 4 58 2" xfId="19901" xr:uid="{00000000-0005-0000-0000-00009C350000}"/>
    <cellStyle name="Normal 24 4 59" xfId="7817" xr:uid="{00000000-0005-0000-0000-00009D350000}"/>
    <cellStyle name="Normal 24 4 59 2" xfId="19902" xr:uid="{00000000-0005-0000-0000-00009E350000}"/>
    <cellStyle name="Normal 24 4 6" xfId="7818" xr:uid="{00000000-0005-0000-0000-00009F350000}"/>
    <cellStyle name="Normal 24 4 6 2" xfId="19903" xr:uid="{00000000-0005-0000-0000-0000A0350000}"/>
    <cellStyle name="Normal 24 4 60" xfId="7819" xr:uid="{00000000-0005-0000-0000-0000A1350000}"/>
    <cellStyle name="Normal 24 4 60 2" xfId="19904" xr:uid="{00000000-0005-0000-0000-0000A2350000}"/>
    <cellStyle name="Normal 24 4 61" xfId="7820" xr:uid="{00000000-0005-0000-0000-0000A3350000}"/>
    <cellStyle name="Normal 24 4 61 2" xfId="19905" xr:uid="{00000000-0005-0000-0000-0000A4350000}"/>
    <cellStyle name="Normal 24 4 62" xfId="7821" xr:uid="{00000000-0005-0000-0000-0000A5350000}"/>
    <cellStyle name="Normal 24 4 62 2" xfId="19906" xr:uid="{00000000-0005-0000-0000-0000A6350000}"/>
    <cellStyle name="Normal 24 4 63" xfId="7822" xr:uid="{00000000-0005-0000-0000-0000A7350000}"/>
    <cellStyle name="Normal 24 4 63 2" xfId="19907" xr:uid="{00000000-0005-0000-0000-0000A8350000}"/>
    <cellStyle name="Normal 24 4 64" xfId="7823" xr:uid="{00000000-0005-0000-0000-0000A9350000}"/>
    <cellStyle name="Normal 24 4 64 2" xfId="19908" xr:uid="{00000000-0005-0000-0000-0000AA350000}"/>
    <cellStyle name="Normal 24 4 65" xfId="7824" xr:uid="{00000000-0005-0000-0000-0000AB350000}"/>
    <cellStyle name="Normal 24 4 65 2" xfId="19909" xr:uid="{00000000-0005-0000-0000-0000AC350000}"/>
    <cellStyle name="Normal 24 4 66" xfId="7825" xr:uid="{00000000-0005-0000-0000-0000AD350000}"/>
    <cellStyle name="Normal 24 4 66 2" xfId="19910" xr:uid="{00000000-0005-0000-0000-0000AE350000}"/>
    <cellStyle name="Normal 24 4 67" xfId="7826" xr:uid="{00000000-0005-0000-0000-0000AF350000}"/>
    <cellStyle name="Normal 24 4 67 2" xfId="19911" xr:uid="{00000000-0005-0000-0000-0000B0350000}"/>
    <cellStyle name="Normal 24 4 68" xfId="7827" xr:uid="{00000000-0005-0000-0000-0000B1350000}"/>
    <cellStyle name="Normal 24 4 68 2" xfId="19912" xr:uid="{00000000-0005-0000-0000-0000B2350000}"/>
    <cellStyle name="Normal 24 4 69" xfId="7828" xr:uid="{00000000-0005-0000-0000-0000B3350000}"/>
    <cellStyle name="Normal 24 4 69 2" xfId="19913" xr:uid="{00000000-0005-0000-0000-0000B4350000}"/>
    <cellStyle name="Normal 24 4 7" xfId="7829" xr:uid="{00000000-0005-0000-0000-0000B5350000}"/>
    <cellStyle name="Normal 24 4 7 2" xfId="19914" xr:uid="{00000000-0005-0000-0000-0000B6350000}"/>
    <cellStyle name="Normal 24 4 70" xfId="7830" xr:uid="{00000000-0005-0000-0000-0000B7350000}"/>
    <cellStyle name="Normal 24 4 70 2" xfId="19915" xr:uid="{00000000-0005-0000-0000-0000B8350000}"/>
    <cellStyle name="Normal 24 4 71" xfId="7831" xr:uid="{00000000-0005-0000-0000-0000B9350000}"/>
    <cellStyle name="Normal 24 4 71 2" xfId="19916" xr:uid="{00000000-0005-0000-0000-0000BA350000}"/>
    <cellStyle name="Normal 24 4 72" xfId="7832" xr:uid="{00000000-0005-0000-0000-0000BB350000}"/>
    <cellStyle name="Normal 24 4 72 2" xfId="19917" xr:uid="{00000000-0005-0000-0000-0000BC350000}"/>
    <cellStyle name="Normal 24 4 73" xfId="7833" xr:uid="{00000000-0005-0000-0000-0000BD350000}"/>
    <cellStyle name="Normal 24 4 73 2" xfId="19918" xr:uid="{00000000-0005-0000-0000-0000BE350000}"/>
    <cellStyle name="Normal 24 4 74" xfId="7834" xr:uid="{00000000-0005-0000-0000-0000BF350000}"/>
    <cellStyle name="Normal 24 4 74 2" xfId="19919" xr:uid="{00000000-0005-0000-0000-0000C0350000}"/>
    <cellStyle name="Normal 24 4 75" xfId="7835" xr:uid="{00000000-0005-0000-0000-0000C1350000}"/>
    <cellStyle name="Normal 24 4 75 2" xfId="19920" xr:uid="{00000000-0005-0000-0000-0000C2350000}"/>
    <cellStyle name="Normal 24 4 76" xfId="7836" xr:uid="{00000000-0005-0000-0000-0000C3350000}"/>
    <cellStyle name="Normal 24 4 76 2" xfId="19921" xr:uid="{00000000-0005-0000-0000-0000C4350000}"/>
    <cellStyle name="Normal 24 4 77" xfId="7837" xr:uid="{00000000-0005-0000-0000-0000C5350000}"/>
    <cellStyle name="Normal 24 4 77 2" xfId="19922" xr:uid="{00000000-0005-0000-0000-0000C6350000}"/>
    <cellStyle name="Normal 24 4 78" xfId="7838" xr:uid="{00000000-0005-0000-0000-0000C7350000}"/>
    <cellStyle name="Normal 24 4 78 2" xfId="19923" xr:uid="{00000000-0005-0000-0000-0000C8350000}"/>
    <cellStyle name="Normal 24 4 79" xfId="7839" xr:uid="{00000000-0005-0000-0000-0000C9350000}"/>
    <cellStyle name="Normal 24 4 79 2" xfId="19924" xr:uid="{00000000-0005-0000-0000-0000CA350000}"/>
    <cellStyle name="Normal 24 4 8" xfId="7840" xr:uid="{00000000-0005-0000-0000-0000CB350000}"/>
    <cellStyle name="Normal 24 4 8 2" xfId="19925" xr:uid="{00000000-0005-0000-0000-0000CC350000}"/>
    <cellStyle name="Normal 24 4 80" xfId="19848" xr:uid="{00000000-0005-0000-0000-0000CD350000}"/>
    <cellStyle name="Normal 24 4 9" xfId="7841" xr:uid="{00000000-0005-0000-0000-0000CE350000}"/>
    <cellStyle name="Normal 24 4 9 2" xfId="19926" xr:uid="{00000000-0005-0000-0000-0000CF350000}"/>
    <cellStyle name="Normal 24 40" xfId="7842" xr:uid="{00000000-0005-0000-0000-0000D0350000}"/>
    <cellStyle name="Normal 24 40 2" xfId="19927" xr:uid="{00000000-0005-0000-0000-0000D1350000}"/>
    <cellStyle name="Normal 24 41" xfId="7843" xr:uid="{00000000-0005-0000-0000-0000D2350000}"/>
    <cellStyle name="Normal 24 41 2" xfId="19928" xr:uid="{00000000-0005-0000-0000-0000D3350000}"/>
    <cellStyle name="Normal 24 42" xfId="7844" xr:uid="{00000000-0005-0000-0000-0000D4350000}"/>
    <cellStyle name="Normal 24 42 2" xfId="19929" xr:uid="{00000000-0005-0000-0000-0000D5350000}"/>
    <cellStyle name="Normal 24 43" xfId="7845" xr:uid="{00000000-0005-0000-0000-0000D6350000}"/>
    <cellStyle name="Normal 24 43 2" xfId="19930" xr:uid="{00000000-0005-0000-0000-0000D7350000}"/>
    <cellStyle name="Normal 24 44" xfId="7846" xr:uid="{00000000-0005-0000-0000-0000D8350000}"/>
    <cellStyle name="Normal 24 44 2" xfId="19931" xr:uid="{00000000-0005-0000-0000-0000D9350000}"/>
    <cellStyle name="Normal 24 45" xfId="7847" xr:uid="{00000000-0005-0000-0000-0000DA350000}"/>
    <cellStyle name="Normal 24 45 2" xfId="19932" xr:uid="{00000000-0005-0000-0000-0000DB350000}"/>
    <cellStyle name="Normal 24 46" xfId="7848" xr:uid="{00000000-0005-0000-0000-0000DC350000}"/>
    <cellStyle name="Normal 24 46 2" xfId="19933" xr:uid="{00000000-0005-0000-0000-0000DD350000}"/>
    <cellStyle name="Normal 24 47" xfId="7849" xr:uid="{00000000-0005-0000-0000-0000DE350000}"/>
    <cellStyle name="Normal 24 47 2" xfId="19934" xr:uid="{00000000-0005-0000-0000-0000DF350000}"/>
    <cellStyle name="Normal 24 48" xfId="7850" xr:uid="{00000000-0005-0000-0000-0000E0350000}"/>
    <cellStyle name="Normal 24 48 2" xfId="19935" xr:uid="{00000000-0005-0000-0000-0000E1350000}"/>
    <cellStyle name="Normal 24 49" xfId="7851" xr:uid="{00000000-0005-0000-0000-0000E2350000}"/>
    <cellStyle name="Normal 24 49 2" xfId="19936" xr:uid="{00000000-0005-0000-0000-0000E3350000}"/>
    <cellStyle name="Normal 24 5" xfId="7852" xr:uid="{00000000-0005-0000-0000-0000E4350000}"/>
    <cellStyle name="Normal 24 5 2" xfId="19937" xr:uid="{00000000-0005-0000-0000-0000E5350000}"/>
    <cellStyle name="Normal 24 50" xfId="7853" xr:uid="{00000000-0005-0000-0000-0000E6350000}"/>
    <cellStyle name="Normal 24 50 2" xfId="19938" xr:uid="{00000000-0005-0000-0000-0000E7350000}"/>
    <cellStyle name="Normal 24 51" xfId="7854" xr:uid="{00000000-0005-0000-0000-0000E8350000}"/>
    <cellStyle name="Normal 24 51 2" xfId="19939" xr:uid="{00000000-0005-0000-0000-0000E9350000}"/>
    <cellStyle name="Normal 24 52" xfId="7855" xr:uid="{00000000-0005-0000-0000-0000EA350000}"/>
    <cellStyle name="Normal 24 52 2" xfId="19940" xr:uid="{00000000-0005-0000-0000-0000EB350000}"/>
    <cellStyle name="Normal 24 53" xfId="7856" xr:uid="{00000000-0005-0000-0000-0000EC350000}"/>
    <cellStyle name="Normal 24 53 2" xfId="19941" xr:uid="{00000000-0005-0000-0000-0000ED350000}"/>
    <cellStyle name="Normal 24 54" xfId="7857" xr:uid="{00000000-0005-0000-0000-0000EE350000}"/>
    <cellStyle name="Normal 24 54 2" xfId="19942" xr:uid="{00000000-0005-0000-0000-0000EF350000}"/>
    <cellStyle name="Normal 24 55" xfId="7858" xr:uid="{00000000-0005-0000-0000-0000F0350000}"/>
    <cellStyle name="Normal 24 55 2" xfId="19943" xr:uid="{00000000-0005-0000-0000-0000F1350000}"/>
    <cellStyle name="Normal 24 56" xfId="7859" xr:uid="{00000000-0005-0000-0000-0000F2350000}"/>
    <cellStyle name="Normal 24 56 2" xfId="19944" xr:uid="{00000000-0005-0000-0000-0000F3350000}"/>
    <cellStyle name="Normal 24 57" xfId="7860" xr:uid="{00000000-0005-0000-0000-0000F4350000}"/>
    <cellStyle name="Normal 24 57 2" xfId="19945" xr:uid="{00000000-0005-0000-0000-0000F5350000}"/>
    <cellStyle name="Normal 24 58" xfId="7861" xr:uid="{00000000-0005-0000-0000-0000F6350000}"/>
    <cellStyle name="Normal 24 58 2" xfId="19946" xr:uid="{00000000-0005-0000-0000-0000F7350000}"/>
    <cellStyle name="Normal 24 59" xfId="7862" xr:uid="{00000000-0005-0000-0000-0000F8350000}"/>
    <cellStyle name="Normal 24 59 2" xfId="19947" xr:uid="{00000000-0005-0000-0000-0000F9350000}"/>
    <cellStyle name="Normal 24 6" xfId="7863" xr:uid="{00000000-0005-0000-0000-0000FA350000}"/>
    <cellStyle name="Normal 24 6 2" xfId="19948" xr:uid="{00000000-0005-0000-0000-0000FB350000}"/>
    <cellStyle name="Normal 24 60" xfId="7864" xr:uid="{00000000-0005-0000-0000-0000FC350000}"/>
    <cellStyle name="Normal 24 60 2" xfId="19949" xr:uid="{00000000-0005-0000-0000-0000FD350000}"/>
    <cellStyle name="Normal 24 61" xfId="7865" xr:uid="{00000000-0005-0000-0000-0000FE350000}"/>
    <cellStyle name="Normal 24 61 2" xfId="19950" xr:uid="{00000000-0005-0000-0000-0000FF350000}"/>
    <cellStyle name="Normal 24 62" xfId="7866" xr:uid="{00000000-0005-0000-0000-000000360000}"/>
    <cellStyle name="Normal 24 62 2" xfId="19951" xr:uid="{00000000-0005-0000-0000-000001360000}"/>
    <cellStyle name="Normal 24 63" xfId="7867" xr:uid="{00000000-0005-0000-0000-000002360000}"/>
    <cellStyle name="Normal 24 63 2" xfId="19952" xr:uid="{00000000-0005-0000-0000-000003360000}"/>
    <cellStyle name="Normal 24 64" xfId="7868" xr:uid="{00000000-0005-0000-0000-000004360000}"/>
    <cellStyle name="Normal 24 64 2" xfId="19953" xr:uid="{00000000-0005-0000-0000-000005360000}"/>
    <cellStyle name="Normal 24 65" xfId="7869" xr:uid="{00000000-0005-0000-0000-000006360000}"/>
    <cellStyle name="Normal 24 65 2" xfId="19954" xr:uid="{00000000-0005-0000-0000-000007360000}"/>
    <cellStyle name="Normal 24 66" xfId="7870" xr:uid="{00000000-0005-0000-0000-000008360000}"/>
    <cellStyle name="Normal 24 66 2" xfId="19955" xr:uid="{00000000-0005-0000-0000-000009360000}"/>
    <cellStyle name="Normal 24 67" xfId="7871" xr:uid="{00000000-0005-0000-0000-00000A360000}"/>
    <cellStyle name="Normal 24 67 2" xfId="19956" xr:uid="{00000000-0005-0000-0000-00000B360000}"/>
    <cellStyle name="Normal 24 68" xfId="7872" xr:uid="{00000000-0005-0000-0000-00000C360000}"/>
    <cellStyle name="Normal 24 68 2" xfId="19957" xr:uid="{00000000-0005-0000-0000-00000D360000}"/>
    <cellStyle name="Normal 24 69" xfId="7873" xr:uid="{00000000-0005-0000-0000-00000E360000}"/>
    <cellStyle name="Normal 24 69 2" xfId="19958" xr:uid="{00000000-0005-0000-0000-00000F360000}"/>
    <cellStyle name="Normal 24 7" xfId="7874" xr:uid="{00000000-0005-0000-0000-000010360000}"/>
    <cellStyle name="Normal 24 7 2" xfId="19959" xr:uid="{00000000-0005-0000-0000-000011360000}"/>
    <cellStyle name="Normal 24 70" xfId="7875" xr:uid="{00000000-0005-0000-0000-000012360000}"/>
    <cellStyle name="Normal 24 70 2" xfId="19960" xr:uid="{00000000-0005-0000-0000-000013360000}"/>
    <cellStyle name="Normal 24 71" xfId="7876" xr:uid="{00000000-0005-0000-0000-000014360000}"/>
    <cellStyle name="Normal 24 71 2" xfId="19961" xr:uid="{00000000-0005-0000-0000-000015360000}"/>
    <cellStyle name="Normal 24 72" xfId="7877" xr:uid="{00000000-0005-0000-0000-000016360000}"/>
    <cellStyle name="Normal 24 72 2" xfId="19962" xr:uid="{00000000-0005-0000-0000-000017360000}"/>
    <cellStyle name="Normal 24 73" xfId="7878" xr:uid="{00000000-0005-0000-0000-000018360000}"/>
    <cellStyle name="Normal 24 73 2" xfId="19963" xr:uid="{00000000-0005-0000-0000-000019360000}"/>
    <cellStyle name="Normal 24 74" xfId="7879" xr:uid="{00000000-0005-0000-0000-00001A360000}"/>
    <cellStyle name="Normal 24 74 2" xfId="19964" xr:uid="{00000000-0005-0000-0000-00001B360000}"/>
    <cellStyle name="Normal 24 75" xfId="7880" xr:uid="{00000000-0005-0000-0000-00001C360000}"/>
    <cellStyle name="Normal 24 75 2" xfId="19965" xr:uid="{00000000-0005-0000-0000-00001D360000}"/>
    <cellStyle name="Normal 24 76" xfId="7881" xr:uid="{00000000-0005-0000-0000-00001E360000}"/>
    <cellStyle name="Normal 24 76 2" xfId="19966" xr:uid="{00000000-0005-0000-0000-00001F360000}"/>
    <cellStyle name="Normal 24 77" xfId="7882" xr:uid="{00000000-0005-0000-0000-000020360000}"/>
    <cellStyle name="Normal 24 77 2" xfId="19967" xr:uid="{00000000-0005-0000-0000-000021360000}"/>
    <cellStyle name="Normal 24 78" xfId="7883" xr:uid="{00000000-0005-0000-0000-000022360000}"/>
    <cellStyle name="Normal 24 78 2" xfId="19968" xr:uid="{00000000-0005-0000-0000-000023360000}"/>
    <cellStyle name="Normal 24 79" xfId="7884" xr:uid="{00000000-0005-0000-0000-000024360000}"/>
    <cellStyle name="Normal 24 79 2" xfId="19969" xr:uid="{00000000-0005-0000-0000-000025360000}"/>
    <cellStyle name="Normal 24 8" xfId="7885" xr:uid="{00000000-0005-0000-0000-000026360000}"/>
    <cellStyle name="Normal 24 8 2" xfId="19970" xr:uid="{00000000-0005-0000-0000-000027360000}"/>
    <cellStyle name="Normal 24 80" xfId="7886" xr:uid="{00000000-0005-0000-0000-000028360000}"/>
    <cellStyle name="Normal 24 80 2" xfId="19971" xr:uid="{00000000-0005-0000-0000-000029360000}"/>
    <cellStyle name="Normal 24 81" xfId="7887" xr:uid="{00000000-0005-0000-0000-00002A360000}"/>
    <cellStyle name="Normal 24 81 2" xfId="19972" xr:uid="{00000000-0005-0000-0000-00002B360000}"/>
    <cellStyle name="Normal 24 82" xfId="7888" xr:uid="{00000000-0005-0000-0000-00002C360000}"/>
    <cellStyle name="Normal 24 82 2" xfId="19973" xr:uid="{00000000-0005-0000-0000-00002D360000}"/>
    <cellStyle name="Normal 24 83" xfId="19659" xr:uid="{00000000-0005-0000-0000-00002E360000}"/>
    <cellStyle name="Normal 24 84" xfId="27418" xr:uid="{00000000-0005-0000-0000-00002F360000}"/>
    <cellStyle name="Normal 24 9" xfId="7889" xr:uid="{00000000-0005-0000-0000-000030360000}"/>
    <cellStyle name="Normal 24 9 2" xfId="19974" xr:uid="{00000000-0005-0000-0000-000031360000}"/>
    <cellStyle name="Normal 25" xfId="89" xr:uid="{00000000-0005-0000-0000-000032360000}"/>
    <cellStyle name="Normal 25 10" xfId="7890" xr:uid="{00000000-0005-0000-0000-000033360000}"/>
    <cellStyle name="Normal 25 10 2" xfId="19975" xr:uid="{00000000-0005-0000-0000-000034360000}"/>
    <cellStyle name="Normal 25 11" xfId="7891" xr:uid="{00000000-0005-0000-0000-000035360000}"/>
    <cellStyle name="Normal 25 11 2" xfId="19976" xr:uid="{00000000-0005-0000-0000-000036360000}"/>
    <cellStyle name="Normal 25 12" xfId="7892" xr:uid="{00000000-0005-0000-0000-000037360000}"/>
    <cellStyle name="Normal 25 12 2" xfId="19977" xr:uid="{00000000-0005-0000-0000-000038360000}"/>
    <cellStyle name="Normal 25 13" xfId="7893" xr:uid="{00000000-0005-0000-0000-000039360000}"/>
    <cellStyle name="Normal 25 13 2" xfId="19978" xr:uid="{00000000-0005-0000-0000-00003A360000}"/>
    <cellStyle name="Normal 25 14" xfId="7894" xr:uid="{00000000-0005-0000-0000-00003B360000}"/>
    <cellStyle name="Normal 25 14 2" xfId="19979" xr:uid="{00000000-0005-0000-0000-00003C360000}"/>
    <cellStyle name="Normal 25 15" xfId="7895" xr:uid="{00000000-0005-0000-0000-00003D360000}"/>
    <cellStyle name="Normal 25 15 2" xfId="19980" xr:uid="{00000000-0005-0000-0000-00003E360000}"/>
    <cellStyle name="Normal 25 16" xfId="7896" xr:uid="{00000000-0005-0000-0000-00003F360000}"/>
    <cellStyle name="Normal 25 16 2" xfId="19981" xr:uid="{00000000-0005-0000-0000-000040360000}"/>
    <cellStyle name="Normal 25 17" xfId="7897" xr:uid="{00000000-0005-0000-0000-000041360000}"/>
    <cellStyle name="Normal 25 17 2" xfId="19982" xr:uid="{00000000-0005-0000-0000-000042360000}"/>
    <cellStyle name="Normal 25 18" xfId="7898" xr:uid="{00000000-0005-0000-0000-000043360000}"/>
    <cellStyle name="Normal 25 18 2" xfId="19983" xr:uid="{00000000-0005-0000-0000-000044360000}"/>
    <cellStyle name="Normal 25 19" xfId="7899" xr:uid="{00000000-0005-0000-0000-000045360000}"/>
    <cellStyle name="Normal 25 19 2" xfId="19984" xr:uid="{00000000-0005-0000-0000-000046360000}"/>
    <cellStyle name="Normal 25 2" xfId="784" xr:uid="{00000000-0005-0000-0000-000047360000}"/>
    <cellStyle name="Normal 25 2 10" xfId="7900" xr:uid="{00000000-0005-0000-0000-000048360000}"/>
    <cellStyle name="Normal 25 2 10 2" xfId="19986" xr:uid="{00000000-0005-0000-0000-000049360000}"/>
    <cellStyle name="Normal 25 2 11" xfId="7901" xr:uid="{00000000-0005-0000-0000-00004A360000}"/>
    <cellStyle name="Normal 25 2 11 2" xfId="19987" xr:uid="{00000000-0005-0000-0000-00004B360000}"/>
    <cellStyle name="Normal 25 2 12" xfId="7902" xr:uid="{00000000-0005-0000-0000-00004C360000}"/>
    <cellStyle name="Normal 25 2 12 2" xfId="19988" xr:uid="{00000000-0005-0000-0000-00004D360000}"/>
    <cellStyle name="Normal 25 2 13" xfId="7903" xr:uid="{00000000-0005-0000-0000-00004E360000}"/>
    <cellStyle name="Normal 25 2 13 2" xfId="19989" xr:uid="{00000000-0005-0000-0000-00004F360000}"/>
    <cellStyle name="Normal 25 2 14" xfId="7904" xr:uid="{00000000-0005-0000-0000-000050360000}"/>
    <cellStyle name="Normal 25 2 14 2" xfId="19990" xr:uid="{00000000-0005-0000-0000-000051360000}"/>
    <cellStyle name="Normal 25 2 15" xfId="7905" xr:uid="{00000000-0005-0000-0000-000052360000}"/>
    <cellStyle name="Normal 25 2 15 2" xfId="19991" xr:uid="{00000000-0005-0000-0000-000053360000}"/>
    <cellStyle name="Normal 25 2 16" xfId="7906" xr:uid="{00000000-0005-0000-0000-000054360000}"/>
    <cellStyle name="Normal 25 2 16 2" xfId="19992" xr:uid="{00000000-0005-0000-0000-000055360000}"/>
    <cellStyle name="Normal 25 2 17" xfId="7907" xr:uid="{00000000-0005-0000-0000-000056360000}"/>
    <cellStyle name="Normal 25 2 17 2" xfId="19993" xr:uid="{00000000-0005-0000-0000-000057360000}"/>
    <cellStyle name="Normal 25 2 18" xfId="7908" xr:uid="{00000000-0005-0000-0000-000058360000}"/>
    <cellStyle name="Normal 25 2 18 2" xfId="19994" xr:uid="{00000000-0005-0000-0000-000059360000}"/>
    <cellStyle name="Normal 25 2 19" xfId="7909" xr:uid="{00000000-0005-0000-0000-00005A360000}"/>
    <cellStyle name="Normal 25 2 19 2" xfId="19995" xr:uid="{00000000-0005-0000-0000-00005B360000}"/>
    <cellStyle name="Normal 25 2 2" xfId="7910" xr:uid="{00000000-0005-0000-0000-00005C360000}"/>
    <cellStyle name="Normal 25 2 2 2" xfId="19996" xr:uid="{00000000-0005-0000-0000-00005D360000}"/>
    <cellStyle name="Normal 25 2 20" xfId="7911" xr:uid="{00000000-0005-0000-0000-00005E360000}"/>
    <cellStyle name="Normal 25 2 20 2" xfId="19997" xr:uid="{00000000-0005-0000-0000-00005F360000}"/>
    <cellStyle name="Normal 25 2 21" xfId="7912" xr:uid="{00000000-0005-0000-0000-000060360000}"/>
    <cellStyle name="Normal 25 2 21 2" xfId="19998" xr:uid="{00000000-0005-0000-0000-000061360000}"/>
    <cellStyle name="Normal 25 2 22" xfId="7913" xr:uid="{00000000-0005-0000-0000-000062360000}"/>
    <cellStyle name="Normal 25 2 22 2" xfId="19999" xr:uid="{00000000-0005-0000-0000-000063360000}"/>
    <cellStyle name="Normal 25 2 23" xfId="7914" xr:uid="{00000000-0005-0000-0000-000064360000}"/>
    <cellStyle name="Normal 25 2 23 2" xfId="20000" xr:uid="{00000000-0005-0000-0000-000065360000}"/>
    <cellStyle name="Normal 25 2 24" xfId="7915" xr:uid="{00000000-0005-0000-0000-000066360000}"/>
    <cellStyle name="Normal 25 2 24 2" xfId="20001" xr:uid="{00000000-0005-0000-0000-000067360000}"/>
    <cellStyle name="Normal 25 2 25" xfId="7916" xr:uid="{00000000-0005-0000-0000-000068360000}"/>
    <cellStyle name="Normal 25 2 25 2" xfId="20002" xr:uid="{00000000-0005-0000-0000-000069360000}"/>
    <cellStyle name="Normal 25 2 26" xfId="7917" xr:uid="{00000000-0005-0000-0000-00006A360000}"/>
    <cellStyle name="Normal 25 2 26 2" xfId="20003" xr:uid="{00000000-0005-0000-0000-00006B360000}"/>
    <cellStyle name="Normal 25 2 27" xfId="7918" xr:uid="{00000000-0005-0000-0000-00006C360000}"/>
    <cellStyle name="Normal 25 2 27 2" xfId="20004" xr:uid="{00000000-0005-0000-0000-00006D360000}"/>
    <cellStyle name="Normal 25 2 28" xfId="7919" xr:uid="{00000000-0005-0000-0000-00006E360000}"/>
    <cellStyle name="Normal 25 2 28 2" xfId="20005" xr:uid="{00000000-0005-0000-0000-00006F360000}"/>
    <cellStyle name="Normal 25 2 29" xfId="7920" xr:uid="{00000000-0005-0000-0000-000070360000}"/>
    <cellStyle name="Normal 25 2 29 2" xfId="20006" xr:uid="{00000000-0005-0000-0000-000071360000}"/>
    <cellStyle name="Normal 25 2 3" xfId="7921" xr:uid="{00000000-0005-0000-0000-000072360000}"/>
    <cellStyle name="Normal 25 2 3 2" xfId="20007" xr:uid="{00000000-0005-0000-0000-000073360000}"/>
    <cellStyle name="Normal 25 2 30" xfId="7922" xr:uid="{00000000-0005-0000-0000-000074360000}"/>
    <cellStyle name="Normal 25 2 30 2" xfId="20008" xr:uid="{00000000-0005-0000-0000-000075360000}"/>
    <cellStyle name="Normal 25 2 31" xfId="7923" xr:uid="{00000000-0005-0000-0000-000076360000}"/>
    <cellStyle name="Normal 25 2 31 2" xfId="20009" xr:uid="{00000000-0005-0000-0000-000077360000}"/>
    <cellStyle name="Normal 25 2 32" xfId="7924" xr:uid="{00000000-0005-0000-0000-000078360000}"/>
    <cellStyle name="Normal 25 2 32 2" xfId="20010" xr:uid="{00000000-0005-0000-0000-000079360000}"/>
    <cellStyle name="Normal 25 2 33" xfId="7925" xr:uid="{00000000-0005-0000-0000-00007A360000}"/>
    <cellStyle name="Normal 25 2 33 2" xfId="20011" xr:uid="{00000000-0005-0000-0000-00007B360000}"/>
    <cellStyle name="Normal 25 2 34" xfId="7926" xr:uid="{00000000-0005-0000-0000-00007C360000}"/>
    <cellStyle name="Normal 25 2 34 2" xfId="20012" xr:uid="{00000000-0005-0000-0000-00007D360000}"/>
    <cellStyle name="Normal 25 2 35" xfId="7927" xr:uid="{00000000-0005-0000-0000-00007E360000}"/>
    <cellStyle name="Normal 25 2 35 2" xfId="20013" xr:uid="{00000000-0005-0000-0000-00007F360000}"/>
    <cellStyle name="Normal 25 2 36" xfId="7928" xr:uid="{00000000-0005-0000-0000-000080360000}"/>
    <cellStyle name="Normal 25 2 36 2" xfId="20014" xr:uid="{00000000-0005-0000-0000-000081360000}"/>
    <cellStyle name="Normal 25 2 37" xfId="7929" xr:uid="{00000000-0005-0000-0000-000082360000}"/>
    <cellStyle name="Normal 25 2 37 2" xfId="20015" xr:uid="{00000000-0005-0000-0000-000083360000}"/>
    <cellStyle name="Normal 25 2 38" xfId="7930" xr:uid="{00000000-0005-0000-0000-000084360000}"/>
    <cellStyle name="Normal 25 2 38 2" xfId="20016" xr:uid="{00000000-0005-0000-0000-000085360000}"/>
    <cellStyle name="Normal 25 2 39" xfId="7931" xr:uid="{00000000-0005-0000-0000-000086360000}"/>
    <cellStyle name="Normal 25 2 39 2" xfId="20017" xr:uid="{00000000-0005-0000-0000-000087360000}"/>
    <cellStyle name="Normal 25 2 4" xfId="7932" xr:uid="{00000000-0005-0000-0000-000088360000}"/>
    <cellStyle name="Normal 25 2 4 2" xfId="20018" xr:uid="{00000000-0005-0000-0000-000089360000}"/>
    <cellStyle name="Normal 25 2 40" xfId="7933" xr:uid="{00000000-0005-0000-0000-00008A360000}"/>
    <cellStyle name="Normal 25 2 40 2" xfId="20019" xr:uid="{00000000-0005-0000-0000-00008B360000}"/>
    <cellStyle name="Normal 25 2 41" xfId="7934" xr:uid="{00000000-0005-0000-0000-00008C360000}"/>
    <cellStyle name="Normal 25 2 41 2" xfId="20020" xr:uid="{00000000-0005-0000-0000-00008D360000}"/>
    <cellStyle name="Normal 25 2 42" xfId="7935" xr:uid="{00000000-0005-0000-0000-00008E360000}"/>
    <cellStyle name="Normal 25 2 42 2" xfId="20021" xr:uid="{00000000-0005-0000-0000-00008F360000}"/>
    <cellStyle name="Normal 25 2 43" xfId="7936" xr:uid="{00000000-0005-0000-0000-000090360000}"/>
    <cellStyle name="Normal 25 2 43 2" xfId="20022" xr:uid="{00000000-0005-0000-0000-000091360000}"/>
    <cellStyle name="Normal 25 2 44" xfId="7937" xr:uid="{00000000-0005-0000-0000-000092360000}"/>
    <cellStyle name="Normal 25 2 44 2" xfId="20023" xr:uid="{00000000-0005-0000-0000-000093360000}"/>
    <cellStyle name="Normal 25 2 45" xfId="7938" xr:uid="{00000000-0005-0000-0000-000094360000}"/>
    <cellStyle name="Normal 25 2 45 2" xfId="20024" xr:uid="{00000000-0005-0000-0000-000095360000}"/>
    <cellStyle name="Normal 25 2 46" xfId="7939" xr:uid="{00000000-0005-0000-0000-000096360000}"/>
    <cellStyle name="Normal 25 2 46 2" xfId="20025" xr:uid="{00000000-0005-0000-0000-000097360000}"/>
    <cellStyle name="Normal 25 2 47" xfId="7940" xr:uid="{00000000-0005-0000-0000-000098360000}"/>
    <cellStyle name="Normal 25 2 47 2" xfId="20026" xr:uid="{00000000-0005-0000-0000-000099360000}"/>
    <cellStyle name="Normal 25 2 48" xfId="7941" xr:uid="{00000000-0005-0000-0000-00009A360000}"/>
    <cellStyle name="Normal 25 2 48 2" xfId="20027" xr:uid="{00000000-0005-0000-0000-00009B360000}"/>
    <cellStyle name="Normal 25 2 49" xfId="7942" xr:uid="{00000000-0005-0000-0000-00009C360000}"/>
    <cellStyle name="Normal 25 2 49 2" xfId="20028" xr:uid="{00000000-0005-0000-0000-00009D360000}"/>
    <cellStyle name="Normal 25 2 5" xfId="7943" xr:uid="{00000000-0005-0000-0000-00009E360000}"/>
    <cellStyle name="Normal 25 2 5 2" xfId="20029" xr:uid="{00000000-0005-0000-0000-00009F360000}"/>
    <cellStyle name="Normal 25 2 50" xfId="7944" xr:uid="{00000000-0005-0000-0000-0000A0360000}"/>
    <cellStyle name="Normal 25 2 50 2" xfId="20030" xr:uid="{00000000-0005-0000-0000-0000A1360000}"/>
    <cellStyle name="Normal 25 2 51" xfId="7945" xr:uid="{00000000-0005-0000-0000-0000A2360000}"/>
    <cellStyle name="Normal 25 2 51 2" xfId="20031" xr:uid="{00000000-0005-0000-0000-0000A3360000}"/>
    <cellStyle name="Normal 25 2 52" xfId="7946" xr:uid="{00000000-0005-0000-0000-0000A4360000}"/>
    <cellStyle name="Normal 25 2 52 2" xfId="20032" xr:uid="{00000000-0005-0000-0000-0000A5360000}"/>
    <cellStyle name="Normal 25 2 53" xfId="7947" xr:uid="{00000000-0005-0000-0000-0000A6360000}"/>
    <cellStyle name="Normal 25 2 53 2" xfId="20033" xr:uid="{00000000-0005-0000-0000-0000A7360000}"/>
    <cellStyle name="Normal 25 2 54" xfId="7948" xr:uid="{00000000-0005-0000-0000-0000A8360000}"/>
    <cellStyle name="Normal 25 2 54 2" xfId="20034" xr:uid="{00000000-0005-0000-0000-0000A9360000}"/>
    <cellStyle name="Normal 25 2 55" xfId="7949" xr:uid="{00000000-0005-0000-0000-0000AA360000}"/>
    <cellStyle name="Normal 25 2 55 2" xfId="20035" xr:uid="{00000000-0005-0000-0000-0000AB360000}"/>
    <cellStyle name="Normal 25 2 56" xfId="7950" xr:uid="{00000000-0005-0000-0000-0000AC360000}"/>
    <cellStyle name="Normal 25 2 56 2" xfId="20036" xr:uid="{00000000-0005-0000-0000-0000AD360000}"/>
    <cellStyle name="Normal 25 2 57" xfId="7951" xr:uid="{00000000-0005-0000-0000-0000AE360000}"/>
    <cellStyle name="Normal 25 2 57 2" xfId="20037" xr:uid="{00000000-0005-0000-0000-0000AF360000}"/>
    <cellStyle name="Normal 25 2 58" xfId="7952" xr:uid="{00000000-0005-0000-0000-0000B0360000}"/>
    <cellStyle name="Normal 25 2 58 2" xfId="20038" xr:uid="{00000000-0005-0000-0000-0000B1360000}"/>
    <cellStyle name="Normal 25 2 59" xfId="7953" xr:uid="{00000000-0005-0000-0000-0000B2360000}"/>
    <cellStyle name="Normal 25 2 59 2" xfId="20039" xr:uid="{00000000-0005-0000-0000-0000B3360000}"/>
    <cellStyle name="Normal 25 2 6" xfId="7954" xr:uid="{00000000-0005-0000-0000-0000B4360000}"/>
    <cellStyle name="Normal 25 2 6 2" xfId="20040" xr:uid="{00000000-0005-0000-0000-0000B5360000}"/>
    <cellStyle name="Normal 25 2 60" xfId="7955" xr:uid="{00000000-0005-0000-0000-0000B6360000}"/>
    <cellStyle name="Normal 25 2 60 2" xfId="20041" xr:uid="{00000000-0005-0000-0000-0000B7360000}"/>
    <cellStyle name="Normal 25 2 61" xfId="7956" xr:uid="{00000000-0005-0000-0000-0000B8360000}"/>
    <cellStyle name="Normal 25 2 61 2" xfId="20042" xr:uid="{00000000-0005-0000-0000-0000B9360000}"/>
    <cellStyle name="Normal 25 2 62" xfId="7957" xr:uid="{00000000-0005-0000-0000-0000BA360000}"/>
    <cellStyle name="Normal 25 2 62 2" xfId="20043" xr:uid="{00000000-0005-0000-0000-0000BB360000}"/>
    <cellStyle name="Normal 25 2 63" xfId="7958" xr:uid="{00000000-0005-0000-0000-0000BC360000}"/>
    <cellStyle name="Normal 25 2 63 2" xfId="20044" xr:uid="{00000000-0005-0000-0000-0000BD360000}"/>
    <cellStyle name="Normal 25 2 64" xfId="7959" xr:uid="{00000000-0005-0000-0000-0000BE360000}"/>
    <cellStyle name="Normal 25 2 64 2" xfId="20045" xr:uid="{00000000-0005-0000-0000-0000BF360000}"/>
    <cellStyle name="Normal 25 2 65" xfId="7960" xr:uid="{00000000-0005-0000-0000-0000C0360000}"/>
    <cellStyle name="Normal 25 2 65 2" xfId="20046" xr:uid="{00000000-0005-0000-0000-0000C1360000}"/>
    <cellStyle name="Normal 25 2 66" xfId="7961" xr:uid="{00000000-0005-0000-0000-0000C2360000}"/>
    <cellStyle name="Normal 25 2 66 2" xfId="20047" xr:uid="{00000000-0005-0000-0000-0000C3360000}"/>
    <cellStyle name="Normal 25 2 67" xfId="7962" xr:uid="{00000000-0005-0000-0000-0000C4360000}"/>
    <cellStyle name="Normal 25 2 67 2" xfId="20048" xr:uid="{00000000-0005-0000-0000-0000C5360000}"/>
    <cellStyle name="Normal 25 2 68" xfId="7963" xr:uid="{00000000-0005-0000-0000-0000C6360000}"/>
    <cellStyle name="Normal 25 2 68 2" xfId="20049" xr:uid="{00000000-0005-0000-0000-0000C7360000}"/>
    <cellStyle name="Normal 25 2 69" xfId="7964" xr:uid="{00000000-0005-0000-0000-0000C8360000}"/>
    <cellStyle name="Normal 25 2 69 2" xfId="20050" xr:uid="{00000000-0005-0000-0000-0000C9360000}"/>
    <cellStyle name="Normal 25 2 7" xfId="7965" xr:uid="{00000000-0005-0000-0000-0000CA360000}"/>
    <cellStyle name="Normal 25 2 7 2" xfId="20051" xr:uid="{00000000-0005-0000-0000-0000CB360000}"/>
    <cellStyle name="Normal 25 2 70" xfId="7966" xr:uid="{00000000-0005-0000-0000-0000CC360000}"/>
    <cellStyle name="Normal 25 2 70 2" xfId="20052" xr:uid="{00000000-0005-0000-0000-0000CD360000}"/>
    <cellStyle name="Normal 25 2 71" xfId="7967" xr:uid="{00000000-0005-0000-0000-0000CE360000}"/>
    <cellStyle name="Normal 25 2 71 2" xfId="20053" xr:uid="{00000000-0005-0000-0000-0000CF360000}"/>
    <cellStyle name="Normal 25 2 72" xfId="7968" xr:uid="{00000000-0005-0000-0000-0000D0360000}"/>
    <cellStyle name="Normal 25 2 72 2" xfId="20054" xr:uid="{00000000-0005-0000-0000-0000D1360000}"/>
    <cellStyle name="Normal 25 2 73" xfId="7969" xr:uid="{00000000-0005-0000-0000-0000D2360000}"/>
    <cellStyle name="Normal 25 2 73 2" xfId="20055" xr:uid="{00000000-0005-0000-0000-0000D3360000}"/>
    <cellStyle name="Normal 25 2 74" xfId="7970" xr:uid="{00000000-0005-0000-0000-0000D4360000}"/>
    <cellStyle name="Normal 25 2 74 2" xfId="20056" xr:uid="{00000000-0005-0000-0000-0000D5360000}"/>
    <cellStyle name="Normal 25 2 75" xfId="7971" xr:uid="{00000000-0005-0000-0000-0000D6360000}"/>
    <cellStyle name="Normal 25 2 75 2" xfId="20057" xr:uid="{00000000-0005-0000-0000-0000D7360000}"/>
    <cellStyle name="Normal 25 2 76" xfId="7972" xr:uid="{00000000-0005-0000-0000-0000D8360000}"/>
    <cellStyle name="Normal 25 2 76 2" xfId="20058" xr:uid="{00000000-0005-0000-0000-0000D9360000}"/>
    <cellStyle name="Normal 25 2 77" xfId="7973" xr:uid="{00000000-0005-0000-0000-0000DA360000}"/>
    <cellStyle name="Normal 25 2 77 2" xfId="20059" xr:uid="{00000000-0005-0000-0000-0000DB360000}"/>
    <cellStyle name="Normal 25 2 78" xfId="7974" xr:uid="{00000000-0005-0000-0000-0000DC360000}"/>
    <cellStyle name="Normal 25 2 78 2" xfId="20060" xr:uid="{00000000-0005-0000-0000-0000DD360000}"/>
    <cellStyle name="Normal 25 2 79" xfId="7975" xr:uid="{00000000-0005-0000-0000-0000DE360000}"/>
    <cellStyle name="Normal 25 2 79 2" xfId="20061" xr:uid="{00000000-0005-0000-0000-0000DF360000}"/>
    <cellStyle name="Normal 25 2 8" xfId="7976" xr:uid="{00000000-0005-0000-0000-0000E0360000}"/>
    <cellStyle name="Normal 25 2 8 2" xfId="20062" xr:uid="{00000000-0005-0000-0000-0000E1360000}"/>
    <cellStyle name="Normal 25 2 80" xfId="19985" xr:uid="{00000000-0005-0000-0000-0000E2360000}"/>
    <cellStyle name="Normal 25 2 9" xfId="7977" xr:uid="{00000000-0005-0000-0000-0000E3360000}"/>
    <cellStyle name="Normal 25 2 9 2" xfId="20063" xr:uid="{00000000-0005-0000-0000-0000E4360000}"/>
    <cellStyle name="Normal 25 20" xfId="7978" xr:uid="{00000000-0005-0000-0000-0000E5360000}"/>
    <cellStyle name="Normal 25 20 2" xfId="20064" xr:uid="{00000000-0005-0000-0000-0000E6360000}"/>
    <cellStyle name="Normal 25 21" xfId="7979" xr:uid="{00000000-0005-0000-0000-0000E7360000}"/>
    <cellStyle name="Normal 25 21 2" xfId="20065" xr:uid="{00000000-0005-0000-0000-0000E8360000}"/>
    <cellStyle name="Normal 25 22" xfId="7980" xr:uid="{00000000-0005-0000-0000-0000E9360000}"/>
    <cellStyle name="Normal 25 22 2" xfId="20066" xr:uid="{00000000-0005-0000-0000-0000EA360000}"/>
    <cellStyle name="Normal 25 23" xfId="7981" xr:uid="{00000000-0005-0000-0000-0000EB360000}"/>
    <cellStyle name="Normal 25 23 2" xfId="20067" xr:uid="{00000000-0005-0000-0000-0000EC360000}"/>
    <cellStyle name="Normal 25 24" xfId="7982" xr:uid="{00000000-0005-0000-0000-0000ED360000}"/>
    <cellStyle name="Normal 25 24 2" xfId="20068" xr:uid="{00000000-0005-0000-0000-0000EE360000}"/>
    <cellStyle name="Normal 25 25" xfId="7983" xr:uid="{00000000-0005-0000-0000-0000EF360000}"/>
    <cellStyle name="Normal 25 25 2" xfId="20069" xr:uid="{00000000-0005-0000-0000-0000F0360000}"/>
    <cellStyle name="Normal 25 26" xfId="7984" xr:uid="{00000000-0005-0000-0000-0000F1360000}"/>
    <cellStyle name="Normal 25 26 2" xfId="20070" xr:uid="{00000000-0005-0000-0000-0000F2360000}"/>
    <cellStyle name="Normal 25 27" xfId="7985" xr:uid="{00000000-0005-0000-0000-0000F3360000}"/>
    <cellStyle name="Normal 25 27 2" xfId="20071" xr:uid="{00000000-0005-0000-0000-0000F4360000}"/>
    <cellStyle name="Normal 25 28" xfId="7986" xr:uid="{00000000-0005-0000-0000-0000F5360000}"/>
    <cellStyle name="Normal 25 28 2" xfId="20072" xr:uid="{00000000-0005-0000-0000-0000F6360000}"/>
    <cellStyle name="Normal 25 29" xfId="7987" xr:uid="{00000000-0005-0000-0000-0000F7360000}"/>
    <cellStyle name="Normal 25 29 2" xfId="20073" xr:uid="{00000000-0005-0000-0000-0000F8360000}"/>
    <cellStyle name="Normal 25 3" xfId="713" xr:uid="{00000000-0005-0000-0000-0000F9360000}"/>
    <cellStyle name="Normal 25 3 10" xfId="7989" xr:uid="{00000000-0005-0000-0000-0000FA360000}"/>
    <cellStyle name="Normal 25 3 10 2" xfId="20075" xr:uid="{00000000-0005-0000-0000-0000FB360000}"/>
    <cellStyle name="Normal 25 3 11" xfId="7990" xr:uid="{00000000-0005-0000-0000-0000FC360000}"/>
    <cellStyle name="Normal 25 3 11 2" xfId="20076" xr:uid="{00000000-0005-0000-0000-0000FD360000}"/>
    <cellStyle name="Normal 25 3 12" xfId="7991" xr:uid="{00000000-0005-0000-0000-0000FE360000}"/>
    <cellStyle name="Normal 25 3 12 2" xfId="20077" xr:uid="{00000000-0005-0000-0000-0000FF360000}"/>
    <cellStyle name="Normal 25 3 13" xfId="7992" xr:uid="{00000000-0005-0000-0000-000000370000}"/>
    <cellStyle name="Normal 25 3 13 2" xfId="20078" xr:uid="{00000000-0005-0000-0000-000001370000}"/>
    <cellStyle name="Normal 25 3 14" xfId="7993" xr:uid="{00000000-0005-0000-0000-000002370000}"/>
    <cellStyle name="Normal 25 3 14 2" xfId="20079" xr:uid="{00000000-0005-0000-0000-000003370000}"/>
    <cellStyle name="Normal 25 3 15" xfId="7994" xr:uid="{00000000-0005-0000-0000-000004370000}"/>
    <cellStyle name="Normal 25 3 15 2" xfId="20080" xr:uid="{00000000-0005-0000-0000-000005370000}"/>
    <cellStyle name="Normal 25 3 16" xfId="7995" xr:uid="{00000000-0005-0000-0000-000006370000}"/>
    <cellStyle name="Normal 25 3 16 2" xfId="20081" xr:uid="{00000000-0005-0000-0000-000007370000}"/>
    <cellStyle name="Normal 25 3 17" xfId="7996" xr:uid="{00000000-0005-0000-0000-000008370000}"/>
    <cellStyle name="Normal 25 3 17 2" xfId="20082" xr:uid="{00000000-0005-0000-0000-000009370000}"/>
    <cellStyle name="Normal 25 3 18" xfId="7997" xr:uid="{00000000-0005-0000-0000-00000A370000}"/>
    <cellStyle name="Normal 25 3 18 2" xfId="20083" xr:uid="{00000000-0005-0000-0000-00000B370000}"/>
    <cellStyle name="Normal 25 3 19" xfId="7998" xr:uid="{00000000-0005-0000-0000-00000C370000}"/>
    <cellStyle name="Normal 25 3 19 2" xfId="20084" xr:uid="{00000000-0005-0000-0000-00000D370000}"/>
    <cellStyle name="Normal 25 3 2" xfId="7999" xr:uid="{00000000-0005-0000-0000-00000E370000}"/>
    <cellStyle name="Normal 25 3 2 2" xfId="20085" xr:uid="{00000000-0005-0000-0000-00000F370000}"/>
    <cellStyle name="Normal 25 3 20" xfId="8000" xr:uid="{00000000-0005-0000-0000-000010370000}"/>
    <cellStyle name="Normal 25 3 20 2" xfId="20086" xr:uid="{00000000-0005-0000-0000-000011370000}"/>
    <cellStyle name="Normal 25 3 21" xfId="8001" xr:uid="{00000000-0005-0000-0000-000012370000}"/>
    <cellStyle name="Normal 25 3 21 2" xfId="20087" xr:uid="{00000000-0005-0000-0000-000013370000}"/>
    <cellStyle name="Normal 25 3 22" xfId="8002" xr:uid="{00000000-0005-0000-0000-000014370000}"/>
    <cellStyle name="Normal 25 3 22 2" xfId="20088" xr:uid="{00000000-0005-0000-0000-000015370000}"/>
    <cellStyle name="Normal 25 3 23" xfId="8003" xr:uid="{00000000-0005-0000-0000-000016370000}"/>
    <cellStyle name="Normal 25 3 23 2" xfId="20089" xr:uid="{00000000-0005-0000-0000-000017370000}"/>
    <cellStyle name="Normal 25 3 24" xfId="8004" xr:uid="{00000000-0005-0000-0000-000018370000}"/>
    <cellStyle name="Normal 25 3 24 2" xfId="20090" xr:uid="{00000000-0005-0000-0000-000019370000}"/>
    <cellStyle name="Normal 25 3 25" xfId="8005" xr:uid="{00000000-0005-0000-0000-00001A370000}"/>
    <cellStyle name="Normal 25 3 25 2" xfId="20091" xr:uid="{00000000-0005-0000-0000-00001B370000}"/>
    <cellStyle name="Normal 25 3 26" xfId="8006" xr:uid="{00000000-0005-0000-0000-00001C370000}"/>
    <cellStyle name="Normal 25 3 26 2" xfId="20092" xr:uid="{00000000-0005-0000-0000-00001D370000}"/>
    <cellStyle name="Normal 25 3 27" xfId="8007" xr:uid="{00000000-0005-0000-0000-00001E370000}"/>
    <cellStyle name="Normal 25 3 27 2" xfId="20093" xr:uid="{00000000-0005-0000-0000-00001F370000}"/>
    <cellStyle name="Normal 25 3 28" xfId="8008" xr:uid="{00000000-0005-0000-0000-000020370000}"/>
    <cellStyle name="Normal 25 3 28 2" xfId="20094" xr:uid="{00000000-0005-0000-0000-000021370000}"/>
    <cellStyle name="Normal 25 3 29" xfId="8009" xr:uid="{00000000-0005-0000-0000-000022370000}"/>
    <cellStyle name="Normal 25 3 29 2" xfId="20095" xr:uid="{00000000-0005-0000-0000-000023370000}"/>
    <cellStyle name="Normal 25 3 3" xfId="8010" xr:uid="{00000000-0005-0000-0000-000024370000}"/>
    <cellStyle name="Normal 25 3 3 2" xfId="20096" xr:uid="{00000000-0005-0000-0000-000025370000}"/>
    <cellStyle name="Normal 25 3 30" xfId="8011" xr:uid="{00000000-0005-0000-0000-000026370000}"/>
    <cellStyle name="Normal 25 3 30 2" xfId="20097" xr:uid="{00000000-0005-0000-0000-000027370000}"/>
    <cellStyle name="Normal 25 3 31" xfId="8012" xr:uid="{00000000-0005-0000-0000-000028370000}"/>
    <cellStyle name="Normal 25 3 31 2" xfId="20098" xr:uid="{00000000-0005-0000-0000-000029370000}"/>
    <cellStyle name="Normal 25 3 32" xfId="8013" xr:uid="{00000000-0005-0000-0000-00002A370000}"/>
    <cellStyle name="Normal 25 3 32 2" xfId="20099" xr:uid="{00000000-0005-0000-0000-00002B370000}"/>
    <cellStyle name="Normal 25 3 33" xfId="8014" xr:uid="{00000000-0005-0000-0000-00002C370000}"/>
    <cellStyle name="Normal 25 3 33 2" xfId="20100" xr:uid="{00000000-0005-0000-0000-00002D370000}"/>
    <cellStyle name="Normal 25 3 34" xfId="8015" xr:uid="{00000000-0005-0000-0000-00002E370000}"/>
    <cellStyle name="Normal 25 3 34 2" xfId="20101" xr:uid="{00000000-0005-0000-0000-00002F370000}"/>
    <cellStyle name="Normal 25 3 35" xfId="8016" xr:uid="{00000000-0005-0000-0000-000030370000}"/>
    <cellStyle name="Normal 25 3 35 2" xfId="20102" xr:uid="{00000000-0005-0000-0000-000031370000}"/>
    <cellStyle name="Normal 25 3 36" xfId="8017" xr:uid="{00000000-0005-0000-0000-000032370000}"/>
    <cellStyle name="Normal 25 3 36 2" xfId="20103" xr:uid="{00000000-0005-0000-0000-000033370000}"/>
    <cellStyle name="Normal 25 3 37" xfId="8018" xr:uid="{00000000-0005-0000-0000-000034370000}"/>
    <cellStyle name="Normal 25 3 37 2" xfId="20104" xr:uid="{00000000-0005-0000-0000-000035370000}"/>
    <cellStyle name="Normal 25 3 38" xfId="8019" xr:uid="{00000000-0005-0000-0000-000036370000}"/>
    <cellStyle name="Normal 25 3 38 2" xfId="20105" xr:uid="{00000000-0005-0000-0000-000037370000}"/>
    <cellStyle name="Normal 25 3 39" xfId="8020" xr:uid="{00000000-0005-0000-0000-000038370000}"/>
    <cellStyle name="Normal 25 3 39 2" xfId="20106" xr:uid="{00000000-0005-0000-0000-000039370000}"/>
    <cellStyle name="Normal 25 3 4" xfId="8021" xr:uid="{00000000-0005-0000-0000-00003A370000}"/>
    <cellStyle name="Normal 25 3 4 2" xfId="20107" xr:uid="{00000000-0005-0000-0000-00003B370000}"/>
    <cellStyle name="Normal 25 3 40" xfId="8022" xr:uid="{00000000-0005-0000-0000-00003C370000}"/>
    <cellStyle name="Normal 25 3 40 2" xfId="20108" xr:uid="{00000000-0005-0000-0000-00003D370000}"/>
    <cellStyle name="Normal 25 3 41" xfId="8023" xr:uid="{00000000-0005-0000-0000-00003E370000}"/>
    <cellStyle name="Normal 25 3 41 2" xfId="20109" xr:uid="{00000000-0005-0000-0000-00003F370000}"/>
    <cellStyle name="Normal 25 3 42" xfId="8024" xr:uid="{00000000-0005-0000-0000-000040370000}"/>
    <cellStyle name="Normal 25 3 42 2" xfId="20110" xr:uid="{00000000-0005-0000-0000-000041370000}"/>
    <cellStyle name="Normal 25 3 43" xfId="8025" xr:uid="{00000000-0005-0000-0000-000042370000}"/>
    <cellStyle name="Normal 25 3 43 2" xfId="20111" xr:uid="{00000000-0005-0000-0000-000043370000}"/>
    <cellStyle name="Normal 25 3 44" xfId="8026" xr:uid="{00000000-0005-0000-0000-000044370000}"/>
    <cellStyle name="Normal 25 3 44 2" xfId="20112" xr:uid="{00000000-0005-0000-0000-000045370000}"/>
    <cellStyle name="Normal 25 3 45" xfId="8027" xr:uid="{00000000-0005-0000-0000-000046370000}"/>
    <cellStyle name="Normal 25 3 45 2" xfId="20113" xr:uid="{00000000-0005-0000-0000-000047370000}"/>
    <cellStyle name="Normal 25 3 46" xfId="8028" xr:uid="{00000000-0005-0000-0000-000048370000}"/>
    <cellStyle name="Normal 25 3 46 2" xfId="20114" xr:uid="{00000000-0005-0000-0000-000049370000}"/>
    <cellStyle name="Normal 25 3 47" xfId="8029" xr:uid="{00000000-0005-0000-0000-00004A370000}"/>
    <cellStyle name="Normal 25 3 47 2" xfId="20115" xr:uid="{00000000-0005-0000-0000-00004B370000}"/>
    <cellStyle name="Normal 25 3 48" xfId="8030" xr:uid="{00000000-0005-0000-0000-00004C370000}"/>
    <cellStyle name="Normal 25 3 48 2" xfId="20116" xr:uid="{00000000-0005-0000-0000-00004D370000}"/>
    <cellStyle name="Normal 25 3 49" xfId="8031" xr:uid="{00000000-0005-0000-0000-00004E370000}"/>
    <cellStyle name="Normal 25 3 49 2" xfId="20117" xr:uid="{00000000-0005-0000-0000-00004F370000}"/>
    <cellStyle name="Normal 25 3 5" xfId="8032" xr:uid="{00000000-0005-0000-0000-000050370000}"/>
    <cellStyle name="Normal 25 3 5 2" xfId="20118" xr:uid="{00000000-0005-0000-0000-000051370000}"/>
    <cellStyle name="Normal 25 3 50" xfId="8033" xr:uid="{00000000-0005-0000-0000-000052370000}"/>
    <cellStyle name="Normal 25 3 50 2" xfId="20119" xr:uid="{00000000-0005-0000-0000-000053370000}"/>
    <cellStyle name="Normal 25 3 51" xfId="8034" xr:uid="{00000000-0005-0000-0000-000054370000}"/>
    <cellStyle name="Normal 25 3 51 2" xfId="20120" xr:uid="{00000000-0005-0000-0000-000055370000}"/>
    <cellStyle name="Normal 25 3 52" xfId="8035" xr:uid="{00000000-0005-0000-0000-000056370000}"/>
    <cellStyle name="Normal 25 3 52 2" xfId="20121" xr:uid="{00000000-0005-0000-0000-000057370000}"/>
    <cellStyle name="Normal 25 3 53" xfId="8036" xr:uid="{00000000-0005-0000-0000-000058370000}"/>
    <cellStyle name="Normal 25 3 53 2" xfId="20122" xr:uid="{00000000-0005-0000-0000-000059370000}"/>
    <cellStyle name="Normal 25 3 54" xfId="8037" xr:uid="{00000000-0005-0000-0000-00005A370000}"/>
    <cellStyle name="Normal 25 3 54 2" xfId="20123" xr:uid="{00000000-0005-0000-0000-00005B370000}"/>
    <cellStyle name="Normal 25 3 55" xfId="8038" xr:uid="{00000000-0005-0000-0000-00005C370000}"/>
    <cellStyle name="Normal 25 3 55 2" xfId="20124" xr:uid="{00000000-0005-0000-0000-00005D370000}"/>
    <cellStyle name="Normal 25 3 56" xfId="8039" xr:uid="{00000000-0005-0000-0000-00005E370000}"/>
    <cellStyle name="Normal 25 3 56 2" xfId="20125" xr:uid="{00000000-0005-0000-0000-00005F370000}"/>
    <cellStyle name="Normal 25 3 57" xfId="8040" xr:uid="{00000000-0005-0000-0000-000060370000}"/>
    <cellStyle name="Normal 25 3 57 2" xfId="20126" xr:uid="{00000000-0005-0000-0000-000061370000}"/>
    <cellStyle name="Normal 25 3 58" xfId="8041" xr:uid="{00000000-0005-0000-0000-000062370000}"/>
    <cellStyle name="Normal 25 3 58 2" xfId="20127" xr:uid="{00000000-0005-0000-0000-000063370000}"/>
    <cellStyle name="Normal 25 3 59" xfId="8042" xr:uid="{00000000-0005-0000-0000-000064370000}"/>
    <cellStyle name="Normal 25 3 59 2" xfId="20128" xr:uid="{00000000-0005-0000-0000-000065370000}"/>
    <cellStyle name="Normal 25 3 6" xfId="8043" xr:uid="{00000000-0005-0000-0000-000066370000}"/>
    <cellStyle name="Normal 25 3 6 2" xfId="20129" xr:uid="{00000000-0005-0000-0000-000067370000}"/>
    <cellStyle name="Normal 25 3 60" xfId="8044" xr:uid="{00000000-0005-0000-0000-000068370000}"/>
    <cellStyle name="Normal 25 3 60 2" xfId="20130" xr:uid="{00000000-0005-0000-0000-000069370000}"/>
    <cellStyle name="Normal 25 3 61" xfId="8045" xr:uid="{00000000-0005-0000-0000-00006A370000}"/>
    <cellStyle name="Normal 25 3 61 2" xfId="20131" xr:uid="{00000000-0005-0000-0000-00006B370000}"/>
    <cellStyle name="Normal 25 3 62" xfId="8046" xr:uid="{00000000-0005-0000-0000-00006C370000}"/>
    <cellStyle name="Normal 25 3 62 2" xfId="20132" xr:uid="{00000000-0005-0000-0000-00006D370000}"/>
    <cellStyle name="Normal 25 3 63" xfId="8047" xr:uid="{00000000-0005-0000-0000-00006E370000}"/>
    <cellStyle name="Normal 25 3 63 2" xfId="20133" xr:uid="{00000000-0005-0000-0000-00006F370000}"/>
    <cellStyle name="Normal 25 3 64" xfId="8048" xr:uid="{00000000-0005-0000-0000-000070370000}"/>
    <cellStyle name="Normal 25 3 64 2" xfId="20134" xr:uid="{00000000-0005-0000-0000-000071370000}"/>
    <cellStyle name="Normal 25 3 65" xfId="8049" xr:uid="{00000000-0005-0000-0000-000072370000}"/>
    <cellStyle name="Normal 25 3 65 2" xfId="20135" xr:uid="{00000000-0005-0000-0000-000073370000}"/>
    <cellStyle name="Normal 25 3 66" xfId="8050" xr:uid="{00000000-0005-0000-0000-000074370000}"/>
    <cellStyle name="Normal 25 3 66 2" xfId="20136" xr:uid="{00000000-0005-0000-0000-000075370000}"/>
    <cellStyle name="Normal 25 3 67" xfId="8051" xr:uid="{00000000-0005-0000-0000-000076370000}"/>
    <cellStyle name="Normal 25 3 67 2" xfId="20137" xr:uid="{00000000-0005-0000-0000-000077370000}"/>
    <cellStyle name="Normal 25 3 68" xfId="8052" xr:uid="{00000000-0005-0000-0000-000078370000}"/>
    <cellStyle name="Normal 25 3 68 2" xfId="20138" xr:uid="{00000000-0005-0000-0000-000079370000}"/>
    <cellStyle name="Normal 25 3 69" xfId="8053" xr:uid="{00000000-0005-0000-0000-00007A370000}"/>
    <cellStyle name="Normal 25 3 69 2" xfId="20139" xr:uid="{00000000-0005-0000-0000-00007B370000}"/>
    <cellStyle name="Normal 25 3 7" xfId="8054" xr:uid="{00000000-0005-0000-0000-00007C370000}"/>
    <cellStyle name="Normal 25 3 7 2" xfId="20140" xr:uid="{00000000-0005-0000-0000-00007D370000}"/>
    <cellStyle name="Normal 25 3 70" xfId="8055" xr:uid="{00000000-0005-0000-0000-00007E370000}"/>
    <cellStyle name="Normal 25 3 70 2" xfId="20141" xr:uid="{00000000-0005-0000-0000-00007F370000}"/>
    <cellStyle name="Normal 25 3 71" xfId="8056" xr:uid="{00000000-0005-0000-0000-000080370000}"/>
    <cellStyle name="Normal 25 3 71 2" xfId="20142" xr:uid="{00000000-0005-0000-0000-000081370000}"/>
    <cellStyle name="Normal 25 3 72" xfId="8057" xr:uid="{00000000-0005-0000-0000-000082370000}"/>
    <cellStyle name="Normal 25 3 72 2" xfId="20143" xr:uid="{00000000-0005-0000-0000-000083370000}"/>
    <cellStyle name="Normal 25 3 73" xfId="8058" xr:uid="{00000000-0005-0000-0000-000084370000}"/>
    <cellStyle name="Normal 25 3 73 2" xfId="20144" xr:uid="{00000000-0005-0000-0000-000085370000}"/>
    <cellStyle name="Normal 25 3 74" xfId="8059" xr:uid="{00000000-0005-0000-0000-000086370000}"/>
    <cellStyle name="Normal 25 3 74 2" xfId="20145" xr:uid="{00000000-0005-0000-0000-000087370000}"/>
    <cellStyle name="Normal 25 3 75" xfId="8060" xr:uid="{00000000-0005-0000-0000-000088370000}"/>
    <cellStyle name="Normal 25 3 75 2" xfId="20146" xr:uid="{00000000-0005-0000-0000-000089370000}"/>
    <cellStyle name="Normal 25 3 76" xfId="8061" xr:uid="{00000000-0005-0000-0000-00008A370000}"/>
    <cellStyle name="Normal 25 3 76 2" xfId="20147" xr:uid="{00000000-0005-0000-0000-00008B370000}"/>
    <cellStyle name="Normal 25 3 77" xfId="8062" xr:uid="{00000000-0005-0000-0000-00008C370000}"/>
    <cellStyle name="Normal 25 3 77 2" xfId="20148" xr:uid="{00000000-0005-0000-0000-00008D370000}"/>
    <cellStyle name="Normal 25 3 78" xfId="8063" xr:uid="{00000000-0005-0000-0000-00008E370000}"/>
    <cellStyle name="Normal 25 3 78 2" xfId="20149" xr:uid="{00000000-0005-0000-0000-00008F370000}"/>
    <cellStyle name="Normal 25 3 79" xfId="8064" xr:uid="{00000000-0005-0000-0000-000090370000}"/>
    <cellStyle name="Normal 25 3 79 2" xfId="20150" xr:uid="{00000000-0005-0000-0000-000091370000}"/>
    <cellStyle name="Normal 25 3 8" xfId="8065" xr:uid="{00000000-0005-0000-0000-000092370000}"/>
    <cellStyle name="Normal 25 3 8 2" xfId="20151" xr:uid="{00000000-0005-0000-0000-000093370000}"/>
    <cellStyle name="Normal 25 3 80" xfId="20074" xr:uid="{00000000-0005-0000-0000-000094370000}"/>
    <cellStyle name="Normal 25 3 81" xfId="7988" xr:uid="{00000000-0005-0000-0000-000095370000}"/>
    <cellStyle name="Normal 25 3 9" xfId="8066" xr:uid="{00000000-0005-0000-0000-000096370000}"/>
    <cellStyle name="Normal 25 3 9 2" xfId="20152" xr:uid="{00000000-0005-0000-0000-000097370000}"/>
    <cellStyle name="Normal 25 30" xfId="8067" xr:uid="{00000000-0005-0000-0000-000098370000}"/>
    <cellStyle name="Normal 25 30 2" xfId="20153" xr:uid="{00000000-0005-0000-0000-000099370000}"/>
    <cellStyle name="Normal 25 31" xfId="8068" xr:uid="{00000000-0005-0000-0000-00009A370000}"/>
    <cellStyle name="Normal 25 31 2" xfId="20154" xr:uid="{00000000-0005-0000-0000-00009B370000}"/>
    <cellStyle name="Normal 25 32" xfId="8069" xr:uid="{00000000-0005-0000-0000-00009C370000}"/>
    <cellStyle name="Normal 25 32 2" xfId="20155" xr:uid="{00000000-0005-0000-0000-00009D370000}"/>
    <cellStyle name="Normal 25 33" xfId="8070" xr:uid="{00000000-0005-0000-0000-00009E370000}"/>
    <cellStyle name="Normal 25 33 2" xfId="20156" xr:uid="{00000000-0005-0000-0000-00009F370000}"/>
    <cellStyle name="Normal 25 34" xfId="8071" xr:uid="{00000000-0005-0000-0000-0000A0370000}"/>
    <cellStyle name="Normal 25 34 2" xfId="20157" xr:uid="{00000000-0005-0000-0000-0000A1370000}"/>
    <cellStyle name="Normal 25 35" xfId="8072" xr:uid="{00000000-0005-0000-0000-0000A2370000}"/>
    <cellStyle name="Normal 25 35 2" xfId="20158" xr:uid="{00000000-0005-0000-0000-0000A3370000}"/>
    <cellStyle name="Normal 25 36" xfId="8073" xr:uid="{00000000-0005-0000-0000-0000A4370000}"/>
    <cellStyle name="Normal 25 36 2" xfId="20159" xr:uid="{00000000-0005-0000-0000-0000A5370000}"/>
    <cellStyle name="Normal 25 37" xfId="8074" xr:uid="{00000000-0005-0000-0000-0000A6370000}"/>
    <cellStyle name="Normal 25 37 2" xfId="20160" xr:uid="{00000000-0005-0000-0000-0000A7370000}"/>
    <cellStyle name="Normal 25 38" xfId="8075" xr:uid="{00000000-0005-0000-0000-0000A8370000}"/>
    <cellStyle name="Normal 25 38 2" xfId="20161" xr:uid="{00000000-0005-0000-0000-0000A9370000}"/>
    <cellStyle name="Normal 25 39" xfId="8076" xr:uid="{00000000-0005-0000-0000-0000AA370000}"/>
    <cellStyle name="Normal 25 39 2" xfId="20162" xr:uid="{00000000-0005-0000-0000-0000AB370000}"/>
    <cellStyle name="Normal 25 4" xfId="311" xr:uid="{00000000-0005-0000-0000-0000AC370000}"/>
    <cellStyle name="Normal 25 4 10" xfId="8077" xr:uid="{00000000-0005-0000-0000-0000AD370000}"/>
    <cellStyle name="Normal 25 4 10 2" xfId="20164" xr:uid="{00000000-0005-0000-0000-0000AE370000}"/>
    <cellStyle name="Normal 25 4 11" xfId="8078" xr:uid="{00000000-0005-0000-0000-0000AF370000}"/>
    <cellStyle name="Normal 25 4 11 2" xfId="20165" xr:uid="{00000000-0005-0000-0000-0000B0370000}"/>
    <cellStyle name="Normal 25 4 12" xfId="8079" xr:uid="{00000000-0005-0000-0000-0000B1370000}"/>
    <cellStyle name="Normal 25 4 12 2" xfId="20166" xr:uid="{00000000-0005-0000-0000-0000B2370000}"/>
    <cellStyle name="Normal 25 4 13" xfId="8080" xr:uid="{00000000-0005-0000-0000-0000B3370000}"/>
    <cellStyle name="Normal 25 4 13 2" xfId="20167" xr:uid="{00000000-0005-0000-0000-0000B4370000}"/>
    <cellStyle name="Normal 25 4 14" xfId="8081" xr:uid="{00000000-0005-0000-0000-0000B5370000}"/>
    <cellStyle name="Normal 25 4 14 2" xfId="20168" xr:uid="{00000000-0005-0000-0000-0000B6370000}"/>
    <cellStyle name="Normal 25 4 15" xfId="8082" xr:uid="{00000000-0005-0000-0000-0000B7370000}"/>
    <cellStyle name="Normal 25 4 15 2" xfId="20169" xr:uid="{00000000-0005-0000-0000-0000B8370000}"/>
    <cellStyle name="Normal 25 4 16" xfId="8083" xr:uid="{00000000-0005-0000-0000-0000B9370000}"/>
    <cellStyle name="Normal 25 4 16 2" xfId="20170" xr:uid="{00000000-0005-0000-0000-0000BA370000}"/>
    <cellStyle name="Normal 25 4 17" xfId="8084" xr:uid="{00000000-0005-0000-0000-0000BB370000}"/>
    <cellStyle name="Normal 25 4 17 2" xfId="20171" xr:uid="{00000000-0005-0000-0000-0000BC370000}"/>
    <cellStyle name="Normal 25 4 18" xfId="8085" xr:uid="{00000000-0005-0000-0000-0000BD370000}"/>
    <cellStyle name="Normal 25 4 18 2" xfId="20172" xr:uid="{00000000-0005-0000-0000-0000BE370000}"/>
    <cellStyle name="Normal 25 4 19" xfId="8086" xr:uid="{00000000-0005-0000-0000-0000BF370000}"/>
    <cellStyle name="Normal 25 4 19 2" xfId="20173" xr:uid="{00000000-0005-0000-0000-0000C0370000}"/>
    <cellStyle name="Normal 25 4 2" xfId="8087" xr:uid="{00000000-0005-0000-0000-0000C1370000}"/>
    <cellStyle name="Normal 25 4 2 2" xfId="20174" xr:uid="{00000000-0005-0000-0000-0000C2370000}"/>
    <cellStyle name="Normal 25 4 20" xfId="8088" xr:uid="{00000000-0005-0000-0000-0000C3370000}"/>
    <cellStyle name="Normal 25 4 20 2" xfId="20175" xr:uid="{00000000-0005-0000-0000-0000C4370000}"/>
    <cellStyle name="Normal 25 4 21" xfId="8089" xr:uid="{00000000-0005-0000-0000-0000C5370000}"/>
    <cellStyle name="Normal 25 4 21 2" xfId="20176" xr:uid="{00000000-0005-0000-0000-0000C6370000}"/>
    <cellStyle name="Normal 25 4 22" xfId="8090" xr:uid="{00000000-0005-0000-0000-0000C7370000}"/>
    <cellStyle name="Normal 25 4 22 2" xfId="20177" xr:uid="{00000000-0005-0000-0000-0000C8370000}"/>
    <cellStyle name="Normal 25 4 23" xfId="8091" xr:uid="{00000000-0005-0000-0000-0000C9370000}"/>
    <cellStyle name="Normal 25 4 23 2" xfId="20178" xr:uid="{00000000-0005-0000-0000-0000CA370000}"/>
    <cellStyle name="Normal 25 4 24" xfId="8092" xr:uid="{00000000-0005-0000-0000-0000CB370000}"/>
    <cellStyle name="Normal 25 4 24 2" xfId="20179" xr:uid="{00000000-0005-0000-0000-0000CC370000}"/>
    <cellStyle name="Normal 25 4 25" xfId="8093" xr:uid="{00000000-0005-0000-0000-0000CD370000}"/>
    <cellStyle name="Normal 25 4 25 2" xfId="20180" xr:uid="{00000000-0005-0000-0000-0000CE370000}"/>
    <cellStyle name="Normal 25 4 26" xfId="8094" xr:uid="{00000000-0005-0000-0000-0000CF370000}"/>
    <cellStyle name="Normal 25 4 26 2" xfId="20181" xr:uid="{00000000-0005-0000-0000-0000D0370000}"/>
    <cellStyle name="Normal 25 4 27" xfId="8095" xr:uid="{00000000-0005-0000-0000-0000D1370000}"/>
    <cellStyle name="Normal 25 4 27 2" xfId="20182" xr:uid="{00000000-0005-0000-0000-0000D2370000}"/>
    <cellStyle name="Normal 25 4 28" xfId="8096" xr:uid="{00000000-0005-0000-0000-0000D3370000}"/>
    <cellStyle name="Normal 25 4 28 2" xfId="20183" xr:uid="{00000000-0005-0000-0000-0000D4370000}"/>
    <cellStyle name="Normal 25 4 29" xfId="8097" xr:uid="{00000000-0005-0000-0000-0000D5370000}"/>
    <cellStyle name="Normal 25 4 29 2" xfId="20184" xr:uid="{00000000-0005-0000-0000-0000D6370000}"/>
    <cellStyle name="Normal 25 4 3" xfId="8098" xr:uid="{00000000-0005-0000-0000-0000D7370000}"/>
    <cellStyle name="Normal 25 4 3 2" xfId="20185" xr:uid="{00000000-0005-0000-0000-0000D8370000}"/>
    <cellStyle name="Normal 25 4 30" xfId="8099" xr:uid="{00000000-0005-0000-0000-0000D9370000}"/>
    <cellStyle name="Normal 25 4 30 2" xfId="20186" xr:uid="{00000000-0005-0000-0000-0000DA370000}"/>
    <cellStyle name="Normal 25 4 31" xfId="8100" xr:uid="{00000000-0005-0000-0000-0000DB370000}"/>
    <cellStyle name="Normal 25 4 31 2" xfId="20187" xr:uid="{00000000-0005-0000-0000-0000DC370000}"/>
    <cellStyle name="Normal 25 4 32" xfId="8101" xr:uid="{00000000-0005-0000-0000-0000DD370000}"/>
    <cellStyle name="Normal 25 4 32 2" xfId="20188" xr:uid="{00000000-0005-0000-0000-0000DE370000}"/>
    <cellStyle name="Normal 25 4 33" xfId="8102" xr:uid="{00000000-0005-0000-0000-0000DF370000}"/>
    <cellStyle name="Normal 25 4 33 2" xfId="20189" xr:uid="{00000000-0005-0000-0000-0000E0370000}"/>
    <cellStyle name="Normal 25 4 34" xfId="8103" xr:uid="{00000000-0005-0000-0000-0000E1370000}"/>
    <cellStyle name="Normal 25 4 34 2" xfId="20190" xr:uid="{00000000-0005-0000-0000-0000E2370000}"/>
    <cellStyle name="Normal 25 4 35" xfId="8104" xr:uid="{00000000-0005-0000-0000-0000E3370000}"/>
    <cellStyle name="Normal 25 4 35 2" xfId="20191" xr:uid="{00000000-0005-0000-0000-0000E4370000}"/>
    <cellStyle name="Normal 25 4 36" xfId="8105" xr:uid="{00000000-0005-0000-0000-0000E5370000}"/>
    <cellStyle name="Normal 25 4 36 2" xfId="20192" xr:uid="{00000000-0005-0000-0000-0000E6370000}"/>
    <cellStyle name="Normal 25 4 37" xfId="8106" xr:uid="{00000000-0005-0000-0000-0000E7370000}"/>
    <cellStyle name="Normal 25 4 37 2" xfId="20193" xr:uid="{00000000-0005-0000-0000-0000E8370000}"/>
    <cellStyle name="Normal 25 4 38" xfId="8107" xr:uid="{00000000-0005-0000-0000-0000E9370000}"/>
    <cellStyle name="Normal 25 4 38 2" xfId="20194" xr:uid="{00000000-0005-0000-0000-0000EA370000}"/>
    <cellStyle name="Normal 25 4 39" xfId="8108" xr:uid="{00000000-0005-0000-0000-0000EB370000}"/>
    <cellStyle name="Normal 25 4 39 2" xfId="20195" xr:uid="{00000000-0005-0000-0000-0000EC370000}"/>
    <cellStyle name="Normal 25 4 4" xfId="8109" xr:uid="{00000000-0005-0000-0000-0000ED370000}"/>
    <cellStyle name="Normal 25 4 4 2" xfId="20196" xr:uid="{00000000-0005-0000-0000-0000EE370000}"/>
    <cellStyle name="Normal 25 4 40" xfId="8110" xr:uid="{00000000-0005-0000-0000-0000EF370000}"/>
    <cellStyle name="Normal 25 4 40 2" xfId="20197" xr:uid="{00000000-0005-0000-0000-0000F0370000}"/>
    <cellStyle name="Normal 25 4 41" xfId="8111" xr:uid="{00000000-0005-0000-0000-0000F1370000}"/>
    <cellStyle name="Normal 25 4 41 2" xfId="20198" xr:uid="{00000000-0005-0000-0000-0000F2370000}"/>
    <cellStyle name="Normal 25 4 42" xfId="8112" xr:uid="{00000000-0005-0000-0000-0000F3370000}"/>
    <cellStyle name="Normal 25 4 42 2" xfId="20199" xr:uid="{00000000-0005-0000-0000-0000F4370000}"/>
    <cellStyle name="Normal 25 4 43" xfId="8113" xr:uid="{00000000-0005-0000-0000-0000F5370000}"/>
    <cellStyle name="Normal 25 4 43 2" xfId="20200" xr:uid="{00000000-0005-0000-0000-0000F6370000}"/>
    <cellStyle name="Normal 25 4 44" xfId="8114" xr:uid="{00000000-0005-0000-0000-0000F7370000}"/>
    <cellStyle name="Normal 25 4 44 2" xfId="20201" xr:uid="{00000000-0005-0000-0000-0000F8370000}"/>
    <cellStyle name="Normal 25 4 45" xfId="8115" xr:uid="{00000000-0005-0000-0000-0000F9370000}"/>
    <cellStyle name="Normal 25 4 45 2" xfId="20202" xr:uid="{00000000-0005-0000-0000-0000FA370000}"/>
    <cellStyle name="Normal 25 4 46" xfId="8116" xr:uid="{00000000-0005-0000-0000-0000FB370000}"/>
    <cellStyle name="Normal 25 4 46 2" xfId="20203" xr:uid="{00000000-0005-0000-0000-0000FC370000}"/>
    <cellStyle name="Normal 25 4 47" xfId="8117" xr:uid="{00000000-0005-0000-0000-0000FD370000}"/>
    <cellStyle name="Normal 25 4 47 2" xfId="20204" xr:uid="{00000000-0005-0000-0000-0000FE370000}"/>
    <cellStyle name="Normal 25 4 48" xfId="8118" xr:uid="{00000000-0005-0000-0000-0000FF370000}"/>
    <cellStyle name="Normal 25 4 48 2" xfId="20205" xr:uid="{00000000-0005-0000-0000-000000380000}"/>
    <cellStyle name="Normal 25 4 49" xfId="8119" xr:uid="{00000000-0005-0000-0000-000001380000}"/>
    <cellStyle name="Normal 25 4 49 2" xfId="20206" xr:uid="{00000000-0005-0000-0000-000002380000}"/>
    <cellStyle name="Normal 25 4 5" xfId="8120" xr:uid="{00000000-0005-0000-0000-000003380000}"/>
    <cellStyle name="Normal 25 4 5 2" xfId="20207" xr:uid="{00000000-0005-0000-0000-000004380000}"/>
    <cellStyle name="Normal 25 4 50" xfId="8121" xr:uid="{00000000-0005-0000-0000-000005380000}"/>
    <cellStyle name="Normal 25 4 50 2" xfId="20208" xr:uid="{00000000-0005-0000-0000-000006380000}"/>
    <cellStyle name="Normal 25 4 51" xfId="8122" xr:uid="{00000000-0005-0000-0000-000007380000}"/>
    <cellStyle name="Normal 25 4 51 2" xfId="20209" xr:uid="{00000000-0005-0000-0000-000008380000}"/>
    <cellStyle name="Normal 25 4 52" xfId="8123" xr:uid="{00000000-0005-0000-0000-000009380000}"/>
    <cellStyle name="Normal 25 4 52 2" xfId="20210" xr:uid="{00000000-0005-0000-0000-00000A380000}"/>
    <cellStyle name="Normal 25 4 53" xfId="8124" xr:uid="{00000000-0005-0000-0000-00000B380000}"/>
    <cellStyle name="Normal 25 4 53 2" xfId="20211" xr:uid="{00000000-0005-0000-0000-00000C380000}"/>
    <cellStyle name="Normal 25 4 54" xfId="8125" xr:uid="{00000000-0005-0000-0000-00000D380000}"/>
    <cellStyle name="Normal 25 4 54 2" xfId="20212" xr:uid="{00000000-0005-0000-0000-00000E380000}"/>
    <cellStyle name="Normal 25 4 55" xfId="8126" xr:uid="{00000000-0005-0000-0000-00000F380000}"/>
    <cellStyle name="Normal 25 4 55 2" xfId="20213" xr:uid="{00000000-0005-0000-0000-000010380000}"/>
    <cellStyle name="Normal 25 4 56" xfId="8127" xr:uid="{00000000-0005-0000-0000-000011380000}"/>
    <cellStyle name="Normal 25 4 56 2" xfId="20214" xr:uid="{00000000-0005-0000-0000-000012380000}"/>
    <cellStyle name="Normal 25 4 57" xfId="8128" xr:uid="{00000000-0005-0000-0000-000013380000}"/>
    <cellStyle name="Normal 25 4 57 2" xfId="20215" xr:uid="{00000000-0005-0000-0000-000014380000}"/>
    <cellStyle name="Normal 25 4 58" xfId="8129" xr:uid="{00000000-0005-0000-0000-000015380000}"/>
    <cellStyle name="Normal 25 4 58 2" xfId="20216" xr:uid="{00000000-0005-0000-0000-000016380000}"/>
    <cellStyle name="Normal 25 4 59" xfId="8130" xr:uid="{00000000-0005-0000-0000-000017380000}"/>
    <cellStyle name="Normal 25 4 59 2" xfId="20217" xr:uid="{00000000-0005-0000-0000-000018380000}"/>
    <cellStyle name="Normal 25 4 6" xfId="8131" xr:uid="{00000000-0005-0000-0000-000019380000}"/>
    <cellStyle name="Normal 25 4 6 2" xfId="20218" xr:uid="{00000000-0005-0000-0000-00001A380000}"/>
    <cellStyle name="Normal 25 4 60" xfId="8132" xr:uid="{00000000-0005-0000-0000-00001B380000}"/>
    <cellStyle name="Normal 25 4 60 2" xfId="20219" xr:uid="{00000000-0005-0000-0000-00001C380000}"/>
    <cellStyle name="Normal 25 4 61" xfId="8133" xr:uid="{00000000-0005-0000-0000-00001D380000}"/>
    <cellStyle name="Normal 25 4 61 2" xfId="20220" xr:uid="{00000000-0005-0000-0000-00001E380000}"/>
    <cellStyle name="Normal 25 4 62" xfId="8134" xr:uid="{00000000-0005-0000-0000-00001F380000}"/>
    <cellStyle name="Normal 25 4 62 2" xfId="20221" xr:uid="{00000000-0005-0000-0000-000020380000}"/>
    <cellStyle name="Normal 25 4 63" xfId="8135" xr:uid="{00000000-0005-0000-0000-000021380000}"/>
    <cellStyle name="Normal 25 4 63 2" xfId="20222" xr:uid="{00000000-0005-0000-0000-000022380000}"/>
    <cellStyle name="Normal 25 4 64" xfId="8136" xr:uid="{00000000-0005-0000-0000-000023380000}"/>
    <cellStyle name="Normal 25 4 64 2" xfId="20223" xr:uid="{00000000-0005-0000-0000-000024380000}"/>
    <cellStyle name="Normal 25 4 65" xfId="8137" xr:uid="{00000000-0005-0000-0000-000025380000}"/>
    <cellStyle name="Normal 25 4 65 2" xfId="20224" xr:uid="{00000000-0005-0000-0000-000026380000}"/>
    <cellStyle name="Normal 25 4 66" xfId="8138" xr:uid="{00000000-0005-0000-0000-000027380000}"/>
    <cellStyle name="Normal 25 4 66 2" xfId="20225" xr:uid="{00000000-0005-0000-0000-000028380000}"/>
    <cellStyle name="Normal 25 4 67" xfId="8139" xr:uid="{00000000-0005-0000-0000-000029380000}"/>
    <cellStyle name="Normal 25 4 67 2" xfId="20226" xr:uid="{00000000-0005-0000-0000-00002A380000}"/>
    <cellStyle name="Normal 25 4 68" xfId="8140" xr:uid="{00000000-0005-0000-0000-00002B380000}"/>
    <cellStyle name="Normal 25 4 68 2" xfId="20227" xr:uid="{00000000-0005-0000-0000-00002C380000}"/>
    <cellStyle name="Normal 25 4 69" xfId="8141" xr:uid="{00000000-0005-0000-0000-00002D380000}"/>
    <cellStyle name="Normal 25 4 69 2" xfId="20228" xr:uid="{00000000-0005-0000-0000-00002E380000}"/>
    <cellStyle name="Normal 25 4 7" xfId="8142" xr:uid="{00000000-0005-0000-0000-00002F380000}"/>
    <cellStyle name="Normal 25 4 7 2" xfId="20229" xr:uid="{00000000-0005-0000-0000-000030380000}"/>
    <cellStyle name="Normal 25 4 70" xfId="8143" xr:uid="{00000000-0005-0000-0000-000031380000}"/>
    <cellStyle name="Normal 25 4 70 2" xfId="20230" xr:uid="{00000000-0005-0000-0000-000032380000}"/>
    <cellStyle name="Normal 25 4 71" xfId="8144" xr:uid="{00000000-0005-0000-0000-000033380000}"/>
    <cellStyle name="Normal 25 4 71 2" xfId="20231" xr:uid="{00000000-0005-0000-0000-000034380000}"/>
    <cellStyle name="Normal 25 4 72" xfId="8145" xr:uid="{00000000-0005-0000-0000-000035380000}"/>
    <cellStyle name="Normal 25 4 72 2" xfId="20232" xr:uid="{00000000-0005-0000-0000-000036380000}"/>
    <cellStyle name="Normal 25 4 73" xfId="8146" xr:uid="{00000000-0005-0000-0000-000037380000}"/>
    <cellStyle name="Normal 25 4 73 2" xfId="20233" xr:uid="{00000000-0005-0000-0000-000038380000}"/>
    <cellStyle name="Normal 25 4 74" xfId="8147" xr:uid="{00000000-0005-0000-0000-000039380000}"/>
    <cellStyle name="Normal 25 4 74 2" xfId="20234" xr:uid="{00000000-0005-0000-0000-00003A380000}"/>
    <cellStyle name="Normal 25 4 75" xfId="8148" xr:uid="{00000000-0005-0000-0000-00003B380000}"/>
    <cellStyle name="Normal 25 4 75 2" xfId="20235" xr:uid="{00000000-0005-0000-0000-00003C380000}"/>
    <cellStyle name="Normal 25 4 76" xfId="8149" xr:uid="{00000000-0005-0000-0000-00003D380000}"/>
    <cellStyle name="Normal 25 4 76 2" xfId="20236" xr:uid="{00000000-0005-0000-0000-00003E380000}"/>
    <cellStyle name="Normal 25 4 77" xfId="8150" xr:uid="{00000000-0005-0000-0000-00003F380000}"/>
    <cellStyle name="Normal 25 4 77 2" xfId="20237" xr:uid="{00000000-0005-0000-0000-000040380000}"/>
    <cellStyle name="Normal 25 4 78" xfId="8151" xr:uid="{00000000-0005-0000-0000-000041380000}"/>
    <cellStyle name="Normal 25 4 78 2" xfId="20238" xr:uid="{00000000-0005-0000-0000-000042380000}"/>
    <cellStyle name="Normal 25 4 79" xfId="8152" xr:uid="{00000000-0005-0000-0000-000043380000}"/>
    <cellStyle name="Normal 25 4 79 2" xfId="20239" xr:uid="{00000000-0005-0000-0000-000044380000}"/>
    <cellStyle name="Normal 25 4 8" xfId="8153" xr:uid="{00000000-0005-0000-0000-000045380000}"/>
    <cellStyle name="Normal 25 4 8 2" xfId="20240" xr:uid="{00000000-0005-0000-0000-000046380000}"/>
    <cellStyle name="Normal 25 4 80" xfId="20163" xr:uid="{00000000-0005-0000-0000-000047380000}"/>
    <cellStyle name="Normal 25 4 9" xfId="8154" xr:uid="{00000000-0005-0000-0000-000048380000}"/>
    <cellStyle name="Normal 25 4 9 2" xfId="20241" xr:uid="{00000000-0005-0000-0000-000049380000}"/>
    <cellStyle name="Normal 25 40" xfId="8155" xr:uid="{00000000-0005-0000-0000-00004A380000}"/>
    <cellStyle name="Normal 25 40 2" xfId="20242" xr:uid="{00000000-0005-0000-0000-00004B380000}"/>
    <cellStyle name="Normal 25 41" xfId="8156" xr:uid="{00000000-0005-0000-0000-00004C380000}"/>
    <cellStyle name="Normal 25 41 2" xfId="20243" xr:uid="{00000000-0005-0000-0000-00004D380000}"/>
    <cellStyle name="Normal 25 42" xfId="8157" xr:uid="{00000000-0005-0000-0000-00004E380000}"/>
    <cellStyle name="Normal 25 42 2" xfId="20244" xr:uid="{00000000-0005-0000-0000-00004F380000}"/>
    <cellStyle name="Normal 25 43" xfId="8158" xr:uid="{00000000-0005-0000-0000-000050380000}"/>
    <cellStyle name="Normal 25 43 2" xfId="20245" xr:uid="{00000000-0005-0000-0000-000051380000}"/>
    <cellStyle name="Normal 25 44" xfId="8159" xr:uid="{00000000-0005-0000-0000-000052380000}"/>
    <cellStyle name="Normal 25 44 2" xfId="20246" xr:uid="{00000000-0005-0000-0000-000053380000}"/>
    <cellStyle name="Normal 25 45" xfId="8160" xr:uid="{00000000-0005-0000-0000-000054380000}"/>
    <cellStyle name="Normal 25 45 2" xfId="20247" xr:uid="{00000000-0005-0000-0000-000055380000}"/>
    <cellStyle name="Normal 25 46" xfId="8161" xr:uid="{00000000-0005-0000-0000-000056380000}"/>
    <cellStyle name="Normal 25 46 2" xfId="20248" xr:uid="{00000000-0005-0000-0000-000057380000}"/>
    <cellStyle name="Normal 25 47" xfId="8162" xr:uid="{00000000-0005-0000-0000-000058380000}"/>
    <cellStyle name="Normal 25 47 2" xfId="20249" xr:uid="{00000000-0005-0000-0000-000059380000}"/>
    <cellStyle name="Normal 25 48" xfId="8163" xr:uid="{00000000-0005-0000-0000-00005A380000}"/>
    <cellStyle name="Normal 25 48 2" xfId="20250" xr:uid="{00000000-0005-0000-0000-00005B380000}"/>
    <cellStyle name="Normal 25 49" xfId="8164" xr:uid="{00000000-0005-0000-0000-00005C380000}"/>
    <cellStyle name="Normal 25 49 2" xfId="20251" xr:uid="{00000000-0005-0000-0000-00005D380000}"/>
    <cellStyle name="Normal 25 5" xfId="8165" xr:uid="{00000000-0005-0000-0000-00005E380000}"/>
    <cellStyle name="Normal 25 5 2" xfId="20252" xr:uid="{00000000-0005-0000-0000-00005F380000}"/>
    <cellStyle name="Normal 25 50" xfId="8166" xr:uid="{00000000-0005-0000-0000-000060380000}"/>
    <cellStyle name="Normal 25 50 2" xfId="20253" xr:uid="{00000000-0005-0000-0000-000061380000}"/>
    <cellStyle name="Normal 25 51" xfId="8167" xr:uid="{00000000-0005-0000-0000-000062380000}"/>
    <cellStyle name="Normal 25 51 2" xfId="20254" xr:uid="{00000000-0005-0000-0000-000063380000}"/>
    <cellStyle name="Normal 25 52" xfId="8168" xr:uid="{00000000-0005-0000-0000-000064380000}"/>
    <cellStyle name="Normal 25 52 2" xfId="20255" xr:uid="{00000000-0005-0000-0000-000065380000}"/>
    <cellStyle name="Normal 25 53" xfId="8169" xr:uid="{00000000-0005-0000-0000-000066380000}"/>
    <cellStyle name="Normal 25 53 2" xfId="20256" xr:uid="{00000000-0005-0000-0000-000067380000}"/>
    <cellStyle name="Normal 25 54" xfId="8170" xr:uid="{00000000-0005-0000-0000-000068380000}"/>
    <cellStyle name="Normal 25 54 2" xfId="20257" xr:uid="{00000000-0005-0000-0000-000069380000}"/>
    <cellStyle name="Normal 25 55" xfId="8171" xr:uid="{00000000-0005-0000-0000-00006A380000}"/>
    <cellStyle name="Normal 25 55 2" xfId="20258" xr:uid="{00000000-0005-0000-0000-00006B380000}"/>
    <cellStyle name="Normal 25 56" xfId="8172" xr:uid="{00000000-0005-0000-0000-00006C380000}"/>
    <cellStyle name="Normal 25 56 2" xfId="20259" xr:uid="{00000000-0005-0000-0000-00006D380000}"/>
    <cellStyle name="Normal 25 57" xfId="8173" xr:uid="{00000000-0005-0000-0000-00006E380000}"/>
    <cellStyle name="Normal 25 57 2" xfId="20260" xr:uid="{00000000-0005-0000-0000-00006F380000}"/>
    <cellStyle name="Normal 25 58" xfId="8174" xr:uid="{00000000-0005-0000-0000-000070380000}"/>
    <cellStyle name="Normal 25 58 2" xfId="20261" xr:uid="{00000000-0005-0000-0000-000071380000}"/>
    <cellStyle name="Normal 25 59" xfId="8175" xr:uid="{00000000-0005-0000-0000-000072380000}"/>
    <cellStyle name="Normal 25 59 2" xfId="20262" xr:uid="{00000000-0005-0000-0000-000073380000}"/>
    <cellStyle name="Normal 25 6" xfId="8176" xr:uid="{00000000-0005-0000-0000-000074380000}"/>
    <cellStyle name="Normal 25 6 2" xfId="20263" xr:uid="{00000000-0005-0000-0000-000075380000}"/>
    <cellStyle name="Normal 25 60" xfId="8177" xr:uid="{00000000-0005-0000-0000-000076380000}"/>
    <cellStyle name="Normal 25 60 2" xfId="20264" xr:uid="{00000000-0005-0000-0000-000077380000}"/>
    <cellStyle name="Normal 25 61" xfId="8178" xr:uid="{00000000-0005-0000-0000-000078380000}"/>
    <cellStyle name="Normal 25 61 2" xfId="20265" xr:uid="{00000000-0005-0000-0000-000079380000}"/>
    <cellStyle name="Normal 25 62" xfId="8179" xr:uid="{00000000-0005-0000-0000-00007A380000}"/>
    <cellStyle name="Normal 25 62 2" xfId="20266" xr:uid="{00000000-0005-0000-0000-00007B380000}"/>
    <cellStyle name="Normal 25 63" xfId="8180" xr:uid="{00000000-0005-0000-0000-00007C380000}"/>
    <cellStyle name="Normal 25 63 2" xfId="20267" xr:uid="{00000000-0005-0000-0000-00007D380000}"/>
    <cellStyle name="Normal 25 64" xfId="8181" xr:uid="{00000000-0005-0000-0000-00007E380000}"/>
    <cellStyle name="Normal 25 64 2" xfId="20268" xr:uid="{00000000-0005-0000-0000-00007F380000}"/>
    <cellStyle name="Normal 25 65" xfId="8182" xr:uid="{00000000-0005-0000-0000-000080380000}"/>
    <cellStyle name="Normal 25 65 2" xfId="20269" xr:uid="{00000000-0005-0000-0000-000081380000}"/>
    <cellStyle name="Normal 25 66" xfId="8183" xr:uid="{00000000-0005-0000-0000-000082380000}"/>
    <cellStyle name="Normal 25 66 2" xfId="20270" xr:uid="{00000000-0005-0000-0000-000083380000}"/>
    <cellStyle name="Normal 25 67" xfId="8184" xr:uid="{00000000-0005-0000-0000-000084380000}"/>
    <cellStyle name="Normal 25 67 2" xfId="20271" xr:uid="{00000000-0005-0000-0000-000085380000}"/>
    <cellStyle name="Normal 25 68" xfId="8185" xr:uid="{00000000-0005-0000-0000-000086380000}"/>
    <cellStyle name="Normal 25 68 2" xfId="20272" xr:uid="{00000000-0005-0000-0000-000087380000}"/>
    <cellStyle name="Normal 25 69" xfId="8186" xr:uid="{00000000-0005-0000-0000-000088380000}"/>
    <cellStyle name="Normal 25 69 2" xfId="20273" xr:uid="{00000000-0005-0000-0000-000089380000}"/>
    <cellStyle name="Normal 25 7" xfId="8187" xr:uid="{00000000-0005-0000-0000-00008A380000}"/>
    <cellStyle name="Normal 25 7 2" xfId="20274" xr:uid="{00000000-0005-0000-0000-00008B380000}"/>
    <cellStyle name="Normal 25 70" xfId="8188" xr:uid="{00000000-0005-0000-0000-00008C380000}"/>
    <cellStyle name="Normal 25 70 2" xfId="20275" xr:uid="{00000000-0005-0000-0000-00008D380000}"/>
    <cellStyle name="Normal 25 71" xfId="8189" xr:uid="{00000000-0005-0000-0000-00008E380000}"/>
    <cellStyle name="Normal 25 71 2" xfId="20276" xr:uid="{00000000-0005-0000-0000-00008F380000}"/>
    <cellStyle name="Normal 25 72" xfId="8190" xr:uid="{00000000-0005-0000-0000-000090380000}"/>
    <cellStyle name="Normal 25 72 2" xfId="20277" xr:uid="{00000000-0005-0000-0000-000091380000}"/>
    <cellStyle name="Normal 25 73" xfId="8191" xr:uid="{00000000-0005-0000-0000-000092380000}"/>
    <cellStyle name="Normal 25 73 2" xfId="20278" xr:uid="{00000000-0005-0000-0000-000093380000}"/>
    <cellStyle name="Normal 25 74" xfId="8192" xr:uid="{00000000-0005-0000-0000-000094380000}"/>
    <cellStyle name="Normal 25 74 2" xfId="20279" xr:uid="{00000000-0005-0000-0000-000095380000}"/>
    <cellStyle name="Normal 25 75" xfId="8193" xr:uid="{00000000-0005-0000-0000-000096380000}"/>
    <cellStyle name="Normal 25 75 2" xfId="20280" xr:uid="{00000000-0005-0000-0000-000097380000}"/>
    <cellStyle name="Normal 25 76" xfId="8194" xr:uid="{00000000-0005-0000-0000-000098380000}"/>
    <cellStyle name="Normal 25 76 2" xfId="20281" xr:uid="{00000000-0005-0000-0000-000099380000}"/>
    <cellStyle name="Normal 25 77" xfId="8195" xr:uid="{00000000-0005-0000-0000-00009A380000}"/>
    <cellStyle name="Normal 25 77 2" xfId="20282" xr:uid="{00000000-0005-0000-0000-00009B380000}"/>
    <cellStyle name="Normal 25 78" xfId="8196" xr:uid="{00000000-0005-0000-0000-00009C380000}"/>
    <cellStyle name="Normal 25 78 2" xfId="20283" xr:uid="{00000000-0005-0000-0000-00009D380000}"/>
    <cellStyle name="Normal 25 79" xfId="8197" xr:uid="{00000000-0005-0000-0000-00009E380000}"/>
    <cellStyle name="Normal 25 79 2" xfId="20284" xr:uid="{00000000-0005-0000-0000-00009F380000}"/>
    <cellStyle name="Normal 25 8" xfId="8198" xr:uid="{00000000-0005-0000-0000-0000A0380000}"/>
    <cellStyle name="Normal 25 8 2" xfId="20285" xr:uid="{00000000-0005-0000-0000-0000A1380000}"/>
    <cellStyle name="Normal 25 80" xfId="8199" xr:uid="{00000000-0005-0000-0000-0000A2380000}"/>
    <cellStyle name="Normal 25 80 2" xfId="20286" xr:uid="{00000000-0005-0000-0000-0000A3380000}"/>
    <cellStyle name="Normal 25 81" xfId="8200" xr:uid="{00000000-0005-0000-0000-0000A4380000}"/>
    <cellStyle name="Normal 25 81 2" xfId="20287" xr:uid="{00000000-0005-0000-0000-0000A5380000}"/>
    <cellStyle name="Normal 25 82" xfId="8201" xr:uid="{00000000-0005-0000-0000-0000A6380000}"/>
    <cellStyle name="Normal 25 82 2" xfId="20288" xr:uid="{00000000-0005-0000-0000-0000A7380000}"/>
    <cellStyle name="Normal 25 9" xfId="8202" xr:uid="{00000000-0005-0000-0000-0000A8380000}"/>
    <cellStyle name="Normal 25 9 2" xfId="20289" xr:uid="{00000000-0005-0000-0000-0000A9380000}"/>
    <cellStyle name="Normal 26" xfId="143" xr:uid="{00000000-0005-0000-0000-0000AA380000}"/>
    <cellStyle name="Normal 26 10" xfId="8203" xr:uid="{00000000-0005-0000-0000-0000AB380000}"/>
    <cellStyle name="Normal 26 10 2" xfId="20291" xr:uid="{00000000-0005-0000-0000-0000AC380000}"/>
    <cellStyle name="Normal 26 11" xfId="8204" xr:uid="{00000000-0005-0000-0000-0000AD380000}"/>
    <cellStyle name="Normal 26 11 2" xfId="20292" xr:uid="{00000000-0005-0000-0000-0000AE380000}"/>
    <cellStyle name="Normal 26 12" xfId="8205" xr:uid="{00000000-0005-0000-0000-0000AF380000}"/>
    <cellStyle name="Normal 26 12 2" xfId="20293" xr:uid="{00000000-0005-0000-0000-0000B0380000}"/>
    <cellStyle name="Normal 26 13" xfId="8206" xr:uid="{00000000-0005-0000-0000-0000B1380000}"/>
    <cellStyle name="Normal 26 13 2" xfId="20294" xr:uid="{00000000-0005-0000-0000-0000B2380000}"/>
    <cellStyle name="Normal 26 14" xfId="8207" xr:uid="{00000000-0005-0000-0000-0000B3380000}"/>
    <cellStyle name="Normal 26 14 2" xfId="20295" xr:uid="{00000000-0005-0000-0000-0000B4380000}"/>
    <cellStyle name="Normal 26 15" xfId="8208" xr:uid="{00000000-0005-0000-0000-0000B5380000}"/>
    <cellStyle name="Normal 26 15 2" xfId="20296" xr:uid="{00000000-0005-0000-0000-0000B6380000}"/>
    <cellStyle name="Normal 26 16" xfId="8209" xr:uid="{00000000-0005-0000-0000-0000B7380000}"/>
    <cellStyle name="Normal 26 16 2" xfId="20297" xr:uid="{00000000-0005-0000-0000-0000B8380000}"/>
    <cellStyle name="Normal 26 17" xfId="8210" xr:uid="{00000000-0005-0000-0000-0000B9380000}"/>
    <cellStyle name="Normal 26 17 2" xfId="20298" xr:uid="{00000000-0005-0000-0000-0000BA380000}"/>
    <cellStyle name="Normal 26 18" xfId="8211" xr:uid="{00000000-0005-0000-0000-0000BB380000}"/>
    <cellStyle name="Normal 26 18 2" xfId="20299" xr:uid="{00000000-0005-0000-0000-0000BC380000}"/>
    <cellStyle name="Normal 26 19" xfId="8212" xr:uid="{00000000-0005-0000-0000-0000BD380000}"/>
    <cellStyle name="Normal 26 19 2" xfId="20300" xr:uid="{00000000-0005-0000-0000-0000BE380000}"/>
    <cellStyle name="Normal 26 2" xfId="166" xr:uid="{00000000-0005-0000-0000-0000BF380000}"/>
    <cellStyle name="Normal 26 2 10" xfId="8214" xr:uid="{00000000-0005-0000-0000-0000C0380000}"/>
    <cellStyle name="Normal 26 2 10 2" xfId="20302" xr:uid="{00000000-0005-0000-0000-0000C1380000}"/>
    <cellStyle name="Normal 26 2 11" xfId="8215" xr:uid="{00000000-0005-0000-0000-0000C2380000}"/>
    <cellStyle name="Normal 26 2 11 2" xfId="20303" xr:uid="{00000000-0005-0000-0000-0000C3380000}"/>
    <cellStyle name="Normal 26 2 12" xfId="8216" xr:uid="{00000000-0005-0000-0000-0000C4380000}"/>
    <cellStyle name="Normal 26 2 12 2" xfId="20304" xr:uid="{00000000-0005-0000-0000-0000C5380000}"/>
    <cellStyle name="Normal 26 2 13" xfId="8217" xr:uid="{00000000-0005-0000-0000-0000C6380000}"/>
    <cellStyle name="Normal 26 2 13 2" xfId="20305" xr:uid="{00000000-0005-0000-0000-0000C7380000}"/>
    <cellStyle name="Normal 26 2 14" xfId="8218" xr:uid="{00000000-0005-0000-0000-0000C8380000}"/>
    <cellStyle name="Normal 26 2 14 2" xfId="20306" xr:uid="{00000000-0005-0000-0000-0000C9380000}"/>
    <cellStyle name="Normal 26 2 15" xfId="8219" xr:uid="{00000000-0005-0000-0000-0000CA380000}"/>
    <cellStyle name="Normal 26 2 15 2" xfId="20307" xr:uid="{00000000-0005-0000-0000-0000CB380000}"/>
    <cellStyle name="Normal 26 2 16" xfId="8220" xr:uid="{00000000-0005-0000-0000-0000CC380000}"/>
    <cellStyle name="Normal 26 2 16 2" xfId="20308" xr:uid="{00000000-0005-0000-0000-0000CD380000}"/>
    <cellStyle name="Normal 26 2 17" xfId="8221" xr:uid="{00000000-0005-0000-0000-0000CE380000}"/>
    <cellStyle name="Normal 26 2 17 2" xfId="20309" xr:uid="{00000000-0005-0000-0000-0000CF380000}"/>
    <cellStyle name="Normal 26 2 18" xfId="8222" xr:uid="{00000000-0005-0000-0000-0000D0380000}"/>
    <cellStyle name="Normal 26 2 18 2" xfId="20310" xr:uid="{00000000-0005-0000-0000-0000D1380000}"/>
    <cellStyle name="Normal 26 2 19" xfId="8223" xr:uid="{00000000-0005-0000-0000-0000D2380000}"/>
    <cellStyle name="Normal 26 2 19 2" xfId="20311" xr:uid="{00000000-0005-0000-0000-0000D3380000}"/>
    <cellStyle name="Normal 26 2 2" xfId="8224" xr:uid="{00000000-0005-0000-0000-0000D4380000}"/>
    <cellStyle name="Normal 26 2 2 2" xfId="20312" xr:uid="{00000000-0005-0000-0000-0000D5380000}"/>
    <cellStyle name="Normal 26 2 20" xfId="8225" xr:uid="{00000000-0005-0000-0000-0000D6380000}"/>
    <cellStyle name="Normal 26 2 20 2" xfId="20313" xr:uid="{00000000-0005-0000-0000-0000D7380000}"/>
    <cellStyle name="Normal 26 2 21" xfId="8226" xr:uid="{00000000-0005-0000-0000-0000D8380000}"/>
    <cellStyle name="Normal 26 2 21 2" xfId="20314" xr:uid="{00000000-0005-0000-0000-0000D9380000}"/>
    <cellStyle name="Normal 26 2 22" xfId="8227" xr:uid="{00000000-0005-0000-0000-0000DA380000}"/>
    <cellStyle name="Normal 26 2 22 2" xfId="20315" xr:uid="{00000000-0005-0000-0000-0000DB380000}"/>
    <cellStyle name="Normal 26 2 23" xfId="8228" xr:uid="{00000000-0005-0000-0000-0000DC380000}"/>
    <cellStyle name="Normal 26 2 23 2" xfId="20316" xr:uid="{00000000-0005-0000-0000-0000DD380000}"/>
    <cellStyle name="Normal 26 2 24" xfId="8229" xr:uid="{00000000-0005-0000-0000-0000DE380000}"/>
    <cellStyle name="Normal 26 2 24 2" xfId="20317" xr:uid="{00000000-0005-0000-0000-0000DF380000}"/>
    <cellStyle name="Normal 26 2 25" xfId="8230" xr:uid="{00000000-0005-0000-0000-0000E0380000}"/>
    <cellStyle name="Normal 26 2 25 2" xfId="20318" xr:uid="{00000000-0005-0000-0000-0000E1380000}"/>
    <cellStyle name="Normal 26 2 26" xfId="8231" xr:uid="{00000000-0005-0000-0000-0000E2380000}"/>
    <cellStyle name="Normal 26 2 26 2" xfId="20319" xr:uid="{00000000-0005-0000-0000-0000E3380000}"/>
    <cellStyle name="Normal 26 2 27" xfId="8232" xr:uid="{00000000-0005-0000-0000-0000E4380000}"/>
    <cellStyle name="Normal 26 2 27 2" xfId="20320" xr:uid="{00000000-0005-0000-0000-0000E5380000}"/>
    <cellStyle name="Normal 26 2 28" xfId="8233" xr:uid="{00000000-0005-0000-0000-0000E6380000}"/>
    <cellStyle name="Normal 26 2 28 2" xfId="20321" xr:uid="{00000000-0005-0000-0000-0000E7380000}"/>
    <cellStyle name="Normal 26 2 29" xfId="8234" xr:uid="{00000000-0005-0000-0000-0000E8380000}"/>
    <cellStyle name="Normal 26 2 29 2" xfId="20322" xr:uid="{00000000-0005-0000-0000-0000E9380000}"/>
    <cellStyle name="Normal 26 2 3" xfId="8235" xr:uid="{00000000-0005-0000-0000-0000EA380000}"/>
    <cellStyle name="Normal 26 2 3 2" xfId="20323" xr:uid="{00000000-0005-0000-0000-0000EB380000}"/>
    <cellStyle name="Normal 26 2 30" xfId="8236" xr:uid="{00000000-0005-0000-0000-0000EC380000}"/>
    <cellStyle name="Normal 26 2 30 2" xfId="20324" xr:uid="{00000000-0005-0000-0000-0000ED380000}"/>
    <cellStyle name="Normal 26 2 31" xfId="8237" xr:uid="{00000000-0005-0000-0000-0000EE380000}"/>
    <cellStyle name="Normal 26 2 31 2" xfId="20325" xr:uid="{00000000-0005-0000-0000-0000EF380000}"/>
    <cellStyle name="Normal 26 2 32" xfId="8238" xr:uid="{00000000-0005-0000-0000-0000F0380000}"/>
    <cellStyle name="Normal 26 2 32 2" xfId="20326" xr:uid="{00000000-0005-0000-0000-0000F1380000}"/>
    <cellStyle name="Normal 26 2 33" xfId="8239" xr:uid="{00000000-0005-0000-0000-0000F2380000}"/>
    <cellStyle name="Normal 26 2 33 2" xfId="20327" xr:uid="{00000000-0005-0000-0000-0000F3380000}"/>
    <cellStyle name="Normal 26 2 34" xfId="8240" xr:uid="{00000000-0005-0000-0000-0000F4380000}"/>
    <cellStyle name="Normal 26 2 34 2" xfId="20328" xr:uid="{00000000-0005-0000-0000-0000F5380000}"/>
    <cellStyle name="Normal 26 2 35" xfId="8241" xr:uid="{00000000-0005-0000-0000-0000F6380000}"/>
    <cellStyle name="Normal 26 2 35 2" xfId="20329" xr:uid="{00000000-0005-0000-0000-0000F7380000}"/>
    <cellStyle name="Normal 26 2 36" xfId="8242" xr:uid="{00000000-0005-0000-0000-0000F8380000}"/>
    <cellStyle name="Normal 26 2 36 2" xfId="20330" xr:uid="{00000000-0005-0000-0000-0000F9380000}"/>
    <cellStyle name="Normal 26 2 37" xfId="8243" xr:uid="{00000000-0005-0000-0000-0000FA380000}"/>
    <cellStyle name="Normal 26 2 37 2" xfId="20331" xr:uid="{00000000-0005-0000-0000-0000FB380000}"/>
    <cellStyle name="Normal 26 2 38" xfId="8244" xr:uid="{00000000-0005-0000-0000-0000FC380000}"/>
    <cellStyle name="Normal 26 2 38 2" xfId="20332" xr:uid="{00000000-0005-0000-0000-0000FD380000}"/>
    <cellStyle name="Normal 26 2 39" xfId="8245" xr:uid="{00000000-0005-0000-0000-0000FE380000}"/>
    <cellStyle name="Normal 26 2 39 2" xfId="20333" xr:uid="{00000000-0005-0000-0000-0000FF380000}"/>
    <cellStyle name="Normal 26 2 4" xfId="8246" xr:uid="{00000000-0005-0000-0000-000000390000}"/>
    <cellStyle name="Normal 26 2 4 2" xfId="20334" xr:uid="{00000000-0005-0000-0000-000001390000}"/>
    <cellStyle name="Normal 26 2 40" xfId="8247" xr:uid="{00000000-0005-0000-0000-000002390000}"/>
    <cellStyle name="Normal 26 2 40 2" xfId="20335" xr:uid="{00000000-0005-0000-0000-000003390000}"/>
    <cellStyle name="Normal 26 2 41" xfId="8248" xr:uid="{00000000-0005-0000-0000-000004390000}"/>
    <cellStyle name="Normal 26 2 41 2" xfId="20336" xr:uid="{00000000-0005-0000-0000-000005390000}"/>
    <cellStyle name="Normal 26 2 42" xfId="8249" xr:uid="{00000000-0005-0000-0000-000006390000}"/>
    <cellStyle name="Normal 26 2 42 2" xfId="20337" xr:uid="{00000000-0005-0000-0000-000007390000}"/>
    <cellStyle name="Normal 26 2 43" xfId="8250" xr:uid="{00000000-0005-0000-0000-000008390000}"/>
    <cellStyle name="Normal 26 2 43 2" xfId="20338" xr:uid="{00000000-0005-0000-0000-000009390000}"/>
    <cellStyle name="Normal 26 2 44" xfId="8251" xr:uid="{00000000-0005-0000-0000-00000A390000}"/>
    <cellStyle name="Normal 26 2 44 2" xfId="20339" xr:uid="{00000000-0005-0000-0000-00000B390000}"/>
    <cellStyle name="Normal 26 2 45" xfId="8252" xr:uid="{00000000-0005-0000-0000-00000C390000}"/>
    <cellStyle name="Normal 26 2 45 2" xfId="20340" xr:uid="{00000000-0005-0000-0000-00000D390000}"/>
    <cellStyle name="Normal 26 2 46" xfId="8253" xr:uid="{00000000-0005-0000-0000-00000E390000}"/>
    <cellStyle name="Normal 26 2 46 2" xfId="20341" xr:uid="{00000000-0005-0000-0000-00000F390000}"/>
    <cellStyle name="Normal 26 2 47" xfId="8254" xr:uid="{00000000-0005-0000-0000-000010390000}"/>
    <cellStyle name="Normal 26 2 47 2" xfId="20342" xr:uid="{00000000-0005-0000-0000-000011390000}"/>
    <cellStyle name="Normal 26 2 48" xfId="8255" xr:uid="{00000000-0005-0000-0000-000012390000}"/>
    <cellStyle name="Normal 26 2 48 2" xfId="20343" xr:uid="{00000000-0005-0000-0000-000013390000}"/>
    <cellStyle name="Normal 26 2 49" xfId="8256" xr:uid="{00000000-0005-0000-0000-000014390000}"/>
    <cellStyle name="Normal 26 2 49 2" xfId="20344" xr:uid="{00000000-0005-0000-0000-000015390000}"/>
    <cellStyle name="Normal 26 2 5" xfId="8257" xr:uid="{00000000-0005-0000-0000-000016390000}"/>
    <cellStyle name="Normal 26 2 5 2" xfId="20345" xr:uid="{00000000-0005-0000-0000-000017390000}"/>
    <cellStyle name="Normal 26 2 50" xfId="8258" xr:uid="{00000000-0005-0000-0000-000018390000}"/>
    <cellStyle name="Normal 26 2 50 2" xfId="20346" xr:uid="{00000000-0005-0000-0000-000019390000}"/>
    <cellStyle name="Normal 26 2 51" xfId="8259" xr:uid="{00000000-0005-0000-0000-00001A390000}"/>
    <cellStyle name="Normal 26 2 51 2" xfId="20347" xr:uid="{00000000-0005-0000-0000-00001B390000}"/>
    <cellStyle name="Normal 26 2 52" xfId="8260" xr:uid="{00000000-0005-0000-0000-00001C390000}"/>
    <cellStyle name="Normal 26 2 52 2" xfId="20348" xr:uid="{00000000-0005-0000-0000-00001D390000}"/>
    <cellStyle name="Normal 26 2 53" xfId="8261" xr:uid="{00000000-0005-0000-0000-00001E390000}"/>
    <cellStyle name="Normal 26 2 53 2" xfId="20349" xr:uid="{00000000-0005-0000-0000-00001F390000}"/>
    <cellStyle name="Normal 26 2 54" xfId="8262" xr:uid="{00000000-0005-0000-0000-000020390000}"/>
    <cellStyle name="Normal 26 2 54 2" xfId="20350" xr:uid="{00000000-0005-0000-0000-000021390000}"/>
    <cellStyle name="Normal 26 2 55" xfId="8263" xr:uid="{00000000-0005-0000-0000-000022390000}"/>
    <cellStyle name="Normal 26 2 55 2" xfId="20351" xr:uid="{00000000-0005-0000-0000-000023390000}"/>
    <cellStyle name="Normal 26 2 56" xfId="8264" xr:uid="{00000000-0005-0000-0000-000024390000}"/>
    <cellStyle name="Normal 26 2 56 2" xfId="20352" xr:uid="{00000000-0005-0000-0000-000025390000}"/>
    <cellStyle name="Normal 26 2 57" xfId="8265" xr:uid="{00000000-0005-0000-0000-000026390000}"/>
    <cellStyle name="Normal 26 2 57 2" xfId="20353" xr:uid="{00000000-0005-0000-0000-000027390000}"/>
    <cellStyle name="Normal 26 2 58" xfId="8266" xr:uid="{00000000-0005-0000-0000-000028390000}"/>
    <cellStyle name="Normal 26 2 58 2" xfId="20354" xr:uid="{00000000-0005-0000-0000-000029390000}"/>
    <cellStyle name="Normal 26 2 59" xfId="8267" xr:uid="{00000000-0005-0000-0000-00002A390000}"/>
    <cellStyle name="Normal 26 2 59 2" xfId="20355" xr:uid="{00000000-0005-0000-0000-00002B390000}"/>
    <cellStyle name="Normal 26 2 6" xfId="8268" xr:uid="{00000000-0005-0000-0000-00002C390000}"/>
    <cellStyle name="Normal 26 2 6 2" xfId="20356" xr:uid="{00000000-0005-0000-0000-00002D390000}"/>
    <cellStyle name="Normal 26 2 60" xfId="8269" xr:uid="{00000000-0005-0000-0000-00002E390000}"/>
    <cellStyle name="Normal 26 2 60 2" xfId="20357" xr:uid="{00000000-0005-0000-0000-00002F390000}"/>
    <cellStyle name="Normal 26 2 61" xfId="8270" xr:uid="{00000000-0005-0000-0000-000030390000}"/>
    <cellStyle name="Normal 26 2 61 2" xfId="20358" xr:uid="{00000000-0005-0000-0000-000031390000}"/>
    <cellStyle name="Normal 26 2 62" xfId="8271" xr:uid="{00000000-0005-0000-0000-000032390000}"/>
    <cellStyle name="Normal 26 2 62 2" xfId="20359" xr:uid="{00000000-0005-0000-0000-000033390000}"/>
    <cellStyle name="Normal 26 2 63" xfId="8272" xr:uid="{00000000-0005-0000-0000-000034390000}"/>
    <cellStyle name="Normal 26 2 63 2" xfId="20360" xr:uid="{00000000-0005-0000-0000-000035390000}"/>
    <cellStyle name="Normal 26 2 64" xfId="8273" xr:uid="{00000000-0005-0000-0000-000036390000}"/>
    <cellStyle name="Normal 26 2 64 2" xfId="20361" xr:uid="{00000000-0005-0000-0000-000037390000}"/>
    <cellStyle name="Normal 26 2 65" xfId="8274" xr:uid="{00000000-0005-0000-0000-000038390000}"/>
    <cellStyle name="Normal 26 2 65 2" xfId="20362" xr:uid="{00000000-0005-0000-0000-000039390000}"/>
    <cellStyle name="Normal 26 2 66" xfId="8275" xr:uid="{00000000-0005-0000-0000-00003A390000}"/>
    <cellStyle name="Normal 26 2 66 2" xfId="20363" xr:uid="{00000000-0005-0000-0000-00003B390000}"/>
    <cellStyle name="Normal 26 2 67" xfId="8276" xr:uid="{00000000-0005-0000-0000-00003C390000}"/>
    <cellStyle name="Normal 26 2 67 2" xfId="20364" xr:uid="{00000000-0005-0000-0000-00003D390000}"/>
    <cellStyle name="Normal 26 2 68" xfId="8277" xr:uid="{00000000-0005-0000-0000-00003E390000}"/>
    <cellStyle name="Normal 26 2 68 2" xfId="20365" xr:uid="{00000000-0005-0000-0000-00003F390000}"/>
    <cellStyle name="Normal 26 2 69" xfId="8278" xr:uid="{00000000-0005-0000-0000-000040390000}"/>
    <cellStyle name="Normal 26 2 69 2" xfId="20366" xr:uid="{00000000-0005-0000-0000-000041390000}"/>
    <cellStyle name="Normal 26 2 7" xfId="8279" xr:uid="{00000000-0005-0000-0000-000042390000}"/>
    <cellStyle name="Normal 26 2 7 2" xfId="20367" xr:uid="{00000000-0005-0000-0000-000043390000}"/>
    <cellStyle name="Normal 26 2 70" xfId="8280" xr:uid="{00000000-0005-0000-0000-000044390000}"/>
    <cellStyle name="Normal 26 2 70 2" xfId="20368" xr:uid="{00000000-0005-0000-0000-000045390000}"/>
    <cellStyle name="Normal 26 2 71" xfId="8281" xr:uid="{00000000-0005-0000-0000-000046390000}"/>
    <cellStyle name="Normal 26 2 71 2" xfId="20369" xr:uid="{00000000-0005-0000-0000-000047390000}"/>
    <cellStyle name="Normal 26 2 72" xfId="8282" xr:uid="{00000000-0005-0000-0000-000048390000}"/>
    <cellStyle name="Normal 26 2 72 2" xfId="20370" xr:uid="{00000000-0005-0000-0000-000049390000}"/>
    <cellStyle name="Normal 26 2 73" xfId="8283" xr:uid="{00000000-0005-0000-0000-00004A390000}"/>
    <cellStyle name="Normal 26 2 73 2" xfId="20371" xr:uid="{00000000-0005-0000-0000-00004B390000}"/>
    <cellStyle name="Normal 26 2 74" xfId="8284" xr:uid="{00000000-0005-0000-0000-00004C390000}"/>
    <cellStyle name="Normal 26 2 74 2" xfId="20372" xr:uid="{00000000-0005-0000-0000-00004D390000}"/>
    <cellStyle name="Normal 26 2 75" xfId="8285" xr:uid="{00000000-0005-0000-0000-00004E390000}"/>
    <cellStyle name="Normal 26 2 75 2" xfId="20373" xr:uid="{00000000-0005-0000-0000-00004F390000}"/>
    <cellStyle name="Normal 26 2 76" xfId="8286" xr:uid="{00000000-0005-0000-0000-000050390000}"/>
    <cellStyle name="Normal 26 2 76 2" xfId="20374" xr:uid="{00000000-0005-0000-0000-000051390000}"/>
    <cellStyle name="Normal 26 2 77" xfId="8287" xr:uid="{00000000-0005-0000-0000-000052390000}"/>
    <cellStyle name="Normal 26 2 77 2" xfId="20375" xr:uid="{00000000-0005-0000-0000-000053390000}"/>
    <cellStyle name="Normal 26 2 78" xfId="8288" xr:uid="{00000000-0005-0000-0000-000054390000}"/>
    <cellStyle name="Normal 26 2 78 2" xfId="20376" xr:uid="{00000000-0005-0000-0000-000055390000}"/>
    <cellStyle name="Normal 26 2 79" xfId="8289" xr:uid="{00000000-0005-0000-0000-000056390000}"/>
    <cellStyle name="Normal 26 2 79 2" xfId="20377" xr:uid="{00000000-0005-0000-0000-000057390000}"/>
    <cellStyle name="Normal 26 2 8" xfId="8290" xr:uid="{00000000-0005-0000-0000-000058390000}"/>
    <cellStyle name="Normal 26 2 8 2" xfId="20378" xr:uid="{00000000-0005-0000-0000-000059390000}"/>
    <cellStyle name="Normal 26 2 80" xfId="20301" xr:uid="{00000000-0005-0000-0000-00005A390000}"/>
    <cellStyle name="Normal 26 2 81" xfId="8213" xr:uid="{00000000-0005-0000-0000-00005B390000}"/>
    <cellStyle name="Normal 26 2 9" xfId="8291" xr:uid="{00000000-0005-0000-0000-00005C390000}"/>
    <cellStyle name="Normal 26 2 9 2" xfId="20379" xr:uid="{00000000-0005-0000-0000-00005D390000}"/>
    <cellStyle name="Normal 26 20" xfId="8292" xr:uid="{00000000-0005-0000-0000-00005E390000}"/>
    <cellStyle name="Normal 26 20 2" xfId="20380" xr:uid="{00000000-0005-0000-0000-00005F390000}"/>
    <cellStyle name="Normal 26 21" xfId="8293" xr:uid="{00000000-0005-0000-0000-000060390000}"/>
    <cellStyle name="Normal 26 21 2" xfId="20381" xr:uid="{00000000-0005-0000-0000-000061390000}"/>
    <cellStyle name="Normal 26 22" xfId="8294" xr:uid="{00000000-0005-0000-0000-000062390000}"/>
    <cellStyle name="Normal 26 22 2" xfId="20382" xr:uid="{00000000-0005-0000-0000-000063390000}"/>
    <cellStyle name="Normal 26 23" xfId="8295" xr:uid="{00000000-0005-0000-0000-000064390000}"/>
    <cellStyle name="Normal 26 23 2" xfId="20383" xr:uid="{00000000-0005-0000-0000-000065390000}"/>
    <cellStyle name="Normal 26 24" xfId="8296" xr:uid="{00000000-0005-0000-0000-000066390000}"/>
    <cellStyle name="Normal 26 24 2" xfId="20384" xr:uid="{00000000-0005-0000-0000-000067390000}"/>
    <cellStyle name="Normal 26 25" xfId="8297" xr:uid="{00000000-0005-0000-0000-000068390000}"/>
    <cellStyle name="Normal 26 25 2" xfId="20385" xr:uid="{00000000-0005-0000-0000-000069390000}"/>
    <cellStyle name="Normal 26 26" xfId="8298" xr:uid="{00000000-0005-0000-0000-00006A390000}"/>
    <cellStyle name="Normal 26 26 2" xfId="20386" xr:uid="{00000000-0005-0000-0000-00006B390000}"/>
    <cellStyle name="Normal 26 27" xfId="8299" xr:uid="{00000000-0005-0000-0000-00006C390000}"/>
    <cellStyle name="Normal 26 27 2" xfId="20387" xr:uid="{00000000-0005-0000-0000-00006D390000}"/>
    <cellStyle name="Normal 26 28" xfId="8300" xr:uid="{00000000-0005-0000-0000-00006E390000}"/>
    <cellStyle name="Normal 26 28 2" xfId="20388" xr:uid="{00000000-0005-0000-0000-00006F390000}"/>
    <cellStyle name="Normal 26 29" xfId="8301" xr:uid="{00000000-0005-0000-0000-000070390000}"/>
    <cellStyle name="Normal 26 29 2" xfId="20389" xr:uid="{00000000-0005-0000-0000-000071390000}"/>
    <cellStyle name="Normal 26 3" xfId="785" xr:uid="{00000000-0005-0000-0000-000072390000}"/>
    <cellStyle name="Normal 26 3 10" xfId="8302" xr:uid="{00000000-0005-0000-0000-000073390000}"/>
    <cellStyle name="Normal 26 3 10 2" xfId="20391" xr:uid="{00000000-0005-0000-0000-000074390000}"/>
    <cellStyle name="Normal 26 3 11" xfId="8303" xr:uid="{00000000-0005-0000-0000-000075390000}"/>
    <cellStyle name="Normal 26 3 11 2" xfId="20392" xr:uid="{00000000-0005-0000-0000-000076390000}"/>
    <cellStyle name="Normal 26 3 12" xfId="8304" xr:uid="{00000000-0005-0000-0000-000077390000}"/>
    <cellStyle name="Normal 26 3 12 2" xfId="20393" xr:uid="{00000000-0005-0000-0000-000078390000}"/>
    <cellStyle name="Normal 26 3 13" xfId="8305" xr:uid="{00000000-0005-0000-0000-000079390000}"/>
    <cellStyle name="Normal 26 3 13 2" xfId="20394" xr:uid="{00000000-0005-0000-0000-00007A390000}"/>
    <cellStyle name="Normal 26 3 14" xfId="8306" xr:uid="{00000000-0005-0000-0000-00007B390000}"/>
    <cellStyle name="Normal 26 3 14 2" xfId="20395" xr:uid="{00000000-0005-0000-0000-00007C390000}"/>
    <cellStyle name="Normal 26 3 15" xfId="8307" xr:uid="{00000000-0005-0000-0000-00007D390000}"/>
    <cellStyle name="Normal 26 3 15 2" xfId="20396" xr:uid="{00000000-0005-0000-0000-00007E390000}"/>
    <cellStyle name="Normal 26 3 16" xfId="8308" xr:uid="{00000000-0005-0000-0000-00007F390000}"/>
    <cellStyle name="Normal 26 3 16 2" xfId="20397" xr:uid="{00000000-0005-0000-0000-000080390000}"/>
    <cellStyle name="Normal 26 3 17" xfId="8309" xr:uid="{00000000-0005-0000-0000-000081390000}"/>
    <cellStyle name="Normal 26 3 17 2" xfId="20398" xr:uid="{00000000-0005-0000-0000-000082390000}"/>
    <cellStyle name="Normal 26 3 18" xfId="8310" xr:uid="{00000000-0005-0000-0000-000083390000}"/>
    <cellStyle name="Normal 26 3 18 2" xfId="20399" xr:uid="{00000000-0005-0000-0000-000084390000}"/>
    <cellStyle name="Normal 26 3 19" xfId="8311" xr:uid="{00000000-0005-0000-0000-000085390000}"/>
    <cellStyle name="Normal 26 3 19 2" xfId="20400" xr:uid="{00000000-0005-0000-0000-000086390000}"/>
    <cellStyle name="Normal 26 3 2" xfId="8312" xr:uid="{00000000-0005-0000-0000-000087390000}"/>
    <cellStyle name="Normal 26 3 2 2" xfId="20401" xr:uid="{00000000-0005-0000-0000-000088390000}"/>
    <cellStyle name="Normal 26 3 20" xfId="8313" xr:uid="{00000000-0005-0000-0000-000089390000}"/>
    <cellStyle name="Normal 26 3 20 2" xfId="20402" xr:uid="{00000000-0005-0000-0000-00008A390000}"/>
    <cellStyle name="Normal 26 3 21" xfId="8314" xr:uid="{00000000-0005-0000-0000-00008B390000}"/>
    <cellStyle name="Normal 26 3 21 2" xfId="20403" xr:uid="{00000000-0005-0000-0000-00008C390000}"/>
    <cellStyle name="Normal 26 3 22" xfId="8315" xr:uid="{00000000-0005-0000-0000-00008D390000}"/>
    <cellStyle name="Normal 26 3 22 2" xfId="20404" xr:uid="{00000000-0005-0000-0000-00008E390000}"/>
    <cellStyle name="Normal 26 3 23" xfId="8316" xr:uid="{00000000-0005-0000-0000-00008F390000}"/>
    <cellStyle name="Normal 26 3 23 2" xfId="20405" xr:uid="{00000000-0005-0000-0000-000090390000}"/>
    <cellStyle name="Normal 26 3 24" xfId="8317" xr:uid="{00000000-0005-0000-0000-000091390000}"/>
    <cellStyle name="Normal 26 3 24 2" xfId="20406" xr:uid="{00000000-0005-0000-0000-000092390000}"/>
    <cellStyle name="Normal 26 3 25" xfId="8318" xr:uid="{00000000-0005-0000-0000-000093390000}"/>
    <cellStyle name="Normal 26 3 25 2" xfId="20407" xr:uid="{00000000-0005-0000-0000-000094390000}"/>
    <cellStyle name="Normal 26 3 26" xfId="8319" xr:uid="{00000000-0005-0000-0000-000095390000}"/>
    <cellStyle name="Normal 26 3 26 2" xfId="20408" xr:uid="{00000000-0005-0000-0000-000096390000}"/>
    <cellStyle name="Normal 26 3 27" xfId="8320" xr:uid="{00000000-0005-0000-0000-000097390000}"/>
    <cellStyle name="Normal 26 3 27 2" xfId="20409" xr:uid="{00000000-0005-0000-0000-000098390000}"/>
    <cellStyle name="Normal 26 3 28" xfId="8321" xr:uid="{00000000-0005-0000-0000-000099390000}"/>
    <cellStyle name="Normal 26 3 28 2" xfId="20410" xr:uid="{00000000-0005-0000-0000-00009A390000}"/>
    <cellStyle name="Normal 26 3 29" xfId="8322" xr:uid="{00000000-0005-0000-0000-00009B390000}"/>
    <cellStyle name="Normal 26 3 29 2" xfId="20411" xr:uid="{00000000-0005-0000-0000-00009C390000}"/>
    <cellStyle name="Normal 26 3 3" xfId="8323" xr:uid="{00000000-0005-0000-0000-00009D390000}"/>
    <cellStyle name="Normal 26 3 3 2" xfId="20412" xr:uid="{00000000-0005-0000-0000-00009E390000}"/>
    <cellStyle name="Normal 26 3 30" xfId="8324" xr:uid="{00000000-0005-0000-0000-00009F390000}"/>
    <cellStyle name="Normal 26 3 30 2" xfId="20413" xr:uid="{00000000-0005-0000-0000-0000A0390000}"/>
    <cellStyle name="Normal 26 3 31" xfId="8325" xr:uid="{00000000-0005-0000-0000-0000A1390000}"/>
    <cellStyle name="Normal 26 3 31 2" xfId="20414" xr:uid="{00000000-0005-0000-0000-0000A2390000}"/>
    <cellStyle name="Normal 26 3 32" xfId="8326" xr:uid="{00000000-0005-0000-0000-0000A3390000}"/>
    <cellStyle name="Normal 26 3 32 2" xfId="20415" xr:uid="{00000000-0005-0000-0000-0000A4390000}"/>
    <cellStyle name="Normal 26 3 33" xfId="8327" xr:uid="{00000000-0005-0000-0000-0000A5390000}"/>
    <cellStyle name="Normal 26 3 33 2" xfId="20416" xr:uid="{00000000-0005-0000-0000-0000A6390000}"/>
    <cellStyle name="Normal 26 3 34" xfId="8328" xr:uid="{00000000-0005-0000-0000-0000A7390000}"/>
    <cellStyle name="Normal 26 3 34 2" xfId="20417" xr:uid="{00000000-0005-0000-0000-0000A8390000}"/>
    <cellStyle name="Normal 26 3 35" xfId="8329" xr:uid="{00000000-0005-0000-0000-0000A9390000}"/>
    <cellStyle name="Normal 26 3 35 2" xfId="20418" xr:uid="{00000000-0005-0000-0000-0000AA390000}"/>
    <cellStyle name="Normal 26 3 36" xfId="8330" xr:uid="{00000000-0005-0000-0000-0000AB390000}"/>
    <cellStyle name="Normal 26 3 36 2" xfId="20419" xr:uid="{00000000-0005-0000-0000-0000AC390000}"/>
    <cellStyle name="Normal 26 3 37" xfId="8331" xr:uid="{00000000-0005-0000-0000-0000AD390000}"/>
    <cellStyle name="Normal 26 3 37 2" xfId="20420" xr:uid="{00000000-0005-0000-0000-0000AE390000}"/>
    <cellStyle name="Normal 26 3 38" xfId="8332" xr:uid="{00000000-0005-0000-0000-0000AF390000}"/>
    <cellStyle name="Normal 26 3 38 2" xfId="20421" xr:uid="{00000000-0005-0000-0000-0000B0390000}"/>
    <cellStyle name="Normal 26 3 39" xfId="8333" xr:uid="{00000000-0005-0000-0000-0000B1390000}"/>
    <cellStyle name="Normal 26 3 39 2" xfId="20422" xr:uid="{00000000-0005-0000-0000-0000B2390000}"/>
    <cellStyle name="Normal 26 3 4" xfId="8334" xr:uid="{00000000-0005-0000-0000-0000B3390000}"/>
    <cellStyle name="Normal 26 3 4 2" xfId="20423" xr:uid="{00000000-0005-0000-0000-0000B4390000}"/>
    <cellStyle name="Normal 26 3 40" xfId="8335" xr:uid="{00000000-0005-0000-0000-0000B5390000}"/>
    <cellStyle name="Normal 26 3 40 2" xfId="20424" xr:uid="{00000000-0005-0000-0000-0000B6390000}"/>
    <cellStyle name="Normal 26 3 41" xfId="8336" xr:uid="{00000000-0005-0000-0000-0000B7390000}"/>
    <cellStyle name="Normal 26 3 41 2" xfId="20425" xr:uid="{00000000-0005-0000-0000-0000B8390000}"/>
    <cellStyle name="Normal 26 3 42" xfId="8337" xr:uid="{00000000-0005-0000-0000-0000B9390000}"/>
    <cellStyle name="Normal 26 3 42 2" xfId="20426" xr:uid="{00000000-0005-0000-0000-0000BA390000}"/>
    <cellStyle name="Normal 26 3 43" xfId="8338" xr:uid="{00000000-0005-0000-0000-0000BB390000}"/>
    <cellStyle name="Normal 26 3 43 2" xfId="20427" xr:uid="{00000000-0005-0000-0000-0000BC390000}"/>
    <cellStyle name="Normal 26 3 44" xfId="8339" xr:uid="{00000000-0005-0000-0000-0000BD390000}"/>
    <cellStyle name="Normal 26 3 44 2" xfId="20428" xr:uid="{00000000-0005-0000-0000-0000BE390000}"/>
    <cellStyle name="Normal 26 3 45" xfId="8340" xr:uid="{00000000-0005-0000-0000-0000BF390000}"/>
    <cellStyle name="Normal 26 3 45 2" xfId="20429" xr:uid="{00000000-0005-0000-0000-0000C0390000}"/>
    <cellStyle name="Normal 26 3 46" xfId="8341" xr:uid="{00000000-0005-0000-0000-0000C1390000}"/>
    <cellStyle name="Normal 26 3 46 2" xfId="20430" xr:uid="{00000000-0005-0000-0000-0000C2390000}"/>
    <cellStyle name="Normal 26 3 47" xfId="8342" xr:uid="{00000000-0005-0000-0000-0000C3390000}"/>
    <cellStyle name="Normal 26 3 47 2" xfId="20431" xr:uid="{00000000-0005-0000-0000-0000C4390000}"/>
    <cellStyle name="Normal 26 3 48" xfId="8343" xr:uid="{00000000-0005-0000-0000-0000C5390000}"/>
    <cellStyle name="Normal 26 3 48 2" xfId="20432" xr:uid="{00000000-0005-0000-0000-0000C6390000}"/>
    <cellStyle name="Normal 26 3 49" xfId="8344" xr:uid="{00000000-0005-0000-0000-0000C7390000}"/>
    <cellStyle name="Normal 26 3 49 2" xfId="20433" xr:uid="{00000000-0005-0000-0000-0000C8390000}"/>
    <cellStyle name="Normal 26 3 5" xfId="8345" xr:uid="{00000000-0005-0000-0000-0000C9390000}"/>
    <cellStyle name="Normal 26 3 5 2" xfId="20434" xr:uid="{00000000-0005-0000-0000-0000CA390000}"/>
    <cellStyle name="Normal 26 3 50" xfId="8346" xr:uid="{00000000-0005-0000-0000-0000CB390000}"/>
    <cellStyle name="Normal 26 3 50 2" xfId="20435" xr:uid="{00000000-0005-0000-0000-0000CC390000}"/>
    <cellStyle name="Normal 26 3 51" xfId="8347" xr:uid="{00000000-0005-0000-0000-0000CD390000}"/>
    <cellStyle name="Normal 26 3 51 2" xfId="20436" xr:uid="{00000000-0005-0000-0000-0000CE390000}"/>
    <cellStyle name="Normal 26 3 52" xfId="8348" xr:uid="{00000000-0005-0000-0000-0000CF390000}"/>
    <cellStyle name="Normal 26 3 52 2" xfId="20437" xr:uid="{00000000-0005-0000-0000-0000D0390000}"/>
    <cellStyle name="Normal 26 3 53" xfId="8349" xr:uid="{00000000-0005-0000-0000-0000D1390000}"/>
    <cellStyle name="Normal 26 3 53 2" xfId="20438" xr:uid="{00000000-0005-0000-0000-0000D2390000}"/>
    <cellStyle name="Normal 26 3 54" xfId="8350" xr:uid="{00000000-0005-0000-0000-0000D3390000}"/>
    <cellStyle name="Normal 26 3 54 2" xfId="20439" xr:uid="{00000000-0005-0000-0000-0000D4390000}"/>
    <cellStyle name="Normal 26 3 55" xfId="8351" xr:uid="{00000000-0005-0000-0000-0000D5390000}"/>
    <cellStyle name="Normal 26 3 55 2" xfId="20440" xr:uid="{00000000-0005-0000-0000-0000D6390000}"/>
    <cellStyle name="Normal 26 3 56" xfId="8352" xr:uid="{00000000-0005-0000-0000-0000D7390000}"/>
    <cellStyle name="Normal 26 3 56 2" xfId="20441" xr:uid="{00000000-0005-0000-0000-0000D8390000}"/>
    <cellStyle name="Normal 26 3 57" xfId="8353" xr:uid="{00000000-0005-0000-0000-0000D9390000}"/>
    <cellStyle name="Normal 26 3 57 2" xfId="20442" xr:uid="{00000000-0005-0000-0000-0000DA390000}"/>
    <cellStyle name="Normal 26 3 58" xfId="8354" xr:uid="{00000000-0005-0000-0000-0000DB390000}"/>
    <cellStyle name="Normal 26 3 58 2" xfId="20443" xr:uid="{00000000-0005-0000-0000-0000DC390000}"/>
    <cellStyle name="Normal 26 3 59" xfId="8355" xr:uid="{00000000-0005-0000-0000-0000DD390000}"/>
    <cellStyle name="Normal 26 3 59 2" xfId="20444" xr:uid="{00000000-0005-0000-0000-0000DE390000}"/>
    <cellStyle name="Normal 26 3 6" xfId="8356" xr:uid="{00000000-0005-0000-0000-0000DF390000}"/>
    <cellStyle name="Normal 26 3 6 2" xfId="20445" xr:uid="{00000000-0005-0000-0000-0000E0390000}"/>
    <cellStyle name="Normal 26 3 60" xfId="8357" xr:uid="{00000000-0005-0000-0000-0000E1390000}"/>
    <cellStyle name="Normal 26 3 60 2" xfId="20446" xr:uid="{00000000-0005-0000-0000-0000E2390000}"/>
    <cellStyle name="Normal 26 3 61" xfId="8358" xr:uid="{00000000-0005-0000-0000-0000E3390000}"/>
    <cellStyle name="Normal 26 3 61 2" xfId="20447" xr:uid="{00000000-0005-0000-0000-0000E4390000}"/>
    <cellStyle name="Normal 26 3 62" xfId="8359" xr:uid="{00000000-0005-0000-0000-0000E5390000}"/>
    <cellStyle name="Normal 26 3 62 2" xfId="20448" xr:uid="{00000000-0005-0000-0000-0000E6390000}"/>
    <cellStyle name="Normal 26 3 63" xfId="8360" xr:uid="{00000000-0005-0000-0000-0000E7390000}"/>
    <cellStyle name="Normal 26 3 63 2" xfId="20449" xr:uid="{00000000-0005-0000-0000-0000E8390000}"/>
    <cellStyle name="Normal 26 3 64" xfId="8361" xr:uid="{00000000-0005-0000-0000-0000E9390000}"/>
    <cellStyle name="Normal 26 3 64 2" xfId="20450" xr:uid="{00000000-0005-0000-0000-0000EA390000}"/>
    <cellStyle name="Normal 26 3 65" xfId="8362" xr:uid="{00000000-0005-0000-0000-0000EB390000}"/>
    <cellStyle name="Normal 26 3 65 2" xfId="20451" xr:uid="{00000000-0005-0000-0000-0000EC390000}"/>
    <cellStyle name="Normal 26 3 66" xfId="8363" xr:uid="{00000000-0005-0000-0000-0000ED390000}"/>
    <cellStyle name="Normal 26 3 66 2" xfId="20452" xr:uid="{00000000-0005-0000-0000-0000EE390000}"/>
    <cellStyle name="Normal 26 3 67" xfId="8364" xr:uid="{00000000-0005-0000-0000-0000EF390000}"/>
    <cellStyle name="Normal 26 3 67 2" xfId="20453" xr:uid="{00000000-0005-0000-0000-0000F0390000}"/>
    <cellStyle name="Normal 26 3 68" xfId="8365" xr:uid="{00000000-0005-0000-0000-0000F1390000}"/>
    <cellStyle name="Normal 26 3 68 2" xfId="20454" xr:uid="{00000000-0005-0000-0000-0000F2390000}"/>
    <cellStyle name="Normal 26 3 69" xfId="8366" xr:uid="{00000000-0005-0000-0000-0000F3390000}"/>
    <cellStyle name="Normal 26 3 69 2" xfId="20455" xr:uid="{00000000-0005-0000-0000-0000F4390000}"/>
    <cellStyle name="Normal 26 3 7" xfId="8367" xr:uid="{00000000-0005-0000-0000-0000F5390000}"/>
    <cellStyle name="Normal 26 3 7 2" xfId="20456" xr:uid="{00000000-0005-0000-0000-0000F6390000}"/>
    <cellStyle name="Normal 26 3 70" xfId="8368" xr:uid="{00000000-0005-0000-0000-0000F7390000}"/>
    <cellStyle name="Normal 26 3 70 2" xfId="20457" xr:uid="{00000000-0005-0000-0000-0000F8390000}"/>
    <cellStyle name="Normal 26 3 71" xfId="8369" xr:uid="{00000000-0005-0000-0000-0000F9390000}"/>
    <cellStyle name="Normal 26 3 71 2" xfId="20458" xr:uid="{00000000-0005-0000-0000-0000FA390000}"/>
    <cellStyle name="Normal 26 3 72" xfId="8370" xr:uid="{00000000-0005-0000-0000-0000FB390000}"/>
    <cellStyle name="Normal 26 3 72 2" xfId="20459" xr:uid="{00000000-0005-0000-0000-0000FC390000}"/>
    <cellStyle name="Normal 26 3 73" xfId="8371" xr:uid="{00000000-0005-0000-0000-0000FD390000}"/>
    <cellStyle name="Normal 26 3 73 2" xfId="20460" xr:uid="{00000000-0005-0000-0000-0000FE390000}"/>
    <cellStyle name="Normal 26 3 74" xfId="8372" xr:uid="{00000000-0005-0000-0000-0000FF390000}"/>
    <cellStyle name="Normal 26 3 74 2" xfId="20461" xr:uid="{00000000-0005-0000-0000-0000003A0000}"/>
    <cellStyle name="Normal 26 3 75" xfId="8373" xr:uid="{00000000-0005-0000-0000-0000013A0000}"/>
    <cellStyle name="Normal 26 3 75 2" xfId="20462" xr:uid="{00000000-0005-0000-0000-0000023A0000}"/>
    <cellStyle name="Normal 26 3 76" xfId="8374" xr:uid="{00000000-0005-0000-0000-0000033A0000}"/>
    <cellStyle name="Normal 26 3 76 2" xfId="20463" xr:uid="{00000000-0005-0000-0000-0000043A0000}"/>
    <cellStyle name="Normal 26 3 77" xfId="8375" xr:uid="{00000000-0005-0000-0000-0000053A0000}"/>
    <cellStyle name="Normal 26 3 77 2" xfId="20464" xr:uid="{00000000-0005-0000-0000-0000063A0000}"/>
    <cellStyle name="Normal 26 3 78" xfId="8376" xr:uid="{00000000-0005-0000-0000-0000073A0000}"/>
    <cellStyle name="Normal 26 3 78 2" xfId="20465" xr:uid="{00000000-0005-0000-0000-0000083A0000}"/>
    <cellStyle name="Normal 26 3 79" xfId="8377" xr:uid="{00000000-0005-0000-0000-0000093A0000}"/>
    <cellStyle name="Normal 26 3 79 2" xfId="20466" xr:uid="{00000000-0005-0000-0000-00000A3A0000}"/>
    <cellStyle name="Normal 26 3 8" xfId="8378" xr:uid="{00000000-0005-0000-0000-00000B3A0000}"/>
    <cellStyle name="Normal 26 3 8 2" xfId="20467" xr:uid="{00000000-0005-0000-0000-00000C3A0000}"/>
    <cellStyle name="Normal 26 3 80" xfId="20390" xr:uid="{00000000-0005-0000-0000-00000D3A0000}"/>
    <cellStyle name="Normal 26 3 9" xfId="8379" xr:uid="{00000000-0005-0000-0000-00000E3A0000}"/>
    <cellStyle name="Normal 26 3 9 2" xfId="20468" xr:uid="{00000000-0005-0000-0000-00000F3A0000}"/>
    <cellStyle name="Normal 26 30" xfId="8380" xr:uid="{00000000-0005-0000-0000-0000103A0000}"/>
    <cellStyle name="Normal 26 30 2" xfId="20469" xr:uid="{00000000-0005-0000-0000-0000113A0000}"/>
    <cellStyle name="Normal 26 31" xfId="8381" xr:uid="{00000000-0005-0000-0000-0000123A0000}"/>
    <cellStyle name="Normal 26 31 2" xfId="20470" xr:uid="{00000000-0005-0000-0000-0000133A0000}"/>
    <cellStyle name="Normal 26 32" xfId="8382" xr:uid="{00000000-0005-0000-0000-0000143A0000}"/>
    <cellStyle name="Normal 26 32 2" xfId="20471" xr:uid="{00000000-0005-0000-0000-0000153A0000}"/>
    <cellStyle name="Normal 26 33" xfId="8383" xr:uid="{00000000-0005-0000-0000-0000163A0000}"/>
    <cellStyle name="Normal 26 33 2" xfId="20472" xr:uid="{00000000-0005-0000-0000-0000173A0000}"/>
    <cellStyle name="Normal 26 34" xfId="8384" xr:uid="{00000000-0005-0000-0000-0000183A0000}"/>
    <cellStyle name="Normal 26 34 2" xfId="20473" xr:uid="{00000000-0005-0000-0000-0000193A0000}"/>
    <cellStyle name="Normal 26 35" xfId="8385" xr:uid="{00000000-0005-0000-0000-00001A3A0000}"/>
    <cellStyle name="Normal 26 35 2" xfId="20474" xr:uid="{00000000-0005-0000-0000-00001B3A0000}"/>
    <cellStyle name="Normal 26 36" xfId="8386" xr:uid="{00000000-0005-0000-0000-00001C3A0000}"/>
    <cellStyle name="Normal 26 36 2" xfId="20475" xr:uid="{00000000-0005-0000-0000-00001D3A0000}"/>
    <cellStyle name="Normal 26 37" xfId="8387" xr:uid="{00000000-0005-0000-0000-00001E3A0000}"/>
    <cellStyle name="Normal 26 37 2" xfId="20476" xr:uid="{00000000-0005-0000-0000-00001F3A0000}"/>
    <cellStyle name="Normal 26 38" xfId="8388" xr:uid="{00000000-0005-0000-0000-0000203A0000}"/>
    <cellStyle name="Normal 26 38 2" xfId="20477" xr:uid="{00000000-0005-0000-0000-0000213A0000}"/>
    <cellStyle name="Normal 26 39" xfId="8389" xr:uid="{00000000-0005-0000-0000-0000223A0000}"/>
    <cellStyle name="Normal 26 39 2" xfId="20478" xr:uid="{00000000-0005-0000-0000-0000233A0000}"/>
    <cellStyle name="Normal 26 4" xfId="714" xr:uid="{00000000-0005-0000-0000-0000243A0000}"/>
    <cellStyle name="Normal 26 4 10" xfId="8391" xr:uid="{00000000-0005-0000-0000-0000253A0000}"/>
    <cellStyle name="Normal 26 4 10 2" xfId="20480" xr:uid="{00000000-0005-0000-0000-0000263A0000}"/>
    <cellStyle name="Normal 26 4 11" xfId="8392" xr:uid="{00000000-0005-0000-0000-0000273A0000}"/>
    <cellStyle name="Normal 26 4 11 2" xfId="20481" xr:uid="{00000000-0005-0000-0000-0000283A0000}"/>
    <cellStyle name="Normal 26 4 12" xfId="8393" xr:uid="{00000000-0005-0000-0000-0000293A0000}"/>
    <cellStyle name="Normal 26 4 12 2" xfId="20482" xr:uid="{00000000-0005-0000-0000-00002A3A0000}"/>
    <cellStyle name="Normal 26 4 13" xfId="8394" xr:uid="{00000000-0005-0000-0000-00002B3A0000}"/>
    <cellStyle name="Normal 26 4 13 2" xfId="20483" xr:uid="{00000000-0005-0000-0000-00002C3A0000}"/>
    <cellStyle name="Normal 26 4 14" xfId="8395" xr:uid="{00000000-0005-0000-0000-00002D3A0000}"/>
    <cellStyle name="Normal 26 4 14 2" xfId="20484" xr:uid="{00000000-0005-0000-0000-00002E3A0000}"/>
    <cellStyle name="Normal 26 4 15" xfId="8396" xr:uid="{00000000-0005-0000-0000-00002F3A0000}"/>
    <cellStyle name="Normal 26 4 15 2" xfId="20485" xr:uid="{00000000-0005-0000-0000-0000303A0000}"/>
    <cellStyle name="Normal 26 4 16" xfId="8397" xr:uid="{00000000-0005-0000-0000-0000313A0000}"/>
    <cellStyle name="Normal 26 4 16 2" xfId="20486" xr:uid="{00000000-0005-0000-0000-0000323A0000}"/>
    <cellStyle name="Normal 26 4 17" xfId="8398" xr:uid="{00000000-0005-0000-0000-0000333A0000}"/>
    <cellStyle name="Normal 26 4 17 2" xfId="20487" xr:uid="{00000000-0005-0000-0000-0000343A0000}"/>
    <cellStyle name="Normal 26 4 18" xfId="8399" xr:uid="{00000000-0005-0000-0000-0000353A0000}"/>
    <cellStyle name="Normal 26 4 18 2" xfId="20488" xr:uid="{00000000-0005-0000-0000-0000363A0000}"/>
    <cellStyle name="Normal 26 4 19" xfId="8400" xr:uid="{00000000-0005-0000-0000-0000373A0000}"/>
    <cellStyle name="Normal 26 4 19 2" xfId="20489" xr:uid="{00000000-0005-0000-0000-0000383A0000}"/>
    <cellStyle name="Normal 26 4 2" xfId="8401" xr:uid="{00000000-0005-0000-0000-0000393A0000}"/>
    <cellStyle name="Normal 26 4 2 2" xfId="20490" xr:uid="{00000000-0005-0000-0000-00003A3A0000}"/>
    <cellStyle name="Normal 26 4 20" xfId="8402" xr:uid="{00000000-0005-0000-0000-00003B3A0000}"/>
    <cellStyle name="Normal 26 4 20 2" xfId="20491" xr:uid="{00000000-0005-0000-0000-00003C3A0000}"/>
    <cellStyle name="Normal 26 4 21" xfId="8403" xr:uid="{00000000-0005-0000-0000-00003D3A0000}"/>
    <cellStyle name="Normal 26 4 21 2" xfId="20492" xr:uid="{00000000-0005-0000-0000-00003E3A0000}"/>
    <cellStyle name="Normal 26 4 22" xfId="8404" xr:uid="{00000000-0005-0000-0000-00003F3A0000}"/>
    <cellStyle name="Normal 26 4 22 2" xfId="20493" xr:uid="{00000000-0005-0000-0000-0000403A0000}"/>
    <cellStyle name="Normal 26 4 23" xfId="8405" xr:uid="{00000000-0005-0000-0000-0000413A0000}"/>
    <cellStyle name="Normal 26 4 23 2" xfId="20494" xr:uid="{00000000-0005-0000-0000-0000423A0000}"/>
    <cellStyle name="Normal 26 4 24" xfId="8406" xr:uid="{00000000-0005-0000-0000-0000433A0000}"/>
    <cellStyle name="Normal 26 4 24 2" xfId="20495" xr:uid="{00000000-0005-0000-0000-0000443A0000}"/>
    <cellStyle name="Normal 26 4 25" xfId="8407" xr:uid="{00000000-0005-0000-0000-0000453A0000}"/>
    <cellStyle name="Normal 26 4 25 2" xfId="20496" xr:uid="{00000000-0005-0000-0000-0000463A0000}"/>
    <cellStyle name="Normal 26 4 26" xfId="8408" xr:uid="{00000000-0005-0000-0000-0000473A0000}"/>
    <cellStyle name="Normal 26 4 26 2" xfId="20497" xr:uid="{00000000-0005-0000-0000-0000483A0000}"/>
    <cellStyle name="Normal 26 4 27" xfId="8409" xr:uid="{00000000-0005-0000-0000-0000493A0000}"/>
    <cellStyle name="Normal 26 4 27 2" xfId="20498" xr:uid="{00000000-0005-0000-0000-00004A3A0000}"/>
    <cellStyle name="Normal 26 4 28" xfId="8410" xr:uid="{00000000-0005-0000-0000-00004B3A0000}"/>
    <cellStyle name="Normal 26 4 28 2" xfId="20499" xr:uid="{00000000-0005-0000-0000-00004C3A0000}"/>
    <cellStyle name="Normal 26 4 29" xfId="8411" xr:uid="{00000000-0005-0000-0000-00004D3A0000}"/>
    <cellStyle name="Normal 26 4 29 2" xfId="20500" xr:uid="{00000000-0005-0000-0000-00004E3A0000}"/>
    <cellStyle name="Normal 26 4 3" xfId="8412" xr:uid="{00000000-0005-0000-0000-00004F3A0000}"/>
    <cellStyle name="Normal 26 4 3 2" xfId="20501" xr:uid="{00000000-0005-0000-0000-0000503A0000}"/>
    <cellStyle name="Normal 26 4 30" xfId="8413" xr:uid="{00000000-0005-0000-0000-0000513A0000}"/>
    <cellStyle name="Normal 26 4 30 2" xfId="20502" xr:uid="{00000000-0005-0000-0000-0000523A0000}"/>
    <cellStyle name="Normal 26 4 31" xfId="8414" xr:uid="{00000000-0005-0000-0000-0000533A0000}"/>
    <cellStyle name="Normal 26 4 31 2" xfId="20503" xr:uid="{00000000-0005-0000-0000-0000543A0000}"/>
    <cellStyle name="Normal 26 4 32" xfId="8415" xr:uid="{00000000-0005-0000-0000-0000553A0000}"/>
    <cellStyle name="Normal 26 4 32 2" xfId="20504" xr:uid="{00000000-0005-0000-0000-0000563A0000}"/>
    <cellStyle name="Normal 26 4 33" xfId="8416" xr:uid="{00000000-0005-0000-0000-0000573A0000}"/>
    <cellStyle name="Normal 26 4 33 2" xfId="20505" xr:uid="{00000000-0005-0000-0000-0000583A0000}"/>
    <cellStyle name="Normal 26 4 34" xfId="8417" xr:uid="{00000000-0005-0000-0000-0000593A0000}"/>
    <cellStyle name="Normal 26 4 34 2" xfId="20506" xr:uid="{00000000-0005-0000-0000-00005A3A0000}"/>
    <cellStyle name="Normal 26 4 35" xfId="8418" xr:uid="{00000000-0005-0000-0000-00005B3A0000}"/>
    <cellStyle name="Normal 26 4 35 2" xfId="20507" xr:uid="{00000000-0005-0000-0000-00005C3A0000}"/>
    <cellStyle name="Normal 26 4 36" xfId="8419" xr:uid="{00000000-0005-0000-0000-00005D3A0000}"/>
    <cellStyle name="Normal 26 4 36 2" xfId="20508" xr:uid="{00000000-0005-0000-0000-00005E3A0000}"/>
    <cellStyle name="Normal 26 4 37" xfId="8420" xr:uid="{00000000-0005-0000-0000-00005F3A0000}"/>
    <cellStyle name="Normal 26 4 37 2" xfId="20509" xr:uid="{00000000-0005-0000-0000-0000603A0000}"/>
    <cellStyle name="Normal 26 4 38" xfId="8421" xr:uid="{00000000-0005-0000-0000-0000613A0000}"/>
    <cellStyle name="Normal 26 4 38 2" xfId="20510" xr:uid="{00000000-0005-0000-0000-0000623A0000}"/>
    <cellStyle name="Normal 26 4 39" xfId="8422" xr:uid="{00000000-0005-0000-0000-0000633A0000}"/>
    <cellStyle name="Normal 26 4 39 2" xfId="20511" xr:uid="{00000000-0005-0000-0000-0000643A0000}"/>
    <cellStyle name="Normal 26 4 4" xfId="8423" xr:uid="{00000000-0005-0000-0000-0000653A0000}"/>
    <cellStyle name="Normal 26 4 4 2" xfId="20512" xr:uid="{00000000-0005-0000-0000-0000663A0000}"/>
    <cellStyle name="Normal 26 4 40" xfId="8424" xr:uid="{00000000-0005-0000-0000-0000673A0000}"/>
    <cellStyle name="Normal 26 4 40 2" xfId="20513" xr:uid="{00000000-0005-0000-0000-0000683A0000}"/>
    <cellStyle name="Normal 26 4 41" xfId="8425" xr:uid="{00000000-0005-0000-0000-0000693A0000}"/>
    <cellStyle name="Normal 26 4 41 2" xfId="20514" xr:uid="{00000000-0005-0000-0000-00006A3A0000}"/>
    <cellStyle name="Normal 26 4 42" xfId="8426" xr:uid="{00000000-0005-0000-0000-00006B3A0000}"/>
    <cellStyle name="Normal 26 4 42 2" xfId="20515" xr:uid="{00000000-0005-0000-0000-00006C3A0000}"/>
    <cellStyle name="Normal 26 4 43" xfId="8427" xr:uid="{00000000-0005-0000-0000-00006D3A0000}"/>
    <cellStyle name="Normal 26 4 43 2" xfId="20516" xr:uid="{00000000-0005-0000-0000-00006E3A0000}"/>
    <cellStyle name="Normal 26 4 44" xfId="8428" xr:uid="{00000000-0005-0000-0000-00006F3A0000}"/>
    <cellStyle name="Normal 26 4 44 2" xfId="20517" xr:uid="{00000000-0005-0000-0000-0000703A0000}"/>
    <cellStyle name="Normal 26 4 45" xfId="8429" xr:uid="{00000000-0005-0000-0000-0000713A0000}"/>
    <cellStyle name="Normal 26 4 45 2" xfId="20518" xr:uid="{00000000-0005-0000-0000-0000723A0000}"/>
    <cellStyle name="Normal 26 4 46" xfId="8430" xr:uid="{00000000-0005-0000-0000-0000733A0000}"/>
    <cellStyle name="Normal 26 4 46 2" xfId="20519" xr:uid="{00000000-0005-0000-0000-0000743A0000}"/>
    <cellStyle name="Normal 26 4 47" xfId="8431" xr:uid="{00000000-0005-0000-0000-0000753A0000}"/>
    <cellStyle name="Normal 26 4 47 2" xfId="20520" xr:uid="{00000000-0005-0000-0000-0000763A0000}"/>
    <cellStyle name="Normal 26 4 48" xfId="8432" xr:uid="{00000000-0005-0000-0000-0000773A0000}"/>
    <cellStyle name="Normal 26 4 48 2" xfId="20521" xr:uid="{00000000-0005-0000-0000-0000783A0000}"/>
    <cellStyle name="Normal 26 4 49" xfId="8433" xr:uid="{00000000-0005-0000-0000-0000793A0000}"/>
    <cellStyle name="Normal 26 4 49 2" xfId="20522" xr:uid="{00000000-0005-0000-0000-00007A3A0000}"/>
    <cellStyle name="Normal 26 4 5" xfId="8434" xr:uid="{00000000-0005-0000-0000-00007B3A0000}"/>
    <cellStyle name="Normal 26 4 5 2" xfId="20523" xr:uid="{00000000-0005-0000-0000-00007C3A0000}"/>
    <cellStyle name="Normal 26 4 50" xfId="8435" xr:uid="{00000000-0005-0000-0000-00007D3A0000}"/>
    <cellStyle name="Normal 26 4 50 2" xfId="20524" xr:uid="{00000000-0005-0000-0000-00007E3A0000}"/>
    <cellStyle name="Normal 26 4 51" xfId="8436" xr:uid="{00000000-0005-0000-0000-00007F3A0000}"/>
    <cellStyle name="Normal 26 4 51 2" xfId="20525" xr:uid="{00000000-0005-0000-0000-0000803A0000}"/>
    <cellStyle name="Normal 26 4 52" xfId="8437" xr:uid="{00000000-0005-0000-0000-0000813A0000}"/>
    <cellStyle name="Normal 26 4 52 2" xfId="20526" xr:uid="{00000000-0005-0000-0000-0000823A0000}"/>
    <cellStyle name="Normal 26 4 53" xfId="8438" xr:uid="{00000000-0005-0000-0000-0000833A0000}"/>
    <cellStyle name="Normal 26 4 53 2" xfId="20527" xr:uid="{00000000-0005-0000-0000-0000843A0000}"/>
    <cellStyle name="Normal 26 4 54" xfId="8439" xr:uid="{00000000-0005-0000-0000-0000853A0000}"/>
    <cellStyle name="Normal 26 4 54 2" xfId="20528" xr:uid="{00000000-0005-0000-0000-0000863A0000}"/>
    <cellStyle name="Normal 26 4 55" xfId="8440" xr:uid="{00000000-0005-0000-0000-0000873A0000}"/>
    <cellStyle name="Normal 26 4 55 2" xfId="20529" xr:uid="{00000000-0005-0000-0000-0000883A0000}"/>
    <cellStyle name="Normal 26 4 56" xfId="8441" xr:uid="{00000000-0005-0000-0000-0000893A0000}"/>
    <cellStyle name="Normal 26 4 56 2" xfId="20530" xr:uid="{00000000-0005-0000-0000-00008A3A0000}"/>
    <cellStyle name="Normal 26 4 57" xfId="8442" xr:uid="{00000000-0005-0000-0000-00008B3A0000}"/>
    <cellStyle name="Normal 26 4 57 2" xfId="20531" xr:uid="{00000000-0005-0000-0000-00008C3A0000}"/>
    <cellStyle name="Normal 26 4 58" xfId="8443" xr:uid="{00000000-0005-0000-0000-00008D3A0000}"/>
    <cellStyle name="Normal 26 4 58 2" xfId="20532" xr:uid="{00000000-0005-0000-0000-00008E3A0000}"/>
    <cellStyle name="Normal 26 4 59" xfId="8444" xr:uid="{00000000-0005-0000-0000-00008F3A0000}"/>
    <cellStyle name="Normal 26 4 59 2" xfId="20533" xr:uid="{00000000-0005-0000-0000-0000903A0000}"/>
    <cellStyle name="Normal 26 4 6" xfId="8445" xr:uid="{00000000-0005-0000-0000-0000913A0000}"/>
    <cellStyle name="Normal 26 4 6 2" xfId="20534" xr:uid="{00000000-0005-0000-0000-0000923A0000}"/>
    <cellStyle name="Normal 26 4 60" xfId="8446" xr:uid="{00000000-0005-0000-0000-0000933A0000}"/>
    <cellStyle name="Normal 26 4 60 2" xfId="20535" xr:uid="{00000000-0005-0000-0000-0000943A0000}"/>
    <cellStyle name="Normal 26 4 61" xfId="8447" xr:uid="{00000000-0005-0000-0000-0000953A0000}"/>
    <cellStyle name="Normal 26 4 61 2" xfId="20536" xr:uid="{00000000-0005-0000-0000-0000963A0000}"/>
    <cellStyle name="Normal 26 4 62" xfId="8448" xr:uid="{00000000-0005-0000-0000-0000973A0000}"/>
    <cellStyle name="Normal 26 4 62 2" xfId="20537" xr:uid="{00000000-0005-0000-0000-0000983A0000}"/>
    <cellStyle name="Normal 26 4 63" xfId="8449" xr:uid="{00000000-0005-0000-0000-0000993A0000}"/>
    <cellStyle name="Normal 26 4 63 2" xfId="20538" xr:uid="{00000000-0005-0000-0000-00009A3A0000}"/>
    <cellStyle name="Normal 26 4 64" xfId="8450" xr:uid="{00000000-0005-0000-0000-00009B3A0000}"/>
    <cellStyle name="Normal 26 4 64 2" xfId="20539" xr:uid="{00000000-0005-0000-0000-00009C3A0000}"/>
    <cellStyle name="Normal 26 4 65" xfId="8451" xr:uid="{00000000-0005-0000-0000-00009D3A0000}"/>
    <cellStyle name="Normal 26 4 65 2" xfId="20540" xr:uid="{00000000-0005-0000-0000-00009E3A0000}"/>
    <cellStyle name="Normal 26 4 66" xfId="8452" xr:uid="{00000000-0005-0000-0000-00009F3A0000}"/>
    <cellStyle name="Normal 26 4 66 2" xfId="20541" xr:uid="{00000000-0005-0000-0000-0000A03A0000}"/>
    <cellStyle name="Normal 26 4 67" xfId="8453" xr:uid="{00000000-0005-0000-0000-0000A13A0000}"/>
    <cellStyle name="Normal 26 4 67 2" xfId="20542" xr:uid="{00000000-0005-0000-0000-0000A23A0000}"/>
    <cellStyle name="Normal 26 4 68" xfId="8454" xr:uid="{00000000-0005-0000-0000-0000A33A0000}"/>
    <cellStyle name="Normal 26 4 68 2" xfId="20543" xr:uid="{00000000-0005-0000-0000-0000A43A0000}"/>
    <cellStyle name="Normal 26 4 69" xfId="8455" xr:uid="{00000000-0005-0000-0000-0000A53A0000}"/>
    <cellStyle name="Normal 26 4 69 2" xfId="20544" xr:uid="{00000000-0005-0000-0000-0000A63A0000}"/>
    <cellStyle name="Normal 26 4 7" xfId="8456" xr:uid="{00000000-0005-0000-0000-0000A73A0000}"/>
    <cellStyle name="Normal 26 4 7 2" xfId="20545" xr:uid="{00000000-0005-0000-0000-0000A83A0000}"/>
    <cellStyle name="Normal 26 4 70" xfId="8457" xr:uid="{00000000-0005-0000-0000-0000A93A0000}"/>
    <cellStyle name="Normal 26 4 70 2" xfId="20546" xr:uid="{00000000-0005-0000-0000-0000AA3A0000}"/>
    <cellStyle name="Normal 26 4 71" xfId="8458" xr:uid="{00000000-0005-0000-0000-0000AB3A0000}"/>
    <cellStyle name="Normal 26 4 71 2" xfId="20547" xr:uid="{00000000-0005-0000-0000-0000AC3A0000}"/>
    <cellStyle name="Normal 26 4 72" xfId="8459" xr:uid="{00000000-0005-0000-0000-0000AD3A0000}"/>
    <cellStyle name="Normal 26 4 72 2" xfId="20548" xr:uid="{00000000-0005-0000-0000-0000AE3A0000}"/>
    <cellStyle name="Normal 26 4 73" xfId="8460" xr:uid="{00000000-0005-0000-0000-0000AF3A0000}"/>
    <cellStyle name="Normal 26 4 73 2" xfId="20549" xr:uid="{00000000-0005-0000-0000-0000B03A0000}"/>
    <cellStyle name="Normal 26 4 74" xfId="8461" xr:uid="{00000000-0005-0000-0000-0000B13A0000}"/>
    <cellStyle name="Normal 26 4 74 2" xfId="20550" xr:uid="{00000000-0005-0000-0000-0000B23A0000}"/>
    <cellStyle name="Normal 26 4 75" xfId="8462" xr:uid="{00000000-0005-0000-0000-0000B33A0000}"/>
    <cellStyle name="Normal 26 4 75 2" xfId="20551" xr:uid="{00000000-0005-0000-0000-0000B43A0000}"/>
    <cellStyle name="Normal 26 4 76" xfId="8463" xr:uid="{00000000-0005-0000-0000-0000B53A0000}"/>
    <cellStyle name="Normal 26 4 76 2" xfId="20552" xr:uid="{00000000-0005-0000-0000-0000B63A0000}"/>
    <cellStyle name="Normal 26 4 77" xfId="8464" xr:uid="{00000000-0005-0000-0000-0000B73A0000}"/>
    <cellStyle name="Normal 26 4 77 2" xfId="20553" xr:uid="{00000000-0005-0000-0000-0000B83A0000}"/>
    <cellStyle name="Normal 26 4 78" xfId="8465" xr:uid="{00000000-0005-0000-0000-0000B93A0000}"/>
    <cellStyle name="Normal 26 4 78 2" xfId="20554" xr:uid="{00000000-0005-0000-0000-0000BA3A0000}"/>
    <cellStyle name="Normal 26 4 79" xfId="8466" xr:uid="{00000000-0005-0000-0000-0000BB3A0000}"/>
    <cellStyle name="Normal 26 4 79 2" xfId="20555" xr:uid="{00000000-0005-0000-0000-0000BC3A0000}"/>
    <cellStyle name="Normal 26 4 8" xfId="8467" xr:uid="{00000000-0005-0000-0000-0000BD3A0000}"/>
    <cellStyle name="Normal 26 4 8 2" xfId="20556" xr:uid="{00000000-0005-0000-0000-0000BE3A0000}"/>
    <cellStyle name="Normal 26 4 80" xfId="20479" xr:uid="{00000000-0005-0000-0000-0000BF3A0000}"/>
    <cellStyle name="Normal 26 4 81" xfId="8390" xr:uid="{00000000-0005-0000-0000-0000C03A0000}"/>
    <cellStyle name="Normal 26 4 9" xfId="8468" xr:uid="{00000000-0005-0000-0000-0000C13A0000}"/>
    <cellStyle name="Normal 26 4 9 2" xfId="20557" xr:uid="{00000000-0005-0000-0000-0000C23A0000}"/>
    <cellStyle name="Normal 26 40" xfId="8469" xr:uid="{00000000-0005-0000-0000-0000C33A0000}"/>
    <cellStyle name="Normal 26 40 2" xfId="20558" xr:uid="{00000000-0005-0000-0000-0000C43A0000}"/>
    <cellStyle name="Normal 26 41" xfId="8470" xr:uid="{00000000-0005-0000-0000-0000C53A0000}"/>
    <cellStyle name="Normal 26 41 2" xfId="20559" xr:uid="{00000000-0005-0000-0000-0000C63A0000}"/>
    <cellStyle name="Normal 26 42" xfId="8471" xr:uid="{00000000-0005-0000-0000-0000C73A0000}"/>
    <cellStyle name="Normal 26 42 2" xfId="20560" xr:uid="{00000000-0005-0000-0000-0000C83A0000}"/>
    <cellStyle name="Normal 26 43" xfId="8472" xr:uid="{00000000-0005-0000-0000-0000C93A0000}"/>
    <cellStyle name="Normal 26 43 2" xfId="20561" xr:uid="{00000000-0005-0000-0000-0000CA3A0000}"/>
    <cellStyle name="Normal 26 44" xfId="8473" xr:uid="{00000000-0005-0000-0000-0000CB3A0000}"/>
    <cellStyle name="Normal 26 44 2" xfId="20562" xr:uid="{00000000-0005-0000-0000-0000CC3A0000}"/>
    <cellStyle name="Normal 26 45" xfId="8474" xr:uid="{00000000-0005-0000-0000-0000CD3A0000}"/>
    <cellStyle name="Normal 26 45 2" xfId="20563" xr:uid="{00000000-0005-0000-0000-0000CE3A0000}"/>
    <cellStyle name="Normal 26 46" xfId="8475" xr:uid="{00000000-0005-0000-0000-0000CF3A0000}"/>
    <cellStyle name="Normal 26 46 2" xfId="20564" xr:uid="{00000000-0005-0000-0000-0000D03A0000}"/>
    <cellStyle name="Normal 26 47" xfId="8476" xr:uid="{00000000-0005-0000-0000-0000D13A0000}"/>
    <cellStyle name="Normal 26 47 2" xfId="20565" xr:uid="{00000000-0005-0000-0000-0000D23A0000}"/>
    <cellStyle name="Normal 26 48" xfId="8477" xr:uid="{00000000-0005-0000-0000-0000D33A0000}"/>
    <cellStyle name="Normal 26 48 2" xfId="20566" xr:uid="{00000000-0005-0000-0000-0000D43A0000}"/>
    <cellStyle name="Normal 26 49" xfId="8478" xr:uid="{00000000-0005-0000-0000-0000D53A0000}"/>
    <cellStyle name="Normal 26 49 2" xfId="20567" xr:uid="{00000000-0005-0000-0000-0000D63A0000}"/>
    <cellStyle name="Normal 26 5" xfId="312" xr:uid="{00000000-0005-0000-0000-0000D73A0000}"/>
    <cellStyle name="Normal 26 5 2" xfId="20568" xr:uid="{00000000-0005-0000-0000-0000D83A0000}"/>
    <cellStyle name="Normal 26 50" xfId="8479" xr:uid="{00000000-0005-0000-0000-0000D93A0000}"/>
    <cellStyle name="Normal 26 50 2" xfId="20569" xr:uid="{00000000-0005-0000-0000-0000DA3A0000}"/>
    <cellStyle name="Normal 26 51" xfId="8480" xr:uid="{00000000-0005-0000-0000-0000DB3A0000}"/>
    <cellStyle name="Normal 26 51 2" xfId="20570" xr:uid="{00000000-0005-0000-0000-0000DC3A0000}"/>
    <cellStyle name="Normal 26 52" xfId="8481" xr:uid="{00000000-0005-0000-0000-0000DD3A0000}"/>
    <cellStyle name="Normal 26 52 2" xfId="20571" xr:uid="{00000000-0005-0000-0000-0000DE3A0000}"/>
    <cellStyle name="Normal 26 53" xfId="8482" xr:uid="{00000000-0005-0000-0000-0000DF3A0000}"/>
    <cellStyle name="Normal 26 53 2" xfId="20572" xr:uid="{00000000-0005-0000-0000-0000E03A0000}"/>
    <cellStyle name="Normal 26 54" xfId="8483" xr:uid="{00000000-0005-0000-0000-0000E13A0000}"/>
    <cellStyle name="Normal 26 54 2" xfId="20573" xr:uid="{00000000-0005-0000-0000-0000E23A0000}"/>
    <cellStyle name="Normal 26 55" xfId="8484" xr:uid="{00000000-0005-0000-0000-0000E33A0000}"/>
    <cellStyle name="Normal 26 55 2" xfId="20574" xr:uid="{00000000-0005-0000-0000-0000E43A0000}"/>
    <cellStyle name="Normal 26 56" xfId="8485" xr:uid="{00000000-0005-0000-0000-0000E53A0000}"/>
    <cellStyle name="Normal 26 56 2" xfId="20575" xr:uid="{00000000-0005-0000-0000-0000E63A0000}"/>
    <cellStyle name="Normal 26 57" xfId="8486" xr:uid="{00000000-0005-0000-0000-0000E73A0000}"/>
    <cellStyle name="Normal 26 57 2" xfId="20576" xr:uid="{00000000-0005-0000-0000-0000E83A0000}"/>
    <cellStyle name="Normal 26 58" xfId="8487" xr:uid="{00000000-0005-0000-0000-0000E93A0000}"/>
    <cellStyle name="Normal 26 58 2" xfId="20577" xr:uid="{00000000-0005-0000-0000-0000EA3A0000}"/>
    <cellStyle name="Normal 26 59" xfId="8488" xr:uid="{00000000-0005-0000-0000-0000EB3A0000}"/>
    <cellStyle name="Normal 26 59 2" xfId="20578" xr:uid="{00000000-0005-0000-0000-0000EC3A0000}"/>
    <cellStyle name="Normal 26 6" xfId="8489" xr:uid="{00000000-0005-0000-0000-0000ED3A0000}"/>
    <cellStyle name="Normal 26 6 2" xfId="20579" xr:uid="{00000000-0005-0000-0000-0000EE3A0000}"/>
    <cellStyle name="Normal 26 60" xfId="8490" xr:uid="{00000000-0005-0000-0000-0000EF3A0000}"/>
    <cellStyle name="Normal 26 60 2" xfId="20580" xr:uid="{00000000-0005-0000-0000-0000F03A0000}"/>
    <cellStyle name="Normal 26 61" xfId="8491" xr:uid="{00000000-0005-0000-0000-0000F13A0000}"/>
    <cellStyle name="Normal 26 61 2" xfId="20581" xr:uid="{00000000-0005-0000-0000-0000F23A0000}"/>
    <cellStyle name="Normal 26 62" xfId="8492" xr:uid="{00000000-0005-0000-0000-0000F33A0000}"/>
    <cellStyle name="Normal 26 62 2" xfId="20582" xr:uid="{00000000-0005-0000-0000-0000F43A0000}"/>
    <cellStyle name="Normal 26 63" xfId="8493" xr:uid="{00000000-0005-0000-0000-0000F53A0000}"/>
    <cellStyle name="Normal 26 63 2" xfId="20583" xr:uid="{00000000-0005-0000-0000-0000F63A0000}"/>
    <cellStyle name="Normal 26 64" xfId="8494" xr:uid="{00000000-0005-0000-0000-0000F73A0000}"/>
    <cellStyle name="Normal 26 64 2" xfId="20584" xr:uid="{00000000-0005-0000-0000-0000F83A0000}"/>
    <cellStyle name="Normal 26 65" xfId="8495" xr:uid="{00000000-0005-0000-0000-0000F93A0000}"/>
    <cellStyle name="Normal 26 65 2" xfId="20585" xr:uid="{00000000-0005-0000-0000-0000FA3A0000}"/>
    <cellStyle name="Normal 26 66" xfId="8496" xr:uid="{00000000-0005-0000-0000-0000FB3A0000}"/>
    <cellStyle name="Normal 26 66 2" xfId="20586" xr:uid="{00000000-0005-0000-0000-0000FC3A0000}"/>
    <cellStyle name="Normal 26 67" xfId="8497" xr:uid="{00000000-0005-0000-0000-0000FD3A0000}"/>
    <cellStyle name="Normal 26 67 2" xfId="20587" xr:uid="{00000000-0005-0000-0000-0000FE3A0000}"/>
    <cellStyle name="Normal 26 68" xfId="8498" xr:uid="{00000000-0005-0000-0000-0000FF3A0000}"/>
    <cellStyle name="Normal 26 68 2" xfId="20588" xr:uid="{00000000-0005-0000-0000-0000003B0000}"/>
    <cellStyle name="Normal 26 69" xfId="8499" xr:uid="{00000000-0005-0000-0000-0000013B0000}"/>
    <cellStyle name="Normal 26 69 2" xfId="20589" xr:uid="{00000000-0005-0000-0000-0000023B0000}"/>
    <cellStyle name="Normal 26 7" xfId="8500" xr:uid="{00000000-0005-0000-0000-0000033B0000}"/>
    <cellStyle name="Normal 26 7 2" xfId="20590" xr:uid="{00000000-0005-0000-0000-0000043B0000}"/>
    <cellStyle name="Normal 26 70" xfId="8501" xr:uid="{00000000-0005-0000-0000-0000053B0000}"/>
    <cellStyle name="Normal 26 70 2" xfId="20591" xr:uid="{00000000-0005-0000-0000-0000063B0000}"/>
    <cellStyle name="Normal 26 71" xfId="8502" xr:uid="{00000000-0005-0000-0000-0000073B0000}"/>
    <cellStyle name="Normal 26 71 2" xfId="20592" xr:uid="{00000000-0005-0000-0000-0000083B0000}"/>
    <cellStyle name="Normal 26 72" xfId="8503" xr:uid="{00000000-0005-0000-0000-0000093B0000}"/>
    <cellStyle name="Normal 26 72 2" xfId="20593" xr:uid="{00000000-0005-0000-0000-00000A3B0000}"/>
    <cellStyle name="Normal 26 73" xfId="8504" xr:uid="{00000000-0005-0000-0000-00000B3B0000}"/>
    <cellStyle name="Normal 26 73 2" xfId="20594" xr:uid="{00000000-0005-0000-0000-00000C3B0000}"/>
    <cellStyle name="Normal 26 74" xfId="8505" xr:uid="{00000000-0005-0000-0000-00000D3B0000}"/>
    <cellStyle name="Normal 26 74 2" xfId="20595" xr:uid="{00000000-0005-0000-0000-00000E3B0000}"/>
    <cellStyle name="Normal 26 75" xfId="8506" xr:uid="{00000000-0005-0000-0000-00000F3B0000}"/>
    <cellStyle name="Normal 26 75 2" xfId="20596" xr:uid="{00000000-0005-0000-0000-0000103B0000}"/>
    <cellStyle name="Normal 26 76" xfId="8507" xr:uid="{00000000-0005-0000-0000-0000113B0000}"/>
    <cellStyle name="Normal 26 76 2" xfId="20597" xr:uid="{00000000-0005-0000-0000-0000123B0000}"/>
    <cellStyle name="Normal 26 77" xfId="8508" xr:uid="{00000000-0005-0000-0000-0000133B0000}"/>
    <cellStyle name="Normal 26 77 2" xfId="20598" xr:uid="{00000000-0005-0000-0000-0000143B0000}"/>
    <cellStyle name="Normal 26 78" xfId="8509" xr:uid="{00000000-0005-0000-0000-0000153B0000}"/>
    <cellStyle name="Normal 26 78 2" xfId="20599" xr:uid="{00000000-0005-0000-0000-0000163B0000}"/>
    <cellStyle name="Normal 26 79" xfId="8510" xr:uid="{00000000-0005-0000-0000-0000173B0000}"/>
    <cellStyle name="Normal 26 79 2" xfId="20600" xr:uid="{00000000-0005-0000-0000-0000183B0000}"/>
    <cellStyle name="Normal 26 8" xfId="8511" xr:uid="{00000000-0005-0000-0000-0000193B0000}"/>
    <cellStyle name="Normal 26 8 2" xfId="20601" xr:uid="{00000000-0005-0000-0000-00001A3B0000}"/>
    <cellStyle name="Normal 26 80" xfId="8512" xr:uid="{00000000-0005-0000-0000-00001B3B0000}"/>
    <cellStyle name="Normal 26 80 2" xfId="20602" xr:uid="{00000000-0005-0000-0000-00001C3B0000}"/>
    <cellStyle name="Normal 26 81" xfId="8513" xr:uid="{00000000-0005-0000-0000-00001D3B0000}"/>
    <cellStyle name="Normal 26 81 2" xfId="20603" xr:uid="{00000000-0005-0000-0000-00001E3B0000}"/>
    <cellStyle name="Normal 26 82" xfId="8514" xr:uid="{00000000-0005-0000-0000-00001F3B0000}"/>
    <cellStyle name="Normal 26 82 2" xfId="20604" xr:uid="{00000000-0005-0000-0000-0000203B0000}"/>
    <cellStyle name="Normal 26 83" xfId="20290" xr:uid="{00000000-0005-0000-0000-0000213B0000}"/>
    <cellStyle name="Normal 26 9" xfId="8515" xr:uid="{00000000-0005-0000-0000-0000223B0000}"/>
    <cellStyle name="Normal 26 9 2" xfId="20605" xr:uid="{00000000-0005-0000-0000-0000233B0000}"/>
    <cellStyle name="Normal 27" xfId="90" xr:uid="{00000000-0005-0000-0000-0000243B0000}"/>
    <cellStyle name="Normal 27 2" xfId="786" xr:uid="{00000000-0005-0000-0000-0000253B0000}"/>
    <cellStyle name="Normal 27 3" xfId="715" xr:uid="{00000000-0005-0000-0000-0000263B0000}"/>
    <cellStyle name="Normal 27 4" xfId="313" xr:uid="{00000000-0005-0000-0000-0000273B0000}"/>
    <cellStyle name="Normal 28" xfId="63" xr:uid="{00000000-0005-0000-0000-0000283B0000}"/>
    <cellStyle name="Normal 28 2" xfId="716" xr:uid="{00000000-0005-0000-0000-0000293B0000}"/>
    <cellStyle name="Normal 28 3" xfId="314" xr:uid="{00000000-0005-0000-0000-00002A3B0000}"/>
    <cellStyle name="Normal 28 4" xfId="91" xr:uid="{00000000-0005-0000-0000-00002B3B0000}"/>
    <cellStyle name="Normal 29" xfId="60" xr:uid="{00000000-0005-0000-0000-00002C3B0000}"/>
    <cellStyle name="Normal 29 2" xfId="787" xr:uid="{00000000-0005-0000-0000-00002D3B0000}"/>
    <cellStyle name="Normal 29 3" xfId="717" xr:uid="{00000000-0005-0000-0000-00002E3B0000}"/>
    <cellStyle name="Normal 29 4" xfId="315" xr:uid="{00000000-0005-0000-0000-00002F3B0000}"/>
    <cellStyle name="Normal 29 5" xfId="92" xr:uid="{00000000-0005-0000-0000-0000303B0000}"/>
    <cellStyle name="Normal 3" xfId="2" xr:uid="{00000000-0005-0000-0000-0000313B0000}"/>
    <cellStyle name="Normal 3 10" xfId="718" xr:uid="{00000000-0005-0000-0000-0000323B0000}"/>
    <cellStyle name="Normal 3 10 2" xfId="3119" xr:uid="{00000000-0005-0000-0000-0000333B0000}"/>
    <cellStyle name="Normal 3 10 2 2" xfId="14970" xr:uid="{00000000-0005-0000-0000-0000343B0000}"/>
    <cellStyle name="Normal 3 10 3" xfId="3120" xr:uid="{00000000-0005-0000-0000-0000353B0000}"/>
    <cellStyle name="Normal 3 10 3 2" xfId="14971" xr:uid="{00000000-0005-0000-0000-0000363B0000}"/>
    <cellStyle name="Normal 3 10 4" xfId="15300" xr:uid="{00000000-0005-0000-0000-0000373B0000}"/>
    <cellStyle name="Normal 3 10 5" xfId="3118" xr:uid="{00000000-0005-0000-0000-0000383B0000}"/>
    <cellStyle name="Normal 3 11" xfId="3121" xr:uid="{00000000-0005-0000-0000-0000393B0000}"/>
    <cellStyle name="Normal 3 11 2" xfId="3122" xr:uid="{00000000-0005-0000-0000-00003A3B0000}"/>
    <cellStyle name="Normal 3 11 2 2" xfId="14972" xr:uid="{00000000-0005-0000-0000-00003B3B0000}"/>
    <cellStyle name="Normal 3 11 3" xfId="3123" xr:uid="{00000000-0005-0000-0000-00003C3B0000}"/>
    <cellStyle name="Normal 3 11 3 2" xfId="14973" xr:uid="{00000000-0005-0000-0000-00003D3B0000}"/>
    <cellStyle name="Normal 3 11 4" xfId="15301" xr:uid="{00000000-0005-0000-0000-00003E3B0000}"/>
    <cellStyle name="Normal 3 11 5" xfId="31348" xr:uid="{00000000-0005-0000-0000-00003F3B0000}"/>
    <cellStyle name="Normal 3 12" xfId="3124" xr:uid="{00000000-0005-0000-0000-0000403B0000}"/>
    <cellStyle name="Normal 3 12 2" xfId="14974" xr:uid="{00000000-0005-0000-0000-0000413B0000}"/>
    <cellStyle name="Normal 3 13" xfId="3125" xr:uid="{00000000-0005-0000-0000-0000423B0000}"/>
    <cellStyle name="Normal 3 13 2" xfId="14975" xr:uid="{00000000-0005-0000-0000-0000433B0000}"/>
    <cellStyle name="Normal 3 14" xfId="3126" xr:uid="{00000000-0005-0000-0000-0000443B0000}"/>
    <cellStyle name="Normal 3 14 2" xfId="15302" xr:uid="{00000000-0005-0000-0000-0000453B0000}"/>
    <cellStyle name="Normal 3 15" xfId="3127" xr:uid="{00000000-0005-0000-0000-0000463B0000}"/>
    <cellStyle name="Normal 3 15 2" xfId="14976" xr:uid="{00000000-0005-0000-0000-0000473B0000}"/>
    <cellStyle name="Normal 3 16" xfId="3128" xr:uid="{00000000-0005-0000-0000-0000483B0000}"/>
    <cellStyle name="Normal 3 16 2" xfId="14977" xr:uid="{00000000-0005-0000-0000-0000493B0000}"/>
    <cellStyle name="Normal 3 17" xfId="8516" xr:uid="{00000000-0005-0000-0000-00004A3B0000}"/>
    <cellStyle name="Normal 3 17 2" xfId="20606" xr:uid="{00000000-0005-0000-0000-00004B3B0000}"/>
    <cellStyle name="Normal 3 18" xfId="8517" xr:uid="{00000000-0005-0000-0000-00004C3B0000}"/>
    <cellStyle name="Normal 3 18 2" xfId="20607" xr:uid="{00000000-0005-0000-0000-00004D3B0000}"/>
    <cellStyle name="Normal 3 19" xfId="8518" xr:uid="{00000000-0005-0000-0000-00004E3B0000}"/>
    <cellStyle name="Normal 3 19 2" xfId="20608" xr:uid="{00000000-0005-0000-0000-00004F3B0000}"/>
    <cellStyle name="Normal 3 2" xfId="54" xr:uid="{00000000-0005-0000-0000-0000503B0000}"/>
    <cellStyle name="Normal 3 2 10" xfId="3129" xr:uid="{00000000-0005-0000-0000-0000513B0000}"/>
    <cellStyle name="Normal 3 2 10 2" xfId="15303" xr:uid="{00000000-0005-0000-0000-0000523B0000}"/>
    <cellStyle name="Normal 3 2 11" xfId="3130" xr:uid="{00000000-0005-0000-0000-0000533B0000}"/>
    <cellStyle name="Normal 3 2 11 2" xfId="14978" xr:uid="{00000000-0005-0000-0000-0000543B0000}"/>
    <cellStyle name="Normal 3 2 12" xfId="8519" xr:uid="{00000000-0005-0000-0000-0000553B0000}"/>
    <cellStyle name="Normal 3 2 12 2" xfId="20609" xr:uid="{00000000-0005-0000-0000-0000563B0000}"/>
    <cellStyle name="Normal 3 2 13" xfId="8520" xr:uid="{00000000-0005-0000-0000-0000573B0000}"/>
    <cellStyle name="Normal 3 2 13 2" xfId="20610" xr:uid="{00000000-0005-0000-0000-0000583B0000}"/>
    <cellStyle name="Normal 3 2 14" xfId="8521" xr:uid="{00000000-0005-0000-0000-0000593B0000}"/>
    <cellStyle name="Normal 3 2 14 2" xfId="20611" xr:uid="{00000000-0005-0000-0000-00005A3B0000}"/>
    <cellStyle name="Normal 3 2 15" xfId="8522" xr:uid="{00000000-0005-0000-0000-00005B3B0000}"/>
    <cellStyle name="Normal 3 2 15 2" xfId="20612" xr:uid="{00000000-0005-0000-0000-00005C3B0000}"/>
    <cellStyle name="Normal 3 2 16" xfId="8523" xr:uid="{00000000-0005-0000-0000-00005D3B0000}"/>
    <cellStyle name="Normal 3 2 16 2" xfId="20613" xr:uid="{00000000-0005-0000-0000-00005E3B0000}"/>
    <cellStyle name="Normal 3 2 17" xfId="8524" xr:uid="{00000000-0005-0000-0000-00005F3B0000}"/>
    <cellStyle name="Normal 3 2 17 2" xfId="20614" xr:uid="{00000000-0005-0000-0000-0000603B0000}"/>
    <cellStyle name="Normal 3 2 18" xfId="8525" xr:uid="{00000000-0005-0000-0000-0000613B0000}"/>
    <cellStyle name="Normal 3 2 18 2" xfId="20615" xr:uid="{00000000-0005-0000-0000-0000623B0000}"/>
    <cellStyle name="Normal 3 2 19" xfId="8526" xr:uid="{00000000-0005-0000-0000-0000633B0000}"/>
    <cellStyle name="Normal 3 2 19 2" xfId="20616" xr:uid="{00000000-0005-0000-0000-0000643B0000}"/>
    <cellStyle name="Normal 3 2 2" xfId="3131" xr:uid="{00000000-0005-0000-0000-0000653B0000}"/>
    <cellStyle name="Normal 3 2 2 2" xfId="3132" xr:uid="{00000000-0005-0000-0000-0000663B0000}"/>
    <cellStyle name="Normal 3 2 2 2 2" xfId="15304" xr:uid="{00000000-0005-0000-0000-0000673B0000}"/>
    <cellStyle name="Normal 3 2 2 3" xfId="3133" xr:uid="{00000000-0005-0000-0000-0000683B0000}"/>
    <cellStyle name="Normal 3 2 2 3 2" xfId="15305" xr:uid="{00000000-0005-0000-0000-0000693B0000}"/>
    <cellStyle name="Normal 3 2 2 4" xfId="14979" xr:uid="{00000000-0005-0000-0000-00006A3B0000}"/>
    <cellStyle name="Normal 3 2 2 5" xfId="31350" xr:uid="{00000000-0005-0000-0000-00006B3B0000}"/>
    <cellStyle name="Normal 3 2 20" xfId="8527" xr:uid="{00000000-0005-0000-0000-00006C3B0000}"/>
    <cellStyle name="Normal 3 2 20 2" xfId="20617" xr:uid="{00000000-0005-0000-0000-00006D3B0000}"/>
    <cellStyle name="Normal 3 2 21" xfId="8528" xr:uid="{00000000-0005-0000-0000-00006E3B0000}"/>
    <cellStyle name="Normal 3 2 21 2" xfId="20618" xr:uid="{00000000-0005-0000-0000-00006F3B0000}"/>
    <cellStyle name="Normal 3 2 22" xfId="8529" xr:uid="{00000000-0005-0000-0000-0000703B0000}"/>
    <cellStyle name="Normal 3 2 22 2" xfId="20619" xr:uid="{00000000-0005-0000-0000-0000713B0000}"/>
    <cellStyle name="Normal 3 2 23" xfId="8530" xr:uid="{00000000-0005-0000-0000-0000723B0000}"/>
    <cellStyle name="Normal 3 2 23 2" xfId="20620" xr:uid="{00000000-0005-0000-0000-0000733B0000}"/>
    <cellStyle name="Normal 3 2 24" xfId="8531" xr:uid="{00000000-0005-0000-0000-0000743B0000}"/>
    <cellStyle name="Normal 3 2 24 2" xfId="20621" xr:uid="{00000000-0005-0000-0000-0000753B0000}"/>
    <cellStyle name="Normal 3 2 25" xfId="8532" xr:uid="{00000000-0005-0000-0000-0000763B0000}"/>
    <cellStyle name="Normal 3 2 25 2" xfId="20622" xr:uid="{00000000-0005-0000-0000-0000773B0000}"/>
    <cellStyle name="Normal 3 2 26" xfId="8533" xr:uid="{00000000-0005-0000-0000-0000783B0000}"/>
    <cellStyle name="Normal 3 2 26 2" xfId="20623" xr:uid="{00000000-0005-0000-0000-0000793B0000}"/>
    <cellStyle name="Normal 3 2 27" xfId="8534" xr:uid="{00000000-0005-0000-0000-00007A3B0000}"/>
    <cellStyle name="Normal 3 2 27 2" xfId="20624" xr:uid="{00000000-0005-0000-0000-00007B3B0000}"/>
    <cellStyle name="Normal 3 2 28" xfId="8535" xr:uid="{00000000-0005-0000-0000-00007C3B0000}"/>
    <cellStyle name="Normal 3 2 28 2" xfId="20625" xr:uid="{00000000-0005-0000-0000-00007D3B0000}"/>
    <cellStyle name="Normal 3 2 29" xfId="8536" xr:uid="{00000000-0005-0000-0000-00007E3B0000}"/>
    <cellStyle name="Normal 3 2 29 2" xfId="20626" xr:uid="{00000000-0005-0000-0000-00007F3B0000}"/>
    <cellStyle name="Normal 3 2 3" xfId="3134" xr:uid="{00000000-0005-0000-0000-0000803B0000}"/>
    <cellStyle name="Normal 3 2 3 2" xfId="15306" xr:uid="{00000000-0005-0000-0000-0000813B0000}"/>
    <cellStyle name="Normal 3 2 30" xfId="8537" xr:uid="{00000000-0005-0000-0000-0000823B0000}"/>
    <cellStyle name="Normal 3 2 30 2" xfId="20627" xr:uid="{00000000-0005-0000-0000-0000833B0000}"/>
    <cellStyle name="Normal 3 2 31" xfId="8538" xr:uid="{00000000-0005-0000-0000-0000843B0000}"/>
    <cellStyle name="Normal 3 2 31 2" xfId="20628" xr:uid="{00000000-0005-0000-0000-0000853B0000}"/>
    <cellStyle name="Normal 3 2 32" xfId="8539" xr:uid="{00000000-0005-0000-0000-0000863B0000}"/>
    <cellStyle name="Normal 3 2 32 2" xfId="20629" xr:uid="{00000000-0005-0000-0000-0000873B0000}"/>
    <cellStyle name="Normal 3 2 33" xfId="8540" xr:uid="{00000000-0005-0000-0000-0000883B0000}"/>
    <cellStyle name="Normal 3 2 33 2" xfId="20630" xr:uid="{00000000-0005-0000-0000-0000893B0000}"/>
    <cellStyle name="Normal 3 2 34" xfId="8541" xr:uid="{00000000-0005-0000-0000-00008A3B0000}"/>
    <cellStyle name="Normal 3 2 34 2" xfId="20631" xr:uid="{00000000-0005-0000-0000-00008B3B0000}"/>
    <cellStyle name="Normal 3 2 35" xfId="8542" xr:uid="{00000000-0005-0000-0000-00008C3B0000}"/>
    <cellStyle name="Normal 3 2 35 2" xfId="20632" xr:uid="{00000000-0005-0000-0000-00008D3B0000}"/>
    <cellStyle name="Normal 3 2 36" xfId="8543" xr:uid="{00000000-0005-0000-0000-00008E3B0000}"/>
    <cellStyle name="Normal 3 2 36 2" xfId="20633" xr:uid="{00000000-0005-0000-0000-00008F3B0000}"/>
    <cellStyle name="Normal 3 2 37" xfId="8544" xr:uid="{00000000-0005-0000-0000-0000903B0000}"/>
    <cellStyle name="Normal 3 2 37 2" xfId="20634" xr:uid="{00000000-0005-0000-0000-0000913B0000}"/>
    <cellStyle name="Normal 3 2 38" xfId="8545" xr:uid="{00000000-0005-0000-0000-0000923B0000}"/>
    <cellStyle name="Normal 3 2 38 2" xfId="20635" xr:uid="{00000000-0005-0000-0000-0000933B0000}"/>
    <cellStyle name="Normal 3 2 39" xfId="8546" xr:uid="{00000000-0005-0000-0000-0000943B0000}"/>
    <cellStyle name="Normal 3 2 39 2" xfId="20636" xr:uid="{00000000-0005-0000-0000-0000953B0000}"/>
    <cellStyle name="Normal 3 2 4" xfId="3135" xr:uid="{00000000-0005-0000-0000-0000963B0000}"/>
    <cellStyle name="Normal 3 2 4 2" xfId="15307" xr:uid="{00000000-0005-0000-0000-0000973B0000}"/>
    <cellStyle name="Normal 3 2 40" xfId="8547" xr:uid="{00000000-0005-0000-0000-0000983B0000}"/>
    <cellStyle name="Normal 3 2 40 2" xfId="20637" xr:uid="{00000000-0005-0000-0000-0000993B0000}"/>
    <cellStyle name="Normal 3 2 41" xfId="8548" xr:uid="{00000000-0005-0000-0000-00009A3B0000}"/>
    <cellStyle name="Normal 3 2 41 2" xfId="20638" xr:uid="{00000000-0005-0000-0000-00009B3B0000}"/>
    <cellStyle name="Normal 3 2 42" xfId="8549" xr:uid="{00000000-0005-0000-0000-00009C3B0000}"/>
    <cellStyle name="Normal 3 2 42 2" xfId="20639" xr:uid="{00000000-0005-0000-0000-00009D3B0000}"/>
    <cellStyle name="Normal 3 2 43" xfId="8550" xr:uid="{00000000-0005-0000-0000-00009E3B0000}"/>
    <cellStyle name="Normal 3 2 43 2" xfId="20640" xr:uid="{00000000-0005-0000-0000-00009F3B0000}"/>
    <cellStyle name="Normal 3 2 44" xfId="8551" xr:uid="{00000000-0005-0000-0000-0000A03B0000}"/>
    <cellStyle name="Normal 3 2 44 2" xfId="20641" xr:uid="{00000000-0005-0000-0000-0000A13B0000}"/>
    <cellStyle name="Normal 3 2 45" xfId="8552" xr:uid="{00000000-0005-0000-0000-0000A23B0000}"/>
    <cellStyle name="Normal 3 2 45 2" xfId="20642" xr:uid="{00000000-0005-0000-0000-0000A33B0000}"/>
    <cellStyle name="Normal 3 2 46" xfId="8553" xr:uid="{00000000-0005-0000-0000-0000A43B0000}"/>
    <cellStyle name="Normal 3 2 46 2" xfId="20643" xr:uid="{00000000-0005-0000-0000-0000A53B0000}"/>
    <cellStyle name="Normal 3 2 47" xfId="8554" xr:uid="{00000000-0005-0000-0000-0000A63B0000}"/>
    <cellStyle name="Normal 3 2 47 2" xfId="20644" xr:uid="{00000000-0005-0000-0000-0000A73B0000}"/>
    <cellStyle name="Normal 3 2 48" xfId="8555" xr:uid="{00000000-0005-0000-0000-0000A83B0000}"/>
    <cellStyle name="Normal 3 2 48 2" xfId="20645" xr:uid="{00000000-0005-0000-0000-0000A93B0000}"/>
    <cellStyle name="Normal 3 2 49" xfId="8556" xr:uid="{00000000-0005-0000-0000-0000AA3B0000}"/>
    <cellStyle name="Normal 3 2 49 2" xfId="20646" xr:uid="{00000000-0005-0000-0000-0000AB3B0000}"/>
    <cellStyle name="Normal 3 2 5" xfId="3136" xr:uid="{00000000-0005-0000-0000-0000AC3B0000}"/>
    <cellStyle name="Normal 3 2 5 2" xfId="15308" xr:uid="{00000000-0005-0000-0000-0000AD3B0000}"/>
    <cellStyle name="Normal 3 2 50" xfId="8557" xr:uid="{00000000-0005-0000-0000-0000AE3B0000}"/>
    <cellStyle name="Normal 3 2 50 2" xfId="20647" xr:uid="{00000000-0005-0000-0000-0000AF3B0000}"/>
    <cellStyle name="Normal 3 2 51" xfId="8558" xr:uid="{00000000-0005-0000-0000-0000B03B0000}"/>
    <cellStyle name="Normal 3 2 51 2" xfId="20648" xr:uid="{00000000-0005-0000-0000-0000B13B0000}"/>
    <cellStyle name="Normal 3 2 52" xfId="8559" xr:uid="{00000000-0005-0000-0000-0000B23B0000}"/>
    <cellStyle name="Normal 3 2 52 2" xfId="20649" xr:uid="{00000000-0005-0000-0000-0000B33B0000}"/>
    <cellStyle name="Normal 3 2 53" xfId="8560" xr:uid="{00000000-0005-0000-0000-0000B43B0000}"/>
    <cellStyle name="Normal 3 2 53 2" xfId="20650" xr:uid="{00000000-0005-0000-0000-0000B53B0000}"/>
    <cellStyle name="Normal 3 2 54" xfId="8561" xr:uid="{00000000-0005-0000-0000-0000B63B0000}"/>
    <cellStyle name="Normal 3 2 54 2" xfId="20651" xr:uid="{00000000-0005-0000-0000-0000B73B0000}"/>
    <cellStyle name="Normal 3 2 55" xfId="8562" xr:uid="{00000000-0005-0000-0000-0000B83B0000}"/>
    <cellStyle name="Normal 3 2 55 2" xfId="20652" xr:uid="{00000000-0005-0000-0000-0000B93B0000}"/>
    <cellStyle name="Normal 3 2 56" xfId="8563" xr:uid="{00000000-0005-0000-0000-0000BA3B0000}"/>
    <cellStyle name="Normal 3 2 56 2" xfId="20653" xr:uid="{00000000-0005-0000-0000-0000BB3B0000}"/>
    <cellStyle name="Normal 3 2 57" xfId="8564" xr:uid="{00000000-0005-0000-0000-0000BC3B0000}"/>
    <cellStyle name="Normal 3 2 57 2" xfId="20654" xr:uid="{00000000-0005-0000-0000-0000BD3B0000}"/>
    <cellStyle name="Normal 3 2 58" xfId="8565" xr:uid="{00000000-0005-0000-0000-0000BE3B0000}"/>
    <cellStyle name="Normal 3 2 58 2" xfId="20655" xr:uid="{00000000-0005-0000-0000-0000BF3B0000}"/>
    <cellStyle name="Normal 3 2 59" xfId="8566" xr:uid="{00000000-0005-0000-0000-0000C03B0000}"/>
    <cellStyle name="Normal 3 2 59 2" xfId="20656" xr:uid="{00000000-0005-0000-0000-0000C13B0000}"/>
    <cellStyle name="Normal 3 2 6" xfId="3137" xr:uid="{00000000-0005-0000-0000-0000C23B0000}"/>
    <cellStyle name="Normal 3 2 6 2" xfId="15309" xr:uid="{00000000-0005-0000-0000-0000C33B0000}"/>
    <cellStyle name="Normal 3 2 60" xfId="8567" xr:uid="{00000000-0005-0000-0000-0000C43B0000}"/>
    <cellStyle name="Normal 3 2 60 2" xfId="20657" xr:uid="{00000000-0005-0000-0000-0000C53B0000}"/>
    <cellStyle name="Normal 3 2 61" xfId="8568" xr:uid="{00000000-0005-0000-0000-0000C63B0000}"/>
    <cellStyle name="Normal 3 2 61 2" xfId="20658" xr:uid="{00000000-0005-0000-0000-0000C73B0000}"/>
    <cellStyle name="Normal 3 2 62" xfId="8569" xr:uid="{00000000-0005-0000-0000-0000C83B0000}"/>
    <cellStyle name="Normal 3 2 62 2" xfId="20659" xr:uid="{00000000-0005-0000-0000-0000C93B0000}"/>
    <cellStyle name="Normal 3 2 63" xfId="8570" xr:uid="{00000000-0005-0000-0000-0000CA3B0000}"/>
    <cellStyle name="Normal 3 2 63 2" xfId="20660" xr:uid="{00000000-0005-0000-0000-0000CB3B0000}"/>
    <cellStyle name="Normal 3 2 64" xfId="8571" xr:uid="{00000000-0005-0000-0000-0000CC3B0000}"/>
    <cellStyle name="Normal 3 2 64 2" xfId="20661" xr:uid="{00000000-0005-0000-0000-0000CD3B0000}"/>
    <cellStyle name="Normal 3 2 65" xfId="8572" xr:uid="{00000000-0005-0000-0000-0000CE3B0000}"/>
    <cellStyle name="Normal 3 2 65 2" xfId="20662" xr:uid="{00000000-0005-0000-0000-0000CF3B0000}"/>
    <cellStyle name="Normal 3 2 66" xfId="8573" xr:uid="{00000000-0005-0000-0000-0000D03B0000}"/>
    <cellStyle name="Normal 3 2 66 2" xfId="20663" xr:uid="{00000000-0005-0000-0000-0000D13B0000}"/>
    <cellStyle name="Normal 3 2 67" xfId="8574" xr:uid="{00000000-0005-0000-0000-0000D23B0000}"/>
    <cellStyle name="Normal 3 2 67 2" xfId="20664" xr:uid="{00000000-0005-0000-0000-0000D33B0000}"/>
    <cellStyle name="Normal 3 2 68" xfId="8575" xr:uid="{00000000-0005-0000-0000-0000D43B0000}"/>
    <cellStyle name="Normal 3 2 68 2" xfId="20665" xr:uid="{00000000-0005-0000-0000-0000D53B0000}"/>
    <cellStyle name="Normal 3 2 69" xfId="8576" xr:uid="{00000000-0005-0000-0000-0000D63B0000}"/>
    <cellStyle name="Normal 3 2 69 2" xfId="20666" xr:uid="{00000000-0005-0000-0000-0000D73B0000}"/>
    <cellStyle name="Normal 3 2 7" xfId="3138" xr:uid="{00000000-0005-0000-0000-0000D83B0000}"/>
    <cellStyle name="Normal 3 2 7 2" xfId="15310" xr:uid="{00000000-0005-0000-0000-0000D93B0000}"/>
    <cellStyle name="Normal 3 2 70" xfId="8577" xr:uid="{00000000-0005-0000-0000-0000DA3B0000}"/>
    <cellStyle name="Normal 3 2 70 2" xfId="20667" xr:uid="{00000000-0005-0000-0000-0000DB3B0000}"/>
    <cellStyle name="Normal 3 2 71" xfId="8578" xr:uid="{00000000-0005-0000-0000-0000DC3B0000}"/>
    <cellStyle name="Normal 3 2 71 2" xfId="20668" xr:uid="{00000000-0005-0000-0000-0000DD3B0000}"/>
    <cellStyle name="Normal 3 2 72" xfId="8579" xr:uid="{00000000-0005-0000-0000-0000DE3B0000}"/>
    <cellStyle name="Normal 3 2 72 2" xfId="20669" xr:uid="{00000000-0005-0000-0000-0000DF3B0000}"/>
    <cellStyle name="Normal 3 2 73" xfId="8580" xr:uid="{00000000-0005-0000-0000-0000E03B0000}"/>
    <cellStyle name="Normal 3 2 73 2" xfId="20670" xr:uid="{00000000-0005-0000-0000-0000E13B0000}"/>
    <cellStyle name="Normal 3 2 74" xfId="8581" xr:uid="{00000000-0005-0000-0000-0000E23B0000}"/>
    <cellStyle name="Normal 3 2 74 2" xfId="20671" xr:uid="{00000000-0005-0000-0000-0000E33B0000}"/>
    <cellStyle name="Normal 3 2 75" xfId="8582" xr:uid="{00000000-0005-0000-0000-0000E43B0000}"/>
    <cellStyle name="Normal 3 2 75 2" xfId="20672" xr:uid="{00000000-0005-0000-0000-0000E53B0000}"/>
    <cellStyle name="Normal 3 2 76" xfId="8583" xr:uid="{00000000-0005-0000-0000-0000E63B0000}"/>
    <cellStyle name="Normal 3 2 76 2" xfId="20673" xr:uid="{00000000-0005-0000-0000-0000E73B0000}"/>
    <cellStyle name="Normal 3 2 77" xfId="8584" xr:uid="{00000000-0005-0000-0000-0000E83B0000}"/>
    <cellStyle name="Normal 3 2 77 2" xfId="20674" xr:uid="{00000000-0005-0000-0000-0000E93B0000}"/>
    <cellStyle name="Normal 3 2 78" xfId="8585" xr:uid="{00000000-0005-0000-0000-0000EA3B0000}"/>
    <cellStyle name="Normal 3 2 78 2" xfId="20675" xr:uid="{00000000-0005-0000-0000-0000EB3B0000}"/>
    <cellStyle name="Normal 3 2 79" xfId="8586" xr:uid="{00000000-0005-0000-0000-0000EC3B0000}"/>
    <cellStyle name="Normal 3 2 79 2" xfId="20676" xr:uid="{00000000-0005-0000-0000-0000ED3B0000}"/>
    <cellStyle name="Normal 3 2 8" xfId="3139" xr:uid="{00000000-0005-0000-0000-0000EE3B0000}"/>
    <cellStyle name="Normal 3 2 8 2" xfId="15311" xr:uid="{00000000-0005-0000-0000-0000EF3B0000}"/>
    <cellStyle name="Normal 3 2 80" xfId="15049" xr:uid="{00000000-0005-0000-0000-0000F03B0000}"/>
    <cellStyle name="Normal 3 2 81" xfId="27416" xr:uid="{00000000-0005-0000-0000-0000F13B0000}"/>
    <cellStyle name="Normal 3 2 82" xfId="27409" xr:uid="{00000000-0005-0000-0000-0000F23B0000}"/>
    <cellStyle name="Normal 3 2 9" xfId="3140" xr:uid="{00000000-0005-0000-0000-0000F33B0000}"/>
    <cellStyle name="Normal 3 2 9 2" xfId="15312" xr:uid="{00000000-0005-0000-0000-0000F43B0000}"/>
    <cellStyle name="Normal 3 20" xfId="8587" xr:uid="{00000000-0005-0000-0000-0000F53B0000}"/>
    <cellStyle name="Normal 3 20 2" xfId="20677" xr:uid="{00000000-0005-0000-0000-0000F63B0000}"/>
    <cellStyle name="Normal 3 21" xfId="8588" xr:uid="{00000000-0005-0000-0000-0000F73B0000}"/>
    <cellStyle name="Normal 3 21 2" xfId="20678" xr:uid="{00000000-0005-0000-0000-0000F83B0000}"/>
    <cellStyle name="Normal 3 22" xfId="8589" xr:uid="{00000000-0005-0000-0000-0000F93B0000}"/>
    <cellStyle name="Normal 3 22 2" xfId="20679" xr:uid="{00000000-0005-0000-0000-0000FA3B0000}"/>
    <cellStyle name="Normal 3 23" xfId="8590" xr:uid="{00000000-0005-0000-0000-0000FB3B0000}"/>
    <cellStyle name="Normal 3 23 2" xfId="20680" xr:uid="{00000000-0005-0000-0000-0000FC3B0000}"/>
    <cellStyle name="Normal 3 24" xfId="8591" xr:uid="{00000000-0005-0000-0000-0000FD3B0000}"/>
    <cellStyle name="Normal 3 24 2" xfId="20681" xr:uid="{00000000-0005-0000-0000-0000FE3B0000}"/>
    <cellStyle name="Normal 3 25" xfId="8592" xr:uid="{00000000-0005-0000-0000-0000FF3B0000}"/>
    <cellStyle name="Normal 3 25 2" xfId="20682" xr:uid="{00000000-0005-0000-0000-0000003C0000}"/>
    <cellStyle name="Normal 3 26" xfId="8593" xr:uid="{00000000-0005-0000-0000-0000013C0000}"/>
    <cellStyle name="Normal 3 26 2" xfId="20683" xr:uid="{00000000-0005-0000-0000-0000023C0000}"/>
    <cellStyle name="Normal 3 27" xfId="8594" xr:uid="{00000000-0005-0000-0000-0000033C0000}"/>
    <cellStyle name="Normal 3 27 2" xfId="20684" xr:uid="{00000000-0005-0000-0000-0000043C0000}"/>
    <cellStyle name="Normal 3 28" xfId="8595" xr:uid="{00000000-0005-0000-0000-0000053C0000}"/>
    <cellStyle name="Normal 3 28 2" xfId="20685" xr:uid="{00000000-0005-0000-0000-0000063C0000}"/>
    <cellStyle name="Normal 3 29" xfId="8596" xr:uid="{00000000-0005-0000-0000-0000073C0000}"/>
    <cellStyle name="Normal 3 29 2" xfId="20686" xr:uid="{00000000-0005-0000-0000-0000083C0000}"/>
    <cellStyle name="Normal 3 3" xfId="55" xr:uid="{00000000-0005-0000-0000-0000093C0000}"/>
    <cellStyle name="Normal 3 3 10" xfId="3141" xr:uid="{00000000-0005-0000-0000-00000A3C0000}"/>
    <cellStyle name="Normal 3 3 10 2" xfId="15314" xr:uid="{00000000-0005-0000-0000-00000B3C0000}"/>
    <cellStyle name="Normal 3 3 11" xfId="3142" xr:uid="{00000000-0005-0000-0000-00000C3C0000}"/>
    <cellStyle name="Normal 3 3 11 2" xfId="14981" xr:uid="{00000000-0005-0000-0000-00000D3C0000}"/>
    <cellStyle name="Normal 3 3 12" xfId="8597" xr:uid="{00000000-0005-0000-0000-00000E3C0000}"/>
    <cellStyle name="Normal 3 3 12 2" xfId="20687" xr:uid="{00000000-0005-0000-0000-00000F3C0000}"/>
    <cellStyle name="Normal 3 3 13" xfId="8598" xr:uid="{00000000-0005-0000-0000-0000103C0000}"/>
    <cellStyle name="Normal 3 3 13 2" xfId="20688" xr:uid="{00000000-0005-0000-0000-0000113C0000}"/>
    <cellStyle name="Normal 3 3 14" xfId="8599" xr:uid="{00000000-0005-0000-0000-0000123C0000}"/>
    <cellStyle name="Normal 3 3 14 2" xfId="20689" xr:uid="{00000000-0005-0000-0000-0000133C0000}"/>
    <cellStyle name="Normal 3 3 15" xfId="8600" xr:uid="{00000000-0005-0000-0000-0000143C0000}"/>
    <cellStyle name="Normal 3 3 15 2" xfId="20690" xr:uid="{00000000-0005-0000-0000-0000153C0000}"/>
    <cellStyle name="Normal 3 3 16" xfId="8601" xr:uid="{00000000-0005-0000-0000-0000163C0000}"/>
    <cellStyle name="Normal 3 3 16 2" xfId="20691" xr:uid="{00000000-0005-0000-0000-0000173C0000}"/>
    <cellStyle name="Normal 3 3 17" xfId="8602" xr:uid="{00000000-0005-0000-0000-0000183C0000}"/>
    <cellStyle name="Normal 3 3 17 2" xfId="20692" xr:uid="{00000000-0005-0000-0000-0000193C0000}"/>
    <cellStyle name="Normal 3 3 18" xfId="8603" xr:uid="{00000000-0005-0000-0000-00001A3C0000}"/>
    <cellStyle name="Normal 3 3 18 2" xfId="20693" xr:uid="{00000000-0005-0000-0000-00001B3C0000}"/>
    <cellStyle name="Normal 3 3 19" xfId="8604" xr:uid="{00000000-0005-0000-0000-00001C3C0000}"/>
    <cellStyle name="Normal 3 3 19 2" xfId="20694" xr:uid="{00000000-0005-0000-0000-00001D3C0000}"/>
    <cellStyle name="Normal 3 3 2" xfId="1510" xr:uid="{00000000-0005-0000-0000-00001E3C0000}"/>
    <cellStyle name="Normal 3 3 2 2" xfId="1515" xr:uid="{00000000-0005-0000-0000-00001F3C0000}"/>
    <cellStyle name="Normal 3 3 2 2 2" xfId="1518" xr:uid="{00000000-0005-0000-0000-0000203C0000}"/>
    <cellStyle name="Normal 3 3 2 3" xfId="1516" xr:uid="{00000000-0005-0000-0000-0000213C0000}"/>
    <cellStyle name="Normal 3 3 2 3 2" xfId="15315" xr:uid="{00000000-0005-0000-0000-0000223C0000}"/>
    <cellStyle name="Normal 3 3 2 4" xfId="14982" xr:uid="{00000000-0005-0000-0000-0000233C0000}"/>
    <cellStyle name="Normal 3 3 2 5" xfId="3143" xr:uid="{00000000-0005-0000-0000-0000243C0000}"/>
    <cellStyle name="Normal 3 3 20" xfId="8605" xr:uid="{00000000-0005-0000-0000-0000253C0000}"/>
    <cellStyle name="Normal 3 3 20 2" xfId="20695" xr:uid="{00000000-0005-0000-0000-0000263C0000}"/>
    <cellStyle name="Normal 3 3 21" xfId="8606" xr:uid="{00000000-0005-0000-0000-0000273C0000}"/>
    <cellStyle name="Normal 3 3 21 2" xfId="20696" xr:uid="{00000000-0005-0000-0000-0000283C0000}"/>
    <cellStyle name="Normal 3 3 22" xfId="8607" xr:uid="{00000000-0005-0000-0000-0000293C0000}"/>
    <cellStyle name="Normal 3 3 22 2" xfId="20697" xr:uid="{00000000-0005-0000-0000-00002A3C0000}"/>
    <cellStyle name="Normal 3 3 23" xfId="8608" xr:uid="{00000000-0005-0000-0000-00002B3C0000}"/>
    <cellStyle name="Normal 3 3 23 2" xfId="20698" xr:uid="{00000000-0005-0000-0000-00002C3C0000}"/>
    <cellStyle name="Normal 3 3 24" xfId="8609" xr:uid="{00000000-0005-0000-0000-00002D3C0000}"/>
    <cellStyle name="Normal 3 3 24 2" xfId="20699" xr:uid="{00000000-0005-0000-0000-00002E3C0000}"/>
    <cellStyle name="Normal 3 3 25" xfId="8610" xr:uid="{00000000-0005-0000-0000-00002F3C0000}"/>
    <cellStyle name="Normal 3 3 25 2" xfId="20700" xr:uid="{00000000-0005-0000-0000-0000303C0000}"/>
    <cellStyle name="Normal 3 3 26" xfId="8611" xr:uid="{00000000-0005-0000-0000-0000313C0000}"/>
    <cellStyle name="Normal 3 3 26 2" xfId="20701" xr:uid="{00000000-0005-0000-0000-0000323C0000}"/>
    <cellStyle name="Normal 3 3 27" xfId="8612" xr:uid="{00000000-0005-0000-0000-0000333C0000}"/>
    <cellStyle name="Normal 3 3 27 2" xfId="20702" xr:uid="{00000000-0005-0000-0000-0000343C0000}"/>
    <cellStyle name="Normal 3 3 28" xfId="8613" xr:uid="{00000000-0005-0000-0000-0000353C0000}"/>
    <cellStyle name="Normal 3 3 28 2" xfId="20703" xr:uid="{00000000-0005-0000-0000-0000363C0000}"/>
    <cellStyle name="Normal 3 3 29" xfId="8614" xr:uid="{00000000-0005-0000-0000-0000373C0000}"/>
    <cellStyle name="Normal 3 3 29 2" xfId="20704" xr:uid="{00000000-0005-0000-0000-0000383C0000}"/>
    <cellStyle name="Normal 3 3 3" xfId="3144" xr:uid="{00000000-0005-0000-0000-0000393C0000}"/>
    <cellStyle name="Normal 3 3 3 2" xfId="15316" xr:uid="{00000000-0005-0000-0000-00003A3C0000}"/>
    <cellStyle name="Normal 3 3 30" xfId="8615" xr:uid="{00000000-0005-0000-0000-00003B3C0000}"/>
    <cellStyle name="Normal 3 3 30 2" xfId="20705" xr:uid="{00000000-0005-0000-0000-00003C3C0000}"/>
    <cellStyle name="Normal 3 3 31" xfId="8616" xr:uid="{00000000-0005-0000-0000-00003D3C0000}"/>
    <cellStyle name="Normal 3 3 31 2" xfId="20706" xr:uid="{00000000-0005-0000-0000-00003E3C0000}"/>
    <cellStyle name="Normal 3 3 32" xfId="8617" xr:uid="{00000000-0005-0000-0000-00003F3C0000}"/>
    <cellStyle name="Normal 3 3 32 2" xfId="20707" xr:uid="{00000000-0005-0000-0000-0000403C0000}"/>
    <cellStyle name="Normal 3 3 33" xfId="8618" xr:uid="{00000000-0005-0000-0000-0000413C0000}"/>
    <cellStyle name="Normal 3 3 33 2" xfId="20708" xr:uid="{00000000-0005-0000-0000-0000423C0000}"/>
    <cellStyle name="Normal 3 3 34" xfId="8619" xr:uid="{00000000-0005-0000-0000-0000433C0000}"/>
    <cellStyle name="Normal 3 3 34 2" xfId="20709" xr:uid="{00000000-0005-0000-0000-0000443C0000}"/>
    <cellStyle name="Normal 3 3 35" xfId="8620" xr:uid="{00000000-0005-0000-0000-0000453C0000}"/>
    <cellStyle name="Normal 3 3 35 2" xfId="20710" xr:uid="{00000000-0005-0000-0000-0000463C0000}"/>
    <cellStyle name="Normal 3 3 36" xfId="8621" xr:uid="{00000000-0005-0000-0000-0000473C0000}"/>
    <cellStyle name="Normal 3 3 36 2" xfId="20711" xr:uid="{00000000-0005-0000-0000-0000483C0000}"/>
    <cellStyle name="Normal 3 3 37" xfId="8622" xr:uid="{00000000-0005-0000-0000-0000493C0000}"/>
    <cellStyle name="Normal 3 3 37 2" xfId="20712" xr:uid="{00000000-0005-0000-0000-00004A3C0000}"/>
    <cellStyle name="Normal 3 3 38" xfId="8623" xr:uid="{00000000-0005-0000-0000-00004B3C0000}"/>
    <cellStyle name="Normal 3 3 38 2" xfId="20713" xr:uid="{00000000-0005-0000-0000-00004C3C0000}"/>
    <cellStyle name="Normal 3 3 39" xfId="8624" xr:uid="{00000000-0005-0000-0000-00004D3C0000}"/>
    <cellStyle name="Normal 3 3 39 2" xfId="20714" xr:uid="{00000000-0005-0000-0000-00004E3C0000}"/>
    <cellStyle name="Normal 3 3 4" xfId="3145" xr:uid="{00000000-0005-0000-0000-00004F3C0000}"/>
    <cellStyle name="Normal 3 3 4 2" xfId="15317" xr:uid="{00000000-0005-0000-0000-0000503C0000}"/>
    <cellStyle name="Normal 3 3 40" xfId="8625" xr:uid="{00000000-0005-0000-0000-0000513C0000}"/>
    <cellStyle name="Normal 3 3 40 2" xfId="20715" xr:uid="{00000000-0005-0000-0000-0000523C0000}"/>
    <cellStyle name="Normal 3 3 41" xfId="8626" xr:uid="{00000000-0005-0000-0000-0000533C0000}"/>
    <cellStyle name="Normal 3 3 41 2" xfId="20716" xr:uid="{00000000-0005-0000-0000-0000543C0000}"/>
    <cellStyle name="Normal 3 3 42" xfId="8627" xr:uid="{00000000-0005-0000-0000-0000553C0000}"/>
    <cellStyle name="Normal 3 3 42 2" xfId="20717" xr:uid="{00000000-0005-0000-0000-0000563C0000}"/>
    <cellStyle name="Normal 3 3 43" xfId="8628" xr:uid="{00000000-0005-0000-0000-0000573C0000}"/>
    <cellStyle name="Normal 3 3 43 2" xfId="20718" xr:uid="{00000000-0005-0000-0000-0000583C0000}"/>
    <cellStyle name="Normal 3 3 44" xfId="8629" xr:uid="{00000000-0005-0000-0000-0000593C0000}"/>
    <cellStyle name="Normal 3 3 44 2" xfId="20719" xr:uid="{00000000-0005-0000-0000-00005A3C0000}"/>
    <cellStyle name="Normal 3 3 45" xfId="8630" xr:uid="{00000000-0005-0000-0000-00005B3C0000}"/>
    <cellStyle name="Normal 3 3 45 2" xfId="20720" xr:uid="{00000000-0005-0000-0000-00005C3C0000}"/>
    <cellStyle name="Normal 3 3 46" xfId="8631" xr:uid="{00000000-0005-0000-0000-00005D3C0000}"/>
    <cellStyle name="Normal 3 3 46 2" xfId="20721" xr:uid="{00000000-0005-0000-0000-00005E3C0000}"/>
    <cellStyle name="Normal 3 3 47" xfId="8632" xr:uid="{00000000-0005-0000-0000-00005F3C0000}"/>
    <cellStyle name="Normal 3 3 47 2" xfId="20722" xr:uid="{00000000-0005-0000-0000-0000603C0000}"/>
    <cellStyle name="Normal 3 3 48" xfId="8633" xr:uid="{00000000-0005-0000-0000-0000613C0000}"/>
    <cellStyle name="Normal 3 3 48 2" xfId="20723" xr:uid="{00000000-0005-0000-0000-0000623C0000}"/>
    <cellStyle name="Normal 3 3 49" xfId="8634" xr:uid="{00000000-0005-0000-0000-0000633C0000}"/>
    <cellStyle name="Normal 3 3 49 2" xfId="20724" xr:uid="{00000000-0005-0000-0000-0000643C0000}"/>
    <cellStyle name="Normal 3 3 5" xfId="3146" xr:uid="{00000000-0005-0000-0000-0000653C0000}"/>
    <cellStyle name="Normal 3 3 5 2" xfId="15318" xr:uid="{00000000-0005-0000-0000-0000663C0000}"/>
    <cellStyle name="Normal 3 3 50" xfId="8635" xr:uid="{00000000-0005-0000-0000-0000673C0000}"/>
    <cellStyle name="Normal 3 3 50 2" xfId="20725" xr:uid="{00000000-0005-0000-0000-0000683C0000}"/>
    <cellStyle name="Normal 3 3 51" xfId="8636" xr:uid="{00000000-0005-0000-0000-0000693C0000}"/>
    <cellStyle name="Normal 3 3 51 2" xfId="20726" xr:uid="{00000000-0005-0000-0000-00006A3C0000}"/>
    <cellStyle name="Normal 3 3 52" xfId="8637" xr:uid="{00000000-0005-0000-0000-00006B3C0000}"/>
    <cellStyle name="Normal 3 3 52 2" xfId="20727" xr:uid="{00000000-0005-0000-0000-00006C3C0000}"/>
    <cellStyle name="Normal 3 3 53" xfId="8638" xr:uid="{00000000-0005-0000-0000-00006D3C0000}"/>
    <cellStyle name="Normal 3 3 53 2" xfId="20728" xr:uid="{00000000-0005-0000-0000-00006E3C0000}"/>
    <cellStyle name="Normal 3 3 54" xfId="8639" xr:uid="{00000000-0005-0000-0000-00006F3C0000}"/>
    <cellStyle name="Normal 3 3 54 2" xfId="20729" xr:uid="{00000000-0005-0000-0000-0000703C0000}"/>
    <cellStyle name="Normal 3 3 55" xfId="8640" xr:uid="{00000000-0005-0000-0000-0000713C0000}"/>
    <cellStyle name="Normal 3 3 55 2" xfId="20730" xr:uid="{00000000-0005-0000-0000-0000723C0000}"/>
    <cellStyle name="Normal 3 3 56" xfId="8641" xr:uid="{00000000-0005-0000-0000-0000733C0000}"/>
    <cellStyle name="Normal 3 3 56 2" xfId="20731" xr:uid="{00000000-0005-0000-0000-0000743C0000}"/>
    <cellStyle name="Normal 3 3 57" xfId="8642" xr:uid="{00000000-0005-0000-0000-0000753C0000}"/>
    <cellStyle name="Normal 3 3 57 2" xfId="20732" xr:uid="{00000000-0005-0000-0000-0000763C0000}"/>
    <cellStyle name="Normal 3 3 58" xfId="8643" xr:uid="{00000000-0005-0000-0000-0000773C0000}"/>
    <cellStyle name="Normal 3 3 58 2" xfId="20733" xr:uid="{00000000-0005-0000-0000-0000783C0000}"/>
    <cellStyle name="Normal 3 3 59" xfId="8644" xr:uid="{00000000-0005-0000-0000-0000793C0000}"/>
    <cellStyle name="Normal 3 3 59 2" xfId="20734" xr:uid="{00000000-0005-0000-0000-00007A3C0000}"/>
    <cellStyle name="Normal 3 3 6" xfId="3147" xr:uid="{00000000-0005-0000-0000-00007B3C0000}"/>
    <cellStyle name="Normal 3 3 6 2" xfId="15319" xr:uid="{00000000-0005-0000-0000-00007C3C0000}"/>
    <cellStyle name="Normal 3 3 60" xfId="8645" xr:uid="{00000000-0005-0000-0000-00007D3C0000}"/>
    <cellStyle name="Normal 3 3 60 2" xfId="20735" xr:uid="{00000000-0005-0000-0000-00007E3C0000}"/>
    <cellStyle name="Normal 3 3 61" xfId="8646" xr:uid="{00000000-0005-0000-0000-00007F3C0000}"/>
    <cellStyle name="Normal 3 3 61 2" xfId="20736" xr:uid="{00000000-0005-0000-0000-0000803C0000}"/>
    <cellStyle name="Normal 3 3 62" xfId="8647" xr:uid="{00000000-0005-0000-0000-0000813C0000}"/>
    <cellStyle name="Normal 3 3 62 2" xfId="20737" xr:uid="{00000000-0005-0000-0000-0000823C0000}"/>
    <cellStyle name="Normal 3 3 63" xfId="8648" xr:uid="{00000000-0005-0000-0000-0000833C0000}"/>
    <cellStyle name="Normal 3 3 63 2" xfId="20738" xr:uid="{00000000-0005-0000-0000-0000843C0000}"/>
    <cellStyle name="Normal 3 3 64" xfId="8649" xr:uid="{00000000-0005-0000-0000-0000853C0000}"/>
    <cellStyle name="Normal 3 3 64 2" xfId="20739" xr:uid="{00000000-0005-0000-0000-0000863C0000}"/>
    <cellStyle name="Normal 3 3 65" xfId="8650" xr:uid="{00000000-0005-0000-0000-0000873C0000}"/>
    <cellStyle name="Normal 3 3 65 2" xfId="20740" xr:uid="{00000000-0005-0000-0000-0000883C0000}"/>
    <cellStyle name="Normal 3 3 66" xfId="8651" xr:uid="{00000000-0005-0000-0000-0000893C0000}"/>
    <cellStyle name="Normal 3 3 66 2" xfId="20741" xr:uid="{00000000-0005-0000-0000-00008A3C0000}"/>
    <cellStyle name="Normal 3 3 67" xfId="8652" xr:uid="{00000000-0005-0000-0000-00008B3C0000}"/>
    <cellStyle name="Normal 3 3 67 2" xfId="20742" xr:uid="{00000000-0005-0000-0000-00008C3C0000}"/>
    <cellStyle name="Normal 3 3 68" xfId="8653" xr:uid="{00000000-0005-0000-0000-00008D3C0000}"/>
    <cellStyle name="Normal 3 3 68 2" xfId="20743" xr:uid="{00000000-0005-0000-0000-00008E3C0000}"/>
    <cellStyle name="Normal 3 3 69" xfId="8654" xr:uid="{00000000-0005-0000-0000-00008F3C0000}"/>
    <cellStyle name="Normal 3 3 69 2" xfId="20744" xr:uid="{00000000-0005-0000-0000-0000903C0000}"/>
    <cellStyle name="Normal 3 3 7" xfId="3148" xr:uid="{00000000-0005-0000-0000-0000913C0000}"/>
    <cellStyle name="Normal 3 3 7 2" xfId="15320" xr:uid="{00000000-0005-0000-0000-0000923C0000}"/>
    <cellStyle name="Normal 3 3 70" xfId="8655" xr:uid="{00000000-0005-0000-0000-0000933C0000}"/>
    <cellStyle name="Normal 3 3 70 2" xfId="20745" xr:uid="{00000000-0005-0000-0000-0000943C0000}"/>
    <cellStyle name="Normal 3 3 71" xfId="8656" xr:uid="{00000000-0005-0000-0000-0000953C0000}"/>
    <cellStyle name="Normal 3 3 71 2" xfId="20746" xr:uid="{00000000-0005-0000-0000-0000963C0000}"/>
    <cellStyle name="Normal 3 3 72" xfId="8657" xr:uid="{00000000-0005-0000-0000-0000973C0000}"/>
    <cellStyle name="Normal 3 3 72 2" xfId="20747" xr:uid="{00000000-0005-0000-0000-0000983C0000}"/>
    <cellStyle name="Normal 3 3 73" xfId="8658" xr:uid="{00000000-0005-0000-0000-0000993C0000}"/>
    <cellStyle name="Normal 3 3 73 2" xfId="20748" xr:uid="{00000000-0005-0000-0000-00009A3C0000}"/>
    <cellStyle name="Normal 3 3 74" xfId="8659" xr:uid="{00000000-0005-0000-0000-00009B3C0000}"/>
    <cellStyle name="Normal 3 3 74 2" xfId="20749" xr:uid="{00000000-0005-0000-0000-00009C3C0000}"/>
    <cellStyle name="Normal 3 3 75" xfId="8660" xr:uid="{00000000-0005-0000-0000-00009D3C0000}"/>
    <cellStyle name="Normal 3 3 75 2" xfId="20750" xr:uid="{00000000-0005-0000-0000-00009E3C0000}"/>
    <cellStyle name="Normal 3 3 76" xfId="8661" xr:uid="{00000000-0005-0000-0000-00009F3C0000}"/>
    <cellStyle name="Normal 3 3 76 2" xfId="20751" xr:uid="{00000000-0005-0000-0000-0000A03C0000}"/>
    <cellStyle name="Normal 3 3 77" xfId="8662" xr:uid="{00000000-0005-0000-0000-0000A13C0000}"/>
    <cellStyle name="Normal 3 3 77 2" xfId="20752" xr:uid="{00000000-0005-0000-0000-0000A23C0000}"/>
    <cellStyle name="Normal 3 3 78" xfId="8663" xr:uid="{00000000-0005-0000-0000-0000A33C0000}"/>
    <cellStyle name="Normal 3 3 78 2" xfId="20753" xr:uid="{00000000-0005-0000-0000-0000A43C0000}"/>
    <cellStyle name="Normal 3 3 79" xfId="8664" xr:uid="{00000000-0005-0000-0000-0000A53C0000}"/>
    <cellStyle name="Normal 3 3 79 2" xfId="20754" xr:uid="{00000000-0005-0000-0000-0000A63C0000}"/>
    <cellStyle name="Normal 3 3 8" xfId="3149" xr:uid="{00000000-0005-0000-0000-0000A73C0000}"/>
    <cellStyle name="Normal 3 3 8 2" xfId="15321" xr:uid="{00000000-0005-0000-0000-0000A83C0000}"/>
    <cellStyle name="Normal 3 3 80" xfId="14980" xr:uid="{00000000-0005-0000-0000-0000A93C0000}"/>
    <cellStyle name="Normal 3 3 81" xfId="15313" xr:uid="{00000000-0005-0000-0000-0000AA3C0000}"/>
    <cellStyle name="Normal 3 3 82" xfId="14954" xr:uid="{00000000-0005-0000-0000-0000AB3C0000}"/>
    <cellStyle name="Normal 3 3 9" xfId="3150" xr:uid="{00000000-0005-0000-0000-0000AC3C0000}"/>
    <cellStyle name="Normal 3 3 9 2" xfId="15322" xr:uid="{00000000-0005-0000-0000-0000AD3C0000}"/>
    <cellStyle name="Normal 3 30" xfId="8665" xr:uid="{00000000-0005-0000-0000-0000AE3C0000}"/>
    <cellStyle name="Normal 3 30 2" xfId="20755" xr:uid="{00000000-0005-0000-0000-0000AF3C0000}"/>
    <cellStyle name="Normal 3 31" xfId="8666" xr:uid="{00000000-0005-0000-0000-0000B03C0000}"/>
    <cellStyle name="Normal 3 31 2" xfId="20756" xr:uid="{00000000-0005-0000-0000-0000B13C0000}"/>
    <cellStyle name="Normal 3 32" xfId="8667" xr:uid="{00000000-0005-0000-0000-0000B23C0000}"/>
    <cellStyle name="Normal 3 32 2" xfId="20757" xr:uid="{00000000-0005-0000-0000-0000B33C0000}"/>
    <cellStyle name="Normal 3 33" xfId="8668" xr:uid="{00000000-0005-0000-0000-0000B43C0000}"/>
    <cellStyle name="Normal 3 33 2" xfId="20758" xr:uid="{00000000-0005-0000-0000-0000B53C0000}"/>
    <cellStyle name="Normal 3 34" xfId="8669" xr:uid="{00000000-0005-0000-0000-0000B63C0000}"/>
    <cellStyle name="Normal 3 34 2" xfId="20759" xr:uid="{00000000-0005-0000-0000-0000B73C0000}"/>
    <cellStyle name="Normal 3 35" xfId="8670" xr:uid="{00000000-0005-0000-0000-0000B83C0000}"/>
    <cellStyle name="Normal 3 35 2" xfId="20760" xr:uid="{00000000-0005-0000-0000-0000B93C0000}"/>
    <cellStyle name="Normal 3 36" xfId="8671" xr:uid="{00000000-0005-0000-0000-0000BA3C0000}"/>
    <cellStyle name="Normal 3 36 2" xfId="20761" xr:uid="{00000000-0005-0000-0000-0000BB3C0000}"/>
    <cellStyle name="Normal 3 37" xfId="8672" xr:uid="{00000000-0005-0000-0000-0000BC3C0000}"/>
    <cellStyle name="Normal 3 37 2" xfId="20762" xr:uid="{00000000-0005-0000-0000-0000BD3C0000}"/>
    <cellStyle name="Normal 3 38" xfId="8673" xr:uid="{00000000-0005-0000-0000-0000BE3C0000}"/>
    <cellStyle name="Normal 3 38 2" xfId="20763" xr:uid="{00000000-0005-0000-0000-0000BF3C0000}"/>
    <cellStyle name="Normal 3 39" xfId="8674" xr:uid="{00000000-0005-0000-0000-0000C03C0000}"/>
    <cellStyle name="Normal 3 39 2" xfId="20764" xr:uid="{00000000-0005-0000-0000-0000C13C0000}"/>
    <cellStyle name="Normal 3 4" xfId="53" xr:uid="{00000000-0005-0000-0000-0000C23C0000}"/>
    <cellStyle name="Normal 3 4 10" xfId="8675" xr:uid="{00000000-0005-0000-0000-0000C33C0000}"/>
    <cellStyle name="Normal 3 4 10 2" xfId="20765" xr:uid="{00000000-0005-0000-0000-0000C43C0000}"/>
    <cellStyle name="Normal 3 4 11" xfId="8676" xr:uid="{00000000-0005-0000-0000-0000C53C0000}"/>
    <cellStyle name="Normal 3 4 11 2" xfId="20766" xr:uid="{00000000-0005-0000-0000-0000C63C0000}"/>
    <cellStyle name="Normal 3 4 12" xfId="8677" xr:uid="{00000000-0005-0000-0000-0000C73C0000}"/>
    <cellStyle name="Normal 3 4 12 2" xfId="20767" xr:uid="{00000000-0005-0000-0000-0000C83C0000}"/>
    <cellStyle name="Normal 3 4 13" xfId="8678" xr:uid="{00000000-0005-0000-0000-0000C93C0000}"/>
    <cellStyle name="Normal 3 4 13 2" xfId="20768" xr:uid="{00000000-0005-0000-0000-0000CA3C0000}"/>
    <cellStyle name="Normal 3 4 14" xfId="8679" xr:uid="{00000000-0005-0000-0000-0000CB3C0000}"/>
    <cellStyle name="Normal 3 4 14 2" xfId="20769" xr:uid="{00000000-0005-0000-0000-0000CC3C0000}"/>
    <cellStyle name="Normal 3 4 15" xfId="8680" xr:uid="{00000000-0005-0000-0000-0000CD3C0000}"/>
    <cellStyle name="Normal 3 4 15 2" xfId="20770" xr:uid="{00000000-0005-0000-0000-0000CE3C0000}"/>
    <cellStyle name="Normal 3 4 16" xfId="8681" xr:uid="{00000000-0005-0000-0000-0000CF3C0000}"/>
    <cellStyle name="Normal 3 4 16 2" xfId="20771" xr:uid="{00000000-0005-0000-0000-0000D03C0000}"/>
    <cellStyle name="Normal 3 4 17" xfId="8682" xr:uid="{00000000-0005-0000-0000-0000D13C0000}"/>
    <cellStyle name="Normal 3 4 17 2" xfId="20772" xr:uid="{00000000-0005-0000-0000-0000D23C0000}"/>
    <cellStyle name="Normal 3 4 18" xfId="8683" xr:uid="{00000000-0005-0000-0000-0000D33C0000}"/>
    <cellStyle name="Normal 3 4 18 2" xfId="20773" xr:uid="{00000000-0005-0000-0000-0000D43C0000}"/>
    <cellStyle name="Normal 3 4 19" xfId="8684" xr:uid="{00000000-0005-0000-0000-0000D53C0000}"/>
    <cellStyle name="Normal 3 4 19 2" xfId="20774" xr:uid="{00000000-0005-0000-0000-0000D63C0000}"/>
    <cellStyle name="Normal 3 4 2" xfId="3151" xr:uid="{00000000-0005-0000-0000-0000D73C0000}"/>
    <cellStyle name="Normal 3 4 2 2" xfId="14984" xr:uid="{00000000-0005-0000-0000-0000D83C0000}"/>
    <cellStyle name="Normal 3 4 20" xfId="8685" xr:uid="{00000000-0005-0000-0000-0000D93C0000}"/>
    <cellStyle name="Normal 3 4 20 2" xfId="20775" xr:uid="{00000000-0005-0000-0000-0000DA3C0000}"/>
    <cellStyle name="Normal 3 4 21" xfId="8686" xr:uid="{00000000-0005-0000-0000-0000DB3C0000}"/>
    <cellStyle name="Normal 3 4 21 2" xfId="20776" xr:uid="{00000000-0005-0000-0000-0000DC3C0000}"/>
    <cellStyle name="Normal 3 4 22" xfId="8687" xr:uid="{00000000-0005-0000-0000-0000DD3C0000}"/>
    <cellStyle name="Normal 3 4 22 2" xfId="20777" xr:uid="{00000000-0005-0000-0000-0000DE3C0000}"/>
    <cellStyle name="Normal 3 4 23" xfId="8688" xr:uid="{00000000-0005-0000-0000-0000DF3C0000}"/>
    <cellStyle name="Normal 3 4 23 2" xfId="20778" xr:uid="{00000000-0005-0000-0000-0000E03C0000}"/>
    <cellStyle name="Normal 3 4 24" xfId="8689" xr:uid="{00000000-0005-0000-0000-0000E13C0000}"/>
    <cellStyle name="Normal 3 4 24 2" xfId="20779" xr:uid="{00000000-0005-0000-0000-0000E23C0000}"/>
    <cellStyle name="Normal 3 4 25" xfId="8690" xr:uid="{00000000-0005-0000-0000-0000E33C0000}"/>
    <cellStyle name="Normal 3 4 25 2" xfId="20780" xr:uid="{00000000-0005-0000-0000-0000E43C0000}"/>
    <cellStyle name="Normal 3 4 26" xfId="8691" xr:uid="{00000000-0005-0000-0000-0000E53C0000}"/>
    <cellStyle name="Normal 3 4 26 2" xfId="20781" xr:uid="{00000000-0005-0000-0000-0000E63C0000}"/>
    <cellStyle name="Normal 3 4 27" xfId="8692" xr:uid="{00000000-0005-0000-0000-0000E73C0000}"/>
    <cellStyle name="Normal 3 4 27 2" xfId="20782" xr:uid="{00000000-0005-0000-0000-0000E83C0000}"/>
    <cellStyle name="Normal 3 4 28" xfId="8693" xr:uid="{00000000-0005-0000-0000-0000E93C0000}"/>
    <cellStyle name="Normal 3 4 28 2" xfId="20783" xr:uid="{00000000-0005-0000-0000-0000EA3C0000}"/>
    <cellStyle name="Normal 3 4 29" xfId="8694" xr:uid="{00000000-0005-0000-0000-0000EB3C0000}"/>
    <cellStyle name="Normal 3 4 29 2" xfId="20784" xr:uid="{00000000-0005-0000-0000-0000EC3C0000}"/>
    <cellStyle name="Normal 3 4 3" xfId="3152" xr:uid="{00000000-0005-0000-0000-0000ED3C0000}"/>
    <cellStyle name="Normal 3 4 3 2" xfId="14985" xr:uid="{00000000-0005-0000-0000-0000EE3C0000}"/>
    <cellStyle name="Normal 3 4 30" xfId="8695" xr:uid="{00000000-0005-0000-0000-0000EF3C0000}"/>
    <cellStyle name="Normal 3 4 30 2" xfId="20785" xr:uid="{00000000-0005-0000-0000-0000F03C0000}"/>
    <cellStyle name="Normal 3 4 31" xfId="8696" xr:uid="{00000000-0005-0000-0000-0000F13C0000}"/>
    <cellStyle name="Normal 3 4 31 2" xfId="20786" xr:uid="{00000000-0005-0000-0000-0000F23C0000}"/>
    <cellStyle name="Normal 3 4 32" xfId="8697" xr:uid="{00000000-0005-0000-0000-0000F33C0000}"/>
    <cellStyle name="Normal 3 4 32 2" xfId="20787" xr:uid="{00000000-0005-0000-0000-0000F43C0000}"/>
    <cellStyle name="Normal 3 4 33" xfId="8698" xr:uid="{00000000-0005-0000-0000-0000F53C0000}"/>
    <cellStyle name="Normal 3 4 33 2" xfId="20788" xr:uid="{00000000-0005-0000-0000-0000F63C0000}"/>
    <cellStyle name="Normal 3 4 34" xfId="8699" xr:uid="{00000000-0005-0000-0000-0000F73C0000}"/>
    <cellStyle name="Normal 3 4 34 2" xfId="20789" xr:uid="{00000000-0005-0000-0000-0000F83C0000}"/>
    <cellStyle name="Normal 3 4 35" xfId="8700" xr:uid="{00000000-0005-0000-0000-0000F93C0000}"/>
    <cellStyle name="Normal 3 4 35 2" xfId="20790" xr:uid="{00000000-0005-0000-0000-0000FA3C0000}"/>
    <cellStyle name="Normal 3 4 36" xfId="8701" xr:uid="{00000000-0005-0000-0000-0000FB3C0000}"/>
    <cellStyle name="Normal 3 4 36 2" xfId="20791" xr:uid="{00000000-0005-0000-0000-0000FC3C0000}"/>
    <cellStyle name="Normal 3 4 37" xfId="8702" xr:uid="{00000000-0005-0000-0000-0000FD3C0000}"/>
    <cellStyle name="Normal 3 4 37 2" xfId="20792" xr:uid="{00000000-0005-0000-0000-0000FE3C0000}"/>
    <cellStyle name="Normal 3 4 38" xfId="8703" xr:uid="{00000000-0005-0000-0000-0000FF3C0000}"/>
    <cellStyle name="Normal 3 4 38 2" xfId="20793" xr:uid="{00000000-0005-0000-0000-0000003D0000}"/>
    <cellStyle name="Normal 3 4 39" xfId="8704" xr:uid="{00000000-0005-0000-0000-0000013D0000}"/>
    <cellStyle name="Normal 3 4 39 2" xfId="20794" xr:uid="{00000000-0005-0000-0000-0000023D0000}"/>
    <cellStyle name="Normal 3 4 4" xfId="8705" xr:uid="{00000000-0005-0000-0000-0000033D0000}"/>
    <cellStyle name="Normal 3 4 4 2" xfId="20795" xr:uid="{00000000-0005-0000-0000-0000043D0000}"/>
    <cellStyle name="Normal 3 4 40" xfId="8706" xr:uid="{00000000-0005-0000-0000-0000053D0000}"/>
    <cellStyle name="Normal 3 4 40 2" xfId="20796" xr:uid="{00000000-0005-0000-0000-0000063D0000}"/>
    <cellStyle name="Normal 3 4 41" xfId="8707" xr:uid="{00000000-0005-0000-0000-0000073D0000}"/>
    <cellStyle name="Normal 3 4 41 2" xfId="20797" xr:uid="{00000000-0005-0000-0000-0000083D0000}"/>
    <cellStyle name="Normal 3 4 42" xfId="8708" xr:uid="{00000000-0005-0000-0000-0000093D0000}"/>
    <cellStyle name="Normal 3 4 42 2" xfId="20798" xr:uid="{00000000-0005-0000-0000-00000A3D0000}"/>
    <cellStyle name="Normal 3 4 43" xfId="8709" xr:uid="{00000000-0005-0000-0000-00000B3D0000}"/>
    <cellStyle name="Normal 3 4 43 2" xfId="20799" xr:uid="{00000000-0005-0000-0000-00000C3D0000}"/>
    <cellStyle name="Normal 3 4 44" xfId="8710" xr:uid="{00000000-0005-0000-0000-00000D3D0000}"/>
    <cellStyle name="Normal 3 4 44 2" xfId="20800" xr:uid="{00000000-0005-0000-0000-00000E3D0000}"/>
    <cellStyle name="Normal 3 4 45" xfId="8711" xr:uid="{00000000-0005-0000-0000-00000F3D0000}"/>
    <cellStyle name="Normal 3 4 45 2" xfId="20801" xr:uid="{00000000-0005-0000-0000-0000103D0000}"/>
    <cellStyle name="Normal 3 4 46" xfId="8712" xr:uid="{00000000-0005-0000-0000-0000113D0000}"/>
    <cellStyle name="Normal 3 4 46 2" xfId="20802" xr:uid="{00000000-0005-0000-0000-0000123D0000}"/>
    <cellStyle name="Normal 3 4 47" xfId="8713" xr:uid="{00000000-0005-0000-0000-0000133D0000}"/>
    <cellStyle name="Normal 3 4 47 2" xfId="20803" xr:uid="{00000000-0005-0000-0000-0000143D0000}"/>
    <cellStyle name="Normal 3 4 48" xfId="8714" xr:uid="{00000000-0005-0000-0000-0000153D0000}"/>
    <cellStyle name="Normal 3 4 48 2" xfId="20804" xr:uid="{00000000-0005-0000-0000-0000163D0000}"/>
    <cellStyle name="Normal 3 4 49" xfId="8715" xr:uid="{00000000-0005-0000-0000-0000173D0000}"/>
    <cellStyle name="Normal 3 4 49 2" xfId="20805" xr:uid="{00000000-0005-0000-0000-0000183D0000}"/>
    <cellStyle name="Normal 3 4 5" xfId="8716" xr:uid="{00000000-0005-0000-0000-0000193D0000}"/>
    <cellStyle name="Normal 3 4 5 2" xfId="20806" xr:uid="{00000000-0005-0000-0000-00001A3D0000}"/>
    <cellStyle name="Normal 3 4 50" xfId="8717" xr:uid="{00000000-0005-0000-0000-00001B3D0000}"/>
    <cellStyle name="Normal 3 4 50 2" xfId="20807" xr:uid="{00000000-0005-0000-0000-00001C3D0000}"/>
    <cellStyle name="Normal 3 4 51" xfId="8718" xr:uid="{00000000-0005-0000-0000-00001D3D0000}"/>
    <cellStyle name="Normal 3 4 51 2" xfId="20808" xr:uid="{00000000-0005-0000-0000-00001E3D0000}"/>
    <cellStyle name="Normal 3 4 52" xfId="8719" xr:uid="{00000000-0005-0000-0000-00001F3D0000}"/>
    <cellStyle name="Normal 3 4 52 2" xfId="20809" xr:uid="{00000000-0005-0000-0000-0000203D0000}"/>
    <cellStyle name="Normal 3 4 53" xfId="8720" xr:uid="{00000000-0005-0000-0000-0000213D0000}"/>
    <cellStyle name="Normal 3 4 53 2" xfId="20810" xr:uid="{00000000-0005-0000-0000-0000223D0000}"/>
    <cellStyle name="Normal 3 4 54" xfId="8721" xr:uid="{00000000-0005-0000-0000-0000233D0000}"/>
    <cellStyle name="Normal 3 4 54 2" xfId="20811" xr:uid="{00000000-0005-0000-0000-0000243D0000}"/>
    <cellStyle name="Normal 3 4 55" xfId="8722" xr:uid="{00000000-0005-0000-0000-0000253D0000}"/>
    <cellStyle name="Normal 3 4 55 2" xfId="20812" xr:uid="{00000000-0005-0000-0000-0000263D0000}"/>
    <cellStyle name="Normal 3 4 56" xfId="8723" xr:uid="{00000000-0005-0000-0000-0000273D0000}"/>
    <cellStyle name="Normal 3 4 56 2" xfId="20813" xr:uid="{00000000-0005-0000-0000-0000283D0000}"/>
    <cellStyle name="Normal 3 4 57" xfId="8724" xr:uid="{00000000-0005-0000-0000-0000293D0000}"/>
    <cellStyle name="Normal 3 4 57 2" xfId="20814" xr:uid="{00000000-0005-0000-0000-00002A3D0000}"/>
    <cellStyle name="Normal 3 4 58" xfId="8725" xr:uid="{00000000-0005-0000-0000-00002B3D0000}"/>
    <cellStyle name="Normal 3 4 58 2" xfId="20815" xr:uid="{00000000-0005-0000-0000-00002C3D0000}"/>
    <cellStyle name="Normal 3 4 59" xfId="8726" xr:uid="{00000000-0005-0000-0000-00002D3D0000}"/>
    <cellStyle name="Normal 3 4 59 2" xfId="20816" xr:uid="{00000000-0005-0000-0000-00002E3D0000}"/>
    <cellStyle name="Normal 3 4 6" xfId="8727" xr:uid="{00000000-0005-0000-0000-00002F3D0000}"/>
    <cellStyle name="Normal 3 4 6 2" xfId="20817" xr:uid="{00000000-0005-0000-0000-0000303D0000}"/>
    <cellStyle name="Normal 3 4 60" xfId="8728" xr:uid="{00000000-0005-0000-0000-0000313D0000}"/>
    <cellStyle name="Normal 3 4 60 2" xfId="20818" xr:uid="{00000000-0005-0000-0000-0000323D0000}"/>
    <cellStyle name="Normal 3 4 61" xfId="8729" xr:uid="{00000000-0005-0000-0000-0000333D0000}"/>
    <cellStyle name="Normal 3 4 61 2" xfId="20819" xr:uid="{00000000-0005-0000-0000-0000343D0000}"/>
    <cellStyle name="Normal 3 4 62" xfId="8730" xr:uid="{00000000-0005-0000-0000-0000353D0000}"/>
    <cellStyle name="Normal 3 4 62 2" xfId="20820" xr:uid="{00000000-0005-0000-0000-0000363D0000}"/>
    <cellStyle name="Normal 3 4 63" xfId="8731" xr:uid="{00000000-0005-0000-0000-0000373D0000}"/>
    <cellStyle name="Normal 3 4 63 2" xfId="20821" xr:uid="{00000000-0005-0000-0000-0000383D0000}"/>
    <cellStyle name="Normal 3 4 64" xfId="8732" xr:uid="{00000000-0005-0000-0000-0000393D0000}"/>
    <cellStyle name="Normal 3 4 64 2" xfId="20822" xr:uid="{00000000-0005-0000-0000-00003A3D0000}"/>
    <cellStyle name="Normal 3 4 65" xfId="8733" xr:uid="{00000000-0005-0000-0000-00003B3D0000}"/>
    <cellStyle name="Normal 3 4 65 2" xfId="20823" xr:uid="{00000000-0005-0000-0000-00003C3D0000}"/>
    <cellStyle name="Normal 3 4 66" xfId="8734" xr:uid="{00000000-0005-0000-0000-00003D3D0000}"/>
    <cellStyle name="Normal 3 4 66 2" xfId="20824" xr:uid="{00000000-0005-0000-0000-00003E3D0000}"/>
    <cellStyle name="Normal 3 4 67" xfId="8735" xr:uid="{00000000-0005-0000-0000-00003F3D0000}"/>
    <cellStyle name="Normal 3 4 67 2" xfId="20825" xr:uid="{00000000-0005-0000-0000-0000403D0000}"/>
    <cellStyle name="Normal 3 4 68" xfId="8736" xr:uid="{00000000-0005-0000-0000-0000413D0000}"/>
    <cellStyle name="Normal 3 4 68 2" xfId="20826" xr:uid="{00000000-0005-0000-0000-0000423D0000}"/>
    <cellStyle name="Normal 3 4 69" xfId="8737" xr:uid="{00000000-0005-0000-0000-0000433D0000}"/>
    <cellStyle name="Normal 3 4 69 2" xfId="20827" xr:uid="{00000000-0005-0000-0000-0000443D0000}"/>
    <cellStyle name="Normal 3 4 7" xfId="8738" xr:uid="{00000000-0005-0000-0000-0000453D0000}"/>
    <cellStyle name="Normal 3 4 7 2" xfId="20828" xr:uid="{00000000-0005-0000-0000-0000463D0000}"/>
    <cellStyle name="Normal 3 4 70" xfId="8739" xr:uid="{00000000-0005-0000-0000-0000473D0000}"/>
    <cellStyle name="Normal 3 4 70 2" xfId="20829" xr:uid="{00000000-0005-0000-0000-0000483D0000}"/>
    <cellStyle name="Normal 3 4 71" xfId="8740" xr:uid="{00000000-0005-0000-0000-0000493D0000}"/>
    <cellStyle name="Normal 3 4 71 2" xfId="20830" xr:uid="{00000000-0005-0000-0000-00004A3D0000}"/>
    <cellStyle name="Normal 3 4 72" xfId="8741" xr:uid="{00000000-0005-0000-0000-00004B3D0000}"/>
    <cellStyle name="Normal 3 4 72 2" xfId="20831" xr:uid="{00000000-0005-0000-0000-00004C3D0000}"/>
    <cellStyle name="Normal 3 4 73" xfId="8742" xr:uid="{00000000-0005-0000-0000-00004D3D0000}"/>
    <cellStyle name="Normal 3 4 73 2" xfId="20832" xr:uid="{00000000-0005-0000-0000-00004E3D0000}"/>
    <cellStyle name="Normal 3 4 74" xfId="8743" xr:uid="{00000000-0005-0000-0000-00004F3D0000}"/>
    <cellStyle name="Normal 3 4 74 2" xfId="20833" xr:uid="{00000000-0005-0000-0000-0000503D0000}"/>
    <cellStyle name="Normal 3 4 75" xfId="8744" xr:uid="{00000000-0005-0000-0000-0000513D0000}"/>
    <cellStyle name="Normal 3 4 75 2" xfId="20834" xr:uid="{00000000-0005-0000-0000-0000523D0000}"/>
    <cellStyle name="Normal 3 4 76" xfId="8745" xr:uid="{00000000-0005-0000-0000-0000533D0000}"/>
    <cellStyle name="Normal 3 4 76 2" xfId="20835" xr:uid="{00000000-0005-0000-0000-0000543D0000}"/>
    <cellStyle name="Normal 3 4 77" xfId="8746" xr:uid="{00000000-0005-0000-0000-0000553D0000}"/>
    <cellStyle name="Normal 3 4 77 2" xfId="20836" xr:uid="{00000000-0005-0000-0000-0000563D0000}"/>
    <cellStyle name="Normal 3 4 78" xfId="8747" xr:uid="{00000000-0005-0000-0000-0000573D0000}"/>
    <cellStyle name="Normal 3 4 78 2" xfId="20837" xr:uid="{00000000-0005-0000-0000-0000583D0000}"/>
    <cellStyle name="Normal 3 4 79" xfId="8748" xr:uid="{00000000-0005-0000-0000-0000593D0000}"/>
    <cellStyle name="Normal 3 4 79 2" xfId="20838" xr:uid="{00000000-0005-0000-0000-00005A3D0000}"/>
    <cellStyle name="Normal 3 4 8" xfId="8749" xr:uid="{00000000-0005-0000-0000-00005B3D0000}"/>
    <cellStyle name="Normal 3 4 8 2" xfId="20839" xr:uid="{00000000-0005-0000-0000-00005C3D0000}"/>
    <cellStyle name="Normal 3 4 80" xfId="14983" xr:uid="{00000000-0005-0000-0000-00005D3D0000}"/>
    <cellStyle name="Normal 3 4 81" xfId="15323" xr:uid="{00000000-0005-0000-0000-00005E3D0000}"/>
    <cellStyle name="Normal 3 4 82" xfId="14956" xr:uid="{00000000-0005-0000-0000-00005F3D0000}"/>
    <cellStyle name="Normal 3 4 9" xfId="8750" xr:uid="{00000000-0005-0000-0000-0000603D0000}"/>
    <cellStyle name="Normal 3 4 9 2" xfId="20840" xr:uid="{00000000-0005-0000-0000-0000613D0000}"/>
    <cellStyle name="Normal 3 40" xfId="8751" xr:uid="{00000000-0005-0000-0000-0000623D0000}"/>
    <cellStyle name="Normal 3 40 2" xfId="20841" xr:uid="{00000000-0005-0000-0000-0000633D0000}"/>
    <cellStyle name="Normal 3 41" xfId="8752" xr:uid="{00000000-0005-0000-0000-0000643D0000}"/>
    <cellStyle name="Normal 3 41 2" xfId="20842" xr:uid="{00000000-0005-0000-0000-0000653D0000}"/>
    <cellStyle name="Normal 3 42" xfId="8753" xr:uid="{00000000-0005-0000-0000-0000663D0000}"/>
    <cellStyle name="Normal 3 42 2" xfId="20843" xr:uid="{00000000-0005-0000-0000-0000673D0000}"/>
    <cellStyle name="Normal 3 43" xfId="8754" xr:uid="{00000000-0005-0000-0000-0000683D0000}"/>
    <cellStyle name="Normal 3 43 2" xfId="20844" xr:uid="{00000000-0005-0000-0000-0000693D0000}"/>
    <cellStyle name="Normal 3 44" xfId="8755" xr:uid="{00000000-0005-0000-0000-00006A3D0000}"/>
    <cellStyle name="Normal 3 44 2" xfId="20845" xr:uid="{00000000-0005-0000-0000-00006B3D0000}"/>
    <cellStyle name="Normal 3 45" xfId="8756" xr:uid="{00000000-0005-0000-0000-00006C3D0000}"/>
    <cellStyle name="Normal 3 45 2" xfId="20846" xr:uid="{00000000-0005-0000-0000-00006D3D0000}"/>
    <cellStyle name="Normal 3 46" xfId="8757" xr:uid="{00000000-0005-0000-0000-00006E3D0000}"/>
    <cellStyle name="Normal 3 46 2" xfId="20847" xr:uid="{00000000-0005-0000-0000-00006F3D0000}"/>
    <cellStyle name="Normal 3 47" xfId="8758" xr:uid="{00000000-0005-0000-0000-0000703D0000}"/>
    <cellStyle name="Normal 3 47 2" xfId="20848" xr:uid="{00000000-0005-0000-0000-0000713D0000}"/>
    <cellStyle name="Normal 3 48" xfId="8759" xr:uid="{00000000-0005-0000-0000-0000723D0000}"/>
    <cellStyle name="Normal 3 48 2" xfId="20849" xr:uid="{00000000-0005-0000-0000-0000733D0000}"/>
    <cellStyle name="Normal 3 49" xfId="8760" xr:uid="{00000000-0005-0000-0000-0000743D0000}"/>
    <cellStyle name="Normal 3 49 2" xfId="20850" xr:uid="{00000000-0005-0000-0000-0000753D0000}"/>
    <cellStyle name="Normal 3 5" xfId="107" xr:uid="{00000000-0005-0000-0000-0000763D0000}"/>
    <cellStyle name="Normal 3 5 2" xfId="3153" xr:uid="{00000000-0005-0000-0000-0000773D0000}"/>
    <cellStyle name="Normal 3 5 2 2" xfId="14986" xr:uid="{00000000-0005-0000-0000-0000783D0000}"/>
    <cellStyle name="Normal 3 5 3" xfId="3154" xr:uid="{00000000-0005-0000-0000-0000793D0000}"/>
    <cellStyle name="Normal 3 5 3 2" xfId="14987" xr:uid="{00000000-0005-0000-0000-00007A3D0000}"/>
    <cellStyle name="Normal 3 5 4" xfId="15324" xr:uid="{00000000-0005-0000-0000-00007B3D0000}"/>
    <cellStyle name="Normal 3 50" xfId="8761" xr:uid="{00000000-0005-0000-0000-00007C3D0000}"/>
    <cellStyle name="Normal 3 50 2" xfId="20851" xr:uid="{00000000-0005-0000-0000-00007D3D0000}"/>
    <cellStyle name="Normal 3 51" xfId="8762" xr:uid="{00000000-0005-0000-0000-00007E3D0000}"/>
    <cellStyle name="Normal 3 51 2" xfId="20852" xr:uid="{00000000-0005-0000-0000-00007F3D0000}"/>
    <cellStyle name="Normal 3 52" xfId="8763" xr:uid="{00000000-0005-0000-0000-0000803D0000}"/>
    <cellStyle name="Normal 3 52 2" xfId="20853" xr:uid="{00000000-0005-0000-0000-0000813D0000}"/>
    <cellStyle name="Normal 3 53" xfId="8764" xr:uid="{00000000-0005-0000-0000-0000823D0000}"/>
    <cellStyle name="Normal 3 53 2" xfId="20854" xr:uid="{00000000-0005-0000-0000-0000833D0000}"/>
    <cellStyle name="Normal 3 54" xfId="8765" xr:uid="{00000000-0005-0000-0000-0000843D0000}"/>
    <cellStyle name="Normal 3 54 2" xfId="20855" xr:uid="{00000000-0005-0000-0000-0000853D0000}"/>
    <cellStyle name="Normal 3 55" xfId="8766" xr:uid="{00000000-0005-0000-0000-0000863D0000}"/>
    <cellStyle name="Normal 3 55 2" xfId="20856" xr:uid="{00000000-0005-0000-0000-0000873D0000}"/>
    <cellStyle name="Normal 3 56" xfId="8767" xr:uid="{00000000-0005-0000-0000-0000883D0000}"/>
    <cellStyle name="Normal 3 56 2" xfId="20857" xr:uid="{00000000-0005-0000-0000-0000893D0000}"/>
    <cellStyle name="Normal 3 57" xfId="8768" xr:uid="{00000000-0005-0000-0000-00008A3D0000}"/>
    <cellStyle name="Normal 3 57 2" xfId="20858" xr:uid="{00000000-0005-0000-0000-00008B3D0000}"/>
    <cellStyle name="Normal 3 58" xfId="8769" xr:uid="{00000000-0005-0000-0000-00008C3D0000}"/>
    <cellStyle name="Normal 3 58 2" xfId="20859" xr:uid="{00000000-0005-0000-0000-00008D3D0000}"/>
    <cellStyle name="Normal 3 59" xfId="8770" xr:uid="{00000000-0005-0000-0000-00008E3D0000}"/>
    <cellStyle name="Normal 3 59 2" xfId="20860" xr:uid="{00000000-0005-0000-0000-00008F3D0000}"/>
    <cellStyle name="Normal 3 6" xfId="113" xr:uid="{00000000-0005-0000-0000-0000903D0000}"/>
    <cellStyle name="Normal 3 6 2" xfId="3155" xr:uid="{00000000-0005-0000-0000-0000913D0000}"/>
    <cellStyle name="Normal 3 6 2 2" xfId="14988" xr:uid="{00000000-0005-0000-0000-0000923D0000}"/>
    <cellStyle name="Normal 3 6 3" xfId="3156" xr:uid="{00000000-0005-0000-0000-0000933D0000}"/>
    <cellStyle name="Normal 3 6 3 2" xfId="14989" xr:uid="{00000000-0005-0000-0000-0000943D0000}"/>
    <cellStyle name="Normal 3 6 4" xfId="15325" xr:uid="{00000000-0005-0000-0000-0000953D0000}"/>
    <cellStyle name="Normal 3 60" xfId="8771" xr:uid="{00000000-0005-0000-0000-0000963D0000}"/>
    <cellStyle name="Normal 3 60 2" xfId="20861" xr:uid="{00000000-0005-0000-0000-0000973D0000}"/>
    <cellStyle name="Normal 3 61" xfId="8772" xr:uid="{00000000-0005-0000-0000-0000983D0000}"/>
    <cellStyle name="Normal 3 61 2" xfId="20862" xr:uid="{00000000-0005-0000-0000-0000993D0000}"/>
    <cellStyle name="Normal 3 62" xfId="8773" xr:uid="{00000000-0005-0000-0000-00009A3D0000}"/>
    <cellStyle name="Normal 3 62 2" xfId="20863" xr:uid="{00000000-0005-0000-0000-00009B3D0000}"/>
    <cellStyle name="Normal 3 63" xfId="8774" xr:uid="{00000000-0005-0000-0000-00009C3D0000}"/>
    <cellStyle name="Normal 3 63 2" xfId="20864" xr:uid="{00000000-0005-0000-0000-00009D3D0000}"/>
    <cellStyle name="Normal 3 64" xfId="8775" xr:uid="{00000000-0005-0000-0000-00009E3D0000}"/>
    <cellStyle name="Normal 3 64 2" xfId="20865" xr:uid="{00000000-0005-0000-0000-00009F3D0000}"/>
    <cellStyle name="Normal 3 65" xfId="8776" xr:uid="{00000000-0005-0000-0000-0000A03D0000}"/>
    <cellStyle name="Normal 3 65 2" xfId="20866" xr:uid="{00000000-0005-0000-0000-0000A13D0000}"/>
    <cellStyle name="Normal 3 66" xfId="8777" xr:uid="{00000000-0005-0000-0000-0000A23D0000}"/>
    <cellStyle name="Normal 3 66 2" xfId="20867" xr:uid="{00000000-0005-0000-0000-0000A33D0000}"/>
    <cellStyle name="Normal 3 67" xfId="8778" xr:uid="{00000000-0005-0000-0000-0000A43D0000}"/>
    <cellStyle name="Normal 3 67 2" xfId="20868" xr:uid="{00000000-0005-0000-0000-0000A53D0000}"/>
    <cellStyle name="Normal 3 68" xfId="8779" xr:uid="{00000000-0005-0000-0000-0000A63D0000}"/>
    <cellStyle name="Normal 3 68 2" xfId="20869" xr:uid="{00000000-0005-0000-0000-0000A73D0000}"/>
    <cellStyle name="Normal 3 69" xfId="8780" xr:uid="{00000000-0005-0000-0000-0000A83D0000}"/>
    <cellStyle name="Normal 3 69 2" xfId="20870" xr:uid="{00000000-0005-0000-0000-0000A93D0000}"/>
    <cellStyle name="Normal 3 7" xfId="112" xr:uid="{00000000-0005-0000-0000-0000AA3D0000}"/>
    <cellStyle name="Normal 3 7 2" xfId="3157" xr:uid="{00000000-0005-0000-0000-0000AB3D0000}"/>
    <cellStyle name="Normal 3 7 2 2" xfId="14990" xr:uid="{00000000-0005-0000-0000-0000AC3D0000}"/>
    <cellStyle name="Normal 3 7 3" xfId="3158" xr:uid="{00000000-0005-0000-0000-0000AD3D0000}"/>
    <cellStyle name="Normal 3 7 3 2" xfId="14991" xr:uid="{00000000-0005-0000-0000-0000AE3D0000}"/>
    <cellStyle name="Normal 3 7 4" xfId="15326" xr:uid="{00000000-0005-0000-0000-0000AF3D0000}"/>
    <cellStyle name="Normal 3 70" xfId="8781" xr:uid="{00000000-0005-0000-0000-0000B03D0000}"/>
    <cellStyle name="Normal 3 70 2" xfId="20871" xr:uid="{00000000-0005-0000-0000-0000B13D0000}"/>
    <cellStyle name="Normal 3 71" xfId="8782" xr:uid="{00000000-0005-0000-0000-0000B23D0000}"/>
    <cellStyle name="Normal 3 71 2" xfId="20872" xr:uid="{00000000-0005-0000-0000-0000B33D0000}"/>
    <cellStyle name="Normal 3 72" xfId="8783" xr:uid="{00000000-0005-0000-0000-0000B43D0000}"/>
    <cellStyle name="Normal 3 72 2" xfId="20873" xr:uid="{00000000-0005-0000-0000-0000B53D0000}"/>
    <cellStyle name="Normal 3 73" xfId="8784" xr:uid="{00000000-0005-0000-0000-0000B63D0000}"/>
    <cellStyle name="Normal 3 73 2" xfId="20874" xr:uid="{00000000-0005-0000-0000-0000B73D0000}"/>
    <cellStyle name="Normal 3 74" xfId="8785" xr:uid="{00000000-0005-0000-0000-0000B83D0000}"/>
    <cellStyle name="Normal 3 74 2" xfId="20875" xr:uid="{00000000-0005-0000-0000-0000B93D0000}"/>
    <cellStyle name="Normal 3 75" xfId="8786" xr:uid="{00000000-0005-0000-0000-0000BA3D0000}"/>
    <cellStyle name="Normal 3 75 2" xfId="20876" xr:uid="{00000000-0005-0000-0000-0000BB3D0000}"/>
    <cellStyle name="Normal 3 76" xfId="8787" xr:uid="{00000000-0005-0000-0000-0000BC3D0000}"/>
    <cellStyle name="Normal 3 76 2" xfId="20877" xr:uid="{00000000-0005-0000-0000-0000BD3D0000}"/>
    <cellStyle name="Normal 3 77" xfId="8788" xr:uid="{00000000-0005-0000-0000-0000BE3D0000}"/>
    <cellStyle name="Normal 3 77 2" xfId="20878" xr:uid="{00000000-0005-0000-0000-0000BF3D0000}"/>
    <cellStyle name="Normal 3 78" xfId="8789" xr:uid="{00000000-0005-0000-0000-0000C03D0000}"/>
    <cellStyle name="Normal 3 78 2" xfId="20879" xr:uid="{00000000-0005-0000-0000-0000C13D0000}"/>
    <cellStyle name="Normal 3 79" xfId="8790" xr:uid="{00000000-0005-0000-0000-0000C23D0000}"/>
    <cellStyle name="Normal 3 79 2" xfId="20880" xr:uid="{00000000-0005-0000-0000-0000C33D0000}"/>
    <cellStyle name="Normal 3 8" xfId="127" xr:uid="{00000000-0005-0000-0000-0000C43D0000}"/>
    <cellStyle name="Normal 3 8 2" xfId="3159" xr:uid="{00000000-0005-0000-0000-0000C53D0000}"/>
    <cellStyle name="Normal 3 8 2 2" xfId="14992" xr:uid="{00000000-0005-0000-0000-0000C63D0000}"/>
    <cellStyle name="Normal 3 8 3" xfId="3160" xr:uid="{00000000-0005-0000-0000-0000C73D0000}"/>
    <cellStyle name="Normal 3 8 3 2" xfId="14993" xr:uid="{00000000-0005-0000-0000-0000C83D0000}"/>
    <cellStyle name="Normal 3 8 4" xfId="15327" xr:uid="{00000000-0005-0000-0000-0000C93D0000}"/>
    <cellStyle name="Normal 3 80" xfId="8791" xr:uid="{00000000-0005-0000-0000-0000CA3D0000}"/>
    <cellStyle name="Normal 3 80 2" xfId="20881" xr:uid="{00000000-0005-0000-0000-0000CB3D0000}"/>
    <cellStyle name="Normal 3 81" xfId="8792" xr:uid="{00000000-0005-0000-0000-0000CC3D0000}"/>
    <cellStyle name="Normal 3 81 2" xfId="20882" xr:uid="{00000000-0005-0000-0000-0000CD3D0000}"/>
    <cellStyle name="Normal 3 82" xfId="8793" xr:uid="{00000000-0005-0000-0000-0000CE3D0000}"/>
    <cellStyle name="Normal 3 82 2" xfId="20883" xr:uid="{00000000-0005-0000-0000-0000CF3D0000}"/>
    <cellStyle name="Normal 3 83" xfId="1617" xr:uid="{00000000-0005-0000-0000-0000D03D0000}"/>
    <cellStyle name="Normal 3 83 2" xfId="15048" xr:uid="{00000000-0005-0000-0000-0000D13D0000}"/>
    <cellStyle name="Normal 3 84" xfId="1522" xr:uid="{00000000-0005-0000-0000-0000D23D0000}"/>
    <cellStyle name="Normal 3 85" xfId="28304" xr:uid="{00000000-0005-0000-0000-0000D33D0000}"/>
    <cellStyle name="Normal 3 9" xfId="133" xr:uid="{00000000-0005-0000-0000-0000D43D0000}"/>
    <cellStyle name="Normal 3 9 2" xfId="3161" xr:uid="{00000000-0005-0000-0000-0000D53D0000}"/>
    <cellStyle name="Normal 3 9 2 2" xfId="14994" xr:uid="{00000000-0005-0000-0000-0000D63D0000}"/>
    <cellStyle name="Normal 3 9 3" xfId="3162" xr:uid="{00000000-0005-0000-0000-0000D73D0000}"/>
    <cellStyle name="Normal 3 9 3 2" xfId="14995" xr:uid="{00000000-0005-0000-0000-0000D83D0000}"/>
    <cellStyle name="Normal 3 9 4" xfId="15328" xr:uid="{00000000-0005-0000-0000-0000D93D0000}"/>
    <cellStyle name="Normal 3_DSS" xfId="1512" xr:uid="{00000000-0005-0000-0000-0000DA3D0000}"/>
    <cellStyle name="Normal 30" xfId="59" xr:uid="{00000000-0005-0000-0000-0000DB3D0000}"/>
    <cellStyle name="Normal 30 10" xfId="316" xr:uid="{00000000-0005-0000-0000-0000DC3D0000}"/>
    <cellStyle name="Normal 30 11" xfId="70" xr:uid="{00000000-0005-0000-0000-0000DD3D0000}"/>
    <cellStyle name="Normal 30 2" xfId="93" xr:uid="{00000000-0005-0000-0000-0000DE3D0000}"/>
    <cellStyle name="Normal 30 2 2" xfId="15065" xr:uid="{00000000-0005-0000-0000-0000DF3D0000}"/>
    <cellStyle name="Normal 30 3" xfId="108" xr:uid="{00000000-0005-0000-0000-0000E03D0000}"/>
    <cellStyle name="Normal 30 4" xfId="114" xr:uid="{00000000-0005-0000-0000-0000E13D0000}"/>
    <cellStyle name="Normal 30 5" xfId="121" xr:uid="{00000000-0005-0000-0000-0000E23D0000}"/>
    <cellStyle name="Normal 30 6" xfId="126" xr:uid="{00000000-0005-0000-0000-0000E33D0000}"/>
    <cellStyle name="Normal 30 7" xfId="132" xr:uid="{00000000-0005-0000-0000-0000E43D0000}"/>
    <cellStyle name="Normal 30 8" xfId="788" xr:uid="{00000000-0005-0000-0000-0000E53D0000}"/>
    <cellStyle name="Normal 30 9" xfId="719" xr:uid="{00000000-0005-0000-0000-0000E63D0000}"/>
    <cellStyle name="Normal 30_Master List" xfId="100" xr:uid="{00000000-0005-0000-0000-0000E73D0000}"/>
    <cellStyle name="Normal 31" xfId="77" xr:uid="{00000000-0005-0000-0000-0000E83D0000}"/>
    <cellStyle name="Normal 31 2" xfId="789" xr:uid="{00000000-0005-0000-0000-0000E93D0000}"/>
    <cellStyle name="Normal 31 3" xfId="720" xr:uid="{00000000-0005-0000-0000-0000EA3D0000}"/>
    <cellStyle name="Normal 31 4" xfId="317" xr:uid="{00000000-0005-0000-0000-0000EB3D0000}"/>
    <cellStyle name="Normal 32" xfId="144" xr:uid="{00000000-0005-0000-0000-0000EC3D0000}"/>
    <cellStyle name="Normal 32 2" xfId="167" xr:uid="{00000000-0005-0000-0000-0000ED3D0000}"/>
    <cellStyle name="Normal 32 2 2" xfId="20884" xr:uid="{00000000-0005-0000-0000-0000EE3D0000}"/>
    <cellStyle name="Normal 32 3" xfId="790" xr:uid="{00000000-0005-0000-0000-0000EF3D0000}"/>
    <cellStyle name="Normal 32 4" xfId="721" xr:uid="{00000000-0005-0000-0000-0000F03D0000}"/>
    <cellStyle name="Normal 32 5" xfId="318" xr:uid="{00000000-0005-0000-0000-0000F13D0000}"/>
    <cellStyle name="Normal 33" xfId="145" xr:uid="{00000000-0005-0000-0000-0000F23D0000}"/>
    <cellStyle name="Normal 33 2" xfId="168" xr:uid="{00000000-0005-0000-0000-0000F33D0000}"/>
    <cellStyle name="Normal 33 2 2" xfId="20885" xr:uid="{00000000-0005-0000-0000-0000F43D0000}"/>
    <cellStyle name="Normal 33 3" xfId="791" xr:uid="{00000000-0005-0000-0000-0000F53D0000}"/>
    <cellStyle name="Normal 33 4" xfId="722" xr:uid="{00000000-0005-0000-0000-0000F63D0000}"/>
    <cellStyle name="Normal 33 5" xfId="319" xr:uid="{00000000-0005-0000-0000-0000F73D0000}"/>
    <cellStyle name="Normal 34" xfId="71" xr:uid="{00000000-0005-0000-0000-0000F83D0000}"/>
    <cellStyle name="Normal 34 2" xfId="792" xr:uid="{00000000-0005-0000-0000-0000F93D0000}"/>
    <cellStyle name="Normal 34 3" xfId="723" xr:uid="{00000000-0005-0000-0000-0000FA3D0000}"/>
    <cellStyle name="Normal 34 4" xfId="320" xr:uid="{00000000-0005-0000-0000-0000FB3D0000}"/>
    <cellStyle name="Normal 34 5" xfId="8794" xr:uid="{00000000-0005-0000-0000-0000FC3D0000}"/>
    <cellStyle name="Normal 35" xfId="72" xr:uid="{00000000-0005-0000-0000-0000FD3D0000}"/>
    <cellStyle name="Normal 35 10" xfId="8795" xr:uid="{00000000-0005-0000-0000-0000FE3D0000}"/>
    <cellStyle name="Normal 35 10 2" xfId="20887" xr:uid="{00000000-0005-0000-0000-0000FF3D0000}"/>
    <cellStyle name="Normal 35 11" xfId="8796" xr:uid="{00000000-0005-0000-0000-0000003E0000}"/>
    <cellStyle name="Normal 35 11 2" xfId="20888" xr:uid="{00000000-0005-0000-0000-0000013E0000}"/>
    <cellStyle name="Normal 35 12" xfId="8797" xr:uid="{00000000-0005-0000-0000-0000023E0000}"/>
    <cellStyle name="Normal 35 12 2" xfId="20889" xr:uid="{00000000-0005-0000-0000-0000033E0000}"/>
    <cellStyle name="Normal 35 13" xfId="8798" xr:uid="{00000000-0005-0000-0000-0000043E0000}"/>
    <cellStyle name="Normal 35 13 2" xfId="20890" xr:uid="{00000000-0005-0000-0000-0000053E0000}"/>
    <cellStyle name="Normal 35 14" xfId="8799" xr:uid="{00000000-0005-0000-0000-0000063E0000}"/>
    <cellStyle name="Normal 35 14 2" xfId="20891" xr:uid="{00000000-0005-0000-0000-0000073E0000}"/>
    <cellStyle name="Normal 35 15" xfId="8800" xr:uid="{00000000-0005-0000-0000-0000083E0000}"/>
    <cellStyle name="Normal 35 15 2" xfId="20892" xr:uid="{00000000-0005-0000-0000-0000093E0000}"/>
    <cellStyle name="Normal 35 16" xfId="8801" xr:uid="{00000000-0005-0000-0000-00000A3E0000}"/>
    <cellStyle name="Normal 35 16 2" xfId="20893" xr:uid="{00000000-0005-0000-0000-00000B3E0000}"/>
    <cellStyle name="Normal 35 17" xfId="8802" xr:uid="{00000000-0005-0000-0000-00000C3E0000}"/>
    <cellStyle name="Normal 35 17 2" xfId="20894" xr:uid="{00000000-0005-0000-0000-00000D3E0000}"/>
    <cellStyle name="Normal 35 18" xfId="8803" xr:uid="{00000000-0005-0000-0000-00000E3E0000}"/>
    <cellStyle name="Normal 35 18 2" xfId="20895" xr:uid="{00000000-0005-0000-0000-00000F3E0000}"/>
    <cellStyle name="Normal 35 19" xfId="8804" xr:uid="{00000000-0005-0000-0000-0000103E0000}"/>
    <cellStyle name="Normal 35 19 2" xfId="20896" xr:uid="{00000000-0005-0000-0000-0000113E0000}"/>
    <cellStyle name="Normal 35 2" xfId="793" xr:uid="{00000000-0005-0000-0000-0000123E0000}"/>
    <cellStyle name="Normal 35 2 2" xfId="20897" xr:uid="{00000000-0005-0000-0000-0000133E0000}"/>
    <cellStyle name="Normal 35 20" xfId="8805" xr:uid="{00000000-0005-0000-0000-0000143E0000}"/>
    <cellStyle name="Normal 35 20 2" xfId="20898" xr:uid="{00000000-0005-0000-0000-0000153E0000}"/>
    <cellStyle name="Normal 35 21" xfId="8806" xr:uid="{00000000-0005-0000-0000-0000163E0000}"/>
    <cellStyle name="Normal 35 21 2" xfId="20899" xr:uid="{00000000-0005-0000-0000-0000173E0000}"/>
    <cellStyle name="Normal 35 22" xfId="8807" xr:uid="{00000000-0005-0000-0000-0000183E0000}"/>
    <cellStyle name="Normal 35 22 2" xfId="20900" xr:uid="{00000000-0005-0000-0000-0000193E0000}"/>
    <cellStyle name="Normal 35 23" xfId="8808" xr:uid="{00000000-0005-0000-0000-00001A3E0000}"/>
    <cellStyle name="Normal 35 23 2" xfId="20901" xr:uid="{00000000-0005-0000-0000-00001B3E0000}"/>
    <cellStyle name="Normal 35 24" xfId="8809" xr:uid="{00000000-0005-0000-0000-00001C3E0000}"/>
    <cellStyle name="Normal 35 24 2" xfId="20902" xr:uid="{00000000-0005-0000-0000-00001D3E0000}"/>
    <cellStyle name="Normal 35 25" xfId="8810" xr:uid="{00000000-0005-0000-0000-00001E3E0000}"/>
    <cellStyle name="Normal 35 25 2" xfId="20903" xr:uid="{00000000-0005-0000-0000-00001F3E0000}"/>
    <cellStyle name="Normal 35 26" xfId="8811" xr:uid="{00000000-0005-0000-0000-0000203E0000}"/>
    <cellStyle name="Normal 35 26 2" xfId="20904" xr:uid="{00000000-0005-0000-0000-0000213E0000}"/>
    <cellStyle name="Normal 35 27" xfId="8812" xr:uid="{00000000-0005-0000-0000-0000223E0000}"/>
    <cellStyle name="Normal 35 27 2" xfId="20905" xr:uid="{00000000-0005-0000-0000-0000233E0000}"/>
    <cellStyle name="Normal 35 28" xfId="8813" xr:uid="{00000000-0005-0000-0000-0000243E0000}"/>
    <cellStyle name="Normal 35 28 2" xfId="20906" xr:uid="{00000000-0005-0000-0000-0000253E0000}"/>
    <cellStyle name="Normal 35 29" xfId="8814" xr:uid="{00000000-0005-0000-0000-0000263E0000}"/>
    <cellStyle name="Normal 35 29 2" xfId="20907" xr:uid="{00000000-0005-0000-0000-0000273E0000}"/>
    <cellStyle name="Normal 35 3" xfId="724" xr:uid="{00000000-0005-0000-0000-0000283E0000}"/>
    <cellStyle name="Normal 35 3 2" xfId="20908" xr:uid="{00000000-0005-0000-0000-0000293E0000}"/>
    <cellStyle name="Normal 35 3 3" xfId="8815" xr:uid="{00000000-0005-0000-0000-00002A3E0000}"/>
    <cellStyle name="Normal 35 30" xfId="8816" xr:uid="{00000000-0005-0000-0000-00002B3E0000}"/>
    <cellStyle name="Normal 35 30 2" xfId="20909" xr:uid="{00000000-0005-0000-0000-00002C3E0000}"/>
    <cellStyle name="Normal 35 31" xfId="8817" xr:uid="{00000000-0005-0000-0000-00002D3E0000}"/>
    <cellStyle name="Normal 35 31 2" xfId="20910" xr:uid="{00000000-0005-0000-0000-00002E3E0000}"/>
    <cellStyle name="Normal 35 32" xfId="8818" xr:uid="{00000000-0005-0000-0000-00002F3E0000}"/>
    <cellStyle name="Normal 35 32 2" xfId="20911" xr:uid="{00000000-0005-0000-0000-0000303E0000}"/>
    <cellStyle name="Normal 35 33" xfId="8819" xr:uid="{00000000-0005-0000-0000-0000313E0000}"/>
    <cellStyle name="Normal 35 33 2" xfId="20912" xr:uid="{00000000-0005-0000-0000-0000323E0000}"/>
    <cellStyle name="Normal 35 34" xfId="8820" xr:uid="{00000000-0005-0000-0000-0000333E0000}"/>
    <cellStyle name="Normal 35 34 2" xfId="20913" xr:uid="{00000000-0005-0000-0000-0000343E0000}"/>
    <cellStyle name="Normal 35 35" xfId="8821" xr:uid="{00000000-0005-0000-0000-0000353E0000}"/>
    <cellStyle name="Normal 35 35 2" xfId="20914" xr:uid="{00000000-0005-0000-0000-0000363E0000}"/>
    <cellStyle name="Normal 35 36" xfId="8822" xr:uid="{00000000-0005-0000-0000-0000373E0000}"/>
    <cellStyle name="Normal 35 36 2" xfId="20915" xr:uid="{00000000-0005-0000-0000-0000383E0000}"/>
    <cellStyle name="Normal 35 37" xfId="8823" xr:uid="{00000000-0005-0000-0000-0000393E0000}"/>
    <cellStyle name="Normal 35 37 2" xfId="20916" xr:uid="{00000000-0005-0000-0000-00003A3E0000}"/>
    <cellStyle name="Normal 35 38" xfId="8824" xr:uid="{00000000-0005-0000-0000-00003B3E0000}"/>
    <cellStyle name="Normal 35 38 2" xfId="20917" xr:uid="{00000000-0005-0000-0000-00003C3E0000}"/>
    <cellStyle name="Normal 35 39" xfId="8825" xr:uid="{00000000-0005-0000-0000-00003D3E0000}"/>
    <cellStyle name="Normal 35 39 2" xfId="20918" xr:uid="{00000000-0005-0000-0000-00003E3E0000}"/>
    <cellStyle name="Normal 35 4" xfId="321" xr:uid="{00000000-0005-0000-0000-00003F3E0000}"/>
    <cellStyle name="Normal 35 4 2" xfId="20919" xr:uid="{00000000-0005-0000-0000-0000403E0000}"/>
    <cellStyle name="Normal 35 40" xfId="8826" xr:uid="{00000000-0005-0000-0000-0000413E0000}"/>
    <cellStyle name="Normal 35 40 2" xfId="20920" xr:uid="{00000000-0005-0000-0000-0000423E0000}"/>
    <cellStyle name="Normal 35 41" xfId="8827" xr:uid="{00000000-0005-0000-0000-0000433E0000}"/>
    <cellStyle name="Normal 35 41 2" xfId="20921" xr:uid="{00000000-0005-0000-0000-0000443E0000}"/>
    <cellStyle name="Normal 35 42" xfId="8828" xr:uid="{00000000-0005-0000-0000-0000453E0000}"/>
    <cellStyle name="Normal 35 42 2" xfId="20922" xr:uid="{00000000-0005-0000-0000-0000463E0000}"/>
    <cellStyle name="Normal 35 43" xfId="8829" xr:uid="{00000000-0005-0000-0000-0000473E0000}"/>
    <cellStyle name="Normal 35 43 2" xfId="20923" xr:uid="{00000000-0005-0000-0000-0000483E0000}"/>
    <cellStyle name="Normal 35 44" xfId="8830" xr:uid="{00000000-0005-0000-0000-0000493E0000}"/>
    <cellStyle name="Normal 35 44 2" xfId="20924" xr:uid="{00000000-0005-0000-0000-00004A3E0000}"/>
    <cellStyle name="Normal 35 45" xfId="8831" xr:uid="{00000000-0005-0000-0000-00004B3E0000}"/>
    <cellStyle name="Normal 35 45 2" xfId="20925" xr:uid="{00000000-0005-0000-0000-00004C3E0000}"/>
    <cellStyle name="Normal 35 46" xfId="8832" xr:uid="{00000000-0005-0000-0000-00004D3E0000}"/>
    <cellStyle name="Normal 35 46 2" xfId="20926" xr:uid="{00000000-0005-0000-0000-00004E3E0000}"/>
    <cellStyle name="Normal 35 47" xfId="8833" xr:uid="{00000000-0005-0000-0000-00004F3E0000}"/>
    <cellStyle name="Normal 35 47 2" xfId="20927" xr:uid="{00000000-0005-0000-0000-0000503E0000}"/>
    <cellStyle name="Normal 35 48" xfId="8834" xr:uid="{00000000-0005-0000-0000-0000513E0000}"/>
    <cellStyle name="Normal 35 48 2" xfId="20928" xr:uid="{00000000-0005-0000-0000-0000523E0000}"/>
    <cellStyle name="Normal 35 49" xfId="8835" xr:uid="{00000000-0005-0000-0000-0000533E0000}"/>
    <cellStyle name="Normal 35 49 2" xfId="20929" xr:uid="{00000000-0005-0000-0000-0000543E0000}"/>
    <cellStyle name="Normal 35 5" xfId="8836" xr:uid="{00000000-0005-0000-0000-0000553E0000}"/>
    <cellStyle name="Normal 35 5 2" xfId="20930" xr:uid="{00000000-0005-0000-0000-0000563E0000}"/>
    <cellStyle name="Normal 35 50" xfId="8837" xr:uid="{00000000-0005-0000-0000-0000573E0000}"/>
    <cellStyle name="Normal 35 50 2" xfId="20931" xr:uid="{00000000-0005-0000-0000-0000583E0000}"/>
    <cellStyle name="Normal 35 51" xfId="8838" xr:uid="{00000000-0005-0000-0000-0000593E0000}"/>
    <cellStyle name="Normal 35 51 2" xfId="20932" xr:uid="{00000000-0005-0000-0000-00005A3E0000}"/>
    <cellStyle name="Normal 35 52" xfId="8839" xr:uid="{00000000-0005-0000-0000-00005B3E0000}"/>
    <cellStyle name="Normal 35 52 2" xfId="20933" xr:uid="{00000000-0005-0000-0000-00005C3E0000}"/>
    <cellStyle name="Normal 35 53" xfId="8840" xr:uid="{00000000-0005-0000-0000-00005D3E0000}"/>
    <cellStyle name="Normal 35 53 2" xfId="20934" xr:uid="{00000000-0005-0000-0000-00005E3E0000}"/>
    <cellStyle name="Normal 35 54" xfId="8841" xr:uid="{00000000-0005-0000-0000-00005F3E0000}"/>
    <cellStyle name="Normal 35 54 2" xfId="20935" xr:uid="{00000000-0005-0000-0000-0000603E0000}"/>
    <cellStyle name="Normal 35 55" xfId="8842" xr:uid="{00000000-0005-0000-0000-0000613E0000}"/>
    <cellStyle name="Normal 35 55 2" xfId="20936" xr:uid="{00000000-0005-0000-0000-0000623E0000}"/>
    <cellStyle name="Normal 35 56" xfId="8843" xr:uid="{00000000-0005-0000-0000-0000633E0000}"/>
    <cellStyle name="Normal 35 56 2" xfId="20937" xr:uid="{00000000-0005-0000-0000-0000643E0000}"/>
    <cellStyle name="Normal 35 57" xfId="8844" xr:uid="{00000000-0005-0000-0000-0000653E0000}"/>
    <cellStyle name="Normal 35 57 2" xfId="20938" xr:uid="{00000000-0005-0000-0000-0000663E0000}"/>
    <cellStyle name="Normal 35 58" xfId="8845" xr:uid="{00000000-0005-0000-0000-0000673E0000}"/>
    <cellStyle name="Normal 35 58 2" xfId="20939" xr:uid="{00000000-0005-0000-0000-0000683E0000}"/>
    <cellStyle name="Normal 35 59" xfId="8846" xr:uid="{00000000-0005-0000-0000-0000693E0000}"/>
    <cellStyle name="Normal 35 59 2" xfId="20940" xr:uid="{00000000-0005-0000-0000-00006A3E0000}"/>
    <cellStyle name="Normal 35 6" xfId="8847" xr:uid="{00000000-0005-0000-0000-00006B3E0000}"/>
    <cellStyle name="Normal 35 6 2" xfId="20941" xr:uid="{00000000-0005-0000-0000-00006C3E0000}"/>
    <cellStyle name="Normal 35 60" xfId="8848" xr:uid="{00000000-0005-0000-0000-00006D3E0000}"/>
    <cellStyle name="Normal 35 60 2" xfId="20942" xr:uid="{00000000-0005-0000-0000-00006E3E0000}"/>
    <cellStyle name="Normal 35 61" xfId="8849" xr:uid="{00000000-0005-0000-0000-00006F3E0000}"/>
    <cellStyle name="Normal 35 61 2" xfId="20943" xr:uid="{00000000-0005-0000-0000-0000703E0000}"/>
    <cellStyle name="Normal 35 62" xfId="8850" xr:uid="{00000000-0005-0000-0000-0000713E0000}"/>
    <cellStyle name="Normal 35 62 2" xfId="20944" xr:uid="{00000000-0005-0000-0000-0000723E0000}"/>
    <cellStyle name="Normal 35 63" xfId="8851" xr:uid="{00000000-0005-0000-0000-0000733E0000}"/>
    <cellStyle name="Normal 35 63 2" xfId="20945" xr:uid="{00000000-0005-0000-0000-0000743E0000}"/>
    <cellStyle name="Normal 35 64" xfId="8852" xr:uid="{00000000-0005-0000-0000-0000753E0000}"/>
    <cellStyle name="Normal 35 64 2" xfId="20946" xr:uid="{00000000-0005-0000-0000-0000763E0000}"/>
    <cellStyle name="Normal 35 65" xfId="8853" xr:uid="{00000000-0005-0000-0000-0000773E0000}"/>
    <cellStyle name="Normal 35 65 2" xfId="20947" xr:uid="{00000000-0005-0000-0000-0000783E0000}"/>
    <cellStyle name="Normal 35 66" xfId="8854" xr:uid="{00000000-0005-0000-0000-0000793E0000}"/>
    <cellStyle name="Normal 35 66 2" xfId="20948" xr:uid="{00000000-0005-0000-0000-00007A3E0000}"/>
    <cellStyle name="Normal 35 67" xfId="8855" xr:uid="{00000000-0005-0000-0000-00007B3E0000}"/>
    <cellStyle name="Normal 35 67 2" xfId="20949" xr:uid="{00000000-0005-0000-0000-00007C3E0000}"/>
    <cellStyle name="Normal 35 68" xfId="8856" xr:uid="{00000000-0005-0000-0000-00007D3E0000}"/>
    <cellStyle name="Normal 35 68 2" xfId="20950" xr:uid="{00000000-0005-0000-0000-00007E3E0000}"/>
    <cellStyle name="Normal 35 69" xfId="8857" xr:uid="{00000000-0005-0000-0000-00007F3E0000}"/>
    <cellStyle name="Normal 35 69 2" xfId="20951" xr:uid="{00000000-0005-0000-0000-0000803E0000}"/>
    <cellStyle name="Normal 35 7" xfId="8858" xr:uid="{00000000-0005-0000-0000-0000813E0000}"/>
    <cellStyle name="Normal 35 7 2" xfId="20952" xr:uid="{00000000-0005-0000-0000-0000823E0000}"/>
    <cellStyle name="Normal 35 70" xfId="8859" xr:uid="{00000000-0005-0000-0000-0000833E0000}"/>
    <cellStyle name="Normal 35 70 2" xfId="20953" xr:uid="{00000000-0005-0000-0000-0000843E0000}"/>
    <cellStyle name="Normal 35 71" xfId="8860" xr:uid="{00000000-0005-0000-0000-0000853E0000}"/>
    <cellStyle name="Normal 35 71 2" xfId="20954" xr:uid="{00000000-0005-0000-0000-0000863E0000}"/>
    <cellStyle name="Normal 35 72" xfId="8861" xr:uid="{00000000-0005-0000-0000-0000873E0000}"/>
    <cellStyle name="Normal 35 72 2" xfId="20955" xr:uid="{00000000-0005-0000-0000-0000883E0000}"/>
    <cellStyle name="Normal 35 73" xfId="8862" xr:uid="{00000000-0005-0000-0000-0000893E0000}"/>
    <cellStyle name="Normal 35 73 2" xfId="20956" xr:uid="{00000000-0005-0000-0000-00008A3E0000}"/>
    <cellStyle name="Normal 35 74" xfId="8863" xr:uid="{00000000-0005-0000-0000-00008B3E0000}"/>
    <cellStyle name="Normal 35 74 2" xfId="20957" xr:uid="{00000000-0005-0000-0000-00008C3E0000}"/>
    <cellStyle name="Normal 35 75" xfId="8864" xr:uid="{00000000-0005-0000-0000-00008D3E0000}"/>
    <cellStyle name="Normal 35 75 2" xfId="20958" xr:uid="{00000000-0005-0000-0000-00008E3E0000}"/>
    <cellStyle name="Normal 35 76" xfId="8865" xr:uid="{00000000-0005-0000-0000-00008F3E0000}"/>
    <cellStyle name="Normal 35 76 2" xfId="20959" xr:uid="{00000000-0005-0000-0000-0000903E0000}"/>
    <cellStyle name="Normal 35 77" xfId="8866" xr:uid="{00000000-0005-0000-0000-0000913E0000}"/>
    <cellStyle name="Normal 35 77 2" xfId="20960" xr:uid="{00000000-0005-0000-0000-0000923E0000}"/>
    <cellStyle name="Normal 35 78" xfId="8867" xr:uid="{00000000-0005-0000-0000-0000933E0000}"/>
    <cellStyle name="Normal 35 78 2" xfId="20961" xr:uid="{00000000-0005-0000-0000-0000943E0000}"/>
    <cellStyle name="Normal 35 79" xfId="8868" xr:uid="{00000000-0005-0000-0000-0000953E0000}"/>
    <cellStyle name="Normal 35 79 2" xfId="20962" xr:uid="{00000000-0005-0000-0000-0000963E0000}"/>
    <cellStyle name="Normal 35 8" xfId="8869" xr:uid="{00000000-0005-0000-0000-0000973E0000}"/>
    <cellStyle name="Normal 35 8 2" xfId="20963" xr:uid="{00000000-0005-0000-0000-0000983E0000}"/>
    <cellStyle name="Normal 35 80" xfId="20886" xr:uid="{00000000-0005-0000-0000-0000993E0000}"/>
    <cellStyle name="Normal 35 9" xfId="8870" xr:uid="{00000000-0005-0000-0000-00009A3E0000}"/>
    <cellStyle name="Normal 35 9 2" xfId="20964" xr:uid="{00000000-0005-0000-0000-00009B3E0000}"/>
    <cellStyle name="Normal 36" xfId="73" xr:uid="{00000000-0005-0000-0000-00009C3E0000}"/>
    <cellStyle name="Normal 36 10" xfId="8871" xr:uid="{00000000-0005-0000-0000-00009D3E0000}"/>
    <cellStyle name="Normal 36 10 2" xfId="20966" xr:uid="{00000000-0005-0000-0000-00009E3E0000}"/>
    <cellStyle name="Normal 36 11" xfId="8872" xr:uid="{00000000-0005-0000-0000-00009F3E0000}"/>
    <cellStyle name="Normal 36 11 2" xfId="20967" xr:uid="{00000000-0005-0000-0000-0000A03E0000}"/>
    <cellStyle name="Normal 36 12" xfId="8873" xr:uid="{00000000-0005-0000-0000-0000A13E0000}"/>
    <cellStyle name="Normal 36 12 2" xfId="20968" xr:uid="{00000000-0005-0000-0000-0000A23E0000}"/>
    <cellStyle name="Normal 36 13" xfId="8874" xr:uid="{00000000-0005-0000-0000-0000A33E0000}"/>
    <cellStyle name="Normal 36 13 2" xfId="20969" xr:uid="{00000000-0005-0000-0000-0000A43E0000}"/>
    <cellStyle name="Normal 36 14" xfId="8875" xr:uid="{00000000-0005-0000-0000-0000A53E0000}"/>
    <cellStyle name="Normal 36 14 2" xfId="20970" xr:uid="{00000000-0005-0000-0000-0000A63E0000}"/>
    <cellStyle name="Normal 36 15" xfId="8876" xr:uid="{00000000-0005-0000-0000-0000A73E0000}"/>
    <cellStyle name="Normal 36 15 2" xfId="20971" xr:uid="{00000000-0005-0000-0000-0000A83E0000}"/>
    <cellStyle name="Normal 36 16" xfId="8877" xr:uid="{00000000-0005-0000-0000-0000A93E0000}"/>
    <cellStyle name="Normal 36 16 2" xfId="20972" xr:uid="{00000000-0005-0000-0000-0000AA3E0000}"/>
    <cellStyle name="Normal 36 17" xfId="8878" xr:uid="{00000000-0005-0000-0000-0000AB3E0000}"/>
    <cellStyle name="Normal 36 17 2" xfId="20973" xr:uid="{00000000-0005-0000-0000-0000AC3E0000}"/>
    <cellStyle name="Normal 36 18" xfId="8879" xr:uid="{00000000-0005-0000-0000-0000AD3E0000}"/>
    <cellStyle name="Normal 36 18 2" xfId="20974" xr:uid="{00000000-0005-0000-0000-0000AE3E0000}"/>
    <cellStyle name="Normal 36 19" xfId="8880" xr:uid="{00000000-0005-0000-0000-0000AF3E0000}"/>
    <cellStyle name="Normal 36 19 2" xfId="20975" xr:uid="{00000000-0005-0000-0000-0000B03E0000}"/>
    <cellStyle name="Normal 36 2" xfId="794" xr:uid="{00000000-0005-0000-0000-0000B13E0000}"/>
    <cellStyle name="Normal 36 2 2" xfId="20976" xr:uid="{00000000-0005-0000-0000-0000B23E0000}"/>
    <cellStyle name="Normal 36 20" xfId="8881" xr:uid="{00000000-0005-0000-0000-0000B33E0000}"/>
    <cellStyle name="Normal 36 20 2" xfId="20977" xr:uid="{00000000-0005-0000-0000-0000B43E0000}"/>
    <cellStyle name="Normal 36 21" xfId="8882" xr:uid="{00000000-0005-0000-0000-0000B53E0000}"/>
    <cellStyle name="Normal 36 21 2" xfId="20978" xr:uid="{00000000-0005-0000-0000-0000B63E0000}"/>
    <cellStyle name="Normal 36 22" xfId="8883" xr:uid="{00000000-0005-0000-0000-0000B73E0000}"/>
    <cellStyle name="Normal 36 22 2" xfId="20979" xr:uid="{00000000-0005-0000-0000-0000B83E0000}"/>
    <cellStyle name="Normal 36 23" xfId="8884" xr:uid="{00000000-0005-0000-0000-0000B93E0000}"/>
    <cellStyle name="Normal 36 23 2" xfId="20980" xr:uid="{00000000-0005-0000-0000-0000BA3E0000}"/>
    <cellStyle name="Normal 36 24" xfId="8885" xr:uid="{00000000-0005-0000-0000-0000BB3E0000}"/>
    <cellStyle name="Normal 36 24 2" xfId="20981" xr:uid="{00000000-0005-0000-0000-0000BC3E0000}"/>
    <cellStyle name="Normal 36 25" xfId="8886" xr:uid="{00000000-0005-0000-0000-0000BD3E0000}"/>
    <cellStyle name="Normal 36 25 2" xfId="20982" xr:uid="{00000000-0005-0000-0000-0000BE3E0000}"/>
    <cellStyle name="Normal 36 26" xfId="8887" xr:uid="{00000000-0005-0000-0000-0000BF3E0000}"/>
    <cellStyle name="Normal 36 26 2" xfId="20983" xr:uid="{00000000-0005-0000-0000-0000C03E0000}"/>
    <cellStyle name="Normal 36 27" xfId="8888" xr:uid="{00000000-0005-0000-0000-0000C13E0000}"/>
    <cellStyle name="Normal 36 27 2" xfId="20984" xr:uid="{00000000-0005-0000-0000-0000C23E0000}"/>
    <cellStyle name="Normal 36 28" xfId="8889" xr:uid="{00000000-0005-0000-0000-0000C33E0000}"/>
    <cellStyle name="Normal 36 28 2" xfId="20985" xr:uid="{00000000-0005-0000-0000-0000C43E0000}"/>
    <cellStyle name="Normal 36 29" xfId="8890" xr:uid="{00000000-0005-0000-0000-0000C53E0000}"/>
    <cellStyle name="Normal 36 29 2" xfId="20986" xr:uid="{00000000-0005-0000-0000-0000C63E0000}"/>
    <cellStyle name="Normal 36 3" xfId="725" xr:uid="{00000000-0005-0000-0000-0000C73E0000}"/>
    <cellStyle name="Normal 36 3 2" xfId="20987" xr:uid="{00000000-0005-0000-0000-0000C83E0000}"/>
    <cellStyle name="Normal 36 3 3" xfId="8891" xr:uid="{00000000-0005-0000-0000-0000C93E0000}"/>
    <cellStyle name="Normal 36 30" xfId="8892" xr:uid="{00000000-0005-0000-0000-0000CA3E0000}"/>
    <cellStyle name="Normal 36 30 2" xfId="20988" xr:uid="{00000000-0005-0000-0000-0000CB3E0000}"/>
    <cellStyle name="Normal 36 31" xfId="8893" xr:uid="{00000000-0005-0000-0000-0000CC3E0000}"/>
    <cellStyle name="Normal 36 31 2" xfId="20989" xr:uid="{00000000-0005-0000-0000-0000CD3E0000}"/>
    <cellStyle name="Normal 36 32" xfId="8894" xr:uid="{00000000-0005-0000-0000-0000CE3E0000}"/>
    <cellStyle name="Normal 36 32 2" xfId="20990" xr:uid="{00000000-0005-0000-0000-0000CF3E0000}"/>
    <cellStyle name="Normal 36 33" xfId="8895" xr:uid="{00000000-0005-0000-0000-0000D03E0000}"/>
    <cellStyle name="Normal 36 33 2" xfId="20991" xr:uid="{00000000-0005-0000-0000-0000D13E0000}"/>
    <cellStyle name="Normal 36 34" xfId="8896" xr:uid="{00000000-0005-0000-0000-0000D23E0000}"/>
    <cellStyle name="Normal 36 34 2" xfId="20992" xr:uid="{00000000-0005-0000-0000-0000D33E0000}"/>
    <cellStyle name="Normal 36 35" xfId="8897" xr:uid="{00000000-0005-0000-0000-0000D43E0000}"/>
    <cellStyle name="Normal 36 35 2" xfId="20993" xr:uid="{00000000-0005-0000-0000-0000D53E0000}"/>
    <cellStyle name="Normal 36 36" xfId="8898" xr:uid="{00000000-0005-0000-0000-0000D63E0000}"/>
    <cellStyle name="Normal 36 36 2" xfId="20994" xr:uid="{00000000-0005-0000-0000-0000D73E0000}"/>
    <cellStyle name="Normal 36 37" xfId="8899" xr:uid="{00000000-0005-0000-0000-0000D83E0000}"/>
    <cellStyle name="Normal 36 37 2" xfId="20995" xr:uid="{00000000-0005-0000-0000-0000D93E0000}"/>
    <cellStyle name="Normal 36 38" xfId="8900" xr:uid="{00000000-0005-0000-0000-0000DA3E0000}"/>
    <cellStyle name="Normal 36 38 2" xfId="20996" xr:uid="{00000000-0005-0000-0000-0000DB3E0000}"/>
    <cellStyle name="Normal 36 39" xfId="8901" xr:uid="{00000000-0005-0000-0000-0000DC3E0000}"/>
    <cellStyle name="Normal 36 39 2" xfId="20997" xr:uid="{00000000-0005-0000-0000-0000DD3E0000}"/>
    <cellStyle name="Normal 36 4" xfId="322" xr:uid="{00000000-0005-0000-0000-0000DE3E0000}"/>
    <cellStyle name="Normal 36 4 2" xfId="20998" xr:uid="{00000000-0005-0000-0000-0000DF3E0000}"/>
    <cellStyle name="Normal 36 40" xfId="8902" xr:uid="{00000000-0005-0000-0000-0000E03E0000}"/>
    <cellStyle name="Normal 36 40 2" xfId="20999" xr:uid="{00000000-0005-0000-0000-0000E13E0000}"/>
    <cellStyle name="Normal 36 41" xfId="8903" xr:uid="{00000000-0005-0000-0000-0000E23E0000}"/>
    <cellStyle name="Normal 36 41 2" xfId="21000" xr:uid="{00000000-0005-0000-0000-0000E33E0000}"/>
    <cellStyle name="Normal 36 42" xfId="8904" xr:uid="{00000000-0005-0000-0000-0000E43E0000}"/>
    <cellStyle name="Normal 36 42 2" xfId="21001" xr:uid="{00000000-0005-0000-0000-0000E53E0000}"/>
    <cellStyle name="Normal 36 43" xfId="8905" xr:uid="{00000000-0005-0000-0000-0000E63E0000}"/>
    <cellStyle name="Normal 36 43 2" xfId="21002" xr:uid="{00000000-0005-0000-0000-0000E73E0000}"/>
    <cellStyle name="Normal 36 44" xfId="8906" xr:uid="{00000000-0005-0000-0000-0000E83E0000}"/>
    <cellStyle name="Normal 36 44 2" xfId="21003" xr:uid="{00000000-0005-0000-0000-0000E93E0000}"/>
    <cellStyle name="Normal 36 45" xfId="8907" xr:uid="{00000000-0005-0000-0000-0000EA3E0000}"/>
    <cellStyle name="Normal 36 45 2" xfId="21004" xr:uid="{00000000-0005-0000-0000-0000EB3E0000}"/>
    <cellStyle name="Normal 36 46" xfId="8908" xr:uid="{00000000-0005-0000-0000-0000EC3E0000}"/>
    <cellStyle name="Normal 36 46 2" xfId="21005" xr:uid="{00000000-0005-0000-0000-0000ED3E0000}"/>
    <cellStyle name="Normal 36 47" xfId="8909" xr:uid="{00000000-0005-0000-0000-0000EE3E0000}"/>
    <cellStyle name="Normal 36 47 2" xfId="21006" xr:uid="{00000000-0005-0000-0000-0000EF3E0000}"/>
    <cellStyle name="Normal 36 48" xfId="8910" xr:uid="{00000000-0005-0000-0000-0000F03E0000}"/>
    <cellStyle name="Normal 36 48 2" xfId="21007" xr:uid="{00000000-0005-0000-0000-0000F13E0000}"/>
    <cellStyle name="Normal 36 49" xfId="8911" xr:uid="{00000000-0005-0000-0000-0000F23E0000}"/>
    <cellStyle name="Normal 36 49 2" xfId="21008" xr:uid="{00000000-0005-0000-0000-0000F33E0000}"/>
    <cellStyle name="Normal 36 5" xfId="8912" xr:uid="{00000000-0005-0000-0000-0000F43E0000}"/>
    <cellStyle name="Normal 36 5 2" xfId="21009" xr:uid="{00000000-0005-0000-0000-0000F53E0000}"/>
    <cellStyle name="Normal 36 50" xfId="8913" xr:uid="{00000000-0005-0000-0000-0000F63E0000}"/>
    <cellStyle name="Normal 36 50 2" xfId="21010" xr:uid="{00000000-0005-0000-0000-0000F73E0000}"/>
    <cellStyle name="Normal 36 51" xfId="8914" xr:uid="{00000000-0005-0000-0000-0000F83E0000}"/>
    <cellStyle name="Normal 36 51 2" xfId="21011" xr:uid="{00000000-0005-0000-0000-0000F93E0000}"/>
    <cellStyle name="Normal 36 52" xfId="8915" xr:uid="{00000000-0005-0000-0000-0000FA3E0000}"/>
    <cellStyle name="Normal 36 52 2" xfId="21012" xr:uid="{00000000-0005-0000-0000-0000FB3E0000}"/>
    <cellStyle name="Normal 36 53" xfId="8916" xr:uid="{00000000-0005-0000-0000-0000FC3E0000}"/>
    <cellStyle name="Normal 36 53 2" xfId="21013" xr:uid="{00000000-0005-0000-0000-0000FD3E0000}"/>
    <cellStyle name="Normal 36 54" xfId="8917" xr:uid="{00000000-0005-0000-0000-0000FE3E0000}"/>
    <cellStyle name="Normal 36 54 2" xfId="21014" xr:uid="{00000000-0005-0000-0000-0000FF3E0000}"/>
    <cellStyle name="Normal 36 55" xfId="8918" xr:uid="{00000000-0005-0000-0000-0000003F0000}"/>
    <cellStyle name="Normal 36 55 2" xfId="21015" xr:uid="{00000000-0005-0000-0000-0000013F0000}"/>
    <cellStyle name="Normal 36 56" xfId="8919" xr:uid="{00000000-0005-0000-0000-0000023F0000}"/>
    <cellStyle name="Normal 36 56 2" xfId="21016" xr:uid="{00000000-0005-0000-0000-0000033F0000}"/>
    <cellStyle name="Normal 36 57" xfId="8920" xr:uid="{00000000-0005-0000-0000-0000043F0000}"/>
    <cellStyle name="Normal 36 57 2" xfId="21017" xr:uid="{00000000-0005-0000-0000-0000053F0000}"/>
    <cellStyle name="Normal 36 58" xfId="8921" xr:uid="{00000000-0005-0000-0000-0000063F0000}"/>
    <cellStyle name="Normal 36 58 2" xfId="21018" xr:uid="{00000000-0005-0000-0000-0000073F0000}"/>
    <cellStyle name="Normal 36 59" xfId="8922" xr:uid="{00000000-0005-0000-0000-0000083F0000}"/>
    <cellStyle name="Normal 36 59 2" xfId="21019" xr:uid="{00000000-0005-0000-0000-0000093F0000}"/>
    <cellStyle name="Normal 36 6" xfId="8923" xr:uid="{00000000-0005-0000-0000-00000A3F0000}"/>
    <cellStyle name="Normal 36 6 2" xfId="21020" xr:uid="{00000000-0005-0000-0000-00000B3F0000}"/>
    <cellStyle name="Normal 36 60" xfId="8924" xr:uid="{00000000-0005-0000-0000-00000C3F0000}"/>
    <cellStyle name="Normal 36 60 2" xfId="21021" xr:uid="{00000000-0005-0000-0000-00000D3F0000}"/>
    <cellStyle name="Normal 36 61" xfId="8925" xr:uid="{00000000-0005-0000-0000-00000E3F0000}"/>
    <cellStyle name="Normal 36 61 2" xfId="21022" xr:uid="{00000000-0005-0000-0000-00000F3F0000}"/>
    <cellStyle name="Normal 36 62" xfId="8926" xr:uid="{00000000-0005-0000-0000-0000103F0000}"/>
    <cellStyle name="Normal 36 62 2" xfId="21023" xr:uid="{00000000-0005-0000-0000-0000113F0000}"/>
    <cellStyle name="Normal 36 63" xfId="8927" xr:uid="{00000000-0005-0000-0000-0000123F0000}"/>
    <cellStyle name="Normal 36 63 2" xfId="21024" xr:uid="{00000000-0005-0000-0000-0000133F0000}"/>
    <cellStyle name="Normal 36 64" xfId="8928" xr:uid="{00000000-0005-0000-0000-0000143F0000}"/>
    <cellStyle name="Normal 36 64 2" xfId="21025" xr:uid="{00000000-0005-0000-0000-0000153F0000}"/>
    <cellStyle name="Normal 36 65" xfId="8929" xr:uid="{00000000-0005-0000-0000-0000163F0000}"/>
    <cellStyle name="Normal 36 65 2" xfId="21026" xr:uid="{00000000-0005-0000-0000-0000173F0000}"/>
    <cellStyle name="Normal 36 66" xfId="8930" xr:uid="{00000000-0005-0000-0000-0000183F0000}"/>
    <cellStyle name="Normal 36 66 2" xfId="21027" xr:uid="{00000000-0005-0000-0000-0000193F0000}"/>
    <cellStyle name="Normal 36 67" xfId="8931" xr:uid="{00000000-0005-0000-0000-00001A3F0000}"/>
    <cellStyle name="Normal 36 67 2" xfId="21028" xr:uid="{00000000-0005-0000-0000-00001B3F0000}"/>
    <cellStyle name="Normal 36 68" xfId="8932" xr:uid="{00000000-0005-0000-0000-00001C3F0000}"/>
    <cellStyle name="Normal 36 68 2" xfId="21029" xr:uid="{00000000-0005-0000-0000-00001D3F0000}"/>
    <cellStyle name="Normal 36 69" xfId="8933" xr:uid="{00000000-0005-0000-0000-00001E3F0000}"/>
    <cellStyle name="Normal 36 69 2" xfId="21030" xr:uid="{00000000-0005-0000-0000-00001F3F0000}"/>
    <cellStyle name="Normal 36 7" xfId="8934" xr:uid="{00000000-0005-0000-0000-0000203F0000}"/>
    <cellStyle name="Normal 36 7 2" xfId="21031" xr:uid="{00000000-0005-0000-0000-0000213F0000}"/>
    <cellStyle name="Normal 36 70" xfId="8935" xr:uid="{00000000-0005-0000-0000-0000223F0000}"/>
    <cellStyle name="Normal 36 70 2" xfId="21032" xr:uid="{00000000-0005-0000-0000-0000233F0000}"/>
    <cellStyle name="Normal 36 71" xfId="8936" xr:uid="{00000000-0005-0000-0000-0000243F0000}"/>
    <cellStyle name="Normal 36 71 2" xfId="21033" xr:uid="{00000000-0005-0000-0000-0000253F0000}"/>
    <cellStyle name="Normal 36 72" xfId="8937" xr:uid="{00000000-0005-0000-0000-0000263F0000}"/>
    <cellStyle name="Normal 36 72 2" xfId="21034" xr:uid="{00000000-0005-0000-0000-0000273F0000}"/>
    <cellStyle name="Normal 36 73" xfId="8938" xr:uid="{00000000-0005-0000-0000-0000283F0000}"/>
    <cellStyle name="Normal 36 73 2" xfId="21035" xr:uid="{00000000-0005-0000-0000-0000293F0000}"/>
    <cellStyle name="Normal 36 74" xfId="8939" xr:uid="{00000000-0005-0000-0000-00002A3F0000}"/>
    <cellStyle name="Normal 36 74 2" xfId="21036" xr:uid="{00000000-0005-0000-0000-00002B3F0000}"/>
    <cellStyle name="Normal 36 75" xfId="8940" xr:uid="{00000000-0005-0000-0000-00002C3F0000}"/>
    <cellStyle name="Normal 36 75 2" xfId="21037" xr:uid="{00000000-0005-0000-0000-00002D3F0000}"/>
    <cellStyle name="Normal 36 76" xfId="8941" xr:uid="{00000000-0005-0000-0000-00002E3F0000}"/>
    <cellStyle name="Normal 36 76 2" xfId="21038" xr:uid="{00000000-0005-0000-0000-00002F3F0000}"/>
    <cellStyle name="Normal 36 77" xfId="8942" xr:uid="{00000000-0005-0000-0000-0000303F0000}"/>
    <cellStyle name="Normal 36 77 2" xfId="21039" xr:uid="{00000000-0005-0000-0000-0000313F0000}"/>
    <cellStyle name="Normal 36 78" xfId="8943" xr:uid="{00000000-0005-0000-0000-0000323F0000}"/>
    <cellStyle name="Normal 36 78 2" xfId="21040" xr:uid="{00000000-0005-0000-0000-0000333F0000}"/>
    <cellStyle name="Normal 36 79" xfId="8944" xr:uid="{00000000-0005-0000-0000-0000343F0000}"/>
    <cellStyle name="Normal 36 79 2" xfId="21041" xr:uid="{00000000-0005-0000-0000-0000353F0000}"/>
    <cellStyle name="Normal 36 8" xfId="8945" xr:uid="{00000000-0005-0000-0000-0000363F0000}"/>
    <cellStyle name="Normal 36 8 2" xfId="21042" xr:uid="{00000000-0005-0000-0000-0000373F0000}"/>
    <cellStyle name="Normal 36 80" xfId="20965" xr:uid="{00000000-0005-0000-0000-0000383F0000}"/>
    <cellStyle name="Normal 36 9" xfId="8946" xr:uid="{00000000-0005-0000-0000-0000393F0000}"/>
    <cellStyle name="Normal 36 9 2" xfId="21043" xr:uid="{00000000-0005-0000-0000-00003A3F0000}"/>
    <cellStyle name="Normal 37" xfId="146" xr:uid="{00000000-0005-0000-0000-00003B3F0000}"/>
    <cellStyle name="Normal 37 10" xfId="8947" xr:uid="{00000000-0005-0000-0000-00003C3F0000}"/>
    <cellStyle name="Normal 37 10 2" xfId="21045" xr:uid="{00000000-0005-0000-0000-00003D3F0000}"/>
    <cellStyle name="Normal 37 11" xfId="8948" xr:uid="{00000000-0005-0000-0000-00003E3F0000}"/>
    <cellStyle name="Normal 37 11 2" xfId="21046" xr:uid="{00000000-0005-0000-0000-00003F3F0000}"/>
    <cellStyle name="Normal 37 12" xfId="8949" xr:uid="{00000000-0005-0000-0000-0000403F0000}"/>
    <cellStyle name="Normal 37 12 2" xfId="21047" xr:uid="{00000000-0005-0000-0000-0000413F0000}"/>
    <cellStyle name="Normal 37 13" xfId="8950" xr:uid="{00000000-0005-0000-0000-0000423F0000}"/>
    <cellStyle name="Normal 37 13 2" xfId="21048" xr:uid="{00000000-0005-0000-0000-0000433F0000}"/>
    <cellStyle name="Normal 37 14" xfId="8951" xr:uid="{00000000-0005-0000-0000-0000443F0000}"/>
    <cellStyle name="Normal 37 14 2" xfId="21049" xr:uid="{00000000-0005-0000-0000-0000453F0000}"/>
    <cellStyle name="Normal 37 15" xfId="8952" xr:uid="{00000000-0005-0000-0000-0000463F0000}"/>
    <cellStyle name="Normal 37 15 2" xfId="21050" xr:uid="{00000000-0005-0000-0000-0000473F0000}"/>
    <cellStyle name="Normal 37 16" xfId="8953" xr:uid="{00000000-0005-0000-0000-0000483F0000}"/>
    <cellStyle name="Normal 37 16 2" xfId="21051" xr:uid="{00000000-0005-0000-0000-0000493F0000}"/>
    <cellStyle name="Normal 37 17" xfId="8954" xr:uid="{00000000-0005-0000-0000-00004A3F0000}"/>
    <cellStyle name="Normal 37 17 2" xfId="21052" xr:uid="{00000000-0005-0000-0000-00004B3F0000}"/>
    <cellStyle name="Normal 37 18" xfId="8955" xr:uid="{00000000-0005-0000-0000-00004C3F0000}"/>
    <cellStyle name="Normal 37 18 2" xfId="21053" xr:uid="{00000000-0005-0000-0000-00004D3F0000}"/>
    <cellStyle name="Normal 37 19" xfId="8956" xr:uid="{00000000-0005-0000-0000-00004E3F0000}"/>
    <cellStyle name="Normal 37 19 2" xfId="21054" xr:uid="{00000000-0005-0000-0000-00004F3F0000}"/>
    <cellStyle name="Normal 37 2" xfId="169" xr:uid="{00000000-0005-0000-0000-0000503F0000}"/>
    <cellStyle name="Normal 37 2 2" xfId="21055" xr:uid="{00000000-0005-0000-0000-0000513F0000}"/>
    <cellStyle name="Normal 37 2 3" xfId="8957" xr:uid="{00000000-0005-0000-0000-0000523F0000}"/>
    <cellStyle name="Normal 37 20" xfId="8958" xr:uid="{00000000-0005-0000-0000-0000533F0000}"/>
    <cellStyle name="Normal 37 20 2" xfId="21056" xr:uid="{00000000-0005-0000-0000-0000543F0000}"/>
    <cellStyle name="Normal 37 21" xfId="8959" xr:uid="{00000000-0005-0000-0000-0000553F0000}"/>
    <cellStyle name="Normal 37 21 2" xfId="21057" xr:uid="{00000000-0005-0000-0000-0000563F0000}"/>
    <cellStyle name="Normal 37 22" xfId="8960" xr:uid="{00000000-0005-0000-0000-0000573F0000}"/>
    <cellStyle name="Normal 37 22 2" xfId="21058" xr:uid="{00000000-0005-0000-0000-0000583F0000}"/>
    <cellStyle name="Normal 37 23" xfId="8961" xr:uid="{00000000-0005-0000-0000-0000593F0000}"/>
    <cellStyle name="Normal 37 23 2" xfId="21059" xr:uid="{00000000-0005-0000-0000-00005A3F0000}"/>
    <cellStyle name="Normal 37 24" xfId="8962" xr:uid="{00000000-0005-0000-0000-00005B3F0000}"/>
    <cellStyle name="Normal 37 24 2" xfId="21060" xr:uid="{00000000-0005-0000-0000-00005C3F0000}"/>
    <cellStyle name="Normal 37 25" xfId="8963" xr:uid="{00000000-0005-0000-0000-00005D3F0000}"/>
    <cellStyle name="Normal 37 25 2" xfId="21061" xr:uid="{00000000-0005-0000-0000-00005E3F0000}"/>
    <cellStyle name="Normal 37 26" xfId="8964" xr:uid="{00000000-0005-0000-0000-00005F3F0000}"/>
    <cellStyle name="Normal 37 26 2" xfId="21062" xr:uid="{00000000-0005-0000-0000-0000603F0000}"/>
    <cellStyle name="Normal 37 27" xfId="8965" xr:uid="{00000000-0005-0000-0000-0000613F0000}"/>
    <cellStyle name="Normal 37 27 2" xfId="21063" xr:uid="{00000000-0005-0000-0000-0000623F0000}"/>
    <cellStyle name="Normal 37 28" xfId="8966" xr:uid="{00000000-0005-0000-0000-0000633F0000}"/>
    <cellStyle name="Normal 37 28 2" xfId="21064" xr:uid="{00000000-0005-0000-0000-0000643F0000}"/>
    <cellStyle name="Normal 37 29" xfId="8967" xr:uid="{00000000-0005-0000-0000-0000653F0000}"/>
    <cellStyle name="Normal 37 29 2" xfId="21065" xr:uid="{00000000-0005-0000-0000-0000663F0000}"/>
    <cellStyle name="Normal 37 3" xfId="795" xr:uid="{00000000-0005-0000-0000-0000673F0000}"/>
    <cellStyle name="Normal 37 3 2" xfId="21066" xr:uid="{00000000-0005-0000-0000-0000683F0000}"/>
    <cellStyle name="Normal 37 30" xfId="8968" xr:uid="{00000000-0005-0000-0000-0000693F0000}"/>
    <cellStyle name="Normal 37 30 2" xfId="21067" xr:uid="{00000000-0005-0000-0000-00006A3F0000}"/>
    <cellStyle name="Normal 37 31" xfId="8969" xr:uid="{00000000-0005-0000-0000-00006B3F0000}"/>
    <cellStyle name="Normal 37 31 2" xfId="21068" xr:uid="{00000000-0005-0000-0000-00006C3F0000}"/>
    <cellStyle name="Normal 37 32" xfId="8970" xr:uid="{00000000-0005-0000-0000-00006D3F0000}"/>
    <cellStyle name="Normal 37 32 2" xfId="21069" xr:uid="{00000000-0005-0000-0000-00006E3F0000}"/>
    <cellStyle name="Normal 37 33" xfId="8971" xr:uid="{00000000-0005-0000-0000-00006F3F0000}"/>
    <cellStyle name="Normal 37 33 2" xfId="21070" xr:uid="{00000000-0005-0000-0000-0000703F0000}"/>
    <cellStyle name="Normal 37 34" xfId="8972" xr:uid="{00000000-0005-0000-0000-0000713F0000}"/>
    <cellStyle name="Normal 37 34 2" xfId="21071" xr:uid="{00000000-0005-0000-0000-0000723F0000}"/>
    <cellStyle name="Normal 37 35" xfId="8973" xr:uid="{00000000-0005-0000-0000-0000733F0000}"/>
    <cellStyle name="Normal 37 35 2" xfId="21072" xr:uid="{00000000-0005-0000-0000-0000743F0000}"/>
    <cellStyle name="Normal 37 36" xfId="8974" xr:uid="{00000000-0005-0000-0000-0000753F0000}"/>
    <cellStyle name="Normal 37 36 2" xfId="21073" xr:uid="{00000000-0005-0000-0000-0000763F0000}"/>
    <cellStyle name="Normal 37 37" xfId="8975" xr:uid="{00000000-0005-0000-0000-0000773F0000}"/>
    <cellStyle name="Normal 37 37 2" xfId="21074" xr:uid="{00000000-0005-0000-0000-0000783F0000}"/>
    <cellStyle name="Normal 37 38" xfId="8976" xr:uid="{00000000-0005-0000-0000-0000793F0000}"/>
    <cellStyle name="Normal 37 38 2" xfId="21075" xr:uid="{00000000-0005-0000-0000-00007A3F0000}"/>
    <cellStyle name="Normal 37 39" xfId="8977" xr:uid="{00000000-0005-0000-0000-00007B3F0000}"/>
    <cellStyle name="Normal 37 39 2" xfId="21076" xr:uid="{00000000-0005-0000-0000-00007C3F0000}"/>
    <cellStyle name="Normal 37 4" xfId="726" xr:uid="{00000000-0005-0000-0000-00007D3F0000}"/>
    <cellStyle name="Normal 37 4 2" xfId="21077" xr:uid="{00000000-0005-0000-0000-00007E3F0000}"/>
    <cellStyle name="Normal 37 4 3" xfId="8978" xr:uid="{00000000-0005-0000-0000-00007F3F0000}"/>
    <cellStyle name="Normal 37 40" xfId="8979" xr:uid="{00000000-0005-0000-0000-0000803F0000}"/>
    <cellStyle name="Normal 37 40 2" xfId="21078" xr:uid="{00000000-0005-0000-0000-0000813F0000}"/>
    <cellStyle name="Normal 37 41" xfId="8980" xr:uid="{00000000-0005-0000-0000-0000823F0000}"/>
    <cellStyle name="Normal 37 41 2" xfId="21079" xr:uid="{00000000-0005-0000-0000-0000833F0000}"/>
    <cellStyle name="Normal 37 42" xfId="8981" xr:uid="{00000000-0005-0000-0000-0000843F0000}"/>
    <cellStyle name="Normal 37 42 2" xfId="21080" xr:uid="{00000000-0005-0000-0000-0000853F0000}"/>
    <cellStyle name="Normal 37 43" xfId="8982" xr:uid="{00000000-0005-0000-0000-0000863F0000}"/>
    <cellStyle name="Normal 37 43 2" xfId="21081" xr:uid="{00000000-0005-0000-0000-0000873F0000}"/>
    <cellStyle name="Normal 37 44" xfId="8983" xr:uid="{00000000-0005-0000-0000-0000883F0000}"/>
    <cellStyle name="Normal 37 44 2" xfId="21082" xr:uid="{00000000-0005-0000-0000-0000893F0000}"/>
    <cellStyle name="Normal 37 45" xfId="8984" xr:uid="{00000000-0005-0000-0000-00008A3F0000}"/>
    <cellStyle name="Normal 37 45 2" xfId="21083" xr:uid="{00000000-0005-0000-0000-00008B3F0000}"/>
    <cellStyle name="Normal 37 46" xfId="8985" xr:uid="{00000000-0005-0000-0000-00008C3F0000}"/>
    <cellStyle name="Normal 37 46 2" xfId="21084" xr:uid="{00000000-0005-0000-0000-00008D3F0000}"/>
    <cellStyle name="Normal 37 47" xfId="8986" xr:uid="{00000000-0005-0000-0000-00008E3F0000}"/>
    <cellStyle name="Normal 37 47 2" xfId="21085" xr:uid="{00000000-0005-0000-0000-00008F3F0000}"/>
    <cellStyle name="Normal 37 48" xfId="8987" xr:uid="{00000000-0005-0000-0000-0000903F0000}"/>
    <cellStyle name="Normal 37 48 2" xfId="21086" xr:uid="{00000000-0005-0000-0000-0000913F0000}"/>
    <cellStyle name="Normal 37 49" xfId="8988" xr:uid="{00000000-0005-0000-0000-0000923F0000}"/>
    <cellStyle name="Normal 37 49 2" xfId="21087" xr:uid="{00000000-0005-0000-0000-0000933F0000}"/>
    <cellStyle name="Normal 37 5" xfId="323" xr:uid="{00000000-0005-0000-0000-0000943F0000}"/>
    <cellStyle name="Normal 37 5 2" xfId="21088" xr:uid="{00000000-0005-0000-0000-0000953F0000}"/>
    <cellStyle name="Normal 37 50" xfId="8989" xr:uid="{00000000-0005-0000-0000-0000963F0000}"/>
    <cellStyle name="Normal 37 50 2" xfId="21089" xr:uid="{00000000-0005-0000-0000-0000973F0000}"/>
    <cellStyle name="Normal 37 51" xfId="8990" xr:uid="{00000000-0005-0000-0000-0000983F0000}"/>
    <cellStyle name="Normal 37 51 2" xfId="21090" xr:uid="{00000000-0005-0000-0000-0000993F0000}"/>
    <cellStyle name="Normal 37 52" xfId="8991" xr:uid="{00000000-0005-0000-0000-00009A3F0000}"/>
    <cellStyle name="Normal 37 52 2" xfId="21091" xr:uid="{00000000-0005-0000-0000-00009B3F0000}"/>
    <cellStyle name="Normal 37 53" xfId="8992" xr:uid="{00000000-0005-0000-0000-00009C3F0000}"/>
    <cellStyle name="Normal 37 53 2" xfId="21092" xr:uid="{00000000-0005-0000-0000-00009D3F0000}"/>
    <cellStyle name="Normal 37 54" xfId="8993" xr:uid="{00000000-0005-0000-0000-00009E3F0000}"/>
    <cellStyle name="Normal 37 54 2" xfId="21093" xr:uid="{00000000-0005-0000-0000-00009F3F0000}"/>
    <cellStyle name="Normal 37 55" xfId="8994" xr:uid="{00000000-0005-0000-0000-0000A03F0000}"/>
    <cellStyle name="Normal 37 55 2" xfId="21094" xr:uid="{00000000-0005-0000-0000-0000A13F0000}"/>
    <cellStyle name="Normal 37 56" xfId="8995" xr:uid="{00000000-0005-0000-0000-0000A23F0000}"/>
    <cellStyle name="Normal 37 56 2" xfId="21095" xr:uid="{00000000-0005-0000-0000-0000A33F0000}"/>
    <cellStyle name="Normal 37 57" xfId="8996" xr:uid="{00000000-0005-0000-0000-0000A43F0000}"/>
    <cellStyle name="Normal 37 57 2" xfId="21096" xr:uid="{00000000-0005-0000-0000-0000A53F0000}"/>
    <cellStyle name="Normal 37 58" xfId="8997" xr:uid="{00000000-0005-0000-0000-0000A63F0000}"/>
    <cellStyle name="Normal 37 58 2" xfId="21097" xr:uid="{00000000-0005-0000-0000-0000A73F0000}"/>
    <cellStyle name="Normal 37 59" xfId="8998" xr:uid="{00000000-0005-0000-0000-0000A83F0000}"/>
    <cellStyle name="Normal 37 59 2" xfId="21098" xr:uid="{00000000-0005-0000-0000-0000A93F0000}"/>
    <cellStyle name="Normal 37 6" xfId="8999" xr:uid="{00000000-0005-0000-0000-0000AA3F0000}"/>
    <cellStyle name="Normal 37 6 2" xfId="21099" xr:uid="{00000000-0005-0000-0000-0000AB3F0000}"/>
    <cellStyle name="Normal 37 60" xfId="9000" xr:uid="{00000000-0005-0000-0000-0000AC3F0000}"/>
    <cellStyle name="Normal 37 60 2" xfId="21100" xr:uid="{00000000-0005-0000-0000-0000AD3F0000}"/>
    <cellStyle name="Normal 37 61" xfId="9001" xr:uid="{00000000-0005-0000-0000-0000AE3F0000}"/>
    <cellStyle name="Normal 37 61 2" xfId="21101" xr:uid="{00000000-0005-0000-0000-0000AF3F0000}"/>
    <cellStyle name="Normal 37 62" xfId="9002" xr:uid="{00000000-0005-0000-0000-0000B03F0000}"/>
    <cellStyle name="Normal 37 62 2" xfId="21102" xr:uid="{00000000-0005-0000-0000-0000B13F0000}"/>
    <cellStyle name="Normal 37 63" xfId="9003" xr:uid="{00000000-0005-0000-0000-0000B23F0000}"/>
    <cellStyle name="Normal 37 63 2" xfId="21103" xr:uid="{00000000-0005-0000-0000-0000B33F0000}"/>
    <cellStyle name="Normal 37 64" xfId="9004" xr:uid="{00000000-0005-0000-0000-0000B43F0000}"/>
    <cellStyle name="Normal 37 64 2" xfId="21104" xr:uid="{00000000-0005-0000-0000-0000B53F0000}"/>
    <cellStyle name="Normal 37 65" xfId="9005" xr:uid="{00000000-0005-0000-0000-0000B63F0000}"/>
    <cellStyle name="Normal 37 65 2" xfId="21105" xr:uid="{00000000-0005-0000-0000-0000B73F0000}"/>
    <cellStyle name="Normal 37 66" xfId="9006" xr:uid="{00000000-0005-0000-0000-0000B83F0000}"/>
    <cellStyle name="Normal 37 66 2" xfId="21106" xr:uid="{00000000-0005-0000-0000-0000B93F0000}"/>
    <cellStyle name="Normal 37 67" xfId="9007" xr:uid="{00000000-0005-0000-0000-0000BA3F0000}"/>
    <cellStyle name="Normal 37 67 2" xfId="21107" xr:uid="{00000000-0005-0000-0000-0000BB3F0000}"/>
    <cellStyle name="Normal 37 68" xfId="9008" xr:uid="{00000000-0005-0000-0000-0000BC3F0000}"/>
    <cellStyle name="Normal 37 68 2" xfId="21108" xr:uid="{00000000-0005-0000-0000-0000BD3F0000}"/>
    <cellStyle name="Normal 37 69" xfId="9009" xr:uid="{00000000-0005-0000-0000-0000BE3F0000}"/>
    <cellStyle name="Normal 37 69 2" xfId="21109" xr:uid="{00000000-0005-0000-0000-0000BF3F0000}"/>
    <cellStyle name="Normal 37 7" xfId="9010" xr:uid="{00000000-0005-0000-0000-0000C03F0000}"/>
    <cellStyle name="Normal 37 7 2" xfId="21110" xr:uid="{00000000-0005-0000-0000-0000C13F0000}"/>
    <cellStyle name="Normal 37 70" xfId="9011" xr:uid="{00000000-0005-0000-0000-0000C23F0000}"/>
    <cellStyle name="Normal 37 70 2" xfId="21111" xr:uid="{00000000-0005-0000-0000-0000C33F0000}"/>
    <cellStyle name="Normal 37 71" xfId="9012" xr:uid="{00000000-0005-0000-0000-0000C43F0000}"/>
    <cellStyle name="Normal 37 71 2" xfId="21112" xr:uid="{00000000-0005-0000-0000-0000C53F0000}"/>
    <cellStyle name="Normal 37 72" xfId="9013" xr:uid="{00000000-0005-0000-0000-0000C63F0000}"/>
    <cellStyle name="Normal 37 72 2" xfId="21113" xr:uid="{00000000-0005-0000-0000-0000C73F0000}"/>
    <cellStyle name="Normal 37 73" xfId="9014" xr:uid="{00000000-0005-0000-0000-0000C83F0000}"/>
    <cellStyle name="Normal 37 73 2" xfId="21114" xr:uid="{00000000-0005-0000-0000-0000C93F0000}"/>
    <cellStyle name="Normal 37 74" xfId="9015" xr:uid="{00000000-0005-0000-0000-0000CA3F0000}"/>
    <cellStyle name="Normal 37 74 2" xfId="21115" xr:uid="{00000000-0005-0000-0000-0000CB3F0000}"/>
    <cellStyle name="Normal 37 75" xfId="9016" xr:uid="{00000000-0005-0000-0000-0000CC3F0000}"/>
    <cellStyle name="Normal 37 75 2" xfId="21116" xr:uid="{00000000-0005-0000-0000-0000CD3F0000}"/>
    <cellStyle name="Normal 37 76" xfId="9017" xr:uid="{00000000-0005-0000-0000-0000CE3F0000}"/>
    <cellStyle name="Normal 37 76 2" xfId="21117" xr:uid="{00000000-0005-0000-0000-0000CF3F0000}"/>
    <cellStyle name="Normal 37 77" xfId="9018" xr:uid="{00000000-0005-0000-0000-0000D03F0000}"/>
    <cellStyle name="Normal 37 77 2" xfId="21118" xr:uid="{00000000-0005-0000-0000-0000D13F0000}"/>
    <cellStyle name="Normal 37 78" xfId="9019" xr:uid="{00000000-0005-0000-0000-0000D23F0000}"/>
    <cellStyle name="Normal 37 78 2" xfId="21119" xr:uid="{00000000-0005-0000-0000-0000D33F0000}"/>
    <cellStyle name="Normal 37 79" xfId="9020" xr:uid="{00000000-0005-0000-0000-0000D43F0000}"/>
    <cellStyle name="Normal 37 79 2" xfId="21120" xr:uid="{00000000-0005-0000-0000-0000D53F0000}"/>
    <cellStyle name="Normal 37 8" xfId="9021" xr:uid="{00000000-0005-0000-0000-0000D63F0000}"/>
    <cellStyle name="Normal 37 8 2" xfId="21121" xr:uid="{00000000-0005-0000-0000-0000D73F0000}"/>
    <cellStyle name="Normal 37 80" xfId="21044" xr:uid="{00000000-0005-0000-0000-0000D83F0000}"/>
    <cellStyle name="Normal 37 9" xfId="9022" xr:uid="{00000000-0005-0000-0000-0000D93F0000}"/>
    <cellStyle name="Normal 37 9 2" xfId="21122" xr:uid="{00000000-0005-0000-0000-0000DA3F0000}"/>
    <cellStyle name="Normal 38" xfId="147" xr:uid="{00000000-0005-0000-0000-0000DB3F0000}"/>
    <cellStyle name="Normal 38 10" xfId="9023" xr:uid="{00000000-0005-0000-0000-0000DC3F0000}"/>
    <cellStyle name="Normal 38 10 2" xfId="21124" xr:uid="{00000000-0005-0000-0000-0000DD3F0000}"/>
    <cellStyle name="Normal 38 11" xfId="9024" xr:uid="{00000000-0005-0000-0000-0000DE3F0000}"/>
    <cellStyle name="Normal 38 11 2" xfId="21125" xr:uid="{00000000-0005-0000-0000-0000DF3F0000}"/>
    <cellStyle name="Normal 38 12" xfId="9025" xr:uid="{00000000-0005-0000-0000-0000E03F0000}"/>
    <cellStyle name="Normal 38 12 2" xfId="21126" xr:uid="{00000000-0005-0000-0000-0000E13F0000}"/>
    <cellStyle name="Normal 38 13" xfId="9026" xr:uid="{00000000-0005-0000-0000-0000E23F0000}"/>
    <cellStyle name="Normal 38 13 2" xfId="21127" xr:uid="{00000000-0005-0000-0000-0000E33F0000}"/>
    <cellStyle name="Normal 38 14" xfId="9027" xr:uid="{00000000-0005-0000-0000-0000E43F0000}"/>
    <cellStyle name="Normal 38 14 2" xfId="21128" xr:uid="{00000000-0005-0000-0000-0000E53F0000}"/>
    <cellStyle name="Normal 38 15" xfId="9028" xr:uid="{00000000-0005-0000-0000-0000E63F0000}"/>
    <cellStyle name="Normal 38 15 2" xfId="21129" xr:uid="{00000000-0005-0000-0000-0000E73F0000}"/>
    <cellStyle name="Normal 38 16" xfId="9029" xr:uid="{00000000-0005-0000-0000-0000E83F0000}"/>
    <cellStyle name="Normal 38 16 2" xfId="21130" xr:uid="{00000000-0005-0000-0000-0000E93F0000}"/>
    <cellStyle name="Normal 38 17" xfId="9030" xr:uid="{00000000-0005-0000-0000-0000EA3F0000}"/>
    <cellStyle name="Normal 38 17 2" xfId="21131" xr:uid="{00000000-0005-0000-0000-0000EB3F0000}"/>
    <cellStyle name="Normal 38 18" xfId="9031" xr:uid="{00000000-0005-0000-0000-0000EC3F0000}"/>
    <cellStyle name="Normal 38 18 2" xfId="21132" xr:uid="{00000000-0005-0000-0000-0000ED3F0000}"/>
    <cellStyle name="Normal 38 19" xfId="9032" xr:uid="{00000000-0005-0000-0000-0000EE3F0000}"/>
    <cellStyle name="Normal 38 19 2" xfId="21133" xr:uid="{00000000-0005-0000-0000-0000EF3F0000}"/>
    <cellStyle name="Normal 38 2" xfId="170" xr:uid="{00000000-0005-0000-0000-0000F03F0000}"/>
    <cellStyle name="Normal 38 2 2" xfId="21134" xr:uid="{00000000-0005-0000-0000-0000F13F0000}"/>
    <cellStyle name="Normal 38 2 3" xfId="9033" xr:uid="{00000000-0005-0000-0000-0000F23F0000}"/>
    <cellStyle name="Normal 38 20" xfId="9034" xr:uid="{00000000-0005-0000-0000-0000F33F0000}"/>
    <cellStyle name="Normal 38 20 2" xfId="21135" xr:uid="{00000000-0005-0000-0000-0000F43F0000}"/>
    <cellStyle name="Normal 38 21" xfId="9035" xr:uid="{00000000-0005-0000-0000-0000F53F0000}"/>
    <cellStyle name="Normal 38 21 2" xfId="21136" xr:uid="{00000000-0005-0000-0000-0000F63F0000}"/>
    <cellStyle name="Normal 38 22" xfId="9036" xr:uid="{00000000-0005-0000-0000-0000F73F0000}"/>
    <cellStyle name="Normal 38 22 2" xfId="21137" xr:uid="{00000000-0005-0000-0000-0000F83F0000}"/>
    <cellStyle name="Normal 38 23" xfId="9037" xr:uid="{00000000-0005-0000-0000-0000F93F0000}"/>
    <cellStyle name="Normal 38 23 2" xfId="21138" xr:uid="{00000000-0005-0000-0000-0000FA3F0000}"/>
    <cellStyle name="Normal 38 24" xfId="9038" xr:uid="{00000000-0005-0000-0000-0000FB3F0000}"/>
    <cellStyle name="Normal 38 24 2" xfId="21139" xr:uid="{00000000-0005-0000-0000-0000FC3F0000}"/>
    <cellStyle name="Normal 38 25" xfId="9039" xr:uid="{00000000-0005-0000-0000-0000FD3F0000}"/>
    <cellStyle name="Normal 38 25 2" xfId="21140" xr:uid="{00000000-0005-0000-0000-0000FE3F0000}"/>
    <cellStyle name="Normal 38 26" xfId="9040" xr:uid="{00000000-0005-0000-0000-0000FF3F0000}"/>
    <cellStyle name="Normal 38 26 2" xfId="21141" xr:uid="{00000000-0005-0000-0000-000000400000}"/>
    <cellStyle name="Normal 38 27" xfId="9041" xr:uid="{00000000-0005-0000-0000-000001400000}"/>
    <cellStyle name="Normal 38 27 2" xfId="21142" xr:uid="{00000000-0005-0000-0000-000002400000}"/>
    <cellStyle name="Normal 38 28" xfId="9042" xr:uid="{00000000-0005-0000-0000-000003400000}"/>
    <cellStyle name="Normal 38 28 2" xfId="21143" xr:uid="{00000000-0005-0000-0000-000004400000}"/>
    <cellStyle name="Normal 38 29" xfId="9043" xr:uid="{00000000-0005-0000-0000-000005400000}"/>
    <cellStyle name="Normal 38 29 2" xfId="21144" xr:uid="{00000000-0005-0000-0000-000006400000}"/>
    <cellStyle name="Normal 38 3" xfId="796" xr:uid="{00000000-0005-0000-0000-000007400000}"/>
    <cellStyle name="Normal 38 3 2" xfId="21145" xr:uid="{00000000-0005-0000-0000-000008400000}"/>
    <cellStyle name="Normal 38 30" xfId="9044" xr:uid="{00000000-0005-0000-0000-000009400000}"/>
    <cellStyle name="Normal 38 30 2" xfId="21146" xr:uid="{00000000-0005-0000-0000-00000A400000}"/>
    <cellStyle name="Normal 38 31" xfId="9045" xr:uid="{00000000-0005-0000-0000-00000B400000}"/>
    <cellStyle name="Normal 38 31 2" xfId="21147" xr:uid="{00000000-0005-0000-0000-00000C400000}"/>
    <cellStyle name="Normal 38 32" xfId="9046" xr:uid="{00000000-0005-0000-0000-00000D400000}"/>
    <cellStyle name="Normal 38 32 2" xfId="21148" xr:uid="{00000000-0005-0000-0000-00000E400000}"/>
    <cellStyle name="Normal 38 33" xfId="9047" xr:uid="{00000000-0005-0000-0000-00000F400000}"/>
    <cellStyle name="Normal 38 33 2" xfId="21149" xr:uid="{00000000-0005-0000-0000-000010400000}"/>
    <cellStyle name="Normal 38 34" xfId="9048" xr:uid="{00000000-0005-0000-0000-000011400000}"/>
    <cellStyle name="Normal 38 34 2" xfId="21150" xr:uid="{00000000-0005-0000-0000-000012400000}"/>
    <cellStyle name="Normal 38 35" xfId="9049" xr:uid="{00000000-0005-0000-0000-000013400000}"/>
    <cellStyle name="Normal 38 35 2" xfId="21151" xr:uid="{00000000-0005-0000-0000-000014400000}"/>
    <cellStyle name="Normal 38 36" xfId="9050" xr:uid="{00000000-0005-0000-0000-000015400000}"/>
    <cellStyle name="Normal 38 36 2" xfId="21152" xr:uid="{00000000-0005-0000-0000-000016400000}"/>
    <cellStyle name="Normal 38 37" xfId="9051" xr:uid="{00000000-0005-0000-0000-000017400000}"/>
    <cellStyle name="Normal 38 37 2" xfId="21153" xr:uid="{00000000-0005-0000-0000-000018400000}"/>
    <cellStyle name="Normal 38 38" xfId="9052" xr:uid="{00000000-0005-0000-0000-000019400000}"/>
    <cellStyle name="Normal 38 38 2" xfId="21154" xr:uid="{00000000-0005-0000-0000-00001A400000}"/>
    <cellStyle name="Normal 38 39" xfId="9053" xr:uid="{00000000-0005-0000-0000-00001B400000}"/>
    <cellStyle name="Normal 38 39 2" xfId="21155" xr:uid="{00000000-0005-0000-0000-00001C400000}"/>
    <cellStyle name="Normal 38 4" xfId="727" xr:uid="{00000000-0005-0000-0000-00001D400000}"/>
    <cellStyle name="Normal 38 4 2" xfId="21156" xr:uid="{00000000-0005-0000-0000-00001E400000}"/>
    <cellStyle name="Normal 38 4 3" xfId="9054" xr:uid="{00000000-0005-0000-0000-00001F400000}"/>
    <cellStyle name="Normal 38 40" xfId="9055" xr:uid="{00000000-0005-0000-0000-000020400000}"/>
    <cellStyle name="Normal 38 40 2" xfId="21157" xr:uid="{00000000-0005-0000-0000-000021400000}"/>
    <cellStyle name="Normal 38 41" xfId="9056" xr:uid="{00000000-0005-0000-0000-000022400000}"/>
    <cellStyle name="Normal 38 41 2" xfId="21158" xr:uid="{00000000-0005-0000-0000-000023400000}"/>
    <cellStyle name="Normal 38 42" xfId="9057" xr:uid="{00000000-0005-0000-0000-000024400000}"/>
    <cellStyle name="Normal 38 42 2" xfId="21159" xr:uid="{00000000-0005-0000-0000-000025400000}"/>
    <cellStyle name="Normal 38 43" xfId="9058" xr:uid="{00000000-0005-0000-0000-000026400000}"/>
    <cellStyle name="Normal 38 43 2" xfId="21160" xr:uid="{00000000-0005-0000-0000-000027400000}"/>
    <cellStyle name="Normal 38 44" xfId="9059" xr:uid="{00000000-0005-0000-0000-000028400000}"/>
    <cellStyle name="Normal 38 44 2" xfId="21161" xr:uid="{00000000-0005-0000-0000-000029400000}"/>
    <cellStyle name="Normal 38 45" xfId="9060" xr:uid="{00000000-0005-0000-0000-00002A400000}"/>
    <cellStyle name="Normal 38 45 2" xfId="21162" xr:uid="{00000000-0005-0000-0000-00002B400000}"/>
    <cellStyle name="Normal 38 46" xfId="9061" xr:uid="{00000000-0005-0000-0000-00002C400000}"/>
    <cellStyle name="Normal 38 46 2" xfId="21163" xr:uid="{00000000-0005-0000-0000-00002D400000}"/>
    <cellStyle name="Normal 38 47" xfId="9062" xr:uid="{00000000-0005-0000-0000-00002E400000}"/>
    <cellStyle name="Normal 38 47 2" xfId="21164" xr:uid="{00000000-0005-0000-0000-00002F400000}"/>
    <cellStyle name="Normal 38 48" xfId="9063" xr:uid="{00000000-0005-0000-0000-000030400000}"/>
    <cellStyle name="Normal 38 48 2" xfId="21165" xr:uid="{00000000-0005-0000-0000-000031400000}"/>
    <cellStyle name="Normal 38 49" xfId="9064" xr:uid="{00000000-0005-0000-0000-000032400000}"/>
    <cellStyle name="Normal 38 49 2" xfId="21166" xr:uid="{00000000-0005-0000-0000-000033400000}"/>
    <cellStyle name="Normal 38 5" xfId="324" xr:uid="{00000000-0005-0000-0000-000034400000}"/>
    <cellStyle name="Normal 38 5 2" xfId="21167" xr:uid="{00000000-0005-0000-0000-000035400000}"/>
    <cellStyle name="Normal 38 50" xfId="9065" xr:uid="{00000000-0005-0000-0000-000036400000}"/>
    <cellStyle name="Normal 38 50 2" xfId="21168" xr:uid="{00000000-0005-0000-0000-000037400000}"/>
    <cellStyle name="Normal 38 51" xfId="9066" xr:uid="{00000000-0005-0000-0000-000038400000}"/>
    <cellStyle name="Normal 38 51 2" xfId="21169" xr:uid="{00000000-0005-0000-0000-000039400000}"/>
    <cellStyle name="Normal 38 52" xfId="9067" xr:uid="{00000000-0005-0000-0000-00003A400000}"/>
    <cellStyle name="Normal 38 52 2" xfId="21170" xr:uid="{00000000-0005-0000-0000-00003B400000}"/>
    <cellStyle name="Normal 38 53" xfId="9068" xr:uid="{00000000-0005-0000-0000-00003C400000}"/>
    <cellStyle name="Normal 38 53 2" xfId="21171" xr:uid="{00000000-0005-0000-0000-00003D400000}"/>
    <cellStyle name="Normal 38 54" xfId="9069" xr:uid="{00000000-0005-0000-0000-00003E400000}"/>
    <cellStyle name="Normal 38 54 2" xfId="21172" xr:uid="{00000000-0005-0000-0000-00003F400000}"/>
    <cellStyle name="Normal 38 55" xfId="9070" xr:uid="{00000000-0005-0000-0000-000040400000}"/>
    <cellStyle name="Normal 38 55 2" xfId="21173" xr:uid="{00000000-0005-0000-0000-000041400000}"/>
    <cellStyle name="Normal 38 56" xfId="9071" xr:uid="{00000000-0005-0000-0000-000042400000}"/>
    <cellStyle name="Normal 38 56 2" xfId="21174" xr:uid="{00000000-0005-0000-0000-000043400000}"/>
    <cellStyle name="Normal 38 57" xfId="9072" xr:uid="{00000000-0005-0000-0000-000044400000}"/>
    <cellStyle name="Normal 38 57 2" xfId="21175" xr:uid="{00000000-0005-0000-0000-000045400000}"/>
    <cellStyle name="Normal 38 58" xfId="9073" xr:uid="{00000000-0005-0000-0000-000046400000}"/>
    <cellStyle name="Normal 38 58 2" xfId="21176" xr:uid="{00000000-0005-0000-0000-000047400000}"/>
    <cellStyle name="Normal 38 59" xfId="9074" xr:uid="{00000000-0005-0000-0000-000048400000}"/>
    <cellStyle name="Normal 38 59 2" xfId="21177" xr:uid="{00000000-0005-0000-0000-000049400000}"/>
    <cellStyle name="Normal 38 6" xfId="9075" xr:uid="{00000000-0005-0000-0000-00004A400000}"/>
    <cellStyle name="Normal 38 6 2" xfId="21178" xr:uid="{00000000-0005-0000-0000-00004B400000}"/>
    <cellStyle name="Normal 38 60" xfId="9076" xr:uid="{00000000-0005-0000-0000-00004C400000}"/>
    <cellStyle name="Normal 38 60 2" xfId="21179" xr:uid="{00000000-0005-0000-0000-00004D400000}"/>
    <cellStyle name="Normal 38 61" xfId="9077" xr:uid="{00000000-0005-0000-0000-00004E400000}"/>
    <cellStyle name="Normal 38 61 2" xfId="21180" xr:uid="{00000000-0005-0000-0000-00004F400000}"/>
    <cellStyle name="Normal 38 62" xfId="9078" xr:uid="{00000000-0005-0000-0000-000050400000}"/>
    <cellStyle name="Normal 38 62 2" xfId="21181" xr:uid="{00000000-0005-0000-0000-000051400000}"/>
    <cellStyle name="Normal 38 63" xfId="9079" xr:uid="{00000000-0005-0000-0000-000052400000}"/>
    <cellStyle name="Normal 38 63 2" xfId="21182" xr:uid="{00000000-0005-0000-0000-000053400000}"/>
    <cellStyle name="Normal 38 64" xfId="9080" xr:uid="{00000000-0005-0000-0000-000054400000}"/>
    <cellStyle name="Normal 38 64 2" xfId="21183" xr:uid="{00000000-0005-0000-0000-000055400000}"/>
    <cellStyle name="Normal 38 65" xfId="9081" xr:uid="{00000000-0005-0000-0000-000056400000}"/>
    <cellStyle name="Normal 38 65 2" xfId="21184" xr:uid="{00000000-0005-0000-0000-000057400000}"/>
    <cellStyle name="Normal 38 66" xfId="9082" xr:uid="{00000000-0005-0000-0000-000058400000}"/>
    <cellStyle name="Normal 38 66 2" xfId="21185" xr:uid="{00000000-0005-0000-0000-000059400000}"/>
    <cellStyle name="Normal 38 67" xfId="9083" xr:uid="{00000000-0005-0000-0000-00005A400000}"/>
    <cellStyle name="Normal 38 67 2" xfId="21186" xr:uid="{00000000-0005-0000-0000-00005B400000}"/>
    <cellStyle name="Normal 38 68" xfId="9084" xr:uid="{00000000-0005-0000-0000-00005C400000}"/>
    <cellStyle name="Normal 38 68 2" xfId="21187" xr:uid="{00000000-0005-0000-0000-00005D400000}"/>
    <cellStyle name="Normal 38 69" xfId="9085" xr:uid="{00000000-0005-0000-0000-00005E400000}"/>
    <cellStyle name="Normal 38 69 2" xfId="21188" xr:uid="{00000000-0005-0000-0000-00005F400000}"/>
    <cellStyle name="Normal 38 7" xfId="9086" xr:uid="{00000000-0005-0000-0000-000060400000}"/>
    <cellStyle name="Normal 38 7 2" xfId="21189" xr:uid="{00000000-0005-0000-0000-000061400000}"/>
    <cellStyle name="Normal 38 70" xfId="9087" xr:uid="{00000000-0005-0000-0000-000062400000}"/>
    <cellStyle name="Normal 38 70 2" xfId="21190" xr:uid="{00000000-0005-0000-0000-000063400000}"/>
    <cellStyle name="Normal 38 71" xfId="9088" xr:uid="{00000000-0005-0000-0000-000064400000}"/>
    <cellStyle name="Normal 38 71 2" xfId="21191" xr:uid="{00000000-0005-0000-0000-000065400000}"/>
    <cellStyle name="Normal 38 72" xfId="9089" xr:uid="{00000000-0005-0000-0000-000066400000}"/>
    <cellStyle name="Normal 38 72 2" xfId="21192" xr:uid="{00000000-0005-0000-0000-000067400000}"/>
    <cellStyle name="Normal 38 73" xfId="9090" xr:uid="{00000000-0005-0000-0000-000068400000}"/>
    <cellStyle name="Normal 38 73 2" xfId="21193" xr:uid="{00000000-0005-0000-0000-000069400000}"/>
    <cellStyle name="Normal 38 74" xfId="9091" xr:uid="{00000000-0005-0000-0000-00006A400000}"/>
    <cellStyle name="Normal 38 74 2" xfId="21194" xr:uid="{00000000-0005-0000-0000-00006B400000}"/>
    <cellStyle name="Normal 38 75" xfId="9092" xr:uid="{00000000-0005-0000-0000-00006C400000}"/>
    <cellStyle name="Normal 38 75 2" xfId="21195" xr:uid="{00000000-0005-0000-0000-00006D400000}"/>
    <cellStyle name="Normal 38 76" xfId="9093" xr:uid="{00000000-0005-0000-0000-00006E400000}"/>
    <cellStyle name="Normal 38 76 2" xfId="21196" xr:uid="{00000000-0005-0000-0000-00006F400000}"/>
    <cellStyle name="Normal 38 77" xfId="9094" xr:uid="{00000000-0005-0000-0000-000070400000}"/>
    <cellStyle name="Normal 38 77 2" xfId="21197" xr:uid="{00000000-0005-0000-0000-000071400000}"/>
    <cellStyle name="Normal 38 78" xfId="9095" xr:uid="{00000000-0005-0000-0000-000072400000}"/>
    <cellStyle name="Normal 38 78 2" xfId="21198" xr:uid="{00000000-0005-0000-0000-000073400000}"/>
    <cellStyle name="Normal 38 79" xfId="9096" xr:uid="{00000000-0005-0000-0000-000074400000}"/>
    <cellStyle name="Normal 38 79 2" xfId="21199" xr:uid="{00000000-0005-0000-0000-000075400000}"/>
    <cellStyle name="Normal 38 8" xfId="9097" xr:uid="{00000000-0005-0000-0000-000076400000}"/>
    <cellStyle name="Normal 38 8 2" xfId="21200" xr:uid="{00000000-0005-0000-0000-000077400000}"/>
    <cellStyle name="Normal 38 80" xfId="21123" xr:uid="{00000000-0005-0000-0000-000078400000}"/>
    <cellStyle name="Normal 38 9" xfId="9098" xr:uid="{00000000-0005-0000-0000-000079400000}"/>
    <cellStyle name="Normal 38 9 2" xfId="21201" xr:uid="{00000000-0005-0000-0000-00007A400000}"/>
    <cellStyle name="Normal 39" xfId="148" xr:uid="{00000000-0005-0000-0000-00007B400000}"/>
    <cellStyle name="Normal 39 10" xfId="9099" xr:uid="{00000000-0005-0000-0000-00007C400000}"/>
    <cellStyle name="Normal 39 10 2" xfId="21203" xr:uid="{00000000-0005-0000-0000-00007D400000}"/>
    <cellStyle name="Normal 39 11" xfId="9100" xr:uid="{00000000-0005-0000-0000-00007E400000}"/>
    <cellStyle name="Normal 39 11 2" xfId="21204" xr:uid="{00000000-0005-0000-0000-00007F400000}"/>
    <cellStyle name="Normal 39 12" xfId="9101" xr:uid="{00000000-0005-0000-0000-000080400000}"/>
    <cellStyle name="Normal 39 12 2" xfId="21205" xr:uid="{00000000-0005-0000-0000-000081400000}"/>
    <cellStyle name="Normal 39 13" xfId="9102" xr:uid="{00000000-0005-0000-0000-000082400000}"/>
    <cellStyle name="Normal 39 13 2" xfId="21206" xr:uid="{00000000-0005-0000-0000-000083400000}"/>
    <cellStyle name="Normal 39 14" xfId="9103" xr:uid="{00000000-0005-0000-0000-000084400000}"/>
    <cellStyle name="Normal 39 14 2" xfId="21207" xr:uid="{00000000-0005-0000-0000-000085400000}"/>
    <cellStyle name="Normal 39 15" xfId="9104" xr:uid="{00000000-0005-0000-0000-000086400000}"/>
    <cellStyle name="Normal 39 15 2" xfId="21208" xr:uid="{00000000-0005-0000-0000-000087400000}"/>
    <cellStyle name="Normal 39 16" xfId="9105" xr:uid="{00000000-0005-0000-0000-000088400000}"/>
    <cellStyle name="Normal 39 16 2" xfId="21209" xr:uid="{00000000-0005-0000-0000-000089400000}"/>
    <cellStyle name="Normal 39 17" xfId="9106" xr:uid="{00000000-0005-0000-0000-00008A400000}"/>
    <cellStyle name="Normal 39 17 2" xfId="21210" xr:uid="{00000000-0005-0000-0000-00008B400000}"/>
    <cellStyle name="Normal 39 18" xfId="9107" xr:uid="{00000000-0005-0000-0000-00008C400000}"/>
    <cellStyle name="Normal 39 18 2" xfId="21211" xr:uid="{00000000-0005-0000-0000-00008D400000}"/>
    <cellStyle name="Normal 39 19" xfId="9108" xr:uid="{00000000-0005-0000-0000-00008E400000}"/>
    <cellStyle name="Normal 39 19 2" xfId="21212" xr:uid="{00000000-0005-0000-0000-00008F400000}"/>
    <cellStyle name="Normal 39 2" xfId="171" xr:uid="{00000000-0005-0000-0000-000090400000}"/>
    <cellStyle name="Normal 39 2 2" xfId="21213" xr:uid="{00000000-0005-0000-0000-000091400000}"/>
    <cellStyle name="Normal 39 2 3" xfId="9109" xr:uid="{00000000-0005-0000-0000-000092400000}"/>
    <cellStyle name="Normal 39 20" xfId="9110" xr:uid="{00000000-0005-0000-0000-000093400000}"/>
    <cellStyle name="Normal 39 20 2" xfId="21214" xr:uid="{00000000-0005-0000-0000-000094400000}"/>
    <cellStyle name="Normal 39 21" xfId="9111" xr:uid="{00000000-0005-0000-0000-000095400000}"/>
    <cellStyle name="Normal 39 21 2" xfId="21215" xr:uid="{00000000-0005-0000-0000-000096400000}"/>
    <cellStyle name="Normal 39 22" xfId="9112" xr:uid="{00000000-0005-0000-0000-000097400000}"/>
    <cellStyle name="Normal 39 22 2" xfId="21216" xr:uid="{00000000-0005-0000-0000-000098400000}"/>
    <cellStyle name="Normal 39 23" xfId="9113" xr:uid="{00000000-0005-0000-0000-000099400000}"/>
    <cellStyle name="Normal 39 23 2" xfId="21217" xr:uid="{00000000-0005-0000-0000-00009A400000}"/>
    <cellStyle name="Normal 39 24" xfId="9114" xr:uid="{00000000-0005-0000-0000-00009B400000}"/>
    <cellStyle name="Normal 39 24 2" xfId="21218" xr:uid="{00000000-0005-0000-0000-00009C400000}"/>
    <cellStyle name="Normal 39 25" xfId="9115" xr:uid="{00000000-0005-0000-0000-00009D400000}"/>
    <cellStyle name="Normal 39 25 2" xfId="21219" xr:uid="{00000000-0005-0000-0000-00009E400000}"/>
    <cellStyle name="Normal 39 26" xfId="9116" xr:uid="{00000000-0005-0000-0000-00009F400000}"/>
    <cellStyle name="Normal 39 26 2" xfId="21220" xr:uid="{00000000-0005-0000-0000-0000A0400000}"/>
    <cellStyle name="Normal 39 27" xfId="9117" xr:uid="{00000000-0005-0000-0000-0000A1400000}"/>
    <cellStyle name="Normal 39 27 2" xfId="21221" xr:uid="{00000000-0005-0000-0000-0000A2400000}"/>
    <cellStyle name="Normal 39 28" xfId="9118" xr:uid="{00000000-0005-0000-0000-0000A3400000}"/>
    <cellStyle name="Normal 39 28 2" xfId="21222" xr:uid="{00000000-0005-0000-0000-0000A4400000}"/>
    <cellStyle name="Normal 39 29" xfId="9119" xr:uid="{00000000-0005-0000-0000-0000A5400000}"/>
    <cellStyle name="Normal 39 29 2" xfId="21223" xr:uid="{00000000-0005-0000-0000-0000A6400000}"/>
    <cellStyle name="Normal 39 3" xfId="797" xr:uid="{00000000-0005-0000-0000-0000A7400000}"/>
    <cellStyle name="Normal 39 3 2" xfId="21224" xr:uid="{00000000-0005-0000-0000-0000A8400000}"/>
    <cellStyle name="Normal 39 30" xfId="9120" xr:uid="{00000000-0005-0000-0000-0000A9400000}"/>
    <cellStyle name="Normal 39 30 2" xfId="21225" xr:uid="{00000000-0005-0000-0000-0000AA400000}"/>
    <cellStyle name="Normal 39 31" xfId="9121" xr:uid="{00000000-0005-0000-0000-0000AB400000}"/>
    <cellStyle name="Normal 39 31 2" xfId="21226" xr:uid="{00000000-0005-0000-0000-0000AC400000}"/>
    <cellStyle name="Normal 39 32" xfId="9122" xr:uid="{00000000-0005-0000-0000-0000AD400000}"/>
    <cellStyle name="Normal 39 32 2" xfId="21227" xr:uid="{00000000-0005-0000-0000-0000AE400000}"/>
    <cellStyle name="Normal 39 33" xfId="9123" xr:uid="{00000000-0005-0000-0000-0000AF400000}"/>
    <cellStyle name="Normal 39 33 2" xfId="21228" xr:uid="{00000000-0005-0000-0000-0000B0400000}"/>
    <cellStyle name="Normal 39 34" xfId="9124" xr:uid="{00000000-0005-0000-0000-0000B1400000}"/>
    <cellStyle name="Normal 39 34 2" xfId="21229" xr:uid="{00000000-0005-0000-0000-0000B2400000}"/>
    <cellStyle name="Normal 39 35" xfId="9125" xr:uid="{00000000-0005-0000-0000-0000B3400000}"/>
    <cellStyle name="Normal 39 35 2" xfId="21230" xr:uid="{00000000-0005-0000-0000-0000B4400000}"/>
    <cellStyle name="Normal 39 36" xfId="9126" xr:uid="{00000000-0005-0000-0000-0000B5400000}"/>
    <cellStyle name="Normal 39 36 2" xfId="21231" xr:uid="{00000000-0005-0000-0000-0000B6400000}"/>
    <cellStyle name="Normal 39 37" xfId="9127" xr:uid="{00000000-0005-0000-0000-0000B7400000}"/>
    <cellStyle name="Normal 39 37 2" xfId="21232" xr:uid="{00000000-0005-0000-0000-0000B8400000}"/>
    <cellStyle name="Normal 39 38" xfId="9128" xr:uid="{00000000-0005-0000-0000-0000B9400000}"/>
    <cellStyle name="Normal 39 38 2" xfId="21233" xr:uid="{00000000-0005-0000-0000-0000BA400000}"/>
    <cellStyle name="Normal 39 39" xfId="9129" xr:uid="{00000000-0005-0000-0000-0000BB400000}"/>
    <cellStyle name="Normal 39 39 2" xfId="21234" xr:uid="{00000000-0005-0000-0000-0000BC400000}"/>
    <cellStyle name="Normal 39 4" xfId="728" xr:uid="{00000000-0005-0000-0000-0000BD400000}"/>
    <cellStyle name="Normal 39 4 2" xfId="21235" xr:uid="{00000000-0005-0000-0000-0000BE400000}"/>
    <cellStyle name="Normal 39 4 3" xfId="9130" xr:uid="{00000000-0005-0000-0000-0000BF400000}"/>
    <cellStyle name="Normal 39 40" xfId="9131" xr:uid="{00000000-0005-0000-0000-0000C0400000}"/>
    <cellStyle name="Normal 39 40 2" xfId="21236" xr:uid="{00000000-0005-0000-0000-0000C1400000}"/>
    <cellStyle name="Normal 39 41" xfId="9132" xr:uid="{00000000-0005-0000-0000-0000C2400000}"/>
    <cellStyle name="Normal 39 41 2" xfId="21237" xr:uid="{00000000-0005-0000-0000-0000C3400000}"/>
    <cellStyle name="Normal 39 42" xfId="9133" xr:uid="{00000000-0005-0000-0000-0000C4400000}"/>
    <cellStyle name="Normal 39 42 2" xfId="21238" xr:uid="{00000000-0005-0000-0000-0000C5400000}"/>
    <cellStyle name="Normal 39 43" xfId="9134" xr:uid="{00000000-0005-0000-0000-0000C6400000}"/>
    <cellStyle name="Normal 39 43 2" xfId="21239" xr:uid="{00000000-0005-0000-0000-0000C7400000}"/>
    <cellStyle name="Normal 39 44" xfId="9135" xr:uid="{00000000-0005-0000-0000-0000C8400000}"/>
    <cellStyle name="Normal 39 44 2" xfId="21240" xr:uid="{00000000-0005-0000-0000-0000C9400000}"/>
    <cellStyle name="Normal 39 45" xfId="9136" xr:uid="{00000000-0005-0000-0000-0000CA400000}"/>
    <cellStyle name="Normal 39 45 2" xfId="21241" xr:uid="{00000000-0005-0000-0000-0000CB400000}"/>
    <cellStyle name="Normal 39 46" xfId="9137" xr:uid="{00000000-0005-0000-0000-0000CC400000}"/>
    <cellStyle name="Normal 39 46 2" xfId="21242" xr:uid="{00000000-0005-0000-0000-0000CD400000}"/>
    <cellStyle name="Normal 39 47" xfId="9138" xr:uid="{00000000-0005-0000-0000-0000CE400000}"/>
    <cellStyle name="Normal 39 47 2" xfId="21243" xr:uid="{00000000-0005-0000-0000-0000CF400000}"/>
    <cellStyle name="Normal 39 48" xfId="9139" xr:uid="{00000000-0005-0000-0000-0000D0400000}"/>
    <cellStyle name="Normal 39 48 2" xfId="21244" xr:uid="{00000000-0005-0000-0000-0000D1400000}"/>
    <cellStyle name="Normal 39 49" xfId="9140" xr:uid="{00000000-0005-0000-0000-0000D2400000}"/>
    <cellStyle name="Normal 39 49 2" xfId="21245" xr:uid="{00000000-0005-0000-0000-0000D3400000}"/>
    <cellStyle name="Normal 39 5" xfId="325" xr:uid="{00000000-0005-0000-0000-0000D4400000}"/>
    <cellStyle name="Normal 39 5 2" xfId="21246" xr:uid="{00000000-0005-0000-0000-0000D5400000}"/>
    <cellStyle name="Normal 39 50" xfId="9141" xr:uid="{00000000-0005-0000-0000-0000D6400000}"/>
    <cellStyle name="Normal 39 50 2" xfId="21247" xr:uid="{00000000-0005-0000-0000-0000D7400000}"/>
    <cellStyle name="Normal 39 51" xfId="9142" xr:uid="{00000000-0005-0000-0000-0000D8400000}"/>
    <cellStyle name="Normal 39 51 2" xfId="21248" xr:uid="{00000000-0005-0000-0000-0000D9400000}"/>
    <cellStyle name="Normal 39 52" xfId="9143" xr:uid="{00000000-0005-0000-0000-0000DA400000}"/>
    <cellStyle name="Normal 39 52 2" xfId="21249" xr:uid="{00000000-0005-0000-0000-0000DB400000}"/>
    <cellStyle name="Normal 39 53" xfId="9144" xr:uid="{00000000-0005-0000-0000-0000DC400000}"/>
    <cellStyle name="Normal 39 53 2" xfId="21250" xr:uid="{00000000-0005-0000-0000-0000DD400000}"/>
    <cellStyle name="Normal 39 54" xfId="9145" xr:uid="{00000000-0005-0000-0000-0000DE400000}"/>
    <cellStyle name="Normal 39 54 2" xfId="21251" xr:uid="{00000000-0005-0000-0000-0000DF400000}"/>
    <cellStyle name="Normal 39 55" xfId="9146" xr:uid="{00000000-0005-0000-0000-0000E0400000}"/>
    <cellStyle name="Normal 39 55 2" xfId="21252" xr:uid="{00000000-0005-0000-0000-0000E1400000}"/>
    <cellStyle name="Normal 39 56" xfId="9147" xr:uid="{00000000-0005-0000-0000-0000E2400000}"/>
    <cellStyle name="Normal 39 56 2" xfId="21253" xr:uid="{00000000-0005-0000-0000-0000E3400000}"/>
    <cellStyle name="Normal 39 57" xfId="9148" xr:uid="{00000000-0005-0000-0000-0000E4400000}"/>
    <cellStyle name="Normal 39 57 2" xfId="21254" xr:uid="{00000000-0005-0000-0000-0000E5400000}"/>
    <cellStyle name="Normal 39 58" xfId="9149" xr:uid="{00000000-0005-0000-0000-0000E6400000}"/>
    <cellStyle name="Normal 39 58 2" xfId="21255" xr:uid="{00000000-0005-0000-0000-0000E7400000}"/>
    <cellStyle name="Normal 39 59" xfId="9150" xr:uid="{00000000-0005-0000-0000-0000E8400000}"/>
    <cellStyle name="Normal 39 59 2" xfId="21256" xr:uid="{00000000-0005-0000-0000-0000E9400000}"/>
    <cellStyle name="Normal 39 6" xfId="9151" xr:uid="{00000000-0005-0000-0000-0000EA400000}"/>
    <cellStyle name="Normal 39 6 2" xfId="21257" xr:uid="{00000000-0005-0000-0000-0000EB400000}"/>
    <cellStyle name="Normal 39 60" xfId="9152" xr:uid="{00000000-0005-0000-0000-0000EC400000}"/>
    <cellStyle name="Normal 39 60 2" xfId="21258" xr:uid="{00000000-0005-0000-0000-0000ED400000}"/>
    <cellStyle name="Normal 39 61" xfId="9153" xr:uid="{00000000-0005-0000-0000-0000EE400000}"/>
    <cellStyle name="Normal 39 61 2" xfId="21259" xr:uid="{00000000-0005-0000-0000-0000EF400000}"/>
    <cellStyle name="Normal 39 62" xfId="9154" xr:uid="{00000000-0005-0000-0000-0000F0400000}"/>
    <cellStyle name="Normal 39 62 2" xfId="21260" xr:uid="{00000000-0005-0000-0000-0000F1400000}"/>
    <cellStyle name="Normal 39 63" xfId="9155" xr:uid="{00000000-0005-0000-0000-0000F2400000}"/>
    <cellStyle name="Normal 39 63 2" xfId="21261" xr:uid="{00000000-0005-0000-0000-0000F3400000}"/>
    <cellStyle name="Normal 39 64" xfId="9156" xr:uid="{00000000-0005-0000-0000-0000F4400000}"/>
    <cellStyle name="Normal 39 64 2" xfId="21262" xr:uid="{00000000-0005-0000-0000-0000F5400000}"/>
    <cellStyle name="Normal 39 65" xfId="9157" xr:uid="{00000000-0005-0000-0000-0000F6400000}"/>
    <cellStyle name="Normal 39 65 2" xfId="21263" xr:uid="{00000000-0005-0000-0000-0000F7400000}"/>
    <cellStyle name="Normal 39 66" xfId="9158" xr:uid="{00000000-0005-0000-0000-0000F8400000}"/>
    <cellStyle name="Normal 39 66 2" xfId="21264" xr:uid="{00000000-0005-0000-0000-0000F9400000}"/>
    <cellStyle name="Normal 39 67" xfId="9159" xr:uid="{00000000-0005-0000-0000-0000FA400000}"/>
    <cellStyle name="Normal 39 67 2" xfId="21265" xr:uid="{00000000-0005-0000-0000-0000FB400000}"/>
    <cellStyle name="Normal 39 68" xfId="9160" xr:uid="{00000000-0005-0000-0000-0000FC400000}"/>
    <cellStyle name="Normal 39 68 2" xfId="21266" xr:uid="{00000000-0005-0000-0000-0000FD400000}"/>
    <cellStyle name="Normal 39 69" xfId="9161" xr:uid="{00000000-0005-0000-0000-0000FE400000}"/>
    <cellStyle name="Normal 39 69 2" xfId="21267" xr:uid="{00000000-0005-0000-0000-0000FF400000}"/>
    <cellStyle name="Normal 39 7" xfId="9162" xr:uid="{00000000-0005-0000-0000-000000410000}"/>
    <cellStyle name="Normal 39 7 2" xfId="21268" xr:uid="{00000000-0005-0000-0000-000001410000}"/>
    <cellStyle name="Normal 39 70" xfId="9163" xr:uid="{00000000-0005-0000-0000-000002410000}"/>
    <cellStyle name="Normal 39 70 2" xfId="21269" xr:uid="{00000000-0005-0000-0000-000003410000}"/>
    <cellStyle name="Normal 39 71" xfId="9164" xr:uid="{00000000-0005-0000-0000-000004410000}"/>
    <cellStyle name="Normal 39 71 2" xfId="21270" xr:uid="{00000000-0005-0000-0000-000005410000}"/>
    <cellStyle name="Normal 39 72" xfId="9165" xr:uid="{00000000-0005-0000-0000-000006410000}"/>
    <cellStyle name="Normal 39 72 2" xfId="21271" xr:uid="{00000000-0005-0000-0000-000007410000}"/>
    <cellStyle name="Normal 39 73" xfId="9166" xr:uid="{00000000-0005-0000-0000-000008410000}"/>
    <cellStyle name="Normal 39 73 2" xfId="21272" xr:uid="{00000000-0005-0000-0000-000009410000}"/>
    <cellStyle name="Normal 39 74" xfId="9167" xr:uid="{00000000-0005-0000-0000-00000A410000}"/>
    <cellStyle name="Normal 39 74 2" xfId="21273" xr:uid="{00000000-0005-0000-0000-00000B410000}"/>
    <cellStyle name="Normal 39 75" xfId="9168" xr:uid="{00000000-0005-0000-0000-00000C410000}"/>
    <cellStyle name="Normal 39 75 2" xfId="21274" xr:uid="{00000000-0005-0000-0000-00000D410000}"/>
    <cellStyle name="Normal 39 76" xfId="9169" xr:uid="{00000000-0005-0000-0000-00000E410000}"/>
    <cellStyle name="Normal 39 76 2" xfId="21275" xr:uid="{00000000-0005-0000-0000-00000F410000}"/>
    <cellStyle name="Normal 39 77" xfId="9170" xr:uid="{00000000-0005-0000-0000-000010410000}"/>
    <cellStyle name="Normal 39 77 2" xfId="21276" xr:uid="{00000000-0005-0000-0000-000011410000}"/>
    <cellStyle name="Normal 39 78" xfId="9171" xr:uid="{00000000-0005-0000-0000-000012410000}"/>
    <cellStyle name="Normal 39 78 2" xfId="21277" xr:uid="{00000000-0005-0000-0000-000013410000}"/>
    <cellStyle name="Normal 39 79" xfId="9172" xr:uid="{00000000-0005-0000-0000-000014410000}"/>
    <cellStyle name="Normal 39 79 2" xfId="21278" xr:uid="{00000000-0005-0000-0000-000015410000}"/>
    <cellStyle name="Normal 39 8" xfId="9173" xr:uid="{00000000-0005-0000-0000-000016410000}"/>
    <cellStyle name="Normal 39 8 2" xfId="21279" xr:uid="{00000000-0005-0000-0000-000017410000}"/>
    <cellStyle name="Normal 39 80" xfId="21202" xr:uid="{00000000-0005-0000-0000-000018410000}"/>
    <cellStyle name="Normal 39 9" xfId="9174" xr:uid="{00000000-0005-0000-0000-000019410000}"/>
    <cellStyle name="Normal 39 9 2" xfId="21280" xr:uid="{00000000-0005-0000-0000-00001A410000}"/>
    <cellStyle name="Normal 4" xfId="4" xr:uid="{00000000-0005-0000-0000-00001B410000}"/>
    <cellStyle name="Normal 4 10" xfId="3163" xr:uid="{00000000-0005-0000-0000-00001C410000}"/>
    <cellStyle name="Normal 4 10 2" xfId="15329" xr:uid="{00000000-0005-0000-0000-00001D410000}"/>
    <cellStyle name="Normal 4 10 3" xfId="31349" xr:uid="{00000000-0005-0000-0000-00001E410000}"/>
    <cellStyle name="Normal 4 11" xfId="3164" xr:uid="{00000000-0005-0000-0000-00001F410000}"/>
    <cellStyle name="Normal 4 11 2" xfId="15330" xr:uid="{00000000-0005-0000-0000-000020410000}"/>
    <cellStyle name="Normal 4 12" xfId="3165" xr:uid="{00000000-0005-0000-0000-000021410000}"/>
    <cellStyle name="Normal 4 12 2" xfId="15331" xr:uid="{00000000-0005-0000-0000-000022410000}"/>
    <cellStyle name="Normal 4 13" xfId="9175" xr:uid="{00000000-0005-0000-0000-000023410000}"/>
    <cellStyle name="Normal 4 13 2" xfId="21281" xr:uid="{00000000-0005-0000-0000-000024410000}"/>
    <cellStyle name="Normal 4 14" xfId="9176" xr:uid="{00000000-0005-0000-0000-000025410000}"/>
    <cellStyle name="Normal 4 14 2" xfId="21282" xr:uid="{00000000-0005-0000-0000-000026410000}"/>
    <cellStyle name="Normal 4 15" xfId="94" xr:uid="{00000000-0005-0000-0000-000027410000}"/>
    <cellStyle name="Normal 4 15 2" xfId="21283" xr:uid="{00000000-0005-0000-0000-000028410000}"/>
    <cellStyle name="Normal 4 16" xfId="9177" xr:uid="{00000000-0005-0000-0000-000029410000}"/>
    <cellStyle name="Normal 4 16 2" xfId="21284" xr:uid="{00000000-0005-0000-0000-00002A410000}"/>
    <cellStyle name="Normal 4 17" xfId="9178" xr:uid="{00000000-0005-0000-0000-00002B410000}"/>
    <cellStyle name="Normal 4 17 2" xfId="21285" xr:uid="{00000000-0005-0000-0000-00002C410000}"/>
    <cellStyle name="Normal 4 18" xfId="9179" xr:uid="{00000000-0005-0000-0000-00002D410000}"/>
    <cellStyle name="Normal 4 18 2" xfId="21286" xr:uid="{00000000-0005-0000-0000-00002E410000}"/>
    <cellStyle name="Normal 4 19" xfId="9180" xr:uid="{00000000-0005-0000-0000-00002F410000}"/>
    <cellStyle name="Normal 4 19 2" xfId="21287" xr:uid="{00000000-0005-0000-0000-000030410000}"/>
    <cellStyle name="Normal 4 2" xfId="56" xr:uid="{00000000-0005-0000-0000-000031410000}"/>
    <cellStyle name="Normal 4 2 10" xfId="9181" xr:uid="{00000000-0005-0000-0000-000032410000}"/>
    <cellStyle name="Normal 4 2 10 2" xfId="21288" xr:uid="{00000000-0005-0000-0000-000033410000}"/>
    <cellStyle name="Normal 4 2 11" xfId="9182" xr:uid="{00000000-0005-0000-0000-000034410000}"/>
    <cellStyle name="Normal 4 2 11 2" xfId="21289" xr:uid="{00000000-0005-0000-0000-000035410000}"/>
    <cellStyle name="Normal 4 2 12" xfId="9183" xr:uid="{00000000-0005-0000-0000-000036410000}"/>
    <cellStyle name="Normal 4 2 12 2" xfId="21290" xr:uid="{00000000-0005-0000-0000-000037410000}"/>
    <cellStyle name="Normal 4 2 13" xfId="9184" xr:uid="{00000000-0005-0000-0000-000038410000}"/>
    <cellStyle name="Normal 4 2 13 2" xfId="21291" xr:uid="{00000000-0005-0000-0000-000039410000}"/>
    <cellStyle name="Normal 4 2 14" xfId="9185" xr:uid="{00000000-0005-0000-0000-00003A410000}"/>
    <cellStyle name="Normal 4 2 14 2" xfId="21292" xr:uid="{00000000-0005-0000-0000-00003B410000}"/>
    <cellStyle name="Normal 4 2 15" xfId="9186" xr:uid="{00000000-0005-0000-0000-00003C410000}"/>
    <cellStyle name="Normal 4 2 15 2" xfId="21293" xr:uid="{00000000-0005-0000-0000-00003D410000}"/>
    <cellStyle name="Normal 4 2 16" xfId="9187" xr:uid="{00000000-0005-0000-0000-00003E410000}"/>
    <cellStyle name="Normal 4 2 16 2" xfId="21294" xr:uid="{00000000-0005-0000-0000-00003F410000}"/>
    <cellStyle name="Normal 4 2 17" xfId="9188" xr:uid="{00000000-0005-0000-0000-000040410000}"/>
    <cellStyle name="Normal 4 2 17 2" xfId="21295" xr:uid="{00000000-0005-0000-0000-000041410000}"/>
    <cellStyle name="Normal 4 2 18" xfId="9189" xr:uid="{00000000-0005-0000-0000-000042410000}"/>
    <cellStyle name="Normal 4 2 18 2" xfId="21296" xr:uid="{00000000-0005-0000-0000-000043410000}"/>
    <cellStyle name="Normal 4 2 19" xfId="9190" xr:uid="{00000000-0005-0000-0000-000044410000}"/>
    <cellStyle name="Normal 4 2 19 2" xfId="21297" xr:uid="{00000000-0005-0000-0000-000045410000}"/>
    <cellStyle name="Normal 4 2 2" xfId="1507" xr:uid="{00000000-0005-0000-0000-000046410000}"/>
    <cellStyle name="Normal 4 2 2 2" xfId="15353" xr:uid="{00000000-0005-0000-0000-000047410000}"/>
    <cellStyle name="Normal 4 2 20" xfId="9191" xr:uid="{00000000-0005-0000-0000-000048410000}"/>
    <cellStyle name="Normal 4 2 20 2" xfId="21298" xr:uid="{00000000-0005-0000-0000-000049410000}"/>
    <cellStyle name="Normal 4 2 21" xfId="9192" xr:uid="{00000000-0005-0000-0000-00004A410000}"/>
    <cellStyle name="Normal 4 2 21 2" xfId="21299" xr:uid="{00000000-0005-0000-0000-00004B410000}"/>
    <cellStyle name="Normal 4 2 22" xfId="9193" xr:uid="{00000000-0005-0000-0000-00004C410000}"/>
    <cellStyle name="Normal 4 2 22 2" xfId="21300" xr:uid="{00000000-0005-0000-0000-00004D410000}"/>
    <cellStyle name="Normal 4 2 23" xfId="9194" xr:uid="{00000000-0005-0000-0000-00004E410000}"/>
    <cellStyle name="Normal 4 2 23 2" xfId="21301" xr:uid="{00000000-0005-0000-0000-00004F410000}"/>
    <cellStyle name="Normal 4 2 24" xfId="9195" xr:uid="{00000000-0005-0000-0000-000050410000}"/>
    <cellStyle name="Normal 4 2 24 2" xfId="21302" xr:uid="{00000000-0005-0000-0000-000051410000}"/>
    <cellStyle name="Normal 4 2 25" xfId="9196" xr:uid="{00000000-0005-0000-0000-000052410000}"/>
    <cellStyle name="Normal 4 2 25 2" xfId="21303" xr:uid="{00000000-0005-0000-0000-000053410000}"/>
    <cellStyle name="Normal 4 2 26" xfId="9197" xr:uid="{00000000-0005-0000-0000-000054410000}"/>
    <cellStyle name="Normal 4 2 26 2" xfId="21304" xr:uid="{00000000-0005-0000-0000-000055410000}"/>
    <cellStyle name="Normal 4 2 27" xfId="9198" xr:uid="{00000000-0005-0000-0000-000056410000}"/>
    <cellStyle name="Normal 4 2 27 2" xfId="21305" xr:uid="{00000000-0005-0000-0000-000057410000}"/>
    <cellStyle name="Normal 4 2 28" xfId="9199" xr:uid="{00000000-0005-0000-0000-000058410000}"/>
    <cellStyle name="Normal 4 2 28 2" xfId="21306" xr:uid="{00000000-0005-0000-0000-000059410000}"/>
    <cellStyle name="Normal 4 2 29" xfId="9200" xr:uid="{00000000-0005-0000-0000-00005A410000}"/>
    <cellStyle name="Normal 4 2 29 2" xfId="21307" xr:uid="{00000000-0005-0000-0000-00005B410000}"/>
    <cellStyle name="Normal 4 2 3" xfId="97" xr:uid="{00000000-0005-0000-0000-00005C410000}"/>
    <cellStyle name="Normal 4 2 3 2" xfId="21308" xr:uid="{00000000-0005-0000-0000-00005D410000}"/>
    <cellStyle name="Normal 4 2 3 3" xfId="9201" xr:uid="{00000000-0005-0000-0000-00005E410000}"/>
    <cellStyle name="Normal 4 2 30" xfId="9202" xr:uid="{00000000-0005-0000-0000-00005F410000}"/>
    <cellStyle name="Normal 4 2 30 2" xfId="21309" xr:uid="{00000000-0005-0000-0000-000060410000}"/>
    <cellStyle name="Normal 4 2 31" xfId="9203" xr:uid="{00000000-0005-0000-0000-000061410000}"/>
    <cellStyle name="Normal 4 2 31 2" xfId="21310" xr:uid="{00000000-0005-0000-0000-000062410000}"/>
    <cellStyle name="Normal 4 2 32" xfId="9204" xr:uid="{00000000-0005-0000-0000-000063410000}"/>
    <cellStyle name="Normal 4 2 32 2" xfId="21311" xr:uid="{00000000-0005-0000-0000-000064410000}"/>
    <cellStyle name="Normal 4 2 33" xfId="9205" xr:uid="{00000000-0005-0000-0000-000065410000}"/>
    <cellStyle name="Normal 4 2 33 2" xfId="21312" xr:uid="{00000000-0005-0000-0000-000066410000}"/>
    <cellStyle name="Normal 4 2 34" xfId="9206" xr:uid="{00000000-0005-0000-0000-000067410000}"/>
    <cellStyle name="Normal 4 2 34 2" xfId="21313" xr:uid="{00000000-0005-0000-0000-000068410000}"/>
    <cellStyle name="Normal 4 2 35" xfId="9207" xr:uid="{00000000-0005-0000-0000-000069410000}"/>
    <cellStyle name="Normal 4 2 35 2" xfId="21314" xr:uid="{00000000-0005-0000-0000-00006A410000}"/>
    <cellStyle name="Normal 4 2 36" xfId="9208" xr:uid="{00000000-0005-0000-0000-00006B410000}"/>
    <cellStyle name="Normal 4 2 36 2" xfId="21315" xr:uid="{00000000-0005-0000-0000-00006C410000}"/>
    <cellStyle name="Normal 4 2 37" xfId="9209" xr:uid="{00000000-0005-0000-0000-00006D410000}"/>
    <cellStyle name="Normal 4 2 37 2" xfId="21316" xr:uid="{00000000-0005-0000-0000-00006E410000}"/>
    <cellStyle name="Normal 4 2 38" xfId="9210" xr:uid="{00000000-0005-0000-0000-00006F410000}"/>
    <cellStyle name="Normal 4 2 38 2" xfId="21317" xr:uid="{00000000-0005-0000-0000-000070410000}"/>
    <cellStyle name="Normal 4 2 39" xfId="9211" xr:uid="{00000000-0005-0000-0000-000071410000}"/>
    <cellStyle name="Normal 4 2 39 2" xfId="21318" xr:uid="{00000000-0005-0000-0000-000072410000}"/>
    <cellStyle name="Normal 4 2 4" xfId="9212" xr:uid="{00000000-0005-0000-0000-000073410000}"/>
    <cellStyle name="Normal 4 2 4 2" xfId="21319" xr:uid="{00000000-0005-0000-0000-000074410000}"/>
    <cellStyle name="Normal 4 2 40" xfId="9213" xr:uid="{00000000-0005-0000-0000-000075410000}"/>
    <cellStyle name="Normal 4 2 40 2" xfId="21320" xr:uid="{00000000-0005-0000-0000-000076410000}"/>
    <cellStyle name="Normal 4 2 41" xfId="9214" xr:uid="{00000000-0005-0000-0000-000077410000}"/>
    <cellStyle name="Normal 4 2 41 2" xfId="21321" xr:uid="{00000000-0005-0000-0000-000078410000}"/>
    <cellStyle name="Normal 4 2 42" xfId="9215" xr:uid="{00000000-0005-0000-0000-000079410000}"/>
    <cellStyle name="Normal 4 2 42 2" xfId="21322" xr:uid="{00000000-0005-0000-0000-00007A410000}"/>
    <cellStyle name="Normal 4 2 43" xfId="9216" xr:uid="{00000000-0005-0000-0000-00007B410000}"/>
    <cellStyle name="Normal 4 2 43 2" xfId="21323" xr:uid="{00000000-0005-0000-0000-00007C410000}"/>
    <cellStyle name="Normal 4 2 44" xfId="9217" xr:uid="{00000000-0005-0000-0000-00007D410000}"/>
    <cellStyle name="Normal 4 2 44 2" xfId="21324" xr:uid="{00000000-0005-0000-0000-00007E410000}"/>
    <cellStyle name="Normal 4 2 45" xfId="9218" xr:uid="{00000000-0005-0000-0000-00007F410000}"/>
    <cellStyle name="Normal 4 2 45 2" xfId="21325" xr:uid="{00000000-0005-0000-0000-000080410000}"/>
    <cellStyle name="Normal 4 2 46" xfId="9219" xr:uid="{00000000-0005-0000-0000-000081410000}"/>
    <cellStyle name="Normal 4 2 46 2" xfId="21326" xr:uid="{00000000-0005-0000-0000-000082410000}"/>
    <cellStyle name="Normal 4 2 47" xfId="9220" xr:uid="{00000000-0005-0000-0000-000083410000}"/>
    <cellStyle name="Normal 4 2 47 2" xfId="21327" xr:uid="{00000000-0005-0000-0000-000084410000}"/>
    <cellStyle name="Normal 4 2 48" xfId="9221" xr:uid="{00000000-0005-0000-0000-000085410000}"/>
    <cellStyle name="Normal 4 2 48 2" xfId="21328" xr:uid="{00000000-0005-0000-0000-000086410000}"/>
    <cellStyle name="Normal 4 2 49" xfId="9222" xr:uid="{00000000-0005-0000-0000-000087410000}"/>
    <cellStyle name="Normal 4 2 49 2" xfId="21329" xr:uid="{00000000-0005-0000-0000-000088410000}"/>
    <cellStyle name="Normal 4 2 5" xfId="9223" xr:uid="{00000000-0005-0000-0000-000089410000}"/>
    <cellStyle name="Normal 4 2 5 2" xfId="21330" xr:uid="{00000000-0005-0000-0000-00008A410000}"/>
    <cellStyle name="Normal 4 2 50" xfId="9224" xr:uid="{00000000-0005-0000-0000-00008B410000}"/>
    <cellStyle name="Normal 4 2 50 2" xfId="21331" xr:uid="{00000000-0005-0000-0000-00008C410000}"/>
    <cellStyle name="Normal 4 2 51" xfId="9225" xr:uid="{00000000-0005-0000-0000-00008D410000}"/>
    <cellStyle name="Normal 4 2 51 2" xfId="21332" xr:uid="{00000000-0005-0000-0000-00008E410000}"/>
    <cellStyle name="Normal 4 2 52" xfId="9226" xr:uid="{00000000-0005-0000-0000-00008F410000}"/>
    <cellStyle name="Normal 4 2 52 2" xfId="21333" xr:uid="{00000000-0005-0000-0000-000090410000}"/>
    <cellStyle name="Normal 4 2 53" xfId="9227" xr:uid="{00000000-0005-0000-0000-000091410000}"/>
    <cellStyle name="Normal 4 2 53 2" xfId="21334" xr:uid="{00000000-0005-0000-0000-000092410000}"/>
    <cellStyle name="Normal 4 2 54" xfId="9228" xr:uid="{00000000-0005-0000-0000-000093410000}"/>
    <cellStyle name="Normal 4 2 54 2" xfId="21335" xr:uid="{00000000-0005-0000-0000-000094410000}"/>
    <cellStyle name="Normal 4 2 55" xfId="9229" xr:uid="{00000000-0005-0000-0000-000095410000}"/>
    <cellStyle name="Normal 4 2 55 2" xfId="21336" xr:uid="{00000000-0005-0000-0000-000096410000}"/>
    <cellStyle name="Normal 4 2 56" xfId="9230" xr:uid="{00000000-0005-0000-0000-000097410000}"/>
    <cellStyle name="Normal 4 2 56 2" xfId="21337" xr:uid="{00000000-0005-0000-0000-000098410000}"/>
    <cellStyle name="Normal 4 2 57" xfId="9231" xr:uid="{00000000-0005-0000-0000-000099410000}"/>
    <cellStyle name="Normal 4 2 57 2" xfId="21338" xr:uid="{00000000-0005-0000-0000-00009A410000}"/>
    <cellStyle name="Normal 4 2 58" xfId="9232" xr:uid="{00000000-0005-0000-0000-00009B410000}"/>
    <cellStyle name="Normal 4 2 58 2" xfId="21339" xr:uid="{00000000-0005-0000-0000-00009C410000}"/>
    <cellStyle name="Normal 4 2 59" xfId="9233" xr:uid="{00000000-0005-0000-0000-00009D410000}"/>
    <cellStyle name="Normal 4 2 59 2" xfId="21340" xr:uid="{00000000-0005-0000-0000-00009E410000}"/>
    <cellStyle name="Normal 4 2 6" xfId="9234" xr:uid="{00000000-0005-0000-0000-00009F410000}"/>
    <cellStyle name="Normal 4 2 6 2" xfId="21341" xr:uid="{00000000-0005-0000-0000-0000A0410000}"/>
    <cellStyle name="Normal 4 2 60" xfId="9235" xr:uid="{00000000-0005-0000-0000-0000A1410000}"/>
    <cellStyle name="Normal 4 2 60 2" xfId="21342" xr:uid="{00000000-0005-0000-0000-0000A2410000}"/>
    <cellStyle name="Normal 4 2 61" xfId="9236" xr:uid="{00000000-0005-0000-0000-0000A3410000}"/>
    <cellStyle name="Normal 4 2 61 2" xfId="21343" xr:uid="{00000000-0005-0000-0000-0000A4410000}"/>
    <cellStyle name="Normal 4 2 62" xfId="9237" xr:uid="{00000000-0005-0000-0000-0000A5410000}"/>
    <cellStyle name="Normal 4 2 62 2" xfId="21344" xr:uid="{00000000-0005-0000-0000-0000A6410000}"/>
    <cellStyle name="Normal 4 2 63" xfId="9238" xr:uid="{00000000-0005-0000-0000-0000A7410000}"/>
    <cellStyle name="Normal 4 2 63 2" xfId="21345" xr:uid="{00000000-0005-0000-0000-0000A8410000}"/>
    <cellStyle name="Normal 4 2 64" xfId="9239" xr:uid="{00000000-0005-0000-0000-0000A9410000}"/>
    <cellStyle name="Normal 4 2 64 2" xfId="21346" xr:uid="{00000000-0005-0000-0000-0000AA410000}"/>
    <cellStyle name="Normal 4 2 65" xfId="9240" xr:uid="{00000000-0005-0000-0000-0000AB410000}"/>
    <cellStyle name="Normal 4 2 65 2" xfId="21347" xr:uid="{00000000-0005-0000-0000-0000AC410000}"/>
    <cellStyle name="Normal 4 2 66" xfId="9241" xr:uid="{00000000-0005-0000-0000-0000AD410000}"/>
    <cellStyle name="Normal 4 2 66 2" xfId="21348" xr:uid="{00000000-0005-0000-0000-0000AE410000}"/>
    <cellStyle name="Normal 4 2 67" xfId="9242" xr:uid="{00000000-0005-0000-0000-0000AF410000}"/>
    <cellStyle name="Normal 4 2 67 2" xfId="21349" xr:uid="{00000000-0005-0000-0000-0000B0410000}"/>
    <cellStyle name="Normal 4 2 68" xfId="9243" xr:uid="{00000000-0005-0000-0000-0000B1410000}"/>
    <cellStyle name="Normal 4 2 68 2" xfId="21350" xr:uid="{00000000-0005-0000-0000-0000B2410000}"/>
    <cellStyle name="Normal 4 2 69" xfId="9244" xr:uid="{00000000-0005-0000-0000-0000B3410000}"/>
    <cellStyle name="Normal 4 2 69 2" xfId="21351" xr:uid="{00000000-0005-0000-0000-0000B4410000}"/>
    <cellStyle name="Normal 4 2 7" xfId="9245" xr:uid="{00000000-0005-0000-0000-0000B5410000}"/>
    <cellStyle name="Normal 4 2 7 2" xfId="21352" xr:uid="{00000000-0005-0000-0000-0000B6410000}"/>
    <cellStyle name="Normal 4 2 70" xfId="9246" xr:uid="{00000000-0005-0000-0000-0000B7410000}"/>
    <cellStyle name="Normal 4 2 70 2" xfId="21353" xr:uid="{00000000-0005-0000-0000-0000B8410000}"/>
    <cellStyle name="Normal 4 2 71" xfId="9247" xr:uid="{00000000-0005-0000-0000-0000B9410000}"/>
    <cellStyle name="Normal 4 2 71 2" xfId="21354" xr:uid="{00000000-0005-0000-0000-0000BA410000}"/>
    <cellStyle name="Normal 4 2 72" xfId="9248" xr:uid="{00000000-0005-0000-0000-0000BB410000}"/>
    <cellStyle name="Normal 4 2 72 2" xfId="21355" xr:uid="{00000000-0005-0000-0000-0000BC410000}"/>
    <cellStyle name="Normal 4 2 73" xfId="9249" xr:uid="{00000000-0005-0000-0000-0000BD410000}"/>
    <cellStyle name="Normal 4 2 73 2" xfId="21356" xr:uid="{00000000-0005-0000-0000-0000BE410000}"/>
    <cellStyle name="Normal 4 2 74" xfId="9250" xr:uid="{00000000-0005-0000-0000-0000BF410000}"/>
    <cellStyle name="Normal 4 2 74 2" xfId="21357" xr:uid="{00000000-0005-0000-0000-0000C0410000}"/>
    <cellStyle name="Normal 4 2 75" xfId="9251" xr:uid="{00000000-0005-0000-0000-0000C1410000}"/>
    <cellStyle name="Normal 4 2 75 2" xfId="21358" xr:uid="{00000000-0005-0000-0000-0000C2410000}"/>
    <cellStyle name="Normal 4 2 76" xfId="9252" xr:uid="{00000000-0005-0000-0000-0000C3410000}"/>
    <cellStyle name="Normal 4 2 76 2" xfId="21359" xr:uid="{00000000-0005-0000-0000-0000C4410000}"/>
    <cellStyle name="Normal 4 2 77" xfId="9253" xr:uid="{00000000-0005-0000-0000-0000C5410000}"/>
    <cellStyle name="Normal 4 2 77 2" xfId="21360" xr:uid="{00000000-0005-0000-0000-0000C6410000}"/>
    <cellStyle name="Normal 4 2 78" xfId="9254" xr:uid="{00000000-0005-0000-0000-0000C7410000}"/>
    <cellStyle name="Normal 4 2 78 2" xfId="21361" xr:uid="{00000000-0005-0000-0000-0000C8410000}"/>
    <cellStyle name="Normal 4 2 79" xfId="9255" xr:uid="{00000000-0005-0000-0000-0000C9410000}"/>
    <cellStyle name="Normal 4 2 79 2" xfId="21362" xr:uid="{00000000-0005-0000-0000-0000CA410000}"/>
    <cellStyle name="Normal 4 2 8" xfId="9256" xr:uid="{00000000-0005-0000-0000-0000CB410000}"/>
    <cellStyle name="Normal 4 2 8 2" xfId="21363" xr:uid="{00000000-0005-0000-0000-0000CC410000}"/>
    <cellStyle name="Normal 4 2 80" xfId="14996" xr:uid="{00000000-0005-0000-0000-0000CD410000}"/>
    <cellStyle name="Normal 4 2 81" xfId="15332" xr:uid="{00000000-0005-0000-0000-0000CE410000}"/>
    <cellStyle name="Normal 4 2 82" xfId="14952" xr:uid="{00000000-0005-0000-0000-0000CF410000}"/>
    <cellStyle name="Normal 4 2 83" xfId="3166" xr:uid="{00000000-0005-0000-0000-0000D0410000}"/>
    <cellStyle name="Normal 4 2 9" xfId="9257" xr:uid="{00000000-0005-0000-0000-0000D1410000}"/>
    <cellStyle name="Normal 4 2 9 2" xfId="21364" xr:uid="{00000000-0005-0000-0000-0000D2410000}"/>
    <cellStyle name="Normal 4 20" xfId="9258" xr:uid="{00000000-0005-0000-0000-0000D3410000}"/>
    <cellStyle name="Normal 4 20 2" xfId="21365" xr:uid="{00000000-0005-0000-0000-0000D4410000}"/>
    <cellStyle name="Normal 4 21" xfId="9259" xr:uid="{00000000-0005-0000-0000-0000D5410000}"/>
    <cellStyle name="Normal 4 21 2" xfId="21366" xr:uid="{00000000-0005-0000-0000-0000D6410000}"/>
    <cellStyle name="Normal 4 22" xfId="9260" xr:uid="{00000000-0005-0000-0000-0000D7410000}"/>
    <cellStyle name="Normal 4 22 2" xfId="21367" xr:uid="{00000000-0005-0000-0000-0000D8410000}"/>
    <cellStyle name="Normal 4 23" xfId="9261" xr:uid="{00000000-0005-0000-0000-0000D9410000}"/>
    <cellStyle name="Normal 4 23 2" xfId="21368" xr:uid="{00000000-0005-0000-0000-0000DA410000}"/>
    <cellStyle name="Normal 4 24" xfId="9262" xr:uid="{00000000-0005-0000-0000-0000DB410000}"/>
    <cellStyle name="Normal 4 24 2" xfId="21369" xr:uid="{00000000-0005-0000-0000-0000DC410000}"/>
    <cellStyle name="Normal 4 25" xfId="9263" xr:uid="{00000000-0005-0000-0000-0000DD410000}"/>
    <cellStyle name="Normal 4 25 2" xfId="21370" xr:uid="{00000000-0005-0000-0000-0000DE410000}"/>
    <cellStyle name="Normal 4 26" xfId="9264" xr:uid="{00000000-0005-0000-0000-0000DF410000}"/>
    <cellStyle name="Normal 4 26 2" xfId="21371" xr:uid="{00000000-0005-0000-0000-0000E0410000}"/>
    <cellStyle name="Normal 4 27" xfId="9265" xr:uid="{00000000-0005-0000-0000-0000E1410000}"/>
    <cellStyle name="Normal 4 27 2" xfId="21372" xr:uid="{00000000-0005-0000-0000-0000E2410000}"/>
    <cellStyle name="Normal 4 28" xfId="9266" xr:uid="{00000000-0005-0000-0000-0000E3410000}"/>
    <cellStyle name="Normal 4 28 2" xfId="21373" xr:uid="{00000000-0005-0000-0000-0000E4410000}"/>
    <cellStyle name="Normal 4 29" xfId="9267" xr:uid="{00000000-0005-0000-0000-0000E5410000}"/>
    <cellStyle name="Normal 4 29 2" xfId="21374" xr:uid="{00000000-0005-0000-0000-0000E6410000}"/>
    <cellStyle name="Normal 4 3" xfId="68" xr:uid="{00000000-0005-0000-0000-0000E7410000}"/>
    <cellStyle name="Normal 4 3 10" xfId="9268" xr:uid="{00000000-0005-0000-0000-0000E8410000}"/>
    <cellStyle name="Normal 4 3 10 2" xfId="21375" xr:uid="{00000000-0005-0000-0000-0000E9410000}"/>
    <cellStyle name="Normal 4 3 11" xfId="9269" xr:uid="{00000000-0005-0000-0000-0000EA410000}"/>
    <cellStyle name="Normal 4 3 11 2" xfId="21376" xr:uid="{00000000-0005-0000-0000-0000EB410000}"/>
    <cellStyle name="Normal 4 3 12" xfId="9270" xr:uid="{00000000-0005-0000-0000-0000EC410000}"/>
    <cellStyle name="Normal 4 3 12 2" xfId="21377" xr:uid="{00000000-0005-0000-0000-0000ED410000}"/>
    <cellStyle name="Normal 4 3 13" xfId="9271" xr:uid="{00000000-0005-0000-0000-0000EE410000}"/>
    <cellStyle name="Normal 4 3 13 2" xfId="21378" xr:uid="{00000000-0005-0000-0000-0000EF410000}"/>
    <cellStyle name="Normal 4 3 14" xfId="9272" xr:uid="{00000000-0005-0000-0000-0000F0410000}"/>
    <cellStyle name="Normal 4 3 14 2" xfId="21379" xr:uid="{00000000-0005-0000-0000-0000F1410000}"/>
    <cellStyle name="Normal 4 3 15" xfId="9273" xr:uid="{00000000-0005-0000-0000-0000F2410000}"/>
    <cellStyle name="Normal 4 3 15 2" xfId="21380" xr:uid="{00000000-0005-0000-0000-0000F3410000}"/>
    <cellStyle name="Normal 4 3 16" xfId="9274" xr:uid="{00000000-0005-0000-0000-0000F4410000}"/>
    <cellStyle name="Normal 4 3 16 2" xfId="21381" xr:uid="{00000000-0005-0000-0000-0000F5410000}"/>
    <cellStyle name="Normal 4 3 17" xfId="9275" xr:uid="{00000000-0005-0000-0000-0000F6410000}"/>
    <cellStyle name="Normal 4 3 17 2" xfId="21382" xr:uid="{00000000-0005-0000-0000-0000F7410000}"/>
    <cellStyle name="Normal 4 3 18" xfId="9276" xr:uid="{00000000-0005-0000-0000-0000F8410000}"/>
    <cellStyle name="Normal 4 3 18 2" xfId="21383" xr:uid="{00000000-0005-0000-0000-0000F9410000}"/>
    <cellStyle name="Normal 4 3 19" xfId="9277" xr:uid="{00000000-0005-0000-0000-0000FA410000}"/>
    <cellStyle name="Normal 4 3 19 2" xfId="21384" xr:uid="{00000000-0005-0000-0000-0000FB410000}"/>
    <cellStyle name="Normal 4 3 2" xfId="1509" xr:uid="{00000000-0005-0000-0000-0000FC410000}"/>
    <cellStyle name="Normal 4 3 2 2" xfId="21385" xr:uid="{00000000-0005-0000-0000-0000FD410000}"/>
    <cellStyle name="Normal 4 3 20" xfId="9278" xr:uid="{00000000-0005-0000-0000-0000FE410000}"/>
    <cellStyle name="Normal 4 3 20 2" xfId="21386" xr:uid="{00000000-0005-0000-0000-0000FF410000}"/>
    <cellStyle name="Normal 4 3 21" xfId="9279" xr:uid="{00000000-0005-0000-0000-000000420000}"/>
    <cellStyle name="Normal 4 3 21 2" xfId="21387" xr:uid="{00000000-0005-0000-0000-000001420000}"/>
    <cellStyle name="Normal 4 3 22" xfId="9280" xr:uid="{00000000-0005-0000-0000-000002420000}"/>
    <cellStyle name="Normal 4 3 22 2" xfId="21388" xr:uid="{00000000-0005-0000-0000-000003420000}"/>
    <cellStyle name="Normal 4 3 23" xfId="9281" xr:uid="{00000000-0005-0000-0000-000004420000}"/>
    <cellStyle name="Normal 4 3 23 2" xfId="21389" xr:uid="{00000000-0005-0000-0000-000005420000}"/>
    <cellStyle name="Normal 4 3 24" xfId="9282" xr:uid="{00000000-0005-0000-0000-000006420000}"/>
    <cellStyle name="Normal 4 3 24 2" xfId="21390" xr:uid="{00000000-0005-0000-0000-000007420000}"/>
    <cellStyle name="Normal 4 3 25" xfId="9283" xr:uid="{00000000-0005-0000-0000-000008420000}"/>
    <cellStyle name="Normal 4 3 25 2" xfId="21391" xr:uid="{00000000-0005-0000-0000-000009420000}"/>
    <cellStyle name="Normal 4 3 26" xfId="9284" xr:uid="{00000000-0005-0000-0000-00000A420000}"/>
    <cellStyle name="Normal 4 3 26 2" xfId="21392" xr:uid="{00000000-0005-0000-0000-00000B420000}"/>
    <cellStyle name="Normal 4 3 27" xfId="9285" xr:uid="{00000000-0005-0000-0000-00000C420000}"/>
    <cellStyle name="Normal 4 3 27 2" xfId="21393" xr:uid="{00000000-0005-0000-0000-00000D420000}"/>
    <cellStyle name="Normal 4 3 28" xfId="9286" xr:uid="{00000000-0005-0000-0000-00000E420000}"/>
    <cellStyle name="Normal 4 3 28 2" xfId="21394" xr:uid="{00000000-0005-0000-0000-00000F420000}"/>
    <cellStyle name="Normal 4 3 29" xfId="9287" xr:uid="{00000000-0005-0000-0000-000010420000}"/>
    <cellStyle name="Normal 4 3 29 2" xfId="21395" xr:uid="{00000000-0005-0000-0000-000011420000}"/>
    <cellStyle name="Normal 4 3 3" xfId="110" xr:uid="{00000000-0005-0000-0000-000012420000}"/>
    <cellStyle name="Normal 4 3 3 2" xfId="21396" xr:uid="{00000000-0005-0000-0000-000013420000}"/>
    <cellStyle name="Normal 4 3 3 3" xfId="9288" xr:uid="{00000000-0005-0000-0000-000014420000}"/>
    <cellStyle name="Normal 4 3 30" xfId="9289" xr:uid="{00000000-0005-0000-0000-000015420000}"/>
    <cellStyle name="Normal 4 3 30 2" xfId="21397" xr:uid="{00000000-0005-0000-0000-000016420000}"/>
    <cellStyle name="Normal 4 3 31" xfId="9290" xr:uid="{00000000-0005-0000-0000-000017420000}"/>
    <cellStyle name="Normal 4 3 31 2" xfId="21398" xr:uid="{00000000-0005-0000-0000-000018420000}"/>
    <cellStyle name="Normal 4 3 32" xfId="9291" xr:uid="{00000000-0005-0000-0000-000019420000}"/>
    <cellStyle name="Normal 4 3 32 2" xfId="21399" xr:uid="{00000000-0005-0000-0000-00001A420000}"/>
    <cellStyle name="Normal 4 3 33" xfId="9292" xr:uid="{00000000-0005-0000-0000-00001B420000}"/>
    <cellStyle name="Normal 4 3 33 2" xfId="21400" xr:uid="{00000000-0005-0000-0000-00001C420000}"/>
    <cellStyle name="Normal 4 3 34" xfId="9293" xr:uid="{00000000-0005-0000-0000-00001D420000}"/>
    <cellStyle name="Normal 4 3 34 2" xfId="21401" xr:uid="{00000000-0005-0000-0000-00001E420000}"/>
    <cellStyle name="Normal 4 3 35" xfId="9294" xr:uid="{00000000-0005-0000-0000-00001F420000}"/>
    <cellStyle name="Normal 4 3 35 2" xfId="21402" xr:uid="{00000000-0005-0000-0000-000020420000}"/>
    <cellStyle name="Normal 4 3 36" xfId="9295" xr:uid="{00000000-0005-0000-0000-000021420000}"/>
    <cellStyle name="Normal 4 3 36 2" xfId="21403" xr:uid="{00000000-0005-0000-0000-000022420000}"/>
    <cellStyle name="Normal 4 3 37" xfId="9296" xr:uid="{00000000-0005-0000-0000-000023420000}"/>
    <cellStyle name="Normal 4 3 37 2" xfId="21404" xr:uid="{00000000-0005-0000-0000-000024420000}"/>
    <cellStyle name="Normal 4 3 38" xfId="9297" xr:uid="{00000000-0005-0000-0000-000025420000}"/>
    <cellStyle name="Normal 4 3 38 2" xfId="21405" xr:uid="{00000000-0005-0000-0000-000026420000}"/>
    <cellStyle name="Normal 4 3 39" xfId="9298" xr:uid="{00000000-0005-0000-0000-000027420000}"/>
    <cellStyle name="Normal 4 3 39 2" xfId="21406" xr:uid="{00000000-0005-0000-0000-000028420000}"/>
    <cellStyle name="Normal 4 3 4" xfId="9299" xr:uid="{00000000-0005-0000-0000-000029420000}"/>
    <cellStyle name="Normal 4 3 4 2" xfId="21407" xr:uid="{00000000-0005-0000-0000-00002A420000}"/>
    <cellStyle name="Normal 4 3 40" xfId="9300" xr:uid="{00000000-0005-0000-0000-00002B420000}"/>
    <cellStyle name="Normal 4 3 40 2" xfId="21408" xr:uid="{00000000-0005-0000-0000-00002C420000}"/>
    <cellStyle name="Normal 4 3 41" xfId="9301" xr:uid="{00000000-0005-0000-0000-00002D420000}"/>
    <cellStyle name="Normal 4 3 41 2" xfId="21409" xr:uid="{00000000-0005-0000-0000-00002E420000}"/>
    <cellStyle name="Normal 4 3 42" xfId="9302" xr:uid="{00000000-0005-0000-0000-00002F420000}"/>
    <cellStyle name="Normal 4 3 42 2" xfId="21410" xr:uid="{00000000-0005-0000-0000-000030420000}"/>
    <cellStyle name="Normal 4 3 43" xfId="9303" xr:uid="{00000000-0005-0000-0000-000031420000}"/>
    <cellStyle name="Normal 4 3 43 2" xfId="21411" xr:uid="{00000000-0005-0000-0000-000032420000}"/>
    <cellStyle name="Normal 4 3 44" xfId="9304" xr:uid="{00000000-0005-0000-0000-000033420000}"/>
    <cellStyle name="Normal 4 3 44 2" xfId="21412" xr:uid="{00000000-0005-0000-0000-000034420000}"/>
    <cellStyle name="Normal 4 3 45" xfId="9305" xr:uid="{00000000-0005-0000-0000-000035420000}"/>
    <cellStyle name="Normal 4 3 45 2" xfId="21413" xr:uid="{00000000-0005-0000-0000-000036420000}"/>
    <cellStyle name="Normal 4 3 46" xfId="9306" xr:uid="{00000000-0005-0000-0000-000037420000}"/>
    <cellStyle name="Normal 4 3 46 2" xfId="21414" xr:uid="{00000000-0005-0000-0000-000038420000}"/>
    <cellStyle name="Normal 4 3 47" xfId="9307" xr:uid="{00000000-0005-0000-0000-000039420000}"/>
    <cellStyle name="Normal 4 3 47 2" xfId="21415" xr:uid="{00000000-0005-0000-0000-00003A420000}"/>
    <cellStyle name="Normal 4 3 48" xfId="9308" xr:uid="{00000000-0005-0000-0000-00003B420000}"/>
    <cellStyle name="Normal 4 3 48 2" xfId="21416" xr:uid="{00000000-0005-0000-0000-00003C420000}"/>
    <cellStyle name="Normal 4 3 49" xfId="9309" xr:uid="{00000000-0005-0000-0000-00003D420000}"/>
    <cellStyle name="Normal 4 3 49 2" xfId="21417" xr:uid="{00000000-0005-0000-0000-00003E420000}"/>
    <cellStyle name="Normal 4 3 5" xfId="9310" xr:uid="{00000000-0005-0000-0000-00003F420000}"/>
    <cellStyle name="Normal 4 3 5 2" xfId="21418" xr:uid="{00000000-0005-0000-0000-000040420000}"/>
    <cellStyle name="Normal 4 3 50" xfId="9311" xr:uid="{00000000-0005-0000-0000-000041420000}"/>
    <cellStyle name="Normal 4 3 50 2" xfId="21419" xr:uid="{00000000-0005-0000-0000-000042420000}"/>
    <cellStyle name="Normal 4 3 51" xfId="9312" xr:uid="{00000000-0005-0000-0000-000043420000}"/>
    <cellStyle name="Normal 4 3 51 2" xfId="21420" xr:uid="{00000000-0005-0000-0000-000044420000}"/>
    <cellStyle name="Normal 4 3 52" xfId="9313" xr:uid="{00000000-0005-0000-0000-000045420000}"/>
    <cellStyle name="Normal 4 3 52 2" xfId="21421" xr:uid="{00000000-0005-0000-0000-000046420000}"/>
    <cellStyle name="Normal 4 3 53" xfId="9314" xr:uid="{00000000-0005-0000-0000-000047420000}"/>
    <cellStyle name="Normal 4 3 53 2" xfId="21422" xr:uid="{00000000-0005-0000-0000-000048420000}"/>
    <cellStyle name="Normal 4 3 54" xfId="9315" xr:uid="{00000000-0005-0000-0000-000049420000}"/>
    <cellStyle name="Normal 4 3 54 2" xfId="21423" xr:uid="{00000000-0005-0000-0000-00004A420000}"/>
    <cellStyle name="Normal 4 3 55" xfId="9316" xr:uid="{00000000-0005-0000-0000-00004B420000}"/>
    <cellStyle name="Normal 4 3 55 2" xfId="21424" xr:uid="{00000000-0005-0000-0000-00004C420000}"/>
    <cellStyle name="Normal 4 3 56" xfId="9317" xr:uid="{00000000-0005-0000-0000-00004D420000}"/>
    <cellStyle name="Normal 4 3 56 2" xfId="21425" xr:uid="{00000000-0005-0000-0000-00004E420000}"/>
    <cellStyle name="Normal 4 3 57" xfId="9318" xr:uid="{00000000-0005-0000-0000-00004F420000}"/>
    <cellStyle name="Normal 4 3 57 2" xfId="21426" xr:uid="{00000000-0005-0000-0000-000050420000}"/>
    <cellStyle name="Normal 4 3 58" xfId="9319" xr:uid="{00000000-0005-0000-0000-000051420000}"/>
    <cellStyle name="Normal 4 3 58 2" xfId="21427" xr:uid="{00000000-0005-0000-0000-000052420000}"/>
    <cellStyle name="Normal 4 3 59" xfId="9320" xr:uid="{00000000-0005-0000-0000-000053420000}"/>
    <cellStyle name="Normal 4 3 59 2" xfId="21428" xr:uid="{00000000-0005-0000-0000-000054420000}"/>
    <cellStyle name="Normal 4 3 6" xfId="9321" xr:uid="{00000000-0005-0000-0000-000055420000}"/>
    <cellStyle name="Normal 4 3 6 2" xfId="21429" xr:uid="{00000000-0005-0000-0000-000056420000}"/>
    <cellStyle name="Normal 4 3 60" xfId="9322" xr:uid="{00000000-0005-0000-0000-000057420000}"/>
    <cellStyle name="Normal 4 3 60 2" xfId="21430" xr:uid="{00000000-0005-0000-0000-000058420000}"/>
    <cellStyle name="Normal 4 3 61" xfId="9323" xr:uid="{00000000-0005-0000-0000-000059420000}"/>
    <cellStyle name="Normal 4 3 61 2" xfId="21431" xr:uid="{00000000-0005-0000-0000-00005A420000}"/>
    <cellStyle name="Normal 4 3 62" xfId="9324" xr:uid="{00000000-0005-0000-0000-00005B420000}"/>
    <cellStyle name="Normal 4 3 62 2" xfId="21432" xr:uid="{00000000-0005-0000-0000-00005C420000}"/>
    <cellStyle name="Normal 4 3 63" xfId="9325" xr:uid="{00000000-0005-0000-0000-00005D420000}"/>
    <cellStyle name="Normal 4 3 63 2" xfId="21433" xr:uid="{00000000-0005-0000-0000-00005E420000}"/>
    <cellStyle name="Normal 4 3 64" xfId="9326" xr:uid="{00000000-0005-0000-0000-00005F420000}"/>
    <cellStyle name="Normal 4 3 64 2" xfId="21434" xr:uid="{00000000-0005-0000-0000-000060420000}"/>
    <cellStyle name="Normal 4 3 65" xfId="9327" xr:uid="{00000000-0005-0000-0000-000061420000}"/>
    <cellStyle name="Normal 4 3 65 2" xfId="21435" xr:uid="{00000000-0005-0000-0000-000062420000}"/>
    <cellStyle name="Normal 4 3 66" xfId="9328" xr:uid="{00000000-0005-0000-0000-000063420000}"/>
    <cellStyle name="Normal 4 3 66 2" xfId="21436" xr:uid="{00000000-0005-0000-0000-000064420000}"/>
    <cellStyle name="Normal 4 3 67" xfId="9329" xr:uid="{00000000-0005-0000-0000-000065420000}"/>
    <cellStyle name="Normal 4 3 67 2" xfId="21437" xr:uid="{00000000-0005-0000-0000-000066420000}"/>
    <cellStyle name="Normal 4 3 68" xfId="9330" xr:uid="{00000000-0005-0000-0000-000067420000}"/>
    <cellStyle name="Normal 4 3 68 2" xfId="21438" xr:uid="{00000000-0005-0000-0000-000068420000}"/>
    <cellStyle name="Normal 4 3 69" xfId="9331" xr:uid="{00000000-0005-0000-0000-000069420000}"/>
    <cellStyle name="Normal 4 3 69 2" xfId="21439" xr:uid="{00000000-0005-0000-0000-00006A420000}"/>
    <cellStyle name="Normal 4 3 7" xfId="9332" xr:uid="{00000000-0005-0000-0000-00006B420000}"/>
    <cellStyle name="Normal 4 3 7 2" xfId="21440" xr:uid="{00000000-0005-0000-0000-00006C420000}"/>
    <cellStyle name="Normal 4 3 70" xfId="9333" xr:uid="{00000000-0005-0000-0000-00006D420000}"/>
    <cellStyle name="Normal 4 3 70 2" xfId="21441" xr:uid="{00000000-0005-0000-0000-00006E420000}"/>
    <cellStyle name="Normal 4 3 71" xfId="9334" xr:uid="{00000000-0005-0000-0000-00006F420000}"/>
    <cellStyle name="Normal 4 3 71 2" xfId="21442" xr:uid="{00000000-0005-0000-0000-000070420000}"/>
    <cellStyle name="Normal 4 3 72" xfId="9335" xr:uid="{00000000-0005-0000-0000-000071420000}"/>
    <cellStyle name="Normal 4 3 72 2" xfId="21443" xr:uid="{00000000-0005-0000-0000-000072420000}"/>
    <cellStyle name="Normal 4 3 73" xfId="9336" xr:uid="{00000000-0005-0000-0000-000073420000}"/>
    <cellStyle name="Normal 4 3 73 2" xfId="21444" xr:uid="{00000000-0005-0000-0000-000074420000}"/>
    <cellStyle name="Normal 4 3 74" xfId="9337" xr:uid="{00000000-0005-0000-0000-000075420000}"/>
    <cellStyle name="Normal 4 3 74 2" xfId="21445" xr:uid="{00000000-0005-0000-0000-000076420000}"/>
    <cellStyle name="Normal 4 3 75" xfId="9338" xr:uid="{00000000-0005-0000-0000-000077420000}"/>
    <cellStyle name="Normal 4 3 75 2" xfId="21446" xr:uid="{00000000-0005-0000-0000-000078420000}"/>
    <cellStyle name="Normal 4 3 76" xfId="9339" xr:uid="{00000000-0005-0000-0000-000079420000}"/>
    <cellStyle name="Normal 4 3 76 2" xfId="21447" xr:uid="{00000000-0005-0000-0000-00007A420000}"/>
    <cellStyle name="Normal 4 3 77" xfId="9340" xr:uid="{00000000-0005-0000-0000-00007B420000}"/>
    <cellStyle name="Normal 4 3 77 2" xfId="21448" xr:uid="{00000000-0005-0000-0000-00007C420000}"/>
    <cellStyle name="Normal 4 3 78" xfId="9341" xr:uid="{00000000-0005-0000-0000-00007D420000}"/>
    <cellStyle name="Normal 4 3 78 2" xfId="21449" xr:uid="{00000000-0005-0000-0000-00007E420000}"/>
    <cellStyle name="Normal 4 3 79" xfId="9342" xr:uid="{00000000-0005-0000-0000-00007F420000}"/>
    <cellStyle name="Normal 4 3 79 2" xfId="21450" xr:uid="{00000000-0005-0000-0000-000080420000}"/>
    <cellStyle name="Normal 4 3 8" xfId="9343" xr:uid="{00000000-0005-0000-0000-000081420000}"/>
    <cellStyle name="Normal 4 3 8 2" xfId="21451" xr:uid="{00000000-0005-0000-0000-000082420000}"/>
    <cellStyle name="Normal 4 3 80" xfId="15333" xr:uid="{00000000-0005-0000-0000-000083420000}"/>
    <cellStyle name="Normal 4 3 81" xfId="3167" xr:uid="{00000000-0005-0000-0000-000084420000}"/>
    <cellStyle name="Normal 4 3 9" xfId="9344" xr:uid="{00000000-0005-0000-0000-000085420000}"/>
    <cellStyle name="Normal 4 3 9 2" xfId="21452" xr:uid="{00000000-0005-0000-0000-000086420000}"/>
    <cellStyle name="Normal 4 30" xfId="9345" xr:uid="{00000000-0005-0000-0000-000087420000}"/>
    <cellStyle name="Normal 4 30 2" xfId="21453" xr:uid="{00000000-0005-0000-0000-000088420000}"/>
    <cellStyle name="Normal 4 31" xfId="9346" xr:uid="{00000000-0005-0000-0000-000089420000}"/>
    <cellStyle name="Normal 4 31 2" xfId="21454" xr:uid="{00000000-0005-0000-0000-00008A420000}"/>
    <cellStyle name="Normal 4 32" xfId="9347" xr:uid="{00000000-0005-0000-0000-00008B420000}"/>
    <cellStyle name="Normal 4 32 2" xfId="21455" xr:uid="{00000000-0005-0000-0000-00008C420000}"/>
    <cellStyle name="Normal 4 33" xfId="9348" xr:uid="{00000000-0005-0000-0000-00008D420000}"/>
    <cellStyle name="Normal 4 33 2" xfId="21456" xr:uid="{00000000-0005-0000-0000-00008E420000}"/>
    <cellStyle name="Normal 4 34" xfId="9349" xr:uid="{00000000-0005-0000-0000-00008F420000}"/>
    <cellStyle name="Normal 4 34 2" xfId="21457" xr:uid="{00000000-0005-0000-0000-000090420000}"/>
    <cellStyle name="Normal 4 35" xfId="9350" xr:uid="{00000000-0005-0000-0000-000091420000}"/>
    <cellStyle name="Normal 4 35 2" xfId="21458" xr:uid="{00000000-0005-0000-0000-000092420000}"/>
    <cellStyle name="Normal 4 36" xfId="9351" xr:uid="{00000000-0005-0000-0000-000093420000}"/>
    <cellStyle name="Normal 4 36 2" xfId="21459" xr:uid="{00000000-0005-0000-0000-000094420000}"/>
    <cellStyle name="Normal 4 37" xfId="9352" xr:uid="{00000000-0005-0000-0000-000095420000}"/>
    <cellStyle name="Normal 4 37 2" xfId="21460" xr:uid="{00000000-0005-0000-0000-000096420000}"/>
    <cellStyle name="Normal 4 38" xfId="9353" xr:uid="{00000000-0005-0000-0000-000097420000}"/>
    <cellStyle name="Normal 4 38 2" xfId="21461" xr:uid="{00000000-0005-0000-0000-000098420000}"/>
    <cellStyle name="Normal 4 39" xfId="9354" xr:uid="{00000000-0005-0000-0000-000099420000}"/>
    <cellStyle name="Normal 4 39 2" xfId="21462" xr:uid="{00000000-0005-0000-0000-00009A420000}"/>
    <cellStyle name="Normal 4 4" xfId="117" xr:uid="{00000000-0005-0000-0000-00009B420000}"/>
    <cellStyle name="Normal 4 4 10" xfId="9355" xr:uid="{00000000-0005-0000-0000-00009C420000}"/>
    <cellStyle name="Normal 4 4 10 2" xfId="21463" xr:uid="{00000000-0005-0000-0000-00009D420000}"/>
    <cellStyle name="Normal 4 4 11" xfId="9356" xr:uid="{00000000-0005-0000-0000-00009E420000}"/>
    <cellStyle name="Normal 4 4 11 2" xfId="21464" xr:uid="{00000000-0005-0000-0000-00009F420000}"/>
    <cellStyle name="Normal 4 4 12" xfId="9357" xr:uid="{00000000-0005-0000-0000-0000A0420000}"/>
    <cellStyle name="Normal 4 4 12 2" xfId="21465" xr:uid="{00000000-0005-0000-0000-0000A1420000}"/>
    <cellStyle name="Normal 4 4 13" xfId="9358" xr:uid="{00000000-0005-0000-0000-0000A2420000}"/>
    <cellStyle name="Normal 4 4 13 2" xfId="21466" xr:uid="{00000000-0005-0000-0000-0000A3420000}"/>
    <cellStyle name="Normal 4 4 14" xfId="9359" xr:uid="{00000000-0005-0000-0000-0000A4420000}"/>
    <cellStyle name="Normal 4 4 14 2" xfId="21467" xr:uid="{00000000-0005-0000-0000-0000A5420000}"/>
    <cellStyle name="Normal 4 4 15" xfId="9360" xr:uid="{00000000-0005-0000-0000-0000A6420000}"/>
    <cellStyle name="Normal 4 4 15 2" xfId="21468" xr:uid="{00000000-0005-0000-0000-0000A7420000}"/>
    <cellStyle name="Normal 4 4 16" xfId="9361" xr:uid="{00000000-0005-0000-0000-0000A8420000}"/>
    <cellStyle name="Normal 4 4 16 2" xfId="21469" xr:uid="{00000000-0005-0000-0000-0000A9420000}"/>
    <cellStyle name="Normal 4 4 17" xfId="9362" xr:uid="{00000000-0005-0000-0000-0000AA420000}"/>
    <cellStyle name="Normal 4 4 17 2" xfId="21470" xr:uid="{00000000-0005-0000-0000-0000AB420000}"/>
    <cellStyle name="Normal 4 4 18" xfId="9363" xr:uid="{00000000-0005-0000-0000-0000AC420000}"/>
    <cellStyle name="Normal 4 4 18 2" xfId="21471" xr:uid="{00000000-0005-0000-0000-0000AD420000}"/>
    <cellStyle name="Normal 4 4 19" xfId="9364" xr:uid="{00000000-0005-0000-0000-0000AE420000}"/>
    <cellStyle name="Normal 4 4 19 2" xfId="21472" xr:uid="{00000000-0005-0000-0000-0000AF420000}"/>
    <cellStyle name="Normal 4 4 2" xfId="9365" xr:uid="{00000000-0005-0000-0000-0000B0420000}"/>
    <cellStyle name="Normal 4 4 2 2" xfId="21473" xr:uid="{00000000-0005-0000-0000-0000B1420000}"/>
    <cellStyle name="Normal 4 4 20" xfId="9366" xr:uid="{00000000-0005-0000-0000-0000B2420000}"/>
    <cellStyle name="Normal 4 4 20 2" xfId="21474" xr:uid="{00000000-0005-0000-0000-0000B3420000}"/>
    <cellStyle name="Normal 4 4 21" xfId="9367" xr:uid="{00000000-0005-0000-0000-0000B4420000}"/>
    <cellStyle name="Normal 4 4 21 2" xfId="21475" xr:uid="{00000000-0005-0000-0000-0000B5420000}"/>
    <cellStyle name="Normal 4 4 22" xfId="9368" xr:uid="{00000000-0005-0000-0000-0000B6420000}"/>
    <cellStyle name="Normal 4 4 22 2" xfId="21476" xr:uid="{00000000-0005-0000-0000-0000B7420000}"/>
    <cellStyle name="Normal 4 4 23" xfId="9369" xr:uid="{00000000-0005-0000-0000-0000B8420000}"/>
    <cellStyle name="Normal 4 4 23 2" xfId="21477" xr:uid="{00000000-0005-0000-0000-0000B9420000}"/>
    <cellStyle name="Normal 4 4 24" xfId="9370" xr:uid="{00000000-0005-0000-0000-0000BA420000}"/>
    <cellStyle name="Normal 4 4 24 2" xfId="21478" xr:uid="{00000000-0005-0000-0000-0000BB420000}"/>
    <cellStyle name="Normal 4 4 25" xfId="9371" xr:uid="{00000000-0005-0000-0000-0000BC420000}"/>
    <cellStyle name="Normal 4 4 25 2" xfId="21479" xr:uid="{00000000-0005-0000-0000-0000BD420000}"/>
    <cellStyle name="Normal 4 4 26" xfId="9372" xr:uid="{00000000-0005-0000-0000-0000BE420000}"/>
    <cellStyle name="Normal 4 4 26 2" xfId="21480" xr:uid="{00000000-0005-0000-0000-0000BF420000}"/>
    <cellStyle name="Normal 4 4 27" xfId="9373" xr:uid="{00000000-0005-0000-0000-0000C0420000}"/>
    <cellStyle name="Normal 4 4 27 2" xfId="21481" xr:uid="{00000000-0005-0000-0000-0000C1420000}"/>
    <cellStyle name="Normal 4 4 28" xfId="9374" xr:uid="{00000000-0005-0000-0000-0000C2420000}"/>
    <cellStyle name="Normal 4 4 28 2" xfId="21482" xr:uid="{00000000-0005-0000-0000-0000C3420000}"/>
    <cellStyle name="Normal 4 4 29" xfId="9375" xr:uid="{00000000-0005-0000-0000-0000C4420000}"/>
    <cellStyle name="Normal 4 4 29 2" xfId="21483" xr:uid="{00000000-0005-0000-0000-0000C5420000}"/>
    <cellStyle name="Normal 4 4 3" xfId="9376" xr:uid="{00000000-0005-0000-0000-0000C6420000}"/>
    <cellStyle name="Normal 4 4 3 2" xfId="21484" xr:uid="{00000000-0005-0000-0000-0000C7420000}"/>
    <cellStyle name="Normal 4 4 30" xfId="9377" xr:uid="{00000000-0005-0000-0000-0000C8420000}"/>
    <cellStyle name="Normal 4 4 30 2" xfId="21485" xr:uid="{00000000-0005-0000-0000-0000C9420000}"/>
    <cellStyle name="Normal 4 4 31" xfId="9378" xr:uid="{00000000-0005-0000-0000-0000CA420000}"/>
    <cellStyle name="Normal 4 4 31 2" xfId="21486" xr:uid="{00000000-0005-0000-0000-0000CB420000}"/>
    <cellStyle name="Normal 4 4 32" xfId="9379" xr:uid="{00000000-0005-0000-0000-0000CC420000}"/>
    <cellStyle name="Normal 4 4 32 2" xfId="21487" xr:uid="{00000000-0005-0000-0000-0000CD420000}"/>
    <cellStyle name="Normal 4 4 33" xfId="9380" xr:uid="{00000000-0005-0000-0000-0000CE420000}"/>
    <cellStyle name="Normal 4 4 33 2" xfId="21488" xr:uid="{00000000-0005-0000-0000-0000CF420000}"/>
    <cellStyle name="Normal 4 4 34" xfId="9381" xr:uid="{00000000-0005-0000-0000-0000D0420000}"/>
    <cellStyle name="Normal 4 4 34 2" xfId="21489" xr:uid="{00000000-0005-0000-0000-0000D1420000}"/>
    <cellStyle name="Normal 4 4 35" xfId="9382" xr:uid="{00000000-0005-0000-0000-0000D2420000}"/>
    <cellStyle name="Normal 4 4 35 2" xfId="21490" xr:uid="{00000000-0005-0000-0000-0000D3420000}"/>
    <cellStyle name="Normal 4 4 36" xfId="9383" xr:uid="{00000000-0005-0000-0000-0000D4420000}"/>
    <cellStyle name="Normal 4 4 36 2" xfId="21491" xr:uid="{00000000-0005-0000-0000-0000D5420000}"/>
    <cellStyle name="Normal 4 4 37" xfId="9384" xr:uid="{00000000-0005-0000-0000-0000D6420000}"/>
    <cellStyle name="Normal 4 4 37 2" xfId="21492" xr:uid="{00000000-0005-0000-0000-0000D7420000}"/>
    <cellStyle name="Normal 4 4 38" xfId="9385" xr:uid="{00000000-0005-0000-0000-0000D8420000}"/>
    <cellStyle name="Normal 4 4 38 2" xfId="21493" xr:uid="{00000000-0005-0000-0000-0000D9420000}"/>
    <cellStyle name="Normal 4 4 39" xfId="9386" xr:uid="{00000000-0005-0000-0000-0000DA420000}"/>
    <cellStyle name="Normal 4 4 39 2" xfId="21494" xr:uid="{00000000-0005-0000-0000-0000DB420000}"/>
    <cellStyle name="Normal 4 4 4" xfId="9387" xr:uid="{00000000-0005-0000-0000-0000DC420000}"/>
    <cellStyle name="Normal 4 4 4 2" xfId="21495" xr:uid="{00000000-0005-0000-0000-0000DD420000}"/>
    <cellStyle name="Normal 4 4 40" xfId="9388" xr:uid="{00000000-0005-0000-0000-0000DE420000}"/>
    <cellStyle name="Normal 4 4 40 2" xfId="21496" xr:uid="{00000000-0005-0000-0000-0000DF420000}"/>
    <cellStyle name="Normal 4 4 41" xfId="9389" xr:uid="{00000000-0005-0000-0000-0000E0420000}"/>
    <cellStyle name="Normal 4 4 41 2" xfId="21497" xr:uid="{00000000-0005-0000-0000-0000E1420000}"/>
    <cellStyle name="Normal 4 4 42" xfId="9390" xr:uid="{00000000-0005-0000-0000-0000E2420000}"/>
    <cellStyle name="Normal 4 4 42 2" xfId="21498" xr:uid="{00000000-0005-0000-0000-0000E3420000}"/>
    <cellStyle name="Normal 4 4 43" xfId="9391" xr:uid="{00000000-0005-0000-0000-0000E4420000}"/>
    <cellStyle name="Normal 4 4 43 2" xfId="21499" xr:uid="{00000000-0005-0000-0000-0000E5420000}"/>
    <cellStyle name="Normal 4 4 44" xfId="9392" xr:uid="{00000000-0005-0000-0000-0000E6420000}"/>
    <cellStyle name="Normal 4 4 44 2" xfId="21500" xr:uid="{00000000-0005-0000-0000-0000E7420000}"/>
    <cellStyle name="Normal 4 4 45" xfId="9393" xr:uid="{00000000-0005-0000-0000-0000E8420000}"/>
    <cellStyle name="Normal 4 4 45 2" xfId="21501" xr:uid="{00000000-0005-0000-0000-0000E9420000}"/>
    <cellStyle name="Normal 4 4 46" xfId="9394" xr:uid="{00000000-0005-0000-0000-0000EA420000}"/>
    <cellStyle name="Normal 4 4 46 2" xfId="21502" xr:uid="{00000000-0005-0000-0000-0000EB420000}"/>
    <cellStyle name="Normal 4 4 47" xfId="9395" xr:uid="{00000000-0005-0000-0000-0000EC420000}"/>
    <cellStyle name="Normal 4 4 47 2" xfId="21503" xr:uid="{00000000-0005-0000-0000-0000ED420000}"/>
    <cellStyle name="Normal 4 4 48" xfId="9396" xr:uid="{00000000-0005-0000-0000-0000EE420000}"/>
    <cellStyle name="Normal 4 4 48 2" xfId="21504" xr:uid="{00000000-0005-0000-0000-0000EF420000}"/>
    <cellStyle name="Normal 4 4 49" xfId="9397" xr:uid="{00000000-0005-0000-0000-0000F0420000}"/>
    <cellStyle name="Normal 4 4 49 2" xfId="21505" xr:uid="{00000000-0005-0000-0000-0000F1420000}"/>
    <cellStyle name="Normal 4 4 5" xfId="9398" xr:uid="{00000000-0005-0000-0000-0000F2420000}"/>
    <cellStyle name="Normal 4 4 5 2" xfId="21506" xr:uid="{00000000-0005-0000-0000-0000F3420000}"/>
    <cellStyle name="Normal 4 4 50" xfId="9399" xr:uid="{00000000-0005-0000-0000-0000F4420000}"/>
    <cellStyle name="Normal 4 4 50 2" xfId="21507" xr:uid="{00000000-0005-0000-0000-0000F5420000}"/>
    <cellStyle name="Normal 4 4 51" xfId="9400" xr:uid="{00000000-0005-0000-0000-0000F6420000}"/>
    <cellStyle name="Normal 4 4 51 2" xfId="21508" xr:uid="{00000000-0005-0000-0000-0000F7420000}"/>
    <cellStyle name="Normal 4 4 52" xfId="9401" xr:uid="{00000000-0005-0000-0000-0000F8420000}"/>
    <cellStyle name="Normal 4 4 52 2" xfId="21509" xr:uid="{00000000-0005-0000-0000-0000F9420000}"/>
    <cellStyle name="Normal 4 4 53" xfId="9402" xr:uid="{00000000-0005-0000-0000-0000FA420000}"/>
    <cellStyle name="Normal 4 4 53 2" xfId="21510" xr:uid="{00000000-0005-0000-0000-0000FB420000}"/>
    <cellStyle name="Normal 4 4 54" xfId="9403" xr:uid="{00000000-0005-0000-0000-0000FC420000}"/>
    <cellStyle name="Normal 4 4 54 2" xfId="21511" xr:uid="{00000000-0005-0000-0000-0000FD420000}"/>
    <cellStyle name="Normal 4 4 55" xfId="9404" xr:uid="{00000000-0005-0000-0000-0000FE420000}"/>
    <cellStyle name="Normal 4 4 55 2" xfId="21512" xr:uid="{00000000-0005-0000-0000-0000FF420000}"/>
    <cellStyle name="Normal 4 4 56" xfId="9405" xr:uid="{00000000-0005-0000-0000-000000430000}"/>
    <cellStyle name="Normal 4 4 56 2" xfId="21513" xr:uid="{00000000-0005-0000-0000-000001430000}"/>
    <cellStyle name="Normal 4 4 57" xfId="9406" xr:uid="{00000000-0005-0000-0000-000002430000}"/>
    <cellStyle name="Normal 4 4 57 2" xfId="21514" xr:uid="{00000000-0005-0000-0000-000003430000}"/>
    <cellStyle name="Normal 4 4 58" xfId="9407" xr:uid="{00000000-0005-0000-0000-000004430000}"/>
    <cellStyle name="Normal 4 4 58 2" xfId="21515" xr:uid="{00000000-0005-0000-0000-000005430000}"/>
    <cellStyle name="Normal 4 4 59" xfId="9408" xr:uid="{00000000-0005-0000-0000-000006430000}"/>
    <cellStyle name="Normal 4 4 59 2" xfId="21516" xr:uid="{00000000-0005-0000-0000-000007430000}"/>
    <cellStyle name="Normal 4 4 6" xfId="9409" xr:uid="{00000000-0005-0000-0000-000008430000}"/>
    <cellStyle name="Normal 4 4 6 2" xfId="21517" xr:uid="{00000000-0005-0000-0000-000009430000}"/>
    <cellStyle name="Normal 4 4 60" xfId="9410" xr:uid="{00000000-0005-0000-0000-00000A430000}"/>
    <cellStyle name="Normal 4 4 60 2" xfId="21518" xr:uid="{00000000-0005-0000-0000-00000B430000}"/>
    <cellStyle name="Normal 4 4 61" xfId="9411" xr:uid="{00000000-0005-0000-0000-00000C430000}"/>
    <cellStyle name="Normal 4 4 61 2" xfId="21519" xr:uid="{00000000-0005-0000-0000-00000D430000}"/>
    <cellStyle name="Normal 4 4 62" xfId="9412" xr:uid="{00000000-0005-0000-0000-00000E430000}"/>
    <cellStyle name="Normal 4 4 62 2" xfId="21520" xr:uid="{00000000-0005-0000-0000-00000F430000}"/>
    <cellStyle name="Normal 4 4 63" xfId="9413" xr:uid="{00000000-0005-0000-0000-000010430000}"/>
    <cellStyle name="Normal 4 4 63 2" xfId="21521" xr:uid="{00000000-0005-0000-0000-000011430000}"/>
    <cellStyle name="Normal 4 4 64" xfId="9414" xr:uid="{00000000-0005-0000-0000-000012430000}"/>
    <cellStyle name="Normal 4 4 64 2" xfId="21522" xr:uid="{00000000-0005-0000-0000-000013430000}"/>
    <cellStyle name="Normal 4 4 65" xfId="9415" xr:uid="{00000000-0005-0000-0000-000014430000}"/>
    <cellStyle name="Normal 4 4 65 2" xfId="21523" xr:uid="{00000000-0005-0000-0000-000015430000}"/>
    <cellStyle name="Normal 4 4 66" xfId="9416" xr:uid="{00000000-0005-0000-0000-000016430000}"/>
    <cellStyle name="Normal 4 4 66 2" xfId="21524" xr:uid="{00000000-0005-0000-0000-000017430000}"/>
    <cellStyle name="Normal 4 4 67" xfId="9417" xr:uid="{00000000-0005-0000-0000-000018430000}"/>
    <cellStyle name="Normal 4 4 67 2" xfId="21525" xr:uid="{00000000-0005-0000-0000-000019430000}"/>
    <cellStyle name="Normal 4 4 68" xfId="9418" xr:uid="{00000000-0005-0000-0000-00001A430000}"/>
    <cellStyle name="Normal 4 4 68 2" xfId="21526" xr:uid="{00000000-0005-0000-0000-00001B430000}"/>
    <cellStyle name="Normal 4 4 69" xfId="9419" xr:uid="{00000000-0005-0000-0000-00001C430000}"/>
    <cellStyle name="Normal 4 4 69 2" xfId="21527" xr:uid="{00000000-0005-0000-0000-00001D430000}"/>
    <cellStyle name="Normal 4 4 7" xfId="9420" xr:uid="{00000000-0005-0000-0000-00001E430000}"/>
    <cellStyle name="Normal 4 4 7 2" xfId="21528" xr:uid="{00000000-0005-0000-0000-00001F430000}"/>
    <cellStyle name="Normal 4 4 70" xfId="9421" xr:uid="{00000000-0005-0000-0000-000020430000}"/>
    <cellStyle name="Normal 4 4 70 2" xfId="21529" xr:uid="{00000000-0005-0000-0000-000021430000}"/>
    <cellStyle name="Normal 4 4 71" xfId="9422" xr:uid="{00000000-0005-0000-0000-000022430000}"/>
    <cellStyle name="Normal 4 4 71 2" xfId="21530" xr:uid="{00000000-0005-0000-0000-000023430000}"/>
    <cellStyle name="Normal 4 4 72" xfId="9423" xr:uid="{00000000-0005-0000-0000-000024430000}"/>
    <cellStyle name="Normal 4 4 72 2" xfId="21531" xr:uid="{00000000-0005-0000-0000-000025430000}"/>
    <cellStyle name="Normal 4 4 73" xfId="9424" xr:uid="{00000000-0005-0000-0000-000026430000}"/>
    <cellStyle name="Normal 4 4 73 2" xfId="21532" xr:uid="{00000000-0005-0000-0000-000027430000}"/>
    <cellStyle name="Normal 4 4 74" xfId="9425" xr:uid="{00000000-0005-0000-0000-000028430000}"/>
    <cellStyle name="Normal 4 4 74 2" xfId="21533" xr:uid="{00000000-0005-0000-0000-000029430000}"/>
    <cellStyle name="Normal 4 4 75" xfId="9426" xr:uid="{00000000-0005-0000-0000-00002A430000}"/>
    <cellStyle name="Normal 4 4 75 2" xfId="21534" xr:uid="{00000000-0005-0000-0000-00002B430000}"/>
    <cellStyle name="Normal 4 4 76" xfId="9427" xr:uid="{00000000-0005-0000-0000-00002C430000}"/>
    <cellStyle name="Normal 4 4 76 2" xfId="21535" xr:uid="{00000000-0005-0000-0000-00002D430000}"/>
    <cellStyle name="Normal 4 4 77" xfId="9428" xr:uid="{00000000-0005-0000-0000-00002E430000}"/>
    <cellStyle name="Normal 4 4 77 2" xfId="21536" xr:uid="{00000000-0005-0000-0000-00002F430000}"/>
    <cellStyle name="Normal 4 4 78" xfId="9429" xr:uid="{00000000-0005-0000-0000-000030430000}"/>
    <cellStyle name="Normal 4 4 78 2" xfId="21537" xr:uid="{00000000-0005-0000-0000-000031430000}"/>
    <cellStyle name="Normal 4 4 79" xfId="9430" xr:uid="{00000000-0005-0000-0000-000032430000}"/>
    <cellStyle name="Normal 4 4 79 2" xfId="21538" xr:uid="{00000000-0005-0000-0000-000033430000}"/>
    <cellStyle name="Normal 4 4 8" xfId="9431" xr:uid="{00000000-0005-0000-0000-000034430000}"/>
    <cellStyle name="Normal 4 4 8 2" xfId="21539" xr:uid="{00000000-0005-0000-0000-000035430000}"/>
    <cellStyle name="Normal 4 4 80" xfId="15334" xr:uid="{00000000-0005-0000-0000-000036430000}"/>
    <cellStyle name="Normal 4 4 81" xfId="3168" xr:uid="{00000000-0005-0000-0000-000037430000}"/>
    <cellStyle name="Normal 4 4 9" xfId="9432" xr:uid="{00000000-0005-0000-0000-000038430000}"/>
    <cellStyle name="Normal 4 4 9 2" xfId="21540" xr:uid="{00000000-0005-0000-0000-000039430000}"/>
    <cellStyle name="Normal 4 40" xfId="9433" xr:uid="{00000000-0005-0000-0000-00003A430000}"/>
    <cellStyle name="Normal 4 40 2" xfId="21541" xr:uid="{00000000-0005-0000-0000-00003B430000}"/>
    <cellStyle name="Normal 4 41" xfId="9434" xr:uid="{00000000-0005-0000-0000-00003C430000}"/>
    <cellStyle name="Normal 4 41 2" xfId="21542" xr:uid="{00000000-0005-0000-0000-00003D430000}"/>
    <cellStyle name="Normal 4 42" xfId="9435" xr:uid="{00000000-0005-0000-0000-00003E430000}"/>
    <cellStyle name="Normal 4 42 2" xfId="21543" xr:uid="{00000000-0005-0000-0000-00003F430000}"/>
    <cellStyle name="Normal 4 43" xfId="9436" xr:uid="{00000000-0005-0000-0000-000040430000}"/>
    <cellStyle name="Normal 4 43 2" xfId="21544" xr:uid="{00000000-0005-0000-0000-000041430000}"/>
    <cellStyle name="Normal 4 44" xfId="9437" xr:uid="{00000000-0005-0000-0000-000042430000}"/>
    <cellStyle name="Normal 4 44 2" xfId="21545" xr:uid="{00000000-0005-0000-0000-000043430000}"/>
    <cellStyle name="Normal 4 45" xfId="9438" xr:uid="{00000000-0005-0000-0000-000044430000}"/>
    <cellStyle name="Normal 4 45 2" xfId="21546" xr:uid="{00000000-0005-0000-0000-000045430000}"/>
    <cellStyle name="Normal 4 46" xfId="9439" xr:uid="{00000000-0005-0000-0000-000046430000}"/>
    <cellStyle name="Normal 4 46 2" xfId="21547" xr:uid="{00000000-0005-0000-0000-000047430000}"/>
    <cellStyle name="Normal 4 47" xfId="9440" xr:uid="{00000000-0005-0000-0000-000048430000}"/>
    <cellStyle name="Normal 4 47 2" xfId="21548" xr:uid="{00000000-0005-0000-0000-000049430000}"/>
    <cellStyle name="Normal 4 48" xfId="9441" xr:uid="{00000000-0005-0000-0000-00004A430000}"/>
    <cellStyle name="Normal 4 48 2" xfId="21549" xr:uid="{00000000-0005-0000-0000-00004B430000}"/>
    <cellStyle name="Normal 4 49" xfId="9442" xr:uid="{00000000-0005-0000-0000-00004C430000}"/>
    <cellStyle name="Normal 4 49 2" xfId="21550" xr:uid="{00000000-0005-0000-0000-00004D430000}"/>
    <cellStyle name="Normal 4 5" xfId="124" xr:uid="{00000000-0005-0000-0000-00004E430000}"/>
    <cellStyle name="Normal 4 5 2" xfId="15335" xr:uid="{00000000-0005-0000-0000-00004F430000}"/>
    <cellStyle name="Normal 4 5 3" xfId="3169" xr:uid="{00000000-0005-0000-0000-000050430000}"/>
    <cellStyle name="Normal 4 50" xfId="9443" xr:uid="{00000000-0005-0000-0000-000051430000}"/>
    <cellStyle name="Normal 4 50 2" xfId="21551" xr:uid="{00000000-0005-0000-0000-000052430000}"/>
    <cellStyle name="Normal 4 51" xfId="9444" xr:uid="{00000000-0005-0000-0000-000053430000}"/>
    <cellStyle name="Normal 4 51 2" xfId="21552" xr:uid="{00000000-0005-0000-0000-000054430000}"/>
    <cellStyle name="Normal 4 52" xfId="9445" xr:uid="{00000000-0005-0000-0000-000055430000}"/>
    <cellStyle name="Normal 4 52 2" xfId="21553" xr:uid="{00000000-0005-0000-0000-000056430000}"/>
    <cellStyle name="Normal 4 53" xfId="9446" xr:uid="{00000000-0005-0000-0000-000057430000}"/>
    <cellStyle name="Normal 4 53 2" xfId="21554" xr:uid="{00000000-0005-0000-0000-000058430000}"/>
    <cellStyle name="Normal 4 54" xfId="9447" xr:uid="{00000000-0005-0000-0000-000059430000}"/>
    <cellStyle name="Normal 4 54 2" xfId="21555" xr:uid="{00000000-0005-0000-0000-00005A430000}"/>
    <cellStyle name="Normal 4 55" xfId="9448" xr:uid="{00000000-0005-0000-0000-00005B430000}"/>
    <cellStyle name="Normal 4 55 2" xfId="21556" xr:uid="{00000000-0005-0000-0000-00005C430000}"/>
    <cellStyle name="Normal 4 56" xfId="9449" xr:uid="{00000000-0005-0000-0000-00005D430000}"/>
    <cellStyle name="Normal 4 56 2" xfId="21557" xr:uid="{00000000-0005-0000-0000-00005E430000}"/>
    <cellStyle name="Normal 4 57" xfId="9450" xr:uid="{00000000-0005-0000-0000-00005F430000}"/>
    <cellStyle name="Normal 4 57 2" xfId="21558" xr:uid="{00000000-0005-0000-0000-000060430000}"/>
    <cellStyle name="Normal 4 58" xfId="9451" xr:uid="{00000000-0005-0000-0000-000061430000}"/>
    <cellStyle name="Normal 4 58 2" xfId="21559" xr:uid="{00000000-0005-0000-0000-000062430000}"/>
    <cellStyle name="Normal 4 59" xfId="9452" xr:uid="{00000000-0005-0000-0000-000063430000}"/>
    <cellStyle name="Normal 4 59 2" xfId="21560" xr:uid="{00000000-0005-0000-0000-000064430000}"/>
    <cellStyle name="Normal 4 6" xfId="130" xr:uid="{00000000-0005-0000-0000-000065430000}"/>
    <cellStyle name="Normal 4 6 2" xfId="15336" xr:uid="{00000000-0005-0000-0000-000066430000}"/>
    <cellStyle name="Normal 4 6 3" xfId="3170" xr:uid="{00000000-0005-0000-0000-000067430000}"/>
    <cellStyle name="Normal 4 60" xfId="9453" xr:uid="{00000000-0005-0000-0000-000068430000}"/>
    <cellStyle name="Normal 4 60 2" xfId="21561" xr:uid="{00000000-0005-0000-0000-000069430000}"/>
    <cellStyle name="Normal 4 61" xfId="9454" xr:uid="{00000000-0005-0000-0000-00006A430000}"/>
    <cellStyle name="Normal 4 61 2" xfId="21562" xr:uid="{00000000-0005-0000-0000-00006B430000}"/>
    <cellStyle name="Normal 4 62" xfId="9455" xr:uid="{00000000-0005-0000-0000-00006C430000}"/>
    <cellStyle name="Normal 4 62 2" xfId="21563" xr:uid="{00000000-0005-0000-0000-00006D430000}"/>
    <cellStyle name="Normal 4 63" xfId="9456" xr:uid="{00000000-0005-0000-0000-00006E430000}"/>
    <cellStyle name="Normal 4 63 2" xfId="21564" xr:uid="{00000000-0005-0000-0000-00006F430000}"/>
    <cellStyle name="Normal 4 64" xfId="9457" xr:uid="{00000000-0005-0000-0000-000070430000}"/>
    <cellStyle name="Normal 4 64 2" xfId="21565" xr:uid="{00000000-0005-0000-0000-000071430000}"/>
    <cellStyle name="Normal 4 65" xfId="9458" xr:uid="{00000000-0005-0000-0000-000072430000}"/>
    <cellStyle name="Normal 4 65 2" xfId="21566" xr:uid="{00000000-0005-0000-0000-000073430000}"/>
    <cellStyle name="Normal 4 66" xfId="9459" xr:uid="{00000000-0005-0000-0000-000074430000}"/>
    <cellStyle name="Normal 4 66 2" xfId="21567" xr:uid="{00000000-0005-0000-0000-000075430000}"/>
    <cellStyle name="Normal 4 67" xfId="9460" xr:uid="{00000000-0005-0000-0000-000076430000}"/>
    <cellStyle name="Normal 4 67 2" xfId="21568" xr:uid="{00000000-0005-0000-0000-000077430000}"/>
    <cellStyle name="Normal 4 68" xfId="9461" xr:uid="{00000000-0005-0000-0000-000078430000}"/>
    <cellStyle name="Normal 4 68 2" xfId="21569" xr:uid="{00000000-0005-0000-0000-000079430000}"/>
    <cellStyle name="Normal 4 69" xfId="9462" xr:uid="{00000000-0005-0000-0000-00007A430000}"/>
    <cellStyle name="Normal 4 69 2" xfId="21570" xr:uid="{00000000-0005-0000-0000-00007B430000}"/>
    <cellStyle name="Normal 4 7" xfId="135" xr:uid="{00000000-0005-0000-0000-00007C430000}"/>
    <cellStyle name="Normal 4 7 2" xfId="15337" xr:uid="{00000000-0005-0000-0000-00007D430000}"/>
    <cellStyle name="Normal 4 7 3" xfId="3171" xr:uid="{00000000-0005-0000-0000-00007E430000}"/>
    <cellStyle name="Normal 4 70" xfId="9463" xr:uid="{00000000-0005-0000-0000-00007F430000}"/>
    <cellStyle name="Normal 4 70 2" xfId="21571" xr:uid="{00000000-0005-0000-0000-000080430000}"/>
    <cellStyle name="Normal 4 71" xfId="9464" xr:uid="{00000000-0005-0000-0000-000081430000}"/>
    <cellStyle name="Normal 4 71 2" xfId="21572" xr:uid="{00000000-0005-0000-0000-000082430000}"/>
    <cellStyle name="Normal 4 72" xfId="9465" xr:uid="{00000000-0005-0000-0000-000083430000}"/>
    <cellStyle name="Normal 4 72 2" xfId="21573" xr:uid="{00000000-0005-0000-0000-000084430000}"/>
    <cellStyle name="Normal 4 73" xfId="9466" xr:uid="{00000000-0005-0000-0000-000085430000}"/>
    <cellStyle name="Normal 4 73 2" xfId="21574" xr:uid="{00000000-0005-0000-0000-000086430000}"/>
    <cellStyle name="Normal 4 74" xfId="9467" xr:uid="{00000000-0005-0000-0000-000087430000}"/>
    <cellStyle name="Normal 4 74 2" xfId="21575" xr:uid="{00000000-0005-0000-0000-000088430000}"/>
    <cellStyle name="Normal 4 75" xfId="9468" xr:uid="{00000000-0005-0000-0000-000089430000}"/>
    <cellStyle name="Normal 4 75 2" xfId="21576" xr:uid="{00000000-0005-0000-0000-00008A430000}"/>
    <cellStyle name="Normal 4 76" xfId="9469" xr:uid="{00000000-0005-0000-0000-00008B430000}"/>
    <cellStyle name="Normal 4 76 2" xfId="21577" xr:uid="{00000000-0005-0000-0000-00008C430000}"/>
    <cellStyle name="Normal 4 77" xfId="9470" xr:uid="{00000000-0005-0000-0000-00008D430000}"/>
    <cellStyle name="Normal 4 77 2" xfId="21578" xr:uid="{00000000-0005-0000-0000-00008E430000}"/>
    <cellStyle name="Normal 4 78" xfId="9471" xr:uid="{00000000-0005-0000-0000-00008F430000}"/>
    <cellStyle name="Normal 4 78 2" xfId="21579" xr:uid="{00000000-0005-0000-0000-000090430000}"/>
    <cellStyle name="Normal 4 79" xfId="9472" xr:uid="{00000000-0005-0000-0000-000091430000}"/>
    <cellStyle name="Normal 4 79 2" xfId="21580" xr:uid="{00000000-0005-0000-0000-000092430000}"/>
    <cellStyle name="Normal 4 8" xfId="729" xr:uid="{00000000-0005-0000-0000-000093430000}"/>
    <cellStyle name="Normal 4 8 2" xfId="15338" xr:uid="{00000000-0005-0000-0000-000094430000}"/>
    <cellStyle name="Normal 4 8 3" xfId="3172" xr:uid="{00000000-0005-0000-0000-000095430000}"/>
    <cellStyle name="Normal 4 80" xfId="9473" xr:uid="{00000000-0005-0000-0000-000096430000}"/>
    <cellStyle name="Normal 4 80 2" xfId="21581" xr:uid="{00000000-0005-0000-0000-000097430000}"/>
    <cellStyle name="Normal 4 81" xfId="9474" xr:uid="{00000000-0005-0000-0000-000098430000}"/>
    <cellStyle name="Normal 4 81 2" xfId="21582" xr:uid="{00000000-0005-0000-0000-000099430000}"/>
    <cellStyle name="Normal 4 82" xfId="9475" xr:uid="{00000000-0005-0000-0000-00009A430000}"/>
    <cellStyle name="Normal 4 82 2" xfId="21583" xr:uid="{00000000-0005-0000-0000-00009B430000}"/>
    <cellStyle name="Normal 4 83" xfId="1618" xr:uid="{00000000-0005-0000-0000-00009C430000}"/>
    <cellStyle name="Normal 4 83 2" xfId="15050" xr:uid="{00000000-0005-0000-0000-00009D430000}"/>
    <cellStyle name="Normal 4 84" xfId="14958" xr:uid="{00000000-0005-0000-0000-00009E430000}"/>
    <cellStyle name="Normal 4 85" xfId="1524" xr:uid="{00000000-0005-0000-0000-00009F430000}"/>
    <cellStyle name="Normal 4 9" xfId="1514" xr:uid="{00000000-0005-0000-0000-0000A0430000}"/>
    <cellStyle name="Normal 4 9 2" xfId="1517" xr:uid="{00000000-0005-0000-0000-0000A1430000}"/>
    <cellStyle name="Normal 4_DSS" xfId="1513" xr:uid="{00000000-0005-0000-0000-0000A2430000}"/>
    <cellStyle name="Normal 40" xfId="75" xr:uid="{00000000-0005-0000-0000-0000A3430000}"/>
    <cellStyle name="Normal 40 10" xfId="9476" xr:uid="{00000000-0005-0000-0000-0000A4430000}"/>
    <cellStyle name="Normal 40 10 2" xfId="21585" xr:uid="{00000000-0005-0000-0000-0000A5430000}"/>
    <cellStyle name="Normal 40 11" xfId="9477" xr:uid="{00000000-0005-0000-0000-0000A6430000}"/>
    <cellStyle name="Normal 40 11 2" xfId="21586" xr:uid="{00000000-0005-0000-0000-0000A7430000}"/>
    <cellStyle name="Normal 40 12" xfId="9478" xr:uid="{00000000-0005-0000-0000-0000A8430000}"/>
    <cellStyle name="Normal 40 12 2" xfId="21587" xr:uid="{00000000-0005-0000-0000-0000A9430000}"/>
    <cellStyle name="Normal 40 13" xfId="9479" xr:uid="{00000000-0005-0000-0000-0000AA430000}"/>
    <cellStyle name="Normal 40 13 2" xfId="21588" xr:uid="{00000000-0005-0000-0000-0000AB430000}"/>
    <cellStyle name="Normal 40 14" xfId="9480" xr:uid="{00000000-0005-0000-0000-0000AC430000}"/>
    <cellStyle name="Normal 40 14 2" xfId="21589" xr:uid="{00000000-0005-0000-0000-0000AD430000}"/>
    <cellStyle name="Normal 40 15" xfId="9481" xr:uid="{00000000-0005-0000-0000-0000AE430000}"/>
    <cellStyle name="Normal 40 15 2" xfId="21590" xr:uid="{00000000-0005-0000-0000-0000AF430000}"/>
    <cellStyle name="Normal 40 16" xfId="9482" xr:uid="{00000000-0005-0000-0000-0000B0430000}"/>
    <cellStyle name="Normal 40 16 2" xfId="21591" xr:uid="{00000000-0005-0000-0000-0000B1430000}"/>
    <cellStyle name="Normal 40 17" xfId="9483" xr:uid="{00000000-0005-0000-0000-0000B2430000}"/>
    <cellStyle name="Normal 40 17 2" xfId="21592" xr:uid="{00000000-0005-0000-0000-0000B3430000}"/>
    <cellStyle name="Normal 40 18" xfId="9484" xr:uid="{00000000-0005-0000-0000-0000B4430000}"/>
    <cellStyle name="Normal 40 18 2" xfId="21593" xr:uid="{00000000-0005-0000-0000-0000B5430000}"/>
    <cellStyle name="Normal 40 19" xfId="9485" xr:uid="{00000000-0005-0000-0000-0000B6430000}"/>
    <cellStyle name="Normal 40 19 2" xfId="21594" xr:uid="{00000000-0005-0000-0000-0000B7430000}"/>
    <cellStyle name="Normal 40 2" xfId="9486" xr:uid="{00000000-0005-0000-0000-0000B8430000}"/>
    <cellStyle name="Normal 40 2 2" xfId="21595" xr:uid="{00000000-0005-0000-0000-0000B9430000}"/>
    <cellStyle name="Normal 40 20" xfId="9487" xr:uid="{00000000-0005-0000-0000-0000BA430000}"/>
    <cellStyle name="Normal 40 20 2" xfId="21596" xr:uid="{00000000-0005-0000-0000-0000BB430000}"/>
    <cellStyle name="Normal 40 21" xfId="9488" xr:uid="{00000000-0005-0000-0000-0000BC430000}"/>
    <cellStyle name="Normal 40 21 2" xfId="21597" xr:uid="{00000000-0005-0000-0000-0000BD430000}"/>
    <cellStyle name="Normal 40 22" xfId="9489" xr:uid="{00000000-0005-0000-0000-0000BE430000}"/>
    <cellStyle name="Normal 40 22 2" xfId="21598" xr:uid="{00000000-0005-0000-0000-0000BF430000}"/>
    <cellStyle name="Normal 40 23" xfId="9490" xr:uid="{00000000-0005-0000-0000-0000C0430000}"/>
    <cellStyle name="Normal 40 23 2" xfId="21599" xr:uid="{00000000-0005-0000-0000-0000C1430000}"/>
    <cellStyle name="Normal 40 24" xfId="9491" xr:uid="{00000000-0005-0000-0000-0000C2430000}"/>
    <cellStyle name="Normal 40 24 2" xfId="21600" xr:uid="{00000000-0005-0000-0000-0000C3430000}"/>
    <cellStyle name="Normal 40 25" xfId="9492" xr:uid="{00000000-0005-0000-0000-0000C4430000}"/>
    <cellStyle name="Normal 40 25 2" xfId="21601" xr:uid="{00000000-0005-0000-0000-0000C5430000}"/>
    <cellStyle name="Normal 40 26" xfId="9493" xr:uid="{00000000-0005-0000-0000-0000C6430000}"/>
    <cellStyle name="Normal 40 26 2" xfId="21602" xr:uid="{00000000-0005-0000-0000-0000C7430000}"/>
    <cellStyle name="Normal 40 27" xfId="9494" xr:uid="{00000000-0005-0000-0000-0000C8430000}"/>
    <cellStyle name="Normal 40 27 2" xfId="21603" xr:uid="{00000000-0005-0000-0000-0000C9430000}"/>
    <cellStyle name="Normal 40 28" xfId="9495" xr:uid="{00000000-0005-0000-0000-0000CA430000}"/>
    <cellStyle name="Normal 40 28 2" xfId="21604" xr:uid="{00000000-0005-0000-0000-0000CB430000}"/>
    <cellStyle name="Normal 40 29" xfId="9496" xr:uid="{00000000-0005-0000-0000-0000CC430000}"/>
    <cellStyle name="Normal 40 29 2" xfId="21605" xr:uid="{00000000-0005-0000-0000-0000CD430000}"/>
    <cellStyle name="Normal 40 3" xfId="9497" xr:uid="{00000000-0005-0000-0000-0000CE430000}"/>
    <cellStyle name="Normal 40 3 2" xfId="21606" xr:uid="{00000000-0005-0000-0000-0000CF430000}"/>
    <cellStyle name="Normal 40 30" xfId="9498" xr:uid="{00000000-0005-0000-0000-0000D0430000}"/>
    <cellStyle name="Normal 40 30 2" xfId="21607" xr:uid="{00000000-0005-0000-0000-0000D1430000}"/>
    <cellStyle name="Normal 40 31" xfId="9499" xr:uid="{00000000-0005-0000-0000-0000D2430000}"/>
    <cellStyle name="Normal 40 31 2" xfId="21608" xr:uid="{00000000-0005-0000-0000-0000D3430000}"/>
    <cellStyle name="Normal 40 32" xfId="9500" xr:uid="{00000000-0005-0000-0000-0000D4430000}"/>
    <cellStyle name="Normal 40 32 2" xfId="21609" xr:uid="{00000000-0005-0000-0000-0000D5430000}"/>
    <cellStyle name="Normal 40 33" xfId="9501" xr:uid="{00000000-0005-0000-0000-0000D6430000}"/>
    <cellStyle name="Normal 40 33 2" xfId="21610" xr:uid="{00000000-0005-0000-0000-0000D7430000}"/>
    <cellStyle name="Normal 40 34" xfId="9502" xr:uid="{00000000-0005-0000-0000-0000D8430000}"/>
    <cellStyle name="Normal 40 34 2" xfId="21611" xr:uid="{00000000-0005-0000-0000-0000D9430000}"/>
    <cellStyle name="Normal 40 35" xfId="9503" xr:uid="{00000000-0005-0000-0000-0000DA430000}"/>
    <cellStyle name="Normal 40 35 2" xfId="21612" xr:uid="{00000000-0005-0000-0000-0000DB430000}"/>
    <cellStyle name="Normal 40 36" xfId="9504" xr:uid="{00000000-0005-0000-0000-0000DC430000}"/>
    <cellStyle name="Normal 40 36 2" xfId="21613" xr:uid="{00000000-0005-0000-0000-0000DD430000}"/>
    <cellStyle name="Normal 40 37" xfId="9505" xr:uid="{00000000-0005-0000-0000-0000DE430000}"/>
    <cellStyle name="Normal 40 37 2" xfId="21614" xr:uid="{00000000-0005-0000-0000-0000DF430000}"/>
    <cellStyle name="Normal 40 38" xfId="9506" xr:uid="{00000000-0005-0000-0000-0000E0430000}"/>
    <cellStyle name="Normal 40 38 2" xfId="21615" xr:uid="{00000000-0005-0000-0000-0000E1430000}"/>
    <cellStyle name="Normal 40 39" xfId="9507" xr:uid="{00000000-0005-0000-0000-0000E2430000}"/>
    <cellStyle name="Normal 40 39 2" xfId="21616" xr:uid="{00000000-0005-0000-0000-0000E3430000}"/>
    <cellStyle name="Normal 40 4" xfId="9508" xr:uid="{00000000-0005-0000-0000-0000E4430000}"/>
    <cellStyle name="Normal 40 4 2" xfId="21617" xr:uid="{00000000-0005-0000-0000-0000E5430000}"/>
    <cellStyle name="Normal 40 40" xfId="9509" xr:uid="{00000000-0005-0000-0000-0000E6430000}"/>
    <cellStyle name="Normal 40 40 2" xfId="21618" xr:uid="{00000000-0005-0000-0000-0000E7430000}"/>
    <cellStyle name="Normal 40 41" xfId="9510" xr:uid="{00000000-0005-0000-0000-0000E8430000}"/>
    <cellStyle name="Normal 40 41 2" xfId="21619" xr:uid="{00000000-0005-0000-0000-0000E9430000}"/>
    <cellStyle name="Normal 40 42" xfId="9511" xr:uid="{00000000-0005-0000-0000-0000EA430000}"/>
    <cellStyle name="Normal 40 42 2" xfId="21620" xr:uid="{00000000-0005-0000-0000-0000EB430000}"/>
    <cellStyle name="Normal 40 43" xfId="9512" xr:uid="{00000000-0005-0000-0000-0000EC430000}"/>
    <cellStyle name="Normal 40 43 2" xfId="21621" xr:uid="{00000000-0005-0000-0000-0000ED430000}"/>
    <cellStyle name="Normal 40 44" xfId="9513" xr:uid="{00000000-0005-0000-0000-0000EE430000}"/>
    <cellStyle name="Normal 40 44 2" xfId="21622" xr:uid="{00000000-0005-0000-0000-0000EF430000}"/>
    <cellStyle name="Normal 40 45" xfId="9514" xr:uid="{00000000-0005-0000-0000-0000F0430000}"/>
    <cellStyle name="Normal 40 45 2" xfId="21623" xr:uid="{00000000-0005-0000-0000-0000F1430000}"/>
    <cellStyle name="Normal 40 46" xfId="9515" xr:uid="{00000000-0005-0000-0000-0000F2430000}"/>
    <cellStyle name="Normal 40 46 2" xfId="21624" xr:uid="{00000000-0005-0000-0000-0000F3430000}"/>
    <cellStyle name="Normal 40 47" xfId="9516" xr:uid="{00000000-0005-0000-0000-0000F4430000}"/>
    <cellStyle name="Normal 40 47 2" xfId="21625" xr:uid="{00000000-0005-0000-0000-0000F5430000}"/>
    <cellStyle name="Normal 40 48" xfId="9517" xr:uid="{00000000-0005-0000-0000-0000F6430000}"/>
    <cellStyle name="Normal 40 48 2" xfId="21626" xr:uid="{00000000-0005-0000-0000-0000F7430000}"/>
    <cellStyle name="Normal 40 49" xfId="9518" xr:uid="{00000000-0005-0000-0000-0000F8430000}"/>
    <cellStyle name="Normal 40 49 2" xfId="21627" xr:uid="{00000000-0005-0000-0000-0000F9430000}"/>
    <cellStyle name="Normal 40 5" xfId="9519" xr:uid="{00000000-0005-0000-0000-0000FA430000}"/>
    <cellStyle name="Normal 40 5 2" xfId="21628" xr:uid="{00000000-0005-0000-0000-0000FB430000}"/>
    <cellStyle name="Normal 40 50" xfId="9520" xr:uid="{00000000-0005-0000-0000-0000FC430000}"/>
    <cellStyle name="Normal 40 50 2" xfId="21629" xr:uid="{00000000-0005-0000-0000-0000FD430000}"/>
    <cellStyle name="Normal 40 51" xfId="9521" xr:uid="{00000000-0005-0000-0000-0000FE430000}"/>
    <cellStyle name="Normal 40 51 2" xfId="21630" xr:uid="{00000000-0005-0000-0000-0000FF430000}"/>
    <cellStyle name="Normal 40 52" xfId="9522" xr:uid="{00000000-0005-0000-0000-000000440000}"/>
    <cellStyle name="Normal 40 52 2" xfId="21631" xr:uid="{00000000-0005-0000-0000-000001440000}"/>
    <cellStyle name="Normal 40 53" xfId="9523" xr:uid="{00000000-0005-0000-0000-000002440000}"/>
    <cellStyle name="Normal 40 53 2" xfId="21632" xr:uid="{00000000-0005-0000-0000-000003440000}"/>
    <cellStyle name="Normal 40 54" xfId="9524" xr:uid="{00000000-0005-0000-0000-000004440000}"/>
    <cellStyle name="Normal 40 54 2" xfId="21633" xr:uid="{00000000-0005-0000-0000-000005440000}"/>
    <cellStyle name="Normal 40 55" xfId="9525" xr:uid="{00000000-0005-0000-0000-000006440000}"/>
    <cellStyle name="Normal 40 55 2" xfId="21634" xr:uid="{00000000-0005-0000-0000-000007440000}"/>
    <cellStyle name="Normal 40 56" xfId="9526" xr:uid="{00000000-0005-0000-0000-000008440000}"/>
    <cellStyle name="Normal 40 56 2" xfId="21635" xr:uid="{00000000-0005-0000-0000-000009440000}"/>
    <cellStyle name="Normal 40 57" xfId="9527" xr:uid="{00000000-0005-0000-0000-00000A440000}"/>
    <cellStyle name="Normal 40 57 2" xfId="21636" xr:uid="{00000000-0005-0000-0000-00000B440000}"/>
    <cellStyle name="Normal 40 58" xfId="9528" xr:uid="{00000000-0005-0000-0000-00000C440000}"/>
    <cellStyle name="Normal 40 58 2" xfId="21637" xr:uid="{00000000-0005-0000-0000-00000D440000}"/>
    <cellStyle name="Normal 40 59" xfId="9529" xr:uid="{00000000-0005-0000-0000-00000E440000}"/>
    <cellStyle name="Normal 40 59 2" xfId="21638" xr:uid="{00000000-0005-0000-0000-00000F440000}"/>
    <cellStyle name="Normal 40 6" xfId="9530" xr:uid="{00000000-0005-0000-0000-000010440000}"/>
    <cellStyle name="Normal 40 6 2" xfId="21639" xr:uid="{00000000-0005-0000-0000-000011440000}"/>
    <cellStyle name="Normal 40 60" xfId="9531" xr:uid="{00000000-0005-0000-0000-000012440000}"/>
    <cellStyle name="Normal 40 60 2" xfId="21640" xr:uid="{00000000-0005-0000-0000-000013440000}"/>
    <cellStyle name="Normal 40 61" xfId="9532" xr:uid="{00000000-0005-0000-0000-000014440000}"/>
    <cellStyle name="Normal 40 61 2" xfId="21641" xr:uid="{00000000-0005-0000-0000-000015440000}"/>
    <cellStyle name="Normal 40 62" xfId="9533" xr:uid="{00000000-0005-0000-0000-000016440000}"/>
    <cellStyle name="Normal 40 62 2" xfId="21642" xr:uid="{00000000-0005-0000-0000-000017440000}"/>
    <cellStyle name="Normal 40 63" xfId="9534" xr:uid="{00000000-0005-0000-0000-000018440000}"/>
    <cellStyle name="Normal 40 63 2" xfId="21643" xr:uid="{00000000-0005-0000-0000-000019440000}"/>
    <cellStyle name="Normal 40 64" xfId="9535" xr:uid="{00000000-0005-0000-0000-00001A440000}"/>
    <cellStyle name="Normal 40 64 2" xfId="21644" xr:uid="{00000000-0005-0000-0000-00001B440000}"/>
    <cellStyle name="Normal 40 65" xfId="9536" xr:uid="{00000000-0005-0000-0000-00001C440000}"/>
    <cellStyle name="Normal 40 65 2" xfId="21645" xr:uid="{00000000-0005-0000-0000-00001D440000}"/>
    <cellStyle name="Normal 40 66" xfId="9537" xr:uid="{00000000-0005-0000-0000-00001E440000}"/>
    <cellStyle name="Normal 40 66 2" xfId="21646" xr:uid="{00000000-0005-0000-0000-00001F440000}"/>
    <cellStyle name="Normal 40 67" xfId="9538" xr:uid="{00000000-0005-0000-0000-000020440000}"/>
    <cellStyle name="Normal 40 67 2" xfId="21647" xr:uid="{00000000-0005-0000-0000-000021440000}"/>
    <cellStyle name="Normal 40 68" xfId="9539" xr:uid="{00000000-0005-0000-0000-000022440000}"/>
    <cellStyle name="Normal 40 68 2" xfId="21648" xr:uid="{00000000-0005-0000-0000-000023440000}"/>
    <cellStyle name="Normal 40 69" xfId="9540" xr:uid="{00000000-0005-0000-0000-000024440000}"/>
    <cellStyle name="Normal 40 69 2" xfId="21649" xr:uid="{00000000-0005-0000-0000-000025440000}"/>
    <cellStyle name="Normal 40 7" xfId="9541" xr:uid="{00000000-0005-0000-0000-000026440000}"/>
    <cellStyle name="Normal 40 7 2" xfId="21650" xr:uid="{00000000-0005-0000-0000-000027440000}"/>
    <cellStyle name="Normal 40 70" xfId="9542" xr:uid="{00000000-0005-0000-0000-000028440000}"/>
    <cellStyle name="Normal 40 70 2" xfId="21651" xr:uid="{00000000-0005-0000-0000-000029440000}"/>
    <cellStyle name="Normal 40 71" xfId="9543" xr:uid="{00000000-0005-0000-0000-00002A440000}"/>
    <cellStyle name="Normal 40 71 2" xfId="21652" xr:uid="{00000000-0005-0000-0000-00002B440000}"/>
    <cellStyle name="Normal 40 72" xfId="9544" xr:uid="{00000000-0005-0000-0000-00002C440000}"/>
    <cellStyle name="Normal 40 72 2" xfId="21653" xr:uid="{00000000-0005-0000-0000-00002D440000}"/>
    <cellStyle name="Normal 40 73" xfId="9545" xr:uid="{00000000-0005-0000-0000-00002E440000}"/>
    <cellStyle name="Normal 40 73 2" xfId="21654" xr:uid="{00000000-0005-0000-0000-00002F440000}"/>
    <cellStyle name="Normal 40 74" xfId="9546" xr:uid="{00000000-0005-0000-0000-000030440000}"/>
    <cellStyle name="Normal 40 74 2" xfId="21655" xr:uid="{00000000-0005-0000-0000-000031440000}"/>
    <cellStyle name="Normal 40 75" xfId="9547" xr:uid="{00000000-0005-0000-0000-000032440000}"/>
    <cellStyle name="Normal 40 75 2" xfId="21656" xr:uid="{00000000-0005-0000-0000-000033440000}"/>
    <cellStyle name="Normal 40 76" xfId="9548" xr:uid="{00000000-0005-0000-0000-000034440000}"/>
    <cellStyle name="Normal 40 76 2" xfId="21657" xr:uid="{00000000-0005-0000-0000-000035440000}"/>
    <cellStyle name="Normal 40 77" xfId="9549" xr:uid="{00000000-0005-0000-0000-000036440000}"/>
    <cellStyle name="Normal 40 77 2" xfId="21658" xr:uid="{00000000-0005-0000-0000-000037440000}"/>
    <cellStyle name="Normal 40 78" xfId="9550" xr:uid="{00000000-0005-0000-0000-000038440000}"/>
    <cellStyle name="Normal 40 78 2" xfId="21659" xr:uid="{00000000-0005-0000-0000-000039440000}"/>
    <cellStyle name="Normal 40 79" xfId="9551" xr:uid="{00000000-0005-0000-0000-00003A440000}"/>
    <cellStyle name="Normal 40 79 2" xfId="21660" xr:uid="{00000000-0005-0000-0000-00003B440000}"/>
    <cellStyle name="Normal 40 8" xfId="9552" xr:uid="{00000000-0005-0000-0000-00003C440000}"/>
    <cellStyle name="Normal 40 8 2" xfId="21661" xr:uid="{00000000-0005-0000-0000-00003D440000}"/>
    <cellStyle name="Normal 40 80" xfId="21584" xr:uid="{00000000-0005-0000-0000-00003E440000}"/>
    <cellStyle name="Normal 40 9" xfId="9553" xr:uid="{00000000-0005-0000-0000-00003F440000}"/>
    <cellStyle name="Normal 40 9 2" xfId="21662" xr:uid="{00000000-0005-0000-0000-000040440000}"/>
    <cellStyle name="Normal 41" xfId="76" xr:uid="{00000000-0005-0000-0000-000041440000}"/>
    <cellStyle name="Normal 41 10" xfId="9554" xr:uid="{00000000-0005-0000-0000-000042440000}"/>
    <cellStyle name="Normal 41 10 2" xfId="21664" xr:uid="{00000000-0005-0000-0000-000043440000}"/>
    <cellStyle name="Normal 41 11" xfId="9555" xr:uid="{00000000-0005-0000-0000-000044440000}"/>
    <cellStyle name="Normal 41 11 2" xfId="21665" xr:uid="{00000000-0005-0000-0000-000045440000}"/>
    <cellStyle name="Normal 41 12" xfId="9556" xr:uid="{00000000-0005-0000-0000-000046440000}"/>
    <cellStyle name="Normal 41 12 2" xfId="21666" xr:uid="{00000000-0005-0000-0000-000047440000}"/>
    <cellStyle name="Normal 41 13" xfId="9557" xr:uid="{00000000-0005-0000-0000-000048440000}"/>
    <cellStyle name="Normal 41 13 2" xfId="21667" xr:uid="{00000000-0005-0000-0000-000049440000}"/>
    <cellStyle name="Normal 41 14" xfId="9558" xr:uid="{00000000-0005-0000-0000-00004A440000}"/>
    <cellStyle name="Normal 41 14 2" xfId="21668" xr:uid="{00000000-0005-0000-0000-00004B440000}"/>
    <cellStyle name="Normal 41 15" xfId="9559" xr:uid="{00000000-0005-0000-0000-00004C440000}"/>
    <cellStyle name="Normal 41 15 2" xfId="21669" xr:uid="{00000000-0005-0000-0000-00004D440000}"/>
    <cellStyle name="Normal 41 16" xfId="9560" xr:uid="{00000000-0005-0000-0000-00004E440000}"/>
    <cellStyle name="Normal 41 16 2" xfId="21670" xr:uid="{00000000-0005-0000-0000-00004F440000}"/>
    <cellStyle name="Normal 41 17" xfId="9561" xr:uid="{00000000-0005-0000-0000-000050440000}"/>
    <cellStyle name="Normal 41 17 2" xfId="21671" xr:uid="{00000000-0005-0000-0000-000051440000}"/>
    <cellStyle name="Normal 41 18" xfId="9562" xr:uid="{00000000-0005-0000-0000-000052440000}"/>
    <cellStyle name="Normal 41 18 2" xfId="21672" xr:uid="{00000000-0005-0000-0000-000053440000}"/>
    <cellStyle name="Normal 41 19" xfId="9563" xr:uid="{00000000-0005-0000-0000-000054440000}"/>
    <cellStyle name="Normal 41 19 2" xfId="21673" xr:uid="{00000000-0005-0000-0000-000055440000}"/>
    <cellStyle name="Normal 41 2" xfId="9564" xr:uid="{00000000-0005-0000-0000-000056440000}"/>
    <cellStyle name="Normal 41 2 2" xfId="21674" xr:uid="{00000000-0005-0000-0000-000057440000}"/>
    <cellStyle name="Normal 41 20" xfId="9565" xr:uid="{00000000-0005-0000-0000-000058440000}"/>
    <cellStyle name="Normal 41 20 2" xfId="21675" xr:uid="{00000000-0005-0000-0000-000059440000}"/>
    <cellStyle name="Normal 41 21" xfId="9566" xr:uid="{00000000-0005-0000-0000-00005A440000}"/>
    <cellStyle name="Normal 41 21 2" xfId="21676" xr:uid="{00000000-0005-0000-0000-00005B440000}"/>
    <cellStyle name="Normal 41 22" xfId="9567" xr:uid="{00000000-0005-0000-0000-00005C440000}"/>
    <cellStyle name="Normal 41 22 2" xfId="21677" xr:uid="{00000000-0005-0000-0000-00005D440000}"/>
    <cellStyle name="Normal 41 23" xfId="9568" xr:uid="{00000000-0005-0000-0000-00005E440000}"/>
    <cellStyle name="Normal 41 23 2" xfId="21678" xr:uid="{00000000-0005-0000-0000-00005F440000}"/>
    <cellStyle name="Normal 41 24" xfId="9569" xr:uid="{00000000-0005-0000-0000-000060440000}"/>
    <cellStyle name="Normal 41 24 2" xfId="21679" xr:uid="{00000000-0005-0000-0000-000061440000}"/>
    <cellStyle name="Normal 41 25" xfId="9570" xr:uid="{00000000-0005-0000-0000-000062440000}"/>
    <cellStyle name="Normal 41 25 2" xfId="21680" xr:uid="{00000000-0005-0000-0000-000063440000}"/>
    <cellStyle name="Normal 41 26" xfId="9571" xr:uid="{00000000-0005-0000-0000-000064440000}"/>
    <cellStyle name="Normal 41 26 2" xfId="21681" xr:uid="{00000000-0005-0000-0000-000065440000}"/>
    <cellStyle name="Normal 41 27" xfId="9572" xr:uid="{00000000-0005-0000-0000-000066440000}"/>
    <cellStyle name="Normal 41 27 2" xfId="21682" xr:uid="{00000000-0005-0000-0000-000067440000}"/>
    <cellStyle name="Normal 41 28" xfId="9573" xr:uid="{00000000-0005-0000-0000-000068440000}"/>
    <cellStyle name="Normal 41 28 2" xfId="21683" xr:uid="{00000000-0005-0000-0000-000069440000}"/>
    <cellStyle name="Normal 41 29" xfId="9574" xr:uid="{00000000-0005-0000-0000-00006A440000}"/>
    <cellStyle name="Normal 41 29 2" xfId="21684" xr:uid="{00000000-0005-0000-0000-00006B440000}"/>
    <cellStyle name="Normal 41 3" xfId="9575" xr:uid="{00000000-0005-0000-0000-00006C440000}"/>
    <cellStyle name="Normal 41 3 2" xfId="21685" xr:uid="{00000000-0005-0000-0000-00006D440000}"/>
    <cellStyle name="Normal 41 30" xfId="9576" xr:uid="{00000000-0005-0000-0000-00006E440000}"/>
    <cellStyle name="Normal 41 30 2" xfId="21686" xr:uid="{00000000-0005-0000-0000-00006F440000}"/>
    <cellStyle name="Normal 41 31" xfId="9577" xr:uid="{00000000-0005-0000-0000-000070440000}"/>
    <cellStyle name="Normal 41 31 2" xfId="21687" xr:uid="{00000000-0005-0000-0000-000071440000}"/>
    <cellStyle name="Normal 41 32" xfId="9578" xr:uid="{00000000-0005-0000-0000-000072440000}"/>
    <cellStyle name="Normal 41 32 2" xfId="21688" xr:uid="{00000000-0005-0000-0000-000073440000}"/>
    <cellStyle name="Normal 41 33" xfId="9579" xr:uid="{00000000-0005-0000-0000-000074440000}"/>
    <cellStyle name="Normal 41 33 2" xfId="21689" xr:uid="{00000000-0005-0000-0000-000075440000}"/>
    <cellStyle name="Normal 41 34" xfId="9580" xr:uid="{00000000-0005-0000-0000-000076440000}"/>
    <cellStyle name="Normal 41 34 2" xfId="21690" xr:uid="{00000000-0005-0000-0000-000077440000}"/>
    <cellStyle name="Normal 41 35" xfId="9581" xr:uid="{00000000-0005-0000-0000-000078440000}"/>
    <cellStyle name="Normal 41 35 2" xfId="21691" xr:uid="{00000000-0005-0000-0000-000079440000}"/>
    <cellStyle name="Normal 41 36" xfId="9582" xr:uid="{00000000-0005-0000-0000-00007A440000}"/>
    <cellStyle name="Normal 41 36 2" xfId="21692" xr:uid="{00000000-0005-0000-0000-00007B440000}"/>
    <cellStyle name="Normal 41 37" xfId="9583" xr:uid="{00000000-0005-0000-0000-00007C440000}"/>
    <cellStyle name="Normal 41 37 2" xfId="21693" xr:uid="{00000000-0005-0000-0000-00007D440000}"/>
    <cellStyle name="Normal 41 38" xfId="9584" xr:uid="{00000000-0005-0000-0000-00007E440000}"/>
    <cellStyle name="Normal 41 38 2" xfId="21694" xr:uid="{00000000-0005-0000-0000-00007F440000}"/>
    <cellStyle name="Normal 41 39" xfId="9585" xr:uid="{00000000-0005-0000-0000-000080440000}"/>
    <cellStyle name="Normal 41 39 2" xfId="21695" xr:uid="{00000000-0005-0000-0000-000081440000}"/>
    <cellStyle name="Normal 41 4" xfId="9586" xr:uid="{00000000-0005-0000-0000-000082440000}"/>
    <cellStyle name="Normal 41 4 2" xfId="21696" xr:uid="{00000000-0005-0000-0000-000083440000}"/>
    <cellStyle name="Normal 41 40" xfId="9587" xr:uid="{00000000-0005-0000-0000-000084440000}"/>
    <cellStyle name="Normal 41 40 2" xfId="21697" xr:uid="{00000000-0005-0000-0000-000085440000}"/>
    <cellStyle name="Normal 41 41" xfId="9588" xr:uid="{00000000-0005-0000-0000-000086440000}"/>
    <cellStyle name="Normal 41 41 2" xfId="21698" xr:uid="{00000000-0005-0000-0000-000087440000}"/>
    <cellStyle name="Normal 41 42" xfId="9589" xr:uid="{00000000-0005-0000-0000-000088440000}"/>
    <cellStyle name="Normal 41 42 2" xfId="21699" xr:uid="{00000000-0005-0000-0000-000089440000}"/>
    <cellStyle name="Normal 41 43" xfId="9590" xr:uid="{00000000-0005-0000-0000-00008A440000}"/>
    <cellStyle name="Normal 41 43 2" xfId="21700" xr:uid="{00000000-0005-0000-0000-00008B440000}"/>
    <cellStyle name="Normal 41 44" xfId="9591" xr:uid="{00000000-0005-0000-0000-00008C440000}"/>
    <cellStyle name="Normal 41 44 2" xfId="21701" xr:uid="{00000000-0005-0000-0000-00008D440000}"/>
    <cellStyle name="Normal 41 45" xfId="9592" xr:uid="{00000000-0005-0000-0000-00008E440000}"/>
    <cellStyle name="Normal 41 45 2" xfId="21702" xr:uid="{00000000-0005-0000-0000-00008F440000}"/>
    <cellStyle name="Normal 41 46" xfId="9593" xr:uid="{00000000-0005-0000-0000-000090440000}"/>
    <cellStyle name="Normal 41 46 2" xfId="21703" xr:uid="{00000000-0005-0000-0000-000091440000}"/>
    <cellStyle name="Normal 41 47" xfId="9594" xr:uid="{00000000-0005-0000-0000-000092440000}"/>
    <cellStyle name="Normal 41 47 2" xfId="21704" xr:uid="{00000000-0005-0000-0000-000093440000}"/>
    <cellStyle name="Normal 41 48" xfId="9595" xr:uid="{00000000-0005-0000-0000-000094440000}"/>
    <cellStyle name="Normal 41 48 2" xfId="21705" xr:uid="{00000000-0005-0000-0000-000095440000}"/>
    <cellStyle name="Normal 41 49" xfId="9596" xr:uid="{00000000-0005-0000-0000-000096440000}"/>
    <cellStyle name="Normal 41 49 2" xfId="21706" xr:uid="{00000000-0005-0000-0000-000097440000}"/>
    <cellStyle name="Normal 41 5" xfId="9597" xr:uid="{00000000-0005-0000-0000-000098440000}"/>
    <cellStyle name="Normal 41 5 2" xfId="21707" xr:uid="{00000000-0005-0000-0000-000099440000}"/>
    <cellStyle name="Normal 41 50" xfId="9598" xr:uid="{00000000-0005-0000-0000-00009A440000}"/>
    <cellStyle name="Normal 41 50 2" xfId="21708" xr:uid="{00000000-0005-0000-0000-00009B440000}"/>
    <cellStyle name="Normal 41 51" xfId="9599" xr:uid="{00000000-0005-0000-0000-00009C440000}"/>
    <cellStyle name="Normal 41 51 2" xfId="21709" xr:uid="{00000000-0005-0000-0000-00009D440000}"/>
    <cellStyle name="Normal 41 52" xfId="9600" xr:uid="{00000000-0005-0000-0000-00009E440000}"/>
    <cellStyle name="Normal 41 52 2" xfId="21710" xr:uid="{00000000-0005-0000-0000-00009F440000}"/>
    <cellStyle name="Normal 41 53" xfId="9601" xr:uid="{00000000-0005-0000-0000-0000A0440000}"/>
    <cellStyle name="Normal 41 53 2" xfId="21711" xr:uid="{00000000-0005-0000-0000-0000A1440000}"/>
    <cellStyle name="Normal 41 54" xfId="9602" xr:uid="{00000000-0005-0000-0000-0000A2440000}"/>
    <cellStyle name="Normal 41 54 2" xfId="21712" xr:uid="{00000000-0005-0000-0000-0000A3440000}"/>
    <cellStyle name="Normal 41 55" xfId="9603" xr:uid="{00000000-0005-0000-0000-0000A4440000}"/>
    <cellStyle name="Normal 41 55 2" xfId="21713" xr:uid="{00000000-0005-0000-0000-0000A5440000}"/>
    <cellStyle name="Normal 41 56" xfId="9604" xr:uid="{00000000-0005-0000-0000-0000A6440000}"/>
    <cellStyle name="Normal 41 56 2" xfId="21714" xr:uid="{00000000-0005-0000-0000-0000A7440000}"/>
    <cellStyle name="Normal 41 57" xfId="9605" xr:uid="{00000000-0005-0000-0000-0000A8440000}"/>
    <cellStyle name="Normal 41 57 2" xfId="21715" xr:uid="{00000000-0005-0000-0000-0000A9440000}"/>
    <cellStyle name="Normal 41 58" xfId="9606" xr:uid="{00000000-0005-0000-0000-0000AA440000}"/>
    <cellStyle name="Normal 41 58 2" xfId="21716" xr:uid="{00000000-0005-0000-0000-0000AB440000}"/>
    <cellStyle name="Normal 41 59" xfId="9607" xr:uid="{00000000-0005-0000-0000-0000AC440000}"/>
    <cellStyle name="Normal 41 59 2" xfId="21717" xr:uid="{00000000-0005-0000-0000-0000AD440000}"/>
    <cellStyle name="Normal 41 6" xfId="9608" xr:uid="{00000000-0005-0000-0000-0000AE440000}"/>
    <cellStyle name="Normal 41 6 2" xfId="21718" xr:uid="{00000000-0005-0000-0000-0000AF440000}"/>
    <cellStyle name="Normal 41 60" xfId="9609" xr:uid="{00000000-0005-0000-0000-0000B0440000}"/>
    <cellStyle name="Normal 41 60 2" xfId="21719" xr:uid="{00000000-0005-0000-0000-0000B1440000}"/>
    <cellStyle name="Normal 41 61" xfId="9610" xr:uid="{00000000-0005-0000-0000-0000B2440000}"/>
    <cellStyle name="Normal 41 61 2" xfId="21720" xr:uid="{00000000-0005-0000-0000-0000B3440000}"/>
    <cellStyle name="Normal 41 62" xfId="9611" xr:uid="{00000000-0005-0000-0000-0000B4440000}"/>
    <cellStyle name="Normal 41 62 2" xfId="21721" xr:uid="{00000000-0005-0000-0000-0000B5440000}"/>
    <cellStyle name="Normal 41 63" xfId="9612" xr:uid="{00000000-0005-0000-0000-0000B6440000}"/>
    <cellStyle name="Normal 41 63 2" xfId="21722" xr:uid="{00000000-0005-0000-0000-0000B7440000}"/>
    <cellStyle name="Normal 41 64" xfId="9613" xr:uid="{00000000-0005-0000-0000-0000B8440000}"/>
    <cellStyle name="Normal 41 64 2" xfId="21723" xr:uid="{00000000-0005-0000-0000-0000B9440000}"/>
    <cellStyle name="Normal 41 65" xfId="9614" xr:uid="{00000000-0005-0000-0000-0000BA440000}"/>
    <cellStyle name="Normal 41 65 2" xfId="21724" xr:uid="{00000000-0005-0000-0000-0000BB440000}"/>
    <cellStyle name="Normal 41 66" xfId="9615" xr:uid="{00000000-0005-0000-0000-0000BC440000}"/>
    <cellStyle name="Normal 41 66 2" xfId="21725" xr:uid="{00000000-0005-0000-0000-0000BD440000}"/>
    <cellStyle name="Normal 41 67" xfId="9616" xr:uid="{00000000-0005-0000-0000-0000BE440000}"/>
    <cellStyle name="Normal 41 67 2" xfId="21726" xr:uid="{00000000-0005-0000-0000-0000BF440000}"/>
    <cellStyle name="Normal 41 68" xfId="9617" xr:uid="{00000000-0005-0000-0000-0000C0440000}"/>
    <cellStyle name="Normal 41 68 2" xfId="21727" xr:uid="{00000000-0005-0000-0000-0000C1440000}"/>
    <cellStyle name="Normal 41 69" xfId="9618" xr:uid="{00000000-0005-0000-0000-0000C2440000}"/>
    <cellStyle name="Normal 41 69 2" xfId="21728" xr:uid="{00000000-0005-0000-0000-0000C3440000}"/>
    <cellStyle name="Normal 41 7" xfId="9619" xr:uid="{00000000-0005-0000-0000-0000C4440000}"/>
    <cellStyle name="Normal 41 7 2" xfId="21729" xr:uid="{00000000-0005-0000-0000-0000C5440000}"/>
    <cellStyle name="Normal 41 70" xfId="9620" xr:uid="{00000000-0005-0000-0000-0000C6440000}"/>
    <cellStyle name="Normal 41 70 2" xfId="21730" xr:uid="{00000000-0005-0000-0000-0000C7440000}"/>
    <cellStyle name="Normal 41 71" xfId="9621" xr:uid="{00000000-0005-0000-0000-0000C8440000}"/>
    <cellStyle name="Normal 41 71 2" xfId="21731" xr:uid="{00000000-0005-0000-0000-0000C9440000}"/>
    <cellStyle name="Normal 41 72" xfId="9622" xr:uid="{00000000-0005-0000-0000-0000CA440000}"/>
    <cellStyle name="Normal 41 72 2" xfId="21732" xr:uid="{00000000-0005-0000-0000-0000CB440000}"/>
    <cellStyle name="Normal 41 73" xfId="9623" xr:uid="{00000000-0005-0000-0000-0000CC440000}"/>
    <cellStyle name="Normal 41 73 2" xfId="21733" xr:uid="{00000000-0005-0000-0000-0000CD440000}"/>
    <cellStyle name="Normal 41 74" xfId="9624" xr:uid="{00000000-0005-0000-0000-0000CE440000}"/>
    <cellStyle name="Normal 41 74 2" xfId="21734" xr:uid="{00000000-0005-0000-0000-0000CF440000}"/>
    <cellStyle name="Normal 41 75" xfId="9625" xr:uid="{00000000-0005-0000-0000-0000D0440000}"/>
    <cellStyle name="Normal 41 75 2" xfId="21735" xr:uid="{00000000-0005-0000-0000-0000D1440000}"/>
    <cellStyle name="Normal 41 76" xfId="9626" xr:uid="{00000000-0005-0000-0000-0000D2440000}"/>
    <cellStyle name="Normal 41 76 2" xfId="21736" xr:uid="{00000000-0005-0000-0000-0000D3440000}"/>
    <cellStyle name="Normal 41 77" xfId="9627" xr:uid="{00000000-0005-0000-0000-0000D4440000}"/>
    <cellStyle name="Normal 41 77 2" xfId="21737" xr:uid="{00000000-0005-0000-0000-0000D5440000}"/>
    <cellStyle name="Normal 41 78" xfId="9628" xr:uid="{00000000-0005-0000-0000-0000D6440000}"/>
    <cellStyle name="Normal 41 78 2" xfId="21738" xr:uid="{00000000-0005-0000-0000-0000D7440000}"/>
    <cellStyle name="Normal 41 79" xfId="9629" xr:uid="{00000000-0005-0000-0000-0000D8440000}"/>
    <cellStyle name="Normal 41 79 2" xfId="21739" xr:uid="{00000000-0005-0000-0000-0000D9440000}"/>
    <cellStyle name="Normal 41 8" xfId="9630" xr:uid="{00000000-0005-0000-0000-0000DA440000}"/>
    <cellStyle name="Normal 41 8 2" xfId="21740" xr:uid="{00000000-0005-0000-0000-0000DB440000}"/>
    <cellStyle name="Normal 41 80" xfId="21663" xr:uid="{00000000-0005-0000-0000-0000DC440000}"/>
    <cellStyle name="Normal 41 9" xfId="9631" xr:uid="{00000000-0005-0000-0000-0000DD440000}"/>
    <cellStyle name="Normal 41 9 2" xfId="21741" xr:uid="{00000000-0005-0000-0000-0000DE440000}"/>
    <cellStyle name="Normal 42" xfId="149" xr:uid="{00000000-0005-0000-0000-0000DF440000}"/>
    <cellStyle name="Normal 42 10" xfId="9632" xr:uid="{00000000-0005-0000-0000-0000E0440000}"/>
    <cellStyle name="Normal 42 10 2" xfId="21743" xr:uid="{00000000-0005-0000-0000-0000E1440000}"/>
    <cellStyle name="Normal 42 11" xfId="9633" xr:uid="{00000000-0005-0000-0000-0000E2440000}"/>
    <cellStyle name="Normal 42 11 2" xfId="21744" xr:uid="{00000000-0005-0000-0000-0000E3440000}"/>
    <cellStyle name="Normal 42 12" xfId="9634" xr:uid="{00000000-0005-0000-0000-0000E4440000}"/>
    <cellStyle name="Normal 42 12 2" xfId="21745" xr:uid="{00000000-0005-0000-0000-0000E5440000}"/>
    <cellStyle name="Normal 42 13" xfId="9635" xr:uid="{00000000-0005-0000-0000-0000E6440000}"/>
    <cellStyle name="Normal 42 13 2" xfId="21746" xr:uid="{00000000-0005-0000-0000-0000E7440000}"/>
    <cellStyle name="Normal 42 14" xfId="9636" xr:uid="{00000000-0005-0000-0000-0000E8440000}"/>
    <cellStyle name="Normal 42 14 2" xfId="21747" xr:uid="{00000000-0005-0000-0000-0000E9440000}"/>
    <cellStyle name="Normal 42 15" xfId="9637" xr:uid="{00000000-0005-0000-0000-0000EA440000}"/>
    <cellStyle name="Normal 42 15 2" xfId="21748" xr:uid="{00000000-0005-0000-0000-0000EB440000}"/>
    <cellStyle name="Normal 42 16" xfId="9638" xr:uid="{00000000-0005-0000-0000-0000EC440000}"/>
    <cellStyle name="Normal 42 16 2" xfId="21749" xr:uid="{00000000-0005-0000-0000-0000ED440000}"/>
    <cellStyle name="Normal 42 17" xfId="9639" xr:uid="{00000000-0005-0000-0000-0000EE440000}"/>
    <cellStyle name="Normal 42 17 2" xfId="21750" xr:uid="{00000000-0005-0000-0000-0000EF440000}"/>
    <cellStyle name="Normal 42 18" xfId="9640" xr:uid="{00000000-0005-0000-0000-0000F0440000}"/>
    <cellStyle name="Normal 42 18 2" xfId="21751" xr:uid="{00000000-0005-0000-0000-0000F1440000}"/>
    <cellStyle name="Normal 42 19" xfId="9641" xr:uid="{00000000-0005-0000-0000-0000F2440000}"/>
    <cellStyle name="Normal 42 19 2" xfId="21752" xr:uid="{00000000-0005-0000-0000-0000F3440000}"/>
    <cellStyle name="Normal 42 2" xfId="172" xr:uid="{00000000-0005-0000-0000-0000F4440000}"/>
    <cellStyle name="Normal 42 2 2" xfId="21753" xr:uid="{00000000-0005-0000-0000-0000F5440000}"/>
    <cellStyle name="Normal 42 2 3" xfId="9642" xr:uid="{00000000-0005-0000-0000-0000F6440000}"/>
    <cellStyle name="Normal 42 20" xfId="9643" xr:uid="{00000000-0005-0000-0000-0000F7440000}"/>
    <cellStyle name="Normal 42 20 2" xfId="21754" xr:uid="{00000000-0005-0000-0000-0000F8440000}"/>
    <cellStyle name="Normal 42 21" xfId="9644" xr:uid="{00000000-0005-0000-0000-0000F9440000}"/>
    <cellStyle name="Normal 42 21 2" xfId="21755" xr:uid="{00000000-0005-0000-0000-0000FA440000}"/>
    <cellStyle name="Normal 42 22" xfId="9645" xr:uid="{00000000-0005-0000-0000-0000FB440000}"/>
    <cellStyle name="Normal 42 22 2" xfId="21756" xr:uid="{00000000-0005-0000-0000-0000FC440000}"/>
    <cellStyle name="Normal 42 23" xfId="9646" xr:uid="{00000000-0005-0000-0000-0000FD440000}"/>
    <cellStyle name="Normal 42 23 2" xfId="21757" xr:uid="{00000000-0005-0000-0000-0000FE440000}"/>
    <cellStyle name="Normal 42 24" xfId="9647" xr:uid="{00000000-0005-0000-0000-0000FF440000}"/>
    <cellStyle name="Normal 42 24 2" xfId="21758" xr:uid="{00000000-0005-0000-0000-000000450000}"/>
    <cellStyle name="Normal 42 25" xfId="9648" xr:uid="{00000000-0005-0000-0000-000001450000}"/>
    <cellStyle name="Normal 42 25 2" xfId="21759" xr:uid="{00000000-0005-0000-0000-000002450000}"/>
    <cellStyle name="Normal 42 26" xfId="9649" xr:uid="{00000000-0005-0000-0000-000003450000}"/>
    <cellStyle name="Normal 42 26 2" xfId="21760" xr:uid="{00000000-0005-0000-0000-000004450000}"/>
    <cellStyle name="Normal 42 27" xfId="9650" xr:uid="{00000000-0005-0000-0000-000005450000}"/>
    <cellStyle name="Normal 42 27 2" xfId="21761" xr:uid="{00000000-0005-0000-0000-000006450000}"/>
    <cellStyle name="Normal 42 28" xfId="9651" xr:uid="{00000000-0005-0000-0000-000007450000}"/>
    <cellStyle name="Normal 42 28 2" xfId="21762" xr:uid="{00000000-0005-0000-0000-000008450000}"/>
    <cellStyle name="Normal 42 29" xfId="9652" xr:uid="{00000000-0005-0000-0000-000009450000}"/>
    <cellStyle name="Normal 42 29 2" xfId="21763" xr:uid="{00000000-0005-0000-0000-00000A450000}"/>
    <cellStyle name="Normal 42 3" xfId="798" xr:uid="{00000000-0005-0000-0000-00000B450000}"/>
    <cellStyle name="Normal 42 3 2" xfId="21764" xr:uid="{00000000-0005-0000-0000-00000C450000}"/>
    <cellStyle name="Normal 42 30" xfId="9653" xr:uid="{00000000-0005-0000-0000-00000D450000}"/>
    <cellStyle name="Normal 42 30 2" xfId="21765" xr:uid="{00000000-0005-0000-0000-00000E450000}"/>
    <cellStyle name="Normal 42 31" xfId="9654" xr:uid="{00000000-0005-0000-0000-00000F450000}"/>
    <cellStyle name="Normal 42 31 2" xfId="21766" xr:uid="{00000000-0005-0000-0000-000010450000}"/>
    <cellStyle name="Normal 42 32" xfId="9655" xr:uid="{00000000-0005-0000-0000-000011450000}"/>
    <cellStyle name="Normal 42 32 2" xfId="21767" xr:uid="{00000000-0005-0000-0000-000012450000}"/>
    <cellStyle name="Normal 42 33" xfId="9656" xr:uid="{00000000-0005-0000-0000-000013450000}"/>
    <cellStyle name="Normal 42 33 2" xfId="21768" xr:uid="{00000000-0005-0000-0000-000014450000}"/>
    <cellStyle name="Normal 42 34" xfId="9657" xr:uid="{00000000-0005-0000-0000-000015450000}"/>
    <cellStyle name="Normal 42 34 2" xfId="21769" xr:uid="{00000000-0005-0000-0000-000016450000}"/>
    <cellStyle name="Normal 42 35" xfId="9658" xr:uid="{00000000-0005-0000-0000-000017450000}"/>
    <cellStyle name="Normal 42 35 2" xfId="21770" xr:uid="{00000000-0005-0000-0000-000018450000}"/>
    <cellStyle name="Normal 42 36" xfId="9659" xr:uid="{00000000-0005-0000-0000-000019450000}"/>
    <cellStyle name="Normal 42 36 2" xfId="21771" xr:uid="{00000000-0005-0000-0000-00001A450000}"/>
    <cellStyle name="Normal 42 37" xfId="9660" xr:uid="{00000000-0005-0000-0000-00001B450000}"/>
    <cellStyle name="Normal 42 37 2" xfId="21772" xr:uid="{00000000-0005-0000-0000-00001C450000}"/>
    <cellStyle name="Normal 42 38" xfId="9661" xr:uid="{00000000-0005-0000-0000-00001D450000}"/>
    <cellStyle name="Normal 42 38 2" xfId="21773" xr:uid="{00000000-0005-0000-0000-00001E450000}"/>
    <cellStyle name="Normal 42 39" xfId="9662" xr:uid="{00000000-0005-0000-0000-00001F450000}"/>
    <cellStyle name="Normal 42 39 2" xfId="21774" xr:uid="{00000000-0005-0000-0000-000020450000}"/>
    <cellStyle name="Normal 42 4" xfId="730" xr:uid="{00000000-0005-0000-0000-000021450000}"/>
    <cellStyle name="Normal 42 4 2" xfId="21775" xr:uid="{00000000-0005-0000-0000-000022450000}"/>
    <cellStyle name="Normal 42 4 3" xfId="9663" xr:uid="{00000000-0005-0000-0000-000023450000}"/>
    <cellStyle name="Normal 42 40" xfId="9664" xr:uid="{00000000-0005-0000-0000-000024450000}"/>
    <cellStyle name="Normal 42 40 2" xfId="21776" xr:uid="{00000000-0005-0000-0000-000025450000}"/>
    <cellStyle name="Normal 42 41" xfId="9665" xr:uid="{00000000-0005-0000-0000-000026450000}"/>
    <cellStyle name="Normal 42 41 2" xfId="21777" xr:uid="{00000000-0005-0000-0000-000027450000}"/>
    <cellStyle name="Normal 42 42" xfId="9666" xr:uid="{00000000-0005-0000-0000-000028450000}"/>
    <cellStyle name="Normal 42 42 2" xfId="21778" xr:uid="{00000000-0005-0000-0000-000029450000}"/>
    <cellStyle name="Normal 42 43" xfId="9667" xr:uid="{00000000-0005-0000-0000-00002A450000}"/>
    <cellStyle name="Normal 42 43 2" xfId="21779" xr:uid="{00000000-0005-0000-0000-00002B450000}"/>
    <cellStyle name="Normal 42 44" xfId="9668" xr:uid="{00000000-0005-0000-0000-00002C450000}"/>
    <cellStyle name="Normal 42 44 2" xfId="21780" xr:uid="{00000000-0005-0000-0000-00002D450000}"/>
    <cellStyle name="Normal 42 45" xfId="9669" xr:uid="{00000000-0005-0000-0000-00002E450000}"/>
    <cellStyle name="Normal 42 45 2" xfId="21781" xr:uid="{00000000-0005-0000-0000-00002F450000}"/>
    <cellStyle name="Normal 42 46" xfId="9670" xr:uid="{00000000-0005-0000-0000-000030450000}"/>
    <cellStyle name="Normal 42 46 2" xfId="21782" xr:uid="{00000000-0005-0000-0000-000031450000}"/>
    <cellStyle name="Normal 42 47" xfId="9671" xr:uid="{00000000-0005-0000-0000-000032450000}"/>
    <cellStyle name="Normal 42 47 2" xfId="21783" xr:uid="{00000000-0005-0000-0000-000033450000}"/>
    <cellStyle name="Normal 42 48" xfId="9672" xr:uid="{00000000-0005-0000-0000-000034450000}"/>
    <cellStyle name="Normal 42 48 2" xfId="21784" xr:uid="{00000000-0005-0000-0000-000035450000}"/>
    <cellStyle name="Normal 42 49" xfId="9673" xr:uid="{00000000-0005-0000-0000-000036450000}"/>
    <cellStyle name="Normal 42 49 2" xfId="21785" xr:uid="{00000000-0005-0000-0000-000037450000}"/>
    <cellStyle name="Normal 42 5" xfId="326" xr:uid="{00000000-0005-0000-0000-000038450000}"/>
    <cellStyle name="Normal 42 5 2" xfId="21786" xr:uid="{00000000-0005-0000-0000-000039450000}"/>
    <cellStyle name="Normal 42 50" xfId="9674" xr:uid="{00000000-0005-0000-0000-00003A450000}"/>
    <cellStyle name="Normal 42 50 2" xfId="21787" xr:uid="{00000000-0005-0000-0000-00003B450000}"/>
    <cellStyle name="Normal 42 51" xfId="9675" xr:uid="{00000000-0005-0000-0000-00003C450000}"/>
    <cellStyle name="Normal 42 51 2" xfId="21788" xr:uid="{00000000-0005-0000-0000-00003D450000}"/>
    <cellStyle name="Normal 42 52" xfId="9676" xr:uid="{00000000-0005-0000-0000-00003E450000}"/>
    <cellStyle name="Normal 42 52 2" xfId="21789" xr:uid="{00000000-0005-0000-0000-00003F450000}"/>
    <cellStyle name="Normal 42 53" xfId="9677" xr:uid="{00000000-0005-0000-0000-000040450000}"/>
    <cellStyle name="Normal 42 53 2" xfId="21790" xr:uid="{00000000-0005-0000-0000-000041450000}"/>
    <cellStyle name="Normal 42 54" xfId="9678" xr:uid="{00000000-0005-0000-0000-000042450000}"/>
    <cellStyle name="Normal 42 54 2" xfId="21791" xr:uid="{00000000-0005-0000-0000-000043450000}"/>
    <cellStyle name="Normal 42 55" xfId="9679" xr:uid="{00000000-0005-0000-0000-000044450000}"/>
    <cellStyle name="Normal 42 55 2" xfId="21792" xr:uid="{00000000-0005-0000-0000-000045450000}"/>
    <cellStyle name="Normal 42 56" xfId="9680" xr:uid="{00000000-0005-0000-0000-000046450000}"/>
    <cellStyle name="Normal 42 56 2" xfId="21793" xr:uid="{00000000-0005-0000-0000-000047450000}"/>
    <cellStyle name="Normal 42 57" xfId="9681" xr:uid="{00000000-0005-0000-0000-000048450000}"/>
    <cellStyle name="Normal 42 57 2" xfId="21794" xr:uid="{00000000-0005-0000-0000-000049450000}"/>
    <cellStyle name="Normal 42 58" xfId="9682" xr:uid="{00000000-0005-0000-0000-00004A450000}"/>
    <cellStyle name="Normal 42 58 2" xfId="21795" xr:uid="{00000000-0005-0000-0000-00004B450000}"/>
    <cellStyle name="Normal 42 59" xfId="9683" xr:uid="{00000000-0005-0000-0000-00004C450000}"/>
    <cellStyle name="Normal 42 59 2" xfId="21796" xr:uid="{00000000-0005-0000-0000-00004D450000}"/>
    <cellStyle name="Normal 42 6" xfId="9684" xr:uid="{00000000-0005-0000-0000-00004E450000}"/>
    <cellStyle name="Normal 42 6 2" xfId="21797" xr:uid="{00000000-0005-0000-0000-00004F450000}"/>
    <cellStyle name="Normal 42 60" xfId="9685" xr:uid="{00000000-0005-0000-0000-000050450000}"/>
    <cellStyle name="Normal 42 60 2" xfId="21798" xr:uid="{00000000-0005-0000-0000-000051450000}"/>
    <cellStyle name="Normal 42 61" xfId="9686" xr:uid="{00000000-0005-0000-0000-000052450000}"/>
    <cellStyle name="Normal 42 61 2" xfId="21799" xr:uid="{00000000-0005-0000-0000-000053450000}"/>
    <cellStyle name="Normal 42 62" xfId="9687" xr:uid="{00000000-0005-0000-0000-000054450000}"/>
    <cellStyle name="Normal 42 62 2" xfId="21800" xr:uid="{00000000-0005-0000-0000-000055450000}"/>
    <cellStyle name="Normal 42 63" xfId="9688" xr:uid="{00000000-0005-0000-0000-000056450000}"/>
    <cellStyle name="Normal 42 63 2" xfId="21801" xr:uid="{00000000-0005-0000-0000-000057450000}"/>
    <cellStyle name="Normal 42 64" xfId="9689" xr:uid="{00000000-0005-0000-0000-000058450000}"/>
    <cellStyle name="Normal 42 64 2" xfId="21802" xr:uid="{00000000-0005-0000-0000-000059450000}"/>
    <cellStyle name="Normal 42 65" xfId="9690" xr:uid="{00000000-0005-0000-0000-00005A450000}"/>
    <cellStyle name="Normal 42 65 2" xfId="21803" xr:uid="{00000000-0005-0000-0000-00005B450000}"/>
    <cellStyle name="Normal 42 66" xfId="9691" xr:uid="{00000000-0005-0000-0000-00005C450000}"/>
    <cellStyle name="Normal 42 66 2" xfId="21804" xr:uid="{00000000-0005-0000-0000-00005D450000}"/>
    <cellStyle name="Normal 42 67" xfId="9692" xr:uid="{00000000-0005-0000-0000-00005E450000}"/>
    <cellStyle name="Normal 42 67 2" xfId="21805" xr:uid="{00000000-0005-0000-0000-00005F450000}"/>
    <cellStyle name="Normal 42 68" xfId="9693" xr:uid="{00000000-0005-0000-0000-000060450000}"/>
    <cellStyle name="Normal 42 68 2" xfId="21806" xr:uid="{00000000-0005-0000-0000-000061450000}"/>
    <cellStyle name="Normal 42 69" xfId="9694" xr:uid="{00000000-0005-0000-0000-000062450000}"/>
    <cellStyle name="Normal 42 69 2" xfId="21807" xr:uid="{00000000-0005-0000-0000-000063450000}"/>
    <cellStyle name="Normal 42 7" xfId="9695" xr:uid="{00000000-0005-0000-0000-000064450000}"/>
    <cellStyle name="Normal 42 7 2" xfId="21808" xr:uid="{00000000-0005-0000-0000-000065450000}"/>
    <cellStyle name="Normal 42 70" xfId="9696" xr:uid="{00000000-0005-0000-0000-000066450000}"/>
    <cellStyle name="Normal 42 70 2" xfId="21809" xr:uid="{00000000-0005-0000-0000-000067450000}"/>
    <cellStyle name="Normal 42 71" xfId="9697" xr:uid="{00000000-0005-0000-0000-000068450000}"/>
    <cellStyle name="Normal 42 71 2" xfId="21810" xr:uid="{00000000-0005-0000-0000-000069450000}"/>
    <cellStyle name="Normal 42 72" xfId="9698" xr:uid="{00000000-0005-0000-0000-00006A450000}"/>
    <cellStyle name="Normal 42 72 2" xfId="21811" xr:uid="{00000000-0005-0000-0000-00006B450000}"/>
    <cellStyle name="Normal 42 73" xfId="9699" xr:uid="{00000000-0005-0000-0000-00006C450000}"/>
    <cellStyle name="Normal 42 73 2" xfId="21812" xr:uid="{00000000-0005-0000-0000-00006D450000}"/>
    <cellStyle name="Normal 42 74" xfId="9700" xr:uid="{00000000-0005-0000-0000-00006E450000}"/>
    <cellStyle name="Normal 42 74 2" xfId="21813" xr:uid="{00000000-0005-0000-0000-00006F450000}"/>
    <cellStyle name="Normal 42 75" xfId="9701" xr:uid="{00000000-0005-0000-0000-000070450000}"/>
    <cellStyle name="Normal 42 75 2" xfId="21814" xr:uid="{00000000-0005-0000-0000-000071450000}"/>
    <cellStyle name="Normal 42 76" xfId="9702" xr:uid="{00000000-0005-0000-0000-000072450000}"/>
    <cellStyle name="Normal 42 76 2" xfId="21815" xr:uid="{00000000-0005-0000-0000-000073450000}"/>
    <cellStyle name="Normal 42 77" xfId="9703" xr:uid="{00000000-0005-0000-0000-000074450000}"/>
    <cellStyle name="Normal 42 77 2" xfId="21816" xr:uid="{00000000-0005-0000-0000-000075450000}"/>
    <cellStyle name="Normal 42 78" xfId="9704" xr:uid="{00000000-0005-0000-0000-000076450000}"/>
    <cellStyle name="Normal 42 78 2" xfId="21817" xr:uid="{00000000-0005-0000-0000-000077450000}"/>
    <cellStyle name="Normal 42 79" xfId="9705" xr:uid="{00000000-0005-0000-0000-000078450000}"/>
    <cellStyle name="Normal 42 79 2" xfId="21818" xr:uid="{00000000-0005-0000-0000-000079450000}"/>
    <cellStyle name="Normal 42 8" xfId="9706" xr:uid="{00000000-0005-0000-0000-00007A450000}"/>
    <cellStyle name="Normal 42 8 2" xfId="21819" xr:uid="{00000000-0005-0000-0000-00007B450000}"/>
    <cellStyle name="Normal 42 80" xfId="21742" xr:uid="{00000000-0005-0000-0000-00007C450000}"/>
    <cellStyle name="Normal 42 9" xfId="9707" xr:uid="{00000000-0005-0000-0000-00007D450000}"/>
    <cellStyle name="Normal 42 9 2" xfId="21820" xr:uid="{00000000-0005-0000-0000-00007E450000}"/>
    <cellStyle name="Normal 43" xfId="150" xr:uid="{00000000-0005-0000-0000-00007F450000}"/>
    <cellStyle name="Normal 43 10" xfId="9708" xr:uid="{00000000-0005-0000-0000-000080450000}"/>
    <cellStyle name="Normal 43 10 2" xfId="21822" xr:uid="{00000000-0005-0000-0000-000081450000}"/>
    <cellStyle name="Normal 43 11" xfId="9709" xr:uid="{00000000-0005-0000-0000-000082450000}"/>
    <cellStyle name="Normal 43 11 2" xfId="21823" xr:uid="{00000000-0005-0000-0000-000083450000}"/>
    <cellStyle name="Normal 43 12" xfId="9710" xr:uid="{00000000-0005-0000-0000-000084450000}"/>
    <cellStyle name="Normal 43 12 2" xfId="21824" xr:uid="{00000000-0005-0000-0000-000085450000}"/>
    <cellStyle name="Normal 43 13" xfId="9711" xr:uid="{00000000-0005-0000-0000-000086450000}"/>
    <cellStyle name="Normal 43 13 2" xfId="21825" xr:uid="{00000000-0005-0000-0000-000087450000}"/>
    <cellStyle name="Normal 43 14" xfId="9712" xr:uid="{00000000-0005-0000-0000-000088450000}"/>
    <cellStyle name="Normal 43 14 2" xfId="21826" xr:uid="{00000000-0005-0000-0000-000089450000}"/>
    <cellStyle name="Normal 43 15" xfId="9713" xr:uid="{00000000-0005-0000-0000-00008A450000}"/>
    <cellStyle name="Normal 43 15 2" xfId="21827" xr:uid="{00000000-0005-0000-0000-00008B450000}"/>
    <cellStyle name="Normal 43 16" xfId="9714" xr:uid="{00000000-0005-0000-0000-00008C450000}"/>
    <cellStyle name="Normal 43 16 2" xfId="21828" xr:uid="{00000000-0005-0000-0000-00008D450000}"/>
    <cellStyle name="Normal 43 17" xfId="9715" xr:uid="{00000000-0005-0000-0000-00008E450000}"/>
    <cellStyle name="Normal 43 17 2" xfId="21829" xr:uid="{00000000-0005-0000-0000-00008F450000}"/>
    <cellStyle name="Normal 43 18" xfId="9716" xr:uid="{00000000-0005-0000-0000-000090450000}"/>
    <cellStyle name="Normal 43 18 2" xfId="21830" xr:uid="{00000000-0005-0000-0000-000091450000}"/>
    <cellStyle name="Normal 43 19" xfId="9717" xr:uid="{00000000-0005-0000-0000-000092450000}"/>
    <cellStyle name="Normal 43 19 2" xfId="21831" xr:uid="{00000000-0005-0000-0000-000093450000}"/>
    <cellStyle name="Normal 43 2" xfId="173" xr:uid="{00000000-0005-0000-0000-000094450000}"/>
    <cellStyle name="Normal 43 2 2" xfId="21832" xr:uid="{00000000-0005-0000-0000-000095450000}"/>
    <cellStyle name="Normal 43 2 3" xfId="9718" xr:uid="{00000000-0005-0000-0000-000096450000}"/>
    <cellStyle name="Normal 43 20" xfId="9719" xr:uid="{00000000-0005-0000-0000-000097450000}"/>
    <cellStyle name="Normal 43 20 2" xfId="21833" xr:uid="{00000000-0005-0000-0000-000098450000}"/>
    <cellStyle name="Normal 43 21" xfId="9720" xr:uid="{00000000-0005-0000-0000-000099450000}"/>
    <cellStyle name="Normal 43 21 2" xfId="21834" xr:uid="{00000000-0005-0000-0000-00009A450000}"/>
    <cellStyle name="Normal 43 22" xfId="9721" xr:uid="{00000000-0005-0000-0000-00009B450000}"/>
    <cellStyle name="Normal 43 22 2" xfId="21835" xr:uid="{00000000-0005-0000-0000-00009C450000}"/>
    <cellStyle name="Normal 43 23" xfId="9722" xr:uid="{00000000-0005-0000-0000-00009D450000}"/>
    <cellStyle name="Normal 43 23 2" xfId="21836" xr:uid="{00000000-0005-0000-0000-00009E450000}"/>
    <cellStyle name="Normal 43 24" xfId="9723" xr:uid="{00000000-0005-0000-0000-00009F450000}"/>
    <cellStyle name="Normal 43 24 2" xfId="21837" xr:uid="{00000000-0005-0000-0000-0000A0450000}"/>
    <cellStyle name="Normal 43 25" xfId="9724" xr:uid="{00000000-0005-0000-0000-0000A1450000}"/>
    <cellStyle name="Normal 43 25 2" xfId="21838" xr:uid="{00000000-0005-0000-0000-0000A2450000}"/>
    <cellStyle name="Normal 43 26" xfId="9725" xr:uid="{00000000-0005-0000-0000-0000A3450000}"/>
    <cellStyle name="Normal 43 26 2" xfId="21839" xr:uid="{00000000-0005-0000-0000-0000A4450000}"/>
    <cellStyle name="Normal 43 27" xfId="9726" xr:uid="{00000000-0005-0000-0000-0000A5450000}"/>
    <cellStyle name="Normal 43 27 2" xfId="21840" xr:uid="{00000000-0005-0000-0000-0000A6450000}"/>
    <cellStyle name="Normal 43 28" xfId="9727" xr:uid="{00000000-0005-0000-0000-0000A7450000}"/>
    <cellStyle name="Normal 43 28 2" xfId="21841" xr:uid="{00000000-0005-0000-0000-0000A8450000}"/>
    <cellStyle name="Normal 43 29" xfId="9728" xr:uid="{00000000-0005-0000-0000-0000A9450000}"/>
    <cellStyle name="Normal 43 29 2" xfId="21842" xr:uid="{00000000-0005-0000-0000-0000AA450000}"/>
    <cellStyle name="Normal 43 3" xfId="799" xr:uid="{00000000-0005-0000-0000-0000AB450000}"/>
    <cellStyle name="Normal 43 3 2" xfId="21843" xr:uid="{00000000-0005-0000-0000-0000AC450000}"/>
    <cellStyle name="Normal 43 30" xfId="9729" xr:uid="{00000000-0005-0000-0000-0000AD450000}"/>
    <cellStyle name="Normal 43 30 2" xfId="21844" xr:uid="{00000000-0005-0000-0000-0000AE450000}"/>
    <cellStyle name="Normal 43 31" xfId="9730" xr:uid="{00000000-0005-0000-0000-0000AF450000}"/>
    <cellStyle name="Normal 43 31 2" xfId="21845" xr:uid="{00000000-0005-0000-0000-0000B0450000}"/>
    <cellStyle name="Normal 43 32" xfId="9731" xr:uid="{00000000-0005-0000-0000-0000B1450000}"/>
    <cellStyle name="Normal 43 32 2" xfId="21846" xr:uid="{00000000-0005-0000-0000-0000B2450000}"/>
    <cellStyle name="Normal 43 33" xfId="9732" xr:uid="{00000000-0005-0000-0000-0000B3450000}"/>
    <cellStyle name="Normal 43 33 2" xfId="21847" xr:uid="{00000000-0005-0000-0000-0000B4450000}"/>
    <cellStyle name="Normal 43 34" xfId="9733" xr:uid="{00000000-0005-0000-0000-0000B5450000}"/>
    <cellStyle name="Normal 43 34 2" xfId="21848" xr:uid="{00000000-0005-0000-0000-0000B6450000}"/>
    <cellStyle name="Normal 43 35" xfId="9734" xr:uid="{00000000-0005-0000-0000-0000B7450000}"/>
    <cellStyle name="Normal 43 35 2" xfId="21849" xr:uid="{00000000-0005-0000-0000-0000B8450000}"/>
    <cellStyle name="Normal 43 36" xfId="9735" xr:uid="{00000000-0005-0000-0000-0000B9450000}"/>
    <cellStyle name="Normal 43 36 2" xfId="21850" xr:uid="{00000000-0005-0000-0000-0000BA450000}"/>
    <cellStyle name="Normal 43 37" xfId="9736" xr:uid="{00000000-0005-0000-0000-0000BB450000}"/>
    <cellStyle name="Normal 43 37 2" xfId="21851" xr:uid="{00000000-0005-0000-0000-0000BC450000}"/>
    <cellStyle name="Normal 43 38" xfId="9737" xr:uid="{00000000-0005-0000-0000-0000BD450000}"/>
    <cellStyle name="Normal 43 38 2" xfId="21852" xr:uid="{00000000-0005-0000-0000-0000BE450000}"/>
    <cellStyle name="Normal 43 39" xfId="9738" xr:uid="{00000000-0005-0000-0000-0000BF450000}"/>
    <cellStyle name="Normal 43 39 2" xfId="21853" xr:uid="{00000000-0005-0000-0000-0000C0450000}"/>
    <cellStyle name="Normal 43 4" xfId="731" xr:uid="{00000000-0005-0000-0000-0000C1450000}"/>
    <cellStyle name="Normal 43 4 2" xfId="21854" xr:uid="{00000000-0005-0000-0000-0000C2450000}"/>
    <cellStyle name="Normal 43 4 3" xfId="9739" xr:uid="{00000000-0005-0000-0000-0000C3450000}"/>
    <cellStyle name="Normal 43 40" xfId="9740" xr:uid="{00000000-0005-0000-0000-0000C4450000}"/>
    <cellStyle name="Normal 43 40 2" xfId="21855" xr:uid="{00000000-0005-0000-0000-0000C5450000}"/>
    <cellStyle name="Normal 43 41" xfId="9741" xr:uid="{00000000-0005-0000-0000-0000C6450000}"/>
    <cellStyle name="Normal 43 41 2" xfId="21856" xr:uid="{00000000-0005-0000-0000-0000C7450000}"/>
    <cellStyle name="Normal 43 42" xfId="9742" xr:uid="{00000000-0005-0000-0000-0000C8450000}"/>
    <cellStyle name="Normal 43 42 2" xfId="21857" xr:uid="{00000000-0005-0000-0000-0000C9450000}"/>
    <cellStyle name="Normal 43 43" xfId="9743" xr:uid="{00000000-0005-0000-0000-0000CA450000}"/>
    <cellStyle name="Normal 43 43 2" xfId="21858" xr:uid="{00000000-0005-0000-0000-0000CB450000}"/>
    <cellStyle name="Normal 43 44" xfId="9744" xr:uid="{00000000-0005-0000-0000-0000CC450000}"/>
    <cellStyle name="Normal 43 44 2" xfId="21859" xr:uid="{00000000-0005-0000-0000-0000CD450000}"/>
    <cellStyle name="Normal 43 45" xfId="9745" xr:uid="{00000000-0005-0000-0000-0000CE450000}"/>
    <cellStyle name="Normal 43 45 2" xfId="21860" xr:uid="{00000000-0005-0000-0000-0000CF450000}"/>
    <cellStyle name="Normal 43 46" xfId="9746" xr:uid="{00000000-0005-0000-0000-0000D0450000}"/>
    <cellStyle name="Normal 43 46 2" xfId="21861" xr:uid="{00000000-0005-0000-0000-0000D1450000}"/>
    <cellStyle name="Normal 43 47" xfId="9747" xr:uid="{00000000-0005-0000-0000-0000D2450000}"/>
    <cellStyle name="Normal 43 47 2" xfId="21862" xr:uid="{00000000-0005-0000-0000-0000D3450000}"/>
    <cellStyle name="Normal 43 48" xfId="9748" xr:uid="{00000000-0005-0000-0000-0000D4450000}"/>
    <cellStyle name="Normal 43 48 2" xfId="21863" xr:uid="{00000000-0005-0000-0000-0000D5450000}"/>
    <cellStyle name="Normal 43 49" xfId="9749" xr:uid="{00000000-0005-0000-0000-0000D6450000}"/>
    <cellStyle name="Normal 43 49 2" xfId="21864" xr:uid="{00000000-0005-0000-0000-0000D7450000}"/>
    <cellStyle name="Normal 43 5" xfId="327" xr:uid="{00000000-0005-0000-0000-0000D8450000}"/>
    <cellStyle name="Normal 43 5 2" xfId="21865" xr:uid="{00000000-0005-0000-0000-0000D9450000}"/>
    <cellStyle name="Normal 43 50" xfId="9750" xr:uid="{00000000-0005-0000-0000-0000DA450000}"/>
    <cellStyle name="Normal 43 50 2" xfId="21866" xr:uid="{00000000-0005-0000-0000-0000DB450000}"/>
    <cellStyle name="Normal 43 51" xfId="9751" xr:uid="{00000000-0005-0000-0000-0000DC450000}"/>
    <cellStyle name="Normal 43 51 2" xfId="21867" xr:uid="{00000000-0005-0000-0000-0000DD450000}"/>
    <cellStyle name="Normal 43 52" xfId="9752" xr:uid="{00000000-0005-0000-0000-0000DE450000}"/>
    <cellStyle name="Normal 43 52 2" xfId="21868" xr:uid="{00000000-0005-0000-0000-0000DF450000}"/>
    <cellStyle name="Normal 43 53" xfId="9753" xr:uid="{00000000-0005-0000-0000-0000E0450000}"/>
    <cellStyle name="Normal 43 53 2" xfId="21869" xr:uid="{00000000-0005-0000-0000-0000E1450000}"/>
    <cellStyle name="Normal 43 54" xfId="9754" xr:uid="{00000000-0005-0000-0000-0000E2450000}"/>
    <cellStyle name="Normal 43 54 2" xfId="21870" xr:uid="{00000000-0005-0000-0000-0000E3450000}"/>
    <cellStyle name="Normal 43 55" xfId="9755" xr:uid="{00000000-0005-0000-0000-0000E4450000}"/>
    <cellStyle name="Normal 43 55 2" xfId="21871" xr:uid="{00000000-0005-0000-0000-0000E5450000}"/>
    <cellStyle name="Normal 43 56" xfId="9756" xr:uid="{00000000-0005-0000-0000-0000E6450000}"/>
    <cellStyle name="Normal 43 56 2" xfId="21872" xr:uid="{00000000-0005-0000-0000-0000E7450000}"/>
    <cellStyle name="Normal 43 57" xfId="9757" xr:uid="{00000000-0005-0000-0000-0000E8450000}"/>
    <cellStyle name="Normal 43 57 2" xfId="21873" xr:uid="{00000000-0005-0000-0000-0000E9450000}"/>
    <cellStyle name="Normal 43 58" xfId="9758" xr:uid="{00000000-0005-0000-0000-0000EA450000}"/>
    <cellStyle name="Normal 43 58 2" xfId="21874" xr:uid="{00000000-0005-0000-0000-0000EB450000}"/>
    <cellStyle name="Normal 43 59" xfId="9759" xr:uid="{00000000-0005-0000-0000-0000EC450000}"/>
    <cellStyle name="Normal 43 59 2" xfId="21875" xr:uid="{00000000-0005-0000-0000-0000ED450000}"/>
    <cellStyle name="Normal 43 6" xfId="9760" xr:uid="{00000000-0005-0000-0000-0000EE450000}"/>
    <cellStyle name="Normal 43 6 2" xfId="21876" xr:uid="{00000000-0005-0000-0000-0000EF450000}"/>
    <cellStyle name="Normal 43 60" xfId="9761" xr:uid="{00000000-0005-0000-0000-0000F0450000}"/>
    <cellStyle name="Normal 43 60 2" xfId="21877" xr:uid="{00000000-0005-0000-0000-0000F1450000}"/>
    <cellStyle name="Normal 43 61" xfId="9762" xr:uid="{00000000-0005-0000-0000-0000F2450000}"/>
    <cellStyle name="Normal 43 61 2" xfId="21878" xr:uid="{00000000-0005-0000-0000-0000F3450000}"/>
    <cellStyle name="Normal 43 62" xfId="9763" xr:uid="{00000000-0005-0000-0000-0000F4450000}"/>
    <cellStyle name="Normal 43 62 2" xfId="21879" xr:uid="{00000000-0005-0000-0000-0000F5450000}"/>
    <cellStyle name="Normal 43 63" xfId="9764" xr:uid="{00000000-0005-0000-0000-0000F6450000}"/>
    <cellStyle name="Normal 43 63 2" xfId="21880" xr:uid="{00000000-0005-0000-0000-0000F7450000}"/>
    <cellStyle name="Normal 43 64" xfId="9765" xr:uid="{00000000-0005-0000-0000-0000F8450000}"/>
    <cellStyle name="Normal 43 64 2" xfId="21881" xr:uid="{00000000-0005-0000-0000-0000F9450000}"/>
    <cellStyle name="Normal 43 65" xfId="9766" xr:uid="{00000000-0005-0000-0000-0000FA450000}"/>
    <cellStyle name="Normal 43 65 2" xfId="21882" xr:uid="{00000000-0005-0000-0000-0000FB450000}"/>
    <cellStyle name="Normal 43 66" xfId="9767" xr:uid="{00000000-0005-0000-0000-0000FC450000}"/>
    <cellStyle name="Normal 43 66 2" xfId="21883" xr:uid="{00000000-0005-0000-0000-0000FD450000}"/>
    <cellStyle name="Normal 43 67" xfId="9768" xr:uid="{00000000-0005-0000-0000-0000FE450000}"/>
    <cellStyle name="Normal 43 67 2" xfId="21884" xr:uid="{00000000-0005-0000-0000-0000FF450000}"/>
    <cellStyle name="Normal 43 68" xfId="9769" xr:uid="{00000000-0005-0000-0000-000000460000}"/>
    <cellStyle name="Normal 43 68 2" xfId="21885" xr:uid="{00000000-0005-0000-0000-000001460000}"/>
    <cellStyle name="Normal 43 69" xfId="9770" xr:uid="{00000000-0005-0000-0000-000002460000}"/>
    <cellStyle name="Normal 43 69 2" xfId="21886" xr:uid="{00000000-0005-0000-0000-000003460000}"/>
    <cellStyle name="Normal 43 7" xfId="9771" xr:uid="{00000000-0005-0000-0000-000004460000}"/>
    <cellStyle name="Normal 43 7 2" xfId="21887" xr:uid="{00000000-0005-0000-0000-000005460000}"/>
    <cellStyle name="Normal 43 70" xfId="9772" xr:uid="{00000000-0005-0000-0000-000006460000}"/>
    <cellStyle name="Normal 43 70 2" xfId="21888" xr:uid="{00000000-0005-0000-0000-000007460000}"/>
    <cellStyle name="Normal 43 71" xfId="9773" xr:uid="{00000000-0005-0000-0000-000008460000}"/>
    <cellStyle name="Normal 43 71 2" xfId="21889" xr:uid="{00000000-0005-0000-0000-000009460000}"/>
    <cellStyle name="Normal 43 72" xfId="9774" xr:uid="{00000000-0005-0000-0000-00000A460000}"/>
    <cellStyle name="Normal 43 72 2" xfId="21890" xr:uid="{00000000-0005-0000-0000-00000B460000}"/>
    <cellStyle name="Normal 43 73" xfId="9775" xr:uid="{00000000-0005-0000-0000-00000C460000}"/>
    <cellStyle name="Normal 43 73 2" xfId="21891" xr:uid="{00000000-0005-0000-0000-00000D460000}"/>
    <cellStyle name="Normal 43 74" xfId="9776" xr:uid="{00000000-0005-0000-0000-00000E460000}"/>
    <cellStyle name="Normal 43 74 2" xfId="21892" xr:uid="{00000000-0005-0000-0000-00000F460000}"/>
    <cellStyle name="Normal 43 75" xfId="9777" xr:uid="{00000000-0005-0000-0000-000010460000}"/>
    <cellStyle name="Normal 43 75 2" xfId="21893" xr:uid="{00000000-0005-0000-0000-000011460000}"/>
    <cellStyle name="Normal 43 76" xfId="9778" xr:uid="{00000000-0005-0000-0000-000012460000}"/>
    <cellStyle name="Normal 43 76 2" xfId="21894" xr:uid="{00000000-0005-0000-0000-000013460000}"/>
    <cellStyle name="Normal 43 77" xfId="9779" xr:uid="{00000000-0005-0000-0000-000014460000}"/>
    <cellStyle name="Normal 43 77 2" xfId="21895" xr:uid="{00000000-0005-0000-0000-000015460000}"/>
    <cellStyle name="Normal 43 78" xfId="9780" xr:uid="{00000000-0005-0000-0000-000016460000}"/>
    <cellStyle name="Normal 43 78 2" xfId="21896" xr:uid="{00000000-0005-0000-0000-000017460000}"/>
    <cellStyle name="Normal 43 79" xfId="9781" xr:uid="{00000000-0005-0000-0000-000018460000}"/>
    <cellStyle name="Normal 43 79 2" xfId="21897" xr:uid="{00000000-0005-0000-0000-000019460000}"/>
    <cellStyle name="Normal 43 8" xfId="9782" xr:uid="{00000000-0005-0000-0000-00001A460000}"/>
    <cellStyle name="Normal 43 8 2" xfId="21898" xr:uid="{00000000-0005-0000-0000-00001B460000}"/>
    <cellStyle name="Normal 43 80" xfId="21821" xr:uid="{00000000-0005-0000-0000-00001C460000}"/>
    <cellStyle name="Normal 43 9" xfId="9783" xr:uid="{00000000-0005-0000-0000-00001D460000}"/>
    <cellStyle name="Normal 43 9 2" xfId="21899" xr:uid="{00000000-0005-0000-0000-00001E460000}"/>
    <cellStyle name="Normal 44" xfId="151" xr:uid="{00000000-0005-0000-0000-00001F460000}"/>
    <cellStyle name="Normal 44 10" xfId="9784" xr:uid="{00000000-0005-0000-0000-000020460000}"/>
    <cellStyle name="Normal 44 10 2" xfId="21901" xr:uid="{00000000-0005-0000-0000-000021460000}"/>
    <cellStyle name="Normal 44 11" xfId="9785" xr:uid="{00000000-0005-0000-0000-000022460000}"/>
    <cellStyle name="Normal 44 11 2" xfId="21902" xr:uid="{00000000-0005-0000-0000-000023460000}"/>
    <cellStyle name="Normal 44 12" xfId="9786" xr:uid="{00000000-0005-0000-0000-000024460000}"/>
    <cellStyle name="Normal 44 12 2" xfId="21903" xr:uid="{00000000-0005-0000-0000-000025460000}"/>
    <cellStyle name="Normal 44 13" xfId="9787" xr:uid="{00000000-0005-0000-0000-000026460000}"/>
    <cellStyle name="Normal 44 13 2" xfId="21904" xr:uid="{00000000-0005-0000-0000-000027460000}"/>
    <cellStyle name="Normal 44 14" xfId="9788" xr:uid="{00000000-0005-0000-0000-000028460000}"/>
    <cellStyle name="Normal 44 14 2" xfId="21905" xr:uid="{00000000-0005-0000-0000-000029460000}"/>
    <cellStyle name="Normal 44 15" xfId="9789" xr:uid="{00000000-0005-0000-0000-00002A460000}"/>
    <cellStyle name="Normal 44 15 2" xfId="21906" xr:uid="{00000000-0005-0000-0000-00002B460000}"/>
    <cellStyle name="Normal 44 16" xfId="9790" xr:uid="{00000000-0005-0000-0000-00002C460000}"/>
    <cellStyle name="Normal 44 16 2" xfId="21907" xr:uid="{00000000-0005-0000-0000-00002D460000}"/>
    <cellStyle name="Normal 44 17" xfId="9791" xr:uid="{00000000-0005-0000-0000-00002E460000}"/>
    <cellStyle name="Normal 44 17 2" xfId="21908" xr:uid="{00000000-0005-0000-0000-00002F460000}"/>
    <cellStyle name="Normal 44 18" xfId="9792" xr:uid="{00000000-0005-0000-0000-000030460000}"/>
    <cellStyle name="Normal 44 18 2" xfId="21909" xr:uid="{00000000-0005-0000-0000-000031460000}"/>
    <cellStyle name="Normal 44 19" xfId="9793" xr:uid="{00000000-0005-0000-0000-000032460000}"/>
    <cellStyle name="Normal 44 19 2" xfId="21910" xr:uid="{00000000-0005-0000-0000-000033460000}"/>
    <cellStyle name="Normal 44 2" xfId="174" xr:uid="{00000000-0005-0000-0000-000034460000}"/>
    <cellStyle name="Normal 44 2 2" xfId="21911" xr:uid="{00000000-0005-0000-0000-000035460000}"/>
    <cellStyle name="Normal 44 2 3" xfId="9794" xr:uid="{00000000-0005-0000-0000-000036460000}"/>
    <cellStyle name="Normal 44 20" xfId="9795" xr:uid="{00000000-0005-0000-0000-000037460000}"/>
    <cellStyle name="Normal 44 20 2" xfId="21912" xr:uid="{00000000-0005-0000-0000-000038460000}"/>
    <cellStyle name="Normal 44 21" xfId="9796" xr:uid="{00000000-0005-0000-0000-000039460000}"/>
    <cellStyle name="Normal 44 21 2" xfId="21913" xr:uid="{00000000-0005-0000-0000-00003A460000}"/>
    <cellStyle name="Normal 44 22" xfId="9797" xr:uid="{00000000-0005-0000-0000-00003B460000}"/>
    <cellStyle name="Normal 44 22 2" xfId="21914" xr:uid="{00000000-0005-0000-0000-00003C460000}"/>
    <cellStyle name="Normal 44 23" xfId="9798" xr:uid="{00000000-0005-0000-0000-00003D460000}"/>
    <cellStyle name="Normal 44 23 2" xfId="21915" xr:uid="{00000000-0005-0000-0000-00003E460000}"/>
    <cellStyle name="Normal 44 24" xfId="9799" xr:uid="{00000000-0005-0000-0000-00003F460000}"/>
    <cellStyle name="Normal 44 24 2" xfId="21916" xr:uid="{00000000-0005-0000-0000-000040460000}"/>
    <cellStyle name="Normal 44 25" xfId="9800" xr:uid="{00000000-0005-0000-0000-000041460000}"/>
    <cellStyle name="Normal 44 25 2" xfId="21917" xr:uid="{00000000-0005-0000-0000-000042460000}"/>
    <cellStyle name="Normal 44 26" xfId="9801" xr:uid="{00000000-0005-0000-0000-000043460000}"/>
    <cellStyle name="Normal 44 26 2" xfId="21918" xr:uid="{00000000-0005-0000-0000-000044460000}"/>
    <cellStyle name="Normal 44 27" xfId="9802" xr:uid="{00000000-0005-0000-0000-000045460000}"/>
    <cellStyle name="Normal 44 27 2" xfId="21919" xr:uid="{00000000-0005-0000-0000-000046460000}"/>
    <cellStyle name="Normal 44 28" xfId="9803" xr:uid="{00000000-0005-0000-0000-000047460000}"/>
    <cellStyle name="Normal 44 28 2" xfId="21920" xr:uid="{00000000-0005-0000-0000-000048460000}"/>
    <cellStyle name="Normal 44 29" xfId="9804" xr:uid="{00000000-0005-0000-0000-000049460000}"/>
    <cellStyle name="Normal 44 29 2" xfId="21921" xr:uid="{00000000-0005-0000-0000-00004A460000}"/>
    <cellStyle name="Normal 44 3" xfId="732" xr:uid="{00000000-0005-0000-0000-00004B460000}"/>
    <cellStyle name="Normal 44 3 2" xfId="21922" xr:uid="{00000000-0005-0000-0000-00004C460000}"/>
    <cellStyle name="Normal 44 3 3" xfId="9805" xr:uid="{00000000-0005-0000-0000-00004D460000}"/>
    <cellStyle name="Normal 44 30" xfId="9806" xr:uid="{00000000-0005-0000-0000-00004E460000}"/>
    <cellStyle name="Normal 44 30 2" xfId="21923" xr:uid="{00000000-0005-0000-0000-00004F460000}"/>
    <cellStyle name="Normal 44 31" xfId="9807" xr:uid="{00000000-0005-0000-0000-000050460000}"/>
    <cellStyle name="Normal 44 31 2" xfId="21924" xr:uid="{00000000-0005-0000-0000-000051460000}"/>
    <cellStyle name="Normal 44 32" xfId="9808" xr:uid="{00000000-0005-0000-0000-000052460000}"/>
    <cellStyle name="Normal 44 32 2" xfId="21925" xr:uid="{00000000-0005-0000-0000-000053460000}"/>
    <cellStyle name="Normal 44 33" xfId="9809" xr:uid="{00000000-0005-0000-0000-000054460000}"/>
    <cellStyle name="Normal 44 33 2" xfId="21926" xr:uid="{00000000-0005-0000-0000-000055460000}"/>
    <cellStyle name="Normal 44 34" xfId="9810" xr:uid="{00000000-0005-0000-0000-000056460000}"/>
    <cellStyle name="Normal 44 34 2" xfId="21927" xr:uid="{00000000-0005-0000-0000-000057460000}"/>
    <cellStyle name="Normal 44 35" xfId="9811" xr:uid="{00000000-0005-0000-0000-000058460000}"/>
    <cellStyle name="Normal 44 35 2" xfId="21928" xr:uid="{00000000-0005-0000-0000-000059460000}"/>
    <cellStyle name="Normal 44 36" xfId="9812" xr:uid="{00000000-0005-0000-0000-00005A460000}"/>
    <cellStyle name="Normal 44 36 2" xfId="21929" xr:uid="{00000000-0005-0000-0000-00005B460000}"/>
    <cellStyle name="Normal 44 37" xfId="9813" xr:uid="{00000000-0005-0000-0000-00005C460000}"/>
    <cellStyle name="Normal 44 37 2" xfId="21930" xr:uid="{00000000-0005-0000-0000-00005D460000}"/>
    <cellStyle name="Normal 44 38" xfId="9814" xr:uid="{00000000-0005-0000-0000-00005E460000}"/>
    <cellStyle name="Normal 44 38 2" xfId="21931" xr:uid="{00000000-0005-0000-0000-00005F460000}"/>
    <cellStyle name="Normal 44 39" xfId="9815" xr:uid="{00000000-0005-0000-0000-000060460000}"/>
    <cellStyle name="Normal 44 39 2" xfId="21932" xr:uid="{00000000-0005-0000-0000-000061460000}"/>
    <cellStyle name="Normal 44 4" xfId="328" xr:uid="{00000000-0005-0000-0000-000062460000}"/>
    <cellStyle name="Normal 44 4 2" xfId="21933" xr:uid="{00000000-0005-0000-0000-000063460000}"/>
    <cellStyle name="Normal 44 40" xfId="9816" xr:uid="{00000000-0005-0000-0000-000064460000}"/>
    <cellStyle name="Normal 44 40 2" xfId="21934" xr:uid="{00000000-0005-0000-0000-000065460000}"/>
    <cellStyle name="Normal 44 41" xfId="9817" xr:uid="{00000000-0005-0000-0000-000066460000}"/>
    <cellStyle name="Normal 44 41 2" xfId="21935" xr:uid="{00000000-0005-0000-0000-000067460000}"/>
    <cellStyle name="Normal 44 42" xfId="9818" xr:uid="{00000000-0005-0000-0000-000068460000}"/>
    <cellStyle name="Normal 44 42 2" xfId="21936" xr:uid="{00000000-0005-0000-0000-000069460000}"/>
    <cellStyle name="Normal 44 43" xfId="9819" xr:uid="{00000000-0005-0000-0000-00006A460000}"/>
    <cellStyle name="Normal 44 43 2" xfId="21937" xr:uid="{00000000-0005-0000-0000-00006B460000}"/>
    <cellStyle name="Normal 44 44" xfId="9820" xr:uid="{00000000-0005-0000-0000-00006C460000}"/>
    <cellStyle name="Normal 44 44 2" xfId="21938" xr:uid="{00000000-0005-0000-0000-00006D460000}"/>
    <cellStyle name="Normal 44 45" xfId="9821" xr:uid="{00000000-0005-0000-0000-00006E460000}"/>
    <cellStyle name="Normal 44 45 2" xfId="21939" xr:uid="{00000000-0005-0000-0000-00006F460000}"/>
    <cellStyle name="Normal 44 46" xfId="9822" xr:uid="{00000000-0005-0000-0000-000070460000}"/>
    <cellStyle name="Normal 44 46 2" xfId="21940" xr:uid="{00000000-0005-0000-0000-000071460000}"/>
    <cellStyle name="Normal 44 47" xfId="9823" xr:uid="{00000000-0005-0000-0000-000072460000}"/>
    <cellStyle name="Normal 44 47 2" xfId="21941" xr:uid="{00000000-0005-0000-0000-000073460000}"/>
    <cellStyle name="Normal 44 48" xfId="9824" xr:uid="{00000000-0005-0000-0000-000074460000}"/>
    <cellStyle name="Normal 44 48 2" xfId="21942" xr:uid="{00000000-0005-0000-0000-000075460000}"/>
    <cellStyle name="Normal 44 49" xfId="9825" xr:uid="{00000000-0005-0000-0000-000076460000}"/>
    <cellStyle name="Normal 44 49 2" xfId="21943" xr:uid="{00000000-0005-0000-0000-000077460000}"/>
    <cellStyle name="Normal 44 5" xfId="9826" xr:uid="{00000000-0005-0000-0000-000078460000}"/>
    <cellStyle name="Normal 44 5 2" xfId="21944" xr:uid="{00000000-0005-0000-0000-000079460000}"/>
    <cellStyle name="Normal 44 50" xfId="9827" xr:uid="{00000000-0005-0000-0000-00007A460000}"/>
    <cellStyle name="Normal 44 50 2" xfId="21945" xr:uid="{00000000-0005-0000-0000-00007B460000}"/>
    <cellStyle name="Normal 44 51" xfId="9828" xr:uid="{00000000-0005-0000-0000-00007C460000}"/>
    <cellStyle name="Normal 44 51 2" xfId="21946" xr:uid="{00000000-0005-0000-0000-00007D460000}"/>
    <cellStyle name="Normal 44 52" xfId="9829" xr:uid="{00000000-0005-0000-0000-00007E460000}"/>
    <cellStyle name="Normal 44 52 2" xfId="21947" xr:uid="{00000000-0005-0000-0000-00007F460000}"/>
    <cellStyle name="Normal 44 53" xfId="9830" xr:uid="{00000000-0005-0000-0000-000080460000}"/>
    <cellStyle name="Normal 44 53 2" xfId="21948" xr:uid="{00000000-0005-0000-0000-000081460000}"/>
    <cellStyle name="Normal 44 54" xfId="9831" xr:uid="{00000000-0005-0000-0000-000082460000}"/>
    <cellStyle name="Normal 44 54 2" xfId="21949" xr:uid="{00000000-0005-0000-0000-000083460000}"/>
    <cellStyle name="Normal 44 55" xfId="9832" xr:uid="{00000000-0005-0000-0000-000084460000}"/>
    <cellStyle name="Normal 44 55 2" xfId="21950" xr:uid="{00000000-0005-0000-0000-000085460000}"/>
    <cellStyle name="Normal 44 56" xfId="9833" xr:uid="{00000000-0005-0000-0000-000086460000}"/>
    <cellStyle name="Normal 44 56 2" xfId="21951" xr:uid="{00000000-0005-0000-0000-000087460000}"/>
    <cellStyle name="Normal 44 57" xfId="9834" xr:uid="{00000000-0005-0000-0000-000088460000}"/>
    <cellStyle name="Normal 44 57 2" xfId="21952" xr:uid="{00000000-0005-0000-0000-000089460000}"/>
    <cellStyle name="Normal 44 58" xfId="9835" xr:uid="{00000000-0005-0000-0000-00008A460000}"/>
    <cellStyle name="Normal 44 58 2" xfId="21953" xr:uid="{00000000-0005-0000-0000-00008B460000}"/>
    <cellStyle name="Normal 44 59" xfId="9836" xr:uid="{00000000-0005-0000-0000-00008C460000}"/>
    <cellStyle name="Normal 44 59 2" xfId="21954" xr:uid="{00000000-0005-0000-0000-00008D460000}"/>
    <cellStyle name="Normal 44 6" xfId="9837" xr:uid="{00000000-0005-0000-0000-00008E460000}"/>
    <cellStyle name="Normal 44 6 2" xfId="21955" xr:uid="{00000000-0005-0000-0000-00008F460000}"/>
    <cellStyle name="Normal 44 60" xfId="9838" xr:uid="{00000000-0005-0000-0000-000090460000}"/>
    <cellStyle name="Normal 44 60 2" xfId="21956" xr:uid="{00000000-0005-0000-0000-000091460000}"/>
    <cellStyle name="Normal 44 61" xfId="9839" xr:uid="{00000000-0005-0000-0000-000092460000}"/>
    <cellStyle name="Normal 44 61 2" xfId="21957" xr:uid="{00000000-0005-0000-0000-000093460000}"/>
    <cellStyle name="Normal 44 62" xfId="9840" xr:uid="{00000000-0005-0000-0000-000094460000}"/>
    <cellStyle name="Normal 44 62 2" xfId="21958" xr:uid="{00000000-0005-0000-0000-000095460000}"/>
    <cellStyle name="Normal 44 63" xfId="9841" xr:uid="{00000000-0005-0000-0000-000096460000}"/>
    <cellStyle name="Normal 44 63 2" xfId="21959" xr:uid="{00000000-0005-0000-0000-000097460000}"/>
    <cellStyle name="Normal 44 64" xfId="9842" xr:uid="{00000000-0005-0000-0000-000098460000}"/>
    <cellStyle name="Normal 44 64 2" xfId="21960" xr:uid="{00000000-0005-0000-0000-000099460000}"/>
    <cellStyle name="Normal 44 65" xfId="9843" xr:uid="{00000000-0005-0000-0000-00009A460000}"/>
    <cellStyle name="Normal 44 65 2" xfId="21961" xr:uid="{00000000-0005-0000-0000-00009B460000}"/>
    <cellStyle name="Normal 44 66" xfId="9844" xr:uid="{00000000-0005-0000-0000-00009C460000}"/>
    <cellStyle name="Normal 44 66 2" xfId="21962" xr:uid="{00000000-0005-0000-0000-00009D460000}"/>
    <cellStyle name="Normal 44 67" xfId="9845" xr:uid="{00000000-0005-0000-0000-00009E460000}"/>
    <cellStyle name="Normal 44 67 2" xfId="21963" xr:uid="{00000000-0005-0000-0000-00009F460000}"/>
    <cellStyle name="Normal 44 68" xfId="9846" xr:uid="{00000000-0005-0000-0000-0000A0460000}"/>
    <cellStyle name="Normal 44 68 2" xfId="21964" xr:uid="{00000000-0005-0000-0000-0000A1460000}"/>
    <cellStyle name="Normal 44 69" xfId="9847" xr:uid="{00000000-0005-0000-0000-0000A2460000}"/>
    <cellStyle name="Normal 44 69 2" xfId="21965" xr:uid="{00000000-0005-0000-0000-0000A3460000}"/>
    <cellStyle name="Normal 44 7" xfId="9848" xr:uid="{00000000-0005-0000-0000-0000A4460000}"/>
    <cellStyle name="Normal 44 7 2" xfId="21966" xr:uid="{00000000-0005-0000-0000-0000A5460000}"/>
    <cellStyle name="Normal 44 70" xfId="9849" xr:uid="{00000000-0005-0000-0000-0000A6460000}"/>
    <cellStyle name="Normal 44 70 2" xfId="21967" xr:uid="{00000000-0005-0000-0000-0000A7460000}"/>
    <cellStyle name="Normal 44 71" xfId="9850" xr:uid="{00000000-0005-0000-0000-0000A8460000}"/>
    <cellStyle name="Normal 44 71 2" xfId="21968" xr:uid="{00000000-0005-0000-0000-0000A9460000}"/>
    <cellStyle name="Normal 44 72" xfId="9851" xr:uid="{00000000-0005-0000-0000-0000AA460000}"/>
    <cellStyle name="Normal 44 72 2" xfId="21969" xr:uid="{00000000-0005-0000-0000-0000AB460000}"/>
    <cellStyle name="Normal 44 73" xfId="9852" xr:uid="{00000000-0005-0000-0000-0000AC460000}"/>
    <cellStyle name="Normal 44 73 2" xfId="21970" xr:uid="{00000000-0005-0000-0000-0000AD460000}"/>
    <cellStyle name="Normal 44 74" xfId="9853" xr:uid="{00000000-0005-0000-0000-0000AE460000}"/>
    <cellStyle name="Normal 44 74 2" xfId="21971" xr:uid="{00000000-0005-0000-0000-0000AF460000}"/>
    <cellStyle name="Normal 44 75" xfId="9854" xr:uid="{00000000-0005-0000-0000-0000B0460000}"/>
    <cellStyle name="Normal 44 75 2" xfId="21972" xr:uid="{00000000-0005-0000-0000-0000B1460000}"/>
    <cellStyle name="Normal 44 76" xfId="9855" xr:uid="{00000000-0005-0000-0000-0000B2460000}"/>
    <cellStyle name="Normal 44 76 2" xfId="21973" xr:uid="{00000000-0005-0000-0000-0000B3460000}"/>
    <cellStyle name="Normal 44 77" xfId="9856" xr:uid="{00000000-0005-0000-0000-0000B4460000}"/>
    <cellStyle name="Normal 44 77 2" xfId="21974" xr:uid="{00000000-0005-0000-0000-0000B5460000}"/>
    <cellStyle name="Normal 44 78" xfId="9857" xr:uid="{00000000-0005-0000-0000-0000B6460000}"/>
    <cellStyle name="Normal 44 78 2" xfId="21975" xr:uid="{00000000-0005-0000-0000-0000B7460000}"/>
    <cellStyle name="Normal 44 79" xfId="9858" xr:uid="{00000000-0005-0000-0000-0000B8460000}"/>
    <cellStyle name="Normal 44 79 2" xfId="21976" xr:uid="{00000000-0005-0000-0000-0000B9460000}"/>
    <cellStyle name="Normal 44 8" xfId="9859" xr:uid="{00000000-0005-0000-0000-0000BA460000}"/>
    <cellStyle name="Normal 44 8 2" xfId="21977" xr:uid="{00000000-0005-0000-0000-0000BB460000}"/>
    <cellStyle name="Normal 44 80" xfId="21900" xr:uid="{00000000-0005-0000-0000-0000BC460000}"/>
    <cellStyle name="Normal 44 9" xfId="9860" xr:uid="{00000000-0005-0000-0000-0000BD460000}"/>
    <cellStyle name="Normal 44 9 2" xfId="21978" xr:uid="{00000000-0005-0000-0000-0000BE460000}"/>
    <cellStyle name="Normal 45" xfId="152" xr:uid="{00000000-0005-0000-0000-0000BF460000}"/>
    <cellStyle name="Normal 45 10" xfId="9862" xr:uid="{00000000-0005-0000-0000-0000C0460000}"/>
    <cellStyle name="Normal 45 10 2" xfId="21979" xr:uid="{00000000-0005-0000-0000-0000C1460000}"/>
    <cellStyle name="Normal 45 11" xfId="9863" xr:uid="{00000000-0005-0000-0000-0000C2460000}"/>
    <cellStyle name="Normal 45 11 2" xfId="21980" xr:uid="{00000000-0005-0000-0000-0000C3460000}"/>
    <cellStyle name="Normal 45 12" xfId="9864" xr:uid="{00000000-0005-0000-0000-0000C4460000}"/>
    <cellStyle name="Normal 45 12 2" xfId="21981" xr:uid="{00000000-0005-0000-0000-0000C5460000}"/>
    <cellStyle name="Normal 45 13" xfId="9865" xr:uid="{00000000-0005-0000-0000-0000C6460000}"/>
    <cellStyle name="Normal 45 13 2" xfId="21982" xr:uid="{00000000-0005-0000-0000-0000C7460000}"/>
    <cellStyle name="Normal 45 14" xfId="9866" xr:uid="{00000000-0005-0000-0000-0000C8460000}"/>
    <cellStyle name="Normal 45 14 2" xfId="21983" xr:uid="{00000000-0005-0000-0000-0000C9460000}"/>
    <cellStyle name="Normal 45 15" xfId="9867" xr:uid="{00000000-0005-0000-0000-0000CA460000}"/>
    <cellStyle name="Normal 45 15 2" xfId="21984" xr:uid="{00000000-0005-0000-0000-0000CB460000}"/>
    <cellStyle name="Normal 45 16" xfId="9868" xr:uid="{00000000-0005-0000-0000-0000CC460000}"/>
    <cellStyle name="Normal 45 16 2" xfId="21985" xr:uid="{00000000-0005-0000-0000-0000CD460000}"/>
    <cellStyle name="Normal 45 17" xfId="9869" xr:uid="{00000000-0005-0000-0000-0000CE460000}"/>
    <cellStyle name="Normal 45 17 2" xfId="21986" xr:uid="{00000000-0005-0000-0000-0000CF460000}"/>
    <cellStyle name="Normal 45 18" xfId="9870" xr:uid="{00000000-0005-0000-0000-0000D0460000}"/>
    <cellStyle name="Normal 45 18 2" xfId="21987" xr:uid="{00000000-0005-0000-0000-0000D1460000}"/>
    <cellStyle name="Normal 45 19" xfId="9871" xr:uid="{00000000-0005-0000-0000-0000D2460000}"/>
    <cellStyle name="Normal 45 19 2" xfId="21988" xr:uid="{00000000-0005-0000-0000-0000D3460000}"/>
    <cellStyle name="Normal 45 2" xfId="175" xr:uid="{00000000-0005-0000-0000-0000D4460000}"/>
    <cellStyle name="Normal 45 2 2" xfId="21989" xr:uid="{00000000-0005-0000-0000-0000D5460000}"/>
    <cellStyle name="Normal 45 2 3" xfId="9872" xr:uid="{00000000-0005-0000-0000-0000D6460000}"/>
    <cellStyle name="Normal 45 20" xfId="9873" xr:uid="{00000000-0005-0000-0000-0000D7460000}"/>
    <cellStyle name="Normal 45 20 2" xfId="21990" xr:uid="{00000000-0005-0000-0000-0000D8460000}"/>
    <cellStyle name="Normal 45 21" xfId="9874" xr:uid="{00000000-0005-0000-0000-0000D9460000}"/>
    <cellStyle name="Normal 45 21 2" xfId="21991" xr:uid="{00000000-0005-0000-0000-0000DA460000}"/>
    <cellStyle name="Normal 45 22" xfId="9875" xr:uid="{00000000-0005-0000-0000-0000DB460000}"/>
    <cellStyle name="Normal 45 22 2" xfId="21992" xr:uid="{00000000-0005-0000-0000-0000DC460000}"/>
    <cellStyle name="Normal 45 23" xfId="9876" xr:uid="{00000000-0005-0000-0000-0000DD460000}"/>
    <cellStyle name="Normal 45 23 2" xfId="21993" xr:uid="{00000000-0005-0000-0000-0000DE460000}"/>
    <cellStyle name="Normal 45 24" xfId="9877" xr:uid="{00000000-0005-0000-0000-0000DF460000}"/>
    <cellStyle name="Normal 45 24 2" xfId="21994" xr:uid="{00000000-0005-0000-0000-0000E0460000}"/>
    <cellStyle name="Normal 45 25" xfId="9878" xr:uid="{00000000-0005-0000-0000-0000E1460000}"/>
    <cellStyle name="Normal 45 25 2" xfId="21995" xr:uid="{00000000-0005-0000-0000-0000E2460000}"/>
    <cellStyle name="Normal 45 26" xfId="9879" xr:uid="{00000000-0005-0000-0000-0000E3460000}"/>
    <cellStyle name="Normal 45 26 2" xfId="21996" xr:uid="{00000000-0005-0000-0000-0000E4460000}"/>
    <cellStyle name="Normal 45 27" xfId="9880" xr:uid="{00000000-0005-0000-0000-0000E5460000}"/>
    <cellStyle name="Normal 45 27 2" xfId="21997" xr:uid="{00000000-0005-0000-0000-0000E6460000}"/>
    <cellStyle name="Normal 45 28" xfId="9881" xr:uid="{00000000-0005-0000-0000-0000E7460000}"/>
    <cellStyle name="Normal 45 28 2" xfId="21998" xr:uid="{00000000-0005-0000-0000-0000E8460000}"/>
    <cellStyle name="Normal 45 29" xfId="9882" xr:uid="{00000000-0005-0000-0000-0000E9460000}"/>
    <cellStyle name="Normal 45 29 2" xfId="21999" xr:uid="{00000000-0005-0000-0000-0000EA460000}"/>
    <cellStyle name="Normal 45 3" xfId="733" xr:uid="{00000000-0005-0000-0000-0000EB460000}"/>
    <cellStyle name="Normal 45 3 2" xfId="22000" xr:uid="{00000000-0005-0000-0000-0000EC460000}"/>
    <cellStyle name="Normal 45 3 3" xfId="9883" xr:uid="{00000000-0005-0000-0000-0000ED460000}"/>
    <cellStyle name="Normal 45 30" xfId="9884" xr:uid="{00000000-0005-0000-0000-0000EE460000}"/>
    <cellStyle name="Normal 45 30 2" xfId="22001" xr:uid="{00000000-0005-0000-0000-0000EF460000}"/>
    <cellStyle name="Normal 45 31" xfId="9885" xr:uid="{00000000-0005-0000-0000-0000F0460000}"/>
    <cellStyle name="Normal 45 31 2" xfId="22002" xr:uid="{00000000-0005-0000-0000-0000F1460000}"/>
    <cellStyle name="Normal 45 32" xfId="9886" xr:uid="{00000000-0005-0000-0000-0000F2460000}"/>
    <cellStyle name="Normal 45 32 2" xfId="22003" xr:uid="{00000000-0005-0000-0000-0000F3460000}"/>
    <cellStyle name="Normal 45 33" xfId="9887" xr:uid="{00000000-0005-0000-0000-0000F4460000}"/>
    <cellStyle name="Normal 45 33 2" xfId="22004" xr:uid="{00000000-0005-0000-0000-0000F5460000}"/>
    <cellStyle name="Normal 45 34" xfId="9888" xr:uid="{00000000-0005-0000-0000-0000F6460000}"/>
    <cellStyle name="Normal 45 34 2" xfId="22005" xr:uid="{00000000-0005-0000-0000-0000F7460000}"/>
    <cellStyle name="Normal 45 35" xfId="9889" xr:uid="{00000000-0005-0000-0000-0000F8460000}"/>
    <cellStyle name="Normal 45 35 2" xfId="22006" xr:uid="{00000000-0005-0000-0000-0000F9460000}"/>
    <cellStyle name="Normal 45 36" xfId="9890" xr:uid="{00000000-0005-0000-0000-0000FA460000}"/>
    <cellStyle name="Normal 45 36 2" xfId="22007" xr:uid="{00000000-0005-0000-0000-0000FB460000}"/>
    <cellStyle name="Normal 45 37" xfId="9891" xr:uid="{00000000-0005-0000-0000-0000FC460000}"/>
    <cellStyle name="Normal 45 37 2" xfId="22008" xr:uid="{00000000-0005-0000-0000-0000FD460000}"/>
    <cellStyle name="Normal 45 38" xfId="9892" xr:uid="{00000000-0005-0000-0000-0000FE460000}"/>
    <cellStyle name="Normal 45 38 2" xfId="22009" xr:uid="{00000000-0005-0000-0000-0000FF460000}"/>
    <cellStyle name="Normal 45 39" xfId="9893" xr:uid="{00000000-0005-0000-0000-000000470000}"/>
    <cellStyle name="Normal 45 39 2" xfId="22010" xr:uid="{00000000-0005-0000-0000-000001470000}"/>
    <cellStyle name="Normal 45 4" xfId="367" xr:uid="{00000000-0005-0000-0000-000002470000}"/>
    <cellStyle name="Normal 45 4 2" xfId="22011" xr:uid="{00000000-0005-0000-0000-000003470000}"/>
    <cellStyle name="Normal 45 40" xfId="9894" xr:uid="{00000000-0005-0000-0000-000004470000}"/>
    <cellStyle name="Normal 45 40 2" xfId="22012" xr:uid="{00000000-0005-0000-0000-000005470000}"/>
    <cellStyle name="Normal 45 41" xfId="9895" xr:uid="{00000000-0005-0000-0000-000006470000}"/>
    <cellStyle name="Normal 45 41 2" xfId="22013" xr:uid="{00000000-0005-0000-0000-000007470000}"/>
    <cellStyle name="Normal 45 42" xfId="9896" xr:uid="{00000000-0005-0000-0000-000008470000}"/>
    <cellStyle name="Normal 45 42 2" xfId="22014" xr:uid="{00000000-0005-0000-0000-000009470000}"/>
    <cellStyle name="Normal 45 43" xfId="9897" xr:uid="{00000000-0005-0000-0000-00000A470000}"/>
    <cellStyle name="Normal 45 43 2" xfId="22015" xr:uid="{00000000-0005-0000-0000-00000B470000}"/>
    <cellStyle name="Normal 45 44" xfId="9898" xr:uid="{00000000-0005-0000-0000-00000C470000}"/>
    <cellStyle name="Normal 45 44 2" xfId="22016" xr:uid="{00000000-0005-0000-0000-00000D470000}"/>
    <cellStyle name="Normal 45 45" xfId="9899" xr:uid="{00000000-0005-0000-0000-00000E470000}"/>
    <cellStyle name="Normal 45 45 2" xfId="22017" xr:uid="{00000000-0005-0000-0000-00000F470000}"/>
    <cellStyle name="Normal 45 46" xfId="9900" xr:uid="{00000000-0005-0000-0000-000010470000}"/>
    <cellStyle name="Normal 45 46 2" xfId="22018" xr:uid="{00000000-0005-0000-0000-000011470000}"/>
    <cellStyle name="Normal 45 47" xfId="9901" xr:uid="{00000000-0005-0000-0000-000012470000}"/>
    <cellStyle name="Normal 45 47 2" xfId="22019" xr:uid="{00000000-0005-0000-0000-000013470000}"/>
    <cellStyle name="Normal 45 48" xfId="9902" xr:uid="{00000000-0005-0000-0000-000014470000}"/>
    <cellStyle name="Normal 45 48 2" xfId="22020" xr:uid="{00000000-0005-0000-0000-000015470000}"/>
    <cellStyle name="Normal 45 49" xfId="9903" xr:uid="{00000000-0005-0000-0000-000016470000}"/>
    <cellStyle name="Normal 45 49 2" xfId="22021" xr:uid="{00000000-0005-0000-0000-000017470000}"/>
    <cellStyle name="Normal 45 5" xfId="9904" xr:uid="{00000000-0005-0000-0000-000018470000}"/>
    <cellStyle name="Normal 45 5 2" xfId="22022" xr:uid="{00000000-0005-0000-0000-000019470000}"/>
    <cellStyle name="Normal 45 50" xfId="9905" xr:uid="{00000000-0005-0000-0000-00001A470000}"/>
    <cellStyle name="Normal 45 50 2" xfId="22023" xr:uid="{00000000-0005-0000-0000-00001B470000}"/>
    <cellStyle name="Normal 45 51" xfId="9906" xr:uid="{00000000-0005-0000-0000-00001C470000}"/>
    <cellStyle name="Normal 45 51 2" xfId="22024" xr:uid="{00000000-0005-0000-0000-00001D470000}"/>
    <cellStyle name="Normal 45 52" xfId="9907" xr:uid="{00000000-0005-0000-0000-00001E470000}"/>
    <cellStyle name="Normal 45 52 2" xfId="22025" xr:uid="{00000000-0005-0000-0000-00001F470000}"/>
    <cellStyle name="Normal 45 53" xfId="9908" xr:uid="{00000000-0005-0000-0000-000020470000}"/>
    <cellStyle name="Normal 45 53 2" xfId="22026" xr:uid="{00000000-0005-0000-0000-000021470000}"/>
    <cellStyle name="Normal 45 54" xfId="9909" xr:uid="{00000000-0005-0000-0000-000022470000}"/>
    <cellStyle name="Normal 45 54 2" xfId="22027" xr:uid="{00000000-0005-0000-0000-000023470000}"/>
    <cellStyle name="Normal 45 55" xfId="9910" xr:uid="{00000000-0005-0000-0000-000024470000}"/>
    <cellStyle name="Normal 45 55 2" xfId="22028" xr:uid="{00000000-0005-0000-0000-000025470000}"/>
    <cellStyle name="Normal 45 56" xfId="9911" xr:uid="{00000000-0005-0000-0000-000026470000}"/>
    <cellStyle name="Normal 45 56 2" xfId="22029" xr:uid="{00000000-0005-0000-0000-000027470000}"/>
    <cellStyle name="Normal 45 57" xfId="9912" xr:uid="{00000000-0005-0000-0000-000028470000}"/>
    <cellStyle name="Normal 45 57 2" xfId="22030" xr:uid="{00000000-0005-0000-0000-000029470000}"/>
    <cellStyle name="Normal 45 58" xfId="9913" xr:uid="{00000000-0005-0000-0000-00002A470000}"/>
    <cellStyle name="Normal 45 58 2" xfId="22031" xr:uid="{00000000-0005-0000-0000-00002B470000}"/>
    <cellStyle name="Normal 45 59" xfId="9914" xr:uid="{00000000-0005-0000-0000-00002C470000}"/>
    <cellStyle name="Normal 45 59 2" xfId="22032" xr:uid="{00000000-0005-0000-0000-00002D470000}"/>
    <cellStyle name="Normal 45 6" xfId="9915" xr:uid="{00000000-0005-0000-0000-00002E470000}"/>
    <cellStyle name="Normal 45 6 2" xfId="22033" xr:uid="{00000000-0005-0000-0000-00002F470000}"/>
    <cellStyle name="Normal 45 60" xfId="9916" xr:uid="{00000000-0005-0000-0000-000030470000}"/>
    <cellStyle name="Normal 45 60 2" xfId="22034" xr:uid="{00000000-0005-0000-0000-000031470000}"/>
    <cellStyle name="Normal 45 61" xfId="9917" xr:uid="{00000000-0005-0000-0000-000032470000}"/>
    <cellStyle name="Normal 45 61 2" xfId="22035" xr:uid="{00000000-0005-0000-0000-000033470000}"/>
    <cellStyle name="Normal 45 62" xfId="9918" xr:uid="{00000000-0005-0000-0000-000034470000}"/>
    <cellStyle name="Normal 45 62 2" xfId="22036" xr:uid="{00000000-0005-0000-0000-000035470000}"/>
    <cellStyle name="Normal 45 63" xfId="9919" xr:uid="{00000000-0005-0000-0000-000036470000}"/>
    <cellStyle name="Normal 45 63 2" xfId="22037" xr:uid="{00000000-0005-0000-0000-000037470000}"/>
    <cellStyle name="Normal 45 64" xfId="9920" xr:uid="{00000000-0005-0000-0000-000038470000}"/>
    <cellStyle name="Normal 45 64 2" xfId="22038" xr:uid="{00000000-0005-0000-0000-000039470000}"/>
    <cellStyle name="Normal 45 65" xfId="9921" xr:uid="{00000000-0005-0000-0000-00003A470000}"/>
    <cellStyle name="Normal 45 65 2" xfId="22039" xr:uid="{00000000-0005-0000-0000-00003B470000}"/>
    <cellStyle name="Normal 45 66" xfId="9922" xr:uid="{00000000-0005-0000-0000-00003C470000}"/>
    <cellStyle name="Normal 45 66 2" xfId="22040" xr:uid="{00000000-0005-0000-0000-00003D470000}"/>
    <cellStyle name="Normal 45 67" xfId="9923" xr:uid="{00000000-0005-0000-0000-00003E470000}"/>
    <cellStyle name="Normal 45 67 2" xfId="22041" xr:uid="{00000000-0005-0000-0000-00003F470000}"/>
    <cellStyle name="Normal 45 68" xfId="9924" xr:uid="{00000000-0005-0000-0000-000040470000}"/>
    <cellStyle name="Normal 45 68 2" xfId="22042" xr:uid="{00000000-0005-0000-0000-000041470000}"/>
    <cellStyle name="Normal 45 69" xfId="9925" xr:uid="{00000000-0005-0000-0000-000042470000}"/>
    <cellStyle name="Normal 45 69 2" xfId="22043" xr:uid="{00000000-0005-0000-0000-000043470000}"/>
    <cellStyle name="Normal 45 7" xfId="9926" xr:uid="{00000000-0005-0000-0000-000044470000}"/>
    <cellStyle name="Normal 45 7 2" xfId="22044" xr:uid="{00000000-0005-0000-0000-000045470000}"/>
    <cellStyle name="Normal 45 70" xfId="9927" xr:uid="{00000000-0005-0000-0000-000046470000}"/>
    <cellStyle name="Normal 45 70 2" xfId="22045" xr:uid="{00000000-0005-0000-0000-000047470000}"/>
    <cellStyle name="Normal 45 71" xfId="9928" xr:uid="{00000000-0005-0000-0000-000048470000}"/>
    <cellStyle name="Normal 45 71 2" xfId="22046" xr:uid="{00000000-0005-0000-0000-000049470000}"/>
    <cellStyle name="Normal 45 72" xfId="9929" xr:uid="{00000000-0005-0000-0000-00004A470000}"/>
    <cellStyle name="Normal 45 72 2" xfId="22047" xr:uid="{00000000-0005-0000-0000-00004B470000}"/>
    <cellStyle name="Normal 45 73" xfId="9930" xr:uid="{00000000-0005-0000-0000-00004C470000}"/>
    <cellStyle name="Normal 45 73 2" xfId="22048" xr:uid="{00000000-0005-0000-0000-00004D470000}"/>
    <cellStyle name="Normal 45 74" xfId="9931" xr:uid="{00000000-0005-0000-0000-00004E470000}"/>
    <cellStyle name="Normal 45 74 2" xfId="22049" xr:uid="{00000000-0005-0000-0000-00004F470000}"/>
    <cellStyle name="Normal 45 75" xfId="9932" xr:uid="{00000000-0005-0000-0000-000050470000}"/>
    <cellStyle name="Normal 45 75 2" xfId="22050" xr:uid="{00000000-0005-0000-0000-000051470000}"/>
    <cellStyle name="Normal 45 76" xfId="9933" xr:uid="{00000000-0005-0000-0000-000052470000}"/>
    <cellStyle name="Normal 45 76 2" xfId="22051" xr:uid="{00000000-0005-0000-0000-000053470000}"/>
    <cellStyle name="Normal 45 77" xfId="9934" xr:uid="{00000000-0005-0000-0000-000054470000}"/>
    <cellStyle name="Normal 45 77 2" xfId="22052" xr:uid="{00000000-0005-0000-0000-000055470000}"/>
    <cellStyle name="Normal 45 78" xfId="9935" xr:uid="{00000000-0005-0000-0000-000056470000}"/>
    <cellStyle name="Normal 45 78 2" xfId="22053" xr:uid="{00000000-0005-0000-0000-000057470000}"/>
    <cellStyle name="Normal 45 79" xfId="9936" xr:uid="{00000000-0005-0000-0000-000058470000}"/>
    <cellStyle name="Normal 45 79 2" xfId="22054" xr:uid="{00000000-0005-0000-0000-000059470000}"/>
    <cellStyle name="Normal 45 8" xfId="9937" xr:uid="{00000000-0005-0000-0000-00005A470000}"/>
    <cellStyle name="Normal 45 8 2" xfId="22055" xr:uid="{00000000-0005-0000-0000-00005B470000}"/>
    <cellStyle name="Normal 45 80" xfId="9861" xr:uid="{00000000-0005-0000-0000-00005C470000}"/>
    <cellStyle name="Normal 45 9" xfId="9938" xr:uid="{00000000-0005-0000-0000-00005D470000}"/>
    <cellStyle name="Normal 45 9 2" xfId="22056" xr:uid="{00000000-0005-0000-0000-00005E470000}"/>
    <cellStyle name="Normal 46" xfId="153" xr:uid="{00000000-0005-0000-0000-00005F470000}"/>
    <cellStyle name="Normal 46 10" xfId="9940" xr:uid="{00000000-0005-0000-0000-000060470000}"/>
    <cellStyle name="Normal 46 10 2" xfId="22057" xr:uid="{00000000-0005-0000-0000-000061470000}"/>
    <cellStyle name="Normal 46 11" xfId="9941" xr:uid="{00000000-0005-0000-0000-000062470000}"/>
    <cellStyle name="Normal 46 11 2" xfId="22058" xr:uid="{00000000-0005-0000-0000-000063470000}"/>
    <cellStyle name="Normal 46 12" xfId="9942" xr:uid="{00000000-0005-0000-0000-000064470000}"/>
    <cellStyle name="Normal 46 12 2" xfId="22059" xr:uid="{00000000-0005-0000-0000-000065470000}"/>
    <cellStyle name="Normal 46 13" xfId="9943" xr:uid="{00000000-0005-0000-0000-000066470000}"/>
    <cellStyle name="Normal 46 13 2" xfId="22060" xr:uid="{00000000-0005-0000-0000-000067470000}"/>
    <cellStyle name="Normal 46 14" xfId="9944" xr:uid="{00000000-0005-0000-0000-000068470000}"/>
    <cellStyle name="Normal 46 14 2" xfId="22061" xr:uid="{00000000-0005-0000-0000-000069470000}"/>
    <cellStyle name="Normal 46 15" xfId="9945" xr:uid="{00000000-0005-0000-0000-00006A470000}"/>
    <cellStyle name="Normal 46 15 2" xfId="22062" xr:uid="{00000000-0005-0000-0000-00006B470000}"/>
    <cellStyle name="Normal 46 16" xfId="9946" xr:uid="{00000000-0005-0000-0000-00006C470000}"/>
    <cellStyle name="Normal 46 16 2" xfId="22063" xr:uid="{00000000-0005-0000-0000-00006D470000}"/>
    <cellStyle name="Normal 46 17" xfId="9947" xr:uid="{00000000-0005-0000-0000-00006E470000}"/>
    <cellStyle name="Normal 46 17 2" xfId="22064" xr:uid="{00000000-0005-0000-0000-00006F470000}"/>
    <cellStyle name="Normal 46 18" xfId="9948" xr:uid="{00000000-0005-0000-0000-000070470000}"/>
    <cellStyle name="Normal 46 18 2" xfId="22065" xr:uid="{00000000-0005-0000-0000-000071470000}"/>
    <cellStyle name="Normal 46 19" xfId="9949" xr:uid="{00000000-0005-0000-0000-000072470000}"/>
    <cellStyle name="Normal 46 19 2" xfId="22066" xr:uid="{00000000-0005-0000-0000-000073470000}"/>
    <cellStyle name="Normal 46 2" xfId="176" xr:uid="{00000000-0005-0000-0000-000074470000}"/>
    <cellStyle name="Normal 46 2 2" xfId="22067" xr:uid="{00000000-0005-0000-0000-000075470000}"/>
    <cellStyle name="Normal 46 2 3" xfId="9950" xr:uid="{00000000-0005-0000-0000-000076470000}"/>
    <cellStyle name="Normal 46 20" xfId="9951" xr:uid="{00000000-0005-0000-0000-000077470000}"/>
    <cellStyle name="Normal 46 20 2" xfId="22068" xr:uid="{00000000-0005-0000-0000-000078470000}"/>
    <cellStyle name="Normal 46 21" xfId="9952" xr:uid="{00000000-0005-0000-0000-000079470000}"/>
    <cellStyle name="Normal 46 21 2" xfId="22069" xr:uid="{00000000-0005-0000-0000-00007A470000}"/>
    <cellStyle name="Normal 46 22" xfId="9953" xr:uid="{00000000-0005-0000-0000-00007B470000}"/>
    <cellStyle name="Normal 46 22 2" xfId="22070" xr:uid="{00000000-0005-0000-0000-00007C470000}"/>
    <cellStyle name="Normal 46 23" xfId="9954" xr:uid="{00000000-0005-0000-0000-00007D470000}"/>
    <cellStyle name="Normal 46 23 2" xfId="22071" xr:uid="{00000000-0005-0000-0000-00007E470000}"/>
    <cellStyle name="Normal 46 24" xfId="9955" xr:uid="{00000000-0005-0000-0000-00007F470000}"/>
    <cellStyle name="Normal 46 24 2" xfId="22072" xr:uid="{00000000-0005-0000-0000-000080470000}"/>
    <cellStyle name="Normal 46 25" xfId="9956" xr:uid="{00000000-0005-0000-0000-000081470000}"/>
    <cellStyle name="Normal 46 25 2" xfId="22073" xr:uid="{00000000-0005-0000-0000-000082470000}"/>
    <cellStyle name="Normal 46 26" xfId="9957" xr:uid="{00000000-0005-0000-0000-000083470000}"/>
    <cellStyle name="Normal 46 26 2" xfId="22074" xr:uid="{00000000-0005-0000-0000-000084470000}"/>
    <cellStyle name="Normal 46 27" xfId="9958" xr:uid="{00000000-0005-0000-0000-000085470000}"/>
    <cellStyle name="Normal 46 27 2" xfId="22075" xr:uid="{00000000-0005-0000-0000-000086470000}"/>
    <cellStyle name="Normal 46 28" xfId="9959" xr:uid="{00000000-0005-0000-0000-000087470000}"/>
    <cellStyle name="Normal 46 28 2" xfId="22076" xr:uid="{00000000-0005-0000-0000-000088470000}"/>
    <cellStyle name="Normal 46 29" xfId="9960" xr:uid="{00000000-0005-0000-0000-000089470000}"/>
    <cellStyle name="Normal 46 29 2" xfId="22077" xr:uid="{00000000-0005-0000-0000-00008A470000}"/>
    <cellStyle name="Normal 46 3" xfId="734" xr:uid="{00000000-0005-0000-0000-00008B470000}"/>
    <cellStyle name="Normal 46 3 2" xfId="22078" xr:uid="{00000000-0005-0000-0000-00008C470000}"/>
    <cellStyle name="Normal 46 3 3" xfId="9961" xr:uid="{00000000-0005-0000-0000-00008D470000}"/>
    <cellStyle name="Normal 46 30" xfId="9962" xr:uid="{00000000-0005-0000-0000-00008E470000}"/>
    <cellStyle name="Normal 46 30 2" xfId="22079" xr:uid="{00000000-0005-0000-0000-00008F470000}"/>
    <cellStyle name="Normal 46 31" xfId="9963" xr:uid="{00000000-0005-0000-0000-000090470000}"/>
    <cellStyle name="Normal 46 31 2" xfId="22080" xr:uid="{00000000-0005-0000-0000-000091470000}"/>
    <cellStyle name="Normal 46 32" xfId="9964" xr:uid="{00000000-0005-0000-0000-000092470000}"/>
    <cellStyle name="Normal 46 32 2" xfId="22081" xr:uid="{00000000-0005-0000-0000-000093470000}"/>
    <cellStyle name="Normal 46 33" xfId="9965" xr:uid="{00000000-0005-0000-0000-000094470000}"/>
    <cellStyle name="Normal 46 33 2" xfId="22082" xr:uid="{00000000-0005-0000-0000-000095470000}"/>
    <cellStyle name="Normal 46 34" xfId="9966" xr:uid="{00000000-0005-0000-0000-000096470000}"/>
    <cellStyle name="Normal 46 34 2" xfId="22083" xr:uid="{00000000-0005-0000-0000-000097470000}"/>
    <cellStyle name="Normal 46 35" xfId="9967" xr:uid="{00000000-0005-0000-0000-000098470000}"/>
    <cellStyle name="Normal 46 35 2" xfId="22084" xr:uid="{00000000-0005-0000-0000-000099470000}"/>
    <cellStyle name="Normal 46 36" xfId="9968" xr:uid="{00000000-0005-0000-0000-00009A470000}"/>
    <cellStyle name="Normal 46 36 2" xfId="22085" xr:uid="{00000000-0005-0000-0000-00009B470000}"/>
    <cellStyle name="Normal 46 37" xfId="9969" xr:uid="{00000000-0005-0000-0000-00009C470000}"/>
    <cellStyle name="Normal 46 37 2" xfId="22086" xr:uid="{00000000-0005-0000-0000-00009D470000}"/>
    <cellStyle name="Normal 46 38" xfId="9970" xr:uid="{00000000-0005-0000-0000-00009E470000}"/>
    <cellStyle name="Normal 46 38 2" xfId="22087" xr:uid="{00000000-0005-0000-0000-00009F470000}"/>
    <cellStyle name="Normal 46 39" xfId="9971" xr:uid="{00000000-0005-0000-0000-0000A0470000}"/>
    <cellStyle name="Normal 46 39 2" xfId="22088" xr:uid="{00000000-0005-0000-0000-0000A1470000}"/>
    <cellStyle name="Normal 46 4" xfId="368" xr:uid="{00000000-0005-0000-0000-0000A2470000}"/>
    <cellStyle name="Normal 46 4 2" xfId="22089" xr:uid="{00000000-0005-0000-0000-0000A3470000}"/>
    <cellStyle name="Normal 46 40" xfId="9972" xr:uid="{00000000-0005-0000-0000-0000A4470000}"/>
    <cellStyle name="Normal 46 40 2" xfId="22090" xr:uid="{00000000-0005-0000-0000-0000A5470000}"/>
    <cellStyle name="Normal 46 41" xfId="9973" xr:uid="{00000000-0005-0000-0000-0000A6470000}"/>
    <cellStyle name="Normal 46 41 2" xfId="22091" xr:uid="{00000000-0005-0000-0000-0000A7470000}"/>
    <cellStyle name="Normal 46 42" xfId="9974" xr:uid="{00000000-0005-0000-0000-0000A8470000}"/>
    <cellStyle name="Normal 46 42 2" xfId="22092" xr:uid="{00000000-0005-0000-0000-0000A9470000}"/>
    <cellStyle name="Normal 46 43" xfId="9975" xr:uid="{00000000-0005-0000-0000-0000AA470000}"/>
    <cellStyle name="Normal 46 43 2" xfId="22093" xr:uid="{00000000-0005-0000-0000-0000AB470000}"/>
    <cellStyle name="Normal 46 44" xfId="9976" xr:uid="{00000000-0005-0000-0000-0000AC470000}"/>
    <cellStyle name="Normal 46 44 2" xfId="22094" xr:uid="{00000000-0005-0000-0000-0000AD470000}"/>
    <cellStyle name="Normal 46 45" xfId="9977" xr:uid="{00000000-0005-0000-0000-0000AE470000}"/>
    <cellStyle name="Normal 46 45 2" xfId="22095" xr:uid="{00000000-0005-0000-0000-0000AF470000}"/>
    <cellStyle name="Normal 46 46" xfId="9978" xr:uid="{00000000-0005-0000-0000-0000B0470000}"/>
    <cellStyle name="Normal 46 46 2" xfId="22096" xr:uid="{00000000-0005-0000-0000-0000B1470000}"/>
    <cellStyle name="Normal 46 47" xfId="9979" xr:uid="{00000000-0005-0000-0000-0000B2470000}"/>
    <cellStyle name="Normal 46 47 2" xfId="22097" xr:uid="{00000000-0005-0000-0000-0000B3470000}"/>
    <cellStyle name="Normal 46 48" xfId="9980" xr:uid="{00000000-0005-0000-0000-0000B4470000}"/>
    <cellStyle name="Normal 46 48 2" xfId="22098" xr:uid="{00000000-0005-0000-0000-0000B5470000}"/>
    <cellStyle name="Normal 46 49" xfId="9981" xr:uid="{00000000-0005-0000-0000-0000B6470000}"/>
    <cellStyle name="Normal 46 49 2" xfId="22099" xr:uid="{00000000-0005-0000-0000-0000B7470000}"/>
    <cellStyle name="Normal 46 5" xfId="9982" xr:uid="{00000000-0005-0000-0000-0000B8470000}"/>
    <cellStyle name="Normal 46 5 2" xfId="22100" xr:uid="{00000000-0005-0000-0000-0000B9470000}"/>
    <cellStyle name="Normal 46 50" xfId="9983" xr:uid="{00000000-0005-0000-0000-0000BA470000}"/>
    <cellStyle name="Normal 46 50 2" xfId="22101" xr:uid="{00000000-0005-0000-0000-0000BB470000}"/>
    <cellStyle name="Normal 46 51" xfId="9984" xr:uid="{00000000-0005-0000-0000-0000BC470000}"/>
    <cellStyle name="Normal 46 51 2" xfId="22102" xr:uid="{00000000-0005-0000-0000-0000BD470000}"/>
    <cellStyle name="Normal 46 52" xfId="9985" xr:uid="{00000000-0005-0000-0000-0000BE470000}"/>
    <cellStyle name="Normal 46 52 2" xfId="22103" xr:uid="{00000000-0005-0000-0000-0000BF470000}"/>
    <cellStyle name="Normal 46 53" xfId="9986" xr:uid="{00000000-0005-0000-0000-0000C0470000}"/>
    <cellStyle name="Normal 46 53 2" xfId="22104" xr:uid="{00000000-0005-0000-0000-0000C1470000}"/>
    <cellStyle name="Normal 46 54" xfId="9987" xr:uid="{00000000-0005-0000-0000-0000C2470000}"/>
    <cellStyle name="Normal 46 54 2" xfId="22105" xr:uid="{00000000-0005-0000-0000-0000C3470000}"/>
    <cellStyle name="Normal 46 55" xfId="9988" xr:uid="{00000000-0005-0000-0000-0000C4470000}"/>
    <cellStyle name="Normal 46 55 2" xfId="22106" xr:uid="{00000000-0005-0000-0000-0000C5470000}"/>
    <cellStyle name="Normal 46 56" xfId="9989" xr:uid="{00000000-0005-0000-0000-0000C6470000}"/>
    <cellStyle name="Normal 46 56 2" xfId="22107" xr:uid="{00000000-0005-0000-0000-0000C7470000}"/>
    <cellStyle name="Normal 46 57" xfId="9990" xr:uid="{00000000-0005-0000-0000-0000C8470000}"/>
    <cellStyle name="Normal 46 57 2" xfId="22108" xr:uid="{00000000-0005-0000-0000-0000C9470000}"/>
    <cellStyle name="Normal 46 58" xfId="9991" xr:uid="{00000000-0005-0000-0000-0000CA470000}"/>
    <cellStyle name="Normal 46 58 2" xfId="22109" xr:uid="{00000000-0005-0000-0000-0000CB470000}"/>
    <cellStyle name="Normal 46 59" xfId="9992" xr:uid="{00000000-0005-0000-0000-0000CC470000}"/>
    <cellStyle name="Normal 46 59 2" xfId="22110" xr:uid="{00000000-0005-0000-0000-0000CD470000}"/>
    <cellStyle name="Normal 46 6" xfId="9993" xr:uid="{00000000-0005-0000-0000-0000CE470000}"/>
    <cellStyle name="Normal 46 6 2" xfId="22111" xr:uid="{00000000-0005-0000-0000-0000CF470000}"/>
    <cellStyle name="Normal 46 60" xfId="9994" xr:uid="{00000000-0005-0000-0000-0000D0470000}"/>
    <cellStyle name="Normal 46 60 2" xfId="22112" xr:uid="{00000000-0005-0000-0000-0000D1470000}"/>
    <cellStyle name="Normal 46 61" xfId="9995" xr:uid="{00000000-0005-0000-0000-0000D2470000}"/>
    <cellStyle name="Normal 46 61 2" xfId="22113" xr:uid="{00000000-0005-0000-0000-0000D3470000}"/>
    <cellStyle name="Normal 46 62" xfId="9996" xr:uid="{00000000-0005-0000-0000-0000D4470000}"/>
    <cellStyle name="Normal 46 62 2" xfId="22114" xr:uid="{00000000-0005-0000-0000-0000D5470000}"/>
    <cellStyle name="Normal 46 63" xfId="9997" xr:uid="{00000000-0005-0000-0000-0000D6470000}"/>
    <cellStyle name="Normal 46 63 2" xfId="22115" xr:uid="{00000000-0005-0000-0000-0000D7470000}"/>
    <cellStyle name="Normal 46 64" xfId="9998" xr:uid="{00000000-0005-0000-0000-0000D8470000}"/>
    <cellStyle name="Normal 46 64 2" xfId="22116" xr:uid="{00000000-0005-0000-0000-0000D9470000}"/>
    <cellStyle name="Normal 46 65" xfId="9999" xr:uid="{00000000-0005-0000-0000-0000DA470000}"/>
    <cellStyle name="Normal 46 65 2" xfId="22117" xr:uid="{00000000-0005-0000-0000-0000DB470000}"/>
    <cellStyle name="Normal 46 66" xfId="10000" xr:uid="{00000000-0005-0000-0000-0000DC470000}"/>
    <cellStyle name="Normal 46 66 2" xfId="22118" xr:uid="{00000000-0005-0000-0000-0000DD470000}"/>
    <cellStyle name="Normal 46 67" xfId="10001" xr:uid="{00000000-0005-0000-0000-0000DE470000}"/>
    <cellStyle name="Normal 46 67 2" xfId="22119" xr:uid="{00000000-0005-0000-0000-0000DF470000}"/>
    <cellStyle name="Normal 46 68" xfId="10002" xr:uid="{00000000-0005-0000-0000-0000E0470000}"/>
    <cellStyle name="Normal 46 68 2" xfId="22120" xr:uid="{00000000-0005-0000-0000-0000E1470000}"/>
    <cellStyle name="Normal 46 69" xfId="10003" xr:uid="{00000000-0005-0000-0000-0000E2470000}"/>
    <cellStyle name="Normal 46 69 2" xfId="22121" xr:uid="{00000000-0005-0000-0000-0000E3470000}"/>
    <cellStyle name="Normal 46 7" xfId="10004" xr:uid="{00000000-0005-0000-0000-0000E4470000}"/>
    <cellStyle name="Normal 46 7 2" xfId="22122" xr:uid="{00000000-0005-0000-0000-0000E5470000}"/>
    <cellStyle name="Normal 46 70" xfId="10005" xr:uid="{00000000-0005-0000-0000-0000E6470000}"/>
    <cellStyle name="Normal 46 70 2" xfId="22123" xr:uid="{00000000-0005-0000-0000-0000E7470000}"/>
    <cellStyle name="Normal 46 71" xfId="10006" xr:uid="{00000000-0005-0000-0000-0000E8470000}"/>
    <cellStyle name="Normal 46 71 2" xfId="22124" xr:uid="{00000000-0005-0000-0000-0000E9470000}"/>
    <cellStyle name="Normal 46 72" xfId="10007" xr:uid="{00000000-0005-0000-0000-0000EA470000}"/>
    <cellStyle name="Normal 46 72 2" xfId="22125" xr:uid="{00000000-0005-0000-0000-0000EB470000}"/>
    <cellStyle name="Normal 46 73" xfId="10008" xr:uid="{00000000-0005-0000-0000-0000EC470000}"/>
    <cellStyle name="Normal 46 73 2" xfId="22126" xr:uid="{00000000-0005-0000-0000-0000ED470000}"/>
    <cellStyle name="Normal 46 74" xfId="10009" xr:uid="{00000000-0005-0000-0000-0000EE470000}"/>
    <cellStyle name="Normal 46 74 2" xfId="22127" xr:uid="{00000000-0005-0000-0000-0000EF470000}"/>
    <cellStyle name="Normal 46 75" xfId="10010" xr:uid="{00000000-0005-0000-0000-0000F0470000}"/>
    <cellStyle name="Normal 46 75 2" xfId="22128" xr:uid="{00000000-0005-0000-0000-0000F1470000}"/>
    <cellStyle name="Normal 46 76" xfId="10011" xr:uid="{00000000-0005-0000-0000-0000F2470000}"/>
    <cellStyle name="Normal 46 76 2" xfId="22129" xr:uid="{00000000-0005-0000-0000-0000F3470000}"/>
    <cellStyle name="Normal 46 77" xfId="10012" xr:uid="{00000000-0005-0000-0000-0000F4470000}"/>
    <cellStyle name="Normal 46 77 2" xfId="22130" xr:uid="{00000000-0005-0000-0000-0000F5470000}"/>
    <cellStyle name="Normal 46 78" xfId="10013" xr:uid="{00000000-0005-0000-0000-0000F6470000}"/>
    <cellStyle name="Normal 46 78 2" xfId="22131" xr:uid="{00000000-0005-0000-0000-0000F7470000}"/>
    <cellStyle name="Normal 46 79" xfId="10014" xr:uid="{00000000-0005-0000-0000-0000F8470000}"/>
    <cellStyle name="Normal 46 79 2" xfId="22132" xr:uid="{00000000-0005-0000-0000-0000F9470000}"/>
    <cellStyle name="Normal 46 8" xfId="10015" xr:uid="{00000000-0005-0000-0000-0000FA470000}"/>
    <cellStyle name="Normal 46 8 2" xfId="22133" xr:uid="{00000000-0005-0000-0000-0000FB470000}"/>
    <cellStyle name="Normal 46 80" xfId="9939" xr:uid="{00000000-0005-0000-0000-0000FC470000}"/>
    <cellStyle name="Normal 46 9" xfId="10016" xr:uid="{00000000-0005-0000-0000-0000FD470000}"/>
    <cellStyle name="Normal 46 9 2" xfId="22134" xr:uid="{00000000-0005-0000-0000-0000FE470000}"/>
    <cellStyle name="Normal 47" xfId="179" xr:uid="{00000000-0005-0000-0000-0000FF470000}"/>
    <cellStyle name="Normal 47 10" xfId="10017" xr:uid="{00000000-0005-0000-0000-000000480000}"/>
    <cellStyle name="Normal 47 10 2" xfId="22136" xr:uid="{00000000-0005-0000-0000-000001480000}"/>
    <cellStyle name="Normal 47 11" xfId="10018" xr:uid="{00000000-0005-0000-0000-000002480000}"/>
    <cellStyle name="Normal 47 11 2" xfId="22137" xr:uid="{00000000-0005-0000-0000-000003480000}"/>
    <cellStyle name="Normal 47 12" xfId="10019" xr:uid="{00000000-0005-0000-0000-000004480000}"/>
    <cellStyle name="Normal 47 12 2" xfId="22138" xr:uid="{00000000-0005-0000-0000-000005480000}"/>
    <cellStyle name="Normal 47 13" xfId="10020" xr:uid="{00000000-0005-0000-0000-000006480000}"/>
    <cellStyle name="Normal 47 13 2" xfId="22139" xr:uid="{00000000-0005-0000-0000-000007480000}"/>
    <cellStyle name="Normal 47 14" xfId="10021" xr:uid="{00000000-0005-0000-0000-000008480000}"/>
    <cellStyle name="Normal 47 14 2" xfId="22140" xr:uid="{00000000-0005-0000-0000-000009480000}"/>
    <cellStyle name="Normal 47 15" xfId="10022" xr:uid="{00000000-0005-0000-0000-00000A480000}"/>
    <cellStyle name="Normal 47 15 2" xfId="22141" xr:uid="{00000000-0005-0000-0000-00000B480000}"/>
    <cellStyle name="Normal 47 16" xfId="10023" xr:uid="{00000000-0005-0000-0000-00000C480000}"/>
    <cellStyle name="Normal 47 16 2" xfId="22142" xr:uid="{00000000-0005-0000-0000-00000D480000}"/>
    <cellStyle name="Normal 47 17" xfId="10024" xr:uid="{00000000-0005-0000-0000-00000E480000}"/>
    <cellStyle name="Normal 47 17 2" xfId="22143" xr:uid="{00000000-0005-0000-0000-00000F480000}"/>
    <cellStyle name="Normal 47 18" xfId="10025" xr:uid="{00000000-0005-0000-0000-000010480000}"/>
    <cellStyle name="Normal 47 18 2" xfId="22144" xr:uid="{00000000-0005-0000-0000-000011480000}"/>
    <cellStyle name="Normal 47 19" xfId="10026" xr:uid="{00000000-0005-0000-0000-000012480000}"/>
    <cellStyle name="Normal 47 19 2" xfId="22145" xr:uid="{00000000-0005-0000-0000-000013480000}"/>
    <cellStyle name="Normal 47 2" xfId="177" xr:uid="{00000000-0005-0000-0000-000014480000}"/>
    <cellStyle name="Normal 47 2 2" xfId="22146" xr:uid="{00000000-0005-0000-0000-000015480000}"/>
    <cellStyle name="Normal 47 2 3" xfId="10027" xr:uid="{00000000-0005-0000-0000-000016480000}"/>
    <cellStyle name="Normal 47 20" xfId="10028" xr:uid="{00000000-0005-0000-0000-000017480000}"/>
    <cellStyle name="Normal 47 20 2" xfId="22147" xr:uid="{00000000-0005-0000-0000-000018480000}"/>
    <cellStyle name="Normal 47 21" xfId="10029" xr:uid="{00000000-0005-0000-0000-000019480000}"/>
    <cellStyle name="Normal 47 21 2" xfId="22148" xr:uid="{00000000-0005-0000-0000-00001A480000}"/>
    <cellStyle name="Normal 47 22" xfId="10030" xr:uid="{00000000-0005-0000-0000-00001B480000}"/>
    <cellStyle name="Normal 47 22 2" xfId="22149" xr:uid="{00000000-0005-0000-0000-00001C480000}"/>
    <cellStyle name="Normal 47 23" xfId="10031" xr:uid="{00000000-0005-0000-0000-00001D480000}"/>
    <cellStyle name="Normal 47 23 2" xfId="22150" xr:uid="{00000000-0005-0000-0000-00001E480000}"/>
    <cellStyle name="Normal 47 24" xfId="10032" xr:uid="{00000000-0005-0000-0000-00001F480000}"/>
    <cellStyle name="Normal 47 24 2" xfId="22151" xr:uid="{00000000-0005-0000-0000-000020480000}"/>
    <cellStyle name="Normal 47 25" xfId="10033" xr:uid="{00000000-0005-0000-0000-000021480000}"/>
    <cellStyle name="Normal 47 25 2" xfId="22152" xr:uid="{00000000-0005-0000-0000-000022480000}"/>
    <cellStyle name="Normal 47 26" xfId="10034" xr:uid="{00000000-0005-0000-0000-000023480000}"/>
    <cellStyle name="Normal 47 26 2" xfId="22153" xr:uid="{00000000-0005-0000-0000-000024480000}"/>
    <cellStyle name="Normal 47 27" xfId="10035" xr:uid="{00000000-0005-0000-0000-000025480000}"/>
    <cellStyle name="Normal 47 27 2" xfId="22154" xr:uid="{00000000-0005-0000-0000-000026480000}"/>
    <cellStyle name="Normal 47 28" xfId="10036" xr:uid="{00000000-0005-0000-0000-000027480000}"/>
    <cellStyle name="Normal 47 28 2" xfId="22155" xr:uid="{00000000-0005-0000-0000-000028480000}"/>
    <cellStyle name="Normal 47 29" xfId="10037" xr:uid="{00000000-0005-0000-0000-000029480000}"/>
    <cellStyle name="Normal 47 29 2" xfId="22156" xr:uid="{00000000-0005-0000-0000-00002A480000}"/>
    <cellStyle name="Normal 47 3" xfId="735" xr:uid="{00000000-0005-0000-0000-00002B480000}"/>
    <cellStyle name="Normal 47 3 2" xfId="22157" xr:uid="{00000000-0005-0000-0000-00002C480000}"/>
    <cellStyle name="Normal 47 3 3" xfId="10038" xr:uid="{00000000-0005-0000-0000-00002D480000}"/>
    <cellStyle name="Normal 47 30" xfId="10039" xr:uid="{00000000-0005-0000-0000-00002E480000}"/>
    <cellStyle name="Normal 47 30 2" xfId="22158" xr:uid="{00000000-0005-0000-0000-00002F480000}"/>
    <cellStyle name="Normal 47 31" xfId="10040" xr:uid="{00000000-0005-0000-0000-000030480000}"/>
    <cellStyle name="Normal 47 31 2" xfId="22159" xr:uid="{00000000-0005-0000-0000-000031480000}"/>
    <cellStyle name="Normal 47 32" xfId="10041" xr:uid="{00000000-0005-0000-0000-000032480000}"/>
    <cellStyle name="Normal 47 32 2" xfId="22160" xr:uid="{00000000-0005-0000-0000-000033480000}"/>
    <cellStyle name="Normal 47 33" xfId="10042" xr:uid="{00000000-0005-0000-0000-000034480000}"/>
    <cellStyle name="Normal 47 33 2" xfId="22161" xr:uid="{00000000-0005-0000-0000-000035480000}"/>
    <cellStyle name="Normal 47 34" xfId="10043" xr:uid="{00000000-0005-0000-0000-000036480000}"/>
    <cellStyle name="Normal 47 34 2" xfId="22162" xr:uid="{00000000-0005-0000-0000-000037480000}"/>
    <cellStyle name="Normal 47 35" xfId="10044" xr:uid="{00000000-0005-0000-0000-000038480000}"/>
    <cellStyle name="Normal 47 35 2" xfId="22163" xr:uid="{00000000-0005-0000-0000-000039480000}"/>
    <cellStyle name="Normal 47 36" xfId="10045" xr:uid="{00000000-0005-0000-0000-00003A480000}"/>
    <cellStyle name="Normal 47 36 2" xfId="22164" xr:uid="{00000000-0005-0000-0000-00003B480000}"/>
    <cellStyle name="Normal 47 37" xfId="10046" xr:uid="{00000000-0005-0000-0000-00003C480000}"/>
    <cellStyle name="Normal 47 37 2" xfId="22165" xr:uid="{00000000-0005-0000-0000-00003D480000}"/>
    <cellStyle name="Normal 47 38" xfId="10047" xr:uid="{00000000-0005-0000-0000-00003E480000}"/>
    <cellStyle name="Normal 47 38 2" xfId="22166" xr:uid="{00000000-0005-0000-0000-00003F480000}"/>
    <cellStyle name="Normal 47 39" xfId="10048" xr:uid="{00000000-0005-0000-0000-000040480000}"/>
    <cellStyle name="Normal 47 39 2" xfId="22167" xr:uid="{00000000-0005-0000-0000-000041480000}"/>
    <cellStyle name="Normal 47 4" xfId="369" xr:uid="{00000000-0005-0000-0000-000042480000}"/>
    <cellStyle name="Normal 47 4 2" xfId="22168" xr:uid="{00000000-0005-0000-0000-000043480000}"/>
    <cellStyle name="Normal 47 40" xfId="10049" xr:uid="{00000000-0005-0000-0000-000044480000}"/>
    <cellStyle name="Normal 47 40 2" xfId="22169" xr:uid="{00000000-0005-0000-0000-000045480000}"/>
    <cellStyle name="Normal 47 41" xfId="10050" xr:uid="{00000000-0005-0000-0000-000046480000}"/>
    <cellStyle name="Normal 47 41 2" xfId="22170" xr:uid="{00000000-0005-0000-0000-000047480000}"/>
    <cellStyle name="Normal 47 42" xfId="10051" xr:uid="{00000000-0005-0000-0000-000048480000}"/>
    <cellStyle name="Normal 47 42 2" xfId="22171" xr:uid="{00000000-0005-0000-0000-000049480000}"/>
    <cellStyle name="Normal 47 43" xfId="10052" xr:uid="{00000000-0005-0000-0000-00004A480000}"/>
    <cellStyle name="Normal 47 43 2" xfId="22172" xr:uid="{00000000-0005-0000-0000-00004B480000}"/>
    <cellStyle name="Normal 47 44" xfId="10053" xr:uid="{00000000-0005-0000-0000-00004C480000}"/>
    <cellStyle name="Normal 47 44 2" xfId="22173" xr:uid="{00000000-0005-0000-0000-00004D480000}"/>
    <cellStyle name="Normal 47 45" xfId="10054" xr:uid="{00000000-0005-0000-0000-00004E480000}"/>
    <cellStyle name="Normal 47 45 2" xfId="22174" xr:uid="{00000000-0005-0000-0000-00004F480000}"/>
    <cellStyle name="Normal 47 46" xfId="10055" xr:uid="{00000000-0005-0000-0000-000050480000}"/>
    <cellStyle name="Normal 47 46 2" xfId="22175" xr:uid="{00000000-0005-0000-0000-000051480000}"/>
    <cellStyle name="Normal 47 47" xfId="10056" xr:uid="{00000000-0005-0000-0000-000052480000}"/>
    <cellStyle name="Normal 47 47 2" xfId="22176" xr:uid="{00000000-0005-0000-0000-000053480000}"/>
    <cellStyle name="Normal 47 48" xfId="10057" xr:uid="{00000000-0005-0000-0000-000054480000}"/>
    <cellStyle name="Normal 47 48 2" xfId="22177" xr:uid="{00000000-0005-0000-0000-000055480000}"/>
    <cellStyle name="Normal 47 49" xfId="10058" xr:uid="{00000000-0005-0000-0000-000056480000}"/>
    <cellStyle name="Normal 47 49 2" xfId="22178" xr:uid="{00000000-0005-0000-0000-000057480000}"/>
    <cellStyle name="Normal 47 5" xfId="10059" xr:uid="{00000000-0005-0000-0000-000058480000}"/>
    <cellStyle name="Normal 47 5 2" xfId="22179" xr:uid="{00000000-0005-0000-0000-000059480000}"/>
    <cellStyle name="Normal 47 50" xfId="10060" xr:uid="{00000000-0005-0000-0000-00005A480000}"/>
    <cellStyle name="Normal 47 50 2" xfId="22180" xr:uid="{00000000-0005-0000-0000-00005B480000}"/>
    <cellStyle name="Normal 47 51" xfId="10061" xr:uid="{00000000-0005-0000-0000-00005C480000}"/>
    <cellStyle name="Normal 47 51 2" xfId="22181" xr:uid="{00000000-0005-0000-0000-00005D480000}"/>
    <cellStyle name="Normal 47 52" xfId="10062" xr:uid="{00000000-0005-0000-0000-00005E480000}"/>
    <cellStyle name="Normal 47 52 2" xfId="22182" xr:uid="{00000000-0005-0000-0000-00005F480000}"/>
    <cellStyle name="Normal 47 53" xfId="10063" xr:uid="{00000000-0005-0000-0000-000060480000}"/>
    <cellStyle name="Normal 47 53 2" xfId="22183" xr:uid="{00000000-0005-0000-0000-000061480000}"/>
    <cellStyle name="Normal 47 54" xfId="10064" xr:uid="{00000000-0005-0000-0000-000062480000}"/>
    <cellStyle name="Normal 47 54 2" xfId="22184" xr:uid="{00000000-0005-0000-0000-000063480000}"/>
    <cellStyle name="Normal 47 55" xfId="10065" xr:uid="{00000000-0005-0000-0000-000064480000}"/>
    <cellStyle name="Normal 47 55 2" xfId="22185" xr:uid="{00000000-0005-0000-0000-000065480000}"/>
    <cellStyle name="Normal 47 56" xfId="10066" xr:uid="{00000000-0005-0000-0000-000066480000}"/>
    <cellStyle name="Normal 47 56 2" xfId="22186" xr:uid="{00000000-0005-0000-0000-000067480000}"/>
    <cellStyle name="Normal 47 57" xfId="10067" xr:uid="{00000000-0005-0000-0000-000068480000}"/>
    <cellStyle name="Normal 47 57 2" xfId="22187" xr:uid="{00000000-0005-0000-0000-000069480000}"/>
    <cellStyle name="Normal 47 58" xfId="10068" xr:uid="{00000000-0005-0000-0000-00006A480000}"/>
    <cellStyle name="Normal 47 58 2" xfId="22188" xr:uid="{00000000-0005-0000-0000-00006B480000}"/>
    <cellStyle name="Normal 47 59" xfId="10069" xr:uid="{00000000-0005-0000-0000-00006C480000}"/>
    <cellStyle name="Normal 47 59 2" xfId="22189" xr:uid="{00000000-0005-0000-0000-00006D480000}"/>
    <cellStyle name="Normal 47 6" xfId="10070" xr:uid="{00000000-0005-0000-0000-00006E480000}"/>
    <cellStyle name="Normal 47 6 2" xfId="22190" xr:uid="{00000000-0005-0000-0000-00006F480000}"/>
    <cellStyle name="Normal 47 60" xfId="10071" xr:uid="{00000000-0005-0000-0000-000070480000}"/>
    <cellStyle name="Normal 47 60 2" xfId="22191" xr:uid="{00000000-0005-0000-0000-000071480000}"/>
    <cellStyle name="Normal 47 61" xfId="10072" xr:uid="{00000000-0005-0000-0000-000072480000}"/>
    <cellStyle name="Normal 47 61 2" xfId="22192" xr:uid="{00000000-0005-0000-0000-000073480000}"/>
    <cellStyle name="Normal 47 62" xfId="10073" xr:uid="{00000000-0005-0000-0000-000074480000}"/>
    <cellStyle name="Normal 47 62 2" xfId="22193" xr:uid="{00000000-0005-0000-0000-000075480000}"/>
    <cellStyle name="Normal 47 63" xfId="10074" xr:uid="{00000000-0005-0000-0000-000076480000}"/>
    <cellStyle name="Normal 47 63 2" xfId="22194" xr:uid="{00000000-0005-0000-0000-000077480000}"/>
    <cellStyle name="Normal 47 64" xfId="10075" xr:uid="{00000000-0005-0000-0000-000078480000}"/>
    <cellStyle name="Normal 47 64 2" xfId="22195" xr:uid="{00000000-0005-0000-0000-000079480000}"/>
    <cellStyle name="Normal 47 65" xfId="10076" xr:uid="{00000000-0005-0000-0000-00007A480000}"/>
    <cellStyle name="Normal 47 65 2" xfId="22196" xr:uid="{00000000-0005-0000-0000-00007B480000}"/>
    <cellStyle name="Normal 47 66" xfId="10077" xr:uid="{00000000-0005-0000-0000-00007C480000}"/>
    <cellStyle name="Normal 47 66 2" xfId="22197" xr:uid="{00000000-0005-0000-0000-00007D480000}"/>
    <cellStyle name="Normal 47 67" xfId="10078" xr:uid="{00000000-0005-0000-0000-00007E480000}"/>
    <cellStyle name="Normal 47 67 2" xfId="22198" xr:uid="{00000000-0005-0000-0000-00007F480000}"/>
    <cellStyle name="Normal 47 68" xfId="10079" xr:uid="{00000000-0005-0000-0000-000080480000}"/>
    <cellStyle name="Normal 47 68 2" xfId="22199" xr:uid="{00000000-0005-0000-0000-000081480000}"/>
    <cellStyle name="Normal 47 69" xfId="10080" xr:uid="{00000000-0005-0000-0000-000082480000}"/>
    <cellStyle name="Normal 47 69 2" xfId="22200" xr:uid="{00000000-0005-0000-0000-000083480000}"/>
    <cellStyle name="Normal 47 7" xfId="10081" xr:uid="{00000000-0005-0000-0000-000084480000}"/>
    <cellStyle name="Normal 47 7 2" xfId="22201" xr:uid="{00000000-0005-0000-0000-000085480000}"/>
    <cellStyle name="Normal 47 70" xfId="10082" xr:uid="{00000000-0005-0000-0000-000086480000}"/>
    <cellStyle name="Normal 47 70 2" xfId="22202" xr:uid="{00000000-0005-0000-0000-000087480000}"/>
    <cellStyle name="Normal 47 71" xfId="10083" xr:uid="{00000000-0005-0000-0000-000088480000}"/>
    <cellStyle name="Normal 47 71 2" xfId="22203" xr:uid="{00000000-0005-0000-0000-000089480000}"/>
    <cellStyle name="Normal 47 72" xfId="10084" xr:uid="{00000000-0005-0000-0000-00008A480000}"/>
    <cellStyle name="Normal 47 72 2" xfId="22204" xr:uid="{00000000-0005-0000-0000-00008B480000}"/>
    <cellStyle name="Normal 47 73" xfId="10085" xr:uid="{00000000-0005-0000-0000-00008C480000}"/>
    <cellStyle name="Normal 47 73 2" xfId="22205" xr:uid="{00000000-0005-0000-0000-00008D480000}"/>
    <cellStyle name="Normal 47 74" xfId="10086" xr:uid="{00000000-0005-0000-0000-00008E480000}"/>
    <cellStyle name="Normal 47 74 2" xfId="22206" xr:uid="{00000000-0005-0000-0000-00008F480000}"/>
    <cellStyle name="Normal 47 75" xfId="10087" xr:uid="{00000000-0005-0000-0000-000090480000}"/>
    <cellStyle name="Normal 47 75 2" xfId="22207" xr:uid="{00000000-0005-0000-0000-000091480000}"/>
    <cellStyle name="Normal 47 76" xfId="10088" xr:uid="{00000000-0005-0000-0000-000092480000}"/>
    <cellStyle name="Normal 47 76 2" xfId="22208" xr:uid="{00000000-0005-0000-0000-000093480000}"/>
    <cellStyle name="Normal 47 77" xfId="10089" xr:uid="{00000000-0005-0000-0000-000094480000}"/>
    <cellStyle name="Normal 47 77 2" xfId="22209" xr:uid="{00000000-0005-0000-0000-000095480000}"/>
    <cellStyle name="Normal 47 78" xfId="10090" xr:uid="{00000000-0005-0000-0000-000096480000}"/>
    <cellStyle name="Normal 47 78 2" xfId="22210" xr:uid="{00000000-0005-0000-0000-000097480000}"/>
    <cellStyle name="Normal 47 79" xfId="10091" xr:uid="{00000000-0005-0000-0000-000098480000}"/>
    <cellStyle name="Normal 47 79 2" xfId="22211" xr:uid="{00000000-0005-0000-0000-000099480000}"/>
    <cellStyle name="Normal 47 8" xfId="10092" xr:uid="{00000000-0005-0000-0000-00009A480000}"/>
    <cellStyle name="Normal 47 8 2" xfId="22212" xr:uid="{00000000-0005-0000-0000-00009B480000}"/>
    <cellStyle name="Normal 47 80" xfId="22135" xr:uid="{00000000-0005-0000-0000-00009C480000}"/>
    <cellStyle name="Normal 47 9" xfId="10093" xr:uid="{00000000-0005-0000-0000-00009D480000}"/>
    <cellStyle name="Normal 47 9 2" xfId="22213" xr:uid="{00000000-0005-0000-0000-00009E480000}"/>
    <cellStyle name="Normal 48" xfId="154" xr:uid="{00000000-0005-0000-0000-00009F480000}"/>
    <cellStyle name="Normal 48 10" xfId="10094" xr:uid="{00000000-0005-0000-0000-0000A0480000}"/>
    <cellStyle name="Normal 48 10 2" xfId="22215" xr:uid="{00000000-0005-0000-0000-0000A1480000}"/>
    <cellStyle name="Normal 48 11" xfId="10095" xr:uid="{00000000-0005-0000-0000-0000A2480000}"/>
    <cellStyle name="Normal 48 11 2" xfId="22216" xr:uid="{00000000-0005-0000-0000-0000A3480000}"/>
    <cellStyle name="Normal 48 12" xfId="10096" xr:uid="{00000000-0005-0000-0000-0000A4480000}"/>
    <cellStyle name="Normal 48 12 2" xfId="22217" xr:uid="{00000000-0005-0000-0000-0000A5480000}"/>
    <cellStyle name="Normal 48 13" xfId="10097" xr:uid="{00000000-0005-0000-0000-0000A6480000}"/>
    <cellStyle name="Normal 48 13 2" xfId="22218" xr:uid="{00000000-0005-0000-0000-0000A7480000}"/>
    <cellStyle name="Normal 48 14" xfId="10098" xr:uid="{00000000-0005-0000-0000-0000A8480000}"/>
    <cellStyle name="Normal 48 14 2" xfId="22219" xr:uid="{00000000-0005-0000-0000-0000A9480000}"/>
    <cellStyle name="Normal 48 15" xfId="10099" xr:uid="{00000000-0005-0000-0000-0000AA480000}"/>
    <cellStyle name="Normal 48 15 2" xfId="22220" xr:uid="{00000000-0005-0000-0000-0000AB480000}"/>
    <cellStyle name="Normal 48 16" xfId="10100" xr:uid="{00000000-0005-0000-0000-0000AC480000}"/>
    <cellStyle name="Normal 48 16 2" xfId="22221" xr:uid="{00000000-0005-0000-0000-0000AD480000}"/>
    <cellStyle name="Normal 48 17" xfId="10101" xr:uid="{00000000-0005-0000-0000-0000AE480000}"/>
    <cellStyle name="Normal 48 17 2" xfId="22222" xr:uid="{00000000-0005-0000-0000-0000AF480000}"/>
    <cellStyle name="Normal 48 18" xfId="10102" xr:uid="{00000000-0005-0000-0000-0000B0480000}"/>
    <cellStyle name="Normal 48 18 2" xfId="22223" xr:uid="{00000000-0005-0000-0000-0000B1480000}"/>
    <cellStyle name="Normal 48 19" xfId="10103" xr:uid="{00000000-0005-0000-0000-0000B2480000}"/>
    <cellStyle name="Normal 48 19 2" xfId="22224" xr:uid="{00000000-0005-0000-0000-0000B3480000}"/>
    <cellStyle name="Normal 48 2" xfId="178" xr:uid="{00000000-0005-0000-0000-0000B4480000}"/>
    <cellStyle name="Normal 48 2 2" xfId="22225" xr:uid="{00000000-0005-0000-0000-0000B5480000}"/>
    <cellStyle name="Normal 48 2 3" xfId="10104" xr:uid="{00000000-0005-0000-0000-0000B6480000}"/>
    <cellStyle name="Normal 48 20" xfId="10105" xr:uid="{00000000-0005-0000-0000-0000B7480000}"/>
    <cellStyle name="Normal 48 20 2" xfId="22226" xr:uid="{00000000-0005-0000-0000-0000B8480000}"/>
    <cellStyle name="Normal 48 21" xfId="10106" xr:uid="{00000000-0005-0000-0000-0000B9480000}"/>
    <cellStyle name="Normal 48 21 2" xfId="22227" xr:uid="{00000000-0005-0000-0000-0000BA480000}"/>
    <cellStyle name="Normal 48 22" xfId="10107" xr:uid="{00000000-0005-0000-0000-0000BB480000}"/>
    <cellStyle name="Normal 48 22 2" xfId="22228" xr:uid="{00000000-0005-0000-0000-0000BC480000}"/>
    <cellStyle name="Normal 48 23" xfId="10108" xr:uid="{00000000-0005-0000-0000-0000BD480000}"/>
    <cellStyle name="Normal 48 23 2" xfId="22229" xr:uid="{00000000-0005-0000-0000-0000BE480000}"/>
    <cellStyle name="Normal 48 24" xfId="10109" xr:uid="{00000000-0005-0000-0000-0000BF480000}"/>
    <cellStyle name="Normal 48 24 2" xfId="22230" xr:uid="{00000000-0005-0000-0000-0000C0480000}"/>
    <cellStyle name="Normal 48 25" xfId="10110" xr:uid="{00000000-0005-0000-0000-0000C1480000}"/>
    <cellStyle name="Normal 48 25 2" xfId="22231" xr:uid="{00000000-0005-0000-0000-0000C2480000}"/>
    <cellStyle name="Normal 48 26" xfId="10111" xr:uid="{00000000-0005-0000-0000-0000C3480000}"/>
    <cellStyle name="Normal 48 26 2" xfId="22232" xr:uid="{00000000-0005-0000-0000-0000C4480000}"/>
    <cellStyle name="Normal 48 27" xfId="10112" xr:uid="{00000000-0005-0000-0000-0000C5480000}"/>
    <cellStyle name="Normal 48 27 2" xfId="22233" xr:uid="{00000000-0005-0000-0000-0000C6480000}"/>
    <cellStyle name="Normal 48 28" xfId="10113" xr:uid="{00000000-0005-0000-0000-0000C7480000}"/>
    <cellStyle name="Normal 48 28 2" xfId="22234" xr:uid="{00000000-0005-0000-0000-0000C8480000}"/>
    <cellStyle name="Normal 48 29" xfId="10114" xr:uid="{00000000-0005-0000-0000-0000C9480000}"/>
    <cellStyle name="Normal 48 29 2" xfId="22235" xr:uid="{00000000-0005-0000-0000-0000CA480000}"/>
    <cellStyle name="Normal 48 3" xfId="736" xr:uid="{00000000-0005-0000-0000-0000CB480000}"/>
    <cellStyle name="Normal 48 3 2" xfId="22236" xr:uid="{00000000-0005-0000-0000-0000CC480000}"/>
    <cellStyle name="Normal 48 3 3" xfId="10115" xr:uid="{00000000-0005-0000-0000-0000CD480000}"/>
    <cellStyle name="Normal 48 30" xfId="10116" xr:uid="{00000000-0005-0000-0000-0000CE480000}"/>
    <cellStyle name="Normal 48 30 2" xfId="22237" xr:uid="{00000000-0005-0000-0000-0000CF480000}"/>
    <cellStyle name="Normal 48 31" xfId="10117" xr:uid="{00000000-0005-0000-0000-0000D0480000}"/>
    <cellStyle name="Normal 48 31 2" xfId="22238" xr:uid="{00000000-0005-0000-0000-0000D1480000}"/>
    <cellStyle name="Normal 48 32" xfId="10118" xr:uid="{00000000-0005-0000-0000-0000D2480000}"/>
    <cellStyle name="Normal 48 32 2" xfId="22239" xr:uid="{00000000-0005-0000-0000-0000D3480000}"/>
    <cellStyle name="Normal 48 33" xfId="10119" xr:uid="{00000000-0005-0000-0000-0000D4480000}"/>
    <cellStyle name="Normal 48 33 2" xfId="22240" xr:uid="{00000000-0005-0000-0000-0000D5480000}"/>
    <cellStyle name="Normal 48 34" xfId="10120" xr:uid="{00000000-0005-0000-0000-0000D6480000}"/>
    <cellStyle name="Normal 48 34 2" xfId="22241" xr:uid="{00000000-0005-0000-0000-0000D7480000}"/>
    <cellStyle name="Normal 48 35" xfId="10121" xr:uid="{00000000-0005-0000-0000-0000D8480000}"/>
    <cellStyle name="Normal 48 35 2" xfId="22242" xr:uid="{00000000-0005-0000-0000-0000D9480000}"/>
    <cellStyle name="Normal 48 36" xfId="10122" xr:uid="{00000000-0005-0000-0000-0000DA480000}"/>
    <cellStyle name="Normal 48 36 2" xfId="22243" xr:uid="{00000000-0005-0000-0000-0000DB480000}"/>
    <cellStyle name="Normal 48 37" xfId="10123" xr:uid="{00000000-0005-0000-0000-0000DC480000}"/>
    <cellStyle name="Normal 48 37 2" xfId="22244" xr:uid="{00000000-0005-0000-0000-0000DD480000}"/>
    <cellStyle name="Normal 48 38" xfId="10124" xr:uid="{00000000-0005-0000-0000-0000DE480000}"/>
    <cellStyle name="Normal 48 38 2" xfId="22245" xr:uid="{00000000-0005-0000-0000-0000DF480000}"/>
    <cellStyle name="Normal 48 39" xfId="10125" xr:uid="{00000000-0005-0000-0000-0000E0480000}"/>
    <cellStyle name="Normal 48 39 2" xfId="22246" xr:uid="{00000000-0005-0000-0000-0000E1480000}"/>
    <cellStyle name="Normal 48 4" xfId="370" xr:uid="{00000000-0005-0000-0000-0000E2480000}"/>
    <cellStyle name="Normal 48 4 2" xfId="22247" xr:uid="{00000000-0005-0000-0000-0000E3480000}"/>
    <cellStyle name="Normal 48 40" xfId="10126" xr:uid="{00000000-0005-0000-0000-0000E4480000}"/>
    <cellStyle name="Normal 48 40 2" xfId="22248" xr:uid="{00000000-0005-0000-0000-0000E5480000}"/>
    <cellStyle name="Normal 48 41" xfId="10127" xr:uid="{00000000-0005-0000-0000-0000E6480000}"/>
    <cellStyle name="Normal 48 41 2" xfId="22249" xr:uid="{00000000-0005-0000-0000-0000E7480000}"/>
    <cellStyle name="Normal 48 42" xfId="10128" xr:uid="{00000000-0005-0000-0000-0000E8480000}"/>
    <cellStyle name="Normal 48 42 2" xfId="22250" xr:uid="{00000000-0005-0000-0000-0000E9480000}"/>
    <cellStyle name="Normal 48 43" xfId="10129" xr:uid="{00000000-0005-0000-0000-0000EA480000}"/>
    <cellStyle name="Normal 48 43 2" xfId="22251" xr:uid="{00000000-0005-0000-0000-0000EB480000}"/>
    <cellStyle name="Normal 48 44" xfId="10130" xr:uid="{00000000-0005-0000-0000-0000EC480000}"/>
    <cellStyle name="Normal 48 44 2" xfId="22252" xr:uid="{00000000-0005-0000-0000-0000ED480000}"/>
    <cellStyle name="Normal 48 45" xfId="10131" xr:uid="{00000000-0005-0000-0000-0000EE480000}"/>
    <cellStyle name="Normal 48 45 2" xfId="22253" xr:uid="{00000000-0005-0000-0000-0000EF480000}"/>
    <cellStyle name="Normal 48 46" xfId="10132" xr:uid="{00000000-0005-0000-0000-0000F0480000}"/>
    <cellStyle name="Normal 48 46 2" xfId="22254" xr:uid="{00000000-0005-0000-0000-0000F1480000}"/>
    <cellStyle name="Normal 48 47" xfId="10133" xr:uid="{00000000-0005-0000-0000-0000F2480000}"/>
    <cellStyle name="Normal 48 47 2" xfId="22255" xr:uid="{00000000-0005-0000-0000-0000F3480000}"/>
    <cellStyle name="Normal 48 48" xfId="10134" xr:uid="{00000000-0005-0000-0000-0000F4480000}"/>
    <cellStyle name="Normal 48 48 2" xfId="22256" xr:uid="{00000000-0005-0000-0000-0000F5480000}"/>
    <cellStyle name="Normal 48 49" xfId="10135" xr:uid="{00000000-0005-0000-0000-0000F6480000}"/>
    <cellStyle name="Normal 48 49 2" xfId="22257" xr:uid="{00000000-0005-0000-0000-0000F7480000}"/>
    <cellStyle name="Normal 48 5" xfId="10136" xr:uid="{00000000-0005-0000-0000-0000F8480000}"/>
    <cellStyle name="Normal 48 5 2" xfId="22258" xr:uid="{00000000-0005-0000-0000-0000F9480000}"/>
    <cellStyle name="Normal 48 50" xfId="10137" xr:uid="{00000000-0005-0000-0000-0000FA480000}"/>
    <cellStyle name="Normal 48 50 2" xfId="22259" xr:uid="{00000000-0005-0000-0000-0000FB480000}"/>
    <cellStyle name="Normal 48 51" xfId="10138" xr:uid="{00000000-0005-0000-0000-0000FC480000}"/>
    <cellStyle name="Normal 48 51 2" xfId="22260" xr:uid="{00000000-0005-0000-0000-0000FD480000}"/>
    <cellStyle name="Normal 48 52" xfId="10139" xr:uid="{00000000-0005-0000-0000-0000FE480000}"/>
    <cellStyle name="Normal 48 52 2" xfId="22261" xr:uid="{00000000-0005-0000-0000-0000FF480000}"/>
    <cellStyle name="Normal 48 53" xfId="10140" xr:uid="{00000000-0005-0000-0000-000000490000}"/>
    <cellStyle name="Normal 48 53 2" xfId="22262" xr:uid="{00000000-0005-0000-0000-000001490000}"/>
    <cellStyle name="Normal 48 54" xfId="10141" xr:uid="{00000000-0005-0000-0000-000002490000}"/>
    <cellStyle name="Normal 48 54 2" xfId="22263" xr:uid="{00000000-0005-0000-0000-000003490000}"/>
    <cellStyle name="Normal 48 55" xfId="10142" xr:uid="{00000000-0005-0000-0000-000004490000}"/>
    <cellStyle name="Normal 48 55 2" xfId="22264" xr:uid="{00000000-0005-0000-0000-000005490000}"/>
    <cellStyle name="Normal 48 56" xfId="10143" xr:uid="{00000000-0005-0000-0000-000006490000}"/>
    <cellStyle name="Normal 48 56 2" xfId="22265" xr:uid="{00000000-0005-0000-0000-000007490000}"/>
    <cellStyle name="Normal 48 57" xfId="10144" xr:uid="{00000000-0005-0000-0000-000008490000}"/>
    <cellStyle name="Normal 48 57 2" xfId="22266" xr:uid="{00000000-0005-0000-0000-000009490000}"/>
    <cellStyle name="Normal 48 58" xfId="10145" xr:uid="{00000000-0005-0000-0000-00000A490000}"/>
    <cellStyle name="Normal 48 58 2" xfId="22267" xr:uid="{00000000-0005-0000-0000-00000B490000}"/>
    <cellStyle name="Normal 48 59" xfId="10146" xr:uid="{00000000-0005-0000-0000-00000C490000}"/>
    <cellStyle name="Normal 48 59 2" xfId="22268" xr:uid="{00000000-0005-0000-0000-00000D490000}"/>
    <cellStyle name="Normal 48 6" xfId="10147" xr:uid="{00000000-0005-0000-0000-00000E490000}"/>
    <cellStyle name="Normal 48 6 2" xfId="22269" xr:uid="{00000000-0005-0000-0000-00000F490000}"/>
    <cellStyle name="Normal 48 60" xfId="10148" xr:uid="{00000000-0005-0000-0000-000010490000}"/>
    <cellStyle name="Normal 48 60 2" xfId="22270" xr:uid="{00000000-0005-0000-0000-000011490000}"/>
    <cellStyle name="Normal 48 61" xfId="10149" xr:uid="{00000000-0005-0000-0000-000012490000}"/>
    <cellStyle name="Normal 48 61 2" xfId="22271" xr:uid="{00000000-0005-0000-0000-000013490000}"/>
    <cellStyle name="Normal 48 62" xfId="10150" xr:uid="{00000000-0005-0000-0000-000014490000}"/>
    <cellStyle name="Normal 48 62 2" xfId="22272" xr:uid="{00000000-0005-0000-0000-000015490000}"/>
    <cellStyle name="Normal 48 63" xfId="10151" xr:uid="{00000000-0005-0000-0000-000016490000}"/>
    <cellStyle name="Normal 48 63 2" xfId="22273" xr:uid="{00000000-0005-0000-0000-000017490000}"/>
    <cellStyle name="Normal 48 64" xfId="10152" xr:uid="{00000000-0005-0000-0000-000018490000}"/>
    <cellStyle name="Normal 48 64 2" xfId="22274" xr:uid="{00000000-0005-0000-0000-000019490000}"/>
    <cellStyle name="Normal 48 65" xfId="10153" xr:uid="{00000000-0005-0000-0000-00001A490000}"/>
    <cellStyle name="Normal 48 65 2" xfId="22275" xr:uid="{00000000-0005-0000-0000-00001B490000}"/>
    <cellStyle name="Normal 48 66" xfId="10154" xr:uid="{00000000-0005-0000-0000-00001C490000}"/>
    <cellStyle name="Normal 48 66 2" xfId="22276" xr:uid="{00000000-0005-0000-0000-00001D490000}"/>
    <cellStyle name="Normal 48 67" xfId="10155" xr:uid="{00000000-0005-0000-0000-00001E490000}"/>
    <cellStyle name="Normal 48 67 2" xfId="22277" xr:uid="{00000000-0005-0000-0000-00001F490000}"/>
    <cellStyle name="Normal 48 68" xfId="10156" xr:uid="{00000000-0005-0000-0000-000020490000}"/>
    <cellStyle name="Normal 48 68 2" xfId="22278" xr:uid="{00000000-0005-0000-0000-000021490000}"/>
    <cellStyle name="Normal 48 69" xfId="10157" xr:uid="{00000000-0005-0000-0000-000022490000}"/>
    <cellStyle name="Normal 48 69 2" xfId="22279" xr:uid="{00000000-0005-0000-0000-000023490000}"/>
    <cellStyle name="Normal 48 7" xfId="10158" xr:uid="{00000000-0005-0000-0000-000024490000}"/>
    <cellStyle name="Normal 48 7 2" xfId="22280" xr:uid="{00000000-0005-0000-0000-000025490000}"/>
    <cellStyle name="Normal 48 70" xfId="10159" xr:uid="{00000000-0005-0000-0000-000026490000}"/>
    <cellStyle name="Normal 48 70 2" xfId="22281" xr:uid="{00000000-0005-0000-0000-000027490000}"/>
    <cellStyle name="Normal 48 71" xfId="10160" xr:uid="{00000000-0005-0000-0000-000028490000}"/>
    <cellStyle name="Normal 48 71 2" xfId="22282" xr:uid="{00000000-0005-0000-0000-000029490000}"/>
    <cellStyle name="Normal 48 72" xfId="10161" xr:uid="{00000000-0005-0000-0000-00002A490000}"/>
    <cellStyle name="Normal 48 72 2" xfId="22283" xr:uid="{00000000-0005-0000-0000-00002B490000}"/>
    <cellStyle name="Normal 48 73" xfId="10162" xr:uid="{00000000-0005-0000-0000-00002C490000}"/>
    <cellStyle name="Normal 48 73 2" xfId="22284" xr:uid="{00000000-0005-0000-0000-00002D490000}"/>
    <cellStyle name="Normal 48 74" xfId="10163" xr:uid="{00000000-0005-0000-0000-00002E490000}"/>
    <cellStyle name="Normal 48 74 2" xfId="22285" xr:uid="{00000000-0005-0000-0000-00002F490000}"/>
    <cellStyle name="Normal 48 75" xfId="10164" xr:uid="{00000000-0005-0000-0000-000030490000}"/>
    <cellStyle name="Normal 48 75 2" xfId="22286" xr:uid="{00000000-0005-0000-0000-000031490000}"/>
    <cellStyle name="Normal 48 76" xfId="10165" xr:uid="{00000000-0005-0000-0000-000032490000}"/>
    <cellStyle name="Normal 48 76 2" xfId="22287" xr:uid="{00000000-0005-0000-0000-000033490000}"/>
    <cellStyle name="Normal 48 77" xfId="10166" xr:uid="{00000000-0005-0000-0000-000034490000}"/>
    <cellStyle name="Normal 48 77 2" xfId="22288" xr:uid="{00000000-0005-0000-0000-000035490000}"/>
    <cellStyle name="Normal 48 78" xfId="10167" xr:uid="{00000000-0005-0000-0000-000036490000}"/>
    <cellStyle name="Normal 48 78 2" xfId="22289" xr:uid="{00000000-0005-0000-0000-000037490000}"/>
    <cellStyle name="Normal 48 79" xfId="10168" xr:uid="{00000000-0005-0000-0000-000038490000}"/>
    <cellStyle name="Normal 48 79 2" xfId="22290" xr:uid="{00000000-0005-0000-0000-000039490000}"/>
    <cellStyle name="Normal 48 8" xfId="10169" xr:uid="{00000000-0005-0000-0000-00003A490000}"/>
    <cellStyle name="Normal 48 8 2" xfId="22291" xr:uid="{00000000-0005-0000-0000-00003B490000}"/>
    <cellStyle name="Normal 48 80" xfId="22214" xr:uid="{00000000-0005-0000-0000-00003C490000}"/>
    <cellStyle name="Normal 48 9" xfId="10170" xr:uid="{00000000-0005-0000-0000-00003D490000}"/>
    <cellStyle name="Normal 48 9 2" xfId="22292" xr:uid="{00000000-0005-0000-0000-00003E490000}"/>
    <cellStyle name="Normal 49" xfId="155" xr:uid="{00000000-0005-0000-0000-00003F490000}"/>
    <cellStyle name="Normal 49 10" xfId="10172" xr:uid="{00000000-0005-0000-0000-000040490000}"/>
    <cellStyle name="Normal 49 10 2" xfId="22293" xr:uid="{00000000-0005-0000-0000-000041490000}"/>
    <cellStyle name="Normal 49 11" xfId="10173" xr:uid="{00000000-0005-0000-0000-000042490000}"/>
    <cellStyle name="Normal 49 11 2" xfId="22294" xr:uid="{00000000-0005-0000-0000-000043490000}"/>
    <cellStyle name="Normal 49 12" xfId="10174" xr:uid="{00000000-0005-0000-0000-000044490000}"/>
    <cellStyle name="Normal 49 12 2" xfId="22295" xr:uid="{00000000-0005-0000-0000-000045490000}"/>
    <cellStyle name="Normal 49 13" xfId="10175" xr:uid="{00000000-0005-0000-0000-000046490000}"/>
    <cellStyle name="Normal 49 13 2" xfId="22296" xr:uid="{00000000-0005-0000-0000-000047490000}"/>
    <cellStyle name="Normal 49 14" xfId="10176" xr:uid="{00000000-0005-0000-0000-000048490000}"/>
    <cellStyle name="Normal 49 14 2" xfId="22297" xr:uid="{00000000-0005-0000-0000-000049490000}"/>
    <cellStyle name="Normal 49 15" xfId="10177" xr:uid="{00000000-0005-0000-0000-00004A490000}"/>
    <cellStyle name="Normal 49 15 2" xfId="22298" xr:uid="{00000000-0005-0000-0000-00004B490000}"/>
    <cellStyle name="Normal 49 16" xfId="10178" xr:uid="{00000000-0005-0000-0000-00004C490000}"/>
    <cellStyle name="Normal 49 16 2" xfId="22299" xr:uid="{00000000-0005-0000-0000-00004D490000}"/>
    <cellStyle name="Normal 49 17" xfId="10179" xr:uid="{00000000-0005-0000-0000-00004E490000}"/>
    <cellStyle name="Normal 49 17 2" xfId="22300" xr:uid="{00000000-0005-0000-0000-00004F490000}"/>
    <cellStyle name="Normal 49 18" xfId="10180" xr:uid="{00000000-0005-0000-0000-000050490000}"/>
    <cellStyle name="Normal 49 18 2" xfId="22301" xr:uid="{00000000-0005-0000-0000-000051490000}"/>
    <cellStyle name="Normal 49 19" xfId="10181" xr:uid="{00000000-0005-0000-0000-000052490000}"/>
    <cellStyle name="Normal 49 19 2" xfId="22302" xr:uid="{00000000-0005-0000-0000-000053490000}"/>
    <cellStyle name="Normal 49 2" xfId="737" xr:uid="{00000000-0005-0000-0000-000054490000}"/>
    <cellStyle name="Normal 49 2 2" xfId="22303" xr:uid="{00000000-0005-0000-0000-000055490000}"/>
    <cellStyle name="Normal 49 2 3" xfId="10182" xr:uid="{00000000-0005-0000-0000-000056490000}"/>
    <cellStyle name="Normal 49 20" xfId="10183" xr:uid="{00000000-0005-0000-0000-000057490000}"/>
    <cellStyle name="Normal 49 20 2" xfId="22304" xr:uid="{00000000-0005-0000-0000-000058490000}"/>
    <cellStyle name="Normal 49 21" xfId="10184" xr:uid="{00000000-0005-0000-0000-000059490000}"/>
    <cellStyle name="Normal 49 21 2" xfId="22305" xr:uid="{00000000-0005-0000-0000-00005A490000}"/>
    <cellStyle name="Normal 49 22" xfId="10185" xr:uid="{00000000-0005-0000-0000-00005B490000}"/>
    <cellStyle name="Normal 49 22 2" xfId="22306" xr:uid="{00000000-0005-0000-0000-00005C490000}"/>
    <cellStyle name="Normal 49 23" xfId="10186" xr:uid="{00000000-0005-0000-0000-00005D490000}"/>
    <cellStyle name="Normal 49 23 2" xfId="22307" xr:uid="{00000000-0005-0000-0000-00005E490000}"/>
    <cellStyle name="Normal 49 24" xfId="10187" xr:uid="{00000000-0005-0000-0000-00005F490000}"/>
    <cellStyle name="Normal 49 24 2" xfId="22308" xr:uid="{00000000-0005-0000-0000-000060490000}"/>
    <cellStyle name="Normal 49 25" xfId="10188" xr:uid="{00000000-0005-0000-0000-000061490000}"/>
    <cellStyle name="Normal 49 25 2" xfId="22309" xr:uid="{00000000-0005-0000-0000-000062490000}"/>
    <cellStyle name="Normal 49 26" xfId="10189" xr:uid="{00000000-0005-0000-0000-000063490000}"/>
    <cellStyle name="Normal 49 26 2" xfId="22310" xr:uid="{00000000-0005-0000-0000-000064490000}"/>
    <cellStyle name="Normal 49 27" xfId="10190" xr:uid="{00000000-0005-0000-0000-000065490000}"/>
    <cellStyle name="Normal 49 27 2" xfId="22311" xr:uid="{00000000-0005-0000-0000-000066490000}"/>
    <cellStyle name="Normal 49 28" xfId="10191" xr:uid="{00000000-0005-0000-0000-000067490000}"/>
    <cellStyle name="Normal 49 28 2" xfId="22312" xr:uid="{00000000-0005-0000-0000-000068490000}"/>
    <cellStyle name="Normal 49 29" xfId="10192" xr:uid="{00000000-0005-0000-0000-000069490000}"/>
    <cellStyle name="Normal 49 29 2" xfId="22313" xr:uid="{00000000-0005-0000-0000-00006A490000}"/>
    <cellStyle name="Normal 49 3" xfId="371" xr:uid="{00000000-0005-0000-0000-00006B490000}"/>
    <cellStyle name="Normal 49 3 2" xfId="22314" xr:uid="{00000000-0005-0000-0000-00006C490000}"/>
    <cellStyle name="Normal 49 30" xfId="10193" xr:uid="{00000000-0005-0000-0000-00006D490000}"/>
    <cellStyle name="Normal 49 30 2" xfId="22315" xr:uid="{00000000-0005-0000-0000-00006E490000}"/>
    <cellStyle name="Normal 49 31" xfId="10194" xr:uid="{00000000-0005-0000-0000-00006F490000}"/>
    <cellStyle name="Normal 49 31 2" xfId="22316" xr:uid="{00000000-0005-0000-0000-000070490000}"/>
    <cellStyle name="Normal 49 32" xfId="10195" xr:uid="{00000000-0005-0000-0000-000071490000}"/>
    <cellStyle name="Normal 49 32 2" xfId="22317" xr:uid="{00000000-0005-0000-0000-000072490000}"/>
    <cellStyle name="Normal 49 33" xfId="10196" xr:uid="{00000000-0005-0000-0000-000073490000}"/>
    <cellStyle name="Normal 49 33 2" xfId="22318" xr:uid="{00000000-0005-0000-0000-000074490000}"/>
    <cellStyle name="Normal 49 34" xfId="10197" xr:uid="{00000000-0005-0000-0000-000075490000}"/>
    <cellStyle name="Normal 49 34 2" xfId="22319" xr:uid="{00000000-0005-0000-0000-000076490000}"/>
    <cellStyle name="Normal 49 35" xfId="10198" xr:uid="{00000000-0005-0000-0000-000077490000}"/>
    <cellStyle name="Normal 49 35 2" xfId="22320" xr:uid="{00000000-0005-0000-0000-000078490000}"/>
    <cellStyle name="Normal 49 36" xfId="10199" xr:uid="{00000000-0005-0000-0000-000079490000}"/>
    <cellStyle name="Normal 49 36 2" xfId="22321" xr:uid="{00000000-0005-0000-0000-00007A490000}"/>
    <cellStyle name="Normal 49 37" xfId="10200" xr:uid="{00000000-0005-0000-0000-00007B490000}"/>
    <cellStyle name="Normal 49 37 2" xfId="22322" xr:uid="{00000000-0005-0000-0000-00007C490000}"/>
    <cellStyle name="Normal 49 38" xfId="10201" xr:uid="{00000000-0005-0000-0000-00007D490000}"/>
    <cellStyle name="Normal 49 38 2" xfId="22323" xr:uid="{00000000-0005-0000-0000-00007E490000}"/>
    <cellStyle name="Normal 49 39" xfId="10202" xr:uid="{00000000-0005-0000-0000-00007F490000}"/>
    <cellStyle name="Normal 49 39 2" xfId="22324" xr:uid="{00000000-0005-0000-0000-000080490000}"/>
    <cellStyle name="Normal 49 4" xfId="10203" xr:uid="{00000000-0005-0000-0000-000081490000}"/>
    <cellStyle name="Normal 49 4 2" xfId="22325" xr:uid="{00000000-0005-0000-0000-000082490000}"/>
    <cellStyle name="Normal 49 40" xfId="10204" xr:uid="{00000000-0005-0000-0000-000083490000}"/>
    <cellStyle name="Normal 49 40 2" xfId="22326" xr:uid="{00000000-0005-0000-0000-000084490000}"/>
    <cellStyle name="Normal 49 41" xfId="10205" xr:uid="{00000000-0005-0000-0000-000085490000}"/>
    <cellStyle name="Normal 49 41 2" xfId="22327" xr:uid="{00000000-0005-0000-0000-000086490000}"/>
    <cellStyle name="Normal 49 42" xfId="10206" xr:uid="{00000000-0005-0000-0000-000087490000}"/>
    <cellStyle name="Normal 49 42 2" xfId="22328" xr:uid="{00000000-0005-0000-0000-000088490000}"/>
    <cellStyle name="Normal 49 43" xfId="10207" xr:uid="{00000000-0005-0000-0000-000089490000}"/>
    <cellStyle name="Normal 49 43 2" xfId="22329" xr:uid="{00000000-0005-0000-0000-00008A490000}"/>
    <cellStyle name="Normal 49 44" xfId="10208" xr:uid="{00000000-0005-0000-0000-00008B490000}"/>
    <cellStyle name="Normal 49 44 2" xfId="22330" xr:uid="{00000000-0005-0000-0000-00008C490000}"/>
    <cellStyle name="Normal 49 45" xfId="10209" xr:uid="{00000000-0005-0000-0000-00008D490000}"/>
    <cellStyle name="Normal 49 45 2" xfId="22331" xr:uid="{00000000-0005-0000-0000-00008E490000}"/>
    <cellStyle name="Normal 49 46" xfId="10210" xr:uid="{00000000-0005-0000-0000-00008F490000}"/>
    <cellStyle name="Normal 49 46 2" xfId="22332" xr:uid="{00000000-0005-0000-0000-000090490000}"/>
    <cellStyle name="Normal 49 47" xfId="10211" xr:uid="{00000000-0005-0000-0000-000091490000}"/>
    <cellStyle name="Normal 49 47 2" xfId="22333" xr:uid="{00000000-0005-0000-0000-000092490000}"/>
    <cellStyle name="Normal 49 48" xfId="10212" xr:uid="{00000000-0005-0000-0000-000093490000}"/>
    <cellStyle name="Normal 49 48 2" xfId="22334" xr:uid="{00000000-0005-0000-0000-000094490000}"/>
    <cellStyle name="Normal 49 49" xfId="10213" xr:uid="{00000000-0005-0000-0000-000095490000}"/>
    <cellStyle name="Normal 49 49 2" xfId="22335" xr:uid="{00000000-0005-0000-0000-000096490000}"/>
    <cellStyle name="Normal 49 5" xfId="10214" xr:uid="{00000000-0005-0000-0000-000097490000}"/>
    <cellStyle name="Normal 49 5 2" xfId="22336" xr:uid="{00000000-0005-0000-0000-000098490000}"/>
    <cellStyle name="Normal 49 50" xfId="10215" xr:uid="{00000000-0005-0000-0000-000099490000}"/>
    <cellStyle name="Normal 49 50 2" xfId="22337" xr:uid="{00000000-0005-0000-0000-00009A490000}"/>
    <cellStyle name="Normal 49 51" xfId="10216" xr:uid="{00000000-0005-0000-0000-00009B490000}"/>
    <cellStyle name="Normal 49 51 2" xfId="22338" xr:uid="{00000000-0005-0000-0000-00009C490000}"/>
    <cellStyle name="Normal 49 52" xfId="10217" xr:uid="{00000000-0005-0000-0000-00009D490000}"/>
    <cellStyle name="Normal 49 52 2" xfId="22339" xr:uid="{00000000-0005-0000-0000-00009E490000}"/>
    <cellStyle name="Normal 49 53" xfId="10218" xr:uid="{00000000-0005-0000-0000-00009F490000}"/>
    <cellStyle name="Normal 49 53 2" xfId="22340" xr:uid="{00000000-0005-0000-0000-0000A0490000}"/>
    <cellStyle name="Normal 49 54" xfId="10219" xr:uid="{00000000-0005-0000-0000-0000A1490000}"/>
    <cellStyle name="Normal 49 54 2" xfId="22341" xr:uid="{00000000-0005-0000-0000-0000A2490000}"/>
    <cellStyle name="Normal 49 55" xfId="10220" xr:uid="{00000000-0005-0000-0000-0000A3490000}"/>
    <cellStyle name="Normal 49 55 2" xfId="22342" xr:uid="{00000000-0005-0000-0000-0000A4490000}"/>
    <cellStyle name="Normal 49 56" xfId="10221" xr:uid="{00000000-0005-0000-0000-0000A5490000}"/>
    <cellStyle name="Normal 49 56 2" xfId="22343" xr:uid="{00000000-0005-0000-0000-0000A6490000}"/>
    <cellStyle name="Normal 49 57" xfId="10222" xr:uid="{00000000-0005-0000-0000-0000A7490000}"/>
    <cellStyle name="Normal 49 57 2" xfId="22344" xr:uid="{00000000-0005-0000-0000-0000A8490000}"/>
    <cellStyle name="Normal 49 58" xfId="10223" xr:uid="{00000000-0005-0000-0000-0000A9490000}"/>
    <cellStyle name="Normal 49 58 2" xfId="22345" xr:uid="{00000000-0005-0000-0000-0000AA490000}"/>
    <cellStyle name="Normal 49 59" xfId="10224" xr:uid="{00000000-0005-0000-0000-0000AB490000}"/>
    <cellStyle name="Normal 49 59 2" xfId="22346" xr:uid="{00000000-0005-0000-0000-0000AC490000}"/>
    <cellStyle name="Normal 49 6" xfId="10225" xr:uid="{00000000-0005-0000-0000-0000AD490000}"/>
    <cellStyle name="Normal 49 6 2" xfId="22347" xr:uid="{00000000-0005-0000-0000-0000AE490000}"/>
    <cellStyle name="Normal 49 60" xfId="10226" xr:uid="{00000000-0005-0000-0000-0000AF490000}"/>
    <cellStyle name="Normal 49 60 2" xfId="22348" xr:uid="{00000000-0005-0000-0000-0000B0490000}"/>
    <cellStyle name="Normal 49 61" xfId="10227" xr:uid="{00000000-0005-0000-0000-0000B1490000}"/>
    <cellStyle name="Normal 49 61 2" xfId="22349" xr:uid="{00000000-0005-0000-0000-0000B2490000}"/>
    <cellStyle name="Normal 49 62" xfId="10228" xr:uid="{00000000-0005-0000-0000-0000B3490000}"/>
    <cellStyle name="Normal 49 62 2" xfId="22350" xr:uid="{00000000-0005-0000-0000-0000B4490000}"/>
    <cellStyle name="Normal 49 63" xfId="10229" xr:uid="{00000000-0005-0000-0000-0000B5490000}"/>
    <cellStyle name="Normal 49 63 2" xfId="22351" xr:uid="{00000000-0005-0000-0000-0000B6490000}"/>
    <cellStyle name="Normal 49 64" xfId="10230" xr:uid="{00000000-0005-0000-0000-0000B7490000}"/>
    <cellStyle name="Normal 49 64 2" xfId="22352" xr:uid="{00000000-0005-0000-0000-0000B8490000}"/>
    <cellStyle name="Normal 49 65" xfId="10231" xr:uid="{00000000-0005-0000-0000-0000B9490000}"/>
    <cellStyle name="Normal 49 65 2" xfId="22353" xr:uid="{00000000-0005-0000-0000-0000BA490000}"/>
    <cellStyle name="Normal 49 66" xfId="10232" xr:uid="{00000000-0005-0000-0000-0000BB490000}"/>
    <cellStyle name="Normal 49 66 2" xfId="22354" xr:uid="{00000000-0005-0000-0000-0000BC490000}"/>
    <cellStyle name="Normal 49 67" xfId="10233" xr:uid="{00000000-0005-0000-0000-0000BD490000}"/>
    <cellStyle name="Normal 49 67 2" xfId="22355" xr:uid="{00000000-0005-0000-0000-0000BE490000}"/>
    <cellStyle name="Normal 49 68" xfId="10234" xr:uid="{00000000-0005-0000-0000-0000BF490000}"/>
    <cellStyle name="Normal 49 68 2" xfId="22356" xr:uid="{00000000-0005-0000-0000-0000C0490000}"/>
    <cellStyle name="Normal 49 69" xfId="10235" xr:uid="{00000000-0005-0000-0000-0000C1490000}"/>
    <cellStyle name="Normal 49 69 2" xfId="22357" xr:uid="{00000000-0005-0000-0000-0000C2490000}"/>
    <cellStyle name="Normal 49 7" xfId="10236" xr:uid="{00000000-0005-0000-0000-0000C3490000}"/>
    <cellStyle name="Normal 49 7 2" xfId="22358" xr:uid="{00000000-0005-0000-0000-0000C4490000}"/>
    <cellStyle name="Normal 49 70" xfId="10237" xr:uid="{00000000-0005-0000-0000-0000C5490000}"/>
    <cellStyle name="Normal 49 70 2" xfId="22359" xr:uid="{00000000-0005-0000-0000-0000C6490000}"/>
    <cellStyle name="Normal 49 71" xfId="10238" xr:uid="{00000000-0005-0000-0000-0000C7490000}"/>
    <cellStyle name="Normal 49 71 2" xfId="22360" xr:uid="{00000000-0005-0000-0000-0000C8490000}"/>
    <cellStyle name="Normal 49 72" xfId="10239" xr:uid="{00000000-0005-0000-0000-0000C9490000}"/>
    <cellStyle name="Normal 49 72 2" xfId="22361" xr:uid="{00000000-0005-0000-0000-0000CA490000}"/>
    <cellStyle name="Normal 49 73" xfId="10240" xr:uid="{00000000-0005-0000-0000-0000CB490000}"/>
    <cellStyle name="Normal 49 73 2" xfId="22362" xr:uid="{00000000-0005-0000-0000-0000CC490000}"/>
    <cellStyle name="Normal 49 74" xfId="10241" xr:uid="{00000000-0005-0000-0000-0000CD490000}"/>
    <cellStyle name="Normal 49 74 2" xfId="22363" xr:uid="{00000000-0005-0000-0000-0000CE490000}"/>
    <cellStyle name="Normal 49 75" xfId="10242" xr:uid="{00000000-0005-0000-0000-0000CF490000}"/>
    <cellStyle name="Normal 49 75 2" xfId="22364" xr:uid="{00000000-0005-0000-0000-0000D0490000}"/>
    <cellStyle name="Normal 49 76" xfId="10243" xr:uid="{00000000-0005-0000-0000-0000D1490000}"/>
    <cellStyle name="Normal 49 76 2" xfId="22365" xr:uid="{00000000-0005-0000-0000-0000D2490000}"/>
    <cellStyle name="Normal 49 77" xfId="10244" xr:uid="{00000000-0005-0000-0000-0000D3490000}"/>
    <cellStyle name="Normal 49 77 2" xfId="22366" xr:uid="{00000000-0005-0000-0000-0000D4490000}"/>
    <cellStyle name="Normal 49 78" xfId="10245" xr:uid="{00000000-0005-0000-0000-0000D5490000}"/>
    <cellStyle name="Normal 49 78 2" xfId="22367" xr:uid="{00000000-0005-0000-0000-0000D6490000}"/>
    <cellStyle name="Normal 49 79" xfId="10246" xr:uid="{00000000-0005-0000-0000-0000D7490000}"/>
    <cellStyle name="Normal 49 79 2" xfId="22368" xr:uid="{00000000-0005-0000-0000-0000D8490000}"/>
    <cellStyle name="Normal 49 8" xfId="10247" xr:uid="{00000000-0005-0000-0000-0000D9490000}"/>
    <cellStyle name="Normal 49 8 2" xfId="22369" xr:uid="{00000000-0005-0000-0000-0000DA490000}"/>
    <cellStyle name="Normal 49 80" xfId="27361" xr:uid="{00000000-0005-0000-0000-0000DB490000}"/>
    <cellStyle name="Normal 49 81" xfId="10171" xr:uid="{00000000-0005-0000-0000-0000DC490000}"/>
    <cellStyle name="Normal 49 9" xfId="10248" xr:uid="{00000000-0005-0000-0000-0000DD490000}"/>
    <cellStyle name="Normal 49 9 2" xfId="22370" xr:uid="{00000000-0005-0000-0000-0000DE490000}"/>
    <cellStyle name="Normal 5" xfId="69" xr:uid="{00000000-0005-0000-0000-0000DF490000}"/>
    <cellStyle name="Normal 5 10" xfId="3173" xr:uid="{00000000-0005-0000-0000-0000E0490000}"/>
    <cellStyle name="Normal 5 10 2" xfId="15339" xr:uid="{00000000-0005-0000-0000-0000E1490000}"/>
    <cellStyle name="Normal 5 11" xfId="3174" xr:uid="{00000000-0005-0000-0000-0000E2490000}"/>
    <cellStyle name="Normal 5 11 2" xfId="15340" xr:uid="{00000000-0005-0000-0000-0000E3490000}"/>
    <cellStyle name="Normal 5 12" xfId="3175" xr:uid="{00000000-0005-0000-0000-0000E4490000}"/>
    <cellStyle name="Normal 5 12 2" xfId="15341" xr:uid="{00000000-0005-0000-0000-0000E5490000}"/>
    <cellStyle name="Normal 5 13" xfId="3176" xr:uid="{00000000-0005-0000-0000-0000E6490000}"/>
    <cellStyle name="Normal 5 13 2" xfId="15342" xr:uid="{00000000-0005-0000-0000-0000E7490000}"/>
    <cellStyle name="Normal 5 14" xfId="3177" xr:uid="{00000000-0005-0000-0000-0000E8490000}"/>
    <cellStyle name="Normal 5 14 2" xfId="15343" xr:uid="{00000000-0005-0000-0000-0000E9490000}"/>
    <cellStyle name="Normal 5 15" xfId="10249" xr:uid="{00000000-0005-0000-0000-0000EA490000}"/>
    <cellStyle name="Normal 5 15 2" xfId="22371" xr:uid="{00000000-0005-0000-0000-0000EB490000}"/>
    <cellStyle name="Normal 5 16" xfId="10250" xr:uid="{00000000-0005-0000-0000-0000EC490000}"/>
    <cellStyle name="Normal 5 16 2" xfId="22372" xr:uid="{00000000-0005-0000-0000-0000ED490000}"/>
    <cellStyle name="Normal 5 17" xfId="10251" xr:uid="{00000000-0005-0000-0000-0000EE490000}"/>
    <cellStyle name="Normal 5 17 2" xfId="22373" xr:uid="{00000000-0005-0000-0000-0000EF490000}"/>
    <cellStyle name="Normal 5 18" xfId="10252" xr:uid="{00000000-0005-0000-0000-0000F0490000}"/>
    <cellStyle name="Normal 5 18 2" xfId="22374" xr:uid="{00000000-0005-0000-0000-0000F1490000}"/>
    <cellStyle name="Normal 5 19" xfId="95" xr:uid="{00000000-0005-0000-0000-0000F2490000}"/>
    <cellStyle name="Normal 5 19 2" xfId="22375" xr:uid="{00000000-0005-0000-0000-0000F3490000}"/>
    <cellStyle name="Normal 5 2" xfId="98" xr:uid="{00000000-0005-0000-0000-0000F4490000}"/>
    <cellStyle name="Normal 5 2 10" xfId="10253" xr:uid="{00000000-0005-0000-0000-0000F5490000}"/>
    <cellStyle name="Normal 5 2 10 2" xfId="22376" xr:uid="{00000000-0005-0000-0000-0000F6490000}"/>
    <cellStyle name="Normal 5 2 11" xfId="10254" xr:uid="{00000000-0005-0000-0000-0000F7490000}"/>
    <cellStyle name="Normal 5 2 11 2" xfId="22377" xr:uid="{00000000-0005-0000-0000-0000F8490000}"/>
    <cellStyle name="Normal 5 2 12" xfId="10255" xr:uid="{00000000-0005-0000-0000-0000F9490000}"/>
    <cellStyle name="Normal 5 2 12 2" xfId="22378" xr:uid="{00000000-0005-0000-0000-0000FA490000}"/>
    <cellStyle name="Normal 5 2 13" xfId="10256" xr:uid="{00000000-0005-0000-0000-0000FB490000}"/>
    <cellStyle name="Normal 5 2 13 2" xfId="22379" xr:uid="{00000000-0005-0000-0000-0000FC490000}"/>
    <cellStyle name="Normal 5 2 14" xfId="10257" xr:uid="{00000000-0005-0000-0000-0000FD490000}"/>
    <cellStyle name="Normal 5 2 14 2" xfId="22380" xr:uid="{00000000-0005-0000-0000-0000FE490000}"/>
    <cellStyle name="Normal 5 2 15" xfId="10258" xr:uid="{00000000-0005-0000-0000-0000FF490000}"/>
    <cellStyle name="Normal 5 2 15 2" xfId="22381" xr:uid="{00000000-0005-0000-0000-0000004A0000}"/>
    <cellStyle name="Normal 5 2 16" xfId="10259" xr:uid="{00000000-0005-0000-0000-0000014A0000}"/>
    <cellStyle name="Normal 5 2 16 2" xfId="22382" xr:uid="{00000000-0005-0000-0000-0000024A0000}"/>
    <cellStyle name="Normal 5 2 17" xfId="10260" xr:uid="{00000000-0005-0000-0000-0000034A0000}"/>
    <cellStyle name="Normal 5 2 17 2" xfId="22383" xr:uid="{00000000-0005-0000-0000-0000044A0000}"/>
    <cellStyle name="Normal 5 2 18" xfId="10261" xr:uid="{00000000-0005-0000-0000-0000054A0000}"/>
    <cellStyle name="Normal 5 2 18 2" xfId="22384" xr:uid="{00000000-0005-0000-0000-0000064A0000}"/>
    <cellStyle name="Normal 5 2 19" xfId="10262" xr:uid="{00000000-0005-0000-0000-0000074A0000}"/>
    <cellStyle name="Normal 5 2 19 2" xfId="22385" xr:uid="{00000000-0005-0000-0000-0000084A0000}"/>
    <cellStyle name="Normal 5 2 2" xfId="3319" xr:uid="{00000000-0005-0000-0000-0000094A0000}"/>
    <cellStyle name="Normal 5 2 2 2" xfId="15354" xr:uid="{00000000-0005-0000-0000-00000A4A0000}"/>
    <cellStyle name="Normal 5 2 20" xfId="10263" xr:uid="{00000000-0005-0000-0000-00000B4A0000}"/>
    <cellStyle name="Normal 5 2 20 2" xfId="22386" xr:uid="{00000000-0005-0000-0000-00000C4A0000}"/>
    <cellStyle name="Normal 5 2 21" xfId="10264" xr:uid="{00000000-0005-0000-0000-00000D4A0000}"/>
    <cellStyle name="Normal 5 2 21 2" xfId="22387" xr:uid="{00000000-0005-0000-0000-00000E4A0000}"/>
    <cellStyle name="Normal 5 2 22" xfId="10265" xr:uid="{00000000-0005-0000-0000-00000F4A0000}"/>
    <cellStyle name="Normal 5 2 22 2" xfId="22388" xr:uid="{00000000-0005-0000-0000-0000104A0000}"/>
    <cellStyle name="Normal 5 2 23" xfId="10266" xr:uid="{00000000-0005-0000-0000-0000114A0000}"/>
    <cellStyle name="Normal 5 2 23 2" xfId="22389" xr:uid="{00000000-0005-0000-0000-0000124A0000}"/>
    <cellStyle name="Normal 5 2 24" xfId="10267" xr:uid="{00000000-0005-0000-0000-0000134A0000}"/>
    <cellStyle name="Normal 5 2 24 2" xfId="22390" xr:uid="{00000000-0005-0000-0000-0000144A0000}"/>
    <cellStyle name="Normal 5 2 25" xfId="10268" xr:uid="{00000000-0005-0000-0000-0000154A0000}"/>
    <cellStyle name="Normal 5 2 25 2" xfId="22391" xr:uid="{00000000-0005-0000-0000-0000164A0000}"/>
    <cellStyle name="Normal 5 2 26" xfId="10269" xr:uid="{00000000-0005-0000-0000-0000174A0000}"/>
    <cellStyle name="Normal 5 2 26 2" xfId="22392" xr:uid="{00000000-0005-0000-0000-0000184A0000}"/>
    <cellStyle name="Normal 5 2 27" xfId="10270" xr:uid="{00000000-0005-0000-0000-0000194A0000}"/>
    <cellStyle name="Normal 5 2 27 2" xfId="22393" xr:uid="{00000000-0005-0000-0000-00001A4A0000}"/>
    <cellStyle name="Normal 5 2 28" xfId="10271" xr:uid="{00000000-0005-0000-0000-00001B4A0000}"/>
    <cellStyle name="Normal 5 2 28 2" xfId="22394" xr:uid="{00000000-0005-0000-0000-00001C4A0000}"/>
    <cellStyle name="Normal 5 2 29" xfId="10272" xr:uid="{00000000-0005-0000-0000-00001D4A0000}"/>
    <cellStyle name="Normal 5 2 29 2" xfId="22395" xr:uid="{00000000-0005-0000-0000-00001E4A0000}"/>
    <cellStyle name="Normal 5 2 3" xfId="10273" xr:uid="{00000000-0005-0000-0000-00001F4A0000}"/>
    <cellStyle name="Normal 5 2 3 2" xfId="22396" xr:uid="{00000000-0005-0000-0000-0000204A0000}"/>
    <cellStyle name="Normal 5 2 30" xfId="10274" xr:uid="{00000000-0005-0000-0000-0000214A0000}"/>
    <cellStyle name="Normal 5 2 30 2" xfId="22397" xr:uid="{00000000-0005-0000-0000-0000224A0000}"/>
    <cellStyle name="Normal 5 2 31" xfId="10275" xr:uid="{00000000-0005-0000-0000-0000234A0000}"/>
    <cellStyle name="Normal 5 2 31 2" xfId="22398" xr:uid="{00000000-0005-0000-0000-0000244A0000}"/>
    <cellStyle name="Normal 5 2 32" xfId="10276" xr:uid="{00000000-0005-0000-0000-0000254A0000}"/>
    <cellStyle name="Normal 5 2 32 2" xfId="22399" xr:uid="{00000000-0005-0000-0000-0000264A0000}"/>
    <cellStyle name="Normal 5 2 33" xfId="10277" xr:uid="{00000000-0005-0000-0000-0000274A0000}"/>
    <cellStyle name="Normal 5 2 33 2" xfId="22400" xr:uid="{00000000-0005-0000-0000-0000284A0000}"/>
    <cellStyle name="Normal 5 2 34" xfId="10278" xr:uid="{00000000-0005-0000-0000-0000294A0000}"/>
    <cellStyle name="Normal 5 2 34 2" xfId="22401" xr:uid="{00000000-0005-0000-0000-00002A4A0000}"/>
    <cellStyle name="Normal 5 2 35" xfId="10279" xr:uid="{00000000-0005-0000-0000-00002B4A0000}"/>
    <cellStyle name="Normal 5 2 35 2" xfId="22402" xr:uid="{00000000-0005-0000-0000-00002C4A0000}"/>
    <cellStyle name="Normal 5 2 36" xfId="10280" xr:uid="{00000000-0005-0000-0000-00002D4A0000}"/>
    <cellStyle name="Normal 5 2 36 2" xfId="22403" xr:uid="{00000000-0005-0000-0000-00002E4A0000}"/>
    <cellStyle name="Normal 5 2 37" xfId="10281" xr:uid="{00000000-0005-0000-0000-00002F4A0000}"/>
    <cellStyle name="Normal 5 2 37 2" xfId="22404" xr:uid="{00000000-0005-0000-0000-0000304A0000}"/>
    <cellStyle name="Normal 5 2 38" xfId="10282" xr:uid="{00000000-0005-0000-0000-0000314A0000}"/>
    <cellStyle name="Normal 5 2 38 2" xfId="22405" xr:uid="{00000000-0005-0000-0000-0000324A0000}"/>
    <cellStyle name="Normal 5 2 39" xfId="10283" xr:uid="{00000000-0005-0000-0000-0000334A0000}"/>
    <cellStyle name="Normal 5 2 39 2" xfId="22406" xr:uid="{00000000-0005-0000-0000-0000344A0000}"/>
    <cellStyle name="Normal 5 2 4" xfId="10284" xr:uid="{00000000-0005-0000-0000-0000354A0000}"/>
    <cellStyle name="Normal 5 2 4 2" xfId="22407" xr:uid="{00000000-0005-0000-0000-0000364A0000}"/>
    <cellStyle name="Normal 5 2 40" xfId="10285" xr:uid="{00000000-0005-0000-0000-0000374A0000}"/>
    <cellStyle name="Normal 5 2 40 2" xfId="22408" xr:uid="{00000000-0005-0000-0000-0000384A0000}"/>
    <cellStyle name="Normal 5 2 41" xfId="10286" xr:uid="{00000000-0005-0000-0000-0000394A0000}"/>
    <cellStyle name="Normal 5 2 41 2" xfId="22409" xr:uid="{00000000-0005-0000-0000-00003A4A0000}"/>
    <cellStyle name="Normal 5 2 42" xfId="10287" xr:uid="{00000000-0005-0000-0000-00003B4A0000}"/>
    <cellStyle name="Normal 5 2 42 2" xfId="22410" xr:uid="{00000000-0005-0000-0000-00003C4A0000}"/>
    <cellStyle name="Normal 5 2 43" xfId="10288" xr:uid="{00000000-0005-0000-0000-00003D4A0000}"/>
    <cellStyle name="Normal 5 2 43 2" xfId="22411" xr:uid="{00000000-0005-0000-0000-00003E4A0000}"/>
    <cellStyle name="Normal 5 2 44" xfId="10289" xr:uid="{00000000-0005-0000-0000-00003F4A0000}"/>
    <cellStyle name="Normal 5 2 44 2" xfId="22412" xr:uid="{00000000-0005-0000-0000-0000404A0000}"/>
    <cellStyle name="Normal 5 2 45" xfId="10290" xr:uid="{00000000-0005-0000-0000-0000414A0000}"/>
    <cellStyle name="Normal 5 2 45 2" xfId="22413" xr:uid="{00000000-0005-0000-0000-0000424A0000}"/>
    <cellStyle name="Normal 5 2 46" xfId="10291" xr:uid="{00000000-0005-0000-0000-0000434A0000}"/>
    <cellStyle name="Normal 5 2 46 2" xfId="22414" xr:uid="{00000000-0005-0000-0000-0000444A0000}"/>
    <cellStyle name="Normal 5 2 47" xfId="10292" xr:uid="{00000000-0005-0000-0000-0000454A0000}"/>
    <cellStyle name="Normal 5 2 47 2" xfId="22415" xr:uid="{00000000-0005-0000-0000-0000464A0000}"/>
    <cellStyle name="Normal 5 2 48" xfId="10293" xr:uid="{00000000-0005-0000-0000-0000474A0000}"/>
    <cellStyle name="Normal 5 2 48 2" xfId="22416" xr:uid="{00000000-0005-0000-0000-0000484A0000}"/>
    <cellStyle name="Normal 5 2 49" xfId="10294" xr:uid="{00000000-0005-0000-0000-0000494A0000}"/>
    <cellStyle name="Normal 5 2 49 2" xfId="22417" xr:uid="{00000000-0005-0000-0000-00004A4A0000}"/>
    <cellStyle name="Normal 5 2 5" xfId="10295" xr:uid="{00000000-0005-0000-0000-00004B4A0000}"/>
    <cellStyle name="Normal 5 2 5 2" xfId="22418" xr:uid="{00000000-0005-0000-0000-00004C4A0000}"/>
    <cellStyle name="Normal 5 2 50" xfId="10296" xr:uid="{00000000-0005-0000-0000-00004D4A0000}"/>
    <cellStyle name="Normal 5 2 50 2" xfId="22419" xr:uid="{00000000-0005-0000-0000-00004E4A0000}"/>
    <cellStyle name="Normal 5 2 51" xfId="10297" xr:uid="{00000000-0005-0000-0000-00004F4A0000}"/>
    <cellStyle name="Normal 5 2 51 2" xfId="22420" xr:uid="{00000000-0005-0000-0000-0000504A0000}"/>
    <cellStyle name="Normal 5 2 52" xfId="10298" xr:uid="{00000000-0005-0000-0000-0000514A0000}"/>
    <cellStyle name="Normal 5 2 52 2" xfId="22421" xr:uid="{00000000-0005-0000-0000-0000524A0000}"/>
    <cellStyle name="Normal 5 2 53" xfId="10299" xr:uid="{00000000-0005-0000-0000-0000534A0000}"/>
    <cellStyle name="Normal 5 2 53 2" xfId="22422" xr:uid="{00000000-0005-0000-0000-0000544A0000}"/>
    <cellStyle name="Normal 5 2 54" xfId="10300" xr:uid="{00000000-0005-0000-0000-0000554A0000}"/>
    <cellStyle name="Normal 5 2 54 2" xfId="22423" xr:uid="{00000000-0005-0000-0000-0000564A0000}"/>
    <cellStyle name="Normal 5 2 55" xfId="10301" xr:uid="{00000000-0005-0000-0000-0000574A0000}"/>
    <cellStyle name="Normal 5 2 55 2" xfId="22424" xr:uid="{00000000-0005-0000-0000-0000584A0000}"/>
    <cellStyle name="Normal 5 2 56" xfId="10302" xr:uid="{00000000-0005-0000-0000-0000594A0000}"/>
    <cellStyle name="Normal 5 2 56 2" xfId="22425" xr:uid="{00000000-0005-0000-0000-00005A4A0000}"/>
    <cellStyle name="Normal 5 2 57" xfId="10303" xr:uid="{00000000-0005-0000-0000-00005B4A0000}"/>
    <cellStyle name="Normal 5 2 57 2" xfId="22426" xr:uid="{00000000-0005-0000-0000-00005C4A0000}"/>
    <cellStyle name="Normal 5 2 58" xfId="10304" xr:uid="{00000000-0005-0000-0000-00005D4A0000}"/>
    <cellStyle name="Normal 5 2 58 2" xfId="22427" xr:uid="{00000000-0005-0000-0000-00005E4A0000}"/>
    <cellStyle name="Normal 5 2 59" xfId="10305" xr:uid="{00000000-0005-0000-0000-00005F4A0000}"/>
    <cellStyle name="Normal 5 2 59 2" xfId="22428" xr:uid="{00000000-0005-0000-0000-0000604A0000}"/>
    <cellStyle name="Normal 5 2 6" xfId="10306" xr:uid="{00000000-0005-0000-0000-0000614A0000}"/>
    <cellStyle name="Normal 5 2 6 2" xfId="22429" xr:uid="{00000000-0005-0000-0000-0000624A0000}"/>
    <cellStyle name="Normal 5 2 60" xfId="10307" xr:uid="{00000000-0005-0000-0000-0000634A0000}"/>
    <cellStyle name="Normal 5 2 60 2" xfId="22430" xr:uid="{00000000-0005-0000-0000-0000644A0000}"/>
    <cellStyle name="Normal 5 2 61" xfId="10308" xr:uid="{00000000-0005-0000-0000-0000654A0000}"/>
    <cellStyle name="Normal 5 2 61 2" xfId="22431" xr:uid="{00000000-0005-0000-0000-0000664A0000}"/>
    <cellStyle name="Normal 5 2 62" xfId="10309" xr:uid="{00000000-0005-0000-0000-0000674A0000}"/>
    <cellStyle name="Normal 5 2 62 2" xfId="22432" xr:uid="{00000000-0005-0000-0000-0000684A0000}"/>
    <cellStyle name="Normal 5 2 63" xfId="10310" xr:uid="{00000000-0005-0000-0000-0000694A0000}"/>
    <cellStyle name="Normal 5 2 63 2" xfId="22433" xr:uid="{00000000-0005-0000-0000-00006A4A0000}"/>
    <cellStyle name="Normal 5 2 64" xfId="10311" xr:uid="{00000000-0005-0000-0000-00006B4A0000}"/>
    <cellStyle name="Normal 5 2 64 2" xfId="22434" xr:uid="{00000000-0005-0000-0000-00006C4A0000}"/>
    <cellStyle name="Normal 5 2 65" xfId="10312" xr:uid="{00000000-0005-0000-0000-00006D4A0000}"/>
    <cellStyle name="Normal 5 2 65 2" xfId="22435" xr:uid="{00000000-0005-0000-0000-00006E4A0000}"/>
    <cellStyle name="Normal 5 2 66" xfId="10313" xr:uid="{00000000-0005-0000-0000-00006F4A0000}"/>
    <cellStyle name="Normal 5 2 66 2" xfId="22436" xr:uid="{00000000-0005-0000-0000-0000704A0000}"/>
    <cellStyle name="Normal 5 2 67" xfId="10314" xr:uid="{00000000-0005-0000-0000-0000714A0000}"/>
    <cellStyle name="Normal 5 2 67 2" xfId="22437" xr:uid="{00000000-0005-0000-0000-0000724A0000}"/>
    <cellStyle name="Normal 5 2 68" xfId="10315" xr:uid="{00000000-0005-0000-0000-0000734A0000}"/>
    <cellStyle name="Normal 5 2 68 2" xfId="22438" xr:uid="{00000000-0005-0000-0000-0000744A0000}"/>
    <cellStyle name="Normal 5 2 69" xfId="10316" xr:uid="{00000000-0005-0000-0000-0000754A0000}"/>
    <cellStyle name="Normal 5 2 69 2" xfId="22439" xr:uid="{00000000-0005-0000-0000-0000764A0000}"/>
    <cellStyle name="Normal 5 2 7" xfId="10317" xr:uid="{00000000-0005-0000-0000-0000774A0000}"/>
    <cellStyle name="Normal 5 2 7 2" xfId="22440" xr:uid="{00000000-0005-0000-0000-0000784A0000}"/>
    <cellStyle name="Normal 5 2 70" xfId="10318" xr:uid="{00000000-0005-0000-0000-0000794A0000}"/>
    <cellStyle name="Normal 5 2 70 2" xfId="22441" xr:uid="{00000000-0005-0000-0000-00007A4A0000}"/>
    <cellStyle name="Normal 5 2 71" xfId="10319" xr:uid="{00000000-0005-0000-0000-00007B4A0000}"/>
    <cellStyle name="Normal 5 2 71 2" xfId="22442" xr:uid="{00000000-0005-0000-0000-00007C4A0000}"/>
    <cellStyle name="Normal 5 2 72" xfId="10320" xr:uid="{00000000-0005-0000-0000-00007D4A0000}"/>
    <cellStyle name="Normal 5 2 72 2" xfId="22443" xr:uid="{00000000-0005-0000-0000-00007E4A0000}"/>
    <cellStyle name="Normal 5 2 73" xfId="10321" xr:uid="{00000000-0005-0000-0000-00007F4A0000}"/>
    <cellStyle name="Normal 5 2 73 2" xfId="22444" xr:uid="{00000000-0005-0000-0000-0000804A0000}"/>
    <cellStyle name="Normal 5 2 74" xfId="10322" xr:uid="{00000000-0005-0000-0000-0000814A0000}"/>
    <cellStyle name="Normal 5 2 74 2" xfId="22445" xr:uid="{00000000-0005-0000-0000-0000824A0000}"/>
    <cellStyle name="Normal 5 2 75" xfId="10323" xr:uid="{00000000-0005-0000-0000-0000834A0000}"/>
    <cellStyle name="Normal 5 2 75 2" xfId="22446" xr:uid="{00000000-0005-0000-0000-0000844A0000}"/>
    <cellStyle name="Normal 5 2 76" xfId="10324" xr:uid="{00000000-0005-0000-0000-0000854A0000}"/>
    <cellStyle name="Normal 5 2 76 2" xfId="22447" xr:uid="{00000000-0005-0000-0000-0000864A0000}"/>
    <cellStyle name="Normal 5 2 77" xfId="10325" xr:uid="{00000000-0005-0000-0000-0000874A0000}"/>
    <cellStyle name="Normal 5 2 77 2" xfId="22448" xr:uid="{00000000-0005-0000-0000-0000884A0000}"/>
    <cellStyle name="Normal 5 2 78" xfId="10326" xr:uid="{00000000-0005-0000-0000-0000894A0000}"/>
    <cellStyle name="Normal 5 2 78 2" xfId="22449" xr:uid="{00000000-0005-0000-0000-00008A4A0000}"/>
    <cellStyle name="Normal 5 2 79" xfId="10327" xr:uid="{00000000-0005-0000-0000-00008B4A0000}"/>
    <cellStyle name="Normal 5 2 79 2" xfId="22450" xr:uid="{00000000-0005-0000-0000-00008C4A0000}"/>
    <cellStyle name="Normal 5 2 8" xfId="10328" xr:uid="{00000000-0005-0000-0000-00008D4A0000}"/>
    <cellStyle name="Normal 5 2 8 2" xfId="22451" xr:uid="{00000000-0005-0000-0000-00008E4A0000}"/>
    <cellStyle name="Normal 5 2 80" xfId="15344" xr:uid="{00000000-0005-0000-0000-00008F4A0000}"/>
    <cellStyle name="Normal 5 2 81" xfId="3178" xr:uid="{00000000-0005-0000-0000-0000904A0000}"/>
    <cellStyle name="Normal 5 2 9" xfId="10329" xr:uid="{00000000-0005-0000-0000-0000914A0000}"/>
    <cellStyle name="Normal 5 2 9 2" xfId="22452" xr:uid="{00000000-0005-0000-0000-0000924A0000}"/>
    <cellStyle name="Normal 5 20" xfId="10330" xr:uid="{00000000-0005-0000-0000-0000934A0000}"/>
    <cellStyle name="Normal 5 20 2" xfId="22453" xr:uid="{00000000-0005-0000-0000-0000944A0000}"/>
    <cellStyle name="Normal 5 21" xfId="10331" xr:uid="{00000000-0005-0000-0000-0000954A0000}"/>
    <cellStyle name="Normal 5 21 2" xfId="22454" xr:uid="{00000000-0005-0000-0000-0000964A0000}"/>
    <cellStyle name="Normal 5 22" xfId="10332" xr:uid="{00000000-0005-0000-0000-0000974A0000}"/>
    <cellStyle name="Normal 5 22 2" xfId="22455" xr:uid="{00000000-0005-0000-0000-0000984A0000}"/>
    <cellStyle name="Normal 5 23" xfId="10333" xr:uid="{00000000-0005-0000-0000-0000994A0000}"/>
    <cellStyle name="Normal 5 23 2" xfId="22456" xr:uid="{00000000-0005-0000-0000-00009A4A0000}"/>
    <cellStyle name="Normal 5 24" xfId="10334" xr:uid="{00000000-0005-0000-0000-00009B4A0000}"/>
    <cellStyle name="Normal 5 24 2" xfId="22457" xr:uid="{00000000-0005-0000-0000-00009C4A0000}"/>
    <cellStyle name="Normal 5 25" xfId="10335" xr:uid="{00000000-0005-0000-0000-00009D4A0000}"/>
    <cellStyle name="Normal 5 25 2" xfId="22458" xr:uid="{00000000-0005-0000-0000-00009E4A0000}"/>
    <cellStyle name="Normal 5 26" xfId="10336" xr:uid="{00000000-0005-0000-0000-00009F4A0000}"/>
    <cellStyle name="Normal 5 26 2" xfId="22459" xr:uid="{00000000-0005-0000-0000-0000A04A0000}"/>
    <cellStyle name="Normal 5 27" xfId="10337" xr:uid="{00000000-0005-0000-0000-0000A14A0000}"/>
    <cellStyle name="Normal 5 27 2" xfId="22460" xr:uid="{00000000-0005-0000-0000-0000A24A0000}"/>
    <cellStyle name="Normal 5 28" xfId="10338" xr:uid="{00000000-0005-0000-0000-0000A34A0000}"/>
    <cellStyle name="Normal 5 28 2" xfId="22461" xr:uid="{00000000-0005-0000-0000-0000A44A0000}"/>
    <cellStyle name="Normal 5 29" xfId="10339" xr:uid="{00000000-0005-0000-0000-0000A54A0000}"/>
    <cellStyle name="Normal 5 29 2" xfId="22462" xr:uid="{00000000-0005-0000-0000-0000A64A0000}"/>
    <cellStyle name="Normal 5 3" xfId="111" xr:uid="{00000000-0005-0000-0000-0000A74A0000}"/>
    <cellStyle name="Normal 5 3 10" xfId="10340" xr:uid="{00000000-0005-0000-0000-0000A84A0000}"/>
    <cellStyle name="Normal 5 3 10 2" xfId="22463" xr:uid="{00000000-0005-0000-0000-0000A94A0000}"/>
    <cellStyle name="Normal 5 3 11" xfId="10341" xr:uid="{00000000-0005-0000-0000-0000AA4A0000}"/>
    <cellStyle name="Normal 5 3 11 2" xfId="22464" xr:uid="{00000000-0005-0000-0000-0000AB4A0000}"/>
    <cellStyle name="Normal 5 3 12" xfId="10342" xr:uid="{00000000-0005-0000-0000-0000AC4A0000}"/>
    <cellStyle name="Normal 5 3 12 2" xfId="22465" xr:uid="{00000000-0005-0000-0000-0000AD4A0000}"/>
    <cellStyle name="Normal 5 3 13" xfId="10343" xr:uid="{00000000-0005-0000-0000-0000AE4A0000}"/>
    <cellStyle name="Normal 5 3 13 2" xfId="22466" xr:uid="{00000000-0005-0000-0000-0000AF4A0000}"/>
    <cellStyle name="Normal 5 3 14" xfId="10344" xr:uid="{00000000-0005-0000-0000-0000B04A0000}"/>
    <cellStyle name="Normal 5 3 14 2" xfId="22467" xr:uid="{00000000-0005-0000-0000-0000B14A0000}"/>
    <cellStyle name="Normal 5 3 15" xfId="10345" xr:uid="{00000000-0005-0000-0000-0000B24A0000}"/>
    <cellStyle name="Normal 5 3 15 2" xfId="22468" xr:uid="{00000000-0005-0000-0000-0000B34A0000}"/>
    <cellStyle name="Normal 5 3 16" xfId="10346" xr:uid="{00000000-0005-0000-0000-0000B44A0000}"/>
    <cellStyle name="Normal 5 3 16 2" xfId="22469" xr:uid="{00000000-0005-0000-0000-0000B54A0000}"/>
    <cellStyle name="Normal 5 3 17" xfId="10347" xr:uid="{00000000-0005-0000-0000-0000B64A0000}"/>
    <cellStyle name="Normal 5 3 17 2" xfId="22470" xr:uid="{00000000-0005-0000-0000-0000B74A0000}"/>
    <cellStyle name="Normal 5 3 18" xfId="10348" xr:uid="{00000000-0005-0000-0000-0000B84A0000}"/>
    <cellStyle name="Normal 5 3 18 2" xfId="22471" xr:uid="{00000000-0005-0000-0000-0000B94A0000}"/>
    <cellStyle name="Normal 5 3 19" xfId="10349" xr:uid="{00000000-0005-0000-0000-0000BA4A0000}"/>
    <cellStyle name="Normal 5 3 19 2" xfId="22472" xr:uid="{00000000-0005-0000-0000-0000BB4A0000}"/>
    <cellStyle name="Normal 5 3 2" xfId="10350" xr:uid="{00000000-0005-0000-0000-0000BC4A0000}"/>
    <cellStyle name="Normal 5 3 2 2" xfId="22473" xr:uid="{00000000-0005-0000-0000-0000BD4A0000}"/>
    <cellStyle name="Normal 5 3 20" xfId="10351" xr:uid="{00000000-0005-0000-0000-0000BE4A0000}"/>
    <cellStyle name="Normal 5 3 20 2" xfId="22474" xr:uid="{00000000-0005-0000-0000-0000BF4A0000}"/>
    <cellStyle name="Normal 5 3 21" xfId="10352" xr:uid="{00000000-0005-0000-0000-0000C04A0000}"/>
    <cellStyle name="Normal 5 3 21 2" xfId="22475" xr:uid="{00000000-0005-0000-0000-0000C14A0000}"/>
    <cellStyle name="Normal 5 3 22" xfId="10353" xr:uid="{00000000-0005-0000-0000-0000C24A0000}"/>
    <cellStyle name="Normal 5 3 22 2" xfId="22476" xr:uid="{00000000-0005-0000-0000-0000C34A0000}"/>
    <cellStyle name="Normal 5 3 23" xfId="10354" xr:uid="{00000000-0005-0000-0000-0000C44A0000}"/>
    <cellStyle name="Normal 5 3 23 2" xfId="22477" xr:uid="{00000000-0005-0000-0000-0000C54A0000}"/>
    <cellStyle name="Normal 5 3 24" xfId="10355" xr:uid="{00000000-0005-0000-0000-0000C64A0000}"/>
    <cellStyle name="Normal 5 3 24 2" xfId="22478" xr:uid="{00000000-0005-0000-0000-0000C74A0000}"/>
    <cellStyle name="Normal 5 3 25" xfId="10356" xr:uid="{00000000-0005-0000-0000-0000C84A0000}"/>
    <cellStyle name="Normal 5 3 25 2" xfId="22479" xr:uid="{00000000-0005-0000-0000-0000C94A0000}"/>
    <cellStyle name="Normal 5 3 26" xfId="10357" xr:uid="{00000000-0005-0000-0000-0000CA4A0000}"/>
    <cellStyle name="Normal 5 3 26 2" xfId="22480" xr:uid="{00000000-0005-0000-0000-0000CB4A0000}"/>
    <cellStyle name="Normal 5 3 27" xfId="10358" xr:uid="{00000000-0005-0000-0000-0000CC4A0000}"/>
    <cellStyle name="Normal 5 3 27 2" xfId="22481" xr:uid="{00000000-0005-0000-0000-0000CD4A0000}"/>
    <cellStyle name="Normal 5 3 28" xfId="10359" xr:uid="{00000000-0005-0000-0000-0000CE4A0000}"/>
    <cellStyle name="Normal 5 3 28 2" xfId="22482" xr:uid="{00000000-0005-0000-0000-0000CF4A0000}"/>
    <cellStyle name="Normal 5 3 29" xfId="10360" xr:uid="{00000000-0005-0000-0000-0000D04A0000}"/>
    <cellStyle name="Normal 5 3 29 2" xfId="22483" xr:uid="{00000000-0005-0000-0000-0000D14A0000}"/>
    <cellStyle name="Normal 5 3 3" xfId="10361" xr:uid="{00000000-0005-0000-0000-0000D24A0000}"/>
    <cellStyle name="Normal 5 3 3 2" xfId="22484" xr:uid="{00000000-0005-0000-0000-0000D34A0000}"/>
    <cellStyle name="Normal 5 3 30" xfId="10362" xr:uid="{00000000-0005-0000-0000-0000D44A0000}"/>
    <cellStyle name="Normal 5 3 30 2" xfId="22485" xr:uid="{00000000-0005-0000-0000-0000D54A0000}"/>
    <cellStyle name="Normal 5 3 31" xfId="10363" xr:uid="{00000000-0005-0000-0000-0000D64A0000}"/>
    <cellStyle name="Normal 5 3 31 2" xfId="22486" xr:uid="{00000000-0005-0000-0000-0000D74A0000}"/>
    <cellStyle name="Normal 5 3 32" xfId="10364" xr:uid="{00000000-0005-0000-0000-0000D84A0000}"/>
    <cellStyle name="Normal 5 3 32 2" xfId="22487" xr:uid="{00000000-0005-0000-0000-0000D94A0000}"/>
    <cellStyle name="Normal 5 3 33" xfId="10365" xr:uid="{00000000-0005-0000-0000-0000DA4A0000}"/>
    <cellStyle name="Normal 5 3 33 2" xfId="22488" xr:uid="{00000000-0005-0000-0000-0000DB4A0000}"/>
    <cellStyle name="Normal 5 3 34" xfId="10366" xr:uid="{00000000-0005-0000-0000-0000DC4A0000}"/>
    <cellStyle name="Normal 5 3 34 2" xfId="22489" xr:uid="{00000000-0005-0000-0000-0000DD4A0000}"/>
    <cellStyle name="Normal 5 3 35" xfId="10367" xr:uid="{00000000-0005-0000-0000-0000DE4A0000}"/>
    <cellStyle name="Normal 5 3 35 2" xfId="22490" xr:uid="{00000000-0005-0000-0000-0000DF4A0000}"/>
    <cellStyle name="Normal 5 3 36" xfId="10368" xr:uid="{00000000-0005-0000-0000-0000E04A0000}"/>
    <cellStyle name="Normal 5 3 36 2" xfId="22491" xr:uid="{00000000-0005-0000-0000-0000E14A0000}"/>
    <cellStyle name="Normal 5 3 37" xfId="10369" xr:uid="{00000000-0005-0000-0000-0000E24A0000}"/>
    <cellStyle name="Normal 5 3 37 2" xfId="22492" xr:uid="{00000000-0005-0000-0000-0000E34A0000}"/>
    <cellStyle name="Normal 5 3 38" xfId="10370" xr:uid="{00000000-0005-0000-0000-0000E44A0000}"/>
    <cellStyle name="Normal 5 3 38 2" xfId="22493" xr:uid="{00000000-0005-0000-0000-0000E54A0000}"/>
    <cellStyle name="Normal 5 3 39" xfId="10371" xr:uid="{00000000-0005-0000-0000-0000E64A0000}"/>
    <cellStyle name="Normal 5 3 39 2" xfId="22494" xr:uid="{00000000-0005-0000-0000-0000E74A0000}"/>
    <cellStyle name="Normal 5 3 4" xfId="10372" xr:uid="{00000000-0005-0000-0000-0000E84A0000}"/>
    <cellStyle name="Normal 5 3 4 2" xfId="22495" xr:uid="{00000000-0005-0000-0000-0000E94A0000}"/>
    <cellStyle name="Normal 5 3 40" xfId="10373" xr:uid="{00000000-0005-0000-0000-0000EA4A0000}"/>
    <cellStyle name="Normal 5 3 40 2" xfId="22496" xr:uid="{00000000-0005-0000-0000-0000EB4A0000}"/>
    <cellStyle name="Normal 5 3 41" xfId="10374" xr:uid="{00000000-0005-0000-0000-0000EC4A0000}"/>
    <cellStyle name="Normal 5 3 41 2" xfId="22497" xr:uid="{00000000-0005-0000-0000-0000ED4A0000}"/>
    <cellStyle name="Normal 5 3 42" xfId="10375" xr:uid="{00000000-0005-0000-0000-0000EE4A0000}"/>
    <cellStyle name="Normal 5 3 42 2" xfId="22498" xr:uid="{00000000-0005-0000-0000-0000EF4A0000}"/>
    <cellStyle name="Normal 5 3 43" xfId="10376" xr:uid="{00000000-0005-0000-0000-0000F04A0000}"/>
    <cellStyle name="Normal 5 3 43 2" xfId="22499" xr:uid="{00000000-0005-0000-0000-0000F14A0000}"/>
    <cellStyle name="Normal 5 3 44" xfId="10377" xr:uid="{00000000-0005-0000-0000-0000F24A0000}"/>
    <cellStyle name="Normal 5 3 44 2" xfId="22500" xr:uid="{00000000-0005-0000-0000-0000F34A0000}"/>
    <cellStyle name="Normal 5 3 45" xfId="10378" xr:uid="{00000000-0005-0000-0000-0000F44A0000}"/>
    <cellStyle name="Normal 5 3 45 2" xfId="22501" xr:uid="{00000000-0005-0000-0000-0000F54A0000}"/>
    <cellStyle name="Normal 5 3 46" xfId="10379" xr:uid="{00000000-0005-0000-0000-0000F64A0000}"/>
    <cellStyle name="Normal 5 3 46 2" xfId="22502" xr:uid="{00000000-0005-0000-0000-0000F74A0000}"/>
    <cellStyle name="Normal 5 3 47" xfId="10380" xr:uid="{00000000-0005-0000-0000-0000F84A0000}"/>
    <cellStyle name="Normal 5 3 47 2" xfId="22503" xr:uid="{00000000-0005-0000-0000-0000F94A0000}"/>
    <cellStyle name="Normal 5 3 48" xfId="10381" xr:uid="{00000000-0005-0000-0000-0000FA4A0000}"/>
    <cellStyle name="Normal 5 3 48 2" xfId="22504" xr:uid="{00000000-0005-0000-0000-0000FB4A0000}"/>
    <cellStyle name="Normal 5 3 49" xfId="10382" xr:uid="{00000000-0005-0000-0000-0000FC4A0000}"/>
    <cellStyle name="Normal 5 3 49 2" xfId="22505" xr:uid="{00000000-0005-0000-0000-0000FD4A0000}"/>
    <cellStyle name="Normal 5 3 5" xfId="10383" xr:uid="{00000000-0005-0000-0000-0000FE4A0000}"/>
    <cellStyle name="Normal 5 3 5 2" xfId="22506" xr:uid="{00000000-0005-0000-0000-0000FF4A0000}"/>
    <cellStyle name="Normal 5 3 50" xfId="10384" xr:uid="{00000000-0005-0000-0000-0000004B0000}"/>
    <cellStyle name="Normal 5 3 50 2" xfId="22507" xr:uid="{00000000-0005-0000-0000-0000014B0000}"/>
    <cellStyle name="Normal 5 3 51" xfId="10385" xr:uid="{00000000-0005-0000-0000-0000024B0000}"/>
    <cellStyle name="Normal 5 3 51 2" xfId="22508" xr:uid="{00000000-0005-0000-0000-0000034B0000}"/>
    <cellStyle name="Normal 5 3 52" xfId="10386" xr:uid="{00000000-0005-0000-0000-0000044B0000}"/>
    <cellStyle name="Normal 5 3 52 2" xfId="22509" xr:uid="{00000000-0005-0000-0000-0000054B0000}"/>
    <cellStyle name="Normal 5 3 53" xfId="10387" xr:uid="{00000000-0005-0000-0000-0000064B0000}"/>
    <cellStyle name="Normal 5 3 53 2" xfId="22510" xr:uid="{00000000-0005-0000-0000-0000074B0000}"/>
    <cellStyle name="Normal 5 3 54" xfId="10388" xr:uid="{00000000-0005-0000-0000-0000084B0000}"/>
    <cellStyle name="Normal 5 3 54 2" xfId="22511" xr:uid="{00000000-0005-0000-0000-0000094B0000}"/>
    <cellStyle name="Normal 5 3 55" xfId="10389" xr:uid="{00000000-0005-0000-0000-00000A4B0000}"/>
    <cellStyle name="Normal 5 3 55 2" xfId="22512" xr:uid="{00000000-0005-0000-0000-00000B4B0000}"/>
    <cellStyle name="Normal 5 3 56" xfId="10390" xr:uid="{00000000-0005-0000-0000-00000C4B0000}"/>
    <cellStyle name="Normal 5 3 56 2" xfId="22513" xr:uid="{00000000-0005-0000-0000-00000D4B0000}"/>
    <cellStyle name="Normal 5 3 57" xfId="10391" xr:uid="{00000000-0005-0000-0000-00000E4B0000}"/>
    <cellStyle name="Normal 5 3 57 2" xfId="22514" xr:uid="{00000000-0005-0000-0000-00000F4B0000}"/>
    <cellStyle name="Normal 5 3 58" xfId="10392" xr:uid="{00000000-0005-0000-0000-0000104B0000}"/>
    <cellStyle name="Normal 5 3 58 2" xfId="22515" xr:uid="{00000000-0005-0000-0000-0000114B0000}"/>
    <cellStyle name="Normal 5 3 59" xfId="10393" xr:uid="{00000000-0005-0000-0000-0000124B0000}"/>
    <cellStyle name="Normal 5 3 59 2" xfId="22516" xr:uid="{00000000-0005-0000-0000-0000134B0000}"/>
    <cellStyle name="Normal 5 3 6" xfId="10394" xr:uid="{00000000-0005-0000-0000-0000144B0000}"/>
    <cellStyle name="Normal 5 3 6 2" xfId="22517" xr:uid="{00000000-0005-0000-0000-0000154B0000}"/>
    <cellStyle name="Normal 5 3 60" xfId="10395" xr:uid="{00000000-0005-0000-0000-0000164B0000}"/>
    <cellStyle name="Normal 5 3 60 2" xfId="22518" xr:uid="{00000000-0005-0000-0000-0000174B0000}"/>
    <cellStyle name="Normal 5 3 61" xfId="10396" xr:uid="{00000000-0005-0000-0000-0000184B0000}"/>
    <cellStyle name="Normal 5 3 61 2" xfId="22519" xr:uid="{00000000-0005-0000-0000-0000194B0000}"/>
    <cellStyle name="Normal 5 3 62" xfId="10397" xr:uid="{00000000-0005-0000-0000-00001A4B0000}"/>
    <cellStyle name="Normal 5 3 62 2" xfId="22520" xr:uid="{00000000-0005-0000-0000-00001B4B0000}"/>
    <cellStyle name="Normal 5 3 63" xfId="10398" xr:uid="{00000000-0005-0000-0000-00001C4B0000}"/>
    <cellStyle name="Normal 5 3 63 2" xfId="22521" xr:uid="{00000000-0005-0000-0000-00001D4B0000}"/>
    <cellStyle name="Normal 5 3 64" xfId="10399" xr:uid="{00000000-0005-0000-0000-00001E4B0000}"/>
    <cellStyle name="Normal 5 3 64 2" xfId="22522" xr:uid="{00000000-0005-0000-0000-00001F4B0000}"/>
    <cellStyle name="Normal 5 3 65" xfId="10400" xr:uid="{00000000-0005-0000-0000-0000204B0000}"/>
    <cellStyle name="Normal 5 3 65 2" xfId="22523" xr:uid="{00000000-0005-0000-0000-0000214B0000}"/>
    <cellStyle name="Normal 5 3 66" xfId="10401" xr:uid="{00000000-0005-0000-0000-0000224B0000}"/>
    <cellStyle name="Normal 5 3 66 2" xfId="22524" xr:uid="{00000000-0005-0000-0000-0000234B0000}"/>
    <cellStyle name="Normal 5 3 67" xfId="10402" xr:uid="{00000000-0005-0000-0000-0000244B0000}"/>
    <cellStyle name="Normal 5 3 67 2" xfId="22525" xr:uid="{00000000-0005-0000-0000-0000254B0000}"/>
    <cellStyle name="Normal 5 3 68" xfId="10403" xr:uid="{00000000-0005-0000-0000-0000264B0000}"/>
    <cellStyle name="Normal 5 3 68 2" xfId="22526" xr:uid="{00000000-0005-0000-0000-0000274B0000}"/>
    <cellStyle name="Normal 5 3 69" xfId="10404" xr:uid="{00000000-0005-0000-0000-0000284B0000}"/>
    <cellStyle name="Normal 5 3 69 2" xfId="22527" xr:uid="{00000000-0005-0000-0000-0000294B0000}"/>
    <cellStyle name="Normal 5 3 7" xfId="10405" xr:uid="{00000000-0005-0000-0000-00002A4B0000}"/>
    <cellStyle name="Normal 5 3 7 2" xfId="22528" xr:uid="{00000000-0005-0000-0000-00002B4B0000}"/>
    <cellStyle name="Normal 5 3 70" xfId="10406" xr:uid="{00000000-0005-0000-0000-00002C4B0000}"/>
    <cellStyle name="Normal 5 3 70 2" xfId="22529" xr:uid="{00000000-0005-0000-0000-00002D4B0000}"/>
    <cellStyle name="Normal 5 3 71" xfId="10407" xr:uid="{00000000-0005-0000-0000-00002E4B0000}"/>
    <cellStyle name="Normal 5 3 71 2" xfId="22530" xr:uid="{00000000-0005-0000-0000-00002F4B0000}"/>
    <cellStyle name="Normal 5 3 72" xfId="10408" xr:uid="{00000000-0005-0000-0000-0000304B0000}"/>
    <cellStyle name="Normal 5 3 72 2" xfId="22531" xr:uid="{00000000-0005-0000-0000-0000314B0000}"/>
    <cellStyle name="Normal 5 3 73" xfId="10409" xr:uid="{00000000-0005-0000-0000-0000324B0000}"/>
    <cellStyle name="Normal 5 3 73 2" xfId="22532" xr:uid="{00000000-0005-0000-0000-0000334B0000}"/>
    <cellStyle name="Normal 5 3 74" xfId="10410" xr:uid="{00000000-0005-0000-0000-0000344B0000}"/>
    <cellStyle name="Normal 5 3 74 2" xfId="22533" xr:uid="{00000000-0005-0000-0000-0000354B0000}"/>
    <cellStyle name="Normal 5 3 75" xfId="10411" xr:uid="{00000000-0005-0000-0000-0000364B0000}"/>
    <cellStyle name="Normal 5 3 75 2" xfId="22534" xr:uid="{00000000-0005-0000-0000-0000374B0000}"/>
    <cellStyle name="Normal 5 3 76" xfId="10412" xr:uid="{00000000-0005-0000-0000-0000384B0000}"/>
    <cellStyle name="Normal 5 3 76 2" xfId="22535" xr:uid="{00000000-0005-0000-0000-0000394B0000}"/>
    <cellStyle name="Normal 5 3 77" xfId="10413" xr:uid="{00000000-0005-0000-0000-00003A4B0000}"/>
    <cellStyle name="Normal 5 3 77 2" xfId="22536" xr:uid="{00000000-0005-0000-0000-00003B4B0000}"/>
    <cellStyle name="Normal 5 3 78" xfId="10414" xr:uid="{00000000-0005-0000-0000-00003C4B0000}"/>
    <cellStyle name="Normal 5 3 78 2" xfId="22537" xr:uid="{00000000-0005-0000-0000-00003D4B0000}"/>
    <cellStyle name="Normal 5 3 79" xfId="10415" xr:uid="{00000000-0005-0000-0000-00003E4B0000}"/>
    <cellStyle name="Normal 5 3 79 2" xfId="22538" xr:uid="{00000000-0005-0000-0000-00003F4B0000}"/>
    <cellStyle name="Normal 5 3 8" xfId="10416" xr:uid="{00000000-0005-0000-0000-0000404B0000}"/>
    <cellStyle name="Normal 5 3 8 2" xfId="22539" xr:uid="{00000000-0005-0000-0000-0000414B0000}"/>
    <cellStyle name="Normal 5 3 80" xfId="15345" xr:uid="{00000000-0005-0000-0000-0000424B0000}"/>
    <cellStyle name="Normal 5 3 81" xfId="3179" xr:uid="{00000000-0005-0000-0000-0000434B0000}"/>
    <cellStyle name="Normal 5 3 9" xfId="10417" xr:uid="{00000000-0005-0000-0000-0000444B0000}"/>
    <cellStyle name="Normal 5 3 9 2" xfId="22540" xr:uid="{00000000-0005-0000-0000-0000454B0000}"/>
    <cellStyle name="Normal 5 30" xfId="10418" xr:uid="{00000000-0005-0000-0000-0000464B0000}"/>
    <cellStyle name="Normal 5 30 2" xfId="22541" xr:uid="{00000000-0005-0000-0000-0000474B0000}"/>
    <cellStyle name="Normal 5 31" xfId="10419" xr:uid="{00000000-0005-0000-0000-0000484B0000}"/>
    <cellStyle name="Normal 5 31 2" xfId="22542" xr:uid="{00000000-0005-0000-0000-0000494B0000}"/>
    <cellStyle name="Normal 5 32" xfId="10420" xr:uid="{00000000-0005-0000-0000-00004A4B0000}"/>
    <cellStyle name="Normal 5 32 2" xfId="22543" xr:uid="{00000000-0005-0000-0000-00004B4B0000}"/>
    <cellStyle name="Normal 5 33" xfId="10421" xr:uid="{00000000-0005-0000-0000-00004C4B0000}"/>
    <cellStyle name="Normal 5 33 2" xfId="22544" xr:uid="{00000000-0005-0000-0000-00004D4B0000}"/>
    <cellStyle name="Normal 5 34" xfId="10422" xr:uid="{00000000-0005-0000-0000-00004E4B0000}"/>
    <cellStyle name="Normal 5 34 2" xfId="22545" xr:uid="{00000000-0005-0000-0000-00004F4B0000}"/>
    <cellStyle name="Normal 5 35" xfId="10423" xr:uid="{00000000-0005-0000-0000-0000504B0000}"/>
    <cellStyle name="Normal 5 35 2" xfId="22546" xr:uid="{00000000-0005-0000-0000-0000514B0000}"/>
    <cellStyle name="Normal 5 36" xfId="10424" xr:uid="{00000000-0005-0000-0000-0000524B0000}"/>
    <cellStyle name="Normal 5 36 2" xfId="22547" xr:uid="{00000000-0005-0000-0000-0000534B0000}"/>
    <cellStyle name="Normal 5 37" xfId="10425" xr:uid="{00000000-0005-0000-0000-0000544B0000}"/>
    <cellStyle name="Normal 5 37 2" xfId="22548" xr:uid="{00000000-0005-0000-0000-0000554B0000}"/>
    <cellStyle name="Normal 5 38" xfId="10426" xr:uid="{00000000-0005-0000-0000-0000564B0000}"/>
    <cellStyle name="Normal 5 38 2" xfId="22549" xr:uid="{00000000-0005-0000-0000-0000574B0000}"/>
    <cellStyle name="Normal 5 39" xfId="10427" xr:uid="{00000000-0005-0000-0000-0000584B0000}"/>
    <cellStyle name="Normal 5 39 2" xfId="22550" xr:uid="{00000000-0005-0000-0000-0000594B0000}"/>
    <cellStyle name="Normal 5 4" xfId="118" xr:uid="{00000000-0005-0000-0000-00005A4B0000}"/>
    <cellStyle name="Normal 5 4 10" xfId="10428" xr:uid="{00000000-0005-0000-0000-00005B4B0000}"/>
    <cellStyle name="Normal 5 4 10 2" xfId="22551" xr:uid="{00000000-0005-0000-0000-00005C4B0000}"/>
    <cellStyle name="Normal 5 4 11" xfId="10429" xr:uid="{00000000-0005-0000-0000-00005D4B0000}"/>
    <cellStyle name="Normal 5 4 11 2" xfId="22552" xr:uid="{00000000-0005-0000-0000-00005E4B0000}"/>
    <cellStyle name="Normal 5 4 12" xfId="10430" xr:uid="{00000000-0005-0000-0000-00005F4B0000}"/>
    <cellStyle name="Normal 5 4 12 2" xfId="22553" xr:uid="{00000000-0005-0000-0000-0000604B0000}"/>
    <cellStyle name="Normal 5 4 13" xfId="10431" xr:uid="{00000000-0005-0000-0000-0000614B0000}"/>
    <cellStyle name="Normal 5 4 13 2" xfId="22554" xr:uid="{00000000-0005-0000-0000-0000624B0000}"/>
    <cellStyle name="Normal 5 4 14" xfId="10432" xr:uid="{00000000-0005-0000-0000-0000634B0000}"/>
    <cellStyle name="Normal 5 4 14 2" xfId="22555" xr:uid="{00000000-0005-0000-0000-0000644B0000}"/>
    <cellStyle name="Normal 5 4 15" xfId="10433" xr:uid="{00000000-0005-0000-0000-0000654B0000}"/>
    <cellStyle name="Normal 5 4 15 2" xfId="22556" xr:uid="{00000000-0005-0000-0000-0000664B0000}"/>
    <cellStyle name="Normal 5 4 16" xfId="10434" xr:uid="{00000000-0005-0000-0000-0000674B0000}"/>
    <cellStyle name="Normal 5 4 16 2" xfId="22557" xr:uid="{00000000-0005-0000-0000-0000684B0000}"/>
    <cellStyle name="Normal 5 4 17" xfId="10435" xr:uid="{00000000-0005-0000-0000-0000694B0000}"/>
    <cellStyle name="Normal 5 4 17 2" xfId="22558" xr:uid="{00000000-0005-0000-0000-00006A4B0000}"/>
    <cellStyle name="Normal 5 4 18" xfId="10436" xr:uid="{00000000-0005-0000-0000-00006B4B0000}"/>
    <cellStyle name="Normal 5 4 18 2" xfId="22559" xr:uid="{00000000-0005-0000-0000-00006C4B0000}"/>
    <cellStyle name="Normal 5 4 19" xfId="10437" xr:uid="{00000000-0005-0000-0000-00006D4B0000}"/>
    <cellStyle name="Normal 5 4 19 2" xfId="22560" xr:uid="{00000000-0005-0000-0000-00006E4B0000}"/>
    <cellStyle name="Normal 5 4 2" xfId="10438" xr:uid="{00000000-0005-0000-0000-00006F4B0000}"/>
    <cellStyle name="Normal 5 4 2 2" xfId="22561" xr:uid="{00000000-0005-0000-0000-0000704B0000}"/>
    <cellStyle name="Normal 5 4 20" xfId="10439" xr:uid="{00000000-0005-0000-0000-0000714B0000}"/>
    <cellStyle name="Normal 5 4 20 2" xfId="22562" xr:uid="{00000000-0005-0000-0000-0000724B0000}"/>
    <cellStyle name="Normal 5 4 21" xfId="10440" xr:uid="{00000000-0005-0000-0000-0000734B0000}"/>
    <cellStyle name="Normal 5 4 21 2" xfId="22563" xr:uid="{00000000-0005-0000-0000-0000744B0000}"/>
    <cellStyle name="Normal 5 4 22" xfId="10441" xr:uid="{00000000-0005-0000-0000-0000754B0000}"/>
    <cellStyle name="Normal 5 4 22 2" xfId="22564" xr:uid="{00000000-0005-0000-0000-0000764B0000}"/>
    <cellStyle name="Normal 5 4 23" xfId="10442" xr:uid="{00000000-0005-0000-0000-0000774B0000}"/>
    <cellStyle name="Normal 5 4 23 2" xfId="22565" xr:uid="{00000000-0005-0000-0000-0000784B0000}"/>
    <cellStyle name="Normal 5 4 24" xfId="10443" xr:uid="{00000000-0005-0000-0000-0000794B0000}"/>
    <cellStyle name="Normal 5 4 24 2" xfId="22566" xr:uid="{00000000-0005-0000-0000-00007A4B0000}"/>
    <cellStyle name="Normal 5 4 25" xfId="10444" xr:uid="{00000000-0005-0000-0000-00007B4B0000}"/>
    <cellStyle name="Normal 5 4 25 2" xfId="22567" xr:uid="{00000000-0005-0000-0000-00007C4B0000}"/>
    <cellStyle name="Normal 5 4 26" xfId="10445" xr:uid="{00000000-0005-0000-0000-00007D4B0000}"/>
    <cellStyle name="Normal 5 4 26 2" xfId="22568" xr:uid="{00000000-0005-0000-0000-00007E4B0000}"/>
    <cellStyle name="Normal 5 4 27" xfId="10446" xr:uid="{00000000-0005-0000-0000-00007F4B0000}"/>
    <cellStyle name="Normal 5 4 27 2" xfId="22569" xr:uid="{00000000-0005-0000-0000-0000804B0000}"/>
    <cellStyle name="Normal 5 4 28" xfId="10447" xr:uid="{00000000-0005-0000-0000-0000814B0000}"/>
    <cellStyle name="Normal 5 4 28 2" xfId="22570" xr:uid="{00000000-0005-0000-0000-0000824B0000}"/>
    <cellStyle name="Normal 5 4 29" xfId="10448" xr:uid="{00000000-0005-0000-0000-0000834B0000}"/>
    <cellStyle name="Normal 5 4 29 2" xfId="22571" xr:uid="{00000000-0005-0000-0000-0000844B0000}"/>
    <cellStyle name="Normal 5 4 3" xfId="10449" xr:uid="{00000000-0005-0000-0000-0000854B0000}"/>
    <cellStyle name="Normal 5 4 3 2" xfId="22572" xr:uid="{00000000-0005-0000-0000-0000864B0000}"/>
    <cellStyle name="Normal 5 4 30" xfId="10450" xr:uid="{00000000-0005-0000-0000-0000874B0000}"/>
    <cellStyle name="Normal 5 4 30 2" xfId="22573" xr:uid="{00000000-0005-0000-0000-0000884B0000}"/>
    <cellStyle name="Normal 5 4 31" xfId="10451" xr:uid="{00000000-0005-0000-0000-0000894B0000}"/>
    <cellStyle name="Normal 5 4 31 2" xfId="22574" xr:uid="{00000000-0005-0000-0000-00008A4B0000}"/>
    <cellStyle name="Normal 5 4 32" xfId="10452" xr:uid="{00000000-0005-0000-0000-00008B4B0000}"/>
    <cellStyle name="Normal 5 4 32 2" xfId="22575" xr:uid="{00000000-0005-0000-0000-00008C4B0000}"/>
    <cellStyle name="Normal 5 4 33" xfId="10453" xr:uid="{00000000-0005-0000-0000-00008D4B0000}"/>
    <cellStyle name="Normal 5 4 33 2" xfId="22576" xr:uid="{00000000-0005-0000-0000-00008E4B0000}"/>
    <cellStyle name="Normal 5 4 34" xfId="10454" xr:uid="{00000000-0005-0000-0000-00008F4B0000}"/>
    <cellStyle name="Normal 5 4 34 2" xfId="22577" xr:uid="{00000000-0005-0000-0000-0000904B0000}"/>
    <cellStyle name="Normal 5 4 35" xfId="10455" xr:uid="{00000000-0005-0000-0000-0000914B0000}"/>
    <cellStyle name="Normal 5 4 35 2" xfId="22578" xr:uid="{00000000-0005-0000-0000-0000924B0000}"/>
    <cellStyle name="Normal 5 4 36" xfId="10456" xr:uid="{00000000-0005-0000-0000-0000934B0000}"/>
    <cellStyle name="Normal 5 4 36 2" xfId="22579" xr:uid="{00000000-0005-0000-0000-0000944B0000}"/>
    <cellStyle name="Normal 5 4 37" xfId="10457" xr:uid="{00000000-0005-0000-0000-0000954B0000}"/>
    <cellStyle name="Normal 5 4 37 2" xfId="22580" xr:uid="{00000000-0005-0000-0000-0000964B0000}"/>
    <cellStyle name="Normal 5 4 38" xfId="10458" xr:uid="{00000000-0005-0000-0000-0000974B0000}"/>
    <cellStyle name="Normal 5 4 38 2" xfId="22581" xr:uid="{00000000-0005-0000-0000-0000984B0000}"/>
    <cellStyle name="Normal 5 4 39" xfId="10459" xr:uid="{00000000-0005-0000-0000-0000994B0000}"/>
    <cellStyle name="Normal 5 4 39 2" xfId="22582" xr:uid="{00000000-0005-0000-0000-00009A4B0000}"/>
    <cellStyle name="Normal 5 4 4" xfId="10460" xr:uid="{00000000-0005-0000-0000-00009B4B0000}"/>
    <cellStyle name="Normal 5 4 4 2" xfId="22583" xr:uid="{00000000-0005-0000-0000-00009C4B0000}"/>
    <cellStyle name="Normal 5 4 40" xfId="10461" xr:uid="{00000000-0005-0000-0000-00009D4B0000}"/>
    <cellStyle name="Normal 5 4 40 2" xfId="22584" xr:uid="{00000000-0005-0000-0000-00009E4B0000}"/>
    <cellStyle name="Normal 5 4 41" xfId="10462" xr:uid="{00000000-0005-0000-0000-00009F4B0000}"/>
    <cellStyle name="Normal 5 4 41 2" xfId="22585" xr:uid="{00000000-0005-0000-0000-0000A04B0000}"/>
    <cellStyle name="Normal 5 4 42" xfId="10463" xr:uid="{00000000-0005-0000-0000-0000A14B0000}"/>
    <cellStyle name="Normal 5 4 42 2" xfId="22586" xr:uid="{00000000-0005-0000-0000-0000A24B0000}"/>
    <cellStyle name="Normal 5 4 43" xfId="10464" xr:uid="{00000000-0005-0000-0000-0000A34B0000}"/>
    <cellStyle name="Normal 5 4 43 2" xfId="22587" xr:uid="{00000000-0005-0000-0000-0000A44B0000}"/>
    <cellStyle name="Normal 5 4 44" xfId="10465" xr:uid="{00000000-0005-0000-0000-0000A54B0000}"/>
    <cellStyle name="Normal 5 4 44 2" xfId="22588" xr:uid="{00000000-0005-0000-0000-0000A64B0000}"/>
    <cellStyle name="Normal 5 4 45" xfId="10466" xr:uid="{00000000-0005-0000-0000-0000A74B0000}"/>
    <cellStyle name="Normal 5 4 45 2" xfId="22589" xr:uid="{00000000-0005-0000-0000-0000A84B0000}"/>
    <cellStyle name="Normal 5 4 46" xfId="10467" xr:uid="{00000000-0005-0000-0000-0000A94B0000}"/>
    <cellStyle name="Normal 5 4 46 2" xfId="22590" xr:uid="{00000000-0005-0000-0000-0000AA4B0000}"/>
    <cellStyle name="Normal 5 4 47" xfId="10468" xr:uid="{00000000-0005-0000-0000-0000AB4B0000}"/>
    <cellStyle name="Normal 5 4 47 2" xfId="22591" xr:uid="{00000000-0005-0000-0000-0000AC4B0000}"/>
    <cellStyle name="Normal 5 4 48" xfId="10469" xr:uid="{00000000-0005-0000-0000-0000AD4B0000}"/>
    <cellStyle name="Normal 5 4 48 2" xfId="22592" xr:uid="{00000000-0005-0000-0000-0000AE4B0000}"/>
    <cellStyle name="Normal 5 4 49" xfId="10470" xr:uid="{00000000-0005-0000-0000-0000AF4B0000}"/>
    <cellStyle name="Normal 5 4 49 2" xfId="22593" xr:uid="{00000000-0005-0000-0000-0000B04B0000}"/>
    <cellStyle name="Normal 5 4 5" xfId="10471" xr:uid="{00000000-0005-0000-0000-0000B14B0000}"/>
    <cellStyle name="Normal 5 4 5 2" xfId="22594" xr:uid="{00000000-0005-0000-0000-0000B24B0000}"/>
    <cellStyle name="Normal 5 4 50" xfId="10472" xr:uid="{00000000-0005-0000-0000-0000B34B0000}"/>
    <cellStyle name="Normal 5 4 50 2" xfId="22595" xr:uid="{00000000-0005-0000-0000-0000B44B0000}"/>
    <cellStyle name="Normal 5 4 51" xfId="10473" xr:uid="{00000000-0005-0000-0000-0000B54B0000}"/>
    <cellStyle name="Normal 5 4 51 2" xfId="22596" xr:uid="{00000000-0005-0000-0000-0000B64B0000}"/>
    <cellStyle name="Normal 5 4 52" xfId="10474" xr:uid="{00000000-0005-0000-0000-0000B74B0000}"/>
    <cellStyle name="Normal 5 4 52 2" xfId="22597" xr:uid="{00000000-0005-0000-0000-0000B84B0000}"/>
    <cellStyle name="Normal 5 4 53" xfId="10475" xr:uid="{00000000-0005-0000-0000-0000B94B0000}"/>
    <cellStyle name="Normal 5 4 53 2" xfId="22598" xr:uid="{00000000-0005-0000-0000-0000BA4B0000}"/>
    <cellStyle name="Normal 5 4 54" xfId="10476" xr:uid="{00000000-0005-0000-0000-0000BB4B0000}"/>
    <cellStyle name="Normal 5 4 54 2" xfId="22599" xr:uid="{00000000-0005-0000-0000-0000BC4B0000}"/>
    <cellStyle name="Normal 5 4 55" xfId="10477" xr:uid="{00000000-0005-0000-0000-0000BD4B0000}"/>
    <cellStyle name="Normal 5 4 55 2" xfId="22600" xr:uid="{00000000-0005-0000-0000-0000BE4B0000}"/>
    <cellStyle name="Normal 5 4 56" xfId="10478" xr:uid="{00000000-0005-0000-0000-0000BF4B0000}"/>
    <cellStyle name="Normal 5 4 56 2" xfId="22601" xr:uid="{00000000-0005-0000-0000-0000C04B0000}"/>
    <cellStyle name="Normal 5 4 57" xfId="10479" xr:uid="{00000000-0005-0000-0000-0000C14B0000}"/>
    <cellStyle name="Normal 5 4 57 2" xfId="22602" xr:uid="{00000000-0005-0000-0000-0000C24B0000}"/>
    <cellStyle name="Normal 5 4 58" xfId="10480" xr:uid="{00000000-0005-0000-0000-0000C34B0000}"/>
    <cellStyle name="Normal 5 4 58 2" xfId="22603" xr:uid="{00000000-0005-0000-0000-0000C44B0000}"/>
    <cellStyle name="Normal 5 4 59" xfId="10481" xr:uid="{00000000-0005-0000-0000-0000C54B0000}"/>
    <cellStyle name="Normal 5 4 59 2" xfId="22604" xr:uid="{00000000-0005-0000-0000-0000C64B0000}"/>
    <cellStyle name="Normal 5 4 6" xfId="10482" xr:uid="{00000000-0005-0000-0000-0000C74B0000}"/>
    <cellStyle name="Normal 5 4 6 2" xfId="22605" xr:uid="{00000000-0005-0000-0000-0000C84B0000}"/>
    <cellStyle name="Normal 5 4 60" xfId="10483" xr:uid="{00000000-0005-0000-0000-0000C94B0000}"/>
    <cellStyle name="Normal 5 4 60 2" xfId="22606" xr:uid="{00000000-0005-0000-0000-0000CA4B0000}"/>
    <cellStyle name="Normal 5 4 61" xfId="10484" xr:uid="{00000000-0005-0000-0000-0000CB4B0000}"/>
    <cellStyle name="Normal 5 4 61 2" xfId="22607" xr:uid="{00000000-0005-0000-0000-0000CC4B0000}"/>
    <cellStyle name="Normal 5 4 62" xfId="10485" xr:uid="{00000000-0005-0000-0000-0000CD4B0000}"/>
    <cellStyle name="Normal 5 4 62 2" xfId="22608" xr:uid="{00000000-0005-0000-0000-0000CE4B0000}"/>
    <cellStyle name="Normal 5 4 63" xfId="10486" xr:uid="{00000000-0005-0000-0000-0000CF4B0000}"/>
    <cellStyle name="Normal 5 4 63 2" xfId="22609" xr:uid="{00000000-0005-0000-0000-0000D04B0000}"/>
    <cellStyle name="Normal 5 4 64" xfId="10487" xr:uid="{00000000-0005-0000-0000-0000D14B0000}"/>
    <cellStyle name="Normal 5 4 64 2" xfId="22610" xr:uid="{00000000-0005-0000-0000-0000D24B0000}"/>
    <cellStyle name="Normal 5 4 65" xfId="10488" xr:uid="{00000000-0005-0000-0000-0000D34B0000}"/>
    <cellStyle name="Normal 5 4 65 2" xfId="22611" xr:uid="{00000000-0005-0000-0000-0000D44B0000}"/>
    <cellStyle name="Normal 5 4 66" xfId="10489" xr:uid="{00000000-0005-0000-0000-0000D54B0000}"/>
    <cellStyle name="Normal 5 4 66 2" xfId="22612" xr:uid="{00000000-0005-0000-0000-0000D64B0000}"/>
    <cellStyle name="Normal 5 4 67" xfId="10490" xr:uid="{00000000-0005-0000-0000-0000D74B0000}"/>
    <cellStyle name="Normal 5 4 67 2" xfId="22613" xr:uid="{00000000-0005-0000-0000-0000D84B0000}"/>
    <cellStyle name="Normal 5 4 68" xfId="10491" xr:uid="{00000000-0005-0000-0000-0000D94B0000}"/>
    <cellStyle name="Normal 5 4 68 2" xfId="22614" xr:uid="{00000000-0005-0000-0000-0000DA4B0000}"/>
    <cellStyle name="Normal 5 4 69" xfId="10492" xr:uid="{00000000-0005-0000-0000-0000DB4B0000}"/>
    <cellStyle name="Normal 5 4 69 2" xfId="22615" xr:uid="{00000000-0005-0000-0000-0000DC4B0000}"/>
    <cellStyle name="Normal 5 4 7" xfId="10493" xr:uid="{00000000-0005-0000-0000-0000DD4B0000}"/>
    <cellStyle name="Normal 5 4 7 2" xfId="22616" xr:uid="{00000000-0005-0000-0000-0000DE4B0000}"/>
    <cellStyle name="Normal 5 4 70" xfId="10494" xr:uid="{00000000-0005-0000-0000-0000DF4B0000}"/>
    <cellStyle name="Normal 5 4 70 2" xfId="22617" xr:uid="{00000000-0005-0000-0000-0000E04B0000}"/>
    <cellStyle name="Normal 5 4 71" xfId="10495" xr:uid="{00000000-0005-0000-0000-0000E14B0000}"/>
    <cellStyle name="Normal 5 4 71 2" xfId="22618" xr:uid="{00000000-0005-0000-0000-0000E24B0000}"/>
    <cellStyle name="Normal 5 4 72" xfId="10496" xr:uid="{00000000-0005-0000-0000-0000E34B0000}"/>
    <cellStyle name="Normal 5 4 72 2" xfId="22619" xr:uid="{00000000-0005-0000-0000-0000E44B0000}"/>
    <cellStyle name="Normal 5 4 73" xfId="10497" xr:uid="{00000000-0005-0000-0000-0000E54B0000}"/>
    <cellStyle name="Normal 5 4 73 2" xfId="22620" xr:uid="{00000000-0005-0000-0000-0000E64B0000}"/>
    <cellStyle name="Normal 5 4 74" xfId="10498" xr:uid="{00000000-0005-0000-0000-0000E74B0000}"/>
    <cellStyle name="Normal 5 4 74 2" xfId="22621" xr:uid="{00000000-0005-0000-0000-0000E84B0000}"/>
    <cellStyle name="Normal 5 4 75" xfId="10499" xr:uid="{00000000-0005-0000-0000-0000E94B0000}"/>
    <cellStyle name="Normal 5 4 75 2" xfId="22622" xr:uid="{00000000-0005-0000-0000-0000EA4B0000}"/>
    <cellStyle name="Normal 5 4 76" xfId="10500" xr:uid="{00000000-0005-0000-0000-0000EB4B0000}"/>
    <cellStyle name="Normal 5 4 76 2" xfId="22623" xr:uid="{00000000-0005-0000-0000-0000EC4B0000}"/>
    <cellStyle name="Normal 5 4 77" xfId="10501" xr:uid="{00000000-0005-0000-0000-0000ED4B0000}"/>
    <cellStyle name="Normal 5 4 77 2" xfId="22624" xr:uid="{00000000-0005-0000-0000-0000EE4B0000}"/>
    <cellStyle name="Normal 5 4 78" xfId="10502" xr:uid="{00000000-0005-0000-0000-0000EF4B0000}"/>
    <cellStyle name="Normal 5 4 78 2" xfId="22625" xr:uid="{00000000-0005-0000-0000-0000F04B0000}"/>
    <cellStyle name="Normal 5 4 79" xfId="10503" xr:uid="{00000000-0005-0000-0000-0000F14B0000}"/>
    <cellStyle name="Normal 5 4 79 2" xfId="22626" xr:uid="{00000000-0005-0000-0000-0000F24B0000}"/>
    <cellStyle name="Normal 5 4 8" xfId="10504" xr:uid="{00000000-0005-0000-0000-0000F34B0000}"/>
    <cellStyle name="Normal 5 4 8 2" xfId="22627" xr:uid="{00000000-0005-0000-0000-0000F44B0000}"/>
    <cellStyle name="Normal 5 4 80" xfId="15346" xr:uid="{00000000-0005-0000-0000-0000F54B0000}"/>
    <cellStyle name="Normal 5 4 81" xfId="3180" xr:uid="{00000000-0005-0000-0000-0000F64B0000}"/>
    <cellStyle name="Normal 5 4 9" xfId="10505" xr:uid="{00000000-0005-0000-0000-0000F74B0000}"/>
    <cellStyle name="Normal 5 4 9 2" xfId="22628" xr:uid="{00000000-0005-0000-0000-0000F84B0000}"/>
    <cellStyle name="Normal 5 40" xfId="10506" xr:uid="{00000000-0005-0000-0000-0000F94B0000}"/>
    <cellStyle name="Normal 5 40 2" xfId="22629" xr:uid="{00000000-0005-0000-0000-0000FA4B0000}"/>
    <cellStyle name="Normal 5 41" xfId="10507" xr:uid="{00000000-0005-0000-0000-0000FB4B0000}"/>
    <cellStyle name="Normal 5 41 2" xfId="22630" xr:uid="{00000000-0005-0000-0000-0000FC4B0000}"/>
    <cellStyle name="Normal 5 42" xfId="10508" xr:uid="{00000000-0005-0000-0000-0000FD4B0000}"/>
    <cellStyle name="Normal 5 42 2" xfId="22631" xr:uid="{00000000-0005-0000-0000-0000FE4B0000}"/>
    <cellStyle name="Normal 5 43" xfId="10509" xr:uid="{00000000-0005-0000-0000-0000FF4B0000}"/>
    <cellStyle name="Normal 5 43 2" xfId="22632" xr:uid="{00000000-0005-0000-0000-0000004C0000}"/>
    <cellStyle name="Normal 5 44" xfId="10510" xr:uid="{00000000-0005-0000-0000-0000014C0000}"/>
    <cellStyle name="Normal 5 44 2" xfId="22633" xr:uid="{00000000-0005-0000-0000-0000024C0000}"/>
    <cellStyle name="Normal 5 45" xfId="10511" xr:uid="{00000000-0005-0000-0000-0000034C0000}"/>
    <cellStyle name="Normal 5 45 2" xfId="22634" xr:uid="{00000000-0005-0000-0000-0000044C0000}"/>
    <cellStyle name="Normal 5 46" xfId="10512" xr:uid="{00000000-0005-0000-0000-0000054C0000}"/>
    <cellStyle name="Normal 5 46 2" xfId="22635" xr:uid="{00000000-0005-0000-0000-0000064C0000}"/>
    <cellStyle name="Normal 5 47" xfId="10513" xr:uid="{00000000-0005-0000-0000-0000074C0000}"/>
    <cellStyle name="Normal 5 47 2" xfId="22636" xr:uid="{00000000-0005-0000-0000-0000084C0000}"/>
    <cellStyle name="Normal 5 48" xfId="10514" xr:uid="{00000000-0005-0000-0000-0000094C0000}"/>
    <cellStyle name="Normal 5 48 2" xfId="22637" xr:uid="{00000000-0005-0000-0000-00000A4C0000}"/>
    <cellStyle name="Normal 5 49" xfId="10515" xr:uid="{00000000-0005-0000-0000-00000B4C0000}"/>
    <cellStyle name="Normal 5 49 2" xfId="22638" xr:uid="{00000000-0005-0000-0000-00000C4C0000}"/>
    <cellStyle name="Normal 5 5" xfId="125" xr:uid="{00000000-0005-0000-0000-00000D4C0000}"/>
    <cellStyle name="Normal 5 5 2" xfId="15347" xr:uid="{00000000-0005-0000-0000-00000E4C0000}"/>
    <cellStyle name="Normal 5 5 3" xfId="3181" xr:uid="{00000000-0005-0000-0000-00000F4C0000}"/>
    <cellStyle name="Normal 5 50" xfId="10516" xr:uid="{00000000-0005-0000-0000-0000104C0000}"/>
    <cellStyle name="Normal 5 50 2" xfId="22639" xr:uid="{00000000-0005-0000-0000-0000114C0000}"/>
    <cellStyle name="Normal 5 51" xfId="10517" xr:uid="{00000000-0005-0000-0000-0000124C0000}"/>
    <cellStyle name="Normal 5 51 2" xfId="22640" xr:uid="{00000000-0005-0000-0000-0000134C0000}"/>
    <cellStyle name="Normal 5 52" xfId="10518" xr:uid="{00000000-0005-0000-0000-0000144C0000}"/>
    <cellStyle name="Normal 5 52 2" xfId="22641" xr:uid="{00000000-0005-0000-0000-0000154C0000}"/>
    <cellStyle name="Normal 5 53" xfId="10519" xr:uid="{00000000-0005-0000-0000-0000164C0000}"/>
    <cellStyle name="Normal 5 53 2" xfId="22642" xr:uid="{00000000-0005-0000-0000-0000174C0000}"/>
    <cellStyle name="Normal 5 54" xfId="10520" xr:uid="{00000000-0005-0000-0000-0000184C0000}"/>
    <cellStyle name="Normal 5 54 2" xfId="22643" xr:uid="{00000000-0005-0000-0000-0000194C0000}"/>
    <cellStyle name="Normal 5 55" xfId="10521" xr:uid="{00000000-0005-0000-0000-00001A4C0000}"/>
    <cellStyle name="Normal 5 55 2" xfId="22644" xr:uid="{00000000-0005-0000-0000-00001B4C0000}"/>
    <cellStyle name="Normal 5 56" xfId="10522" xr:uid="{00000000-0005-0000-0000-00001C4C0000}"/>
    <cellStyle name="Normal 5 56 2" xfId="22645" xr:uid="{00000000-0005-0000-0000-00001D4C0000}"/>
    <cellStyle name="Normal 5 57" xfId="10523" xr:uid="{00000000-0005-0000-0000-00001E4C0000}"/>
    <cellStyle name="Normal 5 57 2" xfId="22646" xr:uid="{00000000-0005-0000-0000-00001F4C0000}"/>
    <cellStyle name="Normal 5 58" xfId="10524" xr:uid="{00000000-0005-0000-0000-0000204C0000}"/>
    <cellStyle name="Normal 5 58 2" xfId="22647" xr:uid="{00000000-0005-0000-0000-0000214C0000}"/>
    <cellStyle name="Normal 5 59" xfId="10525" xr:uid="{00000000-0005-0000-0000-0000224C0000}"/>
    <cellStyle name="Normal 5 59 2" xfId="22648" xr:uid="{00000000-0005-0000-0000-0000234C0000}"/>
    <cellStyle name="Normal 5 6" xfId="131" xr:uid="{00000000-0005-0000-0000-0000244C0000}"/>
    <cellStyle name="Normal 5 6 2" xfId="15348" xr:uid="{00000000-0005-0000-0000-0000254C0000}"/>
    <cellStyle name="Normal 5 6 3" xfId="3182" xr:uid="{00000000-0005-0000-0000-0000264C0000}"/>
    <cellStyle name="Normal 5 60" xfId="10526" xr:uid="{00000000-0005-0000-0000-0000274C0000}"/>
    <cellStyle name="Normal 5 60 2" xfId="22649" xr:uid="{00000000-0005-0000-0000-0000284C0000}"/>
    <cellStyle name="Normal 5 61" xfId="10527" xr:uid="{00000000-0005-0000-0000-0000294C0000}"/>
    <cellStyle name="Normal 5 61 2" xfId="22650" xr:uid="{00000000-0005-0000-0000-00002A4C0000}"/>
    <cellStyle name="Normal 5 62" xfId="10528" xr:uid="{00000000-0005-0000-0000-00002B4C0000}"/>
    <cellStyle name="Normal 5 62 2" xfId="22651" xr:uid="{00000000-0005-0000-0000-00002C4C0000}"/>
    <cellStyle name="Normal 5 63" xfId="10529" xr:uid="{00000000-0005-0000-0000-00002D4C0000}"/>
    <cellStyle name="Normal 5 63 2" xfId="22652" xr:uid="{00000000-0005-0000-0000-00002E4C0000}"/>
    <cellStyle name="Normal 5 64" xfId="10530" xr:uid="{00000000-0005-0000-0000-00002F4C0000}"/>
    <cellStyle name="Normal 5 64 2" xfId="22653" xr:uid="{00000000-0005-0000-0000-0000304C0000}"/>
    <cellStyle name="Normal 5 65" xfId="10531" xr:uid="{00000000-0005-0000-0000-0000314C0000}"/>
    <cellStyle name="Normal 5 65 2" xfId="22654" xr:uid="{00000000-0005-0000-0000-0000324C0000}"/>
    <cellStyle name="Normal 5 66" xfId="10532" xr:uid="{00000000-0005-0000-0000-0000334C0000}"/>
    <cellStyle name="Normal 5 66 2" xfId="22655" xr:uid="{00000000-0005-0000-0000-0000344C0000}"/>
    <cellStyle name="Normal 5 67" xfId="10533" xr:uid="{00000000-0005-0000-0000-0000354C0000}"/>
    <cellStyle name="Normal 5 67 2" xfId="22656" xr:uid="{00000000-0005-0000-0000-0000364C0000}"/>
    <cellStyle name="Normal 5 68" xfId="10534" xr:uid="{00000000-0005-0000-0000-0000374C0000}"/>
    <cellStyle name="Normal 5 68 2" xfId="22657" xr:uid="{00000000-0005-0000-0000-0000384C0000}"/>
    <cellStyle name="Normal 5 69" xfId="10535" xr:uid="{00000000-0005-0000-0000-0000394C0000}"/>
    <cellStyle name="Normal 5 69 2" xfId="22658" xr:uid="{00000000-0005-0000-0000-00003A4C0000}"/>
    <cellStyle name="Normal 5 7" xfId="136" xr:uid="{00000000-0005-0000-0000-00003B4C0000}"/>
    <cellStyle name="Normal 5 7 2" xfId="15349" xr:uid="{00000000-0005-0000-0000-00003C4C0000}"/>
    <cellStyle name="Normal 5 7 3" xfId="3183" xr:uid="{00000000-0005-0000-0000-00003D4C0000}"/>
    <cellStyle name="Normal 5 70" xfId="10536" xr:uid="{00000000-0005-0000-0000-00003E4C0000}"/>
    <cellStyle name="Normal 5 70 2" xfId="22659" xr:uid="{00000000-0005-0000-0000-00003F4C0000}"/>
    <cellStyle name="Normal 5 71" xfId="10537" xr:uid="{00000000-0005-0000-0000-0000404C0000}"/>
    <cellStyle name="Normal 5 71 2" xfId="22660" xr:uid="{00000000-0005-0000-0000-0000414C0000}"/>
    <cellStyle name="Normal 5 72" xfId="10538" xr:uid="{00000000-0005-0000-0000-0000424C0000}"/>
    <cellStyle name="Normal 5 72 2" xfId="22661" xr:uid="{00000000-0005-0000-0000-0000434C0000}"/>
    <cellStyle name="Normal 5 73" xfId="10539" xr:uid="{00000000-0005-0000-0000-0000444C0000}"/>
    <cellStyle name="Normal 5 73 2" xfId="22662" xr:uid="{00000000-0005-0000-0000-0000454C0000}"/>
    <cellStyle name="Normal 5 74" xfId="10540" xr:uid="{00000000-0005-0000-0000-0000464C0000}"/>
    <cellStyle name="Normal 5 74 2" xfId="22663" xr:uid="{00000000-0005-0000-0000-0000474C0000}"/>
    <cellStyle name="Normal 5 75" xfId="10541" xr:uid="{00000000-0005-0000-0000-0000484C0000}"/>
    <cellStyle name="Normal 5 75 2" xfId="22664" xr:uid="{00000000-0005-0000-0000-0000494C0000}"/>
    <cellStyle name="Normal 5 76" xfId="10542" xr:uid="{00000000-0005-0000-0000-00004A4C0000}"/>
    <cellStyle name="Normal 5 76 2" xfId="22665" xr:uid="{00000000-0005-0000-0000-00004B4C0000}"/>
    <cellStyle name="Normal 5 77" xfId="10543" xr:uid="{00000000-0005-0000-0000-00004C4C0000}"/>
    <cellStyle name="Normal 5 77 2" xfId="22666" xr:uid="{00000000-0005-0000-0000-00004D4C0000}"/>
    <cellStyle name="Normal 5 78" xfId="10544" xr:uid="{00000000-0005-0000-0000-00004E4C0000}"/>
    <cellStyle name="Normal 5 78 2" xfId="22667" xr:uid="{00000000-0005-0000-0000-00004F4C0000}"/>
    <cellStyle name="Normal 5 79" xfId="10545" xr:uid="{00000000-0005-0000-0000-0000504C0000}"/>
    <cellStyle name="Normal 5 79 2" xfId="22668" xr:uid="{00000000-0005-0000-0000-0000514C0000}"/>
    <cellStyle name="Normal 5 8" xfId="738" xr:uid="{00000000-0005-0000-0000-0000524C0000}"/>
    <cellStyle name="Normal 5 8 2" xfId="15350" xr:uid="{00000000-0005-0000-0000-0000534C0000}"/>
    <cellStyle name="Normal 5 8 3" xfId="3184" xr:uid="{00000000-0005-0000-0000-0000544C0000}"/>
    <cellStyle name="Normal 5 80" xfId="10546" xr:uid="{00000000-0005-0000-0000-0000554C0000}"/>
    <cellStyle name="Normal 5 80 2" xfId="22669" xr:uid="{00000000-0005-0000-0000-0000564C0000}"/>
    <cellStyle name="Normal 5 81" xfId="10547" xr:uid="{00000000-0005-0000-0000-0000574C0000}"/>
    <cellStyle name="Normal 5 81 2" xfId="22670" xr:uid="{00000000-0005-0000-0000-0000584C0000}"/>
    <cellStyle name="Normal 5 82" xfId="10548" xr:uid="{00000000-0005-0000-0000-0000594C0000}"/>
    <cellStyle name="Normal 5 82 2" xfId="22671" xr:uid="{00000000-0005-0000-0000-00005A4C0000}"/>
    <cellStyle name="Normal 5 83" xfId="27176" xr:uid="{00000000-0005-0000-0000-00005B4C0000}"/>
    <cellStyle name="Normal 5 84" xfId="27417" xr:uid="{00000000-0005-0000-0000-00005C4C0000}"/>
    <cellStyle name="Normal 5 9" xfId="3185" xr:uid="{00000000-0005-0000-0000-00005D4C0000}"/>
    <cellStyle name="Normal 5 9 2" xfId="15351" xr:uid="{00000000-0005-0000-0000-00005E4C0000}"/>
    <cellStyle name="Normal 5_Master List" xfId="101" xr:uid="{00000000-0005-0000-0000-00005F4C0000}"/>
    <cellStyle name="Normal 50" xfId="158" xr:uid="{00000000-0005-0000-0000-0000604C0000}"/>
    <cellStyle name="Normal 50 10" xfId="10549" xr:uid="{00000000-0005-0000-0000-0000614C0000}"/>
    <cellStyle name="Normal 50 10 2" xfId="22673" xr:uid="{00000000-0005-0000-0000-0000624C0000}"/>
    <cellStyle name="Normal 50 11" xfId="10550" xr:uid="{00000000-0005-0000-0000-0000634C0000}"/>
    <cellStyle name="Normal 50 11 2" xfId="22674" xr:uid="{00000000-0005-0000-0000-0000644C0000}"/>
    <cellStyle name="Normal 50 12" xfId="10551" xr:uid="{00000000-0005-0000-0000-0000654C0000}"/>
    <cellStyle name="Normal 50 12 2" xfId="22675" xr:uid="{00000000-0005-0000-0000-0000664C0000}"/>
    <cellStyle name="Normal 50 13" xfId="10552" xr:uid="{00000000-0005-0000-0000-0000674C0000}"/>
    <cellStyle name="Normal 50 13 2" xfId="22676" xr:uid="{00000000-0005-0000-0000-0000684C0000}"/>
    <cellStyle name="Normal 50 14" xfId="10553" xr:uid="{00000000-0005-0000-0000-0000694C0000}"/>
    <cellStyle name="Normal 50 14 2" xfId="22677" xr:uid="{00000000-0005-0000-0000-00006A4C0000}"/>
    <cellStyle name="Normal 50 15" xfId="10554" xr:uid="{00000000-0005-0000-0000-00006B4C0000}"/>
    <cellStyle name="Normal 50 15 2" xfId="22678" xr:uid="{00000000-0005-0000-0000-00006C4C0000}"/>
    <cellStyle name="Normal 50 16" xfId="10555" xr:uid="{00000000-0005-0000-0000-00006D4C0000}"/>
    <cellStyle name="Normal 50 16 2" xfId="22679" xr:uid="{00000000-0005-0000-0000-00006E4C0000}"/>
    <cellStyle name="Normal 50 17" xfId="10556" xr:uid="{00000000-0005-0000-0000-00006F4C0000}"/>
    <cellStyle name="Normal 50 17 2" xfId="22680" xr:uid="{00000000-0005-0000-0000-0000704C0000}"/>
    <cellStyle name="Normal 50 18" xfId="10557" xr:uid="{00000000-0005-0000-0000-0000714C0000}"/>
    <cellStyle name="Normal 50 18 2" xfId="22681" xr:uid="{00000000-0005-0000-0000-0000724C0000}"/>
    <cellStyle name="Normal 50 19" xfId="10558" xr:uid="{00000000-0005-0000-0000-0000734C0000}"/>
    <cellStyle name="Normal 50 19 2" xfId="22682" xr:uid="{00000000-0005-0000-0000-0000744C0000}"/>
    <cellStyle name="Normal 50 2" xfId="739" xr:uid="{00000000-0005-0000-0000-0000754C0000}"/>
    <cellStyle name="Normal 50 2 2" xfId="22683" xr:uid="{00000000-0005-0000-0000-0000764C0000}"/>
    <cellStyle name="Normal 50 2 3" xfId="10559" xr:uid="{00000000-0005-0000-0000-0000774C0000}"/>
    <cellStyle name="Normal 50 20" xfId="10560" xr:uid="{00000000-0005-0000-0000-0000784C0000}"/>
    <cellStyle name="Normal 50 20 2" xfId="22684" xr:uid="{00000000-0005-0000-0000-0000794C0000}"/>
    <cellStyle name="Normal 50 21" xfId="10561" xr:uid="{00000000-0005-0000-0000-00007A4C0000}"/>
    <cellStyle name="Normal 50 21 2" xfId="22685" xr:uid="{00000000-0005-0000-0000-00007B4C0000}"/>
    <cellStyle name="Normal 50 22" xfId="10562" xr:uid="{00000000-0005-0000-0000-00007C4C0000}"/>
    <cellStyle name="Normal 50 22 2" xfId="22686" xr:uid="{00000000-0005-0000-0000-00007D4C0000}"/>
    <cellStyle name="Normal 50 23" xfId="10563" xr:uid="{00000000-0005-0000-0000-00007E4C0000}"/>
    <cellStyle name="Normal 50 23 2" xfId="22687" xr:uid="{00000000-0005-0000-0000-00007F4C0000}"/>
    <cellStyle name="Normal 50 24" xfId="10564" xr:uid="{00000000-0005-0000-0000-0000804C0000}"/>
    <cellStyle name="Normal 50 24 2" xfId="22688" xr:uid="{00000000-0005-0000-0000-0000814C0000}"/>
    <cellStyle name="Normal 50 25" xfId="10565" xr:uid="{00000000-0005-0000-0000-0000824C0000}"/>
    <cellStyle name="Normal 50 25 2" xfId="22689" xr:uid="{00000000-0005-0000-0000-0000834C0000}"/>
    <cellStyle name="Normal 50 26" xfId="10566" xr:uid="{00000000-0005-0000-0000-0000844C0000}"/>
    <cellStyle name="Normal 50 26 2" xfId="22690" xr:uid="{00000000-0005-0000-0000-0000854C0000}"/>
    <cellStyle name="Normal 50 27" xfId="10567" xr:uid="{00000000-0005-0000-0000-0000864C0000}"/>
    <cellStyle name="Normal 50 27 2" xfId="22691" xr:uid="{00000000-0005-0000-0000-0000874C0000}"/>
    <cellStyle name="Normal 50 28" xfId="10568" xr:uid="{00000000-0005-0000-0000-0000884C0000}"/>
    <cellStyle name="Normal 50 28 2" xfId="22692" xr:uid="{00000000-0005-0000-0000-0000894C0000}"/>
    <cellStyle name="Normal 50 29" xfId="10569" xr:uid="{00000000-0005-0000-0000-00008A4C0000}"/>
    <cellStyle name="Normal 50 29 2" xfId="22693" xr:uid="{00000000-0005-0000-0000-00008B4C0000}"/>
    <cellStyle name="Normal 50 3" xfId="372" xr:uid="{00000000-0005-0000-0000-00008C4C0000}"/>
    <cellStyle name="Normal 50 3 2" xfId="22694" xr:uid="{00000000-0005-0000-0000-00008D4C0000}"/>
    <cellStyle name="Normal 50 30" xfId="10570" xr:uid="{00000000-0005-0000-0000-00008E4C0000}"/>
    <cellStyle name="Normal 50 30 2" xfId="22695" xr:uid="{00000000-0005-0000-0000-00008F4C0000}"/>
    <cellStyle name="Normal 50 31" xfId="10571" xr:uid="{00000000-0005-0000-0000-0000904C0000}"/>
    <cellStyle name="Normal 50 31 2" xfId="22696" xr:uid="{00000000-0005-0000-0000-0000914C0000}"/>
    <cellStyle name="Normal 50 32" xfId="10572" xr:uid="{00000000-0005-0000-0000-0000924C0000}"/>
    <cellStyle name="Normal 50 32 2" xfId="22697" xr:uid="{00000000-0005-0000-0000-0000934C0000}"/>
    <cellStyle name="Normal 50 33" xfId="10573" xr:uid="{00000000-0005-0000-0000-0000944C0000}"/>
    <cellStyle name="Normal 50 33 2" xfId="22698" xr:uid="{00000000-0005-0000-0000-0000954C0000}"/>
    <cellStyle name="Normal 50 34" xfId="10574" xr:uid="{00000000-0005-0000-0000-0000964C0000}"/>
    <cellStyle name="Normal 50 34 2" xfId="22699" xr:uid="{00000000-0005-0000-0000-0000974C0000}"/>
    <cellStyle name="Normal 50 35" xfId="10575" xr:uid="{00000000-0005-0000-0000-0000984C0000}"/>
    <cellStyle name="Normal 50 35 2" xfId="22700" xr:uid="{00000000-0005-0000-0000-0000994C0000}"/>
    <cellStyle name="Normal 50 36" xfId="10576" xr:uid="{00000000-0005-0000-0000-00009A4C0000}"/>
    <cellStyle name="Normal 50 36 2" xfId="22701" xr:uid="{00000000-0005-0000-0000-00009B4C0000}"/>
    <cellStyle name="Normal 50 37" xfId="10577" xr:uid="{00000000-0005-0000-0000-00009C4C0000}"/>
    <cellStyle name="Normal 50 37 2" xfId="22702" xr:uid="{00000000-0005-0000-0000-00009D4C0000}"/>
    <cellStyle name="Normal 50 38" xfId="10578" xr:uid="{00000000-0005-0000-0000-00009E4C0000}"/>
    <cellStyle name="Normal 50 38 2" xfId="22703" xr:uid="{00000000-0005-0000-0000-00009F4C0000}"/>
    <cellStyle name="Normal 50 39" xfId="10579" xr:uid="{00000000-0005-0000-0000-0000A04C0000}"/>
    <cellStyle name="Normal 50 39 2" xfId="22704" xr:uid="{00000000-0005-0000-0000-0000A14C0000}"/>
    <cellStyle name="Normal 50 4" xfId="10580" xr:uid="{00000000-0005-0000-0000-0000A24C0000}"/>
    <cellStyle name="Normal 50 4 2" xfId="22705" xr:uid="{00000000-0005-0000-0000-0000A34C0000}"/>
    <cellStyle name="Normal 50 40" xfId="10581" xr:uid="{00000000-0005-0000-0000-0000A44C0000}"/>
    <cellStyle name="Normal 50 40 2" xfId="22706" xr:uid="{00000000-0005-0000-0000-0000A54C0000}"/>
    <cellStyle name="Normal 50 41" xfId="10582" xr:uid="{00000000-0005-0000-0000-0000A64C0000}"/>
    <cellStyle name="Normal 50 41 2" xfId="22707" xr:uid="{00000000-0005-0000-0000-0000A74C0000}"/>
    <cellStyle name="Normal 50 42" xfId="10583" xr:uid="{00000000-0005-0000-0000-0000A84C0000}"/>
    <cellStyle name="Normal 50 42 2" xfId="22708" xr:uid="{00000000-0005-0000-0000-0000A94C0000}"/>
    <cellStyle name="Normal 50 43" xfId="10584" xr:uid="{00000000-0005-0000-0000-0000AA4C0000}"/>
    <cellStyle name="Normal 50 43 2" xfId="22709" xr:uid="{00000000-0005-0000-0000-0000AB4C0000}"/>
    <cellStyle name="Normal 50 44" xfId="10585" xr:uid="{00000000-0005-0000-0000-0000AC4C0000}"/>
    <cellStyle name="Normal 50 44 2" xfId="22710" xr:uid="{00000000-0005-0000-0000-0000AD4C0000}"/>
    <cellStyle name="Normal 50 45" xfId="10586" xr:uid="{00000000-0005-0000-0000-0000AE4C0000}"/>
    <cellStyle name="Normal 50 45 2" xfId="22711" xr:uid="{00000000-0005-0000-0000-0000AF4C0000}"/>
    <cellStyle name="Normal 50 46" xfId="10587" xr:uid="{00000000-0005-0000-0000-0000B04C0000}"/>
    <cellStyle name="Normal 50 46 2" xfId="22712" xr:uid="{00000000-0005-0000-0000-0000B14C0000}"/>
    <cellStyle name="Normal 50 47" xfId="10588" xr:uid="{00000000-0005-0000-0000-0000B24C0000}"/>
    <cellStyle name="Normal 50 47 2" xfId="22713" xr:uid="{00000000-0005-0000-0000-0000B34C0000}"/>
    <cellStyle name="Normal 50 48" xfId="10589" xr:uid="{00000000-0005-0000-0000-0000B44C0000}"/>
    <cellStyle name="Normal 50 48 2" xfId="22714" xr:uid="{00000000-0005-0000-0000-0000B54C0000}"/>
    <cellStyle name="Normal 50 49" xfId="10590" xr:uid="{00000000-0005-0000-0000-0000B64C0000}"/>
    <cellStyle name="Normal 50 49 2" xfId="22715" xr:uid="{00000000-0005-0000-0000-0000B74C0000}"/>
    <cellStyle name="Normal 50 5" xfId="10591" xr:uid="{00000000-0005-0000-0000-0000B84C0000}"/>
    <cellStyle name="Normal 50 5 2" xfId="22716" xr:uid="{00000000-0005-0000-0000-0000B94C0000}"/>
    <cellStyle name="Normal 50 50" xfId="10592" xr:uid="{00000000-0005-0000-0000-0000BA4C0000}"/>
    <cellStyle name="Normal 50 50 2" xfId="22717" xr:uid="{00000000-0005-0000-0000-0000BB4C0000}"/>
    <cellStyle name="Normal 50 51" xfId="10593" xr:uid="{00000000-0005-0000-0000-0000BC4C0000}"/>
    <cellStyle name="Normal 50 51 2" xfId="22718" xr:uid="{00000000-0005-0000-0000-0000BD4C0000}"/>
    <cellStyle name="Normal 50 52" xfId="10594" xr:uid="{00000000-0005-0000-0000-0000BE4C0000}"/>
    <cellStyle name="Normal 50 52 2" xfId="22719" xr:uid="{00000000-0005-0000-0000-0000BF4C0000}"/>
    <cellStyle name="Normal 50 53" xfId="10595" xr:uid="{00000000-0005-0000-0000-0000C04C0000}"/>
    <cellStyle name="Normal 50 53 2" xfId="22720" xr:uid="{00000000-0005-0000-0000-0000C14C0000}"/>
    <cellStyle name="Normal 50 54" xfId="10596" xr:uid="{00000000-0005-0000-0000-0000C24C0000}"/>
    <cellStyle name="Normal 50 54 2" xfId="22721" xr:uid="{00000000-0005-0000-0000-0000C34C0000}"/>
    <cellStyle name="Normal 50 55" xfId="10597" xr:uid="{00000000-0005-0000-0000-0000C44C0000}"/>
    <cellStyle name="Normal 50 55 2" xfId="22722" xr:uid="{00000000-0005-0000-0000-0000C54C0000}"/>
    <cellStyle name="Normal 50 56" xfId="10598" xr:uid="{00000000-0005-0000-0000-0000C64C0000}"/>
    <cellStyle name="Normal 50 56 2" xfId="22723" xr:uid="{00000000-0005-0000-0000-0000C74C0000}"/>
    <cellStyle name="Normal 50 57" xfId="10599" xr:uid="{00000000-0005-0000-0000-0000C84C0000}"/>
    <cellStyle name="Normal 50 57 2" xfId="22724" xr:uid="{00000000-0005-0000-0000-0000C94C0000}"/>
    <cellStyle name="Normal 50 58" xfId="10600" xr:uid="{00000000-0005-0000-0000-0000CA4C0000}"/>
    <cellStyle name="Normal 50 58 2" xfId="22725" xr:uid="{00000000-0005-0000-0000-0000CB4C0000}"/>
    <cellStyle name="Normal 50 59" xfId="10601" xr:uid="{00000000-0005-0000-0000-0000CC4C0000}"/>
    <cellStyle name="Normal 50 59 2" xfId="22726" xr:uid="{00000000-0005-0000-0000-0000CD4C0000}"/>
    <cellStyle name="Normal 50 6" xfId="10602" xr:uid="{00000000-0005-0000-0000-0000CE4C0000}"/>
    <cellStyle name="Normal 50 6 2" xfId="22727" xr:uid="{00000000-0005-0000-0000-0000CF4C0000}"/>
    <cellStyle name="Normal 50 60" xfId="10603" xr:uid="{00000000-0005-0000-0000-0000D04C0000}"/>
    <cellStyle name="Normal 50 60 2" xfId="22728" xr:uid="{00000000-0005-0000-0000-0000D14C0000}"/>
    <cellStyle name="Normal 50 61" xfId="10604" xr:uid="{00000000-0005-0000-0000-0000D24C0000}"/>
    <cellStyle name="Normal 50 61 2" xfId="22729" xr:uid="{00000000-0005-0000-0000-0000D34C0000}"/>
    <cellStyle name="Normal 50 62" xfId="10605" xr:uid="{00000000-0005-0000-0000-0000D44C0000}"/>
    <cellStyle name="Normal 50 62 2" xfId="22730" xr:uid="{00000000-0005-0000-0000-0000D54C0000}"/>
    <cellStyle name="Normal 50 63" xfId="10606" xr:uid="{00000000-0005-0000-0000-0000D64C0000}"/>
    <cellStyle name="Normal 50 63 2" xfId="22731" xr:uid="{00000000-0005-0000-0000-0000D74C0000}"/>
    <cellStyle name="Normal 50 64" xfId="10607" xr:uid="{00000000-0005-0000-0000-0000D84C0000}"/>
    <cellStyle name="Normal 50 64 2" xfId="22732" xr:uid="{00000000-0005-0000-0000-0000D94C0000}"/>
    <cellStyle name="Normal 50 65" xfId="10608" xr:uid="{00000000-0005-0000-0000-0000DA4C0000}"/>
    <cellStyle name="Normal 50 65 2" xfId="22733" xr:uid="{00000000-0005-0000-0000-0000DB4C0000}"/>
    <cellStyle name="Normal 50 66" xfId="10609" xr:uid="{00000000-0005-0000-0000-0000DC4C0000}"/>
    <cellStyle name="Normal 50 66 2" xfId="22734" xr:uid="{00000000-0005-0000-0000-0000DD4C0000}"/>
    <cellStyle name="Normal 50 67" xfId="10610" xr:uid="{00000000-0005-0000-0000-0000DE4C0000}"/>
    <cellStyle name="Normal 50 67 2" xfId="22735" xr:uid="{00000000-0005-0000-0000-0000DF4C0000}"/>
    <cellStyle name="Normal 50 68" xfId="10611" xr:uid="{00000000-0005-0000-0000-0000E04C0000}"/>
    <cellStyle name="Normal 50 68 2" xfId="22736" xr:uid="{00000000-0005-0000-0000-0000E14C0000}"/>
    <cellStyle name="Normal 50 69" xfId="10612" xr:uid="{00000000-0005-0000-0000-0000E24C0000}"/>
    <cellStyle name="Normal 50 69 2" xfId="22737" xr:uid="{00000000-0005-0000-0000-0000E34C0000}"/>
    <cellStyle name="Normal 50 7" xfId="10613" xr:uid="{00000000-0005-0000-0000-0000E44C0000}"/>
    <cellStyle name="Normal 50 7 2" xfId="22738" xr:uid="{00000000-0005-0000-0000-0000E54C0000}"/>
    <cellStyle name="Normal 50 70" xfId="10614" xr:uid="{00000000-0005-0000-0000-0000E64C0000}"/>
    <cellStyle name="Normal 50 70 2" xfId="22739" xr:uid="{00000000-0005-0000-0000-0000E74C0000}"/>
    <cellStyle name="Normal 50 71" xfId="10615" xr:uid="{00000000-0005-0000-0000-0000E84C0000}"/>
    <cellStyle name="Normal 50 71 2" xfId="22740" xr:uid="{00000000-0005-0000-0000-0000E94C0000}"/>
    <cellStyle name="Normal 50 72" xfId="10616" xr:uid="{00000000-0005-0000-0000-0000EA4C0000}"/>
    <cellStyle name="Normal 50 72 2" xfId="22741" xr:uid="{00000000-0005-0000-0000-0000EB4C0000}"/>
    <cellStyle name="Normal 50 73" xfId="10617" xr:uid="{00000000-0005-0000-0000-0000EC4C0000}"/>
    <cellStyle name="Normal 50 73 2" xfId="22742" xr:uid="{00000000-0005-0000-0000-0000ED4C0000}"/>
    <cellStyle name="Normal 50 74" xfId="10618" xr:uid="{00000000-0005-0000-0000-0000EE4C0000}"/>
    <cellStyle name="Normal 50 74 2" xfId="22743" xr:uid="{00000000-0005-0000-0000-0000EF4C0000}"/>
    <cellStyle name="Normal 50 75" xfId="10619" xr:uid="{00000000-0005-0000-0000-0000F04C0000}"/>
    <cellStyle name="Normal 50 75 2" xfId="22744" xr:uid="{00000000-0005-0000-0000-0000F14C0000}"/>
    <cellStyle name="Normal 50 76" xfId="10620" xr:uid="{00000000-0005-0000-0000-0000F24C0000}"/>
    <cellStyle name="Normal 50 76 2" xfId="22745" xr:uid="{00000000-0005-0000-0000-0000F34C0000}"/>
    <cellStyle name="Normal 50 77" xfId="10621" xr:uid="{00000000-0005-0000-0000-0000F44C0000}"/>
    <cellStyle name="Normal 50 77 2" xfId="22746" xr:uid="{00000000-0005-0000-0000-0000F54C0000}"/>
    <cellStyle name="Normal 50 78" xfId="10622" xr:uid="{00000000-0005-0000-0000-0000F64C0000}"/>
    <cellStyle name="Normal 50 78 2" xfId="22747" xr:uid="{00000000-0005-0000-0000-0000F74C0000}"/>
    <cellStyle name="Normal 50 79" xfId="10623" xr:uid="{00000000-0005-0000-0000-0000F84C0000}"/>
    <cellStyle name="Normal 50 79 2" xfId="22748" xr:uid="{00000000-0005-0000-0000-0000F94C0000}"/>
    <cellStyle name="Normal 50 8" xfId="10624" xr:uid="{00000000-0005-0000-0000-0000FA4C0000}"/>
    <cellStyle name="Normal 50 8 2" xfId="22749" xr:uid="{00000000-0005-0000-0000-0000FB4C0000}"/>
    <cellStyle name="Normal 50 80" xfId="22672" xr:uid="{00000000-0005-0000-0000-0000FC4C0000}"/>
    <cellStyle name="Normal 50 9" xfId="10625" xr:uid="{00000000-0005-0000-0000-0000FD4C0000}"/>
    <cellStyle name="Normal 50 9 2" xfId="22750" xr:uid="{00000000-0005-0000-0000-0000FE4C0000}"/>
    <cellStyle name="Normal 51" xfId="157" xr:uid="{00000000-0005-0000-0000-0000FF4C0000}"/>
    <cellStyle name="Normal 51 10" xfId="10626" xr:uid="{00000000-0005-0000-0000-0000004D0000}"/>
    <cellStyle name="Normal 51 10 2" xfId="22752" xr:uid="{00000000-0005-0000-0000-0000014D0000}"/>
    <cellStyle name="Normal 51 11" xfId="10627" xr:uid="{00000000-0005-0000-0000-0000024D0000}"/>
    <cellStyle name="Normal 51 11 2" xfId="22753" xr:uid="{00000000-0005-0000-0000-0000034D0000}"/>
    <cellStyle name="Normal 51 12" xfId="10628" xr:uid="{00000000-0005-0000-0000-0000044D0000}"/>
    <cellStyle name="Normal 51 12 2" xfId="22754" xr:uid="{00000000-0005-0000-0000-0000054D0000}"/>
    <cellStyle name="Normal 51 13" xfId="10629" xr:uid="{00000000-0005-0000-0000-0000064D0000}"/>
    <cellStyle name="Normal 51 13 2" xfId="22755" xr:uid="{00000000-0005-0000-0000-0000074D0000}"/>
    <cellStyle name="Normal 51 14" xfId="10630" xr:uid="{00000000-0005-0000-0000-0000084D0000}"/>
    <cellStyle name="Normal 51 14 2" xfId="22756" xr:uid="{00000000-0005-0000-0000-0000094D0000}"/>
    <cellStyle name="Normal 51 15" xfId="10631" xr:uid="{00000000-0005-0000-0000-00000A4D0000}"/>
    <cellStyle name="Normal 51 15 2" xfId="22757" xr:uid="{00000000-0005-0000-0000-00000B4D0000}"/>
    <cellStyle name="Normal 51 16" xfId="10632" xr:uid="{00000000-0005-0000-0000-00000C4D0000}"/>
    <cellStyle name="Normal 51 16 2" xfId="22758" xr:uid="{00000000-0005-0000-0000-00000D4D0000}"/>
    <cellStyle name="Normal 51 17" xfId="10633" xr:uid="{00000000-0005-0000-0000-00000E4D0000}"/>
    <cellStyle name="Normal 51 17 2" xfId="22759" xr:uid="{00000000-0005-0000-0000-00000F4D0000}"/>
    <cellStyle name="Normal 51 18" xfId="10634" xr:uid="{00000000-0005-0000-0000-0000104D0000}"/>
    <cellStyle name="Normal 51 18 2" xfId="22760" xr:uid="{00000000-0005-0000-0000-0000114D0000}"/>
    <cellStyle name="Normal 51 19" xfId="10635" xr:uid="{00000000-0005-0000-0000-0000124D0000}"/>
    <cellStyle name="Normal 51 19 2" xfId="22761" xr:uid="{00000000-0005-0000-0000-0000134D0000}"/>
    <cellStyle name="Normal 51 2" xfId="740" xr:uid="{00000000-0005-0000-0000-0000144D0000}"/>
    <cellStyle name="Normal 51 2 2" xfId="22762" xr:uid="{00000000-0005-0000-0000-0000154D0000}"/>
    <cellStyle name="Normal 51 2 3" xfId="10636" xr:uid="{00000000-0005-0000-0000-0000164D0000}"/>
    <cellStyle name="Normal 51 20" xfId="10637" xr:uid="{00000000-0005-0000-0000-0000174D0000}"/>
    <cellStyle name="Normal 51 20 2" xfId="22763" xr:uid="{00000000-0005-0000-0000-0000184D0000}"/>
    <cellStyle name="Normal 51 21" xfId="10638" xr:uid="{00000000-0005-0000-0000-0000194D0000}"/>
    <cellStyle name="Normal 51 21 2" xfId="22764" xr:uid="{00000000-0005-0000-0000-00001A4D0000}"/>
    <cellStyle name="Normal 51 22" xfId="10639" xr:uid="{00000000-0005-0000-0000-00001B4D0000}"/>
    <cellStyle name="Normal 51 22 2" xfId="22765" xr:uid="{00000000-0005-0000-0000-00001C4D0000}"/>
    <cellStyle name="Normal 51 23" xfId="10640" xr:uid="{00000000-0005-0000-0000-00001D4D0000}"/>
    <cellStyle name="Normal 51 23 2" xfId="22766" xr:uid="{00000000-0005-0000-0000-00001E4D0000}"/>
    <cellStyle name="Normal 51 24" xfId="10641" xr:uid="{00000000-0005-0000-0000-00001F4D0000}"/>
    <cellStyle name="Normal 51 24 2" xfId="22767" xr:uid="{00000000-0005-0000-0000-0000204D0000}"/>
    <cellStyle name="Normal 51 25" xfId="10642" xr:uid="{00000000-0005-0000-0000-0000214D0000}"/>
    <cellStyle name="Normal 51 25 2" xfId="22768" xr:uid="{00000000-0005-0000-0000-0000224D0000}"/>
    <cellStyle name="Normal 51 26" xfId="10643" xr:uid="{00000000-0005-0000-0000-0000234D0000}"/>
    <cellStyle name="Normal 51 26 2" xfId="22769" xr:uid="{00000000-0005-0000-0000-0000244D0000}"/>
    <cellStyle name="Normal 51 27" xfId="10644" xr:uid="{00000000-0005-0000-0000-0000254D0000}"/>
    <cellStyle name="Normal 51 27 2" xfId="22770" xr:uid="{00000000-0005-0000-0000-0000264D0000}"/>
    <cellStyle name="Normal 51 28" xfId="10645" xr:uid="{00000000-0005-0000-0000-0000274D0000}"/>
    <cellStyle name="Normal 51 28 2" xfId="22771" xr:uid="{00000000-0005-0000-0000-0000284D0000}"/>
    <cellStyle name="Normal 51 29" xfId="10646" xr:uid="{00000000-0005-0000-0000-0000294D0000}"/>
    <cellStyle name="Normal 51 29 2" xfId="22772" xr:uid="{00000000-0005-0000-0000-00002A4D0000}"/>
    <cellStyle name="Normal 51 3" xfId="392" xr:uid="{00000000-0005-0000-0000-00002B4D0000}"/>
    <cellStyle name="Normal 51 3 2" xfId="22773" xr:uid="{00000000-0005-0000-0000-00002C4D0000}"/>
    <cellStyle name="Normal 51 30" xfId="10647" xr:uid="{00000000-0005-0000-0000-00002D4D0000}"/>
    <cellStyle name="Normal 51 30 2" xfId="22774" xr:uid="{00000000-0005-0000-0000-00002E4D0000}"/>
    <cellStyle name="Normal 51 31" xfId="10648" xr:uid="{00000000-0005-0000-0000-00002F4D0000}"/>
    <cellStyle name="Normal 51 31 2" xfId="22775" xr:uid="{00000000-0005-0000-0000-0000304D0000}"/>
    <cellStyle name="Normal 51 32" xfId="10649" xr:uid="{00000000-0005-0000-0000-0000314D0000}"/>
    <cellStyle name="Normal 51 32 2" xfId="22776" xr:uid="{00000000-0005-0000-0000-0000324D0000}"/>
    <cellStyle name="Normal 51 33" xfId="10650" xr:uid="{00000000-0005-0000-0000-0000334D0000}"/>
    <cellStyle name="Normal 51 33 2" xfId="22777" xr:uid="{00000000-0005-0000-0000-0000344D0000}"/>
    <cellStyle name="Normal 51 34" xfId="10651" xr:uid="{00000000-0005-0000-0000-0000354D0000}"/>
    <cellStyle name="Normal 51 34 2" xfId="22778" xr:uid="{00000000-0005-0000-0000-0000364D0000}"/>
    <cellStyle name="Normal 51 35" xfId="10652" xr:uid="{00000000-0005-0000-0000-0000374D0000}"/>
    <cellStyle name="Normal 51 35 2" xfId="22779" xr:uid="{00000000-0005-0000-0000-0000384D0000}"/>
    <cellStyle name="Normal 51 36" xfId="10653" xr:uid="{00000000-0005-0000-0000-0000394D0000}"/>
    <cellStyle name="Normal 51 36 2" xfId="22780" xr:uid="{00000000-0005-0000-0000-00003A4D0000}"/>
    <cellStyle name="Normal 51 37" xfId="10654" xr:uid="{00000000-0005-0000-0000-00003B4D0000}"/>
    <cellStyle name="Normal 51 37 2" xfId="22781" xr:uid="{00000000-0005-0000-0000-00003C4D0000}"/>
    <cellStyle name="Normal 51 38" xfId="10655" xr:uid="{00000000-0005-0000-0000-00003D4D0000}"/>
    <cellStyle name="Normal 51 38 2" xfId="22782" xr:uid="{00000000-0005-0000-0000-00003E4D0000}"/>
    <cellStyle name="Normal 51 39" xfId="10656" xr:uid="{00000000-0005-0000-0000-00003F4D0000}"/>
    <cellStyle name="Normal 51 39 2" xfId="22783" xr:uid="{00000000-0005-0000-0000-0000404D0000}"/>
    <cellStyle name="Normal 51 4" xfId="10657" xr:uid="{00000000-0005-0000-0000-0000414D0000}"/>
    <cellStyle name="Normal 51 4 2" xfId="22784" xr:uid="{00000000-0005-0000-0000-0000424D0000}"/>
    <cellStyle name="Normal 51 40" xfId="10658" xr:uid="{00000000-0005-0000-0000-0000434D0000}"/>
    <cellStyle name="Normal 51 40 2" xfId="22785" xr:uid="{00000000-0005-0000-0000-0000444D0000}"/>
    <cellStyle name="Normal 51 41" xfId="10659" xr:uid="{00000000-0005-0000-0000-0000454D0000}"/>
    <cellStyle name="Normal 51 41 2" xfId="22786" xr:uid="{00000000-0005-0000-0000-0000464D0000}"/>
    <cellStyle name="Normal 51 42" xfId="10660" xr:uid="{00000000-0005-0000-0000-0000474D0000}"/>
    <cellStyle name="Normal 51 42 2" xfId="22787" xr:uid="{00000000-0005-0000-0000-0000484D0000}"/>
    <cellStyle name="Normal 51 43" xfId="10661" xr:uid="{00000000-0005-0000-0000-0000494D0000}"/>
    <cellStyle name="Normal 51 43 2" xfId="22788" xr:uid="{00000000-0005-0000-0000-00004A4D0000}"/>
    <cellStyle name="Normal 51 44" xfId="10662" xr:uid="{00000000-0005-0000-0000-00004B4D0000}"/>
    <cellStyle name="Normal 51 44 2" xfId="22789" xr:uid="{00000000-0005-0000-0000-00004C4D0000}"/>
    <cellStyle name="Normal 51 45" xfId="10663" xr:uid="{00000000-0005-0000-0000-00004D4D0000}"/>
    <cellStyle name="Normal 51 45 2" xfId="22790" xr:uid="{00000000-0005-0000-0000-00004E4D0000}"/>
    <cellStyle name="Normal 51 46" xfId="10664" xr:uid="{00000000-0005-0000-0000-00004F4D0000}"/>
    <cellStyle name="Normal 51 46 2" xfId="22791" xr:uid="{00000000-0005-0000-0000-0000504D0000}"/>
    <cellStyle name="Normal 51 47" xfId="10665" xr:uid="{00000000-0005-0000-0000-0000514D0000}"/>
    <cellStyle name="Normal 51 47 2" xfId="22792" xr:uid="{00000000-0005-0000-0000-0000524D0000}"/>
    <cellStyle name="Normal 51 48" xfId="10666" xr:uid="{00000000-0005-0000-0000-0000534D0000}"/>
    <cellStyle name="Normal 51 48 2" xfId="22793" xr:uid="{00000000-0005-0000-0000-0000544D0000}"/>
    <cellStyle name="Normal 51 49" xfId="10667" xr:uid="{00000000-0005-0000-0000-0000554D0000}"/>
    <cellStyle name="Normal 51 49 2" xfId="22794" xr:uid="{00000000-0005-0000-0000-0000564D0000}"/>
    <cellStyle name="Normal 51 5" xfId="10668" xr:uid="{00000000-0005-0000-0000-0000574D0000}"/>
    <cellStyle name="Normal 51 5 2" xfId="22795" xr:uid="{00000000-0005-0000-0000-0000584D0000}"/>
    <cellStyle name="Normal 51 50" xfId="10669" xr:uid="{00000000-0005-0000-0000-0000594D0000}"/>
    <cellStyle name="Normal 51 50 2" xfId="22796" xr:uid="{00000000-0005-0000-0000-00005A4D0000}"/>
    <cellStyle name="Normal 51 51" xfId="10670" xr:uid="{00000000-0005-0000-0000-00005B4D0000}"/>
    <cellStyle name="Normal 51 51 2" xfId="22797" xr:uid="{00000000-0005-0000-0000-00005C4D0000}"/>
    <cellStyle name="Normal 51 52" xfId="10671" xr:uid="{00000000-0005-0000-0000-00005D4D0000}"/>
    <cellStyle name="Normal 51 52 2" xfId="22798" xr:uid="{00000000-0005-0000-0000-00005E4D0000}"/>
    <cellStyle name="Normal 51 53" xfId="10672" xr:uid="{00000000-0005-0000-0000-00005F4D0000}"/>
    <cellStyle name="Normal 51 53 2" xfId="22799" xr:uid="{00000000-0005-0000-0000-0000604D0000}"/>
    <cellStyle name="Normal 51 54" xfId="10673" xr:uid="{00000000-0005-0000-0000-0000614D0000}"/>
    <cellStyle name="Normal 51 54 2" xfId="22800" xr:uid="{00000000-0005-0000-0000-0000624D0000}"/>
    <cellStyle name="Normal 51 55" xfId="10674" xr:uid="{00000000-0005-0000-0000-0000634D0000}"/>
    <cellStyle name="Normal 51 55 2" xfId="22801" xr:uid="{00000000-0005-0000-0000-0000644D0000}"/>
    <cellStyle name="Normal 51 56" xfId="10675" xr:uid="{00000000-0005-0000-0000-0000654D0000}"/>
    <cellStyle name="Normal 51 56 2" xfId="22802" xr:uid="{00000000-0005-0000-0000-0000664D0000}"/>
    <cellStyle name="Normal 51 57" xfId="10676" xr:uid="{00000000-0005-0000-0000-0000674D0000}"/>
    <cellStyle name="Normal 51 57 2" xfId="22803" xr:uid="{00000000-0005-0000-0000-0000684D0000}"/>
    <cellStyle name="Normal 51 58" xfId="10677" xr:uid="{00000000-0005-0000-0000-0000694D0000}"/>
    <cellStyle name="Normal 51 58 2" xfId="22804" xr:uid="{00000000-0005-0000-0000-00006A4D0000}"/>
    <cellStyle name="Normal 51 59" xfId="10678" xr:uid="{00000000-0005-0000-0000-00006B4D0000}"/>
    <cellStyle name="Normal 51 59 2" xfId="22805" xr:uid="{00000000-0005-0000-0000-00006C4D0000}"/>
    <cellStyle name="Normal 51 6" xfId="10679" xr:uid="{00000000-0005-0000-0000-00006D4D0000}"/>
    <cellStyle name="Normal 51 6 2" xfId="22806" xr:uid="{00000000-0005-0000-0000-00006E4D0000}"/>
    <cellStyle name="Normal 51 60" xfId="10680" xr:uid="{00000000-0005-0000-0000-00006F4D0000}"/>
    <cellStyle name="Normal 51 60 2" xfId="22807" xr:uid="{00000000-0005-0000-0000-0000704D0000}"/>
    <cellStyle name="Normal 51 61" xfId="10681" xr:uid="{00000000-0005-0000-0000-0000714D0000}"/>
    <cellStyle name="Normal 51 61 2" xfId="22808" xr:uid="{00000000-0005-0000-0000-0000724D0000}"/>
    <cellStyle name="Normal 51 62" xfId="10682" xr:uid="{00000000-0005-0000-0000-0000734D0000}"/>
    <cellStyle name="Normal 51 62 2" xfId="22809" xr:uid="{00000000-0005-0000-0000-0000744D0000}"/>
    <cellStyle name="Normal 51 63" xfId="10683" xr:uid="{00000000-0005-0000-0000-0000754D0000}"/>
    <cellStyle name="Normal 51 63 2" xfId="22810" xr:uid="{00000000-0005-0000-0000-0000764D0000}"/>
    <cellStyle name="Normal 51 64" xfId="10684" xr:uid="{00000000-0005-0000-0000-0000774D0000}"/>
    <cellStyle name="Normal 51 64 2" xfId="22811" xr:uid="{00000000-0005-0000-0000-0000784D0000}"/>
    <cellStyle name="Normal 51 65" xfId="10685" xr:uid="{00000000-0005-0000-0000-0000794D0000}"/>
    <cellStyle name="Normal 51 65 2" xfId="22812" xr:uid="{00000000-0005-0000-0000-00007A4D0000}"/>
    <cellStyle name="Normal 51 66" xfId="10686" xr:uid="{00000000-0005-0000-0000-00007B4D0000}"/>
    <cellStyle name="Normal 51 66 2" xfId="22813" xr:uid="{00000000-0005-0000-0000-00007C4D0000}"/>
    <cellStyle name="Normal 51 67" xfId="10687" xr:uid="{00000000-0005-0000-0000-00007D4D0000}"/>
    <cellStyle name="Normal 51 67 2" xfId="22814" xr:uid="{00000000-0005-0000-0000-00007E4D0000}"/>
    <cellStyle name="Normal 51 68" xfId="10688" xr:uid="{00000000-0005-0000-0000-00007F4D0000}"/>
    <cellStyle name="Normal 51 68 2" xfId="22815" xr:uid="{00000000-0005-0000-0000-0000804D0000}"/>
    <cellStyle name="Normal 51 69" xfId="10689" xr:uid="{00000000-0005-0000-0000-0000814D0000}"/>
    <cellStyle name="Normal 51 69 2" xfId="22816" xr:uid="{00000000-0005-0000-0000-0000824D0000}"/>
    <cellStyle name="Normal 51 7" xfId="10690" xr:uid="{00000000-0005-0000-0000-0000834D0000}"/>
    <cellStyle name="Normal 51 7 2" xfId="22817" xr:uid="{00000000-0005-0000-0000-0000844D0000}"/>
    <cellStyle name="Normal 51 70" xfId="10691" xr:uid="{00000000-0005-0000-0000-0000854D0000}"/>
    <cellStyle name="Normal 51 70 2" xfId="22818" xr:uid="{00000000-0005-0000-0000-0000864D0000}"/>
    <cellStyle name="Normal 51 71" xfId="10692" xr:uid="{00000000-0005-0000-0000-0000874D0000}"/>
    <cellStyle name="Normal 51 71 2" xfId="22819" xr:uid="{00000000-0005-0000-0000-0000884D0000}"/>
    <cellStyle name="Normal 51 72" xfId="10693" xr:uid="{00000000-0005-0000-0000-0000894D0000}"/>
    <cellStyle name="Normal 51 72 2" xfId="22820" xr:uid="{00000000-0005-0000-0000-00008A4D0000}"/>
    <cellStyle name="Normal 51 73" xfId="10694" xr:uid="{00000000-0005-0000-0000-00008B4D0000}"/>
    <cellStyle name="Normal 51 73 2" xfId="22821" xr:uid="{00000000-0005-0000-0000-00008C4D0000}"/>
    <cellStyle name="Normal 51 74" xfId="10695" xr:uid="{00000000-0005-0000-0000-00008D4D0000}"/>
    <cellStyle name="Normal 51 74 2" xfId="22822" xr:uid="{00000000-0005-0000-0000-00008E4D0000}"/>
    <cellStyle name="Normal 51 75" xfId="10696" xr:uid="{00000000-0005-0000-0000-00008F4D0000}"/>
    <cellStyle name="Normal 51 75 2" xfId="22823" xr:uid="{00000000-0005-0000-0000-0000904D0000}"/>
    <cellStyle name="Normal 51 76" xfId="10697" xr:uid="{00000000-0005-0000-0000-0000914D0000}"/>
    <cellStyle name="Normal 51 76 2" xfId="22824" xr:uid="{00000000-0005-0000-0000-0000924D0000}"/>
    <cellStyle name="Normal 51 77" xfId="10698" xr:uid="{00000000-0005-0000-0000-0000934D0000}"/>
    <cellStyle name="Normal 51 77 2" xfId="22825" xr:uid="{00000000-0005-0000-0000-0000944D0000}"/>
    <cellStyle name="Normal 51 78" xfId="10699" xr:uid="{00000000-0005-0000-0000-0000954D0000}"/>
    <cellStyle name="Normal 51 78 2" xfId="22826" xr:uid="{00000000-0005-0000-0000-0000964D0000}"/>
    <cellStyle name="Normal 51 79" xfId="10700" xr:uid="{00000000-0005-0000-0000-0000974D0000}"/>
    <cellStyle name="Normal 51 79 2" xfId="22827" xr:uid="{00000000-0005-0000-0000-0000984D0000}"/>
    <cellStyle name="Normal 51 8" xfId="10701" xr:uid="{00000000-0005-0000-0000-0000994D0000}"/>
    <cellStyle name="Normal 51 8 2" xfId="22828" xr:uid="{00000000-0005-0000-0000-00009A4D0000}"/>
    <cellStyle name="Normal 51 80" xfId="22751" xr:uid="{00000000-0005-0000-0000-00009B4D0000}"/>
    <cellStyle name="Normal 51 9" xfId="10702" xr:uid="{00000000-0005-0000-0000-00009C4D0000}"/>
    <cellStyle name="Normal 51 9 2" xfId="22829" xr:uid="{00000000-0005-0000-0000-00009D4D0000}"/>
    <cellStyle name="Normal 52" xfId="159" xr:uid="{00000000-0005-0000-0000-00009E4D0000}"/>
    <cellStyle name="Normal 52 10" xfId="10703" xr:uid="{00000000-0005-0000-0000-00009F4D0000}"/>
    <cellStyle name="Normal 52 10 2" xfId="22831" xr:uid="{00000000-0005-0000-0000-0000A04D0000}"/>
    <cellStyle name="Normal 52 11" xfId="10704" xr:uid="{00000000-0005-0000-0000-0000A14D0000}"/>
    <cellStyle name="Normal 52 11 2" xfId="22832" xr:uid="{00000000-0005-0000-0000-0000A24D0000}"/>
    <cellStyle name="Normal 52 12" xfId="10705" xr:uid="{00000000-0005-0000-0000-0000A34D0000}"/>
    <cellStyle name="Normal 52 12 2" xfId="22833" xr:uid="{00000000-0005-0000-0000-0000A44D0000}"/>
    <cellStyle name="Normal 52 13" xfId="10706" xr:uid="{00000000-0005-0000-0000-0000A54D0000}"/>
    <cellStyle name="Normal 52 13 2" xfId="22834" xr:uid="{00000000-0005-0000-0000-0000A64D0000}"/>
    <cellStyle name="Normal 52 14" xfId="10707" xr:uid="{00000000-0005-0000-0000-0000A74D0000}"/>
    <cellStyle name="Normal 52 14 2" xfId="22835" xr:uid="{00000000-0005-0000-0000-0000A84D0000}"/>
    <cellStyle name="Normal 52 15" xfId="10708" xr:uid="{00000000-0005-0000-0000-0000A94D0000}"/>
    <cellStyle name="Normal 52 15 2" xfId="22836" xr:uid="{00000000-0005-0000-0000-0000AA4D0000}"/>
    <cellStyle name="Normal 52 16" xfId="10709" xr:uid="{00000000-0005-0000-0000-0000AB4D0000}"/>
    <cellStyle name="Normal 52 16 2" xfId="22837" xr:uid="{00000000-0005-0000-0000-0000AC4D0000}"/>
    <cellStyle name="Normal 52 17" xfId="10710" xr:uid="{00000000-0005-0000-0000-0000AD4D0000}"/>
    <cellStyle name="Normal 52 17 2" xfId="22838" xr:uid="{00000000-0005-0000-0000-0000AE4D0000}"/>
    <cellStyle name="Normal 52 18" xfId="10711" xr:uid="{00000000-0005-0000-0000-0000AF4D0000}"/>
    <cellStyle name="Normal 52 18 2" xfId="22839" xr:uid="{00000000-0005-0000-0000-0000B04D0000}"/>
    <cellStyle name="Normal 52 19" xfId="10712" xr:uid="{00000000-0005-0000-0000-0000B14D0000}"/>
    <cellStyle name="Normal 52 19 2" xfId="22840" xr:uid="{00000000-0005-0000-0000-0000B24D0000}"/>
    <cellStyle name="Normal 52 2" xfId="741" xr:uid="{00000000-0005-0000-0000-0000B34D0000}"/>
    <cellStyle name="Normal 52 2 2" xfId="22841" xr:uid="{00000000-0005-0000-0000-0000B44D0000}"/>
    <cellStyle name="Normal 52 2 3" xfId="10713" xr:uid="{00000000-0005-0000-0000-0000B54D0000}"/>
    <cellStyle name="Normal 52 20" xfId="10714" xr:uid="{00000000-0005-0000-0000-0000B64D0000}"/>
    <cellStyle name="Normal 52 20 2" xfId="22842" xr:uid="{00000000-0005-0000-0000-0000B74D0000}"/>
    <cellStyle name="Normal 52 21" xfId="10715" xr:uid="{00000000-0005-0000-0000-0000B84D0000}"/>
    <cellStyle name="Normal 52 21 2" xfId="22843" xr:uid="{00000000-0005-0000-0000-0000B94D0000}"/>
    <cellStyle name="Normal 52 22" xfId="10716" xr:uid="{00000000-0005-0000-0000-0000BA4D0000}"/>
    <cellStyle name="Normal 52 22 2" xfId="22844" xr:uid="{00000000-0005-0000-0000-0000BB4D0000}"/>
    <cellStyle name="Normal 52 23" xfId="10717" xr:uid="{00000000-0005-0000-0000-0000BC4D0000}"/>
    <cellStyle name="Normal 52 23 2" xfId="22845" xr:uid="{00000000-0005-0000-0000-0000BD4D0000}"/>
    <cellStyle name="Normal 52 24" xfId="10718" xr:uid="{00000000-0005-0000-0000-0000BE4D0000}"/>
    <cellStyle name="Normal 52 24 2" xfId="22846" xr:uid="{00000000-0005-0000-0000-0000BF4D0000}"/>
    <cellStyle name="Normal 52 25" xfId="10719" xr:uid="{00000000-0005-0000-0000-0000C04D0000}"/>
    <cellStyle name="Normal 52 25 2" xfId="22847" xr:uid="{00000000-0005-0000-0000-0000C14D0000}"/>
    <cellStyle name="Normal 52 26" xfId="10720" xr:uid="{00000000-0005-0000-0000-0000C24D0000}"/>
    <cellStyle name="Normal 52 26 2" xfId="22848" xr:uid="{00000000-0005-0000-0000-0000C34D0000}"/>
    <cellStyle name="Normal 52 27" xfId="10721" xr:uid="{00000000-0005-0000-0000-0000C44D0000}"/>
    <cellStyle name="Normal 52 27 2" xfId="22849" xr:uid="{00000000-0005-0000-0000-0000C54D0000}"/>
    <cellStyle name="Normal 52 28" xfId="10722" xr:uid="{00000000-0005-0000-0000-0000C64D0000}"/>
    <cellStyle name="Normal 52 28 2" xfId="22850" xr:uid="{00000000-0005-0000-0000-0000C74D0000}"/>
    <cellStyle name="Normal 52 29" xfId="10723" xr:uid="{00000000-0005-0000-0000-0000C84D0000}"/>
    <cellStyle name="Normal 52 29 2" xfId="22851" xr:uid="{00000000-0005-0000-0000-0000C94D0000}"/>
    <cellStyle name="Normal 52 3" xfId="393" xr:uid="{00000000-0005-0000-0000-0000CA4D0000}"/>
    <cellStyle name="Normal 52 3 2" xfId="22852" xr:uid="{00000000-0005-0000-0000-0000CB4D0000}"/>
    <cellStyle name="Normal 52 30" xfId="10724" xr:uid="{00000000-0005-0000-0000-0000CC4D0000}"/>
    <cellStyle name="Normal 52 30 2" xfId="22853" xr:uid="{00000000-0005-0000-0000-0000CD4D0000}"/>
    <cellStyle name="Normal 52 31" xfId="10725" xr:uid="{00000000-0005-0000-0000-0000CE4D0000}"/>
    <cellStyle name="Normal 52 31 2" xfId="22854" xr:uid="{00000000-0005-0000-0000-0000CF4D0000}"/>
    <cellStyle name="Normal 52 32" xfId="10726" xr:uid="{00000000-0005-0000-0000-0000D04D0000}"/>
    <cellStyle name="Normal 52 32 2" xfId="22855" xr:uid="{00000000-0005-0000-0000-0000D14D0000}"/>
    <cellStyle name="Normal 52 33" xfId="10727" xr:uid="{00000000-0005-0000-0000-0000D24D0000}"/>
    <cellStyle name="Normal 52 33 2" xfId="22856" xr:uid="{00000000-0005-0000-0000-0000D34D0000}"/>
    <cellStyle name="Normal 52 34" xfId="10728" xr:uid="{00000000-0005-0000-0000-0000D44D0000}"/>
    <cellStyle name="Normal 52 34 2" xfId="22857" xr:uid="{00000000-0005-0000-0000-0000D54D0000}"/>
    <cellStyle name="Normal 52 35" xfId="10729" xr:uid="{00000000-0005-0000-0000-0000D64D0000}"/>
    <cellStyle name="Normal 52 35 2" xfId="22858" xr:uid="{00000000-0005-0000-0000-0000D74D0000}"/>
    <cellStyle name="Normal 52 36" xfId="10730" xr:uid="{00000000-0005-0000-0000-0000D84D0000}"/>
    <cellStyle name="Normal 52 36 2" xfId="22859" xr:uid="{00000000-0005-0000-0000-0000D94D0000}"/>
    <cellStyle name="Normal 52 37" xfId="10731" xr:uid="{00000000-0005-0000-0000-0000DA4D0000}"/>
    <cellStyle name="Normal 52 37 2" xfId="22860" xr:uid="{00000000-0005-0000-0000-0000DB4D0000}"/>
    <cellStyle name="Normal 52 38" xfId="10732" xr:uid="{00000000-0005-0000-0000-0000DC4D0000}"/>
    <cellStyle name="Normal 52 38 2" xfId="22861" xr:uid="{00000000-0005-0000-0000-0000DD4D0000}"/>
    <cellStyle name="Normal 52 39" xfId="10733" xr:uid="{00000000-0005-0000-0000-0000DE4D0000}"/>
    <cellStyle name="Normal 52 39 2" xfId="22862" xr:uid="{00000000-0005-0000-0000-0000DF4D0000}"/>
    <cellStyle name="Normal 52 4" xfId="10734" xr:uid="{00000000-0005-0000-0000-0000E04D0000}"/>
    <cellStyle name="Normal 52 4 2" xfId="22863" xr:uid="{00000000-0005-0000-0000-0000E14D0000}"/>
    <cellStyle name="Normal 52 40" xfId="10735" xr:uid="{00000000-0005-0000-0000-0000E24D0000}"/>
    <cellStyle name="Normal 52 40 2" xfId="22864" xr:uid="{00000000-0005-0000-0000-0000E34D0000}"/>
    <cellStyle name="Normal 52 41" xfId="10736" xr:uid="{00000000-0005-0000-0000-0000E44D0000}"/>
    <cellStyle name="Normal 52 41 2" xfId="22865" xr:uid="{00000000-0005-0000-0000-0000E54D0000}"/>
    <cellStyle name="Normal 52 42" xfId="10737" xr:uid="{00000000-0005-0000-0000-0000E64D0000}"/>
    <cellStyle name="Normal 52 42 2" xfId="22866" xr:uid="{00000000-0005-0000-0000-0000E74D0000}"/>
    <cellStyle name="Normal 52 43" xfId="10738" xr:uid="{00000000-0005-0000-0000-0000E84D0000}"/>
    <cellStyle name="Normal 52 43 2" xfId="22867" xr:uid="{00000000-0005-0000-0000-0000E94D0000}"/>
    <cellStyle name="Normal 52 44" xfId="10739" xr:uid="{00000000-0005-0000-0000-0000EA4D0000}"/>
    <cellStyle name="Normal 52 44 2" xfId="22868" xr:uid="{00000000-0005-0000-0000-0000EB4D0000}"/>
    <cellStyle name="Normal 52 45" xfId="10740" xr:uid="{00000000-0005-0000-0000-0000EC4D0000}"/>
    <cellStyle name="Normal 52 45 2" xfId="22869" xr:uid="{00000000-0005-0000-0000-0000ED4D0000}"/>
    <cellStyle name="Normal 52 46" xfId="10741" xr:uid="{00000000-0005-0000-0000-0000EE4D0000}"/>
    <cellStyle name="Normal 52 46 2" xfId="22870" xr:uid="{00000000-0005-0000-0000-0000EF4D0000}"/>
    <cellStyle name="Normal 52 47" xfId="10742" xr:uid="{00000000-0005-0000-0000-0000F04D0000}"/>
    <cellStyle name="Normal 52 47 2" xfId="22871" xr:uid="{00000000-0005-0000-0000-0000F14D0000}"/>
    <cellStyle name="Normal 52 48" xfId="10743" xr:uid="{00000000-0005-0000-0000-0000F24D0000}"/>
    <cellStyle name="Normal 52 48 2" xfId="22872" xr:uid="{00000000-0005-0000-0000-0000F34D0000}"/>
    <cellStyle name="Normal 52 49" xfId="10744" xr:uid="{00000000-0005-0000-0000-0000F44D0000}"/>
    <cellStyle name="Normal 52 49 2" xfId="22873" xr:uid="{00000000-0005-0000-0000-0000F54D0000}"/>
    <cellStyle name="Normal 52 5" xfId="10745" xr:uid="{00000000-0005-0000-0000-0000F64D0000}"/>
    <cellStyle name="Normal 52 5 2" xfId="22874" xr:uid="{00000000-0005-0000-0000-0000F74D0000}"/>
    <cellStyle name="Normal 52 50" xfId="10746" xr:uid="{00000000-0005-0000-0000-0000F84D0000}"/>
    <cellStyle name="Normal 52 50 2" xfId="22875" xr:uid="{00000000-0005-0000-0000-0000F94D0000}"/>
    <cellStyle name="Normal 52 51" xfId="10747" xr:uid="{00000000-0005-0000-0000-0000FA4D0000}"/>
    <cellStyle name="Normal 52 51 2" xfId="22876" xr:uid="{00000000-0005-0000-0000-0000FB4D0000}"/>
    <cellStyle name="Normal 52 52" xfId="10748" xr:uid="{00000000-0005-0000-0000-0000FC4D0000}"/>
    <cellStyle name="Normal 52 52 2" xfId="22877" xr:uid="{00000000-0005-0000-0000-0000FD4D0000}"/>
    <cellStyle name="Normal 52 53" xfId="10749" xr:uid="{00000000-0005-0000-0000-0000FE4D0000}"/>
    <cellStyle name="Normal 52 53 2" xfId="22878" xr:uid="{00000000-0005-0000-0000-0000FF4D0000}"/>
    <cellStyle name="Normal 52 54" xfId="10750" xr:uid="{00000000-0005-0000-0000-0000004E0000}"/>
    <cellStyle name="Normal 52 54 2" xfId="22879" xr:uid="{00000000-0005-0000-0000-0000014E0000}"/>
    <cellStyle name="Normal 52 55" xfId="10751" xr:uid="{00000000-0005-0000-0000-0000024E0000}"/>
    <cellStyle name="Normal 52 55 2" xfId="22880" xr:uid="{00000000-0005-0000-0000-0000034E0000}"/>
    <cellStyle name="Normal 52 56" xfId="10752" xr:uid="{00000000-0005-0000-0000-0000044E0000}"/>
    <cellStyle name="Normal 52 56 2" xfId="22881" xr:uid="{00000000-0005-0000-0000-0000054E0000}"/>
    <cellStyle name="Normal 52 57" xfId="10753" xr:uid="{00000000-0005-0000-0000-0000064E0000}"/>
    <cellStyle name="Normal 52 57 2" xfId="22882" xr:uid="{00000000-0005-0000-0000-0000074E0000}"/>
    <cellStyle name="Normal 52 58" xfId="10754" xr:uid="{00000000-0005-0000-0000-0000084E0000}"/>
    <cellStyle name="Normal 52 58 2" xfId="22883" xr:uid="{00000000-0005-0000-0000-0000094E0000}"/>
    <cellStyle name="Normal 52 59" xfId="10755" xr:uid="{00000000-0005-0000-0000-00000A4E0000}"/>
    <cellStyle name="Normal 52 59 2" xfId="22884" xr:uid="{00000000-0005-0000-0000-00000B4E0000}"/>
    <cellStyle name="Normal 52 6" xfId="10756" xr:uid="{00000000-0005-0000-0000-00000C4E0000}"/>
    <cellStyle name="Normal 52 6 2" xfId="22885" xr:uid="{00000000-0005-0000-0000-00000D4E0000}"/>
    <cellStyle name="Normal 52 60" xfId="10757" xr:uid="{00000000-0005-0000-0000-00000E4E0000}"/>
    <cellStyle name="Normal 52 60 2" xfId="22886" xr:uid="{00000000-0005-0000-0000-00000F4E0000}"/>
    <cellStyle name="Normal 52 61" xfId="10758" xr:uid="{00000000-0005-0000-0000-0000104E0000}"/>
    <cellStyle name="Normal 52 61 2" xfId="22887" xr:uid="{00000000-0005-0000-0000-0000114E0000}"/>
    <cellStyle name="Normal 52 62" xfId="10759" xr:uid="{00000000-0005-0000-0000-0000124E0000}"/>
    <cellStyle name="Normal 52 62 2" xfId="22888" xr:uid="{00000000-0005-0000-0000-0000134E0000}"/>
    <cellStyle name="Normal 52 63" xfId="10760" xr:uid="{00000000-0005-0000-0000-0000144E0000}"/>
    <cellStyle name="Normal 52 63 2" xfId="22889" xr:uid="{00000000-0005-0000-0000-0000154E0000}"/>
    <cellStyle name="Normal 52 64" xfId="10761" xr:uid="{00000000-0005-0000-0000-0000164E0000}"/>
    <cellStyle name="Normal 52 64 2" xfId="22890" xr:uid="{00000000-0005-0000-0000-0000174E0000}"/>
    <cellStyle name="Normal 52 65" xfId="10762" xr:uid="{00000000-0005-0000-0000-0000184E0000}"/>
    <cellStyle name="Normal 52 65 2" xfId="22891" xr:uid="{00000000-0005-0000-0000-0000194E0000}"/>
    <cellStyle name="Normal 52 66" xfId="10763" xr:uid="{00000000-0005-0000-0000-00001A4E0000}"/>
    <cellStyle name="Normal 52 66 2" xfId="22892" xr:uid="{00000000-0005-0000-0000-00001B4E0000}"/>
    <cellStyle name="Normal 52 67" xfId="10764" xr:uid="{00000000-0005-0000-0000-00001C4E0000}"/>
    <cellStyle name="Normal 52 67 2" xfId="22893" xr:uid="{00000000-0005-0000-0000-00001D4E0000}"/>
    <cellStyle name="Normal 52 68" xfId="10765" xr:uid="{00000000-0005-0000-0000-00001E4E0000}"/>
    <cellStyle name="Normal 52 68 2" xfId="22894" xr:uid="{00000000-0005-0000-0000-00001F4E0000}"/>
    <cellStyle name="Normal 52 69" xfId="10766" xr:uid="{00000000-0005-0000-0000-0000204E0000}"/>
    <cellStyle name="Normal 52 69 2" xfId="22895" xr:uid="{00000000-0005-0000-0000-0000214E0000}"/>
    <cellStyle name="Normal 52 7" xfId="10767" xr:uid="{00000000-0005-0000-0000-0000224E0000}"/>
    <cellStyle name="Normal 52 7 2" xfId="22896" xr:uid="{00000000-0005-0000-0000-0000234E0000}"/>
    <cellStyle name="Normal 52 70" xfId="10768" xr:uid="{00000000-0005-0000-0000-0000244E0000}"/>
    <cellStyle name="Normal 52 70 2" xfId="22897" xr:uid="{00000000-0005-0000-0000-0000254E0000}"/>
    <cellStyle name="Normal 52 71" xfId="10769" xr:uid="{00000000-0005-0000-0000-0000264E0000}"/>
    <cellStyle name="Normal 52 71 2" xfId="22898" xr:uid="{00000000-0005-0000-0000-0000274E0000}"/>
    <cellStyle name="Normal 52 72" xfId="10770" xr:uid="{00000000-0005-0000-0000-0000284E0000}"/>
    <cellStyle name="Normal 52 72 2" xfId="22899" xr:uid="{00000000-0005-0000-0000-0000294E0000}"/>
    <cellStyle name="Normal 52 73" xfId="10771" xr:uid="{00000000-0005-0000-0000-00002A4E0000}"/>
    <cellStyle name="Normal 52 73 2" xfId="22900" xr:uid="{00000000-0005-0000-0000-00002B4E0000}"/>
    <cellStyle name="Normal 52 74" xfId="10772" xr:uid="{00000000-0005-0000-0000-00002C4E0000}"/>
    <cellStyle name="Normal 52 74 2" xfId="22901" xr:uid="{00000000-0005-0000-0000-00002D4E0000}"/>
    <cellStyle name="Normal 52 75" xfId="10773" xr:uid="{00000000-0005-0000-0000-00002E4E0000}"/>
    <cellStyle name="Normal 52 75 2" xfId="22902" xr:uid="{00000000-0005-0000-0000-00002F4E0000}"/>
    <cellStyle name="Normal 52 76" xfId="10774" xr:uid="{00000000-0005-0000-0000-0000304E0000}"/>
    <cellStyle name="Normal 52 76 2" xfId="22903" xr:uid="{00000000-0005-0000-0000-0000314E0000}"/>
    <cellStyle name="Normal 52 77" xfId="10775" xr:uid="{00000000-0005-0000-0000-0000324E0000}"/>
    <cellStyle name="Normal 52 77 2" xfId="22904" xr:uid="{00000000-0005-0000-0000-0000334E0000}"/>
    <cellStyle name="Normal 52 78" xfId="10776" xr:uid="{00000000-0005-0000-0000-0000344E0000}"/>
    <cellStyle name="Normal 52 78 2" xfId="22905" xr:uid="{00000000-0005-0000-0000-0000354E0000}"/>
    <cellStyle name="Normal 52 79" xfId="10777" xr:uid="{00000000-0005-0000-0000-0000364E0000}"/>
    <cellStyle name="Normal 52 79 2" xfId="22906" xr:uid="{00000000-0005-0000-0000-0000374E0000}"/>
    <cellStyle name="Normal 52 8" xfId="10778" xr:uid="{00000000-0005-0000-0000-0000384E0000}"/>
    <cellStyle name="Normal 52 8 2" xfId="22907" xr:uid="{00000000-0005-0000-0000-0000394E0000}"/>
    <cellStyle name="Normal 52 80" xfId="22830" xr:uid="{00000000-0005-0000-0000-00003A4E0000}"/>
    <cellStyle name="Normal 52 9" xfId="10779" xr:uid="{00000000-0005-0000-0000-00003B4E0000}"/>
    <cellStyle name="Normal 52 9 2" xfId="22908" xr:uid="{00000000-0005-0000-0000-00003C4E0000}"/>
    <cellStyle name="Normal 53" xfId="180" xr:uid="{00000000-0005-0000-0000-00003D4E0000}"/>
    <cellStyle name="Normal 53 10" xfId="10780" xr:uid="{00000000-0005-0000-0000-00003E4E0000}"/>
    <cellStyle name="Normal 53 10 2" xfId="22910" xr:uid="{00000000-0005-0000-0000-00003F4E0000}"/>
    <cellStyle name="Normal 53 11" xfId="10781" xr:uid="{00000000-0005-0000-0000-0000404E0000}"/>
    <cellStyle name="Normal 53 11 2" xfId="22911" xr:uid="{00000000-0005-0000-0000-0000414E0000}"/>
    <cellStyle name="Normal 53 12" xfId="10782" xr:uid="{00000000-0005-0000-0000-0000424E0000}"/>
    <cellStyle name="Normal 53 12 2" xfId="22912" xr:uid="{00000000-0005-0000-0000-0000434E0000}"/>
    <cellStyle name="Normal 53 13" xfId="10783" xr:uid="{00000000-0005-0000-0000-0000444E0000}"/>
    <cellStyle name="Normal 53 13 2" xfId="22913" xr:uid="{00000000-0005-0000-0000-0000454E0000}"/>
    <cellStyle name="Normal 53 14" xfId="10784" xr:uid="{00000000-0005-0000-0000-0000464E0000}"/>
    <cellStyle name="Normal 53 14 2" xfId="22914" xr:uid="{00000000-0005-0000-0000-0000474E0000}"/>
    <cellStyle name="Normal 53 15" xfId="10785" xr:uid="{00000000-0005-0000-0000-0000484E0000}"/>
    <cellStyle name="Normal 53 15 2" xfId="22915" xr:uid="{00000000-0005-0000-0000-0000494E0000}"/>
    <cellStyle name="Normal 53 16" xfId="10786" xr:uid="{00000000-0005-0000-0000-00004A4E0000}"/>
    <cellStyle name="Normal 53 16 2" xfId="22916" xr:uid="{00000000-0005-0000-0000-00004B4E0000}"/>
    <cellStyle name="Normal 53 17" xfId="10787" xr:uid="{00000000-0005-0000-0000-00004C4E0000}"/>
    <cellStyle name="Normal 53 17 2" xfId="22917" xr:uid="{00000000-0005-0000-0000-00004D4E0000}"/>
    <cellStyle name="Normal 53 18" xfId="10788" xr:uid="{00000000-0005-0000-0000-00004E4E0000}"/>
    <cellStyle name="Normal 53 18 2" xfId="22918" xr:uid="{00000000-0005-0000-0000-00004F4E0000}"/>
    <cellStyle name="Normal 53 19" xfId="10789" xr:uid="{00000000-0005-0000-0000-0000504E0000}"/>
    <cellStyle name="Normal 53 19 2" xfId="22919" xr:uid="{00000000-0005-0000-0000-0000514E0000}"/>
    <cellStyle name="Normal 53 2" xfId="742" xr:uid="{00000000-0005-0000-0000-0000524E0000}"/>
    <cellStyle name="Normal 53 2 2" xfId="22920" xr:uid="{00000000-0005-0000-0000-0000534E0000}"/>
    <cellStyle name="Normal 53 2 3" xfId="10790" xr:uid="{00000000-0005-0000-0000-0000544E0000}"/>
    <cellStyle name="Normal 53 20" xfId="10791" xr:uid="{00000000-0005-0000-0000-0000554E0000}"/>
    <cellStyle name="Normal 53 20 2" xfId="22921" xr:uid="{00000000-0005-0000-0000-0000564E0000}"/>
    <cellStyle name="Normal 53 21" xfId="10792" xr:uid="{00000000-0005-0000-0000-0000574E0000}"/>
    <cellStyle name="Normal 53 21 2" xfId="22922" xr:uid="{00000000-0005-0000-0000-0000584E0000}"/>
    <cellStyle name="Normal 53 22" xfId="10793" xr:uid="{00000000-0005-0000-0000-0000594E0000}"/>
    <cellStyle name="Normal 53 22 2" xfId="22923" xr:uid="{00000000-0005-0000-0000-00005A4E0000}"/>
    <cellStyle name="Normal 53 23" xfId="10794" xr:uid="{00000000-0005-0000-0000-00005B4E0000}"/>
    <cellStyle name="Normal 53 23 2" xfId="22924" xr:uid="{00000000-0005-0000-0000-00005C4E0000}"/>
    <cellStyle name="Normal 53 24" xfId="10795" xr:uid="{00000000-0005-0000-0000-00005D4E0000}"/>
    <cellStyle name="Normal 53 24 2" xfId="22925" xr:uid="{00000000-0005-0000-0000-00005E4E0000}"/>
    <cellStyle name="Normal 53 25" xfId="10796" xr:uid="{00000000-0005-0000-0000-00005F4E0000}"/>
    <cellStyle name="Normal 53 25 2" xfId="22926" xr:uid="{00000000-0005-0000-0000-0000604E0000}"/>
    <cellStyle name="Normal 53 26" xfId="10797" xr:uid="{00000000-0005-0000-0000-0000614E0000}"/>
    <cellStyle name="Normal 53 26 2" xfId="22927" xr:uid="{00000000-0005-0000-0000-0000624E0000}"/>
    <cellStyle name="Normal 53 27" xfId="10798" xr:uid="{00000000-0005-0000-0000-0000634E0000}"/>
    <cellStyle name="Normal 53 27 2" xfId="22928" xr:uid="{00000000-0005-0000-0000-0000644E0000}"/>
    <cellStyle name="Normal 53 28" xfId="10799" xr:uid="{00000000-0005-0000-0000-0000654E0000}"/>
    <cellStyle name="Normal 53 28 2" xfId="22929" xr:uid="{00000000-0005-0000-0000-0000664E0000}"/>
    <cellStyle name="Normal 53 29" xfId="10800" xr:uid="{00000000-0005-0000-0000-0000674E0000}"/>
    <cellStyle name="Normal 53 29 2" xfId="22930" xr:uid="{00000000-0005-0000-0000-0000684E0000}"/>
    <cellStyle name="Normal 53 3" xfId="394" xr:uid="{00000000-0005-0000-0000-0000694E0000}"/>
    <cellStyle name="Normal 53 3 2" xfId="22931" xr:uid="{00000000-0005-0000-0000-00006A4E0000}"/>
    <cellStyle name="Normal 53 30" xfId="10801" xr:uid="{00000000-0005-0000-0000-00006B4E0000}"/>
    <cellStyle name="Normal 53 30 2" xfId="22932" xr:uid="{00000000-0005-0000-0000-00006C4E0000}"/>
    <cellStyle name="Normal 53 31" xfId="10802" xr:uid="{00000000-0005-0000-0000-00006D4E0000}"/>
    <cellStyle name="Normal 53 31 2" xfId="22933" xr:uid="{00000000-0005-0000-0000-00006E4E0000}"/>
    <cellStyle name="Normal 53 32" xfId="10803" xr:uid="{00000000-0005-0000-0000-00006F4E0000}"/>
    <cellStyle name="Normal 53 32 2" xfId="22934" xr:uid="{00000000-0005-0000-0000-0000704E0000}"/>
    <cellStyle name="Normal 53 33" xfId="10804" xr:uid="{00000000-0005-0000-0000-0000714E0000}"/>
    <cellStyle name="Normal 53 33 2" xfId="22935" xr:uid="{00000000-0005-0000-0000-0000724E0000}"/>
    <cellStyle name="Normal 53 34" xfId="10805" xr:uid="{00000000-0005-0000-0000-0000734E0000}"/>
    <cellStyle name="Normal 53 34 2" xfId="22936" xr:uid="{00000000-0005-0000-0000-0000744E0000}"/>
    <cellStyle name="Normal 53 35" xfId="10806" xr:uid="{00000000-0005-0000-0000-0000754E0000}"/>
    <cellStyle name="Normal 53 35 2" xfId="22937" xr:uid="{00000000-0005-0000-0000-0000764E0000}"/>
    <cellStyle name="Normal 53 36" xfId="10807" xr:uid="{00000000-0005-0000-0000-0000774E0000}"/>
    <cellStyle name="Normal 53 36 2" xfId="22938" xr:uid="{00000000-0005-0000-0000-0000784E0000}"/>
    <cellStyle name="Normal 53 37" xfId="10808" xr:uid="{00000000-0005-0000-0000-0000794E0000}"/>
    <cellStyle name="Normal 53 37 2" xfId="22939" xr:uid="{00000000-0005-0000-0000-00007A4E0000}"/>
    <cellStyle name="Normal 53 38" xfId="10809" xr:uid="{00000000-0005-0000-0000-00007B4E0000}"/>
    <cellStyle name="Normal 53 38 2" xfId="22940" xr:uid="{00000000-0005-0000-0000-00007C4E0000}"/>
    <cellStyle name="Normal 53 39" xfId="10810" xr:uid="{00000000-0005-0000-0000-00007D4E0000}"/>
    <cellStyle name="Normal 53 39 2" xfId="22941" xr:uid="{00000000-0005-0000-0000-00007E4E0000}"/>
    <cellStyle name="Normal 53 4" xfId="10811" xr:uid="{00000000-0005-0000-0000-00007F4E0000}"/>
    <cellStyle name="Normal 53 4 2" xfId="22942" xr:uid="{00000000-0005-0000-0000-0000804E0000}"/>
    <cellStyle name="Normal 53 40" xfId="10812" xr:uid="{00000000-0005-0000-0000-0000814E0000}"/>
    <cellStyle name="Normal 53 40 2" xfId="22943" xr:uid="{00000000-0005-0000-0000-0000824E0000}"/>
    <cellStyle name="Normal 53 41" xfId="10813" xr:uid="{00000000-0005-0000-0000-0000834E0000}"/>
    <cellStyle name="Normal 53 41 2" xfId="22944" xr:uid="{00000000-0005-0000-0000-0000844E0000}"/>
    <cellStyle name="Normal 53 42" xfId="10814" xr:uid="{00000000-0005-0000-0000-0000854E0000}"/>
    <cellStyle name="Normal 53 42 2" xfId="22945" xr:uid="{00000000-0005-0000-0000-0000864E0000}"/>
    <cellStyle name="Normal 53 43" xfId="10815" xr:uid="{00000000-0005-0000-0000-0000874E0000}"/>
    <cellStyle name="Normal 53 43 2" xfId="22946" xr:uid="{00000000-0005-0000-0000-0000884E0000}"/>
    <cellStyle name="Normal 53 44" xfId="10816" xr:uid="{00000000-0005-0000-0000-0000894E0000}"/>
    <cellStyle name="Normal 53 44 2" xfId="22947" xr:uid="{00000000-0005-0000-0000-00008A4E0000}"/>
    <cellStyle name="Normal 53 45" xfId="10817" xr:uid="{00000000-0005-0000-0000-00008B4E0000}"/>
    <cellStyle name="Normal 53 45 2" xfId="22948" xr:uid="{00000000-0005-0000-0000-00008C4E0000}"/>
    <cellStyle name="Normal 53 46" xfId="10818" xr:uid="{00000000-0005-0000-0000-00008D4E0000}"/>
    <cellStyle name="Normal 53 46 2" xfId="22949" xr:uid="{00000000-0005-0000-0000-00008E4E0000}"/>
    <cellStyle name="Normal 53 47" xfId="10819" xr:uid="{00000000-0005-0000-0000-00008F4E0000}"/>
    <cellStyle name="Normal 53 47 2" xfId="22950" xr:uid="{00000000-0005-0000-0000-0000904E0000}"/>
    <cellStyle name="Normal 53 48" xfId="10820" xr:uid="{00000000-0005-0000-0000-0000914E0000}"/>
    <cellStyle name="Normal 53 48 2" xfId="22951" xr:uid="{00000000-0005-0000-0000-0000924E0000}"/>
    <cellStyle name="Normal 53 49" xfId="10821" xr:uid="{00000000-0005-0000-0000-0000934E0000}"/>
    <cellStyle name="Normal 53 49 2" xfId="22952" xr:uid="{00000000-0005-0000-0000-0000944E0000}"/>
    <cellStyle name="Normal 53 5" xfId="10822" xr:uid="{00000000-0005-0000-0000-0000954E0000}"/>
    <cellStyle name="Normal 53 5 2" xfId="22953" xr:uid="{00000000-0005-0000-0000-0000964E0000}"/>
    <cellStyle name="Normal 53 50" xfId="10823" xr:uid="{00000000-0005-0000-0000-0000974E0000}"/>
    <cellStyle name="Normal 53 50 2" xfId="22954" xr:uid="{00000000-0005-0000-0000-0000984E0000}"/>
    <cellStyle name="Normal 53 51" xfId="10824" xr:uid="{00000000-0005-0000-0000-0000994E0000}"/>
    <cellStyle name="Normal 53 51 2" xfId="22955" xr:uid="{00000000-0005-0000-0000-00009A4E0000}"/>
    <cellStyle name="Normal 53 52" xfId="10825" xr:uid="{00000000-0005-0000-0000-00009B4E0000}"/>
    <cellStyle name="Normal 53 52 2" xfId="22956" xr:uid="{00000000-0005-0000-0000-00009C4E0000}"/>
    <cellStyle name="Normal 53 53" xfId="10826" xr:uid="{00000000-0005-0000-0000-00009D4E0000}"/>
    <cellStyle name="Normal 53 53 2" xfId="22957" xr:uid="{00000000-0005-0000-0000-00009E4E0000}"/>
    <cellStyle name="Normal 53 54" xfId="10827" xr:uid="{00000000-0005-0000-0000-00009F4E0000}"/>
    <cellStyle name="Normal 53 54 2" xfId="22958" xr:uid="{00000000-0005-0000-0000-0000A04E0000}"/>
    <cellStyle name="Normal 53 55" xfId="10828" xr:uid="{00000000-0005-0000-0000-0000A14E0000}"/>
    <cellStyle name="Normal 53 55 2" xfId="22959" xr:uid="{00000000-0005-0000-0000-0000A24E0000}"/>
    <cellStyle name="Normal 53 56" xfId="10829" xr:uid="{00000000-0005-0000-0000-0000A34E0000}"/>
    <cellStyle name="Normal 53 56 2" xfId="22960" xr:uid="{00000000-0005-0000-0000-0000A44E0000}"/>
    <cellStyle name="Normal 53 57" xfId="10830" xr:uid="{00000000-0005-0000-0000-0000A54E0000}"/>
    <cellStyle name="Normal 53 57 2" xfId="22961" xr:uid="{00000000-0005-0000-0000-0000A64E0000}"/>
    <cellStyle name="Normal 53 58" xfId="10831" xr:uid="{00000000-0005-0000-0000-0000A74E0000}"/>
    <cellStyle name="Normal 53 58 2" xfId="22962" xr:uid="{00000000-0005-0000-0000-0000A84E0000}"/>
    <cellStyle name="Normal 53 59" xfId="10832" xr:uid="{00000000-0005-0000-0000-0000A94E0000}"/>
    <cellStyle name="Normal 53 59 2" xfId="22963" xr:uid="{00000000-0005-0000-0000-0000AA4E0000}"/>
    <cellStyle name="Normal 53 6" xfId="10833" xr:uid="{00000000-0005-0000-0000-0000AB4E0000}"/>
    <cellStyle name="Normal 53 6 2" xfId="22964" xr:uid="{00000000-0005-0000-0000-0000AC4E0000}"/>
    <cellStyle name="Normal 53 60" xfId="10834" xr:uid="{00000000-0005-0000-0000-0000AD4E0000}"/>
    <cellStyle name="Normal 53 60 2" xfId="22965" xr:uid="{00000000-0005-0000-0000-0000AE4E0000}"/>
    <cellStyle name="Normal 53 61" xfId="10835" xr:uid="{00000000-0005-0000-0000-0000AF4E0000}"/>
    <cellStyle name="Normal 53 61 2" xfId="22966" xr:uid="{00000000-0005-0000-0000-0000B04E0000}"/>
    <cellStyle name="Normal 53 62" xfId="10836" xr:uid="{00000000-0005-0000-0000-0000B14E0000}"/>
    <cellStyle name="Normal 53 62 2" xfId="22967" xr:uid="{00000000-0005-0000-0000-0000B24E0000}"/>
    <cellStyle name="Normal 53 63" xfId="10837" xr:uid="{00000000-0005-0000-0000-0000B34E0000}"/>
    <cellStyle name="Normal 53 63 2" xfId="22968" xr:uid="{00000000-0005-0000-0000-0000B44E0000}"/>
    <cellStyle name="Normal 53 64" xfId="10838" xr:uid="{00000000-0005-0000-0000-0000B54E0000}"/>
    <cellStyle name="Normal 53 64 2" xfId="22969" xr:uid="{00000000-0005-0000-0000-0000B64E0000}"/>
    <cellStyle name="Normal 53 65" xfId="10839" xr:uid="{00000000-0005-0000-0000-0000B74E0000}"/>
    <cellStyle name="Normal 53 65 2" xfId="22970" xr:uid="{00000000-0005-0000-0000-0000B84E0000}"/>
    <cellStyle name="Normal 53 66" xfId="10840" xr:uid="{00000000-0005-0000-0000-0000B94E0000}"/>
    <cellStyle name="Normal 53 66 2" xfId="22971" xr:uid="{00000000-0005-0000-0000-0000BA4E0000}"/>
    <cellStyle name="Normal 53 67" xfId="10841" xr:uid="{00000000-0005-0000-0000-0000BB4E0000}"/>
    <cellStyle name="Normal 53 67 2" xfId="22972" xr:uid="{00000000-0005-0000-0000-0000BC4E0000}"/>
    <cellStyle name="Normal 53 68" xfId="10842" xr:uid="{00000000-0005-0000-0000-0000BD4E0000}"/>
    <cellStyle name="Normal 53 68 2" xfId="22973" xr:uid="{00000000-0005-0000-0000-0000BE4E0000}"/>
    <cellStyle name="Normal 53 69" xfId="10843" xr:uid="{00000000-0005-0000-0000-0000BF4E0000}"/>
    <cellStyle name="Normal 53 69 2" xfId="22974" xr:uid="{00000000-0005-0000-0000-0000C04E0000}"/>
    <cellStyle name="Normal 53 7" xfId="10844" xr:uid="{00000000-0005-0000-0000-0000C14E0000}"/>
    <cellStyle name="Normal 53 7 2" xfId="22975" xr:uid="{00000000-0005-0000-0000-0000C24E0000}"/>
    <cellStyle name="Normal 53 70" xfId="10845" xr:uid="{00000000-0005-0000-0000-0000C34E0000}"/>
    <cellStyle name="Normal 53 70 2" xfId="22976" xr:uid="{00000000-0005-0000-0000-0000C44E0000}"/>
    <cellStyle name="Normal 53 71" xfId="10846" xr:uid="{00000000-0005-0000-0000-0000C54E0000}"/>
    <cellStyle name="Normal 53 71 2" xfId="22977" xr:uid="{00000000-0005-0000-0000-0000C64E0000}"/>
    <cellStyle name="Normal 53 72" xfId="10847" xr:uid="{00000000-0005-0000-0000-0000C74E0000}"/>
    <cellStyle name="Normal 53 72 2" xfId="22978" xr:uid="{00000000-0005-0000-0000-0000C84E0000}"/>
    <cellStyle name="Normal 53 73" xfId="10848" xr:uid="{00000000-0005-0000-0000-0000C94E0000}"/>
    <cellStyle name="Normal 53 73 2" xfId="22979" xr:uid="{00000000-0005-0000-0000-0000CA4E0000}"/>
    <cellStyle name="Normal 53 74" xfId="10849" xr:uid="{00000000-0005-0000-0000-0000CB4E0000}"/>
    <cellStyle name="Normal 53 74 2" xfId="22980" xr:uid="{00000000-0005-0000-0000-0000CC4E0000}"/>
    <cellStyle name="Normal 53 75" xfId="10850" xr:uid="{00000000-0005-0000-0000-0000CD4E0000}"/>
    <cellStyle name="Normal 53 75 2" xfId="22981" xr:uid="{00000000-0005-0000-0000-0000CE4E0000}"/>
    <cellStyle name="Normal 53 76" xfId="10851" xr:uid="{00000000-0005-0000-0000-0000CF4E0000}"/>
    <cellStyle name="Normal 53 76 2" xfId="22982" xr:uid="{00000000-0005-0000-0000-0000D04E0000}"/>
    <cellStyle name="Normal 53 77" xfId="10852" xr:uid="{00000000-0005-0000-0000-0000D14E0000}"/>
    <cellStyle name="Normal 53 77 2" xfId="22983" xr:uid="{00000000-0005-0000-0000-0000D24E0000}"/>
    <cellStyle name="Normal 53 78" xfId="10853" xr:uid="{00000000-0005-0000-0000-0000D34E0000}"/>
    <cellStyle name="Normal 53 78 2" xfId="22984" xr:uid="{00000000-0005-0000-0000-0000D44E0000}"/>
    <cellStyle name="Normal 53 79" xfId="10854" xr:uid="{00000000-0005-0000-0000-0000D54E0000}"/>
    <cellStyle name="Normal 53 79 2" xfId="22985" xr:uid="{00000000-0005-0000-0000-0000D64E0000}"/>
    <cellStyle name="Normal 53 8" xfId="10855" xr:uid="{00000000-0005-0000-0000-0000D74E0000}"/>
    <cellStyle name="Normal 53 8 2" xfId="22986" xr:uid="{00000000-0005-0000-0000-0000D84E0000}"/>
    <cellStyle name="Normal 53 80" xfId="22909" xr:uid="{00000000-0005-0000-0000-0000D94E0000}"/>
    <cellStyle name="Normal 53 9" xfId="10856" xr:uid="{00000000-0005-0000-0000-0000DA4E0000}"/>
    <cellStyle name="Normal 53 9 2" xfId="22987" xr:uid="{00000000-0005-0000-0000-0000DB4E0000}"/>
    <cellStyle name="Normal 54" xfId="181" xr:uid="{00000000-0005-0000-0000-0000DC4E0000}"/>
    <cellStyle name="Normal 54 10" xfId="10857" xr:uid="{00000000-0005-0000-0000-0000DD4E0000}"/>
    <cellStyle name="Normal 54 10 2" xfId="22989" xr:uid="{00000000-0005-0000-0000-0000DE4E0000}"/>
    <cellStyle name="Normal 54 11" xfId="10858" xr:uid="{00000000-0005-0000-0000-0000DF4E0000}"/>
    <cellStyle name="Normal 54 11 2" xfId="22990" xr:uid="{00000000-0005-0000-0000-0000E04E0000}"/>
    <cellStyle name="Normal 54 12" xfId="10859" xr:uid="{00000000-0005-0000-0000-0000E14E0000}"/>
    <cellStyle name="Normal 54 12 2" xfId="22991" xr:uid="{00000000-0005-0000-0000-0000E24E0000}"/>
    <cellStyle name="Normal 54 13" xfId="10860" xr:uid="{00000000-0005-0000-0000-0000E34E0000}"/>
    <cellStyle name="Normal 54 13 2" xfId="22992" xr:uid="{00000000-0005-0000-0000-0000E44E0000}"/>
    <cellStyle name="Normal 54 14" xfId="10861" xr:uid="{00000000-0005-0000-0000-0000E54E0000}"/>
    <cellStyle name="Normal 54 14 2" xfId="22993" xr:uid="{00000000-0005-0000-0000-0000E64E0000}"/>
    <cellStyle name="Normal 54 15" xfId="10862" xr:uid="{00000000-0005-0000-0000-0000E74E0000}"/>
    <cellStyle name="Normal 54 15 2" xfId="22994" xr:uid="{00000000-0005-0000-0000-0000E84E0000}"/>
    <cellStyle name="Normal 54 16" xfId="10863" xr:uid="{00000000-0005-0000-0000-0000E94E0000}"/>
    <cellStyle name="Normal 54 16 2" xfId="22995" xr:uid="{00000000-0005-0000-0000-0000EA4E0000}"/>
    <cellStyle name="Normal 54 17" xfId="10864" xr:uid="{00000000-0005-0000-0000-0000EB4E0000}"/>
    <cellStyle name="Normal 54 17 2" xfId="22996" xr:uid="{00000000-0005-0000-0000-0000EC4E0000}"/>
    <cellStyle name="Normal 54 18" xfId="10865" xr:uid="{00000000-0005-0000-0000-0000ED4E0000}"/>
    <cellStyle name="Normal 54 18 2" xfId="22997" xr:uid="{00000000-0005-0000-0000-0000EE4E0000}"/>
    <cellStyle name="Normal 54 19" xfId="10866" xr:uid="{00000000-0005-0000-0000-0000EF4E0000}"/>
    <cellStyle name="Normal 54 19 2" xfId="22998" xr:uid="{00000000-0005-0000-0000-0000F04E0000}"/>
    <cellStyle name="Normal 54 2" xfId="743" xr:uid="{00000000-0005-0000-0000-0000F14E0000}"/>
    <cellStyle name="Normal 54 2 2" xfId="22999" xr:uid="{00000000-0005-0000-0000-0000F24E0000}"/>
    <cellStyle name="Normal 54 2 3" xfId="10867" xr:uid="{00000000-0005-0000-0000-0000F34E0000}"/>
    <cellStyle name="Normal 54 20" xfId="10868" xr:uid="{00000000-0005-0000-0000-0000F44E0000}"/>
    <cellStyle name="Normal 54 20 2" xfId="23000" xr:uid="{00000000-0005-0000-0000-0000F54E0000}"/>
    <cellStyle name="Normal 54 21" xfId="10869" xr:uid="{00000000-0005-0000-0000-0000F64E0000}"/>
    <cellStyle name="Normal 54 21 2" xfId="23001" xr:uid="{00000000-0005-0000-0000-0000F74E0000}"/>
    <cellStyle name="Normal 54 22" xfId="10870" xr:uid="{00000000-0005-0000-0000-0000F84E0000}"/>
    <cellStyle name="Normal 54 22 2" xfId="23002" xr:uid="{00000000-0005-0000-0000-0000F94E0000}"/>
    <cellStyle name="Normal 54 23" xfId="10871" xr:uid="{00000000-0005-0000-0000-0000FA4E0000}"/>
    <cellStyle name="Normal 54 23 2" xfId="23003" xr:uid="{00000000-0005-0000-0000-0000FB4E0000}"/>
    <cellStyle name="Normal 54 24" xfId="10872" xr:uid="{00000000-0005-0000-0000-0000FC4E0000}"/>
    <cellStyle name="Normal 54 24 2" xfId="23004" xr:uid="{00000000-0005-0000-0000-0000FD4E0000}"/>
    <cellStyle name="Normal 54 25" xfId="10873" xr:uid="{00000000-0005-0000-0000-0000FE4E0000}"/>
    <cellStyle name="Normal 54 25 2" xfId="23005" xr:uid="{00000000-0005-0000-0000-0000FF4E0000}"/>
    <cellStyle name="Normal 54 26" xfId="10874" xr:uid="{00000000-0005-0000-0000-0000004F0000}"/>
    <cellStyle name="Normal 54 26 2" xfId="23006" xr:uid="{00000000-0005-0000-0000-0000014F0000}"/>
    <cellStyle name="Normal 54 27" xfId="10875" xr:uid="{00000000-0005-0000-0000-0000024F0000}"/>
    <cellStyle name="Normal 54 27 2" xfId="23007" xr:uid="{00000000-0005-0000-0000-0000034F0000}"/>
    <cellStyle name="Normal 54 28" xfId="10876" xr:uid="{00000000-0005-0000-0000-0000044F0000}"/>
    <cellStyle name="Normal 54 28 2" xfId="23008" xr:uid="{00000000-0005-0000-0000-0000054F0000}"/>
    <cellStyle name="Normal 54 29" xfId="10877" xr:uid="{00000000-0005-0000-0000-0000064F0000}"/>
    <cellStyle name="Normal 54 29 2" xfId="23009" xr:uid="{00000000-0005-0000-0000-0000074F0000}"/>
    <cellStyle name="Normal 54 3" xfId="395" xr:uid="{00000000-0005-0000-0000-0000084F0000}"/>
    <cellStyle name="Normal 54 3 2" xfId="23010" xr:uid="{00000000-0005-0000-0000-0000094F0000}"/>
    <cellStyle name="Normal 54 30" xfId="10878" xr:uid="{00000000-0005-0000-0000-00000A4F0000}"/>
    <cellStyle name="Normal 54 30 2" xfId="23011" xr:uid="{00000000-0005-0000-0000-00000B4F0000}"/>
    <cellStyle name="Normal 54 31" xfId="10879" xr:uid="{00000000-0005-0000-0000-00000C4F0000}"/>
    <cellStyle name="Normal 54 31 2" xfId="23012" xr:uid="{00000000-0005-0000-0000-00000D4F0000}"/>
    <cellStyle name="Normal 54 32" xfId="10880" xr:uid="{00000000-0005-0000-0000-00000E4F0000}"/>
    <cellStyle name="Normal 54 32 2" xfId="23013" xr:uid="{00000000-0005-0000-0000-00000F4F0000}"/>
    <cellStyle name="Normal 54 33" xfId="10881" xr:uid="{00000000-0005-0000-0000-0000104F0000}"/>
    <cellStyle name="Normal 54 33 2" xfId="23014" xr:uid="{00000000-0005-0000-0000-0000114F0000}"/>
    <cellStyle name="Normal 54 34" xfId="10882" xr:uid="{00000000-0005-0000-0000-0000124F0000}"/>
    <cellStyle name="Normal 54 34 2" xfId="23015" xr:uid="{00000000-0005-0000-0000-0000134F0000}"/>
    <cellStyle name="Normal 54 35" xfId="10883" xr:uid="{00000000-0005-0000-0000-0000144F0000}"/>
    <cellStyle name="Normal 54 35 2" xfId="23016" xr:uid="{00000000-0005-0000-0000-0000154F0000}"/>
    <cellStyle name="Normal 54 36" xfId="10884" xr:uid="{00000000-0005-0000-0000-0000164F0000}"/>
    <cellStyle name="Normal 54 36 2" xfId="23017" xr:uid="{00000000-0005-0000-0000-0000174F0000}"/>
    <cellStyle name="Normal 54 37" xfId="10885" xr:uid="{00000000-0005-0000-0000-0000184F0000}"/>
    <cellStyle name="Normal 54 37 2" xfId="23018" xr:uid="{00000000-0005-0000-0000-0000194F0000}"/>
    <cellStyle name="Normal 54 38" xfId="10886" xr:uid="{00000000-0005-0000-0000-00001A4F0000}"/>
    <cellStyle name="Normal 54 38 2" xfId="23019" xr:uid="{00000000-0005-0000-0000-00001B4F0000}"/>
    <cellStyle name="Normal 54 39" xfId="10887" xr:uid="{00000000-0005-0000-0000-00001C4F0000}"/>
    <cellStyle name="Normal 54 39 2" xfId="23020" xr:uid="{00000000-0005-0000-0000-00001D4F0000}"/>
    <cellStyle name="Normal 54 4" xfId="10888" xr:uid="{00000000-0005-0000-0000-00001E4F0000}"/>
    <cellStyle name="Normal 54 4 2" xfId="23021" xr:uid="{00000000-0005-0000-0000-00001F4F0000}"/>
    <cellStyle name="Normal 54 40" xfId="10889" xr:uid="{00000000-0005-0000-0000-0000204F0000}"/>
    <cellStyle name="Normal 54 40 2" xfId="23022" xr:uid="{00000000-0005-0000-0000-0000214F0000}"/>
    <cellStyle name="Normal 54 41" xfId="10890" xr:uid="{00000000-0005-0000-0000-0000224F0000}"/>
    <cellStyle name="Normal 54 41 2" xfId="23023" xr:uid="{00000000-0005-0000-0000-0000234F0000}"/>
    <cellStyle name="Normal 54 42" xfId="10891" xr:uid="{00000000-0005-0000-0000-0000244F0000}"/>
    <cellStyle name="Normal 54 42 2" xfId="23024" xr:uid="{00000000-0005-0000-0000-0000254F0000}"/>
    <cellStyle name="Normal 54 43" xfId="10892" xr:uid="{00000000-0005-0000-0000-0000264F0000}"/>
    <cellStyle name="Normal 54 43 2" xfId="23025" xr:uid="{00000000-0005-0000-0000-0000274F0000}"/>
    <cellStyle name="Normal 54 44" xfId="10893" xr:uid="{00000000-0005-0000-0000-0000284F0000}"/>
    <cellStyle name="Normal 54 44 2" xfId="23026" xr:uid="{00000000-0005-0000-0000-0000294F0000}"/>
    <cellStyle name="Normal 54 45" xfId="10894" xr:uid="{00000000-0005-0000-0000-00002A4F0000}"/>
    <cellStyle name="Normal 54 45 2" xfId="23027" xr:uid="{00000000-0005-0000-0000-00002B4F0000}"/>
    <cellStyle name="Normal 54 46" xfId="10895" xr:uid="{00000000-0005-0000-0000-00002C4F0000}"/>
    <cellStyle name="Normal 54 46 2" xfId="23028" xr:uid="{00000000-0005-0000-0000-00002D4F0000}"/>
    <cellStyle name="Normal 54 47" xfId="10896" xr:uid="{00000000-0005-0000-0000-00002E4F0000}"/>
    <cellStyle name="Normal 54 47 2" xfId="23029" xr:uid="{00000000-0005-0000-0000-00002F4F0000}"/>
    <cellStyle name="Normal 54 48" xfId="10897" xr:uid="{00000000-0005-0000-0000-0000304F0000}"/>
    <cellStyle name="Normal 54 48 2" xfId="23030" xr:uid="{00000000-0005-0000-0000-0000314F0000}"/>
    <cellStyle name="Normal 54 49" xfId="10898" xr:uid="{00000000-0005-0000-0000-0000324F0000}"/>
    <cellStyle name="Normal 54 49 2" xfId="23031" xr:uid="{00000000-0005-0000-0000-0000334F0000}"/>
    <cellStyle name="Normal 54 5" xfId="10899" xr:uid="{00000000-0005-0000-0000-0000344F0000}"/>
    <cellStyle name="Normal 54 5 2" xfId="23032" xr:uid="{00000000-0005-0000-0000-0000354F0000}"/>
    <cellStyle name="Normal 54 50" xfId="10900" xr:uid="{00000000-0005-0000-0000-0000364F0000}"/>
    <cellStyle name="Normal 54 50 2" xfId="23033" xr:uid="{00000000-0005-0000-0000-0000374F0000}"/>
    <cellStyle name="Normal 54 51" xfId="10901" xr:uid="{00000000-0005-0000-0000-0000384F0000}"/>
    <cellStyle name="Normal 54 51 2" xfId="23034" xr:uid="{00000000-0005-0000-0000-0000394F0000}"/>
    <cellStyle name="Normal 54 52" xfId="10902" xr:uid="{00000000-0005-0000-0000-00003A4F0000}"/>
    <cellStyle name="Normal 54 52 2" xfId="23035" xr:uid="{00000000-0005-0000-0000-00003B4F0000}"/>
    <cellStyle name="Normal 54 53" xfId="10903" xr:uid="{00000000-0005-0000-0000-00003C4F0000}"/>
    <cellStyle name="Normal 54 53 2" xfId="23036" xr:uid="{00000000-0005-0000-0000-00003D4F0000}"/>
    <cellStyle name="Normal 54 54" xfId="10904" xr:uid="{00000000-0005-0000-0000-00003E4F0000}"/>
    <cellStyle name="Normal 54 54 2" xfId="23037" xr:uid="{00000000-0005-0000-0000-00003F4F0000}"/>
    <cellStyle name="Normal 54 55" xfId="10905" xr:uid="{00000000-0005-0000-0000-0000404F0000}"/>
    <cellStyle name="Normal 54 55 2" xfId="23038" xr:uid="{00000000-0005-0000-0000-0000414F0000}"/>
    <cellStyle name="Normal 54 56" xfId="10906" xr:uid="{00000000-0005-0000-0000-0000424F0000}"/>
    <cellStyle name="Normal 54 56 2" xfId="23039" xr:uid="{00000000-0005-0000-0000-0000434F0000}"/>
    <cellStyle name="Normal 54 57" xfId="10907" xr:uid="{00000000-0005-0000-0000-0000444F0000}"/>
    <cellStyle name="Normal 54 57 2" xfId="23040" xr:uid="{00000000-0005-0000-0000-0000454F0000}"/>
    <cellStyle name="Normal 54 58" xfId="10908" xr:uid="{00000000-0005-0000-0000-0000464F0000}"/>
    <cellStyle name="Normal 54 58 2" xfId="23041" xr:uid="{00000000-0005-0000-0000-0000474F0000}"/>
    <cellStyle name="Normal 54 59" xfId="10909" xr:uid="{00000000-0005-0000-0000-0000484F0000}"/>
    <cellStyle name="Normal 54 59 2" xfId="23042" xr:uid="{00000000-0005-0000-0000-0000494F0000}"/>
    <cellStyle name="Normal 54 6" xfId="10910" xr:uid="{00000000-0005-0000-0000-00004A4F0000}"/>
    <cellStyle name="Normal 54 6 2" xfId="23043" xr:uid="{00000000-0005-0000-0000-00004B4F0000}"/>
    <cellStyle name="Normal 54 60" xfId="10911" xr:uid="{00000000-0005-0000-0000-00004C4F0000}"/>
    <cellStyle name="Normal 54 60 2" xfId="23044" xr:uid="{00000000-0005-0000-0000-00004D4F0000}"/>
    <cellStyle name="Normal 54 61" xfId="10912" xr:uid="{00000000-0005-0000-0000-00004E4F0000}"/>
    <cellStyle name="Normal 54 61 2" xfId="23045" xr:uid="{00000000-0005-0000-0000-00004F4F0000}"/>
    <cellStyle name="Normal 54 62" xfId="10913" xr:uid="{00000000-0005-0000-0000-0000504F0000}"/>
    <cellStyle name="Normal 54 62 2" xfId="23046" xr:uid="{00000000-0005-0000-0000-0000514F0000}"/>
    <cellStyle name="Normal 54 63" xfId="10914" xr:uid="{00000000-0005-0000-0000-0000524F0000}"/>
    <cellStyle name="Normal 54 63 2" xfId="23047" xr:uid="{00000000-0005-0000-0000-0000534F0000}"/>
    <cellStyle name="Normal 54 64" xfId="10915" xr:uid="{00000000-0005-0000-0000-0000544F0000}"/>
    <cellStyle name="Normal 54 64 2" xfId="23048" xr:uid="{00000000-0005-0000-0000-0000554F0000}"/>
    <cellStyle name="Normal 54 65" xfId="10916" xr:uid="{00000000-0005-0000-0000-0000564F0000}"/>
    <cellStyle name="Normal 54 65 2" xfId="23049" xr:uid="{00000000-0005-0000-0000-0000574F0000}"/>
    <cellStyle name="Normal 54 66" xfId="10917" xr:uid="{00000000-0005-0000-0000-0000584F0000}"/>
    <cellStyle name="Normal 54 66 2" xfId="23050" xr:uid="{00000000-0005-0000-0000-0000594F0000}"/>
    <cellStyle name="Normal 54 67" xfId="10918" xr:uid="{00000000-0005-0000-0000-00005A4F0000}"/>
    <cellStyle name="Normal 54 67 2" xfId="23051" xr:uid="{00000000-0005-0000-0000-00005B4F0000}"/>
    <cellStyle name="Normal 54 68" xfId="10919" xr:uid="{00000000-0005-0000-0000-00005C4F0000}"/>
    <cellStyle name="Normal 54 68 2" xfId="23052" xr:uid="{00000000-0005-0000-0000-00005D4F0000}"/>
    <cellStyle name="Normal 54 69" xfId="10920" xr:uid="{00000000-0005-0000-0000-00005E4F0000}"/>
    <cellStyle name="Normal 54 69 2" xfId="23053" xr:uid="{00000000-0005-0000-0000-00005F4F0000}"/>
    <cellStyle name="Normal 54 7" xfId="10921" xr:uid="{00000000-0005-0000-0000-0000604F0000}"/>
    <cellStyle name="Normal 54 7 2" xfId="23054" xr:uid="{00000000-0005-0000-0000-0000614F0000}"/>
    <cellStyle name="Normal 54 70" xfId="10922" xr:uid="{00000000-0005-0000-0000-0000624F0000}"/>
    <cellStyle name="Normal 54 70 2" xfId="23055" xr:uid="{00000000-0005-0000-0000-0000634F0000}"/>
    <cellStyle name="Normal 54 71" xfId="10923" xr:uid="{00000000-0005-0000-0000-0000644F0000}"/>
    <cellStyle name="Normal 54 71 2" xfId="23056" xr:uid="{00000000-0005-0000-0000-0000654F0000}"/>
    <cellStyle name="Normal 54 72" xfId="10924" xr:uid="{00000000-0005-0000-0000-0000664F0000}"/>
    <cellStyle name="Normal 54 72 2" xfId="23057" xr:uid="{00000000-0005-0000-0000-0000674F0000}"/>
    <cellStyle name="Normal 54 73" xfId="10925" xr:uid="{00000000-0005-0000-0000-0000684F0000}"/>
    <cellStyle name="Normal 54 73 2" xfId="23058" xr:uid="{00000000-0005-0000-0000-0000694F0000}"/>
    <cellStyle name="Normal 54 74" xfId="10926" xr:uid="{00000000-0005-0000-0000-00006A4F0000}"/>
    <cellStyle name="Normal 54 74 2" xfId="23059" xr:uid="{00000000-0005-0000-0000-00006B4F0000}"/>
    <cellStyle name="Normal 54 75" xfId="10927" xr:uid="{00000000-0005-0000-0000-00006C4F0000}"/>
    <cellStyle name="Normal 54 75 2" xfId="23060" xr:uid="{00000000-0005-0000-0000-00006D4F0000}"/>
    <cellStyle name="Normal 54 76" xfId="10928" xr:uid="{00000000-0005-0000-0000-00006E4F0000}"/>
    <cellStyle name="Normal 54 76 2" xfId="23061" xr:uid="{00000000-0005-0000-0000-00006F4F0000}"/>
    <cellStyle name="Normal 54 77" xfId="10929" xr:uid="{00000000-0005-0000-0000-0000704F0000}"/>
    <cellStyle name="Normal 54 77 2" xfId="23062" xr:uid="{00000000-0005-0000-0000-0000714F0000}"/>
    <cellStyle name="Normal 54 78" xfId="10930" xr:uid="{00000000-0005-0000-0000-0000724F0000}"/>
    <cellStyle name="Normal 54 78 2" xfId="23063" xr:uid="{00000000-0005-0000-0000-0000734F0000}"/>
    <cellStyle name="Normal 54 79" xfId="10931" xr:uid="{00000000-0005-0000-0000-0000744F0000}"/>
    <cellStyle name="Normal 54 79 2" xfId="23064" xr:uid="{00000000-0005-0000-0000-0000754F0000}"/>
    <cellStyle name="Normal 54 8" xfId="10932" xr:uid="{00000000-0005-0000-0000-0000764F0000}"/>
    <cellStyle name="Normal 54 8 2" xfId="23065" xr:uid="{00000000-0005-0000-0000-0000774F0000}"/>
    <cellStyle name="Normal 54 80" xfId="22988" xr:uid="{00000000-0005-0000-0000-0000784F0000}"/>
    <cellStyle name="Normal 54 9" xfId="10933" xr:uid="{00000000-0005-0000-0000-0000794F0000}"/>
    <cellStyle name="Normal 54 9 2" xfId="23066" xr:uid="{00000000-0005-0000-0000-00007A4F0000}"/>
    <cellStyle name="Normal 55" xfId="396" xr:uid="{00000000-0005-0000-0000-00007B4F0000}"/>
    <cellStyle name="Normal 55 10" xfId="10934" xr:uid="{00000000-0005-0000-0000-00007C4F0000}"/>
    <cellStyle name="Normal 55 10 2" xfId="23068" xr:uid="{00000000-0005-0000-0000-00007D4F0000}"/>
    <cellStyle name="Normal 55 11" xfId="10935" xr:uid="{00000000-0005-0000-0000-00007E4F0000}"/>
    <cellStyle name="Normal 55 11 2" xfId="23069" xr:uid="{00000000-0005-0000-0000-00007F4F0000}"/>
    <cellStyle name="Normal 55 12" xfId="10936" xr:uid="{00000000-0005-0000-0000-0000804F0000}"/>
    <cellStyle name="Normal 55 12 2" xfId="23070" xr:uid="{00000000-0005-0000-0000-0000814F0000}"/>
    <cellStyle name="Normal 55 13" xfId="10937" xr:uid="{00000000-0005-0000-0000-0000824F0000}"/>
    <cellStyle name="Normal 55 13 2" xfId="23071" xr:uid="{00000000-0005-0000-0000-0000834F0000}"/>
    <cellStyle name="Normal 55 14" xfId="10938" xr:uid="{00000000-0005-0000-0000-0000844F0000}"/>
    <cellStyle name="Normal 55 14 2" xfId="23072" xr:uid="{00000000-0005-0000-0000-0000854F0000}"/>
    <cellStyle name="Normal 55 15" xfId="10939" xr:uid="{00000000-0005-0000-0000-0000864F0000}"/>
    <cellStyle name="Normal 55 15 2" xfId="23073" xr:uid="{00000000-0005-0000-0000-0000874F0000}"/>
    <cellStyle name="Normal 55 16" xfId="10940" xr:uid="{00000000-0005-0000-0000-0000884F0000}"/>
    <cellStyle name="Normal 55 16 2" xfId="23074" xr:uid="{00000000-0005-0000-0000-0000894F0000}"/>
    <cellStyle name="Normal 55 17" xfId="10941" xr:uid="{00000000-0005-0000-0000-00008A4F0000}"/>
    <cellStyle name="Normal 55 17 2" xfId="23075" xr:uid="{00000000-0005-0000-0000-00008B4F0000}"/>
    <cellStyle name="Normal 55 18" xfId="10942" xr:uid="{00000000-0005-0000-0000-00008C4F0000}"/>
    <cellStyle name="Normal 55 18 2" xfId="23076" xr:uid="{00000000-0005-0000-0000-00008D4F0000}"/>
    <cellStyle name="Normal 55 19" xfId="10943" xr:uid="{00000000-0005-0000-0000-00008E4F0000}"/>
    <cellStyle name="Normal 55 19 2" xfId="23077" xr:uid="{00000000-0005-0000-0000-00008F4F0000}"/>
    <cellStyle name="Normal 55 2" xfId="10944" xr:uid="{00000000-0005-0000-0000-0000904F0000}"/>
    <cellStyle name="Normal 55 2 2" xfId="23078" xr:uid="{00000000-0005-0000-0000-0000914F0000}"/>
    <cellStyle name="Normal 55 20" xfId="10945" xr:uid="{00000000-0005-0000-0000-0000924F0000}"/>
    <cellStyle name="Normal 55 20 2" xfId="23079" xr:uid="{00000000-0005-0000-0000-0000934F0000}"/>
    <cellStyle name="Normal 55 21" xfId="10946" xr:uid="{00000000-0005-0000-0000-0000944F0000}"/>
    <cellStyle name="Normal 55 21 2" xfId="23080" xr:uid="{00000000-0005-0000-0000-0000954F0000}"/>
    <cellStyle name="Normal 55 22" xfId="10947" xr:uid="{00000000-0005-0000-0000-0000964F0000}"/>
    <cellStyle name="Normal 55 22 2" xfId="23081" xr:uid="{00000000-0005-0000-0000-0000974F0000}"/>
    <cellStyle name="Normal 55 23" xfId="10948" xr:uid="{00000000-0005-0000-0000-0000984F0000}"/>
    <cellStyle name="Normal 55 23 2" xfId="23082" xr:uid="{00000000-0005-0000-0000-0000994F0000}"/>
    <cellStyle name="Normal 55 24" xfId="10949" xr:uid="{00000000-0005-0000-0000-00009A4F0000}"/>
    <cellStyle name="Normal 55 24 2" xfId="23083" xr:uid="{00000000-0005-0000-0000-00009B4F0000}"/>
    <cellStyle name="Normal 55 25" xfId="10950" xr:uid="{00000000-0005-0000-0000-00009C4F0000}"/>
    <cellStyle name="Normal 55 25 2" xfId="23084" xr:uid="{00000000-0005-0000-0000-00009D4F0000}"/>
    <cellStyle name="Normal 55 26" xfId="10951" xr:uid="{00000000-0005-0000-0000-00009E4F0000}"/>
    <cellStyle name="Normal 55 26 2" xfId="23085" xr:uid="{00000000-0005-0000-0000-00009F4F0000}"/>
    <cellStyle name="Normal 55 27" xfId="10952" xr:uid="{00000000-0005-0000-0000-0000A04F0000}"/>
    <cellStyle name="Normal 55 27 2" xfId="23086" xr:uid="{00000000-0005-0000-0000-0000A14F0000}"/>
    <cellStyle name="Normal 55 28" xfId="10953" xr:uid="{00000000-0005-0000-0000-0000A24F0000}"/>
    <cellStyle name="Normal 55 28 2" xfId="23087" xr:uid="{00000000-0005-0000-0000-0000A34F0000}"/>
    <cellStyle name="Normal 55 29" xfId="10954" xr:uid="{00000000-0005-0000-0000-0000A44F0000}"/>
    <cellStyle name="Normal 55 29 2" xfId="23088" xr:uid="{00000000-0005-0000-0000-0000A54F0000}"/>
    <cellStyle name="Normal 55 3" xfId="10955" xr:uid="{00000000-0005-0000-0000-0000A64F0000}"/>
    <cellStyle name="Normal 55 3 2" xfId="23089" xr:uid="{00000000-0005-0000-0000-0000A74F0000}"/>
    <cellStyle name="Normal 55 30" xfId="10956" xr:uid="{00000000-0005-0000-0000-0000A84F0000}"/>
    <cellStyle name="Normal 55 30 2" xfId="23090" xr:uid="{00000000-0005-0000-0000-0000A94F0000}"/>
    <cellStyle name="Normal 55 31" xfId="10957" xr:uid="{00000000-0005-0000-0000-0000AA4F0000}"/>
    <cellStyle name="Normal 55 31 2" xfId="23091" xr:uid="{00000000-0005-0000-0000-0000AB4F0000}"/>
    <cellStyle name="Normal 55 32" xfId="10958" xr:uid="{00000000-0005-0000-0000-0000AC4F0000}"/>
    <cellStyle name="Normal 55 32 2" xfId="23092" xr:uid="{00000000-0005-0000-0000-0000AD4F0000}"/>
    <cellStyle name="Normal 55 33" xfId="10959" xr:uid="{00000000-0005-0000-0000-0000AE4F0000}"/>
    <cellStyle name="Normal 55 33 2" xfId="23093" xr:uid="{00000000-0005-0000-0000-0000AF4F0000}"/>
    <cellStyle name="Normal 55 34" xfId="10960" xr:uid="{00000000-0005-0000-0000-0000B04F0000}"/>
    <cellStyle name="Normal 55 34 2" xfId="23094" xr:uid="{00000000-0005-0000-0000-0000B14F0000}"/>
    <cellStyle name="Normal 55 35" xfId="10961" xr:uid="{00000000-0005-0000-0000-0000B24F0000}"/>
    <cellStyle name="Normal 55 35 2" xfId="23095" xr:uid="{00000000-0005-0000-0000-0000B34F0000}"/>
    <cellStyle name="Normal 55 36" xfId="10962" xr:uid="{00000000-0005-0000-0000-0000B44F0000}"/>
    <cellStyle name="Normal 55 36 2" xfId="23096" xr:uid="{00000000-0005-0000-0000-0000B54F0000}"/>
    <cellStyle name="Normal 55 37" xfId="10963" xr:uid="{00000000-0005-0000-0000-0000B64F0000}"/>
    <cellStyle name="Normal 55 37 2" xfId="23097" xr:uid="{00000000-0005-0000-0000-0000B74F0000}"/>
    <cellStyle name="Normal 55 38" xfId="10964" xr:uid="{00000000-0005-0000-0000-0000B84F0000}"/>
    <cellStyle name="Normal 55 38 2" xfId="23098" xr:uid="{00000000-0005-0000-0000-0000B94F0000}"/>
    <cellStyle name="Normal 55 39" xfId="10965" xr:uid="{00000000-0005-0000-0000-0000BA4F0000}"/>
    <cellStyle name="Normal 55 39 2" xfId="23099" xr:uid="{00000000-0005-0000-0000-0000BB4F0000}"/>
    <cellStyle name="Normal 55 4" xfId="10966" xr:uid="{00000000-0005-0000-0000-0000BC4F0000}"/>
    <cellStyle name="Normal 55 4 2" xfId="23100" xr:uid="{00000000-0005-0000-0000-0000BD4F0000}"/>
    <cellStyle name="Normal 55 40" xfId="10967" xr:uid="{00000000-0005-0000-0000-0000BE4F0000}"/>
    <cellStyle name="Normal 55 40 2" xfId="23101" xr:uid="{00000000-0005-0000-0000-0000BF4F0000}"/>
    <cellStyle name="Normal 55 41" xfId="10968" xr:uid="{00000000-0005-0000-0000-0000C04F0000}"/>
    <cellStyle name="Normal 55 41 2" xfId="23102" xr:uid="{00000000-0005-0000-0000-0000C14F0000}"/>
    <cellStyle name="Normal 55 42" xfId="10969" xr:uid="{00000000-0005-0000-0000-0000C24F0000}"/>
    <cellStyle name="Normal 55 42 2" xfId="23103" xr:uid="{00000000-0005-0000-0000-0000C34F0000}"/>
    <cellStyle name="Normal 55 43" xfId="10970" xr:uid="{00000000-0005-0000-0000-0000C44F0000}"/>
    <cellStyle name="Normal 55 43 2" xfId="23104" xr:uid="{00000000-0005-0000-0000-0000C54F0000}"/>
    <cellStyle name="Normal 55 44" xfId="10971" xr:uid="{00000000-0005-0000-0000-0000C64F0000}"/>
    <cellStyle name="Normal 55 44 2" xfId="23105" xr:uid="{00000000-0005-0000-0000-0000C74F0000}"/>
    <cellStyle name="Normal 55 45" xfId="10972" xr:uid="{00000000-0005-0000-0000-0000C84F0000}"/>
    <cellStyle name="Normal 55 45 2" xfId="23106" xr:uid="{00000000-0005-0000-0000-0000C94F0000}"/>
    <cellStyle name="Normal 55 46" xfId="10973" xr:uid="{00000000-0005-0000-0000-0000CA4F0000}"/>
    <cellStyle name="Normal 55 46 2" xfId="23107" xr:uid="{00000000-0005-0000-0000-0000CB4F0000}"/>
    <cellStyle name="Normal 55 47" xfId="10974" xr:uid="{00000000-0005-0000-0000-0000CC4F0000}"/>
    <cellStyle name="Normal 55 47 2" xfId="23108" xr:uid="{00000000-0005-0000-0000-0000CD4F0000}"/>
    <cellStyle name="Normal 55 48" xfId="10975" xr:uid="{00000000-0005-0000-0000-0000CE4F0000}"/>
    <cellStyle name="Normal 55 48 2" xfId="23109" xr:uid="{00000000-0005-0000-0000-0000CF4F0000}"/>
    <cellStyle name="Normal 55 49" xfId="10976" xr:uid="{00000000-0005-0000-0000-0000D04F0000}"/>
    <cellStyle name="Normal 55 49 2" xfId="23110" xr:uid="{00000000-0005-0000-0000-0000D14F0000}"/>
    <cellStyle name="Normal 55 5" xfId="10977" xr:uid="{00000000-0005-0000-0000-0000D24F0000}"/>
    <cellStyle name="Normal 55 5 2" xfId="23111" xr:uid="{00000000-0005-0000-0000-0000D34F0000}"/>
    <cellStyle name="Normal 55 50" xfId="10978" xr:uid="{00000000-0005-0000-0000-0000D44F0000}"/>
    <cellStyle name="Normal 55 50 2" xfId="23112" xr:uid="{00000000-0005-0000-0000-0000D54F0000}"/>
    <cellStyle name="Normal 55 51" xfId="10979" xr:uid="{00000000-0005-0000-0000-0000D64F0000}"/>
    <cellStyle name="Normal 55 51 2" xfId="23113" xr:uid="{00000000-0005-0000-0000-0000D74F0000}"/>
    <cellStyle name="Normal 55 52" xfId="10980" xr:uid="{00000000-0005-0000-0000-0000D84F0000}"/>
    <cellStyle name="Normal 55 52 2" xfId="23114" xr:uid="{00000000-0005-0000-0000-0000D94F0000}"/>
    <cellStyle name="Normal 55 53" xfId="10981" xr:uid="{00000000-0005-0000-0000-0000DA4F0000}"/>
    <cellStyle name="Normal 55 53 2" xfId="23115" xr:uid="{00000000-0005-0000-0000-0000DB4F0000}"/>
    <cellStyle name="Normal 55 54" xfId="10982" xr:uid="{00000000-0005-0000-0000-0000DC4F0000}"/>
    <cellStyle name="Normal 55 54 2" xfId="23116" xr:uid="{00000000-0005-0000-0000-0000DD4F0000}"/>
    <cellStyle name="Normal 55 55" xfId="10983" xr:uid="{00000000-0005-0000-0000-0000DE4F0000}"/>
    <cellStyle name="Normal 55 55 2" xfId="23117" xr:uid="{00000000-0005-0000-0000-0000DF4F0000}"/>
    <cellStyle name="Normal 55 56" xfId="10984" xr:uid="{00000000-0005-0000-0000-0000E04F0000}"/>
    <cellStyle name="Normal 55 56 2" xfId="23118" xr:uid="{00000000-0005-0000-0000-0000E14F0000}"/>
    <cellStyle name="Normal 55 57" xfId="10985" xr:uid="{00000000-0005-0000-0000-0000E24F0000}"/>
    <cellStyle name="Normal 55 57 2" xfId="23119" xr:uid="{00000000-0005-0000-0000-0000E34F0000}"/>
    <cellStyle name="Normal 55 58" xfId="10986" xr:uid="{00000000-0005-0000-0000-0000E44F0000}"/>
    <cellStyle name="Normal 55 58 2" xfId="23120" xr:uid="{00000000-0005-0000-0000-0000E54F0000}"/>
    <cellStyle name="Normal 55 59" xfId="10987" xr:uid="{00000000-0005-0000-0000-0000E64F0000}"/>
    <cellStyle name="Normal 55 59 2" xfId="23121" xr:uid="{00000000-0005-0000-0000-0000E74F0000}"/>
    <cellStyle name="Normal 55 6" xfId="10988" xr:uid="{00000000-0005-0000-0000-0000E84F0000}"/>
    <cellStyle name="Normal 55 6 2" xfId="23122" xr:uid="{00000000-0005-0000-0000-0000E94F0000}"/>
    <cellStyle name="Normal 55 60" xfId="10989" xr:uid="{00000000-0005-0000-0000-0000EA4F0000}"/>
    <cellStyle name="Normal 55 60 2" xfId="23123" xr:uid="{00000000-0005-0000-0000-0000EB4F0000}"/>
    <cellStyle name="Normal 55 61" xfId="10990" xr:uid="{00000000-0005-0000-0000-0000EC4F0000}"/>
    <cellStyle name="Normal 55 61 2" xfId="23124" xr:uid="{00000000-0005-0000-0000-0000ED4F0000}"/>
    <cellStyle name="Normal 55 62" xfId="10991" xr:uid="{00000000-0005-0000-0000-0000EE4F0000}"/>
    <cellStyle name="Normal 55 62 2" xfId="23125" xr:uid="{00000000-0005-0000-0000-0000EF4F0000}"/>
    <cellStyle name="Normal 55 63" xfId="10992" xr:uid="{00000000-0005-0000-0000-0000F04F0000}"/>
    <cellStyle name="Normal 55 63 2" xfId="23126" xr:uid="{00000000-0005-0000-0000-0000F14F0000}"/>
    <cellStyle name="Normal 55 64" xfId="10993" xr:uid="{00000000-0005-0000-0000-0000F24F0000}"/>
    <cellStyle name="Normal 55 64 2" xfId="23127" xr:uid="{00000000-0005-0000-0000-0000F34F0000}"/>
    <cellStyle name="Normal 55 65" xfId="10994" xr:uid="{00000000-0005-0000-0000-0000F44F0000}"/>
    <cellStyle name="Normal 55 65 2" xfId="23128" xr:uid="{00000000-0005-0000-0000-0000F54F0000}"/>
    <cellStyle name="Normal 55 66" xfId="10995" xr:uid="{00000000-0005-0000-0000-0000F64F0000}"/>
    <cellStyle name="Normal 55 66 2" xfId="23129" xr:uid="{00000000-0005-0000-0000-0000F74F0000}"/>
    <cellStyle name="Normal 55 67" xfId="10996" xr:uid="{00000000-0005-0000-0000-0000F84F0000}"/>
    <cellStyle name="Normal 55 67 2" xfId="23130" xr:uid="{00000000-0005-0000-0000-0000F94F0000}"/>
    <cellStyle name="Normal 55 68" xfId="10997" xr:uid="{00000000-0005-0000-0000-0000FA4F0000}"/>
    <cellStyle name="Normal 55 68 2" xfId="23131" xr:uid="{00000000-0005-0000-0000-0000FB4F0000}"/>
    <cellStyle name="Normal 55 69" xfId="10998" xr:uid="{00000000-0005-0000-0000-0000FC4F0000}"/>
    <cellStyle name="Normal 55 69 2" xfId="23132" xr:uid="{00000000-0005-0000-0000-0000FD4F0000}"/>
    <cellStyle name="Normal 55 7" xfId="10999" xr:uid="{00000000-0005-0000-0000-0000FE4F0000}"/>
    <cellStyle name="Normal 55 7 2" xfId="23133" xr:uid="{00000000-0005-0000-0000-0000FF4F0000}"/>
    <cellStyle name="Normal 55 70" xfId="11000" xr:uid="{00000000-0005-0000-0000-000000500000}"/>
    <cellStyle name="Normal 55 70 2" xfId="23134" xr:uid="{00000000-0005-0000-0000-000001500000}"/>
    <cellStyle name="Normal 55 71" xfId="11001" xr:uid="{00000000-0005-0000-0000-000002500000}"/>
    <cellStyle name="Normal 55 71 2" xfId="23135" xr:uid="{00000000-0005-0000-0000-000003500000}"/>
    <cellStyle name="Normal 55 72" xfId="11002" xr:uid="{00000000-0005-0000-0000-000004500000}"/>
    <cellStyle name="Normal 55 72 2" xfId="23136" xr:uid="{00000000-0005-0000-0000-000005500000}"/>
    <cellStyle name="Normal 55 73" xfId="11003" xr:uid="{00000000-0005-0000-0000-000006500000}"/>
    <cellStyle name="Normal 55 73 2" xfId="23137" xr:uid="{00000000-0005-0000-0000-000007500000}"/>
    <cellStyle name="Normal 55 74" xfId="11004" xr:uid="{00000000-0005-0000-0000-000008500000}"/>
    <cellStyle name="Normal 55 74 2" xfId="23138" xr:uid="{00000000-0005-0000-0000-000009500000}"/>
    <cellStyle name="Normal 55 75" xfId="11005" xr:uid="{00000000-0005-0000-0000-00000A500000}"/>
    <cellStyle name="Normal 55 75 2" xfId="23139" xr:uid="{00000000-0005-0000-0000-00000B500000}"/>
    <cellStyle name="Normal 55 76" xfId="11006" xr:uid="{00000000-0005-0000-0000-00000C500000}"/>
    <cellStyle name="Normal 55 76 2" xfId="23140" xr:uid="{00000000-0005-0000-0000-00000D500000}"/>
    <cellStyle name="Normal 55 77" xfId="11007" xr:uid="{00000000-0005-0000-0000-00000E500000}"/>
    <cellStyle name="Normal 55 77 2" xfId="23141" xr:uid="{00000000-0005-0000-0000-00000F500000}"/>
    <cellStyle name="Normal 55 78" xfId="11008" xr:uid="{00000000-0005-0000-0000-000010500000}"/>
    <cellStyle name="Normal 55 78 2" xfId="23142" xr:uid="{00000000-0005-0000-0000-000011500000}"/>
    <cellStyle name="Normal 55 79" xfId="11009" xr:uid="{00000000-0005-0000-0000-000012500000}"/>
    <cellStyle name="Normal 55 79 2" xfId="23143" xr:uid="{00000000-0005-0000-0000-000013500000}"/>
    <cellStyle name="Normal 55 8" xfId="11010" xr:uid="{00000000-0005-0000-0000-000014500000}"/>
    <cellStyle name="Normal 55 8 2" xfId="23144" xr:uid="{00000000-0005-0000-0000-000015500000}"/>
    <cellStyle name="Normal 55 80" xfId="23067" xr:uid="{00000000-0005-0000-0000-000016500000}"/>
    <cellStyle name="Normal 55 9" xfId="11011" xr:uid="{00000000-0005-0000-0000-000017500000}"/>
    <cellStyle name="Normal 55 9 2" xfId="23145" xr:uid="{00000000-0005-0000-0000-000018500000}"/>
    <cellStyle name="Normal 56" xfId="182" xr:uid="{00000000-0005-0000-0000-000019500000}"/>
    <cellStyle name="Normal 56 10" xfId="11012" xr:uid="{00000000-0005-0000-0000-00001A500000}"/>
    <cellStyle name="Normal 56 10 2" xfId="23147" xr:uid="{00000000-0005-0000-0000-00001B500000}"/>
    <cellStyle name="Normal 56 11" xfId="11013" xr:uid="{00000000-0005-0000-0000-00001C500000}"/>
    <cellStyle name="Normal 56 11 2" xfId="23148" xr:uid="{00000000-0005-0000-0000-00001D500000}"/>
    <cellStyle name="Normal 56 12" xfId="11014" xr:uid="{00000000-0005-0000-0000-00001E500000}"/>
    <cellStyle name="Normal 56 12 2" xfId="23149" xr:uid="{00000000-0005-0000-0000-00001F500000}"/>
    <cellStyle name="Normal 56 13" xfId="11015" xr:uid="{00000000-0005-0000-0000-000020500000}"/>
    <cellStyle name="Normal 56 13 2" xfId="23150" xr:uid="{00000000-0005-0000-0000-000021500000}"/>
    <cellStyle name="Normal 56 14" xfId="11016" xr:uid="{00000000-0005-0000-0000-000022500000}"/>
    <cellStyle name="Normal 56 14 2" xfId="23151" xr:uid="{00000000-0005-0000-0000-000023500000}"/>
    <cellStyle name="Normal 56 15" xfId="11017" xr:uid="{00000000-0005-0000-0000-000024500000}"/>
    <cellStyle name="Normal 56 15 2" xfId="23152" xr:uid="{00000000-0005-0000-0000-000025500000}"/>
    <cellStyle name="Normal 56 16" xfId="11018" xr:uid="{00000000-0005-0000-0000-000026500000}"/>
    <cellStyle name="Normal 56 16 2" xfId="23153" xr:uid="{00000000-0005-0000-0000-000027500000}"/>
    <cellStyle name="Normal 56 17" xfId="11019" xr:uid="{00000000-0005-0000-0000-000028500000}"/>
    <cellStyle name="Normal 56 17 2" xfId="23154" xr:uid="{00000000-0005-0000-0000-000029500000}"/>
    <cellStyle name="Normal 56 18" xfId="11020" xr:uid="{00000000-0005-0000-0000-00002A500000}"/>
    <cellStyle name="Normal 56 18 2" xfId="23155" xr:uid="{00000000-0005-0000-0000-00002B500000}"/>
    <cellStyle name="Normal 56 19" xfId="11021" xr:uid="{00000000-0005-0000-0000-00002C500000}"/>
    <cellStyle name="Normal 56 19 2" xfId="23156" xr:uid="{00000000-0005-0000-0000-00002D500000}"/>
    <cellStyle name="Normal 56 2" xfId="744" xr:uid="{00000000-0005-0000-0000-00002E500000}"/>
    <cellStyle name="Normal 56 2 2" xfId="23157" xr:uid="{00000000-0005-0000-0000-00002F500000}"/>
    <cellStyle name="Normal 56 2 3" xfId="11022" xr:uid="{00000000-0005-0000-0000-000030500000}"/>
    <cellStyle name="Normal 56 20" xfId="11023" xr:uid="{00000000-0005-0000-0000-000031500000}"/>
    <cellStyle name="Normal 56 20 2" xfId="23158" xr:uid="{00000000-0005-0000-0000-000032500000}"/>
    <cellStyle name="Normal 56 21" xfId="11024" xr:uid="{00000000-0005-0000-0000-000033500000}"/>
    <cellStyle name="Normal 56 21 2" xfId="23159" xr:uid="{00000000-0005-0000-0000-000034500000}"/>
    <cellStyle name="Normal 56 22" xfId="11025" xr:uid="{00000000-0005-0000-0000-000035500000}"/>
    <cellStyle name="Normal 56 22 2" xfId="23160" xr:uid="{00000000-0005-0000-0000-000036500000}"/>
    <cellStyle name="Normal 56 23" xfId="11026" xr:uid="{00000000-0005-0000-0000-000037500000}"/>
    <cellStyle name="Normal 56 23 2" xfId="23161" xr:uid="{00000000-0005-0000-0000-000038500000}"/>
    <cellStyle name="Normal 56 24" xfId="11027" xr:uid="{00000000-0005-0000-0000-000039500000}"/>
    <cellStyle name="Normal 56 24 2" xfId="23162" xr:uid="{00000000-0005-0000-0000-00003A500000}"/>
    <cellStyle name="Normal 56 25" xfId="11028" xr:uid="{00000000-0005-0000-0000-00003B500000}"/>
    <cellStyle name="Normal 56 25 2" xfId="23163" xr:uid="{00000000-0005-0000-0000-00003C500000}"/>
    <cellStyle name="Normal 56 26" xfId="11029" xr:uid="{00000000-0005-0000-0000-00003D500000}"/>
    <cellStyle name="Normal 56 26 2" xfId="23164" xr:uid="{00000000-0005-0000-0000-00003E500000}"/>
    <cellStyle name="Normal 56 27" xfId="11030" xr:uid="{00000000-0005-0000-0000-00003F500000}"/>
    <cellStyle name="Normal 56 27 2" xfId="23165" xr:uid="{00000000-0005-0000-0000-000040500000}"/>
    <cellStyle name="Normal 56 28" xfId="11031" xr:uid="{00000000-0005-0000-0000-000041500000}"/>
    <cellStyle name="Normal 56 28 2" xfId="23166" xr:uid="{00000000-0005-0000-0000-000042500000}"/>
    <cellStyle name="Normal 56 29" xfId="11032" xr:uid="{00000000-0005-0000-0000-000043500000}"/>
    <cellStyle name="Normal 56 29 2" xfId="23167" xr:uid="{00000000-0005-0000-0000-000044500000}"/>
    <cellStyle name="Normal 56 3" xfId="397" xr:uid="{00000000-0005-0000-0000-000045500000}"/>
    <cellStyle name="Normal 56 3 2" xfId="23168" xr:uid="{00000000-0005-0000-0000-000046500000}"/>
    <cellStyle name="Normal 56 30" xfId="11033" xr:uid="{00000000-0005-0000-0000-000047500000}"/>
    <cellStyle name="Normal 56 30 2" xfId="23169" xr:uid="{00000000-0005-0000-0000-000048500000}"/>
    <cellStyle name="Normal 56 31" xfId="11034" xr:uid="{00000000-0005-0000-0000-000049500000}"/>
    <cellStyle name="Normal 56 31 2" xfId="23170" xr:uid="{00000000-0005-0000-0000-00004A500000}"/>
    <cellStyle name="Normal 56 32" xfId="11035" xr:uid="{00000000-0005-0000-0000-00004B500000}"/>
    <cellStyle name="Normal 56 32 2" xfId="23171" xr:uid="{00000000-0005-0000-0000-00004C500000}"/>
    <cellStyle name="Normal 56 33" xfId="11036" xr:uid="{00000000-0005-0000-0000-00004D500000}"/>
    <cellStyle name="Normal 56 33 2" xfId="23172" xr:uid="{00000000-0005-0000-0000-00004E500000}"/>
    <cellStyle name="Normal 56 34" xfId="11037" xr:uid="{00000000-0005-0000-0000-00004F500000}"/>
    <cellStyle name="Normal 56 34 2" xfId="23173" xr:uid="{00000000-0005-0000-0000-000050500000}"/>
    <cellStyle name="Normal 56 35" xfId="11038" xr:uid="{00000000-0005-0000-0000-000051500000}"/>
    <cellStyle name="Normal 56 35 2" xfId="23174" xr:uid="{00000000-0005-0000-0000-000052500000}"/>
    <cellStyle name="Normal 56 36" xfId="11039" xr:uid="{00000000-0005-0000-0000-000053500000}"/>
    <cellStyle name="Normal 56 36 2" xfId="23175" xr:uid="{00000000-0005-0000-0000-000054500000}"/>
    <cellStyle name="Normal 56 37" xfId="11040" xr:uid="{00000000-0005-0000-0000-000055500000}"/>
    <cellStyle name="Normal 56 37 2" xfId="23176" xr:uid="{00000000-0005-0000-0000-000056500000}"/>
    <cellStyle name="Normal 56 38" xfId="11041" xr:uid="{00000000-0005-0000-0000-000057500000}"/>
    <cellStyle name="Normal 56 38 2" xfId="23177" xr:uid="{00000000-0005-0000-0000-000058500000}"/>
    <cellStyle name="Normal 56 39" xfId="11042" xr:uid="{00000000-0005-0000-0000-000059500000}"/>
    <cellStyle name="Normal 56 39 2" xfId="23178" xr:uid="{00000000-0005-0000-0000-00005A500000}"/>
    <cellStyle name="Normal 56 4" xfId="11043" xr:uid="{00000000-0005-0000-0000-00005B500000}"/>
    <cellStyle name="Normal 56 4 2" xfId="23179" xr:uid="{00000000-0005-0000-0000-00005C500000}"/>
    <cellStyle name="Normal 56 40" xfId="11044" xr:uid="{00000000-0005-0000-0000-00005D500000}"/>
    <cellStyle name="Normal 56 40 2" xfId="23180" xr:uid="{00000000-0005-0000-0000-00005E500000}"/>
    <cellStyle name="Normal 56 41" xfId="11045" xr:uid="{00000000-0005-0000-0000-00005F500000}"/>
    <cellStyle name="Normal 56 41 2" xfId="23181" xr:uid="{00000000-0005-0000-0000-000060500000}"/>
    <cellStyle name="Normal 56 42" xfId="11046" xr:uid="{00000000-0005-0000-0000-000061500000}"/>
    <cellStyle name="Normal 56 42 2" xfId="23182" xr:uid="{00000000-0005-0000-0000-000062500000}"/>
    <cellStyle name="Normal 56 43" xfId="11047" xr:uid="{00000000-0005-0000-0000-000063500000}"/>
    <cellStyle name="Normal 56 43 2" xfId="23183" xr:uid="{00000000-0005-0000-0000-000064500000}"/>
    <cellStyle name="Normal 56 44" xfId="11048" xr:uid="{00000000-0005-0000-0000-000065500000}"/>
    <cellStyle name="Normal 56 44 2" xfId="23184" xr:uid="{00000000-0005-0000-0000-000066500000}"/>
    <cellStyle name="Normal 56 45" xfId="11049" xr:uid="{00000000-0005-0000-0000-000067500000}"/>
    <cellStyle name="Normal 56 45 2" xfId="23185" xr:uid="{00000000-0005-0000-0000-000068500000}"/>
    <cellStyle name="Normal 56 46" xfId="11050" xr:uid="{00000000-0005-0000-0000-000069500000}"/>
    <cellStyle name="Normal 56 46 2" xfId="23186" xr:uid="{00000000-0005-0000-0000-00006A500000}"/>
    <cellStyle name="Normal 56 47" xfId="11051" xr:uid="{00000000-0005-0000-0000-00006B500000}"/>
    <cellStyle name="Normal 56 47 2" xfId="23187" xr:uid="{00000000-0005-0000-0000-00006C500000}"/>
    <cellStyle name="Normal 56 48" xfId="11052" xr:uid="{00000000-0005-0000-0000-00006D500000}"/>
    <cellStyle name="Normal 56 48 2" xfId="23188" xr:uid="{00000000-0005-0000-0000-00006E500000}"/>
    <cellStyle name="Normal 56 49" xfId="11053" xr:uid="{00000000-0005-0000-0000-00006F500000}"/>
    <cellStyle name="Normal 56 49 2" xfId="23189" xr:uid="{00000000-0005-0000-0000-000070500000}"/>
    <cellStyle name="Normal 56 5" xfId="11054" xr:uid="{00000000-0005-0000-0000-000071500000}"/>
    <cellStyle name="Normal 56 5 2" xfId="23190" xr:uid="{00000000-0005-0000-0000-000072500000}"/>
    <cellStyle name="Normal 56 50" xfId="11055" xr:uid="{00000000-0005-0000-0000-000073500000}"/>
    <cellStyle name="Normal 56 50 2" xfId="23191" xr:uid="{00000000-0005-0000-0000-000074500000}"/>
    <cellStyle name="Normal 56 51" xfId="11056" xr:uid="{00000000-0005-0000-0000-000075500000}"/>
    <cellStyle name="Normal 56 51 2" xfId="23192" xr:uid="{00000000-0005-0000-0000-000076500000}"/>
    <cellStyle name="Normal 56 52" xfId="11057" xr:uid="{00000000-0005-0000-0000-000077500000}"/>
    <cellStyle name="Normal 56 52 2" xfId="23193" xr:uid="{00000000-0005-0000-0000-000078500000}"/>
    <cellStyle name="Normal 56 53" xfId="11058" xr:uid="{00000000-0005-0000-0000-000079500000}"/>
    <cellStyle name="Normal 56 53 2" xfId="23194" xr:uid="{00000000-0005-0000-0000-00007A500000}"/>
    <cellStyle name="Normal 56 54" xfId="11059" xr:uid="{00000000-0005-0000-0000-00007B500000}"/>
    <cellStyle name="Normal 56 54 2" xfId="23195" xr:uid="{00000000-0005-0000-0000-00007C500000}"/>
    <cellStyle name="Normal 56 55" xfId="11060" xr:uid="{00000000-0005-0000-0000-00007D500000}"/>
    <cellStyle name="Normal 56 55 2" xfId="23196" xr:uid="{00000000-0005-0000-0000-00007E500000}"/>
    <cellStyle name="Normal 56 56" xfId="11061" xr:uid="{00000000-0005-0000-0000-00007F500000}"/>
    <cellStyle name="Normal 56 56 2" xfId="23197" xr:uid="{00000000-0005-0000-0000-000080500000}"/>
    <cellStyle name="Normal 56 57" xfId="11062" xr:uid="{00000000-0005-0000-0000-000081500000}"/>
    <cellStyle name="Normal 56 57 2" xfId="23198" xr:uid="{00000000-0005-0000-0000-000082500000}"/>
    <cellStyle name="Normal 56 58" xfId="11063" xr:uid="{00000000-0005-0000-0000-000083500000}"/>
    <cellStyle name="Normal 56 58 2" xfId="23199" xr:uid="{00000000-0005-0000-0000-000084500000}"/>
    <cellStyle name="Normal 56 59" xfId="11064" xr:uid="{00000000-0005-0000-0000-000085500000}"/>
    <cellStyle name="Normal 56 59 2" xfId="23200" xr:uid="{00000000-0005-0000-0000-000086500000}"/>
    <cellStyle name="Normal 56 6" xfId="11065" xr:uid="{00000000-0005-0000-0000-000087500000}"/>
    <cellStyle name="Normal 56 6 2" xfId="23201" xr:uid="{00000000-0005-0000-0000-000088500000}"/>
    <cellStyle name="Normal 56 60" xfId="11066" xr:uid="{00000000-0005-0000-0000-000089500000}"/>
    <cellStyle name="Normal 56 60 2" xfId="23202" xr:uid="{00000000-0005-0000-0000-00008A500000}"/>
    <cellStyle name="Normal 56 61" xfId="11067" xr:uid="{00000000-0005-0000-0000-00008B500000}"/>
    <cellStyle name="Normal 56 61 2" xfId="23203" xr:uid="{00000000-0005-0000-0000-00008C500000}"/>
    <cellStyle name="Normal 56 62" xfId="11068" xr:uid="{00000000-0005-0000-0000-00008D500000}"/>
    <cellStyle name="Normal 56 62 2" xfId="23204" xr:uid="{00000000-0005-0000-0000-00008E500000}"/>
    <cellStyle name="Normal 56 63" xfId="11069" xr:uid="{00000000-0005-0000-0000-00008F500000}"/>
    <cellStyle name="Normal 56 63 2" xfId="23205" xr:uid="{00000000-0005-0000-0000-000090500000}"/>
    <cellStyle name="Normal 56 64" xfId="11070" xr:uid="{00000000-0005-0000-0000-000091500000}"/>
    <cellStyle name="Normal 56 64 2" xfId="23206" xr:uid="{00000000-0005-0000-0000-000092500000}"/>
    <cellStyle name="Normal 56 65" xfId="11071" xr:uid="{00000000-0005-0000-0000-000093500000}"/>
    <cellStyle name="Normal 56 65 2" xfId="23207" xr:uid="{00000000-0005-0000-0000-000094500000}"/>
    <cellStyle name="Normal 56 66" xfId="11072" xr:uid="{00000000-0005-0000-0000-000095500000}"/>
    <cellStyle name="Normal 56 66 2" xfId="23208" xr:uid="{00000000-0005-0000-0000-000096500000}"/>
    <cellStyle name="Normal 56 67" xfId="11073" xr:uid="{00000000-0005-0000-0000-000097500000}"/>
    <cellStyle name="Normal 56 67 2" xfId="23209" xr:uid="{00000000-0005-0000-0000-000098500000}"/>
    <cellStyle name="Normal 56 68" xfId="11074" xr:uid="{00000000-0005-0000-0000-000099500000}"/>
    <cellStyle name="Normal 56 68 2" xfId="23210" xr:uid="{00000000-0005-0000-0000-00009A500000}"/>
    <cellStyle name="Normal 56 69" xfId="11075" xr:uid="{00000000-0005-0000-0000-00009B500000}"/>
    <cellStyle name="Normal 56 69 2" xfId="23211" xr:uid="{00000000-0005-0000-0000-00009C500000}"/>
    <cellStyle name="Normal 56 7" xfId="11076" xr:uid="{00000000-0005-0000-0000-00009D500000}"/>
    <cellStyle name="Normal 56 7 2" xfId="23212" xr:uid="{00000000-0005-0000-0000-00009E500000}"/>
    <cellStyle name="Normal 56 70" xfId="11077" xr:uid="{00000000-0005-0000-0000-00009F500000}"/>
    <cellStyle name="Normal 56 70 2" xfId="23213" xr:uid="{00000000-0005-0000-0000-0000A0500000}"/>
    <cellStyle name="Normal 56 71" xfId="11078" xr:uid="{00000000-0005-0000-0000-0000A1500000}"/>
    <cellStyle name="Normal 56 71 2" xfId="23214" xr:uid="{00000000-0005-0000-0000-0000A2500000}"/>
    <cellStyle name="Normal 56 72" xfId="11079" xr:uid="{00000000-0005-0000-0000-0000A3500000}"/>
    <cellStyle name="Normal 56 72 2" xfId="23215" xr:uid="{00000000-0005-0000-0000-0000A4500000}"/>
    <cellStyle name="Normal 56 73" xfId="11080" xr:uid="{00000000-0005-0000-0000-0000A5500000}"/>
    <cellStyle name="Normal 56 73 2" xfId="23216" xr:uid="{00000000-0005-0000-0000-0000A6500000}"/>
    <cellStyle name="Normal 56 74" xfId="11081" xr:uid="{00000000-0005-0000-0000-0000A7500000}"/>
    <cellStyle name="Normal 56 74 2" xfId="23217" xr:uid="{00000000-0005-0000-0000-0000A8500000}"/>
    <cellStyle name="Normal 56 75" xfId="11082" xr:uid="{00000000-0005-0000-0000-0000A9500000}"/>
    <cellStyle name="Normal 56 75 2" xfId="23218" xr:uid="{00000000-0005-0000-0000-0000AA500000}"/>
    <cellStyle name="Normal 56 76" xfId="11083" xr:uid="{00000000-0005-0000-0000-0000AB500000}"/>
    <cellStyle name="Normal 56 76 2" xfId="23219" xr:uid="{00000000-0005-0000-0000-0000AC500000}"/>
    <cellStyle name="Normal 56 77" xfId="11084" xr:uid="{00000000-0005-0000-0000-0000AD500000}"/>
    <cellStyle name="Normal 56 77 2" xfId="23220" xr:uid="{00000000-0005-0000-0000-0000AE500000}"/>
    <cellStyle name="Normal 56 78" xfId="11085" xr:uid="{00000000-0005-0000-0000-0000AF500000}"/>
    <cellStyle name="Normal 56 78 2" xfId="23221" xr:uid="{00000000-0005-0000-0000-0000B0500000}"/>
    <cellStyle name="Normal 56 79" xfId="11086" xr:uid="{00000000-0005-0000-0000-0000B1500000}"/>
    <cellStyle name="Normal 56 79 2" xfId="23222" xr:uid="{00000000-0005-0000-0000-0000B2500000}"/>
    <cellStyle name="Normal 56 8" xfId="11087" xr:uid="{00000000-0005-0000-0000-0000B3500000}"/>
    <cellStyle name="Normal 56 8 2" xfId="23223" xr:uid="{00000000-0005-0000-0000-0000B4500000}"/>
    <cellStyle name="Normal 56 80" xfId="23146" xr:uid="{00000000-0005-0000-0000-0000B5500000}"/>
    <cellStyle name="Normal 56 9" xfId="11088" xr:uid="{00000000-0005-0000-0000-0000B6500000}"/>
    <cellStyle name="Normal 56 9 2" xfId="23224" xr:uid="{00000000-0005-0000-0000-0000B7500000}"/>
    <cellStyle name="Normal 57" xfId="183" xr:uid="{00000000-0005-0000-0000-0000B8500000}"/>
    <cellStyle name="Normal 57 10" xfId="11089" xr:uid="{00000000-0005-0000-0000-0000B9500000}"/>
    <cellStyle name="Normal 57 10 2" xfId="23226" xr:uid="{00000000-0005-0000-0000-0000BA500000}"/>
    <cellStyle name="Normal 57 11" xfId="11090" xr:uid="{00000000-0005-0000-0000-0000BB500000}"/>
    <cellStyle name="Normal 57 11 2" xfId="23227" xr:uid="{00000000-0005-0000-0000-0000BC500000}"/>
    <cellStyle name="Normal 57 12" xfId="11091" xr:uid="{00000000-0005-0000-0000-0000BD500000}"/>
    <cellStyle name="Normal 57 12 2" xfId="23228" xr:uid="{00000000-0005-0000-0000-0000BE500000}"/>
    <cellStyle name="Normal 57 13" xfId="11092" xr:uid="{00000000-0005-0000-0000-0000BF500000}"/>
    <cellStyle name="Normal 57 13 2" xfId="23229" xr:uid="{00000000-0005-0000-0000-0000C0500000}"/>
    <cellStyle name="Normal 57 14" xfId="11093" xr:uid="{00000000-0005-0000-0000-0000C1500000}"/>
    <cellStyle name="Normal 57 14 2" xfId="23230" xr:uid="{00000000-0005-0000-0000-0000C2500000}"/>
    <cellStyle name="Normal 57 15" xfId="11094" xr:uid="{00000000-0005-0000-0000-0000C3500000}"/>
    <cellStyle name="Normal 57 15 2" xfId="23231" xr:uid="{00000000-0005-0000-0000-0000C4500000}"/>
    <cellStyle name="Normal 57 16" xfId="11095" xr:uid="{00000000-0005-0000-0000-0000C5500000}"/>
    <cellStyle name="Normal 57 16 2" xfId="23232" xr:uid="{00000000-0005-0000-0000-0000C6500000}"/>
    <cellStyle name="Normal 57 17" xfId="11096" xr:uid="{00000000-0005-0000-0000-0000C7500000}"/>
    <cellStyle name="Normal 57 17 2" xfId="23233" xr:uid="{00000000-0005-0000-0000-0000C8500000}"/>
    <cellStyle name="Normal 57 18" xfId="11097" xr:uid="{00000000-0005-0000-0000-0000C9500000}"/>
    <cellStyle name="Normal 57 18 2" xfId="23234" xr:uid="{00000000-0005-0000-0000-0000CA500000}"/>
    <cellStyle name="Normal 57 19" xfId="11098" xr:uid="{00000000-0005-0000-0000-0000CB500000}"/>
    <cellStyle name="Normal 57 19 2" xfId="23235" xr:uid="{00000000-0005-0000-0000-0000CC500000}"/>
    <cellStyle name="Normal 57 2" xfId="745" xr:uid="{00000000-0005-0000-0000-0000CD500000}"/>
    <cellStyle name="Normal 57 2 2" xfId="23236" xr:uid="{00000000-0005-0000-0000-0000CE500000}"/>
    <cellStyle name="Normal 57 2 3" xfId="11099" xr:uid="{00000000-0005-0000-0000-0000CF500000}"/>
    <cellStyle name="Normal 57 20" xfId="11100" xr:uid="{00000000-0005-0000-0000-0000D0500000}"/>
    <cellStyle name="Normal 57 20 2" xfId="23237" xr:uid="{00000000-0005-0000-0000-0000D1500000}"/>
    <cellStyle name="Normal 57 21" xfId="11101" xr:uid="{00000000-0005-0000-0000-0000D2500000}"/>
    <cellStyle name="Normal 57 21 2" xfId="23238" xr:uid="{00000000-0005-0000-0000-0000D3500000}"/>
    <cellStyle name="Normal 57 22" xfId="11102" xr:uid="{00000000-0005-0000-0000-0000D4500000}"/>
    <cellStyle name="Normal 57 22 2" xfId="23239" xr:uid="{00000000-0005-0000-0000-0000D5500000}"/>
    <cellStyle name="Normal 57 23" xfId="11103" xr:uid="{00000000-0005-0000-0000-0000D6500000}"/>
    <cellStyle name="Normal 57 23 2" xfId="23240" xr:uid="{00000000-0005-0000-0000-0000D7500000}"/>
    <cellStyle name="Normal 57 24" xfId="11104" xr:uid="{00000000-0005-0000-0000-0000D8500000}"/>
    <cellStyle name="Normal 57 24 2" xfId="23241" xr:uid="{00000000-0005-0000-0000-0000D9500000}"/>
    <cellStyle name="Normal 57 25" xfId="11105" xr:uid="{00000000-0005-0000-0000-0000DA500000}"/>
    <cellStyle name="Normal 57 25 2" xfId="23242" xr:uid="{00000000-0005-0000-0000-0000DB500000}"/>
    <cellStyle name="Normal 57 26" xfId="11106" xr:uid="{00000000-0005-0000-0000-0000DC500000}"/>
    <cellStyle name="Normal 57 26 2" xfId="23243" xr:uid="{00000000-0005-0000-0000-0000DD500000}"/>
    <cellStyle name="Normal 57 27" xfId="11107" xr:uid="{00000000-0005-0000-0000-0000DE500000}"/>
    <cellStyle name="Normal 57 27 2" xfId="23244" xr:uid="{00000000-0005-0000-0000-0000DF500000}"/>
    <cellStyle name="Normal 57 28" xfId="11108" xr:uid="{00000000-0005-0000-0000-0000E0500000}"/>
    <cellStyle name="Normal 57 28 2" xfId="23245" xr:uid="{00000000-0005-0000-0000-0000E1500000}"/>
    <cellStyle name="Normal 57 29" xfId="11109" xr:uid="{00000000-0005-0000-0000-0000E2500000}"/>
    <cellStyle name="Normal 57 29 2" xfId="23246" xr:uid="{00000000-0005-0000-0000-0000E3500000}"/>
    <cellStyle name="Normal 57 3" xfId="398" xr:uid="{00000000-0005-0000-0000-0000E4500000}"/>
    <cellStyle name="Normal 57 3 2" xfId="23247" xr:uid="{00000000-0005-0000-0000-0000E5500000}"/>
    <cellStyle name="Normal 57 30" xfId="11110" xr:uid="{00000000-0005-0000-0000-0000E6500000}"/>
    <cellStyle name="Normal 57 30 2" xfId="23248" xr:uid="{00000000-0005-0000-0000-0000E7500000}"/>
    <cellStyle name="Normal 57 31" xfId="11111" xr:uid="{00000000-0005-0000-0000-0000E8500000}"/>
    <cellStyle name="Normal 57 31 2" xfId="23249" xr:uid="{00000000-0005-0000-0000-0000E9500000}"/>
    <cellStyle name="Normal 57 32" xfId="11112" xr:uid="{00000000-0005-0000-0000-0000EA500000}"/>
    <cellStyle name="Normal 57 32 2" xfId="23250" xr:uid="{00000000-0005-0000-0000-0000EB500000}"/>
    <cellStyle name="Normal 57 33" xfId="11113" xr:uid="{00000000-0005-0000-0000-0000EC500000}"/>
    <cellStyle name="Normal 57 33 2" xfId="23251" xr:uid="{00000000-0005-0000-0000-0000ED500000}"/>
    <cellStyle name="Normal 57 34" xfId="11114" xr:uid="{00000000-0005-0000-0000-0000EE500000}"/>
    <cellStyle name="Normal 57 34 2" xfId="23252" xr:uid="{00000000-0005-0000-0000-0000EF500000}"/>
    <cellStyle name="Normal 57 35" xfId="11115" xr:uid="{00000000-0005-0000-0000-0000F0500000}"/>
    <cellStyle name="Normal 57 35 2" xfId="23253" xr:uid="{00000000-0005-0000-0000-0000F1500000}"/>
    <cellStyle name="Normal 57 36" xfId="11116" xr:uid="{00000000-0005-0000-0000-0000F2500000}"/>
    <cellStyle name="Normal 57 36 2" xfId="23254" xr:uid="{00000000-0005-0000-0000-0000F3500000}"/>
    <cellStyle name="Normal 57 37" xfId="11117" xr:uid="{00000000-0005-0000-0000-0000F4500000}"/>
    <cellStyle name="Normal 57 37 2" xfId="23255" xr:uid="{00000000-0005-0000-0000-0000F5500000}"/>
    <cellStyle name="Normal 57 38" xfId="11118" xr:uid="{00000000-0005-0000-0000-0000F6500000}"/>
    <cellStyle name="Normal 57 38 2" xfId="23256" xr:uid="{00000000-0005-0000-0000-0000F7500000}"/>
    <cellStyle name="Normal 57 39" xfId="11119" xr:uid="{00000000-0005-0000-0000-0000F8500000}"/>
    <cellStyle name="Normal 57 39 2" xfId="23257" xr:uid="{00000000-0005-0000-0000-0000F9500000}"/>
    <cellStyle name="Normal 57 4" xfId="11120" xr:uid="{00000000-0005-0000-0000-0000FA500000}"/>
    <cellStyle name="Normal 57 4 2" xfId="23258" xr:uid="{00000000-0005-0000-0000-0000FB500000}"/>
    <cellStyle name="Normal 57 40" xfId="11121" xr:uid="{00000000-0005-0000-0000-0000FC500000}"/>
    <cellStyle name="Normal 57 40 2" xfId="23259" xr:uid="{00000000-0005-0000-0000-0000FD500000}"/>
    <cellStyle name="Normal 57 41" xfId="11122" xr:uid="{00000000-0005-0000-0000-0000FE500000}"/>
    <cellStyle name="Normal 57 41 2" xfId="23260" xr:uid="{00000000-0005-0000-0000-0000FF500000}"/>
    <cellStyle name="Normal 57 42" xfId="11123" xr:uid="{00000000-0005-0000-0000-000000510000}"/>
    <cellStyle name="Normal 57 42 2" xfId="23261" xr:uid="{00000000-0005-0000-0000-000001510000}"/>
    <cellStyle name="Normal 57 43" xfId="11124" xr:uid="{00000000-0005-0000-0000-000002510000}"/>
    <cellStyle name="Normal 57 43 2" xfId="23262" xr:uid="{00000000-0005-0000-0000-000003510000}"/>
    <cellStyle name="Normal 57 44" xfId="11125" xr:uid="{00000000-0005-0000-0000-000004510000}"/>
    <cellStyle name="Normal 57 44 2" xfId="23263" xr:uid="{00000000-0005-0000-0000-000005510000}"/>
    <cellStyle name="Normal 57 45" xfId="11126" xr:uid="{00000000-0005-0000-0000-000006510000}"/>
    <cellStyle name="Normal 57 45 2" xfId="23264" xr:uid="{00000000-0005-0000-0000-000007510000}"/>
    <cellStyle name="Normal 57 46" xfId="11127" xr:uid="{00000000-0005-0000-0000-000008510000}"/>
    <cellStyle name="Normal 57 46 2" xfId="23265" xr:uid="{00000000-0005-0000-0000-000009510000}"/>
    <cellStyle name="Normal 57 47" xfId="11128" xr:uid="{00000000-0005-0000-0000-00000A510000}"/>
    <cellStyle name="Normal 57 47 2" xfId="23266" xr:uid="{00000000-0005-0000-0000-00000B510000}"/>
    <cellStyle name="Normal 57 48" xfId="11129" xr:uid="{00000000-0005-0000-0000-00000C510000}"/>
    <cellStyle name="Normal 57 48 2" xfId="23267" xr:uid="{00000000-0005-0000-0000-00000D510000}"/>
    <cellStyle name="Normal 57 49" xfId="11130" xr:uid="{00000000-0005-0000-0000-00000E510000}"/>
    <cellStyle name="Normal 57 49 2" xfId="23268" xr:uid="{00000000-0005-0000-0000-00000F510000}"/>
    <cellStyle name="Normal 57 5" xfId="11131" xr:uid="{00000000-0005-0000-0000-000010510000}"/>
    <cellStyle name="Normal 57 5 2" xfId="23269" xr:uid="{00000000-0005-0000-0000-000011510000}"/>
    <cellStyle name="Normal 57 50" xfId="11132" xr:uid="{00000000-0005-0000-0000-000012510000}"/>
    <cellStyle name="Normal 57 50 2" xfId="23270" xr:uid="{00000000-0005-0000-0000-000013510000}"/>
    <cellStyle name="Normal 57 51" xfId="11133" xr:uid="{00000000-0005-0000-0000-000014510000}"/>
    <cellStyle name="Normal 57 51 2" xfId="23271" xr:uid="{00000000-0005-0000-0000-000015510000}"/>
    <cellStyle name="Normal 57 52" xfId="11134" xr:uid="{00000000-0005-0000-0000-000016510000}"/>
    <cellStyle name="Normal 57 52 2" xfId="23272" xr:uid="{00000000-0005-0000-0000-000017510000}"/>
    <cellStyle name="Normal 57 53" xfId="11135" xr:uid="{00000000-0005-0000-0000-000018510000}"/>
    <cellStyle name="Normal 57 53 2" xfId="23273" xr:uid="{00000000-0005-0000-0000-000019510000}"/>
    <cellStyle name="Normal 57 54" xfId="11136" xr:uid="{00000000-0005-0000-0000-00001A510000}"/>
    <cellStyle name="Normal 57 54 2" xfId="23274" xr:uid="{00000000-0005-0000-0000-00001B510000}"/>
    <cellStyle name="Normal 57 55" xfId="11137" xr:uid="{00000000-0005-0000-0000-00001C510000}"/>
    <cellStyle name="Normal 57 55 2" xfId="23275" xr:uid="{00000000-0005-0000-0000-00001D510000}"/>
    <cellStyle name="Normal 57 56" xfId="11138" xr:uid="{00000000-0005-0000-0000-00001E510000}"/>
    <cellStyle name="Normal 57 56 2" xfId="23276" xr:uid="{00000000-0005-0000-0000-00001F510000}"/>
    <cellStyle name="Normal 57 57" xfId="11139" xr:uid="{00000000-0005-0000-0000-000020510000}"/>
    <cellStyle name="Normal 57 57 2" xfId="23277" xr:uid="{00000000-0005-0000-0000-000021510000}"/>
    <cellStyle name="Normal 57 58" xfId="11140" xr:uid="{00000000-0005-0000-0000-000022510000}"/>
    <cellStyle name="Normal 57 58 2" xfId="23278" xr:uid="{00000000-0005-0000-0000-000023510000}"/>
    <cellStyle name="Normal 57 59" xfId="11141" xr:uid="{00000000-0005-0000-0000-000024510000}"/>
    <cellStyle name="Normal 57 59 2" xfId="23279" xr:uid="{00000000-0005-0000-0000-000025510000}"/>
    <cellStyle name="Normal 57 6" xfId="11142" xr:uid="{00000000-0005-0000-0000-000026510000}"/>
    <cellStyle name="Normal 57 6 2" xfId="23280" xr:uid="{00000000-0005-0000-0000-000027510000}"/>
    <cellStyle name="Normal 57 60" xfId="11143" xr:uid="{00000000-0005-0000-0000-000028510000}"/>
    <cellStyle name="Normal 57 60 2" xfId="23281" xr:uid="{00000000-0005-0000-0000-000029510000}"/>
    <cellStyle name="Normal 57 61" xfId="11144" xr:uid="{00000000-0005-0000-0000-00002A510000}"/>
    <cellStyle name="Normal 57 61 2" xfId="23282" xr:uid="{00000000-0005-0000-0000-00002B510000}"/>
    <cellStyle name="Normal 57 62" xfId="11145" xr:uid="{00000000-0005-0000-0000-00002C510000}"/>
    <cellStyle name="Normal 57 62 2" xfId="23283" xr:uid="{00000000-0005-0000-0000-00002D510000}"/>
    <cellStyle name="Normal 57 63" xfId="11146" xr:uid="{00000000-0005-0000-0000-00002E510000}"/>
    <cellStyle name="Normal 57 63 2" xfId="23284" xr:uid="{00000000-0005-0000-0000-00002F510000}"/>
    <cellStyle name="Normal 57 64" xfId="11147" xr:uid="{00000000-0005-0000-0000-000030510000}"/>
    <cellStyle name="Normal 57 64 2" xfId="23285" xr:uid="{00000000-0005-0000-0000-000031510000}"/>
    <cellStyle name="Normal 57 65" xfId="11148" xr:uid="{00000000-0005-0000-0000-000032510000}"/>
    <cellStyle name="Normal 57 65 2" xfId="23286" xr:uid="{00000000-0005-0000-0000-000033510000}"/>
    <cellStyle name="Normal 57 66" xfId="11149" xr:uid="{00000000-0005-0000-0000-000034510000}"/>
    <cellStyle name="Normal 57 66 2" xfId="23287" xr:uid="{00000000-0005-0000-0000-000035510000}"/>
    <cellStyle name="Normal 57 67" xfId="11150" xr:uid="{00000000-0005-0000-0000-000036510000}"/>
    <cellStyle name="Normal 57 67 2" xfId="23288" xr:uid="{00000000-0005-0000-0000-000037510000}"/>
    <cellStyle name="Normal 57 68" xfId="11151" xr:uid="{00000000-0005-0000-0000-000038510000}"/>
    <cellStyle name="Normal 57 68 2" xfId="23289" xr:uid="{00000000-0005-0000-0000-000039510000}"/>
    <cellStyle name="Normal 57 69" xfId="11152" xr:uid="{00000000-0005-0000-0000-00003A510000}"/>
    <cellStyle name="Normal 57 69 2" xfId="23290" xr:uid="{00000000-0005-0000-0000-00003B510000}"/>
    <cellStyle name="Normal 57 7" xfId="11153" xr:uid="{00000000-0005-0000-0000-00003C510000}"/>
    <cellStyle name="Normal 57 7 2" xfId="23291" xr:uid="{00000000-0005-0000-0000-00003D510000}"/>
    <cellStyle name="Normal 57 70" xfId="11154" xr:uid="{00000000-0005-0000-0000-00003E510000}"/>
    <cellStyle name="Normal 57 70 2" xfId="23292" xr:uid="{00000000-0005-0000-0000-00003F510000}"/>
    <cellStyle name="Normal 57 71" xfId="11155" xr:uid="{00000000-0005-0000-0000-000040510000}"/>
    <cellStyle name="Normal 57 71 2" xfId="23293" xr:uid="{00000000-0005-0000-0000-000041510000}"/>
    <cellStyle name="Normal 57 72" xfId="11156" xr:uid="{00000000-0005-0000-0000-000042510000}"/>
    <cellStyle name="Normal 57 72 2" xfId="23294" xr:uid="{00000000-0005-0000-0000-000043510000}"/>
    <cellStyle name="Normal 57 73" xfId="11157" xr:uid="{00000000-0005-0000-0000-000044510000}"/>
    <cellStyle name="Normal 57 73 2" xfId="23295" xr:uid="{00000000-0005-0000-0000-000045510000}"/>
    <cellStyle name="Normal 57 74" xfId="11158" xr:uid="{00000000-0005-0000-0000-000046510000}"/>
    <cellStyle name="Normal 57 74 2" xfId="23296" xr:uid="{00000000-0005-0000-0000-000047510000}"/>
    <cellStyle name="Normal 57 75" xfId="11159" xr:uid="{00000000-0005-0000-0000-000048510000}"/>
    <cellStyle name="Normal 57 75 2" xfId="23297" xr:uid="{00000000-0005-0000-0000-000049510000}"/>
    <cellStyle name="Normal 57 76" xfId="11160" xr:uid="{00000000-0005-0000-0000-00004A510000}"/>
    <cellStyle name="Normal 57 76 2" xfId="23298" xr:uid="{00000000-0005-0000-0000-00004B510000}"/>
    <cellStyle name="Normal 57 77" xfId="11161" xr:uid="{00000000-0005-0000-0000-00004C510000}"/>
    <cellStyle name="Normal 57 77 2" xfId="23299" xr:uid="{00000000-0005-0000-0000-00004D510000}"/>
    <cellStyle name="Normal 57 78" xfId="11162" xr:uid="{00000000-0005-0000-0000-00004E510000}"/>
    <cellStyle name="Normal 57 78 2" xfId="23300" xr:uid="{00000000-0005-0000-0000-00004F510000}"/>
    <cellStyle name="Normal 57 79" xfId="11163" xr:uid="{00000000-0005-0000-0000-000050510000}"/>
    <cellStyle name="Normal 57 79 2" xfId="23301" xr:uid="{00000000-0005-0000-0000-000051510000}"/>
    <cellStyle name="Normal 57 8" xfId="11164" xr:uid="{00000000-0005-0000-0000-000052510000}"/>
    <cellStyle name="Normal 57 8 2" xfId="23302" xr:uid="{00000000-0005-0000-0000-000053510000}"/>
    <cellStyle name="Normal 57 80" xfId="23225" xr:uid="{00000000-0005-0000-0000-000054510000}"/>
    <cellStyle name="Normal 57 9" xfId="11165" xr:uid="{00000000-0005-0000-0000-000055510000}"/>
    <cellStyle name="Normal 57 9 2" xfId="23303" xr:uid="{00000000-0005-0000-0000-000056510000}"/>
    <cellStyle name="Normal 58" xfId="184" xr:uid="{00000000-0005-0000-0000-000057510000}"/>
    <cellStyle name="Normal 58 10" xfId="11166" xr:uid="{00000000-0005-0000-0000-000058510000}"/>
    <cellStyle name="Normal 58 10 2" xfId="23305" xr:uid="{00000000-0005-0000-0000-000059510000}"/>
    <cellStyle name="Normal 58 11" xfId="11167" xr:uid="{00000000-0005-0000-0000-00005A510000}"/>
    <cellStyle name="Normal 58 11 2" xfId="23306" xr:uid="{00000000-0005-0000-0000-00005B510000}"/>
    <cellStyle name="Normal 58 12" xfId="11168" xr:uid="{00000000-0005-0000-0000-00005C510000}"/>
    <cellStyle name="Normal 58 12 2" xfId="23307" xr:uid="{00000000-0005-0000-0000-00005D510000}"/>
    <cellStyle name="Normal 58 13" xfId="11169" xr:uid="{00000000-0005-0000-0000-00005E510000}"/>
    <cellStyle name="Normal 58 13 2" xfId="23308" xr:uid="{00000000-0005-0000-0000-00005F510000}"/>
    <cellStyle name="Normal 58 14" xfId="11170" xr:uid="{00000000-0005-0000-0000-000060510000}"/>
    <cellStyle name="Normal 58 14 2" xfId="23309" xr:uid="{00000000-0005-0000-0000-000061510000}"/>
    <cellStyle name="Normal 58 15" xfId="11171" xr:uid="{00000000-0005-0000-0000-000062510000}"/>
    <cellStyle name="Normal 58 15 2" xfId="23310" xr:uid="{00000000-0005-0000-0000-000063510000}"/>
    <cellStyle name="Normal 58 16" xfId="11172" xr:uid="{00000000-0005-0000-0000-000064510000}"/>
    <cellStyle name="Normal 58 16 2" xfId="23311" xr:uid="{00000000-0005-0000-0000-000065510000}"/>
    <cellStyle name="Normal 58 17" xfId="11173" xr:uid="{00000000-0005-0000-0000-000066510000}"/>
    <cellStyle name="Normal 58 17 2" xfId="23312" xr:uid="{00000000-0005-0000-0000-000067510000}"/>
    <cellStyle name="Normal 58 18" xfId="11174" xr:uid="{00000000-0005-0000-0000-000068510000}"/>
    <cellStyle name="Normal 58 18 2" xfId="23313" xr:uid="{00000000-0005-0000-0000-000069510000}"/>
    <cellStyle name="Normal 58 19" xfId="11175" xr:uid="{00000000-0005-0000-0000-00006A510000}"/>
    <cellStyle name="Normal 58 19 2" xfId="23314" xr:uid="{00000000-0005-0000-0000-00006B510000}"/>
    <cellStyle name="Normal 58 2" xfId="746" xr:uid="{00000000-0005-0000-0000-00006C510000}"/>
    <cellStyle name="Normal 58 2 2" xfId="23315" xr:uid="{00000000-0005-0000-0000-00006D510000}"/>
    <cellStyle name="Normal 58 2 3" xfId="11176" xr:uid="{00000000-0005-0000-0000-00006E510000}"/>
    <cellStyle name="Normal 58 20" xfId="11177" xr:uid="{00000000-0005-0000-0000-00006F510000}"/>
    <cellStyle name="Normal 58 20 2" xfId="23316" xr:uid="{00000000-0005-0000-0000-000070510000}"/>
    <cellStyle name="Normal 58 21" xfId="11178" xr:uid="{00000000-0005-0000-0000-000071510000}"/>
    <cellStyle name="Normal 58 21 2" xfId="23317" xr:uid="{00000000-0005-0000-0000-000072510000}"/>
    <cellStyle name="Normal 58 22" xfId="11179" xr:uid="{00000000-0005-0000-0000-000073510000}"/>
    <cellStyle name="Normal 58 22 2" xfId="23318" xr:uid="{00000000-0005-0000-0000-000074510000}"/>
    <cellStyle name="Normal 58 23" xfId="11180" xr:uid="{00000000-0005-0000-0000-000075510000}"/>
    <cellStyle name="Normal 58 23 2" xfId="23319" xr:uid="{00000000-0005-0000-0000-000076510000}"/>
    <cellStyle name="Normal 58 24" xfId="11181" xr:uid="{00000000-0005-0000-0000-000077510000}"/>
    <cellStyle name="Normal 58 24 2" xfId="23320" xr:uid="{00000000-0005-0000-0000-000078510000}"/>
    <cellStyle name="Normal 58 25" xfId="11182" xr:uid="{00000000-0005-0000-0000-000079510000}"/>
    <cellStyle name="Normal 58 25 2" xfId="23321" xr:uid="{00000000-0005-0000-0000-00007A510000}"/>
    <cellStyle name="Normal 58 26" xfId="11183" xr:uid="{00000000-0005-0000-0000-00007B510000}"/>
    <cellStyle name="Normal 58 26 2" xfId="23322" xr:uid="{00000000-0005-0000-0000-00007C510000}"/>
    <cellStyle name="Normal 58 27" xfId="11184" xr:uid="{00000000-0005-0000-0000-00007D510000}"/>
    <cellStyle name="Normal 58 27 2" xfId="23323" xr:uid="{00000000-0005-0000-0000-00007E510000}"/>
    <cellStyle name="Normal 58 28" xfId="11185" xr:uid="{00000000-0005-0000-0000-00007F510000}"/>
    <cellStyle name="Normal 58 28 2" xfId="23324" xr:uid="{00000000-0005-0000-0000-000080510000}"/>
    <cellStyle name="Normal 58 29" xfId="11186" xr:uid="{00000000-0005-0000-0000-000081510000}"/>
    <cellStyle name="Normal 58 29 2" xfId="23325" xr:uid="{00000000-0005-0000-0000-000082510000}"/>
    <cellStyle name="Normal 58 3" xfId="399" xr:uid="{00000000-0005-0000-0000-000083510000}"/>
    <cellStyle name="Normal 58 3 2" xfId="23326" xr:uid="{00000000-0005-0000-0000-000084510000}"/>
    <cellStyle name="Normal 58 30" xfId="11187" xr:uid="{00000000-0005-0000-0000-000085510000}"/>
    <cellStyle name="Normal 58 30 2" xfId="23327" xr:uid="{00000000-0005-0000-0000-000086510000}"/>
    <cellStyle name="Normal 58 31" xfId="11188" xr:uid="{00000000-0005-0000-0000-000087510000}"/>
    <cellStyle name="Normal 58 31 2" xfId="23328" xr:uid="{00000000-0005-0000-0000-000088510000}"/>
    <cellStyle name="Normal 58 32" xfId="11189" xr:uid="{00000000-0005-0000-0000-000089510000}"/>
    <cellStyle name="Normal 58 32 2" xfId="23329" xr:uid="{00000000-0005-0000-0000-00008A510000}"/>
    <cellStyle name="Normal 58 33" xfId="11190" xr:uid="{00000000-0005-0000-0000-00008B510000}"/>
    <cellStyle name="Normal 58 33 2" xfId="23330" xr:uid="{00000000-0005-0000-0000-00008C510000}"/>
    <cellStyle name="Normal 58 34" xfId="11191" xr:uid="{00000000-0005-0000-0000-00008D510000}"/>
    <cellStyle name="Normal 58 34 2" xfId="23331" xr:uid="{00000000-0005-0000-0000-00008E510000}"/>
    <cellStyle name="Normal 58 35" xfId="11192" xr:uid="{00000000-0005-0000-0000-00008F510000}"/>
    <cellStyle name="Normal 58 35 2" xfId="23332" xr:uid="{00000000-0005-0000-0000-000090510000}"/>
    <cellStyle name="Normal 58 36" xfId="11193" xr:uid="{00000000-0005-0000-0000-000091510000}"/>
    <cellStyle name="Normal 58 36 2" xfId="23333" xr:uid="{00000000-0005-0000-0000-000092510000}"/>
    <cellStyle name="Normal 58 37" xfId="11194" xr:uid="{00000000-0005-0000-0000-000093510000}"/>
    <cellStyle name="Normal 58 37 2" xfId="23334" xr:uid="{00000000-0005-0000-0000-000094510000}"/>
    <cellStyle name="Normal 58 38" xfId="11195" xr:uid="{00000000-0005-0000-0000-000095510000}"/>
    <cellStyle name="Normal 58 38 2" xfId="23335" xr:uid="{00000000-0005-0000-0000-000096510000}"/>
    <cellStyle name="Normal 58 39" xfId="11196" xr:uid="{00000000-0005-0000-0000-000097510000}"/>
    <cellStyle name="Normal 58 39 2" xfId="23336" xr:uid="{00000000-0005-0000-0000-000098510000}"/>
    <cellStyle name="Normal 58 4" xfId="11197" xr:uid="{00000000-0005-0000-0000-000099510000}"/>
    <cellStyle name="Normal 58 4 2" xfId="23337" xr:uid="{00000000-0005-0000-0000-00009A510000}"/>
    <cellStyle name="Normal 58 40" xfId="11198" xr:uid="{00000000-0005-0000-0000-00009B510000}"/>
    <cellStyle name="Normal 58 40 2" xfId="23338" xr:uid="{00000000-0005-0000-0000-00009C510000}"/>
    <cellStyle name="Normal 58 41" xfId="11199" xr:uid="{00000000-0005-0000-0000-00009D510000}"/>
    <cellStyle name="Normal 58 41 2" xfId="23339" xr:uid="{00000000-0005-0000-0000-00009E510000}"/>
    <cellStyle name="Normal 58 42" xfId="11200" xr:uid="{00000000-0005-0000-0000-00009F510000}"/>
    <cellStyle name="Normal 58 42 2" xfId="23340" xr:uid="{00000000-0005-0000-0000-0000A0510000}"/>
    <cellStyle name="Normal 58 43" xfId="11201" xr:uid="{00000000-0005-0000-0000-0000A1510000}"/>
    <cellStyle name="Normal 58 43 2" xfId="23341" xr:uid="{00000000-0005-0000-0000-0000A2510000}"/>
    <cellStyle name="Normal 58 44" xfId="11202" xr:uid="{00000000-0005-0000-0000-0000A3510000}"/>
    <cellStyle name="Normal 58 44 2" xfId="23342" xr:uid="{00000000-0005-0000-0000-0000A4510000}"/>
    <cellStyle name="Normal 58 45" xfId="11203" xr:uid="{00000000-0005-0000-0000-0000A5510000}"/>
    <cellStyle name="Normal 58 45 2" xfId="23343" xr:uid="{00000000-0005-0000-0000-0000A6510000}"/>
    <cellStyle name="Normal 58 46" xfId="11204" xr:uid="{00000000-0005-0000-0000-0000A7510000}"/>
    <cellStyle name="Normal 58 46 2" xfId="23344" xr:uid="{00000000-0005-0000-0000-0000A8510000}"/>
    <cellStyle name="Normal 58 47" xfId="11205" xr:uid="{00000000-0005-0000-0000-0000A9510000}"/>
    <cellStyle name="Normal 58 47 2" xfId="23345" xr:uid="{00000000-0005-0000-0000-0000AA510000}"/>
    <cellStyle name="Normal 58 48" xfId="11206" xr:uid="{00000000-0005-0000-0000-0000AB510000}"/>
    <cellStyle name="Normal 58 48 2" xfId="23346" xr:uid="{00000000-0005-0000-0000-0000AC510000}"/>
    <cellStyle name="Normal 58 49" xfId="11207" xr:uid="{00000000-0005-0000-0000-0000AD510000}"/>
    <cellStyle name="Normal 58 49 2" xfId="23347" xr:uid="{00000000-0005-0000-0000-0000AE510000}"/>
    <cellStyle name="Normal 58 5" xfId="11208" xr:uid="{00000000-0005-0000-0000-0000AF510000}"/>
    <cellStyle name="Normal 58 5 2" xfId="23348" xr:uid="{00000000-0005-0000-0000-0000B0510000}"/>
    <cellStyle name="Normal 58 50" xfId="11209" xr:uid="{00000000-0005-0000-0000-0000B1510000}"/>
    <cellStyle name="Normal 58 50 2" xfId="23349" xr:uid="{00000000-0005-0000-0000-0000B2510000}"/>
    <cellStyle name="Normal 58 51" xfId="11210" xr:uid="{00000000-0005-0000-0000-0000B3510000}"/>
    <cellStyle name="Normal 58 51 2" xfId="23350" xr:uid="{00000000-0005-0000-0000-0000B4510000}"/>
    <cellStyle name="Normal 58 52" xfId="11211" xr:uid="{00000000-0005-0000-0000-0000B5510000}"/>
    <cellStyle name="Normal 58 52 2" xfId="23351" xr:uid="{00000000-0005-0000-0000-0000B6510000}"/>
    <cellStyle name="Normal 58 53" xfId="11212" xr:uid="{00000000-0005-0000-0000-0000B7510000}"/>
    <cellStyle name="Normal 58 53 2" xfId="23352" xr:uid="{00000000-0005-0000-0000-0000B8510000}"/>
    <cellStyle name="Normal 58 54" xfId="11213" xr:uid="{00000000-0005-0000-0000-0000B9510000}"/>
    <cellStyle name="Normal 58 54 2" xfId="23353" xr:uid="{00000000-0005-0000-0000-0000BA510000}"/>
    <cellStyle name="Normal 58 55" xfId="11214" xr:uid="{00000000-0005-0000-0000-0000BB510000}"/>
    <cellStyle name="Normal 58 55 2" xfId="23354" xr:uid="{00000000-0005-0000-0000-0000BC510000}"/>
    <cellStyle name="Normal 58 56" xfId="11215" xr:uid="{00000000-0005-0000-0000-0000BD510000}"/>
    <cellStyle name="Normal 58 56 2" xfId="23355" xr:uid="{00000000-0005-0000-0000-0000BE510000}"/>
    <cellStyle name="Normal 58 57" xfId="11216" xr:uid="{00000000-0005-0000-0000-0000BF510000}"/>
    <cellStyle name="Normal 58 57 2" xfId="23356" xr:uid="{00000000-0005-0000-0000-0000C0510000}"/>
    <cellStyle name="Normal 58 58" xfId="11217" xr:uid="{00000000-0005-0000-0000-0000C1510000}"/>
    <cellStyle name="Normal 58 58 2" xfId="23357" xr:uid="{00000000-0005-0000-0000-0000C2510000}"/>
    <cellStyle name="Normal 58 59" xfId="11218" xr:uid="{00000000-0005-0000-0000-0000C3510000}"/>
    <cellStyle name="Normal 58 59 2" xfId="23358" xr:uid="{00000000-0005-0000-0000-0000C4510000}"/>
    <cellStyle name="Normal 58 6" xfId="11219" xr:uid="{00000000-0005-0000-0000-0000C5510000}"/>
    <cellStyle name="Normal 58 6 2" xfId="23359" xr:uid="{00000000-0005-0000-0000-0000C6510000}"/>
    <cellStyle name="Normal 58 60" xfId="11220" xr:uid="{00000000-0005-0000-0000-0000C7510000}"/>
    <cellStyle name="Normal 58 60 2" xfId="23360" xr:uid="{00000000-0005-0000-0000-0000C8510000}"/>
    <cellStyle name="Normal 58 61" xfId="11221" xr:uid="{00000000-0005-0000-0000-0000C9510000}"/>
    <cellStyle name="Normal 58 61 2" xfId="23361" xr:uid="{00000000-0005-0000-0000-0000CA510000}"/>
    <cellStyle name="Normal 58 62" xfId="11222" xr:uid="{00000000-0005-0000-0000-0000CB510000}"/>
    <cellStyle name="Normal 58 62 2" xfId="23362" xr:uid="{00000000-0005-0000-0000-0000CC510000}"/>
    <cellStyle name="Normal 58 63" xfId="11223" xr:uid="{00000000-0005-0000-0000-0000CD510000}"/>
    <cellStyle name="Normal 58 63 2" xfId="23363" xr:uid="{00000000-0005-0000-0000-0000CE510000}"/>
    <cellStyle name="Normal 58 64" xfId="11224" xr:uid="{00000000-0005-0000-0000-0000CF510000}"/>
    <cellStyle name="Normal 58 64 2" xfId="23364" xr:uid="{00000000-0005-0000-0000-0000D0510000}"/>
    <cellStyle name="Normal 58 65" xfId="11225" xr:uid="{00000000-0005-0000-0000-0000D1510000}"/>
    <cellStyle name="Normal 58 65 2" xfId="23365" xr:uid="{00000000-0005-0000-0000-0000D2510000}"/>
    <cellStyle name="Normal 58 66" xfId="11226" xr:uid="{00000000-0005-0000-0000-0000D3510000}"/>
    <cellStyle name="Normal 58 66 2" xfId="23366" xr:uid="{00000000-0005-0000-0000-0000D4510000}"/>
    <cellStyle name="Normal 58 67" xfId="11227" xr:uid="{00000000-0005-0000-0000-0000D5510000}"/>
    <cellStyle name="Normal 58 67 2" xfId="23367" xr:uid="{00000000-0005-0000-0000-0000D6510000}"/>
    <cellStyle name="Normal 58 68" xfId="11228" xr:uid="{00000000-0005-0000-0000-0000D7510000}"/>
    <cellStyle name="Normal 58 68 2" xfId="23368" xr:uid="{00000000-0005-0000-0000-0000D8510000}"/>
    <cellStyle name="Normal 58 69" xfId="11229" xr:uid="{00000000-0005-0000-0000-0000D9510000}"/>
    <cellStyle name="Normal 58 69 2" xfId="23369" xr:uid="{00000000-0005-0000-0000-0000DA510000}"/>
    <cellStyle name="Normal 58 7" xfId="11230" xr:uid="{00000000-0005-0000-0000-0000DB510000}"/>
    <cellStyle name="Normal 58 7 2" xfId="23370" xr:uid="{00000000-0005-0000-0000-0000DC510000}"/>
    <cellStyle name="Normal 58 70" xfId="11231" xr:uid="{00000000-0005-0000-0000-0000DD510000}"/>
    <cellStyle name="Normal 58 70 2" xfId="23371" xr:uid="{00000000-0005-0000-0000-0000DE510000}"/>
    <cellStyle name="Normal 58 71" xfId="11232" xr:uid="{00000000-0005-0000-0000-0000DF510000}"/>
    <cellStyle name="Normal 58 71 2" xfId="23372" xr:uid="{00000000-0005-0000-0000-0000E0510000}"/>
    <cellStyle name="Normal 58 72" xfId="11233" xr:uid="{00000000-0005-0000-0000-0000E1510000}"/>
    <cellStyle name="Normal 58 72 2" xfId="23373" xr:uid="{00000000-0005-0000-0000-0000E2510000}"/>
    <cellStyle name="Normal 58 73" xfId="11234" xr:uid="{00000000-0005-0000-0000-0000E3510000}"/>
    <cellStyle name="Normal 58 73 2" xfId="23374" xr:uid="{00000000-0005-0000-0000-0000E4510000}"/>
    <cellStyle name="Normal 58 74" xfId="11235" xr:uid="{00000000-0005-0000-0000-0000E5510000}"/>
    <cellStyle name="Normal 58 74 2" xfId="23375" xr:uid="{00000000-0005-0000-0000-0000E6510000}"/>
    <cellStyle name="Normal 58 75" xfId="11236" xr:uid="{00000000-0005-0000-0000-0000E7510000}"/>
    <cellStyle name="Normal 58 75 2" xfId="23376" xr:uid="{00000000-0005-0000-0000-0000E8510000}"/>
    <cellStyle name="Normal 58 76" xfId="11237" xr:uid="{00000000-0005-0000-0000-0000E9510000}"/>
    <cellStyle name="Normal 58 76 2" xfId="23377" xr:uid="{00000000-0005-0000-0000-0000EA510000}"/>
    <cellStyle name="Normal 58 77" xfId="11238" xr:uid="{00000000-0005-0000-0000-0000EB510000}"/>
    <cellStyle name="Normal 58 77 2" xfId="23378" xr:uid="{00000000-0005-0000-0000-0000EC510000}"/>
    <cellStyle name="Normal 58 78" xfId="11239" xr:uid="{00000000-0005-0000-0000-0000ED510000}"/>
    <cellStyle name="Normal 58 78 2" xfId="23379" xr:uid="{00000000-0005-0000-0000-0000EE510000}"/>
    <cellStyle name="Normal 58 79" xfId="11240" xr:uid="{00000000-0005-0000-0000-0000EF510000}"/>
    <cellStyle name="Normal 58 79 2" xfId="23380" xr:uid="{00000000-0005-0000-0000-0000F0510000}"/>
    <cellStyle name="Normal 58 8" xfId="11241" xr:uid="{00000000-0005-0000-0000-0000F1510000}"/>
    <cellStyle name="Normal 58 8 2" xfId="23381" xr:uid="{00000000-0005-0000-0000-0000F2510000}"/>
    <cellStyle name="Normal 58 80" xfId="23304" xr:uid="{00000000-0005-0000-0000-0000F3510000}"/>
    <cellStyle name="Normal 58 9" xfId="11242" xr:uid="{00000000-0005-0000-0000-0000F4510000}"/>
    <cellStyle name="Normal 58 9 2" xfId="23382" xr:uid="{00000000-0005-0000-0000-0000F5510000}"/>
    <cellStyle name="Normal 59" xfId="185" xr:uid="{00000000-0005-0000-0000-0000F6510000}"/>
    <cellStyle name="Normal 59 10" xfId="11243" xr:uid="{00000000-0005-0000-0000-0000F7510000}"/>
    <cellStyle name="Normal 59 10 2" xfId="23384" xr:uid="{00000000-0005-0000-0000-0000F8510000}"/>
    <cellStyle name="Normal 59 11" xfId="11244" xr:uid="{00000000-0005-0000-0000-0000F9510000}"/>
    <cellStyle name="Normal 59 11 2" xfId="23385" xr:uid="{00000000-0005-0000-0000-0000FA510000}"/>
    <cellStyle name="Normal 59 12" xfId="11245" xr:uid="{00000000-0005-0000-0000-0000FB510000}"/>
    <cellStyle name="Normal 59 12 2" xfId="23386" xr:uid="{00000000-0005-0000-0000-0000FC510000}"/>
    <cellStyle name="Normal 59 13" xfId="11246" xr:uid="{00000000-0005-0000-0000-0000FD510000}"/>
    <cellStyle name="Normal 59 13 2" xfId="23387" xr:uid="{00000000-0005-0000-0000-0000FE510000}"/>
    <cellStyle name="Normal 59 14" xfId="11247" xr:uid="{00000000-0005-0000-0000-0000FF510000}"/>
    <cellStyle name="Normal 59 14 2" xfId="23388" xr:uid="{00000000-0005-0000-0000-000000520000}"/>
    <cellStyle name="Normal 59 15" xfId="11248" xr:uid="{00000000-0005-0000-0000-000001520000}"/>
    <cellStyle name="Normal 59 15 2" xfId="23389" xr:uid="{00000000-0005-0000-0000-000002520000}"/>
    <cellStyle name="Normal 59 16" xfId="11249" xr:uid="{00000000-0005-0000-0000-000003520000}"/>
    <cellStyle name="Normal 59 16 2" xfId="23390" xr:uid="{00000000-0005-0000-0000-000004520000}"/>
    <cellStyle name="Normal 59 17" xfId="11250" xr:uid="{00000000-0005-0000-0000-000005520000}"/>
    <cellStyle name="Normal 59 17 2" xfId="23391" xr:uid="{00000000-0005-0000-0000-000006520000}"/>
    <cellStyle name="Normal 59 18" xfId="11251" xr:uid="{00000000-0005-0000-0000-000007520000}"/>
    <cellStyle name="Normal 59 18 2" xfId="23392" xr:uid="{00000000-0005-0000-0000-000008520000}"/>
    <cellStyle name="Normal 59 19" xfId="11252" xr:uid="{00000000-0005-0000-0000-000009520000}"/>
    <cellStyle name="Normal 59 19 2" xfId="23393" xr:uid="{00000000-0005-0000-0000-00000A520000}"/>
    <cellStyle name="Normal 59 2" xfId="747" xr:uid="{00000000-0005-0000-0000-00000B520000}"/>
    <cellStyle name="Normal 59 2 2" xfId="23394" xr:uid="{00000000-0005-0000-0000-00000C520000}"/>
    <cellStyle name="Normal 59 2 3" xfId="11253" xr:uid="{00000000-0005-0000-0000-00000D520000}"/>
    <cellStyle name="Normal 59 20" xfId="11254" xr:uid="{00000000-0005-0000-0000-00000E520000}"/>
    <cellStyle name="Normal 59 20 2" xfId="23395" xr:uid="{00000000-0005-0000-0000-00000F520000}"/>
    <cellStyle name="Normal 59 21" xfId="11255" xr:uid="{00000000-0005-0000-0000-000010520000}"/>
    <cellStyle name="Normal 59 21 2" xfId="23396" xr:uid="{00000000-0005-0000-0000-000011520000}"/>
    <cellStyle name="Normal 59 22" xfId="11256" xr:uid="{00000000-0005-0000-0000-000012520000}"/>
    <cellStyle name="Normal 59 22 2" xfId="23397" xr:uid="{00000000-0005-0000-0000-000013520000}"/>
    <cellStyle name="Normal 59 23" xfId="11257" xr:uid="{00000000-0005-0000-0000-000014520000}"/>
    <cellStyle name="Normal 59 23 2" xfId="23398" xr:uid="{00000000-0005-0000-0000-000015520000}"/>
    <cellStyle name="Normal 59 24" xfId="11258" xr:uid="{00000000-0005-0000-0000-000016520000}"/>
    <cellStyle name="Normal 59 24 2" xfId="23399" xr:uid="{00000000-0005-0000-0000-000017520000}"/>
    <cellStyle name="Normal 59 25" xfId="11259" xr:uid="{00000000-0005-0000-0000-000018520000}"/>
    <cellStyle name="Normal 59 25 2" xfId="23400" xr:uid="{00000000-0005-0000-0000-000019520000}"/>
    <cellStyle name="Normal 59 26" xfId="11260" xr:uid="{00000000-0005-0000-0000-00001A520000}"/>
    <cellStyle name="Normal 59 26 2" xfId="23401" xr:uid="{00000000-0005-0000-0000-00001B520000}"/>
    <cellStyle name="Normal 59 27" xfId="11261" xr:uid="{00000000-0005-0000-0000-00001C520000}"/>
    <cellStyle name="Normal 59 27 2" xfId="23402" xr:uid="{00000000-0005-0000-0000-00001D520000}"/>
    <cellStyle name="Normal 59 28" xfId="11262" xr:uid="{00000000-0005-0000-0000-00001E520000}"/>
    <cellStyle name="Normal 59 28 2" xfId="23403" xr:uid="{00000000-0005-0000-0000-00001F520000}"/>
    <cellStyle name="Normal 59 29" xfId="11263" xr:uid="{00000000-0005-0000-0000-000020520000}"/>
    <cellStyle name="Normal 59 29 2" xfId="23404" xr:uid="{00000000-0005-0000-0000-000021520000}"/>
    <cellStyle name="Normal 59 3" xfId="400" xr:uid="{00000000-0005-0000-0000-000022520000}"/>
    <cellStyle name="Normal 59 3 2" xfId="23405" xr:uid="{00000000-0005-0000-0000-000023520000}"/>
    <cellStyle name="Normal 59 30" xfId="11264" xr:uid="{00000000-0005-0000-0000-000024520000}"/>
    <cellStyle name="Normal 59 30 2" xfId="23406" xr:uid="{00000000-0005-0000-0000-000025520000}"/>
    <cellStyle name="Normal 59 31" xfId="11265" xr:uid="{00000000-0005-0000-0000-000026520000}"/>
    <cellStyle name="Normal 59 31 2" xfId="23407" xr:uid="{00000000-0005-0000-0000-000027520000}"/>
    <cellStyle name="Normal 59 32" xfId="11266" xr:uid="{00000000-0005-0000-0000-000028520000}"/>
    <cellStyle name="Normal 59 32 2" xfId="23408" xr:uid="{00000000-0005-0000-0000-000029520000}"/>
    <cellStyle name="Normal 59 33" xfId="11267" xr:uid="{00000000-0005-0000-0000-00002A520000}"/>
    <cellStyle name="Normal 59 33 2" xfId="23409" xr:uid="{00000000-0005-0000-0000-00002B520000}"/>
    <cellStyle name="Normal 59 34" xfId="11268" xr:uid="{00000000-0005-0000-0000-00002C520000}"/>
    <cellStyle name="Normal 59 34 2" xfId="23410" xr:uid="{00000000-0005-0000-0000-00002D520000}"/>
    <cellStyle name="Normal 59 35" xfId="11269" xr:uid="{00000000-0005-0000-0000-00002E520000}"/>
    <cellStyle name="Normal 59 35 2" xfId="23411" xr:uid="{00000000-0005-0000-0000-00002F520000}"/>
    <cellStyle name="Normal 59 36" xfId="11270" xr:uid="{00000000-0005-0000-0000-000030520000}"/>
    <cellStyle name="Normal 59 36 2" xfId="23412" xr:uid="{00000000-0005-0000-0000-000031520000}"/>
    <cellStyle name="Normal 59 37" xfId="11271" xr:uid="{00000000-0005-0000-0000-000032520000}"/>
    <cellStyle name="Normal 59 37 2" xfId="23413" xr:uid="{00000000-0005-0000-0000-000033520000}"/>
    <cellStyle name="Normal 59 38" xfId="11272" xr:uid="{00000000-0005-0000-0000-000034520000}"/>
    <cellStyle name="Normal 59 38 2" xfId="23414" xr:uid="{00000000-0005-0000-0000-000035520000}"/>
    <cellStyle name="Normal 59 39" xfId="11273" xr:uid="{00000000-0005-0000-0000-000036520000}"/>
    <cellStyle name="Normal 59 39 2" xfId="23415" xr:uid="{00000000-0005-0000-0000-000037520000}"/>
    <cellStyle name="Normal 59 4" xfId="11274" xr:uid="{00000000-0005-0000-0000-000038520000}"/>
    <cellStyle name="Normal 59 4 2" xfId="23416" xr:uid="{00000000-0005-0000-0000-000039520000}"/>
    <cellStyle name="Normal 59 40" xfId="11275" xr:uid="{00000000-0005-0000-0000-00003A520000}"/>
    <cellStyle name="Normal 59 40 2" xfId="23417" xr:uid="{00000000-0005-0000-0000-00003B520000}"/>
    <cellStyle name="Normal 59 41" xfId="11276" xr:uid="{00000000-0005-0000-0000-00003C520000}"/>
    <cellStyle name="Normal 59 41 2" xfId="23418" xr:uid="{00000000-0005-0000-0000-00003D520000}"/>
    <cellStyle name="Normal 59 42" xfId="11277" xr:uid="{00000000-0005-0000-0000-00003E520000}"/>
    <cellStyle name="Normal 59 42 2" xfId="23419" xr:uid="{00000000-0005-0000-0000-00003F520000}"/>
    <cellStyle name="Normal 59 43" xfId="11278" xr:uid="{00000000-0005-0000-0000-000040520000}"/>
    <cellStyle name="Normal 59 43 2" xfId="23420" xr:uid="{00000000-0005-0000-0000-000041520000}"/>
    <cellStyle name="Normal 59 44" xfId="11279" xr:uid="{00000000-0005-0000-0000-000042520000}"/>
    <cellStyle name="Normal 59 44 2" xfId="23421" xr:uid="{00000000-0005-0000-0000-000043520000}"/>
    <cellStyle name="Normal 59 45" xfId="11280" xr:uid="{00000000-0005-0000-0000-000044520000}"/>
    <cellStyle name="Normal 59 45 2" xfId="23422" xr:uid="{00000000-0005-0000-0000-000045520000}"/>
    <cellStyle name="Normal 59 46" xfId="11281" xr:uid="{00000000-0005-0000-0000-000046520000}"/>
    <cellStyle name="Normal 59 46 2" xfId="23423" xr:uid="{00000000-0005-0000-0000-000047520000}"/>
    <cellStyle name="Normal 59 47" xfId="11282" xr:uid="{00000000-0005-0000-0000-000048520000}"/>
    <cellStyle name="Normal 59 47 2" xfId="23424" xr:uid="{00000000-0005-0000-0000-000049520000}"/>
    <cellStyle name="Normal 59 48" xfId="11283" xr:uid="{00000000-0005-0000-0000-00004A520000}"/>
    <cellStyle name="Normal 59 48 2" xfId="23425" xr:uid="{00000000-0005-0000-0000-00004B520000}"/>
    <cellStyle name="Normal 59 49" xfId="11284" xr:uid="{00000000-0005-0000-0000-00004C520000}"/>
    <cellStyle name="Normal 59 49 2" xfId="23426" xr:uid="{00000000-0005-0000-0000-00004D520000}"/>
    <cellStyle name="Normal 59 5" xfId="11285" xr:uid="{00000000-0005-0000-0000-00004E520000}"/>
    <cellStyle name="Normal 59 5 2" xfId="23427" xr:uid="{00000000-0005-0000-0000-00004F520000}"/>
    <cellStyle name="Normal 59 50" xfId="11286" xr:uid="{00000000-0005-0000-0000-000050520000}"/>
    <cellStyle name="Normal 59 50 2" xfId="23428" xr:uid="{00000000-0005-0000-0000-000051520000}"/>
    <cellStyle name="Normal 59 51" xfId="11287" xr:uid="{00000000-0005-0000-0000-000052520000}"/>
    <cellStyle name="Normal 59 51 2" xfId="23429" xr:uid="{00000000-0005-0000-0000-000053520000}"/>
    <cellStyle name="Normal 59 52" xfId="11288" xr:uid="{00000000-0005-0000-0000-000054520000}"/>
    <cellStyle name="Normal 59 52 2" xfId="23430" xr:uid="{00000000-0005-0000-0000-000055520000}"/>
    <cellStyle name="Normal 59 53" xfId="11289" xr:uid="{00000000-0005-0000-0000-000056520000}"/>
    <cellStyle name="Normal 59 53 2" xfId="23431" xr:uid="{00000000-0005-0000-0000-000057520000}"/>
    <cellStyle name="Normal 59 54" xfId="11290" xr:uid="{00000000-0005-0000-0000-000058520000}"/>
    <cellStyle name="Normal 59 54 2" xfId="23432" xr:uid="{00000000-0005-0000-0000-000059520000}"/>
    <cellStyle name="Normal 59 55" xfId="11291" xr:uid="{00000000-0005-0000-0000-00005A520000}"/>
    <cellStyle name="Normal 59 55 2" xfId="23433" xr:uid="{00000000-0005-0000-0000-00005B520000}"/>
    <cellStyle name="Normal 59 56" xfId="11292" xr:uid="{00000000-0005-0000-0000-00005C520000}"/>
    <cellStyle name="Normal 59 56 2" xfId="23434" xr:uid="{00000000-0005-0000-0000-00005D520000}"/>
    <cellStyle name="Normal 59 57" xfId="11293" xr:uid="{00000000-0005-0000-0000-00005E520000}"/>
    <cellStyle name="Normal 59 57 2" xfId="23435" xr:uid="{00000000-0005-0000-0000-00005F520000}"/>
    <cellStyle name="Normal 59 58" xfId="11294" xr:uid="{00000000-0005-0000-0000-000060520000}"/>
    <cellStyle name="Normal 59 58 2" xfId="23436" xr:uid="{00000000-0005-0000-0000-000061520000}"/>
    <cellStyle name="Normal 59 59" xfId="11295" xr:uid="{00000000-0005-0000-0000-000062520000}"/>
    <cellStyle name="Normal 59 59 2" xfId="23437" xr:uid="{00000000-0005-0000-0000-000063520000}"/>
    <cellStyle name="Normal 59 6" xfId="11296" xr:uid="{00000000-0005-0000-0000-000064520000}"/>
    <cellStyle name="Normal 59 6 2" xfId="23438" xr:uid="{00000000-0005-0000-0000-000065520000}"/>
    <cellStyle name="Normal 59 60" xfId="11297" xr:uid="{00000000-0005-0000-0000-000066520000}"/>
    <cellStyle name="Normal 59 60 2" xfId="23439" xr:uid="{00000000-0005-0000-0000-000067520000}"/>
    <cellStyle name="Normal 59 61" xfId="11298" xr:uid="{00000000-0005-0000-0000-000068520000}"/>
    <cellStyle name="Normal 59 61 2" xfId="23440" xr:uid="{00000000-0005-0000-0000-000069520000}"/>
    <cellStyle name="Normal 59 62" xfId="11299" xr:uid="{00000000-0005-0000-0000-00006A520000}"/>
    <cellStyle name="Normal 59 62 2" xfId="23441" xr:uid="{00000000-0005-0000-0000-00006B520000}"/>
    <cellStyle name="Normal 59 63" xfId="11300" xr:uid="{00000000-0005-0000-0000-00006C520000}"/>
    <cellStyle name="Normal 59 63 2" xfId="23442" xr:uid="{00000000-0005-0000-0000-00006D520000}"/>
    <cellStyle name="Normal 59 64" xfId="11301" xr:uid="{00000000-0005-0000-0000-00006E520000}"/>
    <cellStyle name="Normal 59 64 2" xfId="23443" xr:uid="{00000000-0005-0000-0000-00006F520000}"/>
    <cellStyle name="Normal 59 65" xfId="11302" xr:uid="{00000000-0005-0000-0000-000070520000}"/>
    <cellStyle name="Normal 59 65 2" xfId="23444" xr:uid="{00000000-0005-0000-0000-000071520000}"/>
    <cellStyle name="Normal 59 66" xfId="11303" xr:uid="{00000000-0005-0000-0000-000072520000}"/>
    <cellStyle name="Normal 59 66 2" xfId="23445" xr:uid="{00000000-0005-0000-0000-000073520000}"/>
    <cellStyle name="Normal 59 67" xfId="11304" xr:uid="{00000000-0005-0000-0000-000074520000}"/>
    <cellStyle name="Normal 59 67 2" xfId="23446" xr:uid="{00000000-0005-0000-0000-000075520000}"/>
    <cellStyle name="Normal 59 68" xfId="11305" xr:uid="{00000000-0005-0000-0000-000076520000}"/>
    <cellStyle name="Normal 59 68 2" xfId="23447" xr:uid="{00000000-0005-0000-0000-000077520000}"/>
    <cellStyle name="Normal 59 69" xfId="11306" xr:uid="{00000000-0005-0000-0000-000078520000}"/>
    <cellStyle name="Normal 59 69 2" xfId="23448" xr:uid="{00000000-0005-0000-0000-000079520000}"/>
    <cellStyle name="Normal 59 7" xfId="11307" xr:uid="{00000000-0005-0000-0000-00007A520000}"/>
    <cellStyle name="Normal 59 7 2" xfId="23449" xr:uid="{00000000-0005-0000-0000-00007B520000}"/>
    <cellStyle name="Normal 59 70" xfId="11308" xr:uid="{00000000-0005-0000-0000-00007C520000}"/>
    <cellStyle name="Normal 59 70 2" xfId="23450" xr:uid="{00000000-0005-0000-0000-00007D520000}"/>
    <cellStyle name="Normal 59 71" xfId="11309" xr:uid="{00000000-0005-0000-0000-00007E520000}"/>
    <cellStyle name="Normal 59 71 2" xfId="23451" xr:uid="{00000000-0005-0000-0000-00007F520000}"/>
    <cellStyle name="Normal 59 72" xfId="11310" xr:uid="{00000000-0005-0000-0000-000080520000}"/>
    <cellStyle name="Normal 59 72 2" xfId="23452" xr:uid="{00000000-0005-0000-0000-000081520000}"/>
    <cellStyle name="Normal 59 73" xfId="11311" xr:uid="{00000000-0005-0000-0000-000082520000}"/>
    <cellStyle name="Normal 59 73 2" xfId="23453" xr:uid="{00000000-0005-0000-0000-000083520000}"/>
    <cellStyle name="Normal 59 74" xfId="11312" xr:uid="{00000000-0005-0000-0000-000084520000}"/>
    <cellStyle name="Normal 59 74 2" xfId="23454" xr:uid="{00000000-0005-0000-0000-000085520000}"/>
    <cellStyle name="Normal 59 75" xfId="11313" xr:uid="{00000000-0005-0000-0000-000086520000}"/>
    <cellStyle name="Normal 59 75 2" xfId="23455" xr:uid="{00000000-0005-0000-0000-000087520000}"/>
    <cellStyle name="Normal 59 76" xfId="11314" xr:uid="{00000000-0005-0000-0000-000088520000}"/>
    <cellStyle name="Normal 59 76 2" xfId="23456" xr:uid="{00000000-0005-0000-0000-000089520000}"/>
    <cellStyle name="Normal 59 77" xfId="11315" xr:uid="{00000000-0005-0000-0000-00008A520000}"/>
    <cellStyle name="Normal 59 77 2" xfId="23457" xr:uid="{00000000-0005-0000-0000-00008B520000}"/>
    <cellStyle name="Normal 59 78" xfId="11316" xr:uid="{00000000-0005-0000-0000-00008C520000}"/>
    <cellStyle name="Normal 59 78 2" xfId="23458" xr:uid="{00000000-0005-0000-0000-00008D520000}"/>
    <cellStyle name="Normal 59 79" xfId="11317" xr:uid="{00000000-0005-0000-0000-00008E520000}"/>
    <cellStyle name="Normal 59 79 2" xfId="23459" xr:uid="{00000000-0005-0000-0000-00008F520000}"/>
    <cellStyle name="Normal 59 8" xfId="11318" xr:uid="{00000000-0005-0000-0000-000090520000}"/>
    <cellStyle name="Normal 59 8 2" xfId="23460" xr:uid="{00000000-0005-0000-0000-000091520000}"/>
    <cellStyle name="Normal 59 80" xfId="23383" xr:uid="{00000000-0005-0000-0000-000092520000}"/>
    <cellStyle name="Normal 59 9" xfId="11319" xr:uid="{00000000-0005-0000-0000-000093520000}"/>
    <cellStyle name="Normal 59 9 2" xfId="23461" xr:uid="{00000000-0005-0000-0000-000094520000}"/>
    <cellStyle name="Normal 6" xfId="80" xr:uid="{00000000-0005-0000-0000-000095520000}"/>
    <cellStyle name="Normal 6 10" xfId="11320" xr:uid="{00000000-0005-0000-0000-000096520000}"/>
    <cellStyle name="Normal 6 10 2" xfId="23462" xr:uid="{00000000-0005-0000-0000-000097520000}"/>
    <cellStyle name="Normal 6 10 3" xfId="31351" xr:uid="{00000000-0005-0000-0000-000098520000}"/>
    <cellStyle name="Normal 6 11" xfId="11321" xr:uid="{00000000-0005-0000-0000-000099520000}"/>
    <cellStyle name="Normal 6 11 2" xfId="23463" xr:uid="{00000000-0005-0000-0000-00009A520000}"/>
    <cellStyle name="Normal 6 12" xfId="11322" xr:uid="{00000000-0005-0000-0000-00009B520000}"/>
    <cellStyle name="Normal 6 12 2" xfId="23464" xr:uid="{00000000-0005-0000-0000-00009C520000}"/>
    <cellStyle name="Normal 6 13" xfId="11323" xr:uid="{00000000-0005-0000-0000-00009D520000}"/>
    <cellStyle name="Normal 6 13 2" xfId="23465" xr:uid="{00000000-0005-0000-0000-00009E520000}"/>
    <cellStyle name="Normal 6 14" xfId="11324" xr:uid="{00000000-0005-0000-0000-00009F520000}"/>
    <cellStyle name="Normal 6 14 2" xfId="23466" xr:uid="{00000000-0005-0000-0000-0000A0520000}"/>
    <cellStyle name="Normal 6 15" xfId="11325" xr:uid="{00000000-0005-0000-0000-0000A1520000}"/>
    <cellStyle name="Normal 6 15 2" xfId="23467" xr:uid="{00000000-0005-0000-0000-0000A2520000}"/>
    <cellStyle name="Normal 6 16" xfId="11326" xr:uid="{00000000-0005-0000-0000-0000A3520000}"/>
    <cellStyle name="Normal 6 16 2" xfId="23468" xr:uid="{00000000-0005-0000-0000-0000A4520000}"/>
    <cellStyle name="Normal 6 17" xfId="11327" xr:uid="{00000000-0005-0000-0000-0000A5520000}"/>
    <cellStyle name="Normal 6 17 2" xfId="23469" xr:uid="{00000000-0005-0000-0000-0000A6520000}"/>
    <cellStyle name="Normal 6 18" xfId="11328" xr:uid="{00000000-0005-0000-0000-0000A7520000}"/>
    <cellStyle name="Normal 6 18 2" xfId="23470" xr:uid="{00000000-0005-0000-0000-0000A8520000}"/>
    <cellStyle name="Normal 6 19" xfId="11329" xr:uid="{00000000-0005-0000-0000-0000A9520000}"/>
    <cellStyle name="Normal 6 19 2" xfId="23471" xr:uid="{00000000-0005-0000-0000-0000AA520000}"/>
    <cellStyle name="Normal 6 2" xfId="96" xr:uid="{00000000-0005-0000-0000-0000AB520000}"/>
    <cellStyle name="Normal 6 2 10" xfId="11330" xr:uid="{00000000-0005-0000-0000-0000AC520000}"/>
    <cellStyle name="Normal 6 2 10 2" xfId="23473" xr:uid="{00000000-0005-0000-0000-0000AD520000}"/>
    <cellStyle name="Normal 6 2 11" xfId="11331" xr:uid="{00000000-0005-0000-0000-0000AE520000}"/>
    <cellStyle name="Normal 6 2 11 2" xfId="23474" xr:uid="{00000000-0005-0000-0000-0000AF520000}"/>
    <cellStyle name="Normal 6 2 12" xfId="11332" xr:uid="{00000000-0005-0000-0000-0000B0520000}"/>
    <cellStyle name="Normal 6 2 12 2" xfId="23475" xr:uid="{00000000-0005-0000-0000-0000B1520000}"/>
    <cellStyle name="Normal 6 2 13" xfId="11333" xr:uid="{00000000-0005-0000-0000-0000B2520000}"/>
    <cellStyle name="Normal 6 2 13 2" xfId="23476" xr:uid="{00000000-0005-0000-0000-0000B3520000}"/>
    <cellStyle name="Normal 6 2 14" xfId="11334" xr:uid="{00000000-0005-0000-0000-0000B4520000}"/>
    <cellStyle name="Normal 6 2 14 2" xfId="23477" xr:uid="{00000000-0005-0000-0000-0000B5520000}"/>
    <cellStyle name="Normal 6 2 15" xfId="11335" xr:uid="{00000000-0005-0000-0000-0000B6520000}"/>
    <cellStyle name="Normal 6 2 15 2" xfId="23478" xr:uid="{00000000-0005-0000-0000-0000B7520000}"/>
    <cellStyle name="Normal 6 2 16" xfId="11336" xr:uid="{00000000-0005-0000-0000-0000B8520000}"/>
    <cellStyle name="Normal 6 2 16 2" xfId="23479" xr:uid="{00000000-0005-0000-0000-0000B9520000}"/>
    <cellStyle name="Normal 6 2 17" xfId="11337" xr:uid="{00000000-0005-0000-0000-0000BA520000}"/>
    <cellStyle name="Normal 6 2 17 2" xfId="23480" xr:uid="{00000000-0005-0000-0000-0000BB520000}"/>
    <cellStyle name="Normal 6 2 18" xfId="11338" xr:uid="{00000000-0005-0000-0000-0000BC520000}"/>
    <cellStyle name="Normal 6 2 18 2" xfId="23481" xr:uid="{00000000-0005-0000-0000-0000BD520000}"/>
    <cellStyle name="Normal 6 2 19" xfId="11339" xr:uid="{00000000-0005-0000-0000-0000BE520000}"/>
    <cellStyle name="Normal 6 2 19 2" xfId="23482" xr:uid="{00000000-0005-0000-0000-0000BF520000}"/>
    <cellStyle name="Normal 6 2 2" xfId="11340" xr:uid="{00000000-0005-0000-0000-0000C0520000}"/>
    <cellStyle name="Normal 6 2 2 2" xfId="23483" xr:uid="{00000000-0005-0000-0000-0000C1520000}"/>
    <cellStyle name="Normal 6 2 20" xfId="11341" xr:uid="{00000000-0005-0000-0000-0000C2520000}"/>
    <cellStyle name="Normal 6 2 20 2" xfId="23484" xr:uid="{00000000-0005-0000-0000-0000C3520000}"/>
    <cellStyle name="Normal 6 2 21" xfId="11342" xr:uid="{00000000-0005-0000-0000-0000C4520000}"/>
    <cellStyle name="Normal 6 2 21 2" xfId="23485" xr:uid="{00000000-0005-0000-0000-0000C5520000}"/>
    <cellStyle name="Normal 6 2 22" xfId="11343" xr:uid="{00000000-0005-0000-0000-0000C6520000}"/>
    <cellStyle name="Normal 6 2 22 2" xfId="23486" xr:uid="{00000000-0005-0000-0000-0000C7520000}"/>
    <cellStyle name="Normal 6 2 23" xfId="11344" xr:uid="{00000000-0005-0000-0000-0000C8520000}"/>
    <cellStyle name="Normal 6 2 23 2" xfId="23487" xr:uid="{00000000-0005-0000-0000-0000C9520000}"/>
    <cellStyle name="Normal 6 2 24" xfId="11345" xr:uid="{00000000-0005-0000-0000-0000CA520000}"/>
    <cellStyle name="Normal 6 2 24 2" xfId="23488" xr:uid="{00000000-0005-0000-0000-0000CB520000}"/>
    <cellStyle name="Normal 6 2 25" xfId="11346" xr:uid="{00000000-0005-0000-0000-0000CC520000}"/>
    <cellStyle name="Normal 6 2 25 2" xfId="23489" xr:uid="{00000000-0005-0000-0000-0000CD520000}"/>
    <cellStyle name="Normal 6 2 26" xfId="11347" xr:uid="{00000000-0005-0000-0000-0000CE520000}"/>
    <cellStyle name="Normal 6 2 26 2" xfId="23490" xr:uid="{00000000-0005-0000-0000-0000CF520000}"/>
    <cellStyle name="Normal 6 2 27" xfId="11348" xr:uid="{00000000-0005-0000-0000-0000D0520000}"/>
    <cellStyle name="Normal 6 2 27 2" xfId="23491" xr:uid="{00000000-0005-0000-0000-0000D1520000}"/>
    <cellStyle name="Normal 6 2 28" xfId="11349" xr:uid="{00000000-0005-0000-0000-0000D2520000}"/>
    <cellStyle name="Normal 6 2 28 2" xfId="23492" xr:uid="{00000000-0005-0000-0000-0000D3520000}"/>
    <cellStyle name="Normal 6 2 29" xfId="11350" xr:uid="{00000000-0005-0000-0000-0000D4520000}"/>
    <cellStyle name="Normal 6 2 29 2" xfId="23493" xr:uid="{00000000-0005-0000-0000-0000D5520000}"/>
    <cellStyle name="Normal 6 2 3" xfId="11351" xr:uid="{00000000-0005-0000-0000-0000D6520000}"/>
    <cellStyle name="Normal 6 2 3 2" xfId="23494" xr:uid="{00000000-0005-0000-0000-0000D7520000}"/>
    <cellStyle name="Normal 6 2 30" xfId="11352" xr:uid="{00000000-0005-0000-0000-0000D8520000}"/>
    <cellStyle name="Normal 6 2 30 2" xfId="23495" xr:uid="{00000000-0005-0000-0000-0000D9520000}"/>
    <cellStyle name="Normal 6 2 31" xfId="11353" xr:uid="{00000000-0005-0000-0000-0000DA520000}"/>
    <cellStyle name="Normal 6 2 31 2" xfId="23496" xr:uid="{00000000-0005-0000-0000-0000DB520000}"/>
    <cellStyle name="Normal 6 2 32" xfId="11354" xr:uid="{00000000-0005-0000-0000-0000DC520000}"/>
    <cellStyle name="Normal 6 2 32 2" xfId="23497" xr:uid="{00000000-0005-0000-0000-0000DD520000}"/>
    <cellStyle name="Normal 6 2 33" xfId="11355" xr:uid="{00000000-0005-0000-0000-0000DE520000}"/>
    <cellStyle name="Normal 6 2 33 2" xfId="23498" xr:uid="{00000000-0005-0000-0000-0000DF520000}"/>
    <cellStyle name="Normal 6 2 34" xfId="11356" xr:uid="{00000000-0005-0000-0000-0000E0520000}"/>
    <cellStyle name="Normal 6 2 34 2" xfId="23499" xr:uid="{00000000-0005-0000-0000-0000E1520000}"/>
    <cellStyle name="Normal 6 2 35" xfId="11357" xr:uid="{00000000-0005-0000-0000-0000E2520000}"/>
    <cellStyle name="Normal 6 2 35 2" xfId="23500" xr:uid="{00000000-0005-0000-0000-0000E3520000}"/>
    <cellStyle name="Normal 6 2 36" xfId="11358" xr:uid="{00000000-0005-0000-0000-0000E4520000}"/>
    <cellStyle name="Normal 6 2 36 2" xfId="23501" xr:uid="{00000000-0005-0000-0000-0000E5520000}"/>
    <cellStyle name="Normal 6 2 37" xfId="11359" xr:uid="{00000000-0005-0000-0000-0000E6520000}"/>
    <cellStyle name="Normal 6 2 37 2" xfId="23502" xr:uid="{00000000-0005-0000-0000-0000E7520000}"/>
    <cellStyle name="Normal 6 2 38" xfId="11360" xr:uid="{00000000-0005-0000-0000-0000E8520000}"/>
    <cellStyle name="Normal 6 2 38 2" xfId="23503" xr:uid="{00000000-0005-0000-0000-0000E9520000}"/>
    <cellStyle name="Normal 6 2 39" xfId="11361" xr:uid="{00000000-0005-0000-0000-0000EA520000}"/>
    <cellStyle name="Normal 6 2 39 2" xfId="23504" xr:uid="{00000000-0005-0000-0000-0000EB520000}"/>
    <cellStyle name="Normal 6 2 4" xfId="11362" xr:uid="{00000000-0005-0000-0000-0000EC520000}"/>
    <cellStyle name="Normal 6 2 4 2" xfId="23505" xr:uid="{00000000-0005-0000-0000-0000ED520000}"/>
    <cellStyle name="Normal 6 2 40" xfId="11363" xr:uid="{00000000-0005-0000-0000-0000EE520000}"/>
    <cellStyle name="Normal 6 2 40 2" xfId="23506" xr:uid="{00000000-0005-0000-0000-0000EF520000}"/>
    <cellStyle name="Normal 6 2 41" xfId="11364" xr:uid="{00000000-0005-0000-0000-0000F0520000}"/>
    <cellStyle name="Normal 6 2 41 2" xfId="23507" xr:uid="{00000000-0005-0000-0000-0000F1520000}"/>
    <cellStyle name="Normal 6 2 42" xfId="11365" xr:uid="{00000000-0005-0000-0000-0000F2520000}"/>
    <cellStyle name="Normal 6 2 42 2" xfId="23508" xr:uid="{00000000-0005-0000-0000-0000F3520000}"/>
    <cellStyle name="Normal 6 2 43" xfId="11366" xr:uid="{00000000-0005-0000-0000-0000F4520000}"/>
    <cellStyle name="Normal 6 2 43 2" xfId="23509" xr:uid="{00000000-0005-0000-0000-0000F5520000}"/>
    <cellStyle name="Normal 6 2 44" xfId="11367" xr:uid="{00000000-0005-0000-0000-0000F6520000}"/>
    <cellStyle name="Normal 6 2 44 2" xfId="23510" xr:uid="{00000000-0005-0000-0000-0000F7520000}"/>
    <cellStyle name="Normal 6 2 45" xfId="11368" xr:uid="{00000000-0005-0000-0000-0000F8520000}"/>
    <cellStyle name="Normal 6 2 45 2" xfId="23511" xr:uid="{00000000-0005-0000-0000-0000F9520000}"/>
    <cellStyle name="Normal 6 2 46" xfId="11369" xr:uid="{00000000-0005-0000-0000-0000FA520000}"/>
    <cellStyle name="Normal 6 2 46 2" xfId="23512" xr:uid="{00000000-0005-0000-0000-0000FB520000}"/>
    <cellStyle name="Normal 6 2 47" xfId="11370" xr:uid="{00000000-0005-0000-0000-0000FC520000}"/>
    <cellStyle name="Normal 6 2 47 2" xfId="23513" xr:uid="{00000000-0005-0000-0000-0000FD520000}"/>
    <cellStyle name="Normal 6 2 48" xfId="11371" xr:uid="{00000000-0005-0000-0000-0000FE520000}"/>
    <cellStyle name="Normal 6 2 48 2" xfId="23514" xr:uid="{00000000-0005-0000-0000-0000FF520000}"/>
    <cellStyle name="Normal 6 2 49" xfId="11372" xr:uid="{00000000-0005-0000-0000-000000530000}"/>
    <cellStyle name="Normal 6 2 49 2" xfId="23515" xr:uid="{00000000-0005-0000-0000-000001530000}"/>
    <cellStyle name="Normal 6 2 5" xfId="11373" xr:uid="{00000000-0005-0000-0000-000002530000}"/>
    <cellStyle name="Normal 6 2 5 2" xfId="23516" xr:uid="{00000000-0005-0000-0000-000003530000}"/>
    <cellStyle name="Normal 6 2 50" xfId="11374" xr:uid="{00000000-0005-0000-0000-000004530000}"/>
    <cellStyle name="Normal 6 2 50 2" xfId="23517" xr:uid="{00000000-0005-0000-0000-000005530000}"/>
    <cellStyle name="Normal 6 2 51" xfId="11375" xr:uid="{00000000-0005-0000-0000-000006530000}"/>
    <cellStyle name="Normal 6 2 51 2" xfId="23518" xr:uid="{00000000-0005-0000-0000-000007530000}"/>
    <cellStyle name="Normal 6 2 52" xfId="11376" xr:uid="{00000000-0005-0000-0000-000008530000}"/>
    <cellStyle name="Normal 6 2 52 2" xfId="23519" xr:uid="{00000000-0005-0000-0000-000009530000}"/>
    <cellStyle name="Normal 6 2 53" xfId="11377" xr:uid="{00000000-0005-0000-0000-00000A530000}"/>
    <cellStyle name="Normal 6 2 53 2" xfId="23520" xr:uid="{00000000-0005-0000-0000-00000B530000}"/>
    <cellStyle name="Normal 6 2 54" xfId="11378" xr:uid="{00000000-0005-0000-0000-00000C530000}"/>
    <cellStyle name="Normal 6 2 54 2" xfId="23521" xr:uid="{00000000-0005-0000-0000-00000D530000}"/>
    <cellStyle name="Normal 6 2 55" xfId="11379" xr:uid="{00000000-0005-0000-0000-00000E530000}"/>
    <cellStyle name="Normal 6 2 55 2" xfId="23522" xr:uid="{00000000-0005-0000-0000-00000F530000}"/>
    <cellStyle name="Normal 6 2 56" xfId="11380" xr:uid="{00000000-0005-0000-0000-000010530000}"/>
    <cellStyle name="Normal 6 2 56 2" xfId="23523" xr:uid="{00000000-0005-0000-0000-000011530000}"/>
    <cellStyle name="Normal 6 2 57" xfId="11381" xr:uid="{00000000-0005-0000-0000-000012530000}"/>
    <cellStyle name="Normal 6 2 57 2" xfId="23524" xr:uid="{00000000-0005-0000-0000-000013530000}"/>
    <cellStyle name="Normal 6 2 58" xfId="11382" xr:uid="{00000000-0005-0000-0000-000014530000}"/>
    <cellStyle name="Normal 6 2 58 2" xfId="23525" xr:uid="{00000000-0005-0000-0000-000015530000}"/>
    <cellStyle name="Normal 6 2 59" xfId="11383" xr:uid="{00000000-0005-0000-0000-000016530000}"/>
    <cellStyle name="Normal 6 2 59 2" xfId="23526" xr:uid="{00000000-0005-0000-0000-000017530000}"/>
    <cellStyle name="Normal 6 2 6" xfId="11384" xr:uid="{00000000-0005-0000-0000-000018530000}"/>
    <cellStyle name="Normal 6 2 6 2" xfId="23527" xr:uid="{00000000-0005-0000-0000-000019530000}"/>
    <cellStyle name="Normal 6 2 60" xfId="11385" xr:uid="{00000000-0005-0000-0000-00001A530000}"/>
    <cellStyle name="Normal 6 2 60 2" xfId="23528" xr:uid="{00000000-0005-0000-0000-00001B530000}"/>
    <cellStyle name="Normal 6 2 61" xfId="11386" xr:uid="{00000000-0005-0000-0000-00001C530000}"/>
    <cellStyle name="Normal 6 2 61 2" xfId="23529" xr:uid="{00000000-0005-0000-0000-00001D530000}"/>
    <cellStyle name="Normal 6 2 62" xfId="11387" xr:uid="{00000000-0005-0000-0000-00001E530000}"/>
    <cellStyle name="Normal 6 2 62 2" xfId="23530" xr:uid="{00000000-0005-0000-0000-00001F530000}"/>
    <cellStyle name="Normal 6 2 63" xfId="11388" xr:uid="{00000000-0005-0000-0000-000020530000}"/>
    <cellStyle name="Normal 6 2 63 2" xfId="23531" xr:uid="{00000000-0005-0000-0000-000021530000}"/>
    <cellStyle name="Normal 6 2 64" xfId="11389" xr:uid="{00000000-0005-0000-0000-000022530000}"/>
    <cellStyle name="Normal 6 2 64 2" xfId="23532" xr:uid="{00000000-0005-0000-0000-000023530000}"/>
    <cellStyle name="Normal 6 2 65" xfId="11390" xr:uid="{00000000-0005-0000-0000-000024530000}"/>
    <cellStyle name="Normal 6 2 65 2" xfId="23533" xr:uid="{00000000-0005-0000-0000-000025530000}"/>
    <cellStyle name="Normal 6 2 66" xfId="11391" xr:uid="{00000000-0005-0000-0000-000026530000}"/>
    <cellStyle name="Normal 6 2 66 2" xfId="23534" xr:uid="{00000000-0005-0000-0000-000027530000}"/>
    <cellStyle name="Normal 6 2 67" xfId="11392" xr:uid="{00000000-0005-0000-0000-000028530000}"/>
    <cellStyle name="Normal 6 2 67 2" xfId="23535" xr:uid="{00000000-0005-0000-0000-000029530000}"/>
    <cellStyle name="Normal 6 2 68" xfId="11393" xr:uid="{00000000-0005-0000-0000-00002A530000}"/>
    <cellStyle name="Normal 6 2 68 2" xfId="23536" xr:uid="{00000000-0005-0000-0000-00002B530000}"/>
    <cellStyle name="Normal 6 2 69" xfId="11394" xr:uid="{00000000-0005-0000-0000-00002C530000}"/>
    <cellStyle name="Normal 6 2 69 2" xfId="23537" xr:uid="{00000000-0005-0000-0000-00002D530000}"/>
    <cellStyle name="Normal 6 2 7" xfId="11395" xr:uid="{00000000-0005-0000-0000-00002E530000}"/>
    <cellStyle name="Normal 6 2 7 2" xfId="23538" xr:uid="{00000000-0005-0000-0000-00002F530000}"/>
    <cellStyle name="Normal 6 2 70" xfId="11396" xr:uid="{00000000-0005-0000-0000-000030530000}"/>
    <cellStyle name="Normal 6 2 70 2" xfId="23539" xr:uid="{00000000-0005-0000-0000-000031530000}"/>
    <cellStyle name="Normal 6 2 71" xfId="11397" xr:uid="{00000000-0005-0000-0000-000032530000}"/>
    <cellStyle name="Normal 6 2 71 2" xfId="23540" xr:uid="{00000000-0005-0000-0000-000033530000}"/>
    <cellStyle name="Normal 6 2 72" xfId="11398" xr:uid="{00000000-0005-0000-0000-000034530000}"/>
    <cellStyle name="Normal 6 2 72 2" xfId="23541" xr:uid="{00000000-0005-0000-0000-000035530000}"/>
    <cellStyle name="Normal 6 2 73" xfId="11399" xr:uid="{00000000-0005-0000-0000-000036530000}"/>
    <cellStyle name="Normal 6 2 73 2" xfId="23542" xr:uid="{00000000-0005-0000-0000-000037530000}"/>
    <cellStyle name="Normal 6 2 74" xfId="11400" xr:uid="{00000000-0005-0000-0000-000038530000}"/>
    <cellStyle name="Normal 6 2 74 2" xfId="23543" xr:uid="{00000000-0005-0000-0000-000039530000}"/>
    <cellStyle name="Normal 6 2 75" xfId="11401" xr:uid="{00000000-0005-0000-0000-00003A530000}"/>
    <cellStyle name="Normal 6 2 75 2" xfId="23544" xr:uid="{00000000-0005-0000-0000-00003B530000}"/>
    <cellStyle name="Normal 6 2 76" xfId="11402" xr:uid="{00000000-0005-0000-0000-00003C530000}"/>
    <cellStyle name="Normal 6 2 76 2" xfId="23545" xr:uid="{00000000-0005-0000-0000-00003D530000}"/>
    <cellStyle name="Normal 6 2 77" xfId="11403" xr:uid="{00000000-0005-0000-0000-00003E530000}"/>
    <cellStyle name="Normal 6 2 77 2" xfId="23546" xr:uid="{00000000-0005-0000-0000-00003F530000}"/>
    <cellStyle name="Normal 6 2 78" xfId="11404" xr:uid="{00000000-0005-0000-0000-000040530000}"/>
    <cellStyle name="Normal 6 2 78 2" xfId="23547" xr:uid="{00000000-0005-0000-0000-000041530000}"/>
    <cellStyle name="Normal 6 2 79" xfId="11405" xr:uid="{00000000-0005-0000-0000-000042530000}"/>
    <cellStyle name="Normal 6 2 79 2" xfId="23548" xr:uid="{00000000-0005-0000-0000-000043530000}"/>
    <cellStyle name="Normal 6 2 8" xfId="11406" xr:uid="{00000000-0005-0000-0000-000044530000}"/>
    <cellStyle name="Normal 6 2 8 2" xfId="23549" xr:uid="{00000000-0005-0000-0000-000045530000}"/>
    <cellStyle name="Normal 6 2 80" xfId="23472" xr:uid="{00000000-0005-0000-0000-000046530000}"/>
    <cellStyle name="Normal 6 2 9" xfId="11407" xr:uid="{00000000-0005-0000-0000-000047530000}"/>
    <cellStyle name="Normal 6 2 9 2" xfId="23550" xr:uid="{00000000-0005-0000-0000-000048530000}"/>
    <cellStyle name="Normal 6 20" xfId="11408" xr:uid="{00000000-0005-0000-0000-000049530000}"/>
    <cellStyle name="Normal 6 20 2" xfId="23551" xr:uid="{00000000-0005-0000-0000-00004A530000}"/>
    <cellStyle name="Normal 6 21" xfId="11409" xr:uid="{00000000-0005-0000-0000-00004B530000}"/>
    <cellStyle name="Normal 6 21 2" xfId="23552" xr:uid="{00000000-0005-0000-0000-00004C530000}"/>
    <cellStyle name="Normal 6 22" xfId="11410" xr:uid="{00000000-0005-0000-0000-00004D530000}"/>
    <cellStyle name="Normal 6 22 2" xfId="23553" xr:uid="{00000000-0005-0000-0000-00004E530000}"/>
    <cellStyle name="Normal 6 23" xfId="11411" xr:uid="{00000000-0005-0000-0000-00004F530000}"/>
    <cellStyle name="Normal 6 23 2" xfId="23554" xr:uid="{00000000-0005-0000-0000-000050530000}"/>
    <cellStyle name="Normal 6 24" xfId="11412" xr:uid="{00000000-0005-0000-0000-000051530000}"/>
    <cellStyle name="Normal 6 24 2" xfId="23555" xr:uid="{00000000-0005-0000-0000-000052530000}"/>
    <cellStyle name="Normal 6 25" xfId="11413" xr:uid="{00000000-0005-0000-0000-000053530000}"/>
    <cellStyle name="Normal 6 25 2" xfId="23556" xr:uid="{00000000-0005-0000-0000-000054530000}"/>
    <cellStyle name="Normal 6 26" xfId="11414" xr:uid="{00000000-0005-0000-0000-000055530000}"/>
    <cellStyle name="Normal 6 26 2" xfId="23557" xr:uid="{00000000-0005-0000-0000-000056530000}"/>
    <cellStyle name="Normal 6 27" xfId="11415" xr:uid="{00000000-0005-0000-0000-000057530000}"/>
    <cellStyle name="Normal 6 27 2" xfId="23558" xr:uid="{00000000-0005-0000-0000-000058530000}"/>
    <cellStyle name="Normal 6 28" xfId="11416" xr:uid="{00000000-0005-0000-0000-000059530000}"/>
    <cellStyle name="Normal 6 28 2" xfId="23559" xr:uid="{00000000-0005-0000-0000-00005A530000}"/>
    <cellStyle name="Normal 6 29" xfId="11417" xr:uid="{00000000-0005-0000-0000-00005B530000}"/>
    <cellStyle name="Normal 6 29 2" xfId="23560" xr:uid="{00000000-0005-0000-0000-00005C530000}"/>
    <cellStyle name="Normal 6 3" xfId="109" xr:uid="{00000000-0005-0000-0000-00005D530000}"/>
    <cellStyle name="Normal 6 3 10" xfId="11418" xr:uid="{00000000-0005-0000-0000-00005E530000}"/>
    <cellStyle name="Normal 6 3 10 2" xfId="23562" xr:uid="{00000000-0005-0000-0000-00005F530000}"/>
    <cellStyle name="Normal 6 3 11" xfId="11419" xr:uid="{00000000-0005-0000-0000-000060530000}"/>
    <cellStyle name="Normal 6 3 11 2" xfId="23563" xr:uid="{00000000-0005-0000-0000-000061530000}"/>
    <cellStyle name="Normal 6 3 12" xfId="11420" xr:uid="{00000000-0005-0000-0000-000062530000}"/>
    <cellStyle name="Normal 6 3 12 2" xfId="23564" xr:uid="{00000000-0005-0000-0000-000063530000}"/>
    <cellStyle name="Normal 6 3 13" xfId="11421" xr:uid="{00000000-0005-0000-0000-000064530000}"/>
    <cellStyle name="Normal 6 3 13 2" xfId="23565" xr:uid="{00000000-0005-0000-0000-000065530000}"/>
    <cellStyle name="Normal 6 3 14" xfId="11422" xr:uid="{00000000-0005-0000-0000-000066530000}"/>
    <cellStyle name="Normal 6 3 14 2" xfId="23566" xr:uid="{00000000-0005-0000-0000-000067530000}"/>
    <cellStyle name="Normal 6 3 15" xfId="11423" xr:uid="{00000000-0005-0000-0000-000068530000}"/>
    <cellStyle name="Normal 6 3 15 2" xfId="23567" xr:uid="{00000000-0005-0000-0000-000069530000}"/>
    <cellStyle name="Normal 6 3 16" xfId="11424" xr:uid="{00000000-0005-0000-0000-00006A530000}"/>
    <cellStyle name="Normal 6 3 16 2" xfId="23568" xr:uid="{00000000-0005-0000-0000-00006B530000}"/>
    <cellStyle name="Normal 6 3 17" xfId="11425" xr:uid="{00000000-0005-0000-0000-00006C530000}"/>
    <cellStyle name="Normal 6 3 17 2" xfId="23569" xr:uid="{00000000-0005-0000-0000-00006D530000}"/>
    <cellStyle name="Normal 6 3 18" xfId="11426" xr:uid="{00000000-0005-0000-0000-00006E530000}"/>
    <cellStyle name="Normal 6 3 18 2" xfId="23570" xr:uid="{00000000-0005-0000-0000-00006F530000}"/>
    <cellStyle name="Normal 6 3 19" xfId="11427" xr:uid="{00000000-0005-0000-0000-000070530000}"/>
    <cellStyle name="Normal 6 3 19 2" xfId="23571" xr:uid="{00000000-0005-0000-0000-000071530000}"/>
    <cellStyle name="Normal 6 3 2" xfId="11428" xr:uid="{00000000-0005-0000-0000-000072530000}"/>
    <cellStyle name="Normal 6 3 2 2" xfId="23572" xr:uid="{00000000-0005-0000-0000-000073530000}"/>
    <cellStyle name="Normal 6 3 20" xfId="11429" xr:uid="{00000000-0005-0000-0000-000074530000}"/>
    <cellStyle name="Normal 6 3 20 2" xfId="23573" xr:uid="{00000000-0005-0000-0000-000075530000}"/>
    <cellStyle name="Normal 6 3 21" xfId="11430" xr:uid="{00000000-0005-0000-0000-000076530000}"/>
    <cellStyle name="Normal 6 3 21 2" xfId="23574" xr:uid="{00000000-0005-0000-0000-000077530000}"/>
    <cellStyle name="Normal 6 3 22" xfId="11431" xr:uid="{00000000-0005-0000-0000-000078530000}"/>
    <cellStyle name="Normal 6 3 22 2" xfId="23575" xr:uid="{00000000-0005-0000-0000-000079530000}"/>
    <cellStyle name="Normal 6 3 23" xfId="11432" xr:uid="{00000000-0005-0000-0000-00007A530000}"/>
    <cellStyle name="Normal 6 3 23 2" xfId="23576" xr:uid="{00000000-0005-0000-0000-00007B530000}"/>
    <cellStyle name="Normal 6 3 24" xfId="11433" xr:uid="{00000000-0005-0000-0000-00007C530000}"/>
    <cellStyle name="Normal 6 3 24 2" xfId="23577" xr:uid="{00000000-0005-0000-0000-00007D530000}"/>
    <cellStyle name="Normal 6 3 25" xfId="11434" xr:uid="{00000000-0005-0000-0000-00007E530000}"/>
    <cellStyle name="Normal 6 3 25 2" xfId="23578" xr:uid="{00000000-0005-0000-0000-00007F530000}"/>
    <cellStyle name="Normal 6 3 26" xfId="11435" xr:uid="{00000000-0005-0000-0000-000080530000}"/>
    <cellStyle name="Normal 6 3 26 2" xfId="23579" xr:uid="{00000000-0005-0000-0000-000081530000}"/>
    <cellStyle name="Normal 6 3 27" xfId="11436" xr:uid="{00000000-0005-0000-0000-000082530000}"/>
    <cellStyle name="Normal 6 3 27 2" xfId="23580" xr:uid="{00000000-0005-0000-0000-000083530000}"/>
    <cellStyle name="Normal 6 3 28" xfId="11437" xr:uid="{00000000-0005-0000-0000-000084530000}"/>
    <cellStyle name="Normal 6 3 28 2" xfId="23581" xr:uid="{00000000-0005-0000-0000-000085530000}"/>
    <cellStyle name="Normal 6 3 29" xfId="11438" xr:uid="{00000000-0005-0000-0000-000086530000}"/>
    <cellStyle name="Normal 6 3 29 2" xfId="23582" xr:uid="{00000000-0005-0000-0000-000087530000}"/>
    <cellStyle name="Normal 6 3 3" xfId="11439" xr:uid="{00000000-0005-0000-0000-000088530000}"/>
    <cellStyle name="Normal 6 3 3 2" xfId="23583" xr:uid="{00000000-0005-0000-0000-000089530000}"/>
    <cellStyle name="Normal 6 3 30" xfId="11440" xr:uid="{00000000-0005-0000-0000-00008A530000}"/>
    <cellStyle name="Normal 6 3 30 2" xfId="23584" xr:uid="{00000000-0005-0000-0000-00008B530000}"/>
    <cellStyle name="Normal 6 3 31" xfId="11441" xr:uid="{00000000-0005-0000-0000-00008C530000}"/>
    <cellStyle name="Normal 6 3 31 2" xfId="23585" xr:uid="{00000000-0005-0000-0000-00008D530000}"/>
    <cellStyle name="Normal 6 3 32" xfId="11442" xr:uid="{00000000-0005-0000-0000-00008E530000}"/>
    <cellStyle name="Normal 6 3 32 2" xfId="23586" xr:uid="{00000000-0005-0000-0000-00008F530000}"/>
    <cellStyle name="Normal 6 3 33" xfId="11443" xr:uid="{00000000-0005-0000-0000-000090530000}"/>
    <cellStyle name="Normal 6 3 33 2" xfId="23587" xr:uid="{00000000-0005-0000-0000-000091530000}"/>
    <cellStyle name="Normal 6 3 34" xfId="11444" xr:uid="{00000000-0005-0000-0000-000092530000}"/>
    <cellStyle name="Normal 6 3 34 2" xfId="23588" xr:uid="{00000000-0005-0000-0000-000093530000}"/>
    <cellStyle name="Normal 6 3 35" xfId="11445" xr:uid="{00000000-0005-0000-0000-000094530000}"/>
    <cellStyle name="Normal 6 3 35 2" xfId="23589" xr:uid="{00000000-0005-0000-0000-000095530000}"/>
    <cellStyle name="Normal 6 3 36" xfId="11446" xr:uid="{00000000-0005-0000-0000-000096530000}"/>
    <cellStyle name="Normal 6 3 36 2" xfId="23590" xr:uid="{00000000-0005-0000-0000-000097530000}"/>
    <cellStyle name="Normal 6 3 37" xfId="11447" xr:uid="{00000000-0005-0000-0000-000098530000}"/>
    <cellStyle name="Normal 6 3 37 2" xfId="23591" xr:uid="{00000000-0005-0000-0000-000099530000}"/>
    <cellStyle name="Normal 6 3 38" xfId="11448" xr:uid="{00000000-0005-0000-0000-00009A530000}"/>
    <cellStyle name="Normal 6 3 38 2" xfId="23592" xr:uid="{00000000-0005-0000-0000-00009B530000}"/>
    <cellStyle name="Normal 6 3 39" xfId="11449" xr:uid="{00000000-0005-0000-0000-00009C530000}"/>
    <cellStyle name="Normal 6 3 39 2" xfId="23593" xr:uid="{00000000-0005-0000-0000-00009D530000}"/>
    <cellStyle name="Normal 6 3 4" xfId="11450" xr:uid="{00000000-0005-0000-0000-00009E530000}"/>
    <cellStyle name="Normal 6 3 4 2" xfId="23594" xr:uid="{00000000-0005-0000-0000-00009F530000}"/>
    <cellStyle name="Normal 6 3 40" xfId="11451" xr:uid="{00000000-0005-0000-0000-0000A0530000}"/>
    <cellStyle name="Normal 6 3 40 2" xfId="23595" xr:uid="{00000000-0005-0000-0000-0000A1530000}"/>
    <cellStyle name="Normal 6 3 41" xfId="11452" xr:uid="{00000000-0005-0000-0000-0000A2530000}"/>
    <cellStyle name="Normal 6 3 41 2" xfId="23596" xr:uid="{00000000-0005-0000-0000-0000A3530000}"/>
    <cellStyle name="Normal 6 3 42" xfId="11453" xr:uid="{00000000-0005-0000-0000-0000A4530000}"/>
    <cellStyle name="Normal 6 3 42 2" xfId="23597" xr:uid="{00000000-0005-0000-0000-0000A5530000}"/>
    <cellStyle name="Normal 6 3 43" xfId="11454" xr:uid="{00000000-0005-0000-0000-0000A6530000}"/>
    <cellStyle name="Normal 6 3 43 2" xfId="23598" xr:uid="{00000000-0005-0000-0000-0000A7530000}"/>
    <cellStyle name="Normal 6 3 44" xfId="11455" xr:uid="{00000000-0005-0000-0000-0000A8530000}"/>
    <cellStyle name="Normal 6 3 44 2" xfId="23599" xr:uid="{00000000-0005-0000-0000-0000A9530000}"/>
    <cellStyle name="Normal 6 3 45" xfId="11456" xr:uid="{00000000-0005-0000-0000-0000AA530000}"/>
    <cellStyle name="Normal 6 3 45 2" xfId="23600" xr:uid="{00000000-0005-0000-0000-0000AB530000}"/>
    <cellStyle name="Normal 6 3 46" xfId="11457" xr:uid="{00000000-0005-0000-0000-0000AC530000}"/>
    <cellStyle name="Normal 6 3 46 2" xfId="23601" xr:uid="{00000000-0005-0000-0000-0000AD530000}"/>
    <cellStyle name="Normal 6 3 47" xfId="11458" xr:uid="{00000000-0005-0000-0000-0000AE530000}"/>
    <cellStyle name="Normal 6 3 47 2" xfId="23602" xr:uid="{00000000-0005-0000-0000-0000AF530000}"/>
    <cellStyle name="Normal 6 3 48" xfId="11459" xr:uid="{00000000-0005-0000-0000-0000B0530000}"/>
    <cellStyle name="Normal 6 3 48 2" xfId="23603" xr:uid="{00000000-0005-0000-0000-0000B1530000}"/>
    <cellStyle name="Normal 6 3 49" xfId="11460" xr:uid="{00000000-0005-0000-0000-0000B2530000}"/>
    <cellStyle name="Normal 6 3 49 2" xfId="23604" xr:uid="{00000000-0005-0000-0000-0000B3530000}"/>
    <cellStyle name="Normal 6 3 5" xfId="11461" xr:uid="{00000000-0005-0000-0000-0000B4530000}"/>
    <cellStyle name="Normal 6 3 5 2" xfId="23605" xr:uid="{00000000-0005-0000-0000-0000B5530000}"/>
    <cellStyle name="Normal 6 3 50" xfId="11462" xr:uid="{00000000-0005-0000-0000-0000B6530000}"/>
    <cellStyle name="Normal 6 3 50 2" xfId="23606" xr:uid="{00000000-0005-0000-0000-0000B7530000}"/>
    <cellStyle name="Normal 6 3 51" xfId="11463" xr:uid="{00000000-0005-0000-0000-0000B8530000}"/>
    <cellStyle name="Normal 6 3 51 2" xfId="23607" xr:uid="{00000000-0005-0000-0000-0000B9530000}"/>
    <cellStyle name="Normal 6 3 52" xfId="11464" xr:uid="{00000000-0005-0000-0000-0000BA530000}"/>
    <cellStyle name="Normal 6 3 52 2" xfId="23608" xr:uid="{00000000-0005-0000-0000-0000BB530000}"/>
    <cellStyle name="Normal 6 3 53" xfId="11465" xr:uid="{00000000-0005-0000-0000-0000BC530000}"/>
    <cellStyle name="Normal 6 3 53 2" xfId="23609" xr:uid="{00000000-0005-0000-0000-0000BD530000}"/>
    <cellStyle name="Normal 6 3 54" xfId="11466" xr:uid="{00000000-0005-0000-0000-0000BE530000}"/>
    <cellStyle name="Normal 6 3 54 2" xfId="23610" xr:uid="{00000000-0005-0000-0000-0000BF530000}"/>
    <cellStyle name="Normal 6 3 55" xfId="11467" xr:uid="{00000000-0005-0000-0000-0000C0530000}"/>
    <cellStyle name="Normal 6 3 55 2" xfId="23611" xr:uid="{00000000-0005-0000-0000-0000C1530000}"/>
    <cellStyle name="Normal 6 3 56" xfId="11468" xr:uid="{00000000-0005-0000-0000-0000C2530000}"/>
    <cellStyle name="Normal 6 3 56 2" xfId="23612" xr:uid="{00000000-0005-0000-0000-0000C3530000}"/>
    <cellStyle name="Normal 6 3 57" xfId="11469" xr:uid="{00000000-0005-0000-0000-0000C4530000}"/>
    <cellStyle name="Normal 6 3 57 2" xfId="23613" xr:uid="{00000000-0005-0000-0000-0000C5530000}"/>
    <cellStyle name="Normal 6 3 58" xfId="11470" xr:uid="{00000000-0005-0000-0000-0000C6530000}"/>
    <cellStyle name="Normal 6 3 58 2" xfId="23614" xr:uid="{00000000-0005-0000-0000-0000C7530000}"/>
    <cellStyle name="Normal 6 3 59" xfId="11471" xr:uid="{00000000-0005-0000-0000-0000C8530000}"/>
    <cellStyle name="Normal 6 3 59 2" xfId="23615" xr:uid="{00000000-0005-0000-0000-0000C9530000}"/>
    <cellStyle name="Normal 6 3 6" xfId="11472" xr:uid="{00000000-0005-0000-0000-0000CA530000}"/>
    <cellStyle name="Normal 6 3 6 2" xfId="23616" xr:uid="{00000000-0005-0000-0000-0000CB530000}"/>
    <cellStyle name="Normal 6 3 60" xfId="11473" xr:uid="{00000000-0005-0000-0000-0000CC530000}"/>
    <cellStyle name="Normal 6 3 60 2" xfId="23617" xr:uid="{00000000-0005-0000-0000-0000CD530000}"/>
    <cellStyle name="Normal 6 3 61" xfId="11474" xr:uid="{00000000-0005-0000-0000-0000CE530000}"/>
    <cellStyle name="Normal 6 3 61 2" xfId="23618" xr:uid="{00000000-0005-0000-0000-0000CF530000}"/>
    <cellStyle name="Normal 6 3 62" xfId="11475" xr:uid="{00000000-0005-0000-0000-0000D0530000}"/>
    <cellStyle name="Normal 6 3 62 2" xfId="23619" xr:uid="{00000000-0005-0000-0000-0000D1530000}"/>
    <cellStyle name="Normal 6 3 63" xfId="11476" xr:uid="{00000000-0005-0000-0000-0000D2530000}"/>
    <cellStyle name="Normal 6 3 63 2" xfId="23620" xr:uid="{00000000-0005-0000-0000-0000D3530000}"/>
    <cellStyle name="Normal 6 3 64" xfId="11477" xr:uid="{00000000-0005-0000-0000-0000D4530000}"/>
    <cellStyle name="Normal 6 3 64 2" xfId="23621" xr:uid="{00000000-0005-0000-0000-0000D5530000}"/>
    <cellStyle name="Normal 6 3 65" xfId="11478" xr:uid="{00000000-0005-0000-0000-0000D6530000}"/>
    <cellStyle name="Normal 6 3 65 2" xfId="23622" xr:uid="{00000000-0005-0000-0000-0000D7530000}"/>
    <cellStyle name="Normal 6 3 66" xfId="11479" xr:uid="{00000000-0005-0000-0000-0000D8530000}"/>
    <cellStyle name="Normal 6 3 66 2" xfId="23623" xr:uid="{00000000-0005-0000-0000-0000D9530000}"/>
    <cellStyle name="Normal 6 3 67" xfId="11480" xr:uid="{00000000-0005-0000-0000-0000DA530000}"/>
    <cellStyle name="Normal 6 3 67 2" xfId="23624" xr:uid="{00000000-0005-0000-0000-0000DB530000}"/>
    <cellStyle name="Normal 6 3 68" xfId="11481" xr:uid="{00000000-0005-0000-0000-0000DC530000}"/>
    <cellStyle name="Normal 6 3 68 2" xfId="23625" xr:uid="{00000000-0005-0000-0000-0000DD530000}"/>
    <cellStyle name="Normal 6 3 69" xfId="11482" xr:uid="{00000000-0005-0000-0000-0000DE530000}"/>
    <cellStyle name="Normal 6 3 69 2" xfId="23626" xr:uid="{00000000-0005-0000-0000-0000DF530000}"/>
    <cellStyle name="Normal 6 3 7" xfId="11483" xr:uid="{00000000-0005-0000-0000-0000E0530000}"/>
    <cellStyle name="Normal 6 3 7 2" xfId="23627" xr:uid="{00000000-0005-0000-0000-0000E1530000}"/>
    <cellStyle name="Normal 6 3 70" xfId="11484" xr:uid="{00000000-0005-0000-0000-0000E2530000}"/>
    <cellStyle name="Normal 6 3 70 2" xfId="23628" xr:uid="{00000000-0005-0000-0000-0000E3530000}"/>
    <cellStyle name="Normal 6 3 71" xfId="11485" xr:uid="{00000000-0005-0000-0000-0000E4530000}"/>
    <cellStyle name="Normal 6 3 71 2" xfId="23629" xr:uid="{00000000-0005-0000-0000-0000E5530000}"/>
    <cellStyle name="Normal 6 3 72" xfId="11486" xr:uid="{00000000-0005-0000-0000-0000E6530000}"/>
    <cellStyle name="Normal 6 3 72 2" xfId="23630" xr:uid="{00000000-0005-0000-0000-0000E7530000}"/>
    <cellStyle name="Normal 6 3 73" xfId="11487" xr:uid="{00000000-0005-0000-0000-0000E8530000}"/>
    <cellStyle name="Normal 6 3 73 2" xfId="23631" xr:uid="{00000000-0005-0000-0000-0000E9530000}"/>
    <cellStyle name="Normal 6 3 74" xfId="11488" xr:uid="{00000000-0005-0000-0000-0000EA530000}"/>
    <cellStyle name="Normal 6 3 74 2" xfId="23632" xr:uid="{00000000-0005-0000-0000-0000EB530000}"/>
    <cellStyle name="Normal 6 3 75" xfId="11489" xr:uid="{00000000-0005-0000-0000-0000EC530000}"/>
    <cellStyle name="Normal 6 3 75 2" xfId="23633" xr:uid="{00000000-0005-0000-0000-0000ED530000}"/>
    <cellStyle name="Normal 6 3 76" xfId="11490" xr:uid="{00000000-0005-0000-0000-0000EE530000}"/>
    <cellStyle name="Normal 6 3 76 2" xfId="23634" xr:uid="{00000000-0005-0000-0000-0000EF530000}"/>
    <cellStyle name="Normal 6 3 77" xfId="11491" xr:uid="{00000000-0005-0000-0000-0000F0530000}"/>
    <cellStyle name="Normal 6 3 77 2" xfId="23635" xr:uid="{00000000-0005-0000-0000-0000F1530000}"/>
    <cellStyle name="Normal 6 3 78" xfId="11492" xr:uid="{00000000-0005-0000-0000-0000F2530000}"/>
    <cellStyle name="Normal 6 3 78 2" xfId="23636" xr:uid="{00000000-0005-0000-0000-0000F3530000}"/>
    <cellStyle name="Normal 6 3 79" xfId="11493" xr:uid="{00000000-0005-0000-0000-0000F4530000}"/>
    <cellStyle name="Normal 6 3 79 2" xfId="23637" xr:uid="{00000000-0005-0000-0000-0000F5530000}"/>
    <cellStyle name="Normal 6 3 8" xfId="11494" xr:uid="{00000000-0005-0000-0000-0000F6530000}"/>
    <cellStyle name="Normal 6 3 8 2" xfId="23638" xr:uid="{00000000-0005-0000-0000-0000F7530000}"/>
    <cellStyle name="Normal 6 3 80" xfId="23561" xr:uid="{00000000-0005-0000-0000-0000F8530000}"/>
    <cellStyle name="Normal 6 3 9" xfId="11495" xr:uid="{00000000-0005-0000-0000-0000F9530000}"/>
    <cellStyle name="Normal 6 3 9 2" xfId="23639" xr:uid="{00000000-0005-0000-0000-0000FA530000}"/>
    <cellStyle name="Normal 6 30" xfId="11496" xr:uid="{00000000-0005-0000-0000-0000FB530000}"/>
    <cellStyle name="Normal 6 30 2" xfId="23640" xr:uid="{00000000-0005-0000-0000-0000FC530000}"/>
    <cellStyle name="Normal 6 31" xfId="11497" xr:uid="{00000000-0005-0000-0000-0000FD530000}"/>
    <cellStyle name="Normal 6 31 2" xfId="23641" xr:uid="{00000000-0005-0000-0000-0000FE530000}"/>
    <cellStyle name="Normal 6 32" xfId="11498" xr:uid="{00000000-0005-0000-0000-0000FF530000}"/>
    <cellStyle name="Normal 6 32 2" xfId="23642" xr:uid="{00000000-0005-0000-0000-000000540000}"/>
    <cellStyle name="Normal 6 33" xfId="11499" xr:uid="{00000000-0005-0000-0000-000001540000}"/>
    <cellStyle name="Normal 6 33 2" xfId="23643" xr:uid="{00000000-0005-0000-0000-000002540000}"/>
    <cellStyle name="Normal 6 34" xfId="11500" xr:uid="{00000000-0005-0000-0000-000003540000}"/>
    <cellStyle name="Normal 6 34 2" xfId="23644" xr:uid="{00000000-0005-0000-0000-000004540000}"/>
    <cellStyle name="Normal 6 35" xfId="11501" xr:uid="{00000000-0005-0000-0000-000005540000}"/>
    <cellStyle name="Normal 6 35 2" xfId="23645" xr:uid="{00000000-0005-0000-0000-000006540000}"/>
    <cellStyle name="Normal 6 36" xfId="11502" xr:uid="{00000000-0005-0000-0000-000007540000}"/>
    <cellStyle name="Normal 6 36 2" xfId="23646" xr:uid="{00000000-0005-0000-0000-000008540000}"/>
    <cellStyle name="Normal 6 37" xfId="11503" xr:uid="{00000000-0005-0000-0000-000009540000}"/>
    <cellStyle name="Normal 6 37 2" xfId="23647" xr:uid="{00000000-0005-0000-0000-00000A540000}"/>
    <cellStyle name="Normal 6 38" xfId="11504" xr:uid="{00000000-0005-0000-0000-00000B540000}"/>
    <cellStyle name="Normal 6 38 2" xfId="23648" xr:uid="{00000000-0005-0000-0000-00000C540000}"/>
    <cellStyle name="Normal 6 39" xfId="11505" xr:uid="{00000000-0005-0000-0000-00000D540000}"/>
    <cellStyle name="Normal 6 39 2" xfId="23649" xr:uid="{00000000-0005-0000-0000-00000E540000}"/>
    <cellStyle name="Normal 6 4" xfId="116" xr:uid="{00000000-0005-0000-0000-00000F540000}"/>
    <cellStyle name="Normal 6 4 10" xfId="11506" xr:uid="{00000000-0005-0000-0000-000010540000}"/>
    <cellStyle name="Normal 6 4 10 2" xfId="23651" xr:uid="{00000000-0005-0000-0000-000011540000}"/>
    <cellStyle name="Normal 6 4 11" xfId="11507" xr:uid="{00000000-0005-0000-0000-000012540000}"/>
    <cellStyle name="Normal 6 4 11 2" xfId="23652" xr:uid="{00000000-0005-0000-0000-000013540000}"/>
    <cellStyle name="Normal 6 4 12" xfId="11508" xr:uid="{00000000-0005-0000-0000-000014540000}"/>
    <cellStyle name="Normal 6 4 12 2" xfId="23653" xr:uid="{00000000-0005-0000-0000-000015540000}"/>
    <cellStyle name="Normal 6 4 13" xfId="11509" xr:uid="{00000000-0005-0000-0000-000016540000}"/>
    <cellStyle name="Normal 6 4 13 2" xfId="23654" xr:uid="{00000000-0005-0000-0000-000017540000}"/>
    <cellStyle name="Normal 6 4 14" xfId="11510" xr:uid="{00000000-0005-0000-0000-000018540000}"/>
    <cellStyle name="Normal 6 4 14 2" xfId="23655" xr:uid="{00000000-0005-0000-0000-000019540000}"/>
    <cellStyle name="Normal 6 4 15" xfId="11511" xr:uid="{00000000-0005-0000-0000-00001A540000}"/>
    <cellStyle name="Normal 6 4 15 2" xfId="23656" xr:uid="{00000000-0005-0000-0000-00001B540000}"/>
    <cellStyle name="Normal 6 4 16" xfId="11512" xr:uid="{00000000-0005-0000-0000-00001C540000}"/>
    <cellStyle name="Normal 6 4 16 2" xfId="23657" xr:uid="{00000000-0005-0000-0000-00001D540000}"/>
    <cellStyle name="Normal 6 4 17" xfId="11513" xr:uid="{00000000-0005-0000-0000-00001E540000}"/>
    <cellStyle name="Normal 6 4 17 2" xfId="23658" xr:uid="{00000000-0005-0000-0000-00001F540000}"/>
    <cellStyle name="Normal 6 4 18" xfId="11514" xr:uid="{00000000-0005-0000-0000-000020540000}"/>
    <cellStyle name="Normal 6 4 18 2" xfId="23659" xr:uid="{00000000-0005-0000-0000-000021540000}"/>
    <cellStyle name="Normal 6 4 19" xfId="11515" xr:uid="{00000000-0005-0000-0000-000022540000}"/>
    <cellStyle name="Normal 6 4 19 2" xfId="23660" xr:uid="{00000000-0005-0000-0000-000023540000}"/>
    <cellStyle name="Normal 6 4 2" xfId="11516" xr:uid="{00000000-0005-0000-0000-000024540000}"/>
    <cellStyle name="Normal 6 4 2 2" xfId="23661" xr:uid="{00000000-0005-0000-0000-000025540000}"/>
    <cellStyle name="Normal 6 4 20" xfId="11517" xr:uid="{00000000-0005-0000-0000-000026540000}"/>
    <cellStyle name="Normal 6 4 20 2" xfId="23662" xr:uid="{00000000-0005-0000-0000-000027540000}"/>
    <cellStyle name="Normal 6 4 21" xfId="11518" xr:uid="{00000000-0005-0000-0000-000028540000}"/>
    <cellStyle name="Normal 6 4 21 2" xfId="23663" xr:uid="{00000000-0005-0000-0000-000029540000}"/>
    <cellStyle name="Normal 6 4 22" xfId="11519" xr:uid="{00000000-0005-0000-0000-00002A540000}"/>
    <cellStyle name="Normal 6 4 22 2" xfId="23664" xr:uid="{00000000-0005-0000-0000-00002B540000}"/>
    <cellStyle name="Normal 6 4 23" xfId="11520" xr:uid="{00000000-0005-0000-0000-00002C540000}"/>
    <cellStyle name="Normal 6 4 23 2" xfId="23665" xr:uid="{00000000-0005-0000-0000-00002D540000}"/>
    <cellStyle name="Normal 6 4 24" xfId="11521" xr:uid="{00000000-0005-0000-0000-00002E540000}"/>
    <cellStyle name="Normal 6 4 24 2" xfId="23666" xr:uid="{00000000-0005-0000-0000-00002F540000}"/>
    <cellStyle name="Normal 6 4 25" xfId="11522" xr:uid="{00000000-0005-0000-0000-000030540000}"/>
    <cellStyle name="Normal 6 4 25 2" xfId="23667" xr:uid="{00000000-0005-0000-0000-000031540000}"/>
    <cellStyle name="Normal 6 4 26" xfId="11523" xr:uid="{00000000-0005-0000-0000-000032540000}"/>
    <cellStyle name="Normal 6 4 26 2" xfId="23668" xr:uid="{00000000-0005-0000-0000-000033540000}"/>
    <cellStyle name="Normal 6 4 27" xfId="11524" xr:uid="{00000000-0005-0000-0000-000034540000}"/>
    <cellStyle name="Normal 6 4 27 2" xfId="23669" xr:uid="{00000000-0005-0000-0000-000035540000}"/>
    <cellStyle name="Normal 6 4 28" xfId="11525" xr:uid="{00000000-0005-0000-0000-000036540000}"/>
    <cellStyle name="Normal 6 4 28 2" xfId="23670" xr:uid="{00000000-0005-0000-0000-000037540000}"/>
    <cellStyle name="Normal 6 4 29" xfId="11526" xr:uid="{00000000-0005-0000-0000-000038540000}"/>
    <cellStyle name="Normal 6 4 29 2" xfId="23671" xr:uid="{00000000-0005-0000-0000-000039540000}"/>
    <cellStyle name="Normal 6 4 3" xfId="11527" xr:uid="{00000000-0005-0000-0000-00003A540000}"/>
    <cellStyle name="Normal 6 4 3 2" xfId="23672" xr:uid="{00000000-0005-0000-0000-00003B540000}"/>
    <cellStyle name="Normal 6 4 30" xfId="11528" xr:uid="{00000000-0005-0000-0000-00003C540000}"/>
    <cellStyle name="Normal 6 4 30 2" xfId="23673" xr:uid="{00000000-0005-0000-0000-00003D540000}"/>
    <cellStyle name="Normal 6 4 31" xfId="11529" xr:uid="{00000000-0005-0000-0000-00003E540000}"/>
    <cellStyle name="Normal 6 4 31 2" xfId="23674" xr:uid="{00000000-0005-0000-0000-00003F540000}"/>
    <cellStyle name="Normal 6 4 32" xfId="11530" xr:uid="{00000000-0005-0000-0000-000040540000}"/>
    <cellStyle name="Normal 6 4 32 2" xfId="23675" xr:uid="{00000000-0005-0000-0000-000041540000}"/>
    <cellStyle name="Normal 6 4 33" xfId="11531" xr:uid="{00000000-0005-0000-0000-000042540000}"/>
    <cellStyle name="Normal 6 4 33 2" xfId="23676" xr:uid="{00000000-0005-0000-0000-000043540000}"/>
    <cellStyle name="Normal 6 4 34" xfId="11532" xr:uid="{00000000-0005-0000-0000-000044540000}"/>
    <cellStyle name="Normal 6 4 34 2" xfId="23677" xr:uid="{00000000-0005-0000-0000-000045540000}"/>
    <cellStyle name="Normal 6 4 35" xfId="11533" xr:uid="{00000000-0005-0000-0000-000046540000}"/>
    <cellStyle name="Normal 6 4 35 2" xfId="23678" xr:uid="{00000000-0005-0000-0000-000047540000}"/>
    <cellStyle name="Normal 6 4 36" xfId="11534" xr:uid="{00000000-0005-0000-0000-000048540000}"/>
    <cellStyle name="Normal 6 4 36 2" xfId="23679" xr:uid="{00000000-0005-0000-0000-000049540000}"/>
    <cellStyle name="Normal 6 4 37" xfId="11535" xr:uid="{00000000-0005-0000-0000-00004A540000}"/>
    <cellStyle name="Normal 6 4 37 2" xfId="23680" xr:uid="{00000000-0005-0000-0000-00004B540000}"/>
    <cellStyle name="Normal 6 4 38" xfId="11536" xr:uid="{00000000-0005-0000-0000-00004C540000}"/>
    <cellStyle name="Normal 6 4 38 2" xfId="23681" xr:uid="{00000000-0005-0000-0000-00004D540000}"/>
    <cellStyle name="Normal 6 4 39" xfId="11537" xr:uid="{00000000-0005-0000-0000-00004E540000}"/>
    <cellStyle name="Normal 6 4 39 2" xfId="23682" xr:uid="{00000000-0005-0000-0000-00004F540000}"/>
    <cellStyle name="Normal 6 4 4" xfId="11538" xr:uid="{00000000-0005-0000-0000-000050540000}"/>
    <cellStyle name="Normal 6 4 4 2" xfId="23683" xr:uid="{00000000-0005-0000-0000-000051540000}"/>
    <cellStyle name="Normal 6 4 40" xfId="11539" xr:uid="{00000000-0005-0000-0000-000052540000}"/>
    <cellStyle name="Normal 6 4 40 2" xfId="23684" xr:uid="{00000000-0005-0000-0000-000053540000}"/>
    <cellStyle name="Normal 6 4 41" xfId="11540" xr:uid="{00000000-0005-0000-0000-000054540000}"/>
    <cellStyle name="Normal 6 4 41 2" xfId="23685" xr:uid="{00000000-0005-0000-0000-000055540000}"/>
    <cellStyle name="Normal 6 4 42" xfId="11541" xr:uid="{00000000-0005-0000-0000-000056540000}"/>
    <cellStyle name="Normal 6 4 42 2" xfId="23686" xr:uid="{00000000-0005-0000-0000-000057540000}"/>
    <cellStyle name="Normal 6 4 43" xfId="11542" xr:uid="{00000000-0005-0000-0000-000058540000}"/>
    <cellStyle name="Normal 6 4 43 2" xfId="23687" xr:uid="{00000000-0005-0000-0000-000059540000}"/>
    <cellStyle name="Normal 6 4 44" xfId="11543" xr:uid="{00000000-0005-0000-0000-00005A540000}"/>
    <cellStyle name="Normal 6 4 44 2" xfId="23688" xr:uid="{00000000-0005-0000-0000-00005B540000}"/>
    <cellStyle name="Normal 6 4 45" xfId="11544" xr:uid="{00000000-0005-0000-0000-00005C540000}"/>
    <cellStyle name="Normal 6 4 45 2" xfId="23689" xr:uid="{00000000-0005-0000-0000-00005D540000}"/>
    <cellStyle name="Normal 6 4 46" xfId="11545" xr:uid="{00000000-0005-0000-0000-00005E540000}"/>
    <cellStyle name="Normal 6 4 46 2" xfId="23690" xr:uid="{00000000-0005-0000-0000-00005F540000}"/>
    <cellStyle name="Normal 6 4 47" xfId="11546" xr:uid="{00000000-0005-0000-0000-000060540000}"/>
    <cellStyle name="Normal 6 4 47 2" xfId="23691" xr:uid="{00000000-0005-0000-0000-000061540000}"/>
    <cellStyle name="Normal 6 4 48" xfId="11547" xr:uid="{00000000-0005-0000-0000-000062540000}"/>
    <cellStyle name="Normal 6 4 48 2" xfId="23692" xr:uid="{00000000-0005-0000-0000-000063540000}"/>
    <cellStyle name="Normal 6 4 49" xfId="11548" xr:uid="{00000000-0005-0000-0000-000064540000}"/>
    <cellStyle name="Normal 6 4 49 2" xfId="23693" xr:uid="{00000000-0005-0000-0000-000065540000}"/>
    <cellStyle name="Normal 6 4 5" xfId="11549" xr:uid="{00000000-0005-0000-0000-000066540000}"/>
    <cellStyle name="Normal 6 4 5 2" xfId="23694" xr:uid="{00000000-0005-0000-0000-000067540000}"/>
    <cellStyle name="Normal 6 4 50" xfId="11550" xr:uid="{00000000-0005-0000-0000-000068540000}"/>
    <cellStyle name="Normal 6 4 50 2" xfId="23695" xr:uid="{00000000-0005-0000-0000-000069540000}"/>
    <cellStyle name="Normal 6 4 51" xfId="11551" xr:uid="{00000000-0005-0000-0000-00006A540000}"/>
    <cellStyle name="Normal 6 4 51 2" xfId="23696" xr:uid="{00000000-0005-0000-0000-00006B540000}"/>
    <cellStyle name="Normal 6 4 52" xfId="11552" xr:uid="{00000000-0005-0000-0000-00006C540000}"/>
    <cellStyle name="Normal 6 4 52 2" xfId="23697" xr:uid="{00000000-0005-0000-0000-00006D540000}"/>
    <cellStyle name="Normal 6 4 53" xfId="11553" xr:uid="{00000000-0005-0000-0000-00006E540000}"/>
    <cellStyle name="Normal 6 4 53 2" xfId="23698" xr:uid="{00000000-0005-0000-0000-00006F540000}"/>
    <cellStyle name="Normal 6 4 54" xfId="11554" xr:uid="{00000000-0005-0000-0000-000070540000}"/>
    <cellStyle name="Normal 6 4 54 2" xfId="23699" xr:uid="{00000000-0005-0000-0000-000071540000}"/>
    <cellStyle name="Normal 6 4 55" xfId="11555" xr:uid="{00000000-0005-0000-0000-000072540000}"/>
    <cellStyle name="Normal 6 4 55 2" xfId="23700" xr:uid="{00000000-0005-0000-0000-000073540000}"/>
    <cellStyle name="Normal 6 4 56" xfId="11556" xr:uid="{00000000-0005-0000-0000-000074540000}"/>
    <cellStyle name="Normal 6 4 56 2" xfId="23701" xr:uid="{00000000-0005-0000-0000-000075540000}"/>
    <cellStyle name="Normal 6 4 57" xfId="11557" xr:uid="{00000000-0005-0000-0000-000076540000}"/>
    <cellStyle name="Normal 6 4 57 2" xfId="23702" xr:uid="{00000000-0005-0000-0000-000077540000}"/>
    <cellStyle name="Normal 6 4 58" xfId="11558" xr:uid="{00000000-0005-0000-0000-000078540000}"/>
    <cellStyle name="Normal 6 4 58 2" xfId="23703" xr:uid="{00000000-0005-0000-0000-000079540000}"/>
    <cellStyle name="Normal 6 4 59" xfId="11559" xr:uid="{00000000-0005-0000-0000-00007A540000}"/>
    <cellStyle name="Normal 6 4 59 2" xfId="23704" xr:uid="{00000000-0005-0000-0000-00007B540000}"/>
    <cellStyle name="Normal 6 4 6" xfId="11560" xr:uid="{00000000-0005-0000-0000-00007C540000}"/>
    <cellStyle name="Normal 6 4 6 2" xfId="23705" xr:uid="{00000000-0005-0000-0000-00007D540000}"/>
    <cellStyle name="Normal 6 4 60" xfId="11561" xr:uid="{00000000-0005-0000-0000-00007E540000}"/>
    <cellStyle name="Normal 6 4 60 2" xfId="23706" xr:uid="{00000000-0005-0000-0000-00007F540000}"/>
    <cellStyle name="Normal 6 4 61" xfId="11562" xr:uid="{00000000-0005-0000-0000-000080540000}"/>
    <cellStyle name="Normal 6 4 61 2" xfId="23707" xr:uid="{00000000-0005-0000-0000-000081540000}"/>
    <cellStyle name="Normal 6 4 62" xfId="11563" xr:uid="{00000000-0005-0000-0000-000082540000}"/>
    <cellStyle name="Normal 6 4 62 2" xfId="23708" xr:uid="{00000000-0005-0000-0000-000083540000}"/>
    <cellStyle name="Normal 6 4 63" xfId="11564" xr:uid="{00000000-0005-0000-0000-000084540000}"/>
    <cellStyle name="Normal 6 4 63 2" xfId="23709" xr:uid="{00000000-0005-0000-0000-000085540000}"/>
    <cellStyle name="Normal 6 4 64" xfId="11565" xr:uid="{00000000-0005-0000-0000-000086540000}"/>
    <cellStyle name="Normal 6 4 64 2" xfId="23710" xr:uid="{00000000-0005-0000-0000-000087540000}"/>
    <cellStyle name="Normal 6 4 65" xfId="11566" xr:uid="{00000000-0005-0000-0000-000088540000}"/>
    <cellStyle name="Normal 6 4 65 2" xfId="23711" xr:uid="{00000000-0005-0000-0000-000089540000}"/>
    <cellStyle name="Normal 6 4 66" xfId="11567" xr:uid="{00000000-0005-0000-0000-00008A540000}"/>
    <cellStyle name="Normal 6 4 66 2" xfId="23712" xr:uid="{00000000-0005-0000-0000-00008B540000}"/>
    <cellStyle name="Normal 6 4 67" xfId="11568" xr:uid="{00000000-0005-0000-0000-00008C540000}"/>
    <cellStyle name="Normal 6 4 67 2" xfId="23713" xr:uid="{00000000-0005-0000-0000-00008D540000}"/>
    <cellStyle name="Normal 6 4 68" xfId="11569" xr:uid="{00000000-0005-0000-0000-00008E540000}"/>
    <cellStyle name="Normal 6 4 68 2" xfId="23714" xr:uid="{00000000-0005-0000-0000-00008F540000}"/>
    <cellStyle name="Normal 6 4 69" xfId="11570" xr:uid="{00000000-0005-0000-0000-000090540000}"/>
    <cellStyle name="Normal 6 4 69 2" xfId="23715" xr:uid="{00000000-0005-0000-0000-000091540000}"/>
    <cellStyle name="Normal 6 4 7" xfId="11571" xr:uid="{00000000-0005-0000-0000-000092540000}"/>
    <cellStyle name="Normal 6 4 7 2" xfId="23716" xr:uid="{00000000-0005-0000-0000-000093540000}"/>
    <cellStyle name="Normal 6 4 70" xfId="11572" xr:uid="{00000000-0005-0000-0000-000094540000}"/>
    <cellStyle name="Normal 6 4 70 2" xfId="23717" xr:uid="{00000000-0005-0000-0000-000095540000}"/>
    <cellStyle name="Normal 6 4 71" xfId="11573" xr:uid="{00000000-0005-0000-0000-000096540000}"/>
    <cellStyle name="Normal 6 4 71 2" xfId="23718" xr:uid="{00000000-0005-0000-0000-000097540000}"/>
    <cellStyle name="Normal 6 4 72" xfId="11574" xr:uid="{00000000-0005-0000-0000-000098540000}"/>
    <cellStyle name="Normal 6 4 72 2" xfId="23719" xr:uid="{00000000-0005-0000-0000-000099540000}"/>
    <cellStyle name="Normal 6 4 73" xfId="11575" xr:uid="{00000000-0005-0000-0000-00009A540000}"/>
    <cellStyle name="Normal 6 4 73 2" xfId="23720" xr:uid="{00000000-0005-0000-0000-00009B540000}"/>
    <cellStyle name="Normal 6 4 74" xfId="11576" xr:uid="{00000000-0005-0000-0000-00009C540000}"/>
    <cellStyle name="Normal 6 4 74 2" xfId="23721" xr:uid="{00000000-0005-0000-0000-00009D540000}"/>
    <cellStyle name="Normal 6 4 75" xfId="11577" xr:uid="{00000000-0005-0000-0000-00009E540000}"/>
    <cellStyle name="Normal 6 4 75 2" xfId="23722" xr:uid="{00000000-0005-0000-0000-00009F540000}"/>
    <cellStyle name="Normal 6 4 76" xfId="11578" xr:uid="{00000000-0005-0000-0000-0000A0540000}"/>
    <cellStyle name="Normal 6 4 76 2" xfId="23723" xr:uid="{00000000-0005-0000-0000-0000A1540000}"/>
    <cellStyle name="Normal 6 4 77" xfId="11579" xr:uid="{00000000-0005-0000-0000-0000A2540000}"/>
    <cellStyle name="Normal 6 4 77 2" xfId="23724" xr:uid="{00000000-0005-0000-0000-0000A3540000}"/>
    <cellStyle name="Normal 6 4 78" xfId="11580" xr:uid="{00000000-0005-0000-0000-0000A4540000}"/>
    <cellStyle name="Normal 6 4 78 2" xfId="23725" xr:uid="{00000000-0005-0000-0000-0000A5540000}"/>
    <cellStyle name="Normal 6 4 79" xfId="11581" xr:uid="{00000000-0005-0000-0000-0000A6540000}"/>
    <cellStyle name="Normal 6 4 79 2" xfId="23726" xr:uid="{00000000-0005-0000-0000-0000A7540000}"/>
    <cellStyle name="Normal 6 4 8" xfId="11582" xr:uid="{00000000-0005-0000-0000-0000A8540000}"/>
    <cellStyle name="Normal 6 4 8 2" xfId="23727" xr:uid="{00000000-0005-0000-0000-0000A9540000}"/>
    <cellStyle name="Normal 6 4 80" xfId="23650" xr:uid="{00000000-0005-0000-0000-0000AA540000}"/>
    <cellStyle name="Normal 6 4 9" xfId="11583" xr:uid="{00000000-0005-0000-0000-0000AB540000}"/>
    <cellStyle name="Normal 6 4 9 2" xfId="23728" xr:uid="{00000000-0005-0000-0000-0000AC540000}"/>
    <cellStyle name="Normal 6 40" xfId="11584" xr:uid="{00000000-0005-0000-0000-0000AD540000}"/>
    <cellStyle name="Normal 6 40 2" xfId="23729" xr:uid="{00000000-0005-0000-0000-0000AE540000}"/>
    <cellStyle name="Normal 6 41" xfId="11585" xr:uid="{00000000-0005-0000-0000-0000AF540000}"/>
    <cellStyle name="Normal 6 41 2" xfId="23730" xr:uid="{00000000-0005-0000-0000-0000B0540000}"/>
    <cellStyle name="Normal 6 42" xfId="11586" xr:uid="{00000000-0005-0000-0000-0000B1540000}"/>
    <cellStyle name="Normal 6 42 2" xfId="23731" xr:uid="{00000000-0005-0000-0000-0000B2540000}"/>
    <cellStyle name="Normal 6 43" xfId="11587" xr:uid="{00000000-0005-0000-0000-0000B3540000}"/>
    <cellStyle name="Normal 6 43 2" xfId="23732" xr:uid="{00000000-0005-0000-0000-0000B4540000}"/>
    <cellStyle name="Normal 6 44" xfId="11588" xr:uid="{00000000-0005-0000-0000-0000B5540000}"/>
    <cellStyle name="Normal 6 44 2" xfId="23733" xr:uid="{00000000-0005-0000-0000-0000B6540000}"/>
    <cellStyle name="Normal 6 45" xfId="11589" xr:uid="{00000000-0005-0000-0000-0000B7540000}"/>
    <cellStyle name="Normal 6 45 2" xfId="23734" xr:uid="{00000000-0005-0000-0000-0000B8540000}"/>
    <cellStyle name="Normal 6 46" xfId="11590" xr:uid="{00000000-0005-0000-0000-0000B9540000}"/>
    <cellStyle name="Normal 6 46 2" xfId="23735" xr:uid="{00000000-0005-0000-0000-0000BA540000}"/>
    <cellStyle name="Normal 6 47" xfId="11591" xr:uid="{00000000-0005-0000-0000-0000BB540000}"/>
    <cellStyle name="Normal 6 47 2" xfId="23736" xr:uid="{00000000-0005-0000-0000-0000BC540000}"/>
    <cellStyle name="Normal 6 48" xfId="11592" xr:uid="{00000000-0005-0000-0000-0000BD540000}"/>
    <cellStyle name="Normal 6 48 2" xfId="23737" xr:uid="{00000000-0005-0000-0000-0000BE540000}"/>
    <cellStyle name="Normal 6 49" xfId="11593" xr:uid="{00000000-0005-0000-0000-0000BF540000}"/>
    <cellStyle name="Normal 6 49 2" xfId="23738" xr:uid="{00000000-0005-0000-0000-0000C0540000}"/>
    <cellStyle name="Normal 6 5" xfId="123" xr:uid="{00000000-0005-0000-0000-0000C1540000}"/>
    <cellStyle name="Normal 6 5 2" xfId="23739" xr:uid="{00000000-0005-0000-0000-0000C2540000}"/>
    <cellStyle name="Normal 6 50" xfId="11594" xr:uid="{00000000-0005-0000-0000-0000C3540000}"/>
    <cellStyle name="Normal 6 50 2" xfId="23740" xr:uid="{00000000-0005-0000-0000-0000C4540000}"/>
    <cellStyle name="Normal 6 51" xfId="11595" xr:uid="{00000000-0005-0000-0000-0000C5540000}"/>
    <cellStyle name="Normal 6 51 2" xfId="23741" xr:uid="{00000000-0005-0000-0000-0000C6540000}"/>
    <cellStyle name="Normal 6 52" xfId="11596" xr:uid="{00000000-0005-0000-0000-0000C7540000}"/>
    <cellStyle name="Normal 6 52 2" xfId="23742" xr:uid="{00000000-0005-0000-0000-0000C8540000}"/>
    <cellStyle name="Normal 6 53" xfId="11597" xr:uid="{00000000-0005-0000-0000-0000C9540000}"/>
    <cellStyle name="Normal 6 53 2" xfId="23743" xr:uid="{00000000-0005-0000-0000-0000CA540000}"/>
    <cellStyle name="Normal 6 54" xfId="11598" xr:uid="{00000000-0005-0000-0000-0000CB540000}"/>
    <cellStyle name="Normal 6 54 2" xfId="23744" xr:uid="{00000000-0005-0000-0000-0000CC540000}"/>
    <cellStyle name="Normal 6 55" xfId="11599" xr:uid="{00000000-0005-0000-0000-0000CD540000}"/>
    <cellStyle name="Normal 6 55 2" xfId="23745" xr:uid="{00000000-0005-0000-0000-0000CE540000}"/>
    <cellStyle name="Normal 6 56" xfId="11600" xr:uid="{00000000-0005-0000-0000-0000CF540000}"/>
    <cellStyle name="Normal 6 56 2" xfId="23746" xr:uid="{00000000-0005-0000-0000-0000D0540000}"/>
    <cellStyle name="Normal 6 57" xfId="11601" xr:uid="{00000000-0005-0000-0000-0000D1540000}"/>
    <cellStyle name="Normal 6 57 2" xfId="23747" xr:uid="{00000000-0005-0000-0000-0000D2540000}"/>
    <cellStyle name="Normal 6 58" xfId="11602" xr:uid="{00000000-0005-0000-0000-0000D3540000}"/>
    <cellStyle name="Normal 6 58 2" xfId="23748" xr:uid="{00000000-0005-0000-0000-0000D4540000}"/>
    <cellStyle name="Normal 6 59" xfId="11603" xr:uid="{00000000-0005-0000-0000-0000D5540000}"/>
    <cellStyle name="Normal 6 59 2" xfId="23749" xr:uid="{00000000-0005-0000-0000-0000D6540000}"/>
    <cellStyle name="Normal 6 6" xfId="119" xr:uid="{00000000-0005-0000-0000-0000D7540000}"/>
    <cellStyle name="Normal 6 6 2" xfId="23750" xr:uid="{00000000-0005-0000-0000-0000D8540000}"/>
    <cellStyle name="Normal 6 60" xfId="11604" xr:uid="{00000000-0005-0000-0000-0000D9540000}"/>
    <cellStyle name="Normal 6 60 2" xfId="23751" xr:uid="{00000000-0005-0000-0000-0000DA540000}"/>
    <cellStyle name="Normal 6 61" xfId="11605" xr:uid="{00000000-0005-0000-0000-0000DB540000}"/>
    <cellStyle name="Normal 6 61 2" xfId="23752" xr:uid="{00000000-0005-0000-0000-0000DC540000}"/>
    <cellStyle name="Normal 6 62" xfId="11606" xr:uid="{00000000-0005-0000-0000-0000DD540000}"/>
    <cellStyle name="Normal 6 62 2" xfId="23753" xr:uid="{00000000-0005-0000-0000-0000DE540000}"/>
    <cellStyle name="Normal 6 63" xfId="11607" xr:uid="{00000000-0005-0000-0000-0000DF540000}"/>
    <cellStyle name="Normal 6 63 2" xfId="23754" xr:uid="{00000000-0005-0000-0000-0000E0540000}"/>
    <cellStyle name="Normal 6 64" xfId="11608" xr:uid="{00000000-0005-0000-0000-0000E1540000}"/>
    <cellStyle name="Normal 6 64 2" xfId="23755" xr:uid="{00000000-0005-0000-0000-0000E2540000}"/>
    <cellStyle name="Normal 6 65" xfId="11609" xr:uid="{00000000-0005-0000-0000-0000E3540000}"/>
    <cellStyle name="Normal 6 65 2" xfId="23756" xr:uid="{00000000-0005-0000-0000-0000E4540000}"/>
    <cellStyle name="Normal 6 66" xfId="11610" xr:uid="{00000000-0005-0000-0000-0000E5540000}"/>
    <cellStyle name="Normal 6 66 2" xfId="23757" xr:uid="{00000000-0005-0000-0000-0000E6540000}"/>
    <cellStyle name="Normal 6 67" xfId="11611" xr:uid="{00000000-0005-0000-0000-0000E7540000}"/>
    <cellStyle name="Normal 6 67 2" xfId="23758" xr:uid="{00000000-0005-0000-0000-0000E8540000}"/>
    <cellStyle name="Normal 6 68" xfId="11612" xr:uid="{00000000-0005-0000-0000-0000E9540000}"/>
    <cellStyle name="Normal 6 68 2" xfId="23759" xr:uid="{00000000-0005-0000-0000-0000EA540000}"/>
    <cellStyle name="Normal 6 69" xfId="11613" xr:uid="{00000000-0005-0000-0000-0000EB540000}"/>
    <cellStyle name="Normal 6 69 2" xfId="23760" xr:uid="{00000000-0005-0000-0000-0000EC540000}"/>
    <cellStyle name="Normal 6 7" xfId="128" xr:uid="{00000000-0005-0000-0000-0000ED540000}"/>
    <cellStyle name="Normal 6 7 2" xfId="23761" xr:uid="{00000000-0005-0000-0000-0000EE540000}"/>
    <cellStyle name="Normal 6 70" xfId="11614" xr:uid="{00000000-0005-0000-0000-0000EF540000}"/>
    <cellStyle name="Normal 6 70 2" xfId="23762" xr:uid="{00000000-0005-0000-0000-0000F0540000}"/>
    <cellStyle name="Normal 6 71" xfId="11615" xr:uid="{00000000-0005-0000-0000-0000F1540000}"/>
    <cellStyle name="Normal 6 71 2" xfId="23763" xr:uid="{00000000-0005-0000-0000-0000F2540000}"/>
    <cellStyle name="Normal 6 72" xfId="11616" xr:uid="{00000000-0005-0000-0000-0000F3540000}"/>
    <cellStyle name="Normal 6 72 2" xfId="23764" xr:uid="{00000000-0005-0000-0000-0000F4540000}"/>
    <cellStyle name="Normal 6 73" xfId="11617" xr:uid="{00000000-0005-0000-0000-0000F5540000}"/>
    <cellStyle name="Normal 6 73 2" xfId="23765" xr:uid="{00000000-0005-0000-0000-0000F6540000}"/>
    <cellStyle name="Normal 6 74" xfId="11618" xr:uid="{00000000-0005-0000-0000-0000F7540000}"/>
    <cellStyle name="Normal 6 74 2" xfId="23766" xr:uid="{00000000-0005-0000-0000-0000F8540000}"/>
    <cellStyle name="Normal 6 75" xfId="11619" xr:uid="{00000000-0005-0000-0000-0000F9540000}"/>
    <cellStyle name="Normal 6 75 2" xfId="23767" xr:uid="{00000000-0005-0000-0000-0000FA540000}"/>
    <cellStyle name="Normal 6 76" xfId="11620" xr:uid="{00000000-0005-0000-0000-0000FB540000}"/>
    <cellStyle name="Normal 6 76 2" xfId="23768" xr:uid="{00000000-0005-0000-0000-0000FC540000}"/>
    <cellStyle name="Normal 6 77" xfId="11621" xr:uid="{00000000-0005-0000-0000-0000FD540000}"/>
    <cellStyle name="Normal 6 77 2" xfId="23769" xr:uid="{00000000-0005-0000-0000-0000FE540000}"/>
    <cellStyle name="Normal 6 78" xfId="11622" xr:uid="{00000000-0005-0000-0000-0000FF540000}"/>
    <cellStyle name="Normal 6 78 2" xfId="23770" xr:uid="{00000000-0005-0000-0000-000000550000}"/>
    <cellStyle name="Normal 6 79" xfId="11623" xr:uid="{00000000-0005-0000-0000-000001550000}"/>
    <cellStyle name="Normal 6 79 2" xfId="23771" xr:uid="{00000000-0005-0000-0000-000002550000}"/>
    <cellStyle name="Normal 6 8" xfId="156" xr:uid="{00000000-0005-0000-0000-000003550000}"/>
    <cellStyle name="Normal 6 8 2" xfId="23772" xr:uid="{00000000-0005-0000-0000-000004550000}"/>
    <cellStyle name="Normal 6 8 3" xfId="11624" xr:uid="{00000000-0005-0000-0000-000005550000}"/>
    <cellStyle name="Normal 6 80" xfId="11625" xr:uid="{00000000-0005-0000-0000-000006550000}"/>
    <cellStyle name="Normal 6 80 2" xfId="23773" xr:uid="{00000000-0005-0000-0000-000007550000}"/>
    <cellStyle name="Normal 6 81" xfId="11626" xr:uid="{00000000-0005-0000-0000-000008550000}"/>
    <cellStyle name="Normal 6 81 2" xfId="23774" xr:uid="{00000000-0005-0000-0000-000009550000}"/>
    <cellStyle name="Normal 6 82" xfId="11627" xr:uid="{00000000-0005-0000-0000-00000A550000}"/>
    <cellStyle name="Normal 6 82 2" xfId="23775" xr:uid="{00000000-0005-0000-0000-00000B550000}"/>
    <cellStyle name="Normal 6 83" xfId="27177" xr:uid="{00000000-0005-0000-0000-00000C550000}"/>
    <cellStyle name="Normal 6 84" xfId="1619" xr:uid="{00000000-0005-0000-0000-00000D550000}"/>
    <cellStyle name="Normal 6 85" xfId="27411" xr:uid="{00000000-0005-0000-0000-00000E550000}"/>
    <cellStyle name="Normal 6 9" xfId="748" xr:uid="{00000000-0005-0000-0000-00000F550000}"/>
    <cellStyle name="Normal 6 9 2" xfId="23776" xr:uid="{00000000-0005-0000-0000-000010550000}"/>
    <cellStyle name="Normal 6 9 3" xfId="11628" xr:uid="{00000000-0005-0000-0000-000011550000}"/>
    <cellStyle name="Normal 60" xfId="186" xr:uid="{00000000-0005-0000-0000-000012550000}"/>
    <cellStyle name="Normal 60 10" xfId="11629" xr:uid="{00000000-0005-0000-0000-000013550000}"/>
    <cellStyle name="Normal 60 10 2" xfId="23778" xr:uid="{00000000-0005-0000-0000-000014550000}"/>
    <cellStyle name="Normal 60 11" xfId="11630" xr:uid="{00000000-0005-0000-0000-000015550000}"/>
    <cellStyle name="Normal 60 11 2" xfId="23779" xr:uid="{00000000-0005-0000-0000-000016550000}"/>
    <cellStyle name="Normal 60 12" xfId="11631" xr:uid="{00000000-0005-0000-0000-000017550000}"/>
    <cellStyle name="Normal 60 12 2" xfId="23780" xr:uid="{00000000-0005-0000-0000-000018550000}"/>
    <cellStyle name="Normal 60 13" xfId="11632" xr:uid="{00000000-0005-0000-0000-000019550000}"/>
    <cellStyle name="Normal 60 13 2" xfId="23781" xr:uid="{00000000-0005-0000-0000-00001A550000}"/>
    <cellStyle name="Normal 60 14" xfId="11633" xr:uid="{00000000-0005-0000-0000-00001B550000}"/>
    <cellStyle name="Normal 60 14 2" xfId="23782" xr:uid="{00000000-0005-0000-0000-00001C550000}"/>
    <cellStyle name="Normal 60 15" xfId="11634" xr:uid="{00000000-0005-0000-0000-00001D550000}"/>
    <cellStyle name="Normal 60 15 2" xfId="23783" xr:uid="{00000000-0005-0000-0000-00001E550000}"/>
    <cellStyle name="Normal 60 16" xfId="11635" xr:uid="{00000000-0005-0000-0000-00001F550000}"/>
    <cellStyle name="Normal 60 16 2" xfId="23784" xr:uid="{00000000-0005-0000-0000-000020550000}"/>
    <cellStyle name="Normal 60 17" xfId="11636" xr:uid="{00000000-0005-0000-0000-000021550000}"/>
    <cellStyle name="Normal 60 17 2" xfId="23785" xr:uid="{00000000-0005-0000-0000-000022550000}"/>
    <cellStyle name="Normal 60 18" xfId="11637" xr:uid="{00000000-0005-0000-0000-000023550000}"/>
    <cellStyle name="Normal 60 18 2" xfId="23786" xr:uid="{00000000-0005-0000-0000-000024550000}"/>
    <cellStyle name="Normal 60 19" xfId="11638" xr:uid="{00000000-0005-0000-0000-000025550000}"/>
    <cellStyle name="Normal 60 19 2" xfId="23787" xr:uid="{00000000-0005-0000-0000-000026550000}"/>
    <cellStyle name="Normal 60 2" xfId="749" xr:uid="{00000000-0005-0000-0000-000027550000}"/>
    <cellStyle name="Normal 60 2 2" xfId="23788" xr:uid="{00000000-0005-0000-0000-000028550000}"/>
    <cellStyle name="Normal 60 2 3" xfId="11639" xr:uid="{00000000-0005-0000-0000-000029550000}"/>
    <cellStyle name="Normal 60 20" xfId="11640" xr:uid="{00000000-0005-0000-0000-00002A550000}"/>
    <cellStyle name="Normal 60 20 2" xfId="23789" xr:uid="{00000000-0005-0000-0000-00002B550000}"/>
    <cellStyle name="Normal 60 21" xfId="11641" xr:uid="{00000000-0005-0000-0000-00002C550000}"/>
    <cellStyle name="Normal 60 21 2" xfId="23790" xr:uid="{00000000-0005-0000-0000-00002D550000}"/>
    <cellStyle name="Normal 60 22" xfId="11642" xr:uid="{00000000-0005-0000-0000-00002E550000}"/>
    <cellStyle name="Normal 60 22 2" xfId="23791" xr:uid="{00000000-0005-0000-0000-00002F550000}"/>
    <cellStyle name="Normal 60 23" xfId="11643" xr:uid="{00000000-0005-0000-0000-000030550000}"/>
    <cellStyle name="Normal 60 23 2" xfId="23792" xr:uid="{00000000-0005-0000-0000-000031550000}"/>
    <cellStyle name="Normal 60 24" xfId="11644" xr:uid="{00000000-0005-0000-0000-000032550000}"/>
    <cellStyle name="Normal 60 24 2" xfId="23793" xr:uid="{00000000-0005-0000-0000-000033550000}"/>
    <cellStyle name="Normal 60 25" xfId="11645" xr:uid="{00000000-0005-0000-0000-000034550000}"/>
    <cellStyle name="Normal 60 25 2" xfId="23794" xr:uid="{00000000-0005-0000-0000-000035550000}"/>
    <cellStyle name="Normal 60 26" xfId="11646" xr:uid="{00000000-0005-0000-0000-000036550000}"/>
    <cellStyle name="Normal 60 26 2" xfId="23795" xr:uid="{00000000-0005-0000-0000-000037550000}"/>
    <cellStyle name="Normal 60 27" xfId="11647" xr:uid="{00000000-0005-0000-0000-000038550000}"/>
    <cellStyle name="Normal 60 27 2" xfId="23796" xr:uid="{00000000-0005-0000-0000-000039550000}"/>
    <cellStyle name="Normal 60 28" xfId="11648" xr:uid="{00000000-0005-0000-0000-00003A550000}"/>
    <cellStyle name="Normal 60 28 2" xfId="23797" xr:uid="{00000000-0005-0000-0000-00003B550000}"/>
    <cellStyle name="Normal 60 29" xfId="11649" xr:uid="{00000000-0005-0000-0000-00003C550000}"/>
    <cellStyle name="Normal 60 29 2" xfId="23798" xr:uid="{00000000-0005-0000-0000-00003D550000}"/>
    <cellStyle name="Normal 60 3" xfId="401" xr:uid="{00000000-0005-0000-0000-00003E550000}"/>
    <cellStyle name="Normal 60 3 2" xfId="23799" xr:uid="{00000000-0005-0000-0000-00003F550000}"/>
    <cellStyle name="Normal 60 30" xfId="11650" xr:uid="{00000000-0005-0000-0000-000040550000}"/>
    <cellStyle name="Normal 60 30 2" xfId="23800" xr:uid="{00000000-0005-0000-0000-000041550000}"/>
    <cellStyle name="Normal 60 31" xfId="11651" xr:uid="{00000000-0005-0000-0000-000042550000}"/>
    <cellStyle name="Normal 60 31 2" xfId="23801" xr:uid="{00000000-0005-0000-0000-000043550000}"/>
    <cellStyle name="Normal 60 32" xfId="11652" xr:uid="{00000000-0005-0000-0000-000044550000}"/>
    <cellStyle name="Normal 60 32 2" xfId="23802" xr:uid="{00000000-0005-0000-0000-000045550000}"/>
    <cellStyle name="Normal 60 33" xfId="11653" xr:uid="{00000000-0005-0000-0000-000046550000}"/>
    <cellStyle name="Normal 60 33 2" xfId="23803" xr:uid="{00000000-0005-0000-0000-000047550000}"/>
    <cellStyle name="Normal 60 34" xfId="11654" xr:uid="{00000000-0005-0000-0000-000048550000}"/>
    <cellStyle name="Normal 60 34 2" xfId="23804" xr:uid="{00000000-0005-0000-0000-000049550000}"/>
    <cellStyle name="Normal 60 35" xfId="11655" xr:uid="{00000000-0005-0000-0000-00004A550000}"/>
    <cellStyle name="Normal 60 35 2" xfId="23805" xr:uid="{00000000-0005-0000-0000-00004B550000}"/>
    <cellStyle name="Normal 60 36" xfId="11656" xr:uid="{00000000-0005-0000-0000-00004C550000}"/>
    <cellStyle name="Normal 60 36 2" xfId="23806" xr:uid="{00000000-0005-0000-0000-00004D550000}"/>
    <cellStyle name="Normal 60 37" xfId="11657" xr:uid="{00000000-0005-0000-0000-00004E550000}"/>
    <cellStyle name="Normal 60 37 2" xfId="23807" xr:uid="{00000000-0005-0000-0000-00004F550000}"/>
    <cellStyle name="Normal 60 38" xfId="11658" xr:uid="{00000000-0005-0000-0000-000050550000}"/>
    <cellStyle name="Normal 60 38 2" xfId="23808" xr:uid="{00000000-0005-0000-0000-000051550000}"/>
    <cellStyle name="Normal 60 39" xfId="11659" xr:uid="{00000000-0005-0000-0000-000052550000}"/>
    <cellStyle name="Normal 60 39 2" xfId="23809" xr:uid="{00000000-0005-0000-0000-000053550000}"/>
    <cellStyle name="Normal 60 4" xfId="11660" xr:uid="{00000000-0005-0000-0000-000054550000}"/>
    <cellStyle name="Normal 60 4 2" xfId="23810" xr:uid="{00000000-0005-0000-0000-000055550000}"/>
    <cellStyle name="Normal 60 40" xfId="11661" xr:uid="{00000000-0005-0000-0000-000056550000}"/>
    <cellStyle name="Normal 60 40 2" xfId="23811" xr:uid="{00000000-0005-0000-0000-000057550000}"/>
    <cellStyle name="Normal 60 41" xfId="11662" xr:uid="{00000000-0005-0000-0000-000058550000}"/>
    <cellStyle name="Normal 60 41 2" xfId="23812" xr:uid="{00000000-0005-0000-0000-000059550000}"/>
    <cellStyle name="Normal 60 42" xfId="11663" xr:uid="{00000000-0005-0000-0000-00005A550000}"/>
    <cellStyle name="Normal 60 42 2" xfId="23813" xr:uid="{00000000-0005-0000-0000-00005B550000}"/>
    <cellStyle name="Normal 60 43" xfId="11664" xr:uid="{00000000-0005-0000-0000-00005C550000}"/>
    <cellStyle name="Normal 60 43 2" xfId="23814" xr:uid="{00000000-0005-0000-0000-00005D550000}"/>
    <cellStyle name="Normal 60 44" xfId="11665" xr:uid="{00000000-0005-0000-0000-00005E550000}"/>
    <cellStyle name="Normal 60 44 2" xfId="23815" xr:uid="{00000000-0005-0000-0000-00005F550000}"/>
    <cellStyle name="Normal 60 45" xfId="11666" xr:uid="{00000000-0005-0000-0000-000060550000}"/>
    <cellStyle name="Normal 60 45 2" xfId="23816" xr:uid="{00000000-0005-0000-0000-000061550000}"/>
    <cellStyle name="Normal 60 46" xfId="11667" xr:uid="{00000000-0005-0000-0000-000062550000}"/>
    <cellStyle name="Normal 60 46 2" xfId="23817" xr:uid="{00000000-0005-0000-0000-000063550000}"/>
    <cellStyle name="Normal 60 47" xfId="11668" xr:uid="{00000000-0005-0000-0000-000064550000}"/>
    <cellStyle name="Normal 60 47 2" xfId="23818" xr:uid="{00000000-0005-0000-0000-000065550000}"/>
    <cellStyle name="Normal 60 48" xfId="11669" xr:uid="{00000000-0005-0000-0000-000066550000}"/>
    <cellStyle name="Normal 60 48 2" xfId="23819" xr:uid="{00000000-0005-0000-0000-000067550000}"/>
    <cellStyle name="Normal 60 49" xfId="11670" xr:uid="{00000000-0005-0000-0000-000068550000}"/>
    <cellStyle name="Normal 60 49 2" xfId="23820" xr:uid="{00000000-0005-0000-0000-000069550000}"/>
    <cellStyle name="Normal 60 5" xfId="11671" xr:uid="{00000000-0005-0000-0000-00006A550000}"/>
    <cellStyle name="Normal 60 5 2" xfId="23821" xr:uid="{00000000-0005-0000-0000-00006B550000}"/>
    <cellStyle name="Normal 60 50" xfId="11672" xr:uid="{00000000-0005-0000-0000-00006C550000}"/>
    <cellStyle name="Normal 60 50 2" xfId="23822" xr:uid="{00000000-0005-0000-0000-00006D550000}"/>
    <cellStyle name="Normal 60 51" xfId="11673" xr:uid="{00000000-0005-0000-0000-00006E550000}"/>
    <cellStyle name="Normal 60 51 2" xfId="23823" xr:uid="{00000000-0005-0000-0000-00006F550000}"/>
    <cellStyle name="Normal 60 52" xfId="11674" xr:uid="{00000000-0005-0000-0000-000070550000}"/>
    <cellStyle name="Normal 60 52 2" xfId="23824" xr:uid="{00000000-0005-0000-0000-000071550000}"/>
    <cellStyle name="Normal 60 53" xfId="11675" xr:uid="{00000000-0005-0000-0000-000072550000}"/>
    <cellStyle name="Normal 60 53 2" xfId="23825" xr:uid="{00000000-0005-0000-0000-000073550000}"/>
    <cellStyle name="Normal 60 54" xfId="11676" xr:uid="{00000000-0005-0000-0000-000074550000}"/>
    <cellStyle name="Normal 60 54 2" xfId="23826" xr:uid="{00000000-0005-0000-0000-000075550000}"/>
    <cellStyle name="Normal 60 55" xfId="11677" xr:uid="{00000000-0005-0000-0000-000076550000}"/>
    <cellStyle name="Normal 60 55 2" xfId="23827" xr:uid="{00000000-0005-0000-0000-000077550000}"/>
    <cellStyle name="Normal 60 56" xfId="11678" xr:uid="{00000000-0005-0000-0000-000078550000}"/>
    <cellStyle name="Normal 60 56 2" xfId="23828" xr:uid="{00000000-0005-0000-0000-000079550000}"/>
    <cellStyle name="Normal 60 57" xfId="11679" xr:uid="{00000000-0005-0000-0000-00007A550000}"/>
    <cellStyle name="Normal 60 57 2" xfId="23829" xr:uid="{00000000-0005-0000-0000-00007B550000}"/>
    <cellStyle name="Normal 60 58" xfId="11680" xr:uid="{00000000-0005-0000-0000-00007C550000}"/>
    <cellStyle name="Normal 60 58 2" xfId="23830" xr:uid="{00000000-0005-0000-0000-00007D550000}"/>
    <cellStyle name="Normal 60 59" xfId="11681" xr:uid="{00000000-0005-0000-0000-00007E550000}"/>
    <cellStyle name="Normal 60 59 2" xfId="23831" xr:uid="{00000000-0005-0000-0000-00007F550000}"/>
    <cellStyle name="Normal 60 6" xfId="11682" xr:uid="{00000000-0005-0000-0000-000080550000}"/>
    <cellStyle name="Normal 60 6 2" xfId="23832" xr:uid="{00000000-0005-0000-0000-000081550000}"/>
    <cellStyle name="Normal 60 60" xfId="11683" xr:uid="{00000000-0005-0000-0000-000082550000}"/>
    <cellStyle name="Normal 60 60 2" xfId="23833" xr:uid="{00000000-0005-0000-0000-000083550000}"/>
    <cellStyle name="Normal 60 61" xfId="11684" xr:uid="{00000000-0005-0000-0000-000084550000}"/>
    <cellStyle name="Normal 60 61 2" xfId="23834" xr:uid="{00000000-0005-0000-0000-000085550000}"/>
    <cellStyle name="Normal 60 62" xfId="11685" xr:uid="{00000000-0005-0000-0000-000086550000}"/>
    <cellStyle name="Normal 60 62 2" xfId="23835" xr:uid="{00000000-0005-0000-0000-000087550000}"/>
    <cellStyle name="Normal 60 63" xfId="11686" xr:uid="{00000000-0005-0000-0000-000088550000}"/>
    <cellStyle name="Normal 60 63 2" xfId="23836" xr:uid="{00000000-0005-0000-0000-000089550000}"/>
    <cellStyle name="Normal 60 64" xfId="11687" xr:uid="{00000000-0005-0000-0000-00008A550000}"/>
    <cellStyle name="Normal 60 64 2" xfId="23837" xr:uid="{00000000-0005-0000-0000-00008B550000}"/>
    <cellStyle name="Normal 60 65" xfId="11688" xr:uid="{00000000-0005-0000-0000-00008C550000}"/>
    <cellStyle name="Normal 60 65 2" xfId="23838" xr:uid="{00000000-0005-0000-0000-00008D550000}"/>
    <cellStyle name="Normal 60 66" xfId="11689" xr:uid="{00000000-0005-0000-0000-00008E550000}"/>
    <cellStyle name="Normal 60 66 2" xfId="23839" xr:uid="{00000000-0005-0000-0000-00008F550000}"/>
    <cellStyle name="Normal 60 67" xfId="11690" xr:uid="{00000000-0005-0000-0000-000090550000}"/>
    <cellStyle name="Normal 60 67 2" xfId="23840" xr:uid="{00000000-0005-0000-0000-000091550000}"/>
    <cellStyle name="Normal 60 68" xfId="11691" xr:uid="{00000000-0005-0000-0000-000092550000}"/>
    <cellStyle name="Normal 60 68 2" xfId="23841" xr:uid="{00000000-0005-0000-0000-000093550000}"/>
    <cellStyle name="Normal 60 69" xfId="11692" xr:uid="{00000000-0005-0000-0000-000094550000}"/>
    <cellStyle name="Normal 60 69 2" xfId="23842" xr:uid="{00000000-0005-0000-0000-000095550000}"/>
    <cellStyle name="Normal 60 7" xfId="11693" xr:uid="{00000000-0005-0000-0000-000096550000}"/>
    <cellStyle name="Normal 60 7 2" xfId="23843" xr:uid="{00000000-0005-0000-0000-000097550000}"/>
    <cellStyle name="Normal 60 70" xfId="11694" xr:uid="{00000000-0005-0000-0000-000098550000}"/>
    <cellStyle name="Normal 60 70 2" xfId="23844" xr:uid="{00000000-0005-0000-0000-000099550000}"/>
    <cellStyle name="Normal 60 71" xfId="11695" xr:uid="{00000000-0005-0000-0000-00009A550000}"/>
    <cellStyle name="Normal 60 71 2" xfId="23845" xr:uid="{00000000-0005-0000-0000-00009B550000}"/>
    <cellStyle name="Normal 60 72" xfId="11696" xr:uid="{00000000-0005-0000-0000-00009C550000}"/>
    <cellStyle name="Normal 60 72 2" xfId="23846" xr:uid="{00000000-0005-0000-0000-00009D550000}"/>
    <cellStyle name="Normal 60 73" xfId="11697" xr:uid="{00000000-0005-0000-0000-00009E550000}"/>
    <cellStyle name="Normal 60 73 2" xfId="23847" xr:uid="{00000000-0005-0000-0000-00009F550000}"/>
    <cellStyle name="Normal 60 74" xfId="11698" xr:uid="{00000000-0005-0000-0000-0000A0550000}"/>
    <cellStyle name="Normal 60 74 2" xfId="23848" xr:uid="{00000000-0005-0000-0000-0000A1550000}"/>
    <cellStyle name="Normal 60 75" xfId="11699" xr:uid="{00000000-0005-0000-0000-0000A2550000}"/>
    <cellStyle name="Normal 60 75 2" xfId="23849" xr:uid="{00000000-0005-0000-0000-0000A3550000}"/>
    <cellStyle name="Normal 60 76" xfId="11700" xr:uid="{00000000-0005-0000-0000-0000A4550000}"/>
    <cellStyle name="Normal 60 76 2" xfId="23850" xr:uid="{00000000-0005-0000-0000-0000A5550000}"/>
    <cellStyle name="Normal 60 77" xfId="11701" xr:uid="{00000000-0005-0000-0000-0000A6550000}"/>
    <cellStyle name="Normal 60 77 2" xfId="23851" xr:uid="{00000000-0005-0000-0000-0000A7550000}"/>
    <cellStyle name="Normal 60 78" xfId="11702" xr:uid="{00000000-0005-0000-0000-0000A8550000}"/>
    <cellStyle name="Normal 60 78 2" xfId="23852" xr:uid="{00000000-0005-0000-0000-0000A9550000}"/>
    <cellStyle name="Normal 60 79" xfId="11703" xr:uid="{00000000-0005-0000-0000-0000AA550000}"/>
    <cellStyle name="Normal 60 79 2" xfId="23853" xr:uid="{00000000-0005-0000-0000-0000AB550000}"/>
    <cellStyle name="Normal 60 8" xfId="11704" xr:uid="{00000000-0005-0000-0000-0000AC550000}"/>
    <cellStyle name="Normal 60 8 2" xfId="23854" xr:uid="{00000000-0005-0000-0000-0000AD550000}"/>
    <cellStyle name="Normal 60 80" xfId="23777" xr:uid="{00000000-0005-0000-0000-0000AE550000}"/>
    <cellStyle name="Normal 60 9" xfId="11705" xr:uid="{00000000-0005-0000-0000-0000AF550000}"/>
    <cellStyle name="Normal 60 9 2" xfId="23855" xr:uid="{00000000-0005-0000-0000-0000B0550000}"/>
    <cellStyle name="Normal 61" xfId="187" xr:uid="{00000000-0005-0000-0000-0000B1550000}"/>
    <cellStyle name="Normal 61 10" xfId="11706" xr:uid="{00000000-0005-0000-0000-0000B2550000}"/>
    <cellStyle name="Normal 61 10 2" xfId="23857" xr:uid="{00000000-0005-0000-0000-0000B3550000}"/>
    <cellStyle name="Normal 61 11" xfId="11707" xr:uid="{00000000-0005-0000-0000-0000B4550000}"/>
    <cellStyle name="Normal 61 11 2" xfId="23858" xr:uid="{00000000-0005-0000-0000-0000B5550000}"/>
    <cellStyle name="Normal 61 12" xfId="11708" xr:uid="{00000000-0005-0000-0000-0000B6550000}"/>
    <cellStyle name="Normal 61 12 2" xfId="23859" xr:uid="{00000000-0005-0000-0000-0000B7550000}"/>
    <cellStyle name="Normal 61 13" xfId="11709" xr:uid="{00000000-0005-0000-0000-0000B8550000}"/>
    <cellStyle name="Normal 61 13 2" xfId="23860" xr:uid="{00000000-0005-0000-0000-0000B9550000}"/>
    <cellStyle name="Normal 61 14" xfId="11710" xr:uid="{00000000-0005-0000-0000-0000BA550000}"/>
    <cellStyle name="Normal 61 14 2" xfId="23861" xr:uid="{00000000-0005-0000-0000-0000BB550000}"/>
    <cellStyle name="Normal 61 15" xfId="11711" xr:uid="{00000000-0005-0000-0000-0000BC550000}"/>
    <cellStyle name="Normal 61 15 2" xfId="23862" xr:uid="{00000000-0005-0000-0000-0000BD550000}"/>
    <cellStyle name="Normal 61 16" xfId="11712" xr:uid="{00000000-0005-0000-0000-0000BE550000}"/>
    <cellStyle name="Normal 61 16 2" xfId="23863" xr:uid="{00000000-0005-0000-0000-0000BF550000}"/>
    <cellStyle name="Normal 61 17" xfId="11713" xr:uid="{00000000-0005-0000-0000-0000C0550000}"/>
    <cellStyle name="Normal 61 17 2" xfId="23864" xr:uid="{00000000-0005-0000-0000-0000C1550000}"/>
    <cellStyle name="Normal 61 18" xfId="11714" xr:uid="{00000000-0005-0000-0000-0000C2550000}"/>
    <cellStyle name="Normal 61 18 2" xfId="23865" xr:uid="{00000000-0005-0000-0000-0000C3550000}"/>
    <cellStyle name="Normal 61 19" xfId="11715" xr:uid="{00000000-0005-0000-0000-0000C4550000}"/>
    <cellStyle name="Normal 61 19 2" xfId="23866" xr:uid="{00000000-0005-0000-0000-0000C5550000}"/>
    <cellStyle name="Normal 61 2" xfId="750" xr:uid="{00000000-0005-0000-0000-0000C6550000}"/>
    <cellStyle name="Normal 61 2 2" xfId="23867" xr:uid="{00000000-0005-0000-0000-0000C7550000}"/>
    <cellStyle name="Normal 61 2 3" xfId="11716" xr:uid="{00000000-0005-0000-0000-0000C8550000}"/>
    <cellStyle name="Normal 61 20" xfId="11717" xr:uid="{00000000-0005-0000-0000-0000C9550000}"/>
    <cellStyle name="Normal 61 20 2" xfId="23868" xr:uid="{00000000-0005-0000-0000-0000CA550000}"/>
    <cellStyle name="Normal 61 21" xfId="11718" xr:uid="{00000000-0005-0000-0000-0000CB550000}"/>
    <cellStyle name="Normal 61 21 2" xfId="23869" xr:uid="{00000000-0005-0000-0000-0000CC550000}"/>
    <cellStyle name="Normal 61 22" xfId="11719" xr:uid="{00000000-0005-0000-0000-0000CD550000}"/>
    <cellStyle name="Normal 61 22 2" xfId="23870" xr:uid="{00000000-0005-0000-0000-0000CE550000}"/>
    <cellStyle name="Normal 61 23" xfId="11720" xr:uid="{00000000-0005-0000-0000-0000CF550000}"/>
    <cellStyle name="Normal 61 23 2" xfId="23871" xr:uid="{00000000-0005-0000-0000-0000D0550000}"/>
    <cellStyle name="Normal 61 24" xfId="11721" xr:uid="{00000000-0005-0000-0000-0000D1550000}"/>
    <cellStyle name="Normal 61 24 2" xfId="23872" xr:uid="{00000000-0005-0000-0000-0000D2550000}"/>
    <cellStyle name="Normal 61 25" xfId="11722" xr:uid="{00000000-0005-0000-0000-0000D3550000}"/>
    <cellStyle name="Normal 61 25 2" xfId="23873" xr:uid="{00000000-0005-0000-0000-0000D4550000}"/>
    <cellStyle name="Normal 61 26" xfId="11723" xr:uid="{00000000-0005-0000-0000-0000D5550000}"/>
    <cellStyle name="Normal 61 26 2" xfId="23874" xr:uid="{00000000-0005-0000-0000-0000D6550000}"/>
    <cellStyle name="Normal 61 27" xfId="11724" xr:uid="{00000000-0005-0000-0000-0000D7550000}"/>
    <cellStyle name="Normal 61 27 2" xfId="23875" xr:uid="{00000000-0005-0000-0000-0000D8550000}"/>
    <cellStyle name="Normal 61 28" xfId="11725" xr:uid="{00000000-0005-0000-0000-0000D9550000}"/>
    <cellStyle name="Normal 61 28 2" xfId="23876" xr:uid="{00000000-0005-0000-0000-0000DA550000}"/>
    <cellStyle name="Normal 61 29" xfId="11726" xr:uid="{00000000-0005-0000-0000-0000DB550000}"/>
    <cellStyle name="Normal 61 29 2" xfId="23877" xr:uid="{00000000-0005-0000-0000-0000DC550000}"/>
    <cellStyle name="Normal 61 3" xfId="402" xr:uid="{00000000-0005-0000-0000-0000DD550000}"/>
    <cellStyle name="Normal 61 3 2" xfId="23878" xr:uid="{00000000-0005-0000-0000-0000DE550000}"/>
    <cellStyle name="Normal 61 30" xfId="11727" xr:uid="{00000000-0005-0000-0000-0000DF550000}"/>
    <cellStyle name="Normal 61 30 2" xfId="23879" xr:uid="{00000000-0005-0000-0000-0000E0550000}"/>
    <cellStyle name="Normal 61 31" xfId="11728" xr:uid="{00000000-0005-0000-0000-0000E1550000}"/>
    <cellStyle name="Normal 61 31 2" xfId="23880" xr:uid="{00000000-0005-0000-0000-0000E2550000}"/>
    <cellStyle name="Normal 61 32" xfId="11729" xr:uid="{00000000-0005-0000-0000-0000E3550000}"/>
    <cellStyle name="Normal 61 32 2" xfId="23881" xr:uid="{00000000-0005-0000-0000-0000E4550000}"/>
    <cellStyle name="Normal 61 33" xfId="11730" xr:uid="{00000000-0005-0000-0000-0000E5550000}"/>
    <cellStyle name="Normal 61 33 2" xfId="23882" xr:uid="{00000000-0005-0000-0000-0000E6550000}"/>
    <cellStyle name="Normal 61 34" xfId="11731" xr:uid="{00000000-0005-0000-0000-0000E7550000}"/>
    <cellStyle name="Normal 61 34 2" xfId="23883" xr:uid="{00000000-0005-0000-0000-0000E8550000}"/>
    <cellStyle name="Normal 61 35" xfId="11732" xr:uid="{00000000-0005-0000-0000-0000E9550000}"/>
    <cellStyle name="Normal 61 35 2" xfId="23884" xr:uid="{00000000-0005-0000-0000-0000EA550000}"/>
    <cellStyle name="Normal 61 36" xfId="11733" xr:uid="{00000000-0005-0000-0000-0000EB550000}"/>
    <cellStyle name="Normal 61 36 2" xfId="23885" xr:uid="{00000000-0005-0000-0000-0000EC550000}"/>
    <cellStyle name="Normal 61 37" xfId="11734" xr:uid="{00000000-0005-0000-0000-0000ED550000}"/>
    <cellStyle name="Normal 61 37 2" xfId="23886" xr:uid="{00000000-0005-0000-0000-0000EE550000}"/>
    <cellStyle name="Normal 61 38" xfId="11735" xr:uid="{00000000-0005-0000-0000-0000EF550000}"/>
    <cellStyle name="Normal 61 38 2" xfId="23887" xr:uid="{00000000-0005-0000-0000-0000F0550000}"/>
    <cellStyle name="Normal 61 39" xfId="11736" xr:uid="{00000000-0005-0000-0000-0000F1550000}"/>
    <cellStyle name="Normal 61 39 2" xfId="23888" xr:uid="{00000000-0005-0000-0000-0000F2550000}"/>
    <cellStyle name="Normal 61 4" xfId="11737" xr:uid="{00000000-0005-0000-0000-0000F3550000}"/>
    <cellStyle name="Normal 61 4 2" xfId="23889" xr:uid="{00000000-0005-0000-0000-0000F4550000}"/>
    <cellStyle name="Normal 61 40" xfId="11738" xr:uid="{00000000-0005-0000-0000-0000F5550000}"/>
    <cellStyle name="Normal 61 40 2" xfId="23890" xr:uid="{00000000-0005-0000-0000-0000F6550000}"/>
    <cellStyle name="Normal 61 41" xfId="11739" xr:uid="{00000000-0005-0000-0000-0000F7550000}"/>
    <cellStyle name="Normal 61 41 2" xfId="23891" xr:uid="{00000000-0005-0000-0000-0000F8550000}"/>
    <cellStyle name="Normal 61 42" xfId="11740" xr:uid="{00000000-0005-0000-0000-0000F9550000}"/>
    <cellStyle name="Normal 61 42 2" xfId="23892" xr:uid="{00000000-0005-0000-0000-0000FA550000}"/>
    <cellStyle name="Normal 61 43" xfId="11741" xr:uid="{00000000-0005-0000-0000-0000FB550000}"/>
    <cellStyle name="Normal 61 43 2" xfId="23893" xr:uid="{00000000-0005-0000-0000-0000FC550000}"/>
    <cellStyle name="Normal 61 44" xfId="11742" xr:uid="{00000000-0005-0000-0000-0000FD550000}"/>
    <cellStyle name="Normal 61 44 2" xfId="23894" xr:uid="{00000000-0005-0000-0000-0000FE550000}"/>
    <cellStyle name="Normal 61 45" xfId="11743" xr:uid="{00000000-0005-0000-0000-0000FF550000}"/>
    <cellStyle name="Normal 61 45 2" xfId="23895" xr:uid="{00000000-0005-0000-0000-000000560000}"/>
    <cellStyle name="Normal 61 46" xfId="11744" xr:uid="{00000000-0005-0000-0000-000001560000}"/>
    <cellStyle name="Normal 61 46 2" xfId="23896" xr:uid="{00000000-0005-0000-0000-000002560000}"/>
    <cellStyle name="Normal 61 47" xfId="11745" xr:uid="{00000000-0005-0000-0000-000003560000}"/>
    <cellStyle name="Normal 61 47 2" xfId="23897" xr:uid="{00000000-0005-0000-0000-000004560000}"/>
    <cellStyle name="Normal 61 48" xfId="11746" xr:uid="{00000000-0005-0000-0000-000005560000}"/>
    <cellStyle name="Normal 61 48 2" xfId="23898" xr:uid="{00000000-0005-0000-0000-000006560000}"/>
    <cellStyle name="Normal 61 49" xfId="11747" xr:uid="{00000000-0005-0000-0000-000007560000}"/>
    <cellStyle name="Normal 61 49 2" xfId="23899" xr:uid="{00000000-0005-0000-0000-000008560000}"/>
    <cellStyle name="Normal 61 5" xfId="11748" xr:uid="{00000000-0005-0000-0000-000009560000}"/>
    <cellStyle name="Normal 61 5 2" xfId="23900" xr:uid="{00000000-0005-0000-0000-00000A560000}"/>
    <cellStyle name="Normal 61 50" xfId="11749" xr:uid="{00000000-0005-0000-0000-00000B560000}"/>
    <cellStyle name="Normal 61 50 2" xfId="23901" xr:uid="{00000000-0005-0000-0000-00000C560000}"/>
    <cellStyle name="Normal 61 51" xfId="11750" xr:uid="{00000000-0005-0000-0000-00000D560000}"/>
    <cellStyle name="Normal 61 51 2" xfId="23902" xr:uid="{00000000-0005-0000-0000-00000E560000}"/>
    <cellStyle name="Normal 61 52" xfId="11751" xr:uid="{00000000-0005-0000-0000-00000F560000}"/>
    <cellStyle name="Normal 61 52 2" xfId="23903" xr:uid="{00000000-0005-0000-0000-000010560000}"/>
    <cellStyle name="Normal 61 53" xfId="11752" xr:uid="{00000000-0005-0000-0000-000011560000}"/>
    <cellStyle name="Normal 61 53 2" xfId="23904" xr:uid="{00000000-0005-0000-0000-000012560000}"/>
    <cellStyle name="Normal 61 54" xfId="11753" xr:uid="{00000000-0005-0000-0000-000013560000}"/>
    <cellStyle name="Normal 61 54 2" xfId="23905" xr:uid="{00000000-0005-0000-0000-000014560000}"/>
    <cellStyle name="Normal 61 55" xfId="11754" xr:uid="{00000000-0005-0000-0000-000015560000}"/>
    <cellStyle name="Normal 61 55 2" xfId="23906" xr:uid="{00000000-0005-0000-0000-000016560000}"/>
    <cellStyle name="Normal 61 56" xfId="11755" xr:uid="{00000000-0005-0000-0000-000017560000}"/>
    <cellStyle name="Normal 61 56 2" xfId="23907" xr:uid="{00000000-0005-0000-0000-000018560000}"/>
    <cellStyle name="Normal 61 57" xfId="11756" xr:uid="{00000000-0005-0000-0000-000019560000}"/>
    <cellStyle name="Normal 61 57 2" xfId="23908" xr:uid="{00000000-0005-0000-0000-00001A560000}"/>
    <cellStyle name="Normal 61 58" xfId="11757" xr:uid="{00000000-0005-0000-0000-00001B560000}"/>
    <cellStyle name="Normal 61 58 2" xfId="23909" xr:uid="{00000000-0005-0000-0000-00001C560000}"/>
    <cellStyle name="Normal 61 59" xfId="11758" xr:uid="{00000000-0005-0000-0000-00001D560000}"/>
    <cellStyle name="Normal 61 59 2" xfId="23910" xr:uid="{00000000-0005-0000-0000-00001E560000}"/>
    <cellStyle name="Normal 61 6" xfId="11759" xr:uid="{00000000-0005-0000-0000-00001F560000}"/>
    <cellStyle name="Normal 61 6 2" xfId="23911" xr:uid="{00000000-0005-0000-0000-000020560000}"/>
    <cellStyle name="Normal 61 60" xfId="11760" xr:uid="{00000000-0005-0000-0000-000021560000}"/>
    <cellStyle name="Normal 61 60 2" xfId="23912" xr:uid="{00000000-0005-0000-0000-000022560000}"/>
    <cellStyle name="Normal 61 61" xfId="11761" xr:uid="{00000000-0005-0000-0000-000023560000}"/>
    <cellStyle name="Normal 61 61 2" xfId="23913" xr:uid="{00000000-0005-0000-0000-000024560000}"/>
    <cellStyle name="Normal 61 62" xfId="11762" xr:uid="{00000000-0005-0000-0000-000025560000}"/>
    <cellStyle name="Normal 61 62 2" xfId="23914" xr:uid="{00000000-0005-0000-0000-000026560000}"/>
    <cellStyle name="Normal 61 63" xfId="11763" xr:uid="{00000000-0005-0000-0000-000027560000}"/>
    <cellStyle name="Normal 61 63 2" xfId="23915" xr:uid="{00000000-0005-0000-0000-000028560000}"/>
    <cellStyle name="Normal 61 64" xfId="11764" xr:uid="{00000000-0005-0000-0000-000029560000}"/>
    <cellStyle name="Normal 61 64 2" xfId="23916" xr:uid="{00000000-0005-0000-0000-00002A560000}"/>
    <cellStyle name="Normal 61 65" xfId="11765" xr:uid="{00000000-0005-0000-0000-00002B560000}"/>
    <cellStyle name="Normal 61 65 2" xfId="23917" xr:uid="{00000000-0005-0000-0000-00002C560000}"/>
    <cellStyle name="Normal 61 66" xfId="11766" xr:uid="{00000000-0005-0000-0000-00002D560000}"/>
    <cellStyle name="Normal 61 66 2" xfId="23918" xr:uid="{00000000-0005-0000-0000-00002E560000}"/>
    <cellStyle name="Normal 61 67" xfId="11767" xr:uid="{00000000-0005-0000-0000-00002F560000}"/>
    <cellStyle name="Normal 61 67 2" xfId="23919" xr:uid="{00000000-0005-0000-0000-000030560000}"/>
    <cellStyle name="Normal 61 68" xfId="11768" xr:uid="{00000000-0005-0000-0000-000031560000}"/>
    <cellStyle name="Normal 61 68 2" xfId="23920" xr:uid="{00000000-0005-0000-0000-000032560000}"/>
    <cellStyle name="Normal 61 69" xfId="11769" xr:uid="{00000000-0005-0000-0000-000033560000}"/>
    <cellStyle name="Normal 61 69 2" xfId="23921" xr:uid="{00000000-0005-0000-0000-000034560000}"/>
    <cellStyle name="Normal 61 7" xfId="11770" xr:uid="{00000000-0005-0000-0000-000035560000}"/>
    <cellStyle name="Normal 61 7 2" xfId="23922" xr:uid="{00000000-0005-0000-0000-000036560000}"/>
    <cellStyle name="Normal 61 70" xfId="11771" xr:uid="{00000000-0005-0000-0000-000037560000}"/>
    <cellStyle name="Normal 61 70 2" xfId="23923" xr:uid="{00000000-0005-0000-0000-000038560000}"/>
    <cellStyle name="Normal 61 71" xfId="11772" xr:uid="{00000000-0005-0000-0000-000039560000}"/>
    <cellStyle name="Normal 61 71 2" xfId="23924" xr:uid="{00000000-0005-0000-0000-00003A560000}"/>
    <cellStyle name="Normal 61 72" xfId="11773" xr:uid="{00000000-0005-0000-0000-00003B560000}"/>
    <cellStyle name="Normal 61 72 2" xfId="23925" xr:uid="{00000000-0005-0000-0000-00003C560000}"/>
    <cellStyle name="Normal 61 73" xfId="11774" xr:uid="{00000000-0005-0000-0000-00003D560000}"/>
    <cellStyle name="Normal 61 73 2" xfId="23926" xr:uid="{00000000-0005-0000-0000-00003E560000}"/>
    <cellStyle name="Normal 61 74" xfId="11775" xr:uid="{00000000-0005-0000-0000-00003F560000}"/>
    <cellStyle name="Normal 61 74 2" xfId="23927" xr:uid="{00000000-0005-0000-0000-000040560000}"/>
    <cellStyle name="Normal 61 75" xfId="11776" xr:uid="{00000000-0005-0000-0000-000041560000}"/>
    <cellStyle name="Normal 61 75 2" xfId="23928" xr:uid="{00000000-0005-0000-0000-000042560000}"/>
    <cellStyle name="Normal 61 76" xfId="11777" xr:uid="{00000000-0005-0000-0000-000043560000}"/>
    <cellStyle name="Normal 61 76 2" xfId="23929" xr:uid="{00000000-0005-0000-0000-000044560000}"/>
    <cellStyle name="Normal 61 77" xfId="11778" xr:uid="{00000000-0005-0000-0000-000045560000}"/>
    <cellStyle name="Normal 61 77 2" xfId="23930" xr:uid="{00000000-0005-0000-0000-000046560000}"/>
    <cellStyle name="Normal 61 78" xfId="11779" xr:uid="{00000000-0005-0000-0000-000047560000}"/>
    <cellStyle name="Normal 61 78 2" xfId="23931" xr:uid="{00000000-0005-0000-0000-000048560000}"/>
    <cellStyle name="Normal 61 79" xfId="11780" xr:uid="{00000000-0005-0000-0000-000049560000}"/>
    <cellStyle name="Normal 61 79 2" xfId="23932" xr:uid="{00000000-0005-0000-0000-00004A560000}"/>
    <cellStyle name="Normal 61 8" xfId="11781" xr:uid="{00000000-0005-0000-0000-00004B560000}"/>
    <cellStyle name="Normal 61 8 2" xfId="23933" xr:uid="{00000000-0005-0000-0000-00004C560000}"/>
    <cellStyle name="Normal 61 80" xfId="23856" xr:uid="{00000000-0005-0000-0000-00004D560000}"/>
    <cellStyle name="Normal 61 9" xfId="11782" xr:uid="{00000000-0005-0000-0000-00004E560000}"/>
    <cellStyle name="Normal 61 9 2" xfId="23934" xr:uid="{00000000-0005-0000-0000-00004F560000}"/>
    <cellStyle name="Normal 62" xfId="188" xr:uid="{00000000-0005-0000-0000-000050560000}"/>
    <cellStyle name="Normal 62 10" xfId="11783" xr:uid="{00000000-0005-0000-0000-000051560000}"/>
    <cellStyle name="Normal 62 10 2" xfId="23936" xr:uid="{00000000-0005-0000-0000-000052560000}"/>
    <cellStyle name="Normal 62 11" xfId="11784" xr:uid="{00000000-0005-0000-0000-000053560000}"/>
    <cellStyle name="Normal 62 11 2" xfId="23937" xr:uid="{00000000-0005-0000-0000-000054560000}"/>
    <cellStyle name="Normal 62 12" xfId="11785" xr:uid="{00000000-0005-0000-0000-000055560000}"/>
    <cellStyle name="Normal 62 12 2" xfId="23938" xr:uid="{00000000-0005-0000-0000-000056560000}"/>
    <cellStyle name="Normal 62 13" xfId="11786" xr:uid="{00000000-0005-0000-0000-000057560000}"/>
    <cellStyle name="Normal 62 13 2" xfId="23939" xr:uid="{00000000-0005-0000-0000-000058560000}"/>
    <cellStyle name="Normal 62 14" xfId="11787" xr:uid="{00000000-0005-0000-0000-000059560000}"/>
    <cellStyle name="Normal 62 14 2" xfId="23940" xr:uid="{00000000-0005-0000-0000-00005A560000}"/>
    <cellStyle name="Normal 62 15" xfId="11788" xr:uid="{00000000-0005-0000-0000-00005B560000}"/>
    <cellStyle name="Normal 62 15 2" xfId="23941" xr:uid="{00000000-0005-0000-0000-00005C560000}"/>
    <cellStyle name="Normal 62 16" xfId="11789" xr:uid="{00000000-0005-0000-0000-00005D560000}"/>
    <cellStyle name="Normal 62 16 2" xfId="23942" xr:uid="{00000000-0005-0000-0000-00005E560000}"/>
    <cellStyle name="Normal 62 17" xfId="11790" xr:uid="{00000000-0005-0000-0000-00005F560000}"/>
    <cellStyle name="Normal 62 17 2" xfId="23943" xr:uid="{00000000-0005-0000-0000-000060560000}"/>
    <cellStyle name="Normal 62 18" xfId="11791" xr:uid="{00000000-0005-0000-0000-000061560000}"/>
    <cellStyle name="Normal 62 18 2" xfId="23944" xr:uid="{00000000-0005-0000-0000-000062560000}"/>
    <cellStyle name="Normal 62 19" xfId="11792" xr:uid="{00000000-0005-0000-0000-000063560000}"/>
    <cellStyle name="Normal 62 19 2" xfId="23945" xr:uid="{00000000-0005-0000-0000-000064560000}"/>
    <cellStyle name="Normal 62 2" xfId="751" xr:uid="{00000000-0005-0000-0000-000065560000}"/>
    <cellStyle name="Normal 62 2 2" xfId="23946" xr:uid="{00000000-0005-0000-0000-000066560000}"/>
    <cellStyle name="Normal 62 2 3" xfId="11793" xr:uid="{00000000-0005-0000-0000-000067560000}"/>
    <cellStyle name="Normal 62 20" xfId="11794" xr:uid="{00000000-0005-0000-0000-000068560000}"/>
    <cellStyle name="Normal 62 20 2" xfId="23947" xr:uid="{00000000-0005-0000-0000-000069560000}"/>
    <cellStyle name="Normal 62 21" xfId="11795" xr:uid="{00000000-0005-0000-0000-00006A560000}"/>
    <cellStyle name="Normal 62 21 2" xfId="23948" xr:uid="{00000000-0005-0000-0000-00006B560000}"/>
    <cellStyle name="Normal 62 22" xfId="11796" xr:uid="{00000000-0005-0000-0000-00006C560000}"/>
    <cellStyle name="Normal 62 22 2" xfId="23949" xr:uid="{00000000-0005-0000-0000-00006D560000}"/>
    <cellStyle name="Normal 62 23" xfId="11797" xr:uid="{00000000-0005-0000-0000-00006E560000}"/>
    <cellStyle name="Normal 62 23 2" xfId="23950" xr:uid="{00000000-0005-0000-0000-00006F560000}"/>
    <cellStyle name="Normal 62 24" xfId="11798" xr:uid="{00000000-0005-0000-0000-000070560000}"/>
    <cellStyle name="Normal 62 24 2" xfId="23951" xr:uid="{00000000-0005-0000-0000-000071560000}"/>
    <cellStyle name="Normal 62 25" xfId="11799" xr:uid="{00000000-0005-0000-0000-000072560000}"/>
    <cellStyle name="Normal 62 25 2" xfId="23952" xr:uid="{00000000-0005-0000-0000-000073560000}"/>
    <cellStyle name="Normal 62 26" xfId="11800" xr:uid="{00000000-0005-0000-0000-000074560000}"/>
    <cellStyle name="Normal 62 26 2" xfId="23953" xr:uid="{00000000-0005-0000-0000-000075560000}"/>
    <cellStyle name="Normal 62 27" xfId="11801" xr:uid="{00000000-0005-0000-0000-000076560000}"/>
    <cellStyle name="Normal 62 27 2" xfId="23954" xr:uid="{00000000-0005-0000-0000-000077560000}"/>
    <cellStyle name="Normal 62 28" xfId="11802" xr:uid="{00000000-0005-0000-0000-000078560000}"/>
    <cellStyle name="Normal 62 28 2" xfId="23955" xr:uid="{00000000-0005-0000-0000-000079560000}"/>
    <cellStyle name="Normal 62 29" xfId="11803" xr:uid="{00000000-0005-0000-0000-00007A560000}"/>
    <cellStyle name="Normal 62 29 2" xfId="23956" xr:uid="{00000000-0005-0000-0000-00007B560000}"/>
    <cellStyle name="Normal 62 3" xfId="403" xr:uid="{00000000-0005-0000-0000-00007C560000}"/>
    <cellStyle name="Normal 62 3 2" xfId="23957" xr:uid="{00000000-0005-0000-0000-00007D560000}"/>
    <cellStyle name="Normal 62 30" xfId="11804" xr:uid="{00000000-0005-0000-0000-00007E560000}"/>
    <cellStyle name="Normal 62 30 2" xfId="23958" xr:uid="{00000000-0005-0000-0000-00007F560000}"/>
    <cellStyle name="Normal 62 31" xfId="11805" xr:uid="{00000000-0005-0000-0000-000080560000}"/>
    <cellStyle name="Normal 62 31 2" xfId="23959" xr:uid="{00000000-0005-0000-0000-000081560000}"/>
    <cellStyle name="Normal 62 32" xfId="11806" xr:uid="{00000000-0005-0000-0000-000082560000}"/>
    <cellStyle name="Normal 62 32 2" xfId="23960" xr:uid="{00000000-0005-0000-0000-000083560000}"/>
    <cellStyle name="Normal 62 33" xfId="11807" xr:uid="{00000000-0005-0000-0000-000084560000}"/>
    <cellStyle name="Normal 62 33 2" xfId="23961" xr:uid="{00000000-0005-0000-0000-000085560000}"/>
    <cellStyle name="Normal 62 34" xfId="11808" xr:uid="{00000000-0005-0000-0000-000086560000}"/>
    <cellStyle name="Normal 62 34 2" xfId="23962" xr:uid="{00000000-0005-0000-0000-000087560000}"/>
    <cellStyle name="Normal 62 35" xfId="11809" xr:uid="{00000000-0005-0000-0000-000088560000}"/>
    <cellStyle name="Normal 62 35 2" xfId="23963" xr:uid="{00000000-0005-0000-0000-000089560000}"/>
    <cellStyle name="Normal 62 36" xfId="11810" xr:uid="{00000000-0005-0000-0000-00008A560000}"/>
    <cellStyle name="Normal 62 36 2" xfId="23964" xr:uid="{00000000-0005-0000-0000-00008B560000}"/>
    <cellStyle name="Normal 62 37" xfId="11811" xr:uid="{00000000-0005-0000-0000-00008C560000}"/>
    <cellStyle name="Normal 62 37 2" xfId="23965" xr:uid="{00000000-0005-0000-0000-00008D560000}"/>
    <cellStyle name="Normal 62 38" xfId="11812" xr:uid="{00000000-0005-0000-0000-00008E560000}"/>
    <cellStyle name="Normal 62 38 2" xfId="23966" xr:uid="{00000000-0005-0000-0000-00008F560000}"/>
    <cellStyle name="Normal 62 39" xfId="11813" xr:uid="{00000000-0005-0000-0000-000090560000}"/>
    <cellStyle name="Normal 62 39 2" xfId="23967" xr:uid="{00000000-0005-0000-0000-000091560000}"/>
    <cellStyle name="Normal 62 4" xfId="11814" xr:uid="{00000000-0005-0000-0000-000092560000}"/>
    <cellStyle name="Normal 62 4 2" xfId="23968" xr:uid="{00000000-0005-0000-0000-000093560000}"/>
    <cellStyle name="Normal 62 40" xfId="11815" xr:uid="{00000000-0005-0000-0000-000094560000}"/>
    <cellStyle name="Normal 62 40 2" xfId="23969" xr:uid="{00000000-0005-0000-0000-000095560000}"/>
    <cellStyle name="Normal 62 41" xfId="11816" xr:uid="{00000000-0005-0000-0000-000096560000}"/>
    <cellStyle name="Normal 62 41 2" xfId="23970" xr:uid="{00000000-0005-0000-0000-000097560000}"/>
    <cellStyle name="Normal 62 42" xfId="11817" xr:uid="{00000000-0005-0000-0000-000098560000}"/>
    <cellStyle name="Normal 62 42 2" xfId="23971" xr:uid="{00000000-0005-0000-0000-000099560000}"/>
    <cellStyle name="Normal 62 43" xfId="11818" xr:uid="{00000000-0005-0000-0000-00009A560000}"/>
    <cellStyle name="Normal 62 43 2" xfId="23972" xr:uid="{00000000-0005-0000-0000-00009B560000}"/>
    <cellStyle name="Normal 62 44" xfId="11819" xr:uid="{00000000-0005-0000-0000-00009C560000}"/>
    <cellStyle name="Normal 62 44 2" xfId="23973" xr:uid="{00000000-0005-0000-0000-00009D560000}"/>
    <cellStyle name="Normal 62 45" xfId="11820" xr:uid="{00000000-0005-0000-0000-00009E560000}"/>
    <cellStyle name="Normal 62 45 2" xfId="23974" xr:uid="{00000000-0005-0000-0000-00009F560000}"/>
    <cellStyle name="Normal 62 46" xfId="11821" xr:uid="{00000000-0005-0000-0000-0000A0560000}"/>
    <cellStyle name="Normal 62 46 2" xfId="23975" xr:uid="{00000000-0005-0000-0000-0000A1560000}"/>
    <cellStyle name="Normal 62 47" xfId="11822" xr:uid="{00000000-0005-0000-0000-0000A2560000}"/>
    <cellStyle name="Normal 62 47 2" xfId="23976" xr:uid="{00000000-0005-0000-0000-0000A3560000}"/>
    <cellStyle name="Normal 62 48" xfId="11823" xr:uid="{00000000-0005-0000-0000-0000A4560000}"/>
    <cellStyle name="Normal 62 48 2" xfId="23977" xr:uid="{00000000-0005-0000-0000-0000A5560000}"/>
    <cellStyle name="Normal 62 49" xfId="11824" xr:uid="{00000000-0005-0000-0000-0000A6560000}"/>
    <cellStyle name="Normal 62 49 2" xfId="23978" xr:uid="{00000000-0005-0000-0000-0000A7560000}"/>
    <cellStyle name="Normal 62 5" xfId="11825" xr:uid="{00000000-0005-0000-0000-0000A8560000}"/>
    <cellStyle name="Normal 62 5 2" xfId="23979" xr:uid="{00000000-0005-0000-0000-0000A9560000}"/>
    <cellStyle name="Normal 62 50" xfId="11826" xr:uid="{00000000-0005-0000-0000-0000AA560000}"/>
    <cellStyle name="Normal 62 50 2" xfId="23980" xr:uid="{00000000-0005-0000-0000-0000AB560000}"/>
    <cellStyle name="Normal 62 51" xfId="11827" xr:uid="{00000000-0005-0000-0000-0000AC560000}"/>
    <cellStyle name="Normal 62 51 2" xfId="23981" xr:uid="{00000000-0005-0000-0000-0000AD560000}"/>
    <cellStyle name="Normal 62 52" xfId="11828" xr:uid="{00000000-0005-0000-0000-0000AE560000}"/>
    <cellStyle name="Normal 62 52 2" xfId="23982" xr:uid="{00000000-0005-0000-0000-0000AF560000}"/>
    <cellStyle name="Normal 62 53" xfId="11829" xr:uid="{00000000-0005-0000-0000-0000B0560000}"/>
    <cellStyle name="Normal 62 53 2" xfId="23983" xr:uid="{00000000-0005-0000-0000-0000B1560000}"/>
    <cellStyle name="Normal 62 54" xfId="11830" xr:uid="{00000000-0005-0000-0000-0000B2560000}"/>
    <cellStyle name="Normal 62 54 2" xfId="23984" xr:uid="{00000000-0005-0000-0000-0000B3560000}"/>
    <cellStyle name="Normal 62 55" xfId="11831" xr:uid="{00000000-0005-0000-0000-0000B4560000}"/>
    <cellStyle name="Normal 62 55 2" xfId="23985" xr:uid="{00000000-0005-0000-0000-0000B5560000}"/>
    <cellStyle name="Normal 62 56" xfId="11832" xr:uid="{00000000-0005-0000-0000-0000B6560000}"/>
    <cellStyle name="Normal 62 56 2" xfId="23986" xr:uid="{00000000-0005-0000-0000-0000B7560000}"/>
    <cellStyle name="Normal 62 57" xfId="11833" xr:uid="{00000000-0005-0000-0000-0000B8560000}"/>
    <cellStyle name="Normal 62 57 2" xfId="23987" xr:uid="{00000000-0005-0000-0000-0000B9560000}"/>
    <cellStyle name="Normal 62 58" xfId="11834" xr:uid="{00000000-0005-0000-0000-0000BA560000}"/>
    <cellStyle name="Normal 62 58 2" xfId="23988" xr:uid="{00000000-0005-0000-0000-0000BB560000}"/>
    <cellStyle name="Normal 62 59" xfId="11835" xr:uid="{00000000-0005-0000-0000-0000BC560000}"/>
    <cellStyle name="Normal 62 59 2" xfId="23989" xr:uid="{00000000-0005-0000-0000-0000BD560000}"/>
    <cellStyle name="Normal 62 6" xfId="11836" xr:uid="{00000000-0005-0000-0000-0000BE560000}"/>
    <cellStyle name="Normal 62 6 2" xfId="23990" xr:uid="{00000000-0005-0000-0000-0000BF560000}"/>
    <cellStyle name="Normal 62 60" xfId="11837" xr:uid="{00000000-0005-0000-0000-0000C0560000}"/>
    <cellStyle name="Normal 62 60 2" xfId="23991" xr:uid="{00000000-0005-0000-0000-0000C1560000}"/>
    <cellStyle name="Normal 62 61" xfId="11838" xr:uid="{00000000-0005-0000-0000-0000C2560000}"/>
    <cellStyle name="Normal 62 61 2" xfId="23992" xr:uid="{00000000-0005-0000-0000-0000C3560000}"/>
    <cellStyle name="Normal 62 62" xfId="11839" xr:uid="{00000000-0005-0000-0000-0000C4560000}"/>
    <cellStyle name="Normal 62 62 2" xfId="23993" xr:uid="{00000000-0005-0000-0000-0000C5560000}"/>
    <cellStyle name="Normal 62 63" xfId="11840" xr:uid="{00000000-0005-0000-0000-0000C6560000}"/>
    <cellStyle name="Normal 62 63 2" xfId="23994" xr:uid="{00000000-0005-0000-0000-0000C7560000}"/>
    <cellStyle name="Normal 62 64" xfId="11841" xr:uid="{00000000-0005-0000-0000-0000C8560000}"/>
    <cellStyle name="Normal 62 64 2" xfId="23995" xr:uid="{00000000-0005-0000-0000-0000C9560000}"/>
    <cellStyle name="Normal 62 65" xfId="11842" xr:uid="{00000000-0005-0000-0000-0000CA560000}"/>
    <cellStyle name="Normal 62 65 2" xfId="23996" xr:uid="{00000000-0005-0000-0000-0000CB560000}"/>
    <cellStyle name="Normal 62 66" xfId="11843" xr:uid="{00000000-0005-0000-0000-0000CC560000}"/>
    <cellStyle name="Normal 62 66 2" xfId="23997" xr:uid="{00000000-0005-0000-0000-0000CD560000}"/>
    <cellStyle name="Normal 62 67" xfId="11844" xr:uid="{00000000-0005-0000-0000-0000CE560000}"/>
    <cellStyle name="Normal 62 67 2" xfId="23998" xr:uid="{00000000-0005-0000-0000-0000CF560000}"/>
    <cellStyle name="Normal 62 68" xfId="11845" xr:uid="{00000000-0005-0000-0000-0000D0560000}"/>
    <cellStyle name="Normal 62 68 2" xfId="23999" xr:uid="{00000000-0005-0000-0000-0000D1560000}"/>
    <cellStyle name="Normal 62 69" xfId="11846" xr:uid="{00000000-0005-0000-0000-0000D2560000}"/>
    <cellStyle name="Normal 62 69 2" xfId="24000" xr:uid="{00000000-0005-0000-0000-0000D3560000}"/>
    <cellStyle name="Normal 62 7" xfId="11847" xr:uid="{00000000-0005-0000-0000-0000D4560000}"/>
    <cellStyle name="Normal 62 7 2" xfId="24001" xr:uid="{00000000-0005-0000-0000-0000D5560000}"/>
    <cellStyle name="Normal 62 70" xfId="11848" xr:uid="{00000000-0005-0000-0000-0000D6560000}"/>
    <cellStyle name="Normal 62 70 2" xfId="24002" xr:uid="{00000000-0005-0000-0000-0000D7560000}"/>
    <cellStyle name="Normal 62 71" xfId="11849" xr:uid="{00000000-0005-0000-0000-0000D8560000}"/>
    <cellStyle name="Normal 62 71 2" xfId="24003" xr:uid="{00000000-0005-0000-0000-0000D9560000}"/>
    <cellStyle name="Normal 62 72" xfId="11850" xr:uid="{00000000-0005-0000-0000-0000DA560000}"/>
    <cellStyle name="Normal 62 72 2" xfId="24004" xr:uid="{00000000-0005-0000-0000-0000DB560000}"/>
    <cellStyle name="Normal 62 73" xfId="11851" xr:uid="{00000000-0005-0000-0000-0000DC560000}"/>
    <cellStyle name="Normal 62 73 2" xfId="24005" xr:uid="{00000000-0005-0000-0000-0000DD560000}"/>
    <cellStyle name="Normal 62 74" xfId="11852" xr:uid="{00000000-0005-0000-0000-0000DE560000}"/>
    <cellStyle name="Normal 62 74 2" xfId="24006" xr:uid="{00000000-0005-0000-0000-0000DF560000}"/>
    <cellStyle name="Normal 62 75" xfId="11853" xr:uid="{00000000-0005-0000-0000-0000E0560000}"/>
    <cellStyle name="Normal 62 75 2" xfId="24007" xr:uid="{00000000-0005-0000-0000-0000E1560000}"/>
    <cellStyle name="Normal 62 76" xfId="11854" xr:uid="{00000000-0005-0000-0000-0000E2560000}"/>
    <cellStyle name="Normal 62 76 2" xfId="24008" xr:uid="{00000000-0005-0000-0000-0000E3560000}"/>
    <cellStyle name="Normal 62 77" xfId="11855" xr:uid="{00000000-0005-0000-0000-0000E4560000}"/>
    <cellStyle name="Normal 62 77 2" xfId="24009" xr:uid="{00000000-0005-0000-0000-0000E5560000}"/>
    <cellStyle name="Normal 62 78" xfId="11856" xr:uid="{00000000-0005-0000-0000-0000E6560000}"/>
    <cellStyle name="Normal 62 78 2" xfId="24010" xr:uid="{00000000-0005-0000-0000-0000E7560000}"/>
    <cellStyle name="Normal 62 79" xfId="11857" xr:uid="{00000000-0005-0000-0000-0000E8560000}"/>
    <cellStyle name="Normal 62 79 2" xfId="24011" xr:uid="{00000000-0005-0000-0000-0000E9560000}"/>
    <cellStyle name="Normal 62 8" xfId="11858" xr:uid="{00000000-0005-0000-0000-0000EA560000}"/>
    <cellStyle name="Normal 62 8 2" xfId="24012" xr:uid="{00000000-0005-0000-0000-0000EB560000}"/>
    <cellStyle name="Normal 62 80" xfId="23935" xr:uid="{00000000-0005-0000-0000-0000EC560000}"/>
    <cellStyle name="Normal 62 9" xfId="11859" xr:uid="{00000000-0005-0000-0000-0000ED560000}"/>
    <cellStyle name="Normal 62 9 2" xfId="24013" xr:uid="{00000000-0005-0000-0000-0000EE560000}"/>
    <cellStyle name="Normal 63" xfId="189" xr:uid="{00000000-0005-0000-0000-0000EF560000}"/>
    <cellStyle name="Normal 63 10" xfId="11860" xr:uid="{00000000-0005-0000-0000-0000F0560000}"/>
    <cellStyle name="Normal 63 10 2" xfId="24015" xr:uid="{00000000-0005-0000-0000-0000F1560000}"/>
    <cellStyle name="Normal 63 11" xfId="11861" xr:uid="{00000000-0005-0000-0000-0000F2560000}"/>
    <cellStyle name="Normal 63 11 2" xfId="24016" xr:uid="{00000000-0005-0000-0000-0000F3560000}"/>
    <cellStyle name="Normal 63 12" xfId="11862" xr:uid="{00000000-0005-0000-0000-0000F4560000}"/>
    <cellStyle name="Normal 63 12 2" xfId="24017" xr:uid="{00000000-0005-0000-0000-0000F5560000}"/>
    <cellStyle name="Normal 63 13" xfId="11863" xr:uid="{00000000-0005-0000-0000-0000F6560000}"/>
    <cellStyle name="Normal 63 13 2" xfId="24018" xr:uid="{00000000-0005-0000-0000-0000F7560000}"/>
    <cellStyle name="Normal 63 14" xfId="11864" xr:uid="{00000000-0005-0000-0000-0000F8560000}"/>
    <cellStyle name="Normal 63 14 2" xfId="24019" xr:uid="{00000000-0005-0000-0000-0000F9560000}"/>
    <cellStyle name="Normal 63 15" xfId="11865" xr:uid="{00000000-0005-0000-0000-0000FA560000}"/>
    <cellStyle name="Normal 63 15 2" xfId="24020" xr:uid="{00000000-0005-0000-0000-0000FB560000}"/>
    <cellStyle name="Normal 63 16" xfId="11866" xr:uid="{00000000-0005-0000-0000-0000FC560000}"/>
    <cellStyle name="Normal 63 16 2" xfId="24021" xr:uid="{00000000-0005-0000-0000-0000FD560000}"/>
    <cellStyle name="Normal 63 17" xfId="11867" xr:uid="{00000000-0005-0000-0000-0000FE560000}"/>
    <cellStyle name="Normal 63 17 2" xfId="24022" xr:uid="{00000000-0005-0000-0000-0000FF560000}"/>
    <cellStyle name="Normal 63 18" xfId="11868" xr:uid="{00000000-0005-0000-0000-000000570000}"/>
    <cellStyle name="Normal 63 18 2" xfId="24023" xr:uid="{00000000-0005-0000-0000-000001570000}"/>
    <cellStyle name="Normal 63 19" xfId="11869" xr:uid="{00000000-0005-0000-0000-000002570000}"/>
    <cellStyle name="Normal 63 19 2" xfId="24024" xr:uid="{00000000-0005-0000-0000-000003570000}"/>
    <cellStyle name="Normal 63 2" xfId="806" xr:uid="{00000000-0005-0000-0000-000004570000}"/>
    <cellStyle name="Normal 63 2 2" xfId="24025" xr:uid="{00000000-0005-0000-0000-000005570000}"/>
    <cellStyle name="Normal 63 20" xfId="11870" xr:uid="{00000000-0005-0000-0000-000006570000}"/>
    <cellStyle name="Normal 63 20 2" xfId="24026" xr:uid="{00000000-0005-0000-0000-000007570000}"/>
    <cellStyle name="Normal 63 21" xfId="11871" xr:uid="{00000000-0005-0000-0000-000008570000}"/>
    <cellStyle name="Normal 63 21 2" xfId="24027" xr:uid="{00000000-0005-0000-0000-000009570000}"/>
    <cellStyle name="Normal 63 22" xfId="11872" xr:uid="{00000000-0005-0000-0000-00000A570000}"/>
    <cellStyle name="Normal 63 22 2" xfId="24028" xr:uid="{00000000-0005-0000-0000-00000B570000}"/>
    <cellStyle name="Normal 63 23" xfId="11873" xr:uid="{00000000-0005-0000-0000-00000C570000}"/>
    <cellStyle name="Normal 63 23 2" xfId="24029" xr:uid="{00000000-0005-0000-0000-00000D570000}"/>
    <cellStyle name="Normal 63 24" xfId="11874" xr:uid="{00000000-0005-0000-0000-00000E570000}"/>
    <cellStyle name="Normal 63 24 2" xfId="24030" xr:uid="{00000000-0005-0000-0000-00000F570000}"/>
    <cellStyle name="Normal 63 25" xfId="11875" xr:uid="{00000000-0005-0000-0000-000010570000}"/>
    <cellStyle name="Normal 63 25 2" xfId="24031" xr:uid="{00000000-0005-0000-0000-000011570000}"/>
    <cellStyle name="Normal 63 26" xfId="11876" xr:uid="{00000000-0005-0000-0000-000012570000}"/>
    <cellStyle name="Normal 63 26 2" xfId="24032" xr:uid="{00000000-0005-0000-0000-000013570000}"/>
    <cellStyle name="Normal 63 27" xfId="11877" xr:uid="{00000000-0005-0000-0000-000014570000}"/>
    <cellStyle name="Normal 63 27 2" xfId="24033" xr:uid="{00000000-0005-0000-0000-000015570000}"/>
    <cellStyle name="Normal 63 28" xfId="11878" xr:uid="{00000000-0005-0000-0000-000016570000}"/>
    <cellStyle name="Normal 63 28 2" xfId="24034" xr:uid="{00000000-0005-0000-0000-000017570000}"/>
    <cellStyle name="Normal 63 29" xfId="11879" xr:uid="{00000000-0005-0000-0000-000018570000}"/>
    <cellStyle name="Normal 63 29 2" xfId="24035" xr:uid="{00000000-0005-0000-0000-000019570000}"/>
    <cellStyle name="Normal 63 3" xfId="752" xr:uid="{00000000-0005-0000-0000-00001A570000}"/>
    <cellStyle name="Normal 63 3 2" xfId="24036" xr:uid="{00000000-0005-0000-0000-00001B570000}"/>
    <cellStyle name="Normal 63 3 3" xfId="11880" xr:uid="{00000000-0005-0000-0000-00001C570000}"/>
    <cellStyle name="Normal 63 30" xfId="11881" xr:uid="{00000000-0005-0000-0000-00001D570000}"/>
    <cellStyle name="Normal 63 30 2" xfId="24037" xr:uid="{00000000-0005-0000-0000-00001E570000}"/>
    <cellStyle name="Normal 63 31" xfId="11882" xr:uid="{00000000-0005-0000-0000-00001F570000}"/>
    <cellStyle name="Normal 63 31 2" xfId="24038" xr:uid="{00000000-0005-0000-0000-000020570000}"/>
    <cellStyle name="Normal 63 32" xfId="11883" xr:uid="{00000000-0005-0000-0000-000021570000}"/>
    <cellStyle name="Normal 63 32 2" xfId="24039" xr:uid="{00000000-0005-0000-0000-000022570000}"/>
    <cellStyle name="Normal 63 33" xfId="11884" xr:uid="{00000000-0005-0000-0000-000023570000}"/>
    <cellStyle name="Normal 63 33 2" xfId="24040" xr:uid="{00000000-0005-0000-0000-000024570000}"/>
    <cellStyle name="Normal 63 34" xfId="11885" xr:uid="{00000000-0005-0000-0000-000025570000}"/>
    <cellStyle name="Normal 63 34 2" xfId="24041" xr:uid="{00000000-0005-0000-0000-000026570000}"/>
    <cellStyle name="Normal 63 35" xfId="11886" xr:uid="{00000000-0005-0000-0000-000027570000}"/>
    <cellStyle name="Normal 63 35 2" xfId="24042" xr:uid="{00000000-0005-0000-0000-000028570000}"/>
    <cellStyle name="Normal 63 36" xfId="11887" xr:uid="{00000000-0005-0000-0000-000029570000}"/>
    <cellStyle name="Normal 63 36 2" xfId="24043" xr:uid="{00000000-0005-0000-0000-00002A570000}"/>
    <cellStyle name="Normal 63 37" xfId="11888" xr:uid="{00000000-0005-0000-0000-00002B570000}"/>
    <cellStyle name="Normal 63 37 2" xfId="24044" xr:uid="{00000000-0005-0000-0000-00002C570000}"/>
    <cellStyle name="Normal 63 38" xfId="11889" xr:uid="{00000000-0005-0000-0000-00002D570000}"/>
    <cellStyle name="Normal 63 38 2" xfId="24045" xr:uid="{00000000-0005-0000-0000-00002E570000}"/>
    <cellStyle name="Normal 63 39" xfId="11890" xr:uid="{00000000-0005-0000-0000-00002F570000}"/>
    <cellStyle name="Normal 63 39 2" xfId="24046" xr:uid="{00000000-0005-0000-0000-000030570000}"/>
    <cellStyle name="Normal 63 4" xfId="404" xr:uid="{00000000-0005-0000-0000-000031570000}"/>
    <cellStyle name="Normal 63 4 2" xfId="24047" xr:uid="{00000000-0005-0000-0000-000032570000}"/>
    <cellStyle name="Normal 63 40" xfId="11891" xr:uid="{00000000-0005-0000-0000-000033570000}"/>
    <cellStyle name="Normal 63 40 2" xfId="24048" xr:uid="{00000000-0005-0000-0000-000034570000}"/>
    <cellStyle name="Normal 63 41" xfId="11892" xr:uid="{00000000-0005-0000-0000-000035570000}"/>
    <cellStyle name="Normal 63 41 2" xfId="24049" xr:uid="{00000000-0005-0000-0000-000036570000}"/>
    <cellStyle name="Normal 63 42" xfId="11893" xr:uid="{00000000-0005-0000-0000-000037570000}"/>
    <cellStyle name="Normal 63 42 2" xfId="24050" xr:uid="{00000000-0005-0000-0000-000038570000}"/>
    <cellStyle name="Normal 63 43" xfId="11894" xr:uid="{00000000-0005-0000-0000-000039570000}"/>
    <cellStyle name="Normal 63 43 2" xfId="24051" xr:uid="{00000000-0005-0000-0000-00003A570000}"/>
    <cellStyle name="Normal 63 44" xfId="11895" xr:uid="{00000000-0005-0000-0000-00003B570000}"/>
    <cellStyle name="Normal 63 44 2" xfId="24052" xr:uid="{00000000-0005-0000-0000-00003C570000}"/>
    <cellStyle name="Normal 63 45" xfId="11896" xr:uid="{00000000-0005-0000-0000-00003D570000}"/>
    <cellStyle name="Normal 63 45 2" xfId="24053" xr:uid="{00000000-0005-0000-0000-00003E570000}"/>
    <cellStyle name="Normal 63 46" xfId="11897" xr:uid="{00000000-0005-0000-0000-00003F570000}"/>
    <cellStyle name="Normal 63 46 2" xfId="24054" xr:uid="{00000000-0005-0000-0000-000040570000}"/>
    <cellStyle name="Normal 63 47" xfId="11898" xr:uid="{00000000-0005-0000-0000-000041570000}"/>
    <cellStyle name="Normal 63 47 2" xfId="24055" xr:uid="{00000000-0005-0000-0000-000042570000}"/>
    <cellStyle name="Normal 63 48" xfId="11899" xr:uid="{00000000-0005-0000-0000-000043570000}"/>
    <cellStyle name="Normal 63 48 2" xfId="24056" xr:uid="{00000000-0005-0000-0000-000044570000}"/>
    <cellStyle name="Normal 63 49" xfId="11900" xr:uid="{00000000-0005-0000-0000-000045570000}"/>
    <cellStyle name="Normal 63 49 2" xfId="24057" xr:uid="{00000000-0005-0000-0000-000046570000}"/>
    <cellStyle name="Normal 63 5" xfId="11901" xr:uid="{00000000-0005-0000-0000-000047570000}"/>
    <cellStyle name="Normal 63 5 2" xfId="24058" xr:uid="{00000000-0005-0000-0000-000048570000}"/>
    <cellStyle name="Normal 63 50" xfId="11902" xr:uid="{00000000-0005-0000-0000-000049570000}"/>
    <cellStyle name="Normal 63 50 2" xfId="24059" xr:uid="{00000000-0005-0000-0000-00004A570000}"/>
    <cellStyle name="Normal 63 51" xfId="11903" xr:uid="{00000000-0005-0000-0000-00004B570000}"/>
    <cellStyle name="Normal 63 51 2" xfId="24060" xr:uid="{00000000-0005-0000-0000-00004C570000}"/>
    <cellStyle name="Normal 63 52" xfId="11904" xr:uid="{00000000-0005-0000-0000-00004D570000}"/>
    <cellStyle name="Normal 63 52 2" xfId="24061" xr:uid="{00000000-0005-0000-0000-00004E570000}"/>
    <cellStyle name="Normal 63 53" xfId="11905" xr:uid="{00000000-0005-0000-0000-00004F570000}"/>
    <cellStyle name="Normal 63 53 2" xfId="24062" xr:uid="{00000000-0005-0000-0000-000050570000}"/>
    <cellStyle name="Normal 63 54" xfId="11906" xr:uid="{00000000-0005-0000-0000-000051570000}"/>
    <cellStyle name="Normal 63 54 2" xfId="24063" xr:uid="{00000000-0005-0000-0000-000052570000}"/>
    <cellStyle name="Normal 63 55" xfId="11907" xr:uid="{00000000-0005-0000-0000-000053570000}"/>
    <cellStyle name="Normal 63 55 2" xfId="24064" xr:uid="{00000000-0005-0000-0000-000054570000}"/>
    <cellStyle name="Normal 63 56" xfId="11908" xr:uid="{00000000-0005-0000-0000-000055570000}"/>
    <cellStyle name="Normal 63 56 2" xfId="24065" xr:uid="{00000000-0005-0000-0000-000056570000}"/>
    <cellStyle name="Normal 63 57" xfId="11909" xr:uid="{00000000-0005-0000-0000-000057570000}"/>
    <cellStyle name="Normal 63 57 2" xfId="24066" xr:uid="{00000000-0005-0000-0000-000058570000}"/>
    <cellStyle name="Normal 63 58" xfId="11910" xr:uid="{00000000-0005-0000-0000-000059570000}"/>
    <cellStyle name="Normal 63 58 2" xfId="24067" xr:uid="{00000000-0005-0000-0000-00005A570000}"/>
    <cellStyle name="Normal 63 59" xfId="11911" xr:uid="{00000000-0005-0000-0000-00005B570000}"/>
    <cellStyle name="Normal 63 59 2" xfId="24068" xr:uid="{00000000-0005-0000-0000-00005C570000}"/>
    <cellStyle name="Normal 63 6" xfId="11912" xr:uid="{00000000-0005-0000-0000-00005D570000}"/>
    <cellStyle name="Normal 63 6 2" xfId="24069" xr:uid="{00000000-0005-0000-0000-00005E570000}"/>
    <cellStyle name="Normal 63 60" xfId="11913" xr:uid="{00000000-0005-0000-0000-00005F570000}"/>
    <cellStyle name="Normal 63 60 2" xfId="24070" xr:uid="{00000000-0005-0000-0000-000060570000}"/>
    <cellStyle name="Normal 63 61" xfId="11914" xr:uid="{00000000-0005-0000-0000-000061570000}"/>
    <cellStyle name="Normal 63 61 2" xfId="24071" xr:uid="{00000000-0005-0000-0000-000062570000}"/>
    <cellStyle name="Normal 63 62" xfId="11915" xr:uid="{00000000-0005-0000-0000-000063570000}"/>
    <cellStyle name="Normal 63 62 2" xfId="24072" xr:uid="{00000000-0005-0000-0000-000064570000}"/>
    <cellStyle name="Normal 63 63" xfId="11916" xr:uid="{00000000-0005-0000-0000-000065570000}"/>
    <cellStyle name="Normal 63 63 2" xfId="24073" xr:uid="{00000000-0005-0000-0000-000066570000}"/>
    <cellStyle name="Normal 63 64" xfId="11917" xr:uid="{00000000-0005-0000-0000-000067570000}"/>
    <cellStyle name="Normal 63 64 2" xfId="24074" xr:uid="{00000000-0005-0000-0000-000068570000}"/>
    <cellStyle name="Normal 63 65" xfId="11918" xr:uid="{00000000-0005-0000-0000-000069570000}"/>
    <cellStyle name="Normal 63 65 2" xfId="24075" xr:uid="{00000000-0005-0000-0000-00006A570000}"/>
    <cellStyle name="Normal 63 66" xfId="11919" xr:uid="{00000000-0005-0000-0000-00006B570000}"/>
    <cellStyle name="Normal 63 66 2" xfId="24076" xr:uid="{00000000-0005-0000-0000-00006C570000}"/>
    <cellStyle name="Normal 63 67" xfId="11920" xr:uid="{00000000-0005-0000-0000-00006D570000}"/>
    <cellStyle name="Normal 63 67 2" xfId="24077" xr:uid="{00000000-0005-0000-0000-00006E570000}"/>
    <cellStyle name="Normal 63 68" xfId="11921" xr:uid="{00000000-0005-0000-0000-00006F570000}"/>
    <cellStyle name="Normal 63 68 2" xfId="24078" xr:uid="{00000000-0005-0000-0000-000070570000}"/>
    <cellStyle name="Normal 63 69" xfId="11922" xr:uid="{00000000-0005-0000-0000-000071570000}"/>
    <cellStyle name="Normal 63 69 2" xfId="24079" xr:uid="{00000000-0005-0000-0000-000072570000}"/>
    <cellStyle name="Normal 63 7" xfId="11923" xr:uid="{00000000-0005-0000-0000-000073570000}"/>
    <cellStyle name="Normal 63 7 2" xfId="24080" xr:uid="{00000000-0005-0000-0000-000074570000}"/>
    <cellStyle name="Normal 63 70" xfId="11924" xr:uid="{00000000-0005-0000-0000-000075570000}"/>
    <cellStyle name="Normal 63 70 2" xfId="24081" xr:uid="{00000000-0005-0000-0000-000076570000}"/>
    <cellStyle name="Normal 63 71" xfId="11925" xr:uid="{00000000-0005-0000-0000-000077570000}"/>
    <cellStyle name="Normal 63 71 2" xfId="24082" xr:uid="{00000000-0005-0000-0000-000078570000}"/>
    <cellStyle name="Normal 63 72" xfId="11926" xr:uid="{00000000-0005-0000-0000-000079570000}"/>
    <cellStyle name="Normal 63 72 2" xfId="24083" xr:uid="{00000000-0005-0000-0000-00007A570000}"/>
    <cellStyle name="Normal 63 73" xfId="11927" xr:uid="{00000000-0005-0000-0000-00007B570000}"/>
    <cellStyle name="Normal 63 73 2" xfId="24084" xr:uid="{00000000-0005-0000-0000-00007C570000}"/>
    <cellStyle name="Normal 63 74" xfId="11928" xr:uid="{00000000-0005-0000-0000-00007D570000}"/>
    <cellStyle name="Normal 63 74 2" xfId="24085" xr:uid="{00000000-0005-0000-0000-00007E570000}"/>
    <cellStyle name="Normal 63 75" xfId="11929" xr:uid="{00000000-0005-0000-0000-00007F570000}"/>
    <cellStyle name="Normal 63 75 2" xfId="24086" xr:uid="{00000000-0005-0000-0000-000080570000}"/>
    <cellStyle name="Normal 63 76" xfId="11930" xr:uid="{00000000-0005-0000-0000-000081570000}"/>
    <cellStyle name="Normal 63 76 2" xfId="24087" xr:uid="{00000000-0005-0000-0000-000082570000}"/>
    <cellStyle name="Normal 63 77" xfId="11931" xr:uid="{00000000-0005-0000-0000-000083570000}"/>
    <cellStyle name="Normal 63 77 2" xfId="24088" xr:uid="{00000000-0005-0000-0000-000084570000}"/>
    <cellStyle name="Normal 63 78" xfId="11932" xr:uid="{00000000-0005-0000-0000-000085570000}"/>
    <cellStyle name="Normal 63 78 2" xfId="24089" xr:uid="{00000000-0005-0000-0000-000086570000}"/>
    <cellStyle name="Normal 63 79" xfId="11933" xr:uid="{00000000-0005-0000-0000-000087570000}"/>
    <cellStyle name="Normal 63 79 2" xfId="24090" xr:uid="{00000000-0005-0000-0000-000088570000}"/>
    <cellStyle name="Normal 63 8" xfId="11934" xr:uid="{00000000-0005-0000-0000-000089570000}"/>
    <cellStyle name="Normal 63 8 2" xfId="24091" xr:uid="{00000000-0005-0000-0000-00008A570000}"/>
    <cellStyle name="Normal 63 80" xfId="24014" xr:uid="{00000000-0005-0000-0000-00008B570000}"/>
    <cellStyle name="Normal 63 9" xfId="11935" xr:uid="{00000000-0005-0000-0000-00008C570000}"/>
    <cellStyle name="Normal 63 9 2" xfId="24092" xr:uid="{00000000-0005-0000-0000-00008D570000}"/>
    <cellStyle name="Normal 64" xfId="190" xr:uid="{00000000-0005-0000-0000-00008E570000}"/>
    <cellStyle name="Normal 64 10" xfId="11936" xr:uid="{00000000-0005-0000-0000-00008F570000}"/>
    <cellStyle name="Normal 64 10 2" xfId="24094" xr:uid="{00000000-0005-0000-0000-000090570000}"/>
    <cellStyle name="Normal 64 11" xfId="11937" xr:uid="{00000000-0005-0000-0000-000091570000}"/>
    <cellStyle name="Normal 64 11 2" xfId="24095" xr:uid="{00000000-0005-0000-0000-000092570000}"/>
    <cellStyle name="Normal 64 12" xfId="11938" xr:uid="{00000000-0005-0000-0000-000093570000}"/>
    <cellStyle name="Normal 64 12 2" xfId="24096" xr:uid="{00000000-0005-0000-0000-000094570000}"/>
    <cellStyle name="Normal 64 13" xfId="11939" xr:uid="{00000000-0005-0000-0000-000095570000}"/>
    <cellStyle name="Normal 64 13 2" xfId="24097" xr:uid="{00000000-0005-0000-0000-000096570000}"/>
    <cellStyle name="Normal 64 14" xfId="11940" xr:uid="{00000000-0005-0000-0000-000097570000}"/>
    <cellStyle name="Normal 64 14 2" xfId="24098" xr:uid="{00000000-0005-0000-0000-000098570000}"/>
    <cellStyle name="Normal 64 15" xfId="11941" xr:uid="{00000000-0005-0000-0000-000099570000}"/>
    <cellStyle name="Normal 64 15 2" xfId="24099" xr:uid="{00000000-0005-0000-0000-00009A570000}"/>
    <cellStyle name="Normal 64 16" xfId="11942" xr:uid="{00000000-0005-0000-0000-00009B570000}"/>
    <cellStyle name="Normal 64 16 2" xfId="24100" xr:uid="{00000000-0005-0000-0000-00009C570000}"/>
    <cellStyle name="Normal 64 17" xfId="11943" xr:uid="{00000000-0005-0000-0000-00009D570000}"/>
    <cellStyle name="Normal 64 17 2" xfId="24101" xr:uid="{00000000-0005-0000-0000-00009E570000}"/>
    <cellStyle name="Normal 64 18" xfId="11944" xr:uid="{00000000-0005-0000-0000-00009F570000}"/>
    <cellStyle name="Normal 64 18 2" xfId="24102" xr:uid="{00000000-0005-0000-0000-0000A0570000}"/>
    <cellStyle name="Normal 64 19" xfId="11945" xr:uid="{00000000-0005-0000-0000-0000A1570000}"/>
    <cellStyle name="Normal 64 19 2" xfId="24103" xr:uid="{00000000-0005-0000-0000-0000A2570000}"/>
    <cellStyle name="Normal 64 2" xfId="753" xr:uid="{00000000-0005-0000-0000-0000A3570000}"/>
    <cellStyle name="Normal 64 2 2" xfId="24104" xr:uid="{00000000-0005-0000-0000-0000A4570000}"/>
    <cellStyle name="Normal 64 2 3" xfId="11946" xr:uid="{00000000-0005-0000-0000-0000A5570000}"/>
    <cellStyle name="Normal 64 20" xfId="11947" xr:uid="{00000000-0005-0000-0000-0000A6570000}"/>
    <cellStyle name="Normal 64 20 2" xfId="24105" xr:uid="{00000000-0005-0000-0000-0000A7570000}"/>
    <cellStyle name="Normal 64 21" xfId="11948" xr:uid="{00000000-0005-0000-0000-0000A8570000}"/>
    <cellStyle name="Normal 64 21 2" xfId="24106" xr:uid="{00000000-0005-0000-0000-0000A9570000}"/>
    <cellStyle name="Normal 64 22" xfId="11949" xr:uid="{00000000-0005-0000-0000-0000AA570000}"/>
    <cellStyle name="Normal 64 22 2" xfId="24107" xr:uid="{00000000-0005-0000-0000-0000AB570000}"/>
    <cellStyle name="Normal 64 23" xfId="11950" xr:uid="{00000000-0005-0000-0000-0000AC570000}"/>
    <cellStyle name="Normal 64 23 2" xfId="24108" xr:uid="{00000000-0005-0000-0000-0000AD570000}"/>
    <cellStyle name="Normal 64 24" xfId="11951" xr:uid="{00000000-0005-0000-0000-0000AE570000}"/>
    <cellStyle name="Normal 64 24 2" xfId="24109" xr:uid="{00000000-0005-0000-0000-0000AF570000}"/>
    <cellStyle name="Normal 64 25" xfId="11952" xr:uid="{00000000-0005-0000-0000-0000B0570000}"/>
    <cellStyle name="Normal 64 25 2" xfId="24110" xr:uid="{00000000-0005-0000-0000-0000B1570000}"/>
    <cellStyle name="Normal 64 26" xfId="11953" xr:uid="{00000000-0005-0000-0000-0000B2570000}"/>
    <cellStyle name="Normal 64 26 2" xfId="24111" xr:uid="{00000000-0005-0000-0000-0000B3570000}"/>
    <cellStyle name="Normal 64 27" xfId="11954" xr:uid="{00000000-0005-0000-0000-0000B4570000}"/>
    <cellStyle name="Normal 64 27 2" xfId="24112" xr:uid="{00000000-0005-0000-0000-0000B5570000}"/>
    <cellStyle name="Normal 64 28" xfId="11955" xr:uid="{00000000-0005-0000-0000-0000B6570000}"/>
    <cellStyle name="Normal 64 28 2" xfId="24113" xr:uid="{00000000-0005-0000-0000-0000B7570000}"/>
    <cellStyle name="Normal 64 29" xfId="11956" xr:uid="{00000000-0005-0000-0000-0000B8570000}"/>
    <cellStyle name="Normal 64 29 2" xfId="24114" xr:uid="{00000000-0005-0000-0000-0000B9570000}"/>
    <cellStyle name="Normal 64 3" xfId="405" xr:uid="{00000000-0005-0000-0000-0000BA570000}"/>
    <cellStyle name="Normal 64 3 2" xfId="24115" xr:uid="{00000000-0005-0000-0000-0000BB570000}"/>
    <cellStyle name="Normal 64 30" xfId="11957" xr:uid="{00000000-0005-0000-0000-0000BC570000}"/>
    <cellStyle name="Normal 64 30 2" xfId="24116" xr:uid="{00000000-0005-0000-0000-0000BD570000}"/>
    <cellStyle name="Normal 64 31" xfId="11958" xr:uid="{00000000-0005-0000-0000-0000BE570000}"/>
    <cellStyle name="Normal 64 31 2" xfId="24117" xr:uid="{00000000-0005-0000-0000-0000BF570000}"/>
    <cellStyle name="Normal 64 32" xfId="11959" xr:uid="{00000000-0005-0000-0000-0000C0570000}"/>
    <cellStyle name="Normal 64 32 2" xfId="24118" xr:uid="{00000000-0005-0000-0000-0000C1570000}"/>
    <cellStyle name="Normal 64 33" xfId="11960" xr:uid="{00000000-0005-0000-0000-0000C2570000}"/>
    <cellStyle name="Normal 64 33 2" xfId="24119" xr:uid="{00000000-0005-0000-0000-0000C3570000}"/>
    <cellStyle name="Normal 64 34" xfId="11961" xr:uid="{00000000-0005-0000-0000-0000C4570000}"/>
    <cellStyle name="Normal 64 34 2" xfId="24120" xr:uid="{00000000-0005-0000-0000-0000C5570000}"/>
    <cellStyle name="Normal 64 35" xfId="11962" xr:uid="{00000000-0005-0000-0000-0000C6570000}"/>
    <cellStyle name="Normal 64 35 2" xfId="24121" xr:uid="{00000000-0005-0000-0000-0000C7570000}"/>
    <cellStyle name="Normal 64 36" xfId="11963" xr:uid="{00000000-0005-0000-0000-0000C8570000}"/>
    <cellStyle name="Normal 64 36 2" xfId="24122" xr:uid="{00000000-0005-0000-0000-0000C9570000}"/>
    <cellStyle name="Normal 64 37" xfId="11964" xr:uid="{00000000-0005-0000-0000-0000CA570000}"/>
    <cellStyle name="Normal 64 37 2" xfId="24123" xr:uid="{00000000-0005-0000-0000-0000CB570000}"/>
    <cellStyle name="Normal 64 38" xfId="11965" xr:uid="{00000000-0005-0000-0000-0000CC570000}"/>
    <cellStyle name="Normal 64 38 2" xfId="24124" xr:uid="{00000000-0005-0000-0000-0000CD570000}"/>
    <cellStyle name="Normal 64 39" xfId="11966" xr:uid="{00000000-0005-0000-0000-0000CE570000}"/>
    <cellStyle name="Normal 64 39 2" xfId="24125" xr:uid="{00000000-0005-0000-0000-0000CF570000}"/>
    <cellStyle name="Normal 64 4" xfId="11967" xr:uid="{00000000-0005-0000-0000-0000D0570000}"/>
    <cellStyle name="Normal 64 4 2" xfId="24126" xr:uid="{00000000-0005-0000-0000-0000D1570000}"/>
    <cellStyle name="Normal 64 40" xfId="11968" xr:uid="{00000000-0005-0000-0000-0000D2570000}"/>
    <cellStyle name="Normal 64 40 2" xfId="24127" xr:uid="{00000000-0005-0000-0000-0000D3570000}"/>
    <cellStyle name="Normal 64 41" xfId="11969" xr:uid="{00000000-0005-0000-0000-0000D4570000}"/>
    <cellStyle name="Normal 64 41 2" xfId="24128" xr:uid="{00000000-0005-0000-0000-0000D5570000}"/>
    <cellStyle name="Normal 64 42" xfId="11970" xr:uid="{00000000-0005-0000-0000-0000D6570000}"/>
    <cellStyle name="Normal 64 42 2" xfId="24129" xr:uid="{00000000-0005-0000-0000-0000D7570000}"/>
    <cellStyle name="Normal 64 43" xfId="11971" xr:uid="{00000000-0005-0000-0000-0000D8570000}"/>
    <cellStyle name="Normal 64 43 2" xfId="24130" xr:uid="{00000000-0005-0000-0000-0000D9570000}"/>
    <cellStyle name="Normal 64 44" xfId="11972" xr:uid="{00000000-0005-0000-0000-0000DA570000}"/>
    <cellStyle name="Normal 64 44 2" xfId="24131" xr:uid="{00000000-0005-0000-0000-0000DB570000}"/>
    <cellStyle name="Normal 64 45" xfId="11973" xr:uid="{00000000-0005-0000-0000-0000DC570000}"/>
    <cellStyle name="Normal 64 45 2" xfId="24132" xr:uid="{00000000-0005-0000-0000-0000DD570000}"/>
    <cellStyle name="Normal 64 46" xfId="11974" xr:uid="{00000000-0005-0000-0000-0000DE570000}"/>
    <cellStyle name="Normal 64 46 2" xfId="24133" xr:uid="{00000000-0005-0000-0000-0000DF570000}"/>
    <cellStyle name="Normal 64 47" xfId="11975" xr:uid="{00000000-0005-0000-0000-0000E0570000}"/>
    <cellStyle name="Normal 64 47 2" xfId="24134" xr:uid="{00000000-0005-0000-0000-0000E1570000}"/>
    <cellStyle name="Normal 64 48" xfId="11976" xr:uid="{00000000-0005-0000-0000-0000E2570000}"/>
    <cellStyle name="Normal 64 48 2" xfId="24135" xr:uid="{00000000-0005-0000-0000-0000E3570000}"/>
    <cellStyle name="Normal 64 49" xfId="11977" xr:uid="{00000000-0005-0000-0000-0000E4570000}"/>
    <cellStyle name="Normal 64 49 2" xfId="24136" xr:uid="{00000000-0005-0000-0000-0000E5570000}"/>
    <cellStyle name="Normal 64 5" xfId="11978" xr:uid="{00000000-0005-0000-0000-0000E6570000}"/>
    <cellStyle name="Normal 64 5 2" xfId="24137" xr:uid="{00000000-0005-0000-0000-0000E7570000}"/>
    <cellStyle name="Normal 64 50" xfId="11979" xr:uid="{00000000-0005-0000-0000-0000E8570000}"/>
    <cellStyle name="Normal 64 50 2" xfId="24138" xr:uid="{00000000-0005-0000-0000-0000E9570000}"/>
    <cellStyle name="Normal 64 51" xfId="11980" xr:uid="{00000000-0005-0000-0000-0000EA570000}"/>
    <cellStyle name="Normal 64 51 2" xfId="24139" xr:uid="{00000000-0005-0000-0000-0000EB570000}"/>
    <cellStyle name="Normal 64 52" xfId="11981" xr:uid="{00000000-0005-0000-0000-0000EC570000}"/>
    <cellStyle name="Normal 64 52 2" xfId="24140" xr:uid="{00000000-0005-0000-0000-0000ED570000}"/>
    <cellStyle name="Normal 64 53" xfId="11982" xr:uid="{00000000-0005-0000-0000-0000EE570000}"/>
    <cellStyle name="Normal 64 53 2" xfId="24141" xr:uid="{00000000-0005-0000-0000-0000EF570000}"/>
    <cellStyle name="Normal 64 54" xfId="11983" xr:uid="{00000000-0005-0000-0000-0000F0570000}"/>
    <cellStyle name="Normal 64 54 2" xfId="24142" xr:uid="{00000000-0005-0000-0000-0000F1570000}"/>
    <cellStyle name="Normal 64 55" xfId="11984" xr:uid="{00000000-0005-0000-0000-0000F2570000}"/>
    <cellStyle name="Normal 64 55 2" xfId="24143" xr:uid="{00000000-0005-0000-0000-0000F3570000}"/>
    <cellStyle name="Normal 64 56" xfId="11985" xr:uid="{00000000-0005-0000-0000-0000F4570000}"/>
    <cellStyle name="Normal 64 56 2" xfId="24144" xr:uid="{00000000-0005-0000-0000-0000F5570000}"/>
    <cellStyle name="Normal 64 57" xfId="11986" xr:uid="{00000000-0005-0000-0000-0000F6570000}"/>
    <cellStyle name="Normal 64 57 2" xfId="24145" xr:uid="{00000000-0005-0000-0000-0000F7570000}"/>
    <cellStyle name="Normal 64 58" xfId="11987" xr:uid="{00000000-0005-0000-0000-0000F8570000}"/>
    <cellStyle name="Normal 64 58 2" xfId="24146" xr:uid="{00000000-0005-0000-0000-0000F9570000}"/>
    <cellStyle name="Normal 64 59" xfId="11988" xr:uid="{00000000-0005-0000-0000-0000FA570000}"/>
    <cellStyle name="Normal 64 59 2" xfId="24147" xr:uid="{00000000-0005-0000-0000-0000FB570000}"/>
    <cellStyle name="Normal 64 6" xfId="11989" xr:uid="{00000000-0005-0000-0000-0000FC570000}"/>
    <cellStyle name="Normal 64 6 2" xfId="24148" xr:uid="{00000000-0005-0000-0000-0000FD570000}"/>
    <cellStyle name="Normal 64 60" xfId="11990" xr:uid="{00000000-0005-0000-0000-0000FE570000}"/>
    <cellStyle name="Normal 64 60 2" xfId="24149" xr:uid="{00000000-0005-0000-0000-0000FF570000}"/>
    <cellStyle name="Normal 64 61" xfId="11991" xr:uid="{00000000-0005-0000-0000-000000580000}"/>
    <cellStyle name="Normal 64 61 2" xfId="24150" xr:uid="{00000000-0005-0000-0000-000001580000}"/>
    <cellStyle name="Normal 64 62" xfId="11992" xr:uid="{00000000-0005-0000-0000-000002580000}"/>
    <cellStyle name="Normal 64 62 2" xfId="24151" xr:uid="{00000000-0005-0000-0000-000003580000}"/>
    <cellStyle name="Normal 64 63" xfId="11993" xr:uid="{00000000-0005-0000-0000-000004580000}"/>
    <cellStyle name="Normal 64 63 2" xfId="24152" xr:uid="{00000000-0005-0000-0000-000005580000}"/>
    <cellStyle name="Normal 64 64" xfId="11994" xr:uid="{00000000-0005-0000-0000-000006580000}"/>
    <cellStyle name="Normal 64 64 2" xfId="24153" xr:uid="{00000000-0005-0000-0000-000007580000}"/>
    <cellStyle name="Normal 64 65" xfId="11995" xr:uid="{00000000-0005-0000-0000-000008580000}"/>
    <cellStyle name="Normal 64 65 2" xfId="24154" xr:uid="{00000000-0005-0000-0000-000009580000}"/>
    <cellStyle name="Normal 64 66" xfId="11996" xr:uid="{00000000-0005-0000-0000-00000A580000}"/>
    <cellStyle name="Normal 64 66 2" xfId="24155" xr:uid="{00000000-0005-0000-0000-00000B580000}"/>
    <cellStyle name="Normal 64 67" xfId="11997" xr:uid="{00000000-0005-0000-0000-00000C580000}"/>
    <cellStyle name="Normal 64 67 2" xfId="24156" xr:uid="{00000000-0005-0000-0000-00000D580000}"/>
    <cellStyle name="Normal 64 68" xfId="11998" xr:uid="{00000000-0005-0000-0000-00000E580000}"/>
    <cellStyle name="Normal 64 68 2" xfId="24157" xr:uid="{00000000-0005-0000-0000-00000F580000}"/>
    <cellStyle name="Normal 64 69" xfId="11999" xr:uid="{00000000-0005-0000-0000-000010580000}"/>
    <cellStyle name="Normal 64 69 2" xfId="24158" xr:uid="{00000000-0005-0000-0000-000011580000}"/>
    <cellStyle name="Normal 64 7" xfId="12000" xr:uid="{00000000-0005-0000-0000-000012580000}"/>
    <cellStyle name="Normal 64 7 2" xfId="24159" xr:uid="{00000000-0005-0000-0000-000013580000}"/>
    <cellStyle name="Normal 64 70" xfId="12001" xr:uid="{00000000-0005-0000-0000-000014580000}"/>
    <cellStyle name="Normal 64 70 2" xfId="24160" xr:uid="{00000000-0005-0000-0000-000015580000}"/>
    <cellStyle name="Normal 64 71" xfId="12002" xr:uid="{00000000-0005-0000-0000-000016580000}"/>
    <cellStyle name="Normal 64 71 2" xfId="24161" xr:uid="{00000000-0005-0000-0000-000017580000}"/>
    <cellStyle name="Normal 64 72" xfId="12003" xr:uid="{00000000-0005-0000-0000-000018580000}"/>
    <cellStyle name="Normal 64 72 2" xfId="24162" xr:uid="{00000000-0005-0000-0000-000019580000}"/>
    <cellStyle name="Normal 64 73" xfId="12004" xr:uid="{00000000-0005-0000-0000-00001A580000}"/>
    <cellStyle name="Normal 64 73 2" xfId="24163" xr:uid="{00000000-0005-0000-0000-00001B580000}"/>
    <cellStyle name="Normal 64 74" xfId="12005" xr:uid="{00000000-0005-0000-0000-00001C580000}"/>
    <cellStyle name="Normal 64 74 2" xfId="24164" xr:uid="{00000000-0005-0000-0000-00001D580000}"/>
    <cellStyle name="Normal 64 75" xfId="12006" xr:uid="{00000000-0005-0000-0000-00001E580000}"/>
    <cellStyle name="Normal 64 75 2" xfId="24165" xr:uid="{00000000-0005-0000-0000-00001F580000}"/>
    <cellStyle name="Normal 64 76" xfId="12007" xr:uid="{00000000-0005-0000-0000-000020580000}"/>
    <cellStyle name="Normal 64 76 2" xfId="24166" xr:uid="{00000000-0005-0000-0000-000021580000}"/>
    <cellStyle name="Normal 64 77" xfId="12008" xr:uid="{00000000-0005-0000-0000-000022580000}"/>
    <cellStyle name="Normal 64 77 2" xfId="24167" xr:uid="{00000000-0005-0000-0000-000023580000}"/>
    <cellStyle name="Normal 64 78" xfId="12009" xr:uid="{00000000-0005-0000-0000-000024580000}"/>
    <cellStyle name="Normal 64 78 2" xfId="24168" xr:uid="{00000000-0005-0000-0000-000025580000}"/>
    <cellStyle name="Normal 64 79" xfId="12010" xr:uid="{00000000-0005-0000-0000-000026580000}"/>
    <cellStyle name="Normal 64 79 2" xfId="24169" xr:uid="{00000000-0005-0000-0000-000027580000}"/>
    <cellStyle name="Normal 64 8" xfId="12011" xr:uid="{00000000-0005-0000-0000-000028580000}"/>
    <cellStyle name="Normal 64 8 2" xfId="24170" xr:uid="{00000000-0005-0000-0000-000029580000}"/>
    <cellStyle name="Normal 64 80" xfId="24093" xr:uid="{00000000-0005-0000-0000-00002A580000}"/>
    <cellStyle name="Normal 64 9" xfId="12012" xr:uid="{00000000-0005-0000-0000-00002B580000}"/>
    <cellStyle name="Normal 64 9 2" xfId="24171" xr:uid="{00000000-0005-0000-0000-00002C580000}"/>
    <cellStyle name="Normal 65" xfId="191" xr:uid="{00000000-0005-0000-0000-00002D580000}"/>
    <cellStyle name="Normal 65 10" xfId="12013" xr:uid="{00000000-0005-0000-0000-00002E580000}"/>
    <cellStyle name="Normal 65 10 2" xfId="24173" xr:uid="{00000000-0005-0000-0000-00002F580000}"/>
    <cellStyle name="Normal 65 11" xfId="12014" xr:uid="{00000000-0005-0000-0000-000030580000}"/>
    <cellStyle name="Normal 65 11 2" xfId="24174" xr:uid="{00000000-0005-0000-0000-000031580000}"/>
    <cellStyle name="Normal 65 12" xfId="12015" xr:uid="{00000000-0005-0000-0000-000032580000}"/>
    <cellStyle name="Normal 65 12 2" xfId="24175" xr:uid="{00000000-0005-0000-0000-000033580000}"/>
    <cellStyle name="Normal 65 13" xfId="12016" xr:uid="{00000000-0005-0000-0000-000034580000}"/>
    <cellStyle name="Normal 65 13 2" xfId="24176" xr:uid="{00000000-0005-0000-0000-000035580000}"/>
    <cellStyle name="Normal 65 14" xfId="12017" xr:uid="{00000000-0005-0000-0000-000036580000}"/>
    <cellStyle name="Normal 65 14 2" xfId="24177" xr:uid="{00000000-0005-0000-0000-000037580000}"/>
    <cellStyle name="Normal 65 15" xfId="12018" xr:uid="{00000000-0005-0000-0000-000038580000}"/>
    <cellStyle name="Normal 65 15 2" xfId="24178" xr:uid="{00000000-0005-0000-0000-000039580000}"/>
    <cellStyle name="Normal 65 16" xfId="12019" xr:uid="{00000000-0005-0000-0000-00003A580000}"/>
    <cellStyle name="Normal 65 16 2" xfId="24179" xr:uid="{00000000-0005-0000-0000-00003B580000}"/>
    <cellStyle name="Normal 65 17" xfId="12020" xr:uid="{00000000-0005-0000-0000-00003C580000}"/>
    <cellStyle name="Normal 65 17 2" xfId="24180" xr:uid="{00000000-0005-0000-0000-00003D580000}"/>
    <cellStyle name="Normal 65 18" xfId="12021" xr:uid="{00000000-0005-0000-0000-00003E580000}"/>
    <cellStyle name="Normal 65 18 2" xfId="24181" xr:uid="{00000000-0005-0000-0000-00003F580000}"/>
    <cellStyle name="Normal 65 19" xfId="12022" xr:uid="{00000000-0005-0000-0000-000040580000}"/>
    <cellStyle name="Normal 65 19 2" xfId="24182" xr:uid="{00000000-0005-0000-0000-000041580000}"/>
    <cellStyle name="Normal 65 2" xfId="754" xr:uid="{00000000-0005-0000-0000-000042580000}"/>
    <cellStyle name="Normal 65 2 2" xfId="24183" xr:uid="{00000000-0005-0000-0000-000043580000}"/>
    <cellStyle name="Normal 65 2 3" xfId="12023" xr:uid="{00000000-0005-0000-0000-000044580000}"/>
    <cellStyle name="Normal 65 20" xfId="12024" xr:uid="{00000000-0005-0000-0000-000045580000}"/>
    <cellStyle name="Normal 65 20 2" xfId="24184" xr:uid="{00000000-0005-0000-0000-000046580000}"/>
    <cellStyle name="Normal 65 21" xfId="12025" xr:uid="{00000000-0005-0000-0000-000047580000}"/>
    <cellStyle name="Normal 65 21 2" xfId="24185" xr:uid="{00000000-0005-0000-0000-000048580000}"/>
    <cellStyle name="Normal 65 22" xfId="12026" xr:uid="{00000000-0005-0000-0000-000049580000}"/>
    <cellStyle name="Normal 65 22 2" xfId="24186" xr:uid="{00000000-0005-0000-0000-00004A580000}"/>
    <cellStyle name="Normal 65 23" xfId="12027" xr:uid="{00000000-0005-0000-0000-00004B580000}"/>
    <cellStyle name="Normal 65 23 2" xfId="24187" xr:uid="{00000000-0005-0000-0000-00004C580000}"/>
    <cellStyle name="Normal 65 24" xfId="12028" xr:uid="{00000000-0005-0000-0000-00004D580000}"/>
    <cellStyle name="Normal 65 24 2" xfId="24188" xr:uid="{00000000-0005-0000-0000-00004E580000}"/>
    <cellStyle name="Normal 65 25" xfId="12029" xr:uid="{00000000-0005-0000-0000-00004F580000}"/>
    <cellStyle name="Normal 65 25 2" xfId="24189" xr:uid="{00000000-0005-0000-0000-000050580000}"/>
    <cellStyle name="Normal 65 26" xfId="12030" xr:uid="{00000000-0005-0000-0000-000051580000}"/>
    <cellStyle name="Normal 65 26 2" xfId="24190" xr:uid="{00000000-0005-0000-0000-000052580000}"/>
    <cellStyle name="Normal 65 27" xfId="12031" xr:uid="{00000000-0005-0000-0000-000053580000}"/>
    <cellStyle name="Normal 65 27 2" xfId="24191" xr:uid="{00000000-0005-0000-0000-000054580000}"/>
    <cellStyle name="Normal 65 28" xfId="12032" xr:uid="{00000000-0005-0000-0000-000055580000}"/>
    <cellStyle name="Normal 65 28 2" xfId="24192" xr:uid="{00000000-0005-0000-0000-000056580000}"/>
    <cellStyle name="Normal 65 29" xfId="12033" xr:uid="{00000000-0005-0000-0000-000057580000}"/>
    <cellStyle name="Normal 65 29 2" xfId="24193" xr:uid="{00000000-0005-0000-0000-000058580000}"/>
    <cellStyle name="Normal 65 3" xfId="406" xr:uid="{00000000-0005-0000-0000-000059580000}"/>
    <cellStyle name="Normal 65 3 2" xfId="24194" xr:uid="{00000000-0005-0000-0000-00005A580000}"/>
    <cellStyle name="Normal 65 30" xfId="12034" xr:uid="{00000000-0005-0000-0000-00005B580000}"/>
    <cellStyle name="Normal 65 30 2" xfId="24195" xr:uid="{00000000-0005-0000-0000-00005C580000}"/>
    <cellStyle name="Normal 65 31" xfId="12035" xr:uid="{00000000-0005-0000-0000-00005D580000}"/>
    <cellStyle name="Normal 65 31 2" xfId="24196" xr:uid="{00000000-0005-0000-0000-00005E580000}"/>
    <cellStyle name="Normal 65 32" xfId="12036" xr:uid="{00000000-0005-0000-0000-00005F580000}"/>
    <cellStyle name="Normal 65 32 2" xfId="24197" xr:uid="{00000000-0005-0000-0000-000060580000}"/>
    <cellStyle name="Normal 65 33" xfId="12037" xr:uid="{00000000-0005-0000-0000-000061580000}"/>
    <cellStyle name="Normal 65 33 2" xfId="24198" xr:uid="{00000000-0005-0000-0000-000062580000}"/>
    <cellStyle name="Normal 65 34" xfId="12038" xr:uid="{00000000-0005-0000-0000-000063580000}"/>
    <cellStyle name="Normal 65 34 2" xfId="24199" xr:uid="{00000000-0005-0000-0000-000064580000}"/>
    <cellStyle name="Normal 65 35" xfId="12039" xr:uid="{00000000-0005-0000-0000-000065580000}"/>
    <cellStyle name="Normal 65 35 2" xfId="24200" xr:uid="{00000000-0005-0000-0000-000066580000}"/>
    <cellStyle name="Normal 65 36" xfId="12040" xr:uid="{00000000-0005-0000-0000-000067580000}"/>
    <cellStyle name="Normal 65 36 2" xfId="24201" xr:uid="{00000000-0005-0000-0000-000068580000}"/>
    <cellStyle name="Normal 65 37" xfId="12041" xr:uid="{00000000-0005-0000-0000-000069580000}"/>
    <cellStyle name="Normal 65 37 2" xfId="24202" xr:uid="{00000000-0005-0000-0000-00006A580000}"/>
    <cellStyle name="Normal 65 38" xfId="12042" xr:uid="{00000000-0005-0000-0000-00006B580000}"/>
    <cellStyle name="Normal 65 38 2" xfId="24203" xr:uid="{00000000-0005-0000-0000-00006C580000}"/>
    <cellStyle name="Normal 65 39" xfId="12043" xr:uid="{00000000-0005-0000-0000-00006D580000}"/>
    <cellStyle name="Normal 65 39 2" xfId="24204" xr:uid="{00000000-0005-0000-0000-00006E580000}"/>
    <cellStyle name="Normal 65 4" xfId="12044" xr:uid="{00000000-0005-0000-0000-00006F580000}"/>
    <cellStyle name="Normal 65 4 2" xfId="24205" xr:uid="{00000000-0005-0000-0000-000070580000}"/>
    <cellStyle name="Normal 65 40" xfId="12045" xr:uid="{00000000-0005-0000-0000-000071580000}"/>
    <cellStyle name="Normal 65 40 2" xfId="24206" xr:uid="{00000000-0005-0000-0000-000072580000}"/>
    <cellStyle name="Normal 65 41" xfId="12046" xr:uid="{00000000-0005-0000-0000-000073580000}"/>
    <cellStyle name="Normal 65 41 2" xfId="24207" xr:uid="{00000000-0005-0000-0000-000074580000}"/>
    <cellStyle name="Normal 65 42" xfId="12047" xr:uid="{00000000-0005-0000-0000-000075580000}"/>
    <cellStyle name="Normal 65 42 2" xfId="24208" xr:uid="{00000000-0005-0000-0000-000076580000}"/>
    <cellStyle name="Normal 65 43" xfId="12048" xr:uid="{00000000-0005-0000-0000-000077580000}"/>
    <cellStyle name="Normal 65 43 2" xfId="24209" xr:uid="{00000000-0005-0000-0000-000078580000}"/>
    <cellStyle name="Normal 65 44" xfId="12049" xr:uid="{00000000-0005-0000-0000-000079580000}"/>
    <cellStyle name="Normal 65 44 2" xfId="24210" xr:uid="{00000000-0005-0000-0000-00007A580000}"/>
    <cellStyle name="Normal 65 45" xfId="12050" xr:uid="{00000000-0005-0000-0000-00007B580000}"/>
    <cellStyle name="Normal 65 45 2" xfId="24211" xr:uid="{00000000-0005-0000-0000-00007C580000}"/>
    <cellStyle name="Normal 65 46" xfId="12051" xr:uid="{00000000-0005-0000-0000-00007D580000}"/>
    <cellStyle name="Normal 65 46 2" xfId="24212" xr:uid="{00000000-0005-0000-0000-00007E580000}"/>
    <cellStyle name="Normal 65 47" xfId="12052" xr:uid="{00000000-0005-0000-0000-00007F580000}"/>
    <cellStyle name="Normal 65 47 2" xfId="24213" xr:uid="{00000000-0005-0000-0000-000080580000}"/>
    <cellStyle name="Normal 65 48" xfId="12053" xr:uid="{00000000-0005-0000-0000-000081580000}"/>
    <cellStyle name="Normal 65 48 2" xfId="24214" xr:uid="{00000000-0005-0000-0000-000082580000}"/>
    <cellStyle name="Normal 65 49" xfId="12054" xr:uid="{00000000-0005-0000-0000-000083580000}"/>
    <cellStyle name="Normal 65 49 2" xfId="24215" xr:uid="{00000000-0005-0000-0000-000084580000}"/>
    <cellStyle name="Normal 65 5" xfId="12055" xr:uid="{00000000-0005-0000-0000-000085580000}"/>
    <cellStyle name="Normal 65 5 2" xfId="24216" xr:uid="{00000000-0005-0000-0000-000086580000}"/>
    <cellStyle name="Normal 65 50" xfId="12056" xr:uid="{00000000-0005-0000-0000-000087580000}"/>
    <cellStyle name="Normal 65 50 2" xfId="24217" xr:uid="{00000000-0005-0000-0000-000088580000}"/>
    <cellStyle name="Normal 65 51" xfId="12057" xr:uid="{00000000-0005-0000-0000-000089580000}"/>
    <cellStyle name="Normal 65 51 2" xfId="24218" xr:uid="{00000000-0005-0000-0000-00008A580000}"/>
    <cellStyle name="Normal 65 52" xfId="12058" xr:uid="{00000000-0005-0000-0000-00008B580000}"/>
    <cellStyle name="Normal 65 52 2" xfId="24219" xr:uid="{00000000-0005-0000-0000-00008C580000}"/>
    <cellStyle name="Normal 65 53" xfId="12059" xr:uid="{00000000-0005-0000-0000-00008D580000}"/>
    <cellStyle name="Normal 65 53 2" xfId="24220" xr:uid="{00000000-0005-0000-0000-00008E580000}"/>
    <cellStyle name="Normal 65 54" xfId="12060" xr:uid="{00000000-0005-0000-0000-00008F580000}"/>
    <cellStyle name="Normal 65 54 2" xfId="24221" xr:uid="{00000000-0005-0000-0000-000090580000}"/>
    <cellStyle name="Normal 65 55" xfId="12061" xr:uid="{00000000-0005-0000-0000-000091580000}"/>
    <cellStyle name="Normal 65 55 2" xfId="24222" xr:uid="{00000000-0005-0000-0000-000092580000}"/>
    <cellStyle name="Normal 65 56" xfId="12062" xr:uid="{00000000-0005-0000-0000-000093580000}"/>
    <cellStyle name="Normal 65 56 2" xfId="24223" xr:uid="{00000000-0005-0000-0000-000094580000}"/>
    <cellStyle name="Normal 65 57" xfId="12063" xr:uid="{00000000-0005-0000-0000-000095580000}"/>
    <cellStyle name="Normal 65 57 2" xfId="24224" xr:uid="{00000000-0005-0000-0000-000096580000}"/>
    <cellStyle name="Normal 65 58" xfId="12064" xr:uid="{00000000-0005-0000-0000-000097580000}"/>
    <cellStyle name="Normal 65 58 2" xfId="24225" xr:uid="{00000000-0005-0000-0000-000098580000}"/>
    <cellStyle name="Normal 65 59" xfId="12065" xr:uid="{00000000-0005-0000-0000-000099580000}"/>
    <cellStyle name="Normal 65 59 2" xfId="24226" xr:uid="{00000000-0005-0000-0000-00009A580000}"/>
    <cellStyle name="Normal 65 6" xfId="12066" xr:uid="{00000000-0005-0000-0000-00009B580000}"/>
    <cellStyle name="Normal 65 6 2" xfId="24227" xr:uid="{00000000-0005-0000-0000-00009C580000}"/>
    <cellStyle name="Normal 65 60" xfId="12067" xr:uid="{00000000-0005-0000-0000-00009D580000}"/>
    <cellStyle name="Normal 65 60 2" xfId="24228" xr:uid="{00000000-0005-0000-0000-00009E580000}"/>
    <cellStyle name="Normal 65 61" xfId="12068" xr:uid="{00000000-0005-0000-0000-00009F580000}"/>
    <cellStyle name="Normal 65 61 2" xfId="24229" xr:uid="{00000000-0005-0000-0000-0000A0580000}"/>
    <cellStyle name="Normal 65 62" xfId="12069" xr:uid="{00000000-0005-0000-0000-0000A1580000}"/>
    <cellStyle name="Normal 65 62 2" xfId="24230" xr:uid="{00000000-0005-0000-0000-0000A2580000}"/>
    <cellStyle name="Normal 65 63" xfId="12070" xr:uid="{00000000-0005-0000-0000-0000A3580000}"/>
    <cellStyle name="Normal 65 63 2" xfId="24231" xr:uid="{00000000-0005-0000-0000-0000A4580000}"/>
    <cellStyle name="Normal 65 64" xfId="12071" xr:uid="{00000000-0005-0000-0000-0000A5580000}"/>
    <cellStyle name="Normal 65 64 2" xfId="24232" xr:uid="{00000000-0005-0000-0000-0000A6580000}"/>
    <cellStyle name="Normal 65 65" xfId="12072" xr:uid="{00000000-0005-0000-0000-0000A7580000}"/>
    <cellStyle name="Normal 65 65 2" xfId="24233" xr:uid="{00000000-0005-0000-0000-0000A8580000}"/>
    <cellStyle name="Normal 65 66" xfId="12073" xr:uid="{00000000-0005-0000-0000-0000A9580000}"/>
    <cellStyle name="Normal 65 66 2" xfId="24234" xr:uid="{00000000-0005-0000-0000-0000AA580000}"/>
    <cellStyle name="Normal 65 67" xfId="12074" xr:uid="{00000000-0005-0000-0000-0000AB580000}"/>
    <cellStyle name="Normal 65 67 2" xfId="24235" xr:uid="{00000000-0005-0000-0000-0000AC580000}"/>
    <cellStyle name="Normal 65 68" xfId="12075" xr:uid="{00000000-0005-0000-0000-0000AD580000}"/>
    <cellStyle name="Normal 65 68 2" xfId="24236" xr:uid="{00000000-0005-0000-0000-0000AE580000}"/>
    <cellStyle name="Normal 65 69" xfId="12076" xr:uid="{00000000-0005-0000-0000-0000AF580000}"/>
    <cellStyle name="Normal 65 69 2" xfId="24237" xr:uid="{00000000-0005-0000-0000-0000B0580000}"/>
    <cellStyle name="Normal 65 7" xfId="12077" xr:uid="{00000000-0005-0000-0000-0000B1580000}"/>
    <cellStyle name="Normal 65 7 2" xfId="24238" xr:uid="{00000000-0005-0000-0000-0000B2580000}"/>
    <cellStyle name="Normal 65 70" xfId="12078" xr:uid="{00000000-0005-0000-0000-0000B3580000}"/>
    <cellStyle name="Normal 65 70 2" xfId="24239" xr:uid="{00000000-0005-0000-0000-0000B4580000}"/>
    <cellStyle name="Normal 65 71" xfId="12079" xr:uid="{00000000-0005-0000-0000-0000B5580000}"/>
    <cellStyle name="Normal 65 71 2" xfId="24240" xr:uid="{00000000-0005-0000-0000-0000B6580000}"/>
    <cellStyle name="Normal 65 72" xfId="12080" xr:uid="{00000000-0005-0000-0000-0000B7580000}"/>
    <cellStyle name="Normal 65 72 2" xfId="24241" xr:uid="{00000000-0005-0000-0000-0000B8580000}"/>
    <cellStyle name="Normal 65 73" xfId="12081" xr:uid="{00000000-0005-0000-0000-0000B9580000}"/>
    <cellStyle name="Normal 65 73 2" xfId="24242" xr:uid="{00000000-0005-0000-0000-0000BA580000}"/>
    <cellStyle name="Normal 65 74" xfId="12082" xr:uid="{00000000-0005-0000-0000-0000BB580000}"/>
    <cellStyle name="Normal 65 74 2" xfId="24243" xr:uid="{00000000-0005-0000-0000-0000BC580000}"/>
    <cellStyle name="Normal 65 75" xfId="12083" xr:uid="{00000000-0005-0000-0000-0000BD580000}"/>
    <cellStyle name="Normal 65 75 2" xfId="24244" xr:uid="{00000000-0005-0000-0000-0000BE580000}"/>
    <cellStyle name="Normal 65 76" xfId="12084" xr:uid="{00000000-0005-0000-0000-0000BF580000}"/>
    <cellStyle name="Normal 65 76 2" xfId="24245" xr:uid="{00000000-0005-0000-0000-0000C0580000}"/>
    <cellStyle name="Normal 65 77" xfId="12085" xr:uid="{00000000-0005-0000-0000-0000C1580000}"/>
    <cellStyle name="Normal 65 77 2" xfId="24246" xr:uid="{00000000-0005-0000-0000-0000C2580000}"/>
    <cellStyle name="Normal 65 78" xfId="12086" xr:uid="{00000000-0005-0000-0000-0000C3580000}"/>
    <cellStyle name="Normal 65 78 2" xfId="24247" xr:uid="{00000000-0005-0000-0000-0000C4580000}"/>
    <cellStyle name="Normal 65 79" xfId="12087" xr:uid="{00000000-0005-0000-0000-0000C5580000}"/>
    <cellStyle name="Normal 65 79 2" xfId="24248" xr:uid="{00000000-0005-0000-0000-0000C6580000}"/>
    <cellStyle name="Normal 65 8" xfId="12088" xr:uid="{00000000-0005-0000-0000-0000C7580000}"/>
    <cellStyle name="Normal 65 8 2" xfId="24249" xr:uid="{00000000-0005-0000-0000-0000C8580000}"/>
    <cellStyle name="Normal 65 80" xfId="24172" xr:uid="{00000000-0005-0000-0000-0000C9580000}"/>
    <cellStyle name="Normal 65 9" xfId="12089" xr:uid="{00000000-0005-0000-0000-0000CA580000}"/>
    <cellStyle name="Normal 65 9 2" xfId="24250" xr:uid="{00000000-0005-0000-0000-0000CB580000}"/>
    <cellStyle name="Normal 66" xfId="192" xr:uid="{00000000-0005-0000-0000-0000CC580000}"/>
    <cellStyle name="Normal 66 2" xfId="755" xr:uid="{00000000-0005-0000-0000-0000CD580000}"/>
    <cellStyle name="Normal 66 3" xfId="407" xr:uid="{00000000-0005-0000-0000-0000CE580000}"/>
    <cellStyle name="Normal 66 4" xfId="27173" xr:uid="{00000000-0005-0000-0000-0000CF580000}"/>
    <cellStyle name="Normal 67" xfId="193" xr:uid="{00000000-0005-0000-0000-0000D0580000}"/>
    <cellStyle name="Normal 67 10" xfId="12090" xr:uid="{00000000-0005-0000-0000-0000D1580000}"/>
    <cellStyle name="Normal 67 10 2" xfId="24252" xr:uid="{00000000-0005-0000-0000-0000D2580000}"/>
    <cellStyle name="Normal 67 11" xfId="12091" xr:uid="{00000000-0005-0000-0000-0000D3580000}"/>
    <cellStyle name="Normal 67 11 2" xfId="24253" xr:uid="{00000000-0005-0000-0000-0000D4580000}"/>
    <cellStyle name="Normal 67 12" xfId="12092" xr:uid="{00000000-0005-0000-0000-0000D5580000}"/>
    <cellStyle name="Normal 67 12 2" xfId="24254" xr:uid="{00000000-0005-0000-0000-0000D6580000}"/>
    <cellStyle name="Normal 67 13" xfId="12093" xr:uid="{00000000-0005-0000-0000-0000D7580000}"/>
    <cellStyle name="Normal 67 13 2" xfId="24255" xr:uid="{00000000-0005-0000-0000-0000D8580000}"/>
    <cellStyle name="Normal 67 14" xfId="12094" xr:uid="{00000000-0005-0000-0000-0000D9580000}"/>
    <cellStyle name="Normal 67 14 2" xfId="24256" xr:uid="{00000000-0005-0000-0000-0000DA580000}"/>
    <cellStyle name="Normal 67 15" xfId="12095" xr:uid="{00000000-0005-0000-0000-0000DB580000}"/>
    <cellStyle name="Normal 67 15 2" xfId="24257" xr:uid="{00000000-0005-0000-0000-0000DC580000}"/>
    <cellStyle name="Normal 67 16" xfId="12096" xr:uid="{00000000-0005-0000-0000-0000DD580000}"/>
    <cellStyle name="Normal 67 16 2" xfId="24258" xr:uid="{00000000-0005-0000-0000-0000DE580000}"/>
    <cellStyle name="Normal 67 17" xfId="12097" xr:uid="{00000000-0005-0000-0000-0000DF580000}"/>
    <cellStyle name="Normal 67 17 2" xfId="24259" xr:uid="{00000000-0005-0000-0000-0000E0580000}"/>
    <cellStyle name="Normal 67 18" xfId="12098" xr:uid="{00000000-0005-0000-0000-0000E1580000}"/>
    <cellStyle name="Normal 67 18 2" xfId="24260" xr:uid="{00000000-0005-0000-0000-0000E2580000}"/>
    <cellStyle name="Normal 67 19" xfId="12099" xr:uid="{00000000-0005-0000-0000-0000E3580000}"/>
    <cellStyle name="Normal 67 19 2" xfId="24261" xr:uid="{00000000-0005-0000-0000-0000E4580000}"/>
    <cellStyle name="Normal 67 2" xfId="807" xr:uid="{00000000-0005-0000-0000-0000E5580000}"/>
    <cellStyle name="Normal 67 2 2" xfId="24262" xr:uid="{00000000-0005-0000-0000-0000E6580000}"/>
    <cellStyle name="Normal 67 20" xfId="12100" xr:uid="{00000000-0005-0000-0000-0000E7580000}"/>
    <cellStyle name="Normal 67 20 2" xfId="24263" xr:uid="{00000000-0005-0000-0000-0000E8580000}"/>
    <cellStyle name="Normal 67 21" xfId="12101" xr:uid="{00000000-0005-0000-0000-0000E9580000}"/>
    <cellStyle name="Normal 67 21 2" xfId="24264" xr:uid="{00000000-0005-0000-0000-0000EA580000}"/>
    <cellStyle name="Normal 67 22" xfId="12102" xr:uid="{00000000-0005-0000-0000-0000EB580000}"/>
    <cellStyle name="Normal 67 22 2" xfId="24265" xr:uid="{00000000-0005-0000-0000-0000EC580000}"/>
    <cellStyle name="Normal 67 23" xfId="12103" xr:uid="{00000000-0005-0000-0000-0000ED580000}"/>
    <cellStyle name="Normal 67 23 2" xfId="24266" xr:uid="{00000000-0005-0000-0000-0000EE580000}"/>
    <cellStyle name="Normal 67 24" xfId="12104" xr:uid="{00000000-0005-0000-0000-0000EF580000}"/>
    <cellStyle name="Normal 67 24 2" xfId="24267" xr:uid="{00000000-0005-0000-0000-0000F0580000}"/>
    <cellStyle name="Normal 67 25" xfId="12105" xr:uid="{00000000-0005-0000-0000-0000F1580000}"/>
    <cellStyle name="Normal 67 25 2" xfId="24268" xr:uid="{00000000-0005-0000-0000-0000F2580000}"/>
    <cellStyle name="Normal 67 26" xfId="12106" xr:uid="{00000000-0005-0000-0000-0000F3580000}"/>
    <cellStyle name="Normal 67 26 2" xfId="24269" xr:uid="{00000000-0005-0000-0000-0000F4580000}"/>
    <cellStyle name="Normal 67 27" xfId="12107" xr:uid="{00000000-0005-0000-0000-0000F5580000}"/>
    <cellStyle name="Normal 67 27 2" xfId="24270" xr:uid="{00000000-0005-0000-0000-0000F6580000}"/>
    <cellStyle name="Normal 67 28" xfId="12108" xr:uid="{00000000-0005-0000-0000-0000F7580000}"/>
    <cellStyle name="Normal 67 28 2" xfId="24271" xr:uid="{00000000-0005-0000-0000-0000F8580000}"/>
    <cellStyle name="Normal 67 29" xfId="12109" xr:uid="{00000000-0005-0000-0000-0000F9580000}"/>
    <cellStyle name="Normal 67 29 2" xfId="24272" xr:uid="{00000000-0005-0000-0000-0000FA580000}"/>
    <cellStyle name="Normal 67 3" xfId="756" xr:uid="{00000000-0005-0000-0000-0000FB580000}"/>
    <cellStyle name="Normal 67 3 2" xfId="24273" xr:uid="{00000000-0005-0000-0000-0000FC580000}"/>
    <cellStyle name="Normal 67 3 3" xfId="12110" xr:uid="{00000000-0005-0000-0000-0000FD580000}"/>
    <cellStyle name="Normal 67 30" xfId="12111" xr:uid="{00000000-0005-0000-0000-0000FE580000}"/>
    <cellStyle name="Normal 67 30 2" xfId="24274" xr:uid="{00000000-0005-0000-0000-0000FF580000}"/>
    <cellStyle name="Normal 67 31" xfId="12112" xr:uid="{00000000-0005-0000-0000-000000590000}"/>
    <cellStyle name="Normal 67 31 2" xfId="24275" xr:uid="{00000000-0005-0000-0000-000001590000}"/>
    <cellStyle name="Normal 67 32" xfId="12113" xr:uid="{00000000-0005-0000-0000-000002590000}"/>
    <cellStyle name="Normal 67 32 2" xfId="24276" xr:uid="{00000000-0005-0000-0000-000003590000}"/>
    <cellStyle name="Normal 67 33" xfId="12114" xr:uid="{00000000-0005-0000-0000-000004590000}"/>
    <cellStyle name="Normal 67 33 2" xfId="24277" xr:uid="{00000000-0005-0000-0000-000005590000}"/>
    <cellStyle name="Normal 67 34" xfId="12115" xr:uid="{00000000-0005-0000-0000-000006590000}"/>
    <cellStyle name="Normal 67 34 2" xfId="24278" xr:uid="{00000000-0005-0000-0000-000007590000}"/>
    <cellStyle name="Normal 67 35" xfId="12116" xr:uid="{00000000-0005-0000-0000-000008590000}"/>
    <cellStyle name="Normal 67 35 2" xfId="24279" xr:uid="{00000000-0005-0000-0000-000009590000}"/>
    <cellStyle name="Normal 67 36" xfId="12117" xr:uid="{00000000-0005-0000-0000-00000A590000}"/>
    <cellStyle name="Normal 67 36 2" xfId="24280" xr:uid="{00000000-0005-0000-0000-00000B590000}"/>
    <cellStyle name="Normal 67 37" xfId="12118" xr:uid="{00000000-0005-0000-0000-00000C590000}"/>
    <cellStyle name="Normal 67 37 2" xfId="24281" xr:uid="{00000000-0005-0000-0000-00000D590000}"/>
    <cellStyle name="Normal 67 38" xfId="12119" xr:uid="{00000000-0005-0000-0000-00000E590000}"/>
    <cellStyle name="Normal 67 38 2" xfId="24282" xr:uid="{00000000-0005-0000-0000-00000F590000}"/>
    <cellStyle name="Normal 67 39" xfId="12120" xr:uid="{00000000-0005-0000-0000-000010590000}"/>
    <cellStyle name="Normal 67 39 2" xfId="24283" xr:uid="{00000000-0005-0000-0000-000011590000}"/>
    <cellStyle name="Normal 67 4" xfId="408" xr:uid="{00000000-0005-0000-0000-000012590000}"/>
    <cellStyle name="Normal 67 4 2" xfId="24284" xr:uid="{00000000-0005-0000-0000-000013590000}"/>
    <cellStyle name="Normal 67 40" xfId="12121" xr:uid="{00000000-0005-0000-0000-000014590000}"/>
    <cellStyle name="Normal 67 40 2" xfId="24285" xr:uid="{00000000-0005-0000-0000-000015590000}"/>
    <cellStyle name="Normal 67 41" xfId="12122" xr:uid="{00000000-0005-0000-0000-000016590000}"/>
    <cellStyle name="Normal 67 41 2" xfId="24286" xr:uid="{00000000-0005-0000-0000-000017590000}"/>
    <cellStyle name="Normal 67 42" xfId="12123" xr:uid="{00000000-0005-0000-0000-000018590000}"/>
    <cellStyle name="Normal 67 42 2" xfId="24287" xr:uid="{00000000-0005-0000-0000-000019590000}"/>
    <cellStyle name="Normal 67 43" xfId="12124" xr:uid="{00000000-0005-0000-0000-00001A590000}"/>
    <cellStyle name="Normal 67 43 2" xfId="24288" xr:uid="{00000000-0005-0000-0000-00001B590000}"/>
    <cellStyle name="Normal 67 44" xfId="12125" xr:uid="{00000000-0005-0000-0000-00001C590000}"/>
    <cellStyle name="Normal 67 44 2" xfId="24289" xr:uid="{00000000-0005-0000-0000-00001D590000}"/>
    <cellStyle name="Normal 67 45" xfId="12126" xr:uid="{00000000-0005-0000-0000-00001E590000}"/>
    <cellStyle name="Normal 67 45 2" xfId="24290" xr:uid="{00000000-0005-0000-0000-00001F590000}"/>
    <cellStyle name="Normal 67 46" xfId="12127" xr:uid="{00000000-0005-0000-0000-000020590000}"/>
    <cellStyle name="Normal 67 46 2" xfId="24291" xr:uid="{00000000-0005-0000-0000-000021590000}"/>
    <cellStyle name="Normal 67 47" xfId="12128" xr:uid="{00000000-0005-0000-0000-000022590000}"/>
    <cellStyle name="Normal 67 47 2" xfId="24292" xr:uid="{00000000-0005-0000-0000-000023590000}"/>
    <cellStyle name="Normal 67 48" xfId="12129" xr:uid="{00000000-0005-0000-0000-000024590000}"/>
    <cellStyle name="Normal 67 48 2" xfId="24293" xr:uid="{00000000-0005-0000-0000-000025590000}"/>
    <cellStyle name="Normal 67 49" xfId="12130" xr:uid="{00000000-0005-0000-0000-000026590000}"/>
    <cellStyle name="Normal 67 49 2" xfId="24294" xr:uid="{00000000-0005-0000-0000-000027590000}"/>
    <cellStyle name="Normal 67 5" xfId="12131" xr:uid="{00000000-0005-0000-0000-000028590000}"/>
    <cellStyle name="Normal 67 5 2" xfId="24295" xr:uid="{00000000-0005-0000-0000-000029590000}"/>
    <cellStyle name="Normal 67 50" xfId="12132" xr:uid="{00000000-0005-0000-0000-00002A590000}"/>
    <cellStyle name="Normal 67 50 2" xfId="24296" xr:uid="{00000000-0005-0000-0000-00002B590000}"/>
    <cellStyle name="Normal 67 51" xfId="12133" xr:uid="{00000000-0005-0000-0000-00002C590000}"/>
    <cellStyle name="Normal 67 51 2" xfId="24297" xr:uid="{00000000-0005-0000-0000-00002D590000}"/>
    <cellStyle name="Normal 67 52" xfId="12134" xr:uid="{00000000-0005-0000-0000-00002E590000}"/>
    <cellStyle name="Normal 67 52 2" xfId="24298" xr:uid="{00000000-0005-0000-0000-00002F590000}"/>
    <cellStyle name="Normal 67 53" xfId="12135" xr:uid="{00000000-0005-0000-0000-000030590000}"/>
    <cellStyle name="Normal 67 53 2" xfId="24299" xr:uid="{00000000-0005-0000-0000-000031590000}"/>
    <cellStyle name="Normal 67 54" xfId="12136" xr:uid="{00000000-0005-0000-0000-000032590000}"/>
    <cellStyle name="Normal 67 54 2" xfId="24300" xr:uid="{00000000-0005-0000-0000-000033590000}"/>
    <cellStyle name="Normal 67 55" xfId="12137" xr:uid="{00000000-0005-0000-0000-000034590000}"/>
    <cellStyle name="Normal 67 55 2" xfId="24301" xr:uid="{00000000-0005-0000-0000-000035590000}"/>
    <cellStyle name="Normal 67 56" xfId="12138" xr:uid="{00000000-0005-0000-0000-000036590000}"/>
    <cellStyle name="Normal 67 56 2" xfId="24302" xr:uid="{00000000-0005-0000-0000-000037590000}"/>
    <cellStyle name="Normal 67 57" xfId="12139" xr:uid="{00000000-0005-0000-0000-000038590000}"/>
    <cellStyle name="Normal 67 57 2" xfId="24303" xr:uid="{00000000-0005-0000-0000-000039590000}"/>
    <cellStyle name="Normal 67 58" xfId="12140" xr:uid="{00000000-0005-0000-0000-00003A590000}"/>
    <cellStyle name="Normal 67 58 2" xfId="24304" xr:uid="{00000000-0005-0000-0000-00003B590000}"/>
    <cellStyle name="Normal 67 59" xfId="12141" xr:uid="{00000000-0005-0000-0000-00003C590000}"/>
    <cellStyle name="Normal 67 59 2" xfId="24305" xr:uid="{00000000-0005-0000-0000-00003D590000}"/>
    <cellStyle name="Normal 67 6" xfId="12142" xr:uid="{00000000-0005-0000-0000-00003E590000}"/>
    <cellStyle name="Normal 67 6 2" xfId="24306" xr:uid="{00000000-0005-0000-0000-00003F590000}"/>
    <cellStyle name="Normal 67 60" xfId="12143" xr:uid="{00000000-0005-0000-0000-000040590000}"/>
    <cellStyle name="Normal 67 60 2" xfId="24307" xr:uid="{00000000-0005-0000-0000-000041590000}"/>
    <cellStyle name="Normal 67 61" xfId="12144" xr:uid="{00000000-0005-0000-0000-000042590000}"/>
    <cellStyle name="Normal 67 61 2" xfId="24308" xr:uid="{00000000-0005-0000-0000-000043590000}"/>
    <cellStyle name="Normal 67 62" xfId="12145" xr:uid="{00000000-0005-0000-0000-000044590000}"/>
    <cellStyle name="Normal 67 62 2" xfId="24309" xr:uid="{00000000-0005-0000-0000-000045590000}"/>
    <cellStyle name="Normal 67 63" xfId="12146" xr:uid="{00000000-0005-0000-0000-000046590000}"/>
    <cellStyle name="Normal 67 63 2" xfId="24310" xr:uid="{00000000-0005-0000-0000-000047590000}"/>
    <cellStyle name="Normal 67 64" xfId="12147" xr:uid="{00000000-0005-0000-0000-000048590000}"/>
    <cellStyle name="Normal 67 64 2" xfId="24311" xr:uid="{00000000-0005-0000-0000-000049590000}"/>
    <cellStyle name="Normal 67 65" xfId="12148" xr:uid="{00000000-0005-0000-0000-00004A590000}"/>
    <cellStyle name="Normal 67 65 2" xfId="24312" xr:uid="{00000000-0005-0000-0000-00004B590000}"/>
    <cellStyle name="Normal 67 66" xfId="12149" xr:uid="{00000000-0005-0000-0000-00004C590000}"/>
    <cellStyle name="Normal 67 66 2" xfId="24313" xr:uid="{00000000-0005-0000-0000-00004D590000}"/>
    <cellStyle name="Normal 67 67" xfId="12150" xr:uid="{00000000-0005-0000-0000-00004E590000}"/>
    <cellStyle name="Normal 67 67 2" xfId="24314" xr:uid="{00000000-0005-0000-0000-00004F590000}"/>
    <cellStyle name="Normal 67 68" xfId="12151" xr:uid="{00000000-0005-0000-0000-000050590000}"/>
    <cellStyle name="Normal 67 68 2" xfId="24315" xr:uid="{00000000-0005-0000-0000-000051590000}"/>
    <cellStyle name="Normal 67 69" xfId="12152" xr:uid="{00000000-0005-0000-0000-000052590000}"/>
    <cellStyle name="Normal 67 69 2" xfId="24316" xr:uid="{00000000-0005-0000-0000-000053590000}"/>
    <cellStyle name="Normal 67 7" xfId="12153" xr:uid="{00000000-0005-0000-0000-000054590000}"/>
    <cellStyle name="Normal 67 7 2" xfId="24317" xr:uid="{00000000-0005-0000-0000-000055590000}"/>
    <cellStyle name="Normal 67 70" xfId="12154" xr:uid="{00000000-0005-0000-0000-000056590000}"/>
    <cellStyle name="Normal 67 70 2" xfId="24318" xr:uid="{00000000-0005-0000-0000-000057590000}"/>
    <cellStyle name="Normal 67 71" xfId="12155" xr:uid="{00000000-0005-0000-0000-000058590000}"/>
    <cellStyle name="Normal 67 71 2" xfId="24319" xr:uid="{00000000-0005-0000-0000-000059590000}"/>
    <cellStyle name="Normal 67 72" xfId="12156" xr:uid="{00000000-0005-0000-0000-00005A590000}"/>
    <cellStyle name="Normal 67 72 2" xfId="24320" xr:uid="{00000000-0005-0000-0000-00005B590000}"/>
    <cellStyle name="Normal 67 73" xfId="12157" xr:uid="{00000000-0005-0000-0000-00005C590000}"/>
    <cellStyle name="Normal 67 73 2" xfId="24321" xr:uid="{00000000-0005-0000-0000-00005D590000}"/>
    <cellStyle name="Normal 67 74" xfId="12158" xr:uid="{00000000-0005-0000-0000-00005E590000}"/>
    <cellStyle name="Normal 67 74 2" xfId="24322" xr:uid="{00000000-0005-0000-0000-00005F590000}"/>
    <cellStyle name="Normal 67 75" xfId="12159" xr:uid="{00000000-0005-0000-0000-000060590000}"/>
    <cellStyle name="Normal 67 75 2" xfId="24323" xr:uid="{00000000-0005-0000-0000-000061590000}"/>
    <cellStyle name="Normal 67 76" xfId="12160" xr:uid="{00000000-0005-0000-0000-000062590000}"/>
    <cellStyle name="Normal 67 76 2" xfId="24324" xr:uid="{00000000-0005-0000-0000-000063590000}"/>
    <cellStyle name="Normal 67 77" xfId="12161" xr:uid="{00000000-0005-0000-0000-000064590000}"/>
    <cellStyle name="Normal 67 77 2" xfId="24325" xr:uid="{00000000-0005-0000-0000-000065590000}"/>
    <cellStyle name="Normal 67 78" xfId="12162" xr:uid="{00000000-0005-0000-0000-000066590000}"/>
    <cellStyle name="Normal 67 78 2" xfId="24326" xr:uid="{00000000-0005-0000-0000-000067590000}"/>
    <cellStyle name="Normal 67 79" xfId="12163" xr:uid="{00000000-0005-0000-0000-000068590000}"/>
    <cellStyle name="Normal 67 79 2" xfId="24327" xr:uid="{00000000-0005-0000-0000-000069590000}"/>
    <cellStyle name="Normal 67 8" xfId="12164" xr:uid="{00000000-0005-0000-0000-00006A590000}"/>
    <cellStyle name="Normal 67 8 2" xfId="24328" xr:uid="{00000000-0005-0000-0000-00006B590000}"/>
    <cellStyle name="Normal 67 80" xfId="24251" xr:uid="{00000000-0005-0000-0000-00006C590000}"/>
    <cellStyle name="Normal 67 9" xfId="12165" xr:uid="{00000000-0005-0000-0000-00006D590000}"/>
    <cellStyle name="Normal 67 9 2" xfId="24329" xr:uid="{00000000-0005-0000-0000-00006E590000}"/>
    <cellStyle name="Normal 68" xfId="194" xr:uid="{00000000-0005-0000-0000-00006F590000}"/>
    <cellStyle name="Normal 68 10" xfId="12166" xr:uid="{00000000-0005-0000-0000-000070590000}"/>
    <cellStyle name="Normal 68 10 2" xfId="24331" xr:uid="{00000000-0005-0000-0000-000071590000}"/>
    <cellStyle name="Normal 68 11" xfId="12167" xr:uid="{00000000-0005-0000-0000-000072590000}"/>
    <cellStyle name="Normal 68 11 2" xfId="24332" xr:uid="{00000000-0005-0000-0000-000073590000}"/>
    <cellStyle name="Normal 68 12" xfId="12168" xr:uid="{00000000-0005-0000-0000-000074590000}"/>
    <cellStyle name="Normal 68 12 2" xfId="24333" xr:uid="{00000000-0005-0000-0000-000075590000}"/>
    <cellStyle name="Normal 68 13" xfId="12169" xr:uid="{00000000-0005-0000-0000-000076590000}"/>
    <cellStyle name="Normal 68 13 2" xfId="24334" xr:uid="{00000000-0005-0000-0000-000077590000}"/>
    <cellStyle name="Normal 68 14" xfId="12170" xr:uid="{00000000-0005-0000-0000-000078590000}"/>
    <cellStyle name="Normal 68 14 2" xfId="24335" xr:uid="{00000000-0005-0000-0000-000079590000}"/>
    <cellStyle name="Normal 68 15" xfId="12171" xr:uid="{00000000-0005-0000-0000-00007A590000}"/>
    <cellStyle name="Normal 68 15 2" xfId="24336" xr:uid="{00000000-0005-0000-0000-00007B590000}"/>
    <cellStyle name="Normal 68 16" xfId="12172" xr:uid="{00000000-0005-0000-0000-00007C590000}"/>
    <cellStyle name="Normal 68 16 2" xfId="24337" xr:uid="{00000000-0005-0000-0000-00007D590000}"/>
    <cellStyle name="Normal 68 17" xfId="12173" xr:uid="{00000000-0005-0000-0000-00007E590000}"/>
    <cellStyle name="Normal 68 17 2" xfId="24338" xr:uid="{00000000-0005-0000-0000-00007F590000}"/>
    <cellStyle name="Normal 68 18" xfId="12174" xr:uid="{00000000-0005-0000-0000-000080590000}"/>
    <cellStyle name="Normal 68 18 2" xfId="24339" xr:uid="{00000000-0005-0000-0000-000081590000}"/>
    <cellStyle name="Normal 68 19" xfId="12175" xr:uid="{00000000-0005-0000-0000-000082590000}"/>
    <cellStyle name="Normal 68 19 2" xfId="24340" xr:uid="{00000000-0005-0000-0000-000083590000}"/>
    <cellStyle name="Normal 68 2" xfId="757" xr:uid="{00000000-0005-0000-0000-000084590000}"/>
    <cellStyle name="Normal 68 2 2" xfId="24341" xr:uid="{00000000-0005-0000-0000-000085590000}"/>
    <cellStyle name="Normal 68 2 3" xfId="12176" xr:uid="{00000000-0005-0000-0000-000086590000}"/>
    <cellStyle name="Normal 68 20" xfId="12177" xr:uid="{00000000-0005-0000-0000-000087590000}"/>
    <cellStyle name="Normal 68 20 2" xfId="24342" xr:uid="{00000000-0005-0000-0000-000088590000}"/>
    <cellStyle name="Normal 68 21" xfId="12178" xr:uid="{00000000-0005-0000-0000-000089590000}"/>
    <cellStyle name="Normal 68 21 2" xfId="24343" xr:uid="{00000000-0005-0000-0000-00008A590000}"/>
    <cellStyle name="Normal 68 22" xfId="12179" xr:uid="{00000000-0005-0000-0000-00008B590000}"/>
    <cellStyle name="Normal 68 22 2" xfId="24344" xr:uid="{00000000-0005-0000-0000-00008C590000}"/>
    <cellStyle name="Normal 68 23" xfId="12180" xr:uid="{00000000-0005-0000-0000-00008D590000}"/>
    <cellStyle name="Normal 68 23 2" xfId="24345" xr:uid="{00000000-0005-0000-0000-00008E590000}"/>
    <cellStyle name="Normal 68 24" xfId="12181" xr:uid="{00000000-0005-0000-0000-00008F590000}"/>
    <cellStyle name="Normal 68 24 2" xfId="24346" xr:uid="{00000000-0005-0000-0000-000090590000}"/>
    <cellStyle name="Normal 68 25" xfId="12182" xr:uid="{00000000-0005-0000-0000-000091590000}"/>
    <cellStyle name="Normal 68 25 2" xfId="24347" xr:uid="{00000000-0005-0000-0000-000092590000}"/>
    <cellStyle name="Normal 68 26" xfId="12183" xr:uid="{00000000-0005-0000-0000-000093590000}"/>
    <cellStyle name="Normal 68 26 2" xfId="24348" xr:uid="{00000000-0005-0000-0000-000094590000}"/>
    <cellStyle name="Normal 68 27" xfId="12184" xr:uid="{00000000-0005-0000-0000-000095590000}"/>
    <cellStyle name="Normal 68 27 2" xfId="24349" xr:uid="{00000000-0005-0000-0000-000096590000}"/>
    <cellStyle name="Normal 68 28" xfId="12185" xr:uid="{00000000-0005-0000-0000-000097590000}"/>
    <cellStyle name="Normal 68 28 2" xfId="24350" xr:uid="{00000000-0005-0000-0000-000098590000}"/>
    <cellStyle name="Normal 68 29" xfId="12186" xr:uid="{00000000-0005-0000-0000-000099590000}"/>
    <cellStyle name="Normal 68 29 2" xfId="24351" xr:uid="{00000000-0005-0000-0000-00009A590000}"/>
    <cellStyle name="Normal 68 3" xfId="409" xr:uid="{00000000-0005-0000-0000-00009B590000}"/>
    <cellStyle name="Normal 68 3 2" xfId="24352" xr:uid="{00000000-0005-0000-0000-00009C590000}"/>
    <cellStyle name="Normal 68 30" xfId="12187" xr:uid="{00000000-0005-0000-0000-00009D590000}"/>
    <cellStyle name="Normal 68 30 2" xfId="24353" xr:uid="{00000000-0005-0000-0000-00009E590000}"/>
    <cellStyle name="Normal 68 31" xfId="12188" xr:uid="{00000000-0005-0000-0000-00009F590000}"/>
    <cellStyle name="Normal 68 31 2" xfId="24354" xr:uid="{00000000-0005-0000-0000-0000A0590000}"/>
    <cellStyle name="Normal 68 32" xfId="12189" xr:uid="{00000000-0005-0000-0000-0000A1590000}"/>
    <cellStyle name="Normal 68 32 2" xfId="24355" xr:uid="{00000000-0005-0000-0000-0000A2590000}"/>
    <cellStyle name="Normal 68 33" xfId="12190" xr:uid="{00000000-0005-0000-0000-0000A3590000}"/>
    <cellStyle name="Normal 68 33 2" xfId="24356" xr:uid="{00000000-0005-0000-0000-0000A4590000}"/>
    <cellStyle name="Normal 68 34" xfId="12191" xr:uid="{00000000-0005-0000-0000-0000A5590000}"/>
    <cellStyle name="Normal 68 34 2" xfId="24357" xr:uid="{00000000-0005-0000-0000-0000A6590000}"/>
    <cellStyle name="Normal 68 35" xfId="12192" xr:uid="{00000000-0005-0000-0000-0000A7590000}"/>
    <cellStyle name="Normal 68 35 2" xfId="24358" xr:uid="{00000000-0005-0000-0000-0000A8590000}"/>
    <cellStyle name="Normal 68 36" xfId="12193" xr:uid="{00000000-0005-0000-0000-0000A9590000}"/>
    <cellStyle name="Normal 68 36 2" xfId="24359" xr:uid="{00000000-0005-0000-0000-0000AA590000}"/>
    <cellStyle name="Normal 68 37" xfId="12194" xr:uid="{00000000-0005-0000-0000-0000AB590000}"/>
    <cellStyle name="Normal 68 37 2" xfId="24360" xr:uid="{00000000-0005-0000-0000-0000AC590000}"/>
    <cellStyle name="Normal 68 38" xfId="12195" xr:uid="{00000000-0005-0000-0000-0000AD590000}"/>
    <cellStyle name="Normal 68 38 2" xfId="24361" xr:uid="{00000000-0005-0000-0000-0000AE590000}"/>
    <cellStyle name="Normal 68 39" xfId="12196" xr:uid="{00000000-0005-0000-0000-0000AF590000}"/>
    <cellStyle name="Normal 68 39 2" xfId="24362" xr:uid="{00000000-0005-0000-0000-0000B0590000}"/>
    <cellStyle name="Normal 68 4" xfId="12197" xr:uid="{00000000-0005-0000-0000-0000B1590000}"/>
    <cellStyle name="Normal 68 4 2" xfId="24363" xr:uid="{00000000-0005-0000-0000-0000B2590000}"/>
    <cellStyle name="Normal 68 40" xfId="12198" xr:uid="{00000000-0005-0000-0000-0000B3590000}"/>
    <cellStyle name="Normal 68 40 2" xfId="24364" xr:uid="{00000000-0005-0000-0000-0000B4590000}"/>
    <cellStyle name="Normal 68 41" xfId="12199" xr:uid="{00000000-0005-0000-0000-0000B5590000}"/>
    <cellStyle name="Normal 68 41 2" xfId="24365" xr:uid="{00000000-0005-0000-0000-0000B6590000}"/>
    <cellStyle name="Normal 68 42" xfId="12200" xr:uid="{00000000-0005-0000-0000-0000B7590000}"/>
    <cellStyle name="Normal 68 42 2" xfId="24366" xr:uid="{00000000-0005-0000-0000-0000B8590000}"/>
    <cellStyle name="Normal 68 43" xfId="12201" xr:uid="{00000000-0005-0000-0000-0000B9590000}"/>
    <cellStyle name="Normal 68 43 2" xfId="24367" xr:uid="{00000000-0005-0000-0000-0000BA590000}"/>
    <cellStyle name="Normal 68 44" xfId="12202" xr:uid="{00000000-0005-0000-0000-0000BB590000}"/>
    <cellStyle name="Normal 68 44 2" xfId="24368" xr:uid="{00000000-0005-0000-0000-0000BC590000}"/>
    <cellStyle name="Normal 68 45" xfId="12203" xr:uid="{00000000-0005-0000-0000-0000BD590000}"/>
    <cellStyle name="Normal 68 45 2" xfId="24369" xr:uid="{00000000-0005-0000-0000-0000BE590000}"/>
    <cellStyle name="Normal 68 46" xfId="12204" xr:uid="{00000000-0005-0000-0000-0000BF590000}"/>
    <cellStyle name="Normal 68 46 2" xfId="24370" xr:uid="{00000000-0005-0000-0000-0000C0590000}"/>
    <cellStyle name="Normal 68 47" xfId="12205" xr:uid="{00000000-0005-0000-0000-0000C1590000}"/>
    <cellStyle name="Normal 68 47 2" xfId="24371" xr:uid="{00000000-0005-0000-0000-0000C2590000}"/>
    <cellStyle name="Normal 68 48" xfId="12206" xr:uid="{00000000-0005-0000-0000-0000C3590000}"/>
    <cellStyle name="Normal 68 48 2" xfId="24372" xr:uid="{00000000-0005-0000-0000-0000C4590000}"/>
    <cellStyle name="Normal 68 49" xfId="12207" xr:uid="{00000000-0005-0000-0000-0000C5590000}"/>
    <cellStyle name="Normal 68 49 2" xfId="24373" xr:uid="{00000000-0005-0000-0000-0000C6590000}"/>
    <cellStyle name="Normal 68 5" xfId="12208" xr:uid="{00000000-0005-0000-0000-0000C7590000}"/>
    <cellStyle name="Normal 68 5 2" xfId="24374" xr:uid="{00000000-0005-0000-0000-0000C8590000}"/>
    <cellStyle name="Normal 68 50" xfId="12209" xr:uid="{00000000-0005-0000-0000-0000C9590000}"/>
    <cellStyle name="Normal 68 50 2" xfId="24375" xr:uid="{00000000-0005-0000-0000-0000CA590000}"/>
    <cellStyle name="Normal 68 51" xfId="12210" xr:uid="{00000000-0005-0000-0000-0000CB590000}"/>
    <cellStyle name="Normal 68 51 2" xfId="24376" xr:uid="{00000000-0005-0000-0000-0000CC590000}"/>
    <cellStyle name="Normal 68 52" xfId="12211" xr:uid="{00000000-0005-0000-0000-0000CD590000}"/>
    <cellStyle name="Normal 68 52 2" xfId="24377" xr:uid="{00000000-0005-0000-0000-0000CE590000}"/>
    <cellStyle name="Normal 68 53" xfId="12212" xr:uid="{00000000-0005-0000-0000-0000CF590000}"/>
    <cellStyle name="Normal 68 53 2" xfId="24378" xr:uid="{00000000-0005-0000-0000-0000D0590000}"/>
    <cellStyle name="Normal 68 54" xfId="12213" xr:uid="{00000000-0005-0000-0000-0000D1590000}"/>
    <cellStyle name="Normal 68 54 2" xfId="24379" xr:uid="{00000000-0005-0000-0000-0000D2590000}"/>
    <cellStyle name="Normal 68 55" xfId="12214" xr:uid="{00000000-0005-0000-0000-0000D3590000}"/>
    <cellStyle name="Normal 68 55 2" xfId="24380" xr:uid="{00000000-0005-0000-0000-0000D4590000}"/>
    <cellStyle name="Normal 68 56" xfId="12215" xr:uid="{00000000-0005-0000-0000-0000D5590000}"/>
    <cellStyle name="Normal 68 56 2" xfId="24381" xr:uid="{00000000-0005-0000-0000-0000D6590000}"/>
    <cellStyle name="Normal 68 57" xfId="12216" xr:uid="{00000000-0005-0000-0000-0000D7590000}"/>
    <cellStyle name="Normal 68 57 2" xfId="24382" xr:uid="{00000000-0005-0000-0000-0000D8590000}"/>
    <cellStyle name="Normal 68 58" xfId="12217" xr:uid="{00000000-0005-0000-0000-0000D9590000}"/>
    <cellStyle name="Normal 68 58 2" xfId="24383" xr:uid="{00000000-0005-0000-0000-0000DA590000}"/>
    <cellStyle name="Normal 68 59" xfId="12218" xr:uid="{00000000-0005-0000-0000-0000DB590000}"/>
    <cellStyle name="Normal 68 59 2" xfId="24384" xr:uid="{00000000-0005-0000-0000-0000DC590000}"/>
    <cellStyle name="Normal 68 6" xfId="12219" xr:uid="{00000000-0005-0000-0000-0000DD590000}"/>
    <cellStyle name="Normal 68 6 2" xfId="24385" xr:uid="{00000000-0005-0000-0000-0000DE590000}"/>
    <cellStyle name="Normal 68 60" xfId="12220" xr:uid="{00000000-0005-0000-0000-0000DF590000}"/>
    <cellStyle name="Normal 68 60 2" xfId="24386" xr:uid="{00000000-0005-0000-0000-0000E0590000}"/>
    <cellStyle name="Normal 68 61" xfId="12221" xr:uid="{00000000-0005-0000-0000-0000E1590000}"/>
    <cellStyle name="Normal 68 61 2" xfId="24387" xr:uid="{00000000-0005-0000-0000-0000E2590000}"/>
    <cellStyle name="Normal 68 62" xfId="12222" xr:uid="{00000000-0005-0000-0000-0000E3590000}"/>
    <cellStyle name="Normal 68 62 2" xfId="24388" xr:uid="{00000000-0005-0000-0000-0000E4590000}"/>
    <cellStyle name="Normal 68 63" xfId="12223" xr:uid="{00000000-0005-0000-0000-0000E5590000}"/>
    <cellStyle name="Normal 68 63 2" xfId="24389" xr:uid="{00000000-0005-0000-0000-0000E6590000}"/>
    <cellStyle name="Normal 68 64" xfId="12224" xr:uid="{00000000-0005-0000-0000-0000E7590000}"/>
    <cellStyle name="Normal 68 64 2" xfId="24390" xr:uid="{00000000-0005-0000-0000-0000E8590000}"/>
    <cellStyle name="Normal 68 65" xfId="12225" xr:uid="{00000000-0005-0000-0000-0000E9590000}"/>
    <cellStyle name="Normal 68 65 2" xfId="24391" xr:uid="{00000000-0005-0000-0000-0000EA590000}"/>
    <cellStyle name="Normal 68 66" xfId="12226" xr:uid="{00000000-0005-0000-0000-0000EB590000}"/>
    <cellStyle name="Normal 68 66 2" xfId="24392" xr:uid="{00000000-0005-0000-0000-0000EC590000}"/>
    <cellStyle name="Normal 68 67" xfId="12227" xr:uid="{00000000-0005-0000-0000-0000ED590000}"/>
    <cellStyle name="Normal 68 67 2" xfId="24393" xr:uid="{00000000-0005-0000-0000-0000EE590000}"/>
    <cellStyle name="Normal 68 68" xfId="12228" xr:uid="{00000000-0005-0000-0000-0000EF590000}"/>
    <cellStyle name="Normal 68 68 2" xfId="24394" xr:uid="{00000000-0005-0000-0000-0000F0590000}"/>
    <cellStyle name="Normal 68 69" xfId="12229" xr:uid="{00000000-0005-0000-0000-0000F1590000}"/>
    <cellStyle name="Normal 68 69 2" xfId="24395" xr:uid="{00000000-0005-0000-0000-0000F2590000}"/>
    <cellStyle name="Normal 68 7" xfId="12230" xr:uid="{00000000-0005-0000-0000-0000F3590000}"/>
    <cellStyle name="Normal 68 7 2" xfId="24396" xr:uid="{00000000-0005-0000-0000-0000F4590000}"/>
    <cellStyle name="Normal 68 70" xfId="12231" xr:uid="{00000000-0005-0000-0000-0000F5590000}"/>
    <cellStyle name="Normal 68 70 2" xfId="24397" xr:uid="{00000000-0005-0000-0000-0000F6590000}"/>
    <cellStyle name="Normal 68 71" xfId="12232" xr:uid="{00000000-0005-0000-0000-0000F7590000}"/>
    <cellStyle name="Normal 68 71 2" xfId="24398" xr:uid="{00000000-0005-0000-0000-0000F8590000}"/>
    <cellStyle name="Normal 68 72" xfId="12233" xr:uid="{00000000-0005-0000-0000-0000F9590000}"/>
    <cellStyle name="Normal 68 72 2" xfId="24399" xr:uid="{00000000-0005-0000-0000-0000FA590000}"/>
    <cellStyle name="Normal 68 73" xfId="12234" xr:uid="{00000000-0005-0000-0000-0000FB590000}"/>
    <cellStyle name="Normal 68 73 2" xfId="24400" xr:uid="{00000000-0005-0000-0000-0000FC590000}"/>
    <cellStyle name="Normal 68 74" xfId="12235" xr:uid="{00000000-0005-0000-0000-0000FD590000}"/>
    <cellStyle name="Normal 68 74 2" xfId="24401" xr:uid="{00000000-0005-0000-0000-0000FE590000}"/>
    <cellStyle name="Normal 68 75" xfId="12236" xr:uid="{00000000-0005-0000-0000-0000FF590000}"/>
    <cellStyle name="Normal 68 75 2" xfId="24402" xr:uid="{00000000-0005-0000-0000-0000005A0000}"/>
    <cellStyle name="Normal 68 76" xfId="12237" xr:uid="{00000000-0005-0000-0000-0000015A0000}"/>
    <cellStyle name="Normal 68 76 2" xfId="24403" xr:uid="{00000000-0005-0000-0000-0000025A0000}"/>
    <cellStyle name="Normal 68 77" xfId="12238" xr:uid="{00000000-0005-0000-0000-0000035A0000}"/>
    <cellStyle name="Normal 68 77 2" xfId="24404" xr:uid="{00000000-0005-0000-0000-0000045A0000}"/>
    <cellStyle name="Normal 68 78" xfId="12239" xr:uid="{00000000-0005-0000-0000-0000055A0000}"/>
    <cellStyle name="Normal 68 78 2" xfId="24405" xr:uid="{00000000-0005-0000-0000-0000065A0000}"/>
    <cellStyle name="Normal 68 79" xfId="12240" xr:uid="{00000000-0005-0000-0000-0000075A0000}"/>
    <cellStyle name="Normal 68 79 2" xfId="24406" xr:uid="{00000000-0005-0000-0000-0000085A0000}"/>
    <cellStyle name="Normal 68 8" xfId="12241" xr:uid="{00000000-0005-0000-0000-0000095A0000}"/>
    <cellStyle name="Normal 68 8 2" xfId="24407" xr:uid="{00000000-0005-0000-0000-00000A5A0000}"/>
    <cellStyle name="Normal 68 80" xfId="24330" xr:uid="{00000000-0005-0000-0000-00000B5A0000}"/>
    <cellStyle name="Normal 68 9" xfId="12242" xr:uid="{00000000-0005-0000-0000-00000C5A0000}"/>
    <cellStyle name="Normal 68 9 2" xfId="24408" xr:uid="{00000000-0005-0000-0000-00000D5A0000}"/>
    <cellStyle name="Normal 69" xfId="195" xr:uid="{00000000-0005-0000-0000-00000E5A0000}"/>
    <cellStyle name="Normal 69 10" xfId="12243" xr:uid="{00000000-0005-0000-0000-00000F5A0000}"/>
    <cellStyle name="Normal 69 10 2" xfId="24410" xr:uid="{00000000-0005-0000-0000-0000105A0000}"/>
    <cellStyle name="Normal 69 11" xfId="12244" xr:uid="{00000000-0005-0000-0000-0000115A0000}"/>
    <cellStyle name="Normal 69 11 2" xfId="24411" xr:uid="{00000000-0005-0000-0000-0000125A0000}"/>
    <cellStyle name="Normal 69 12" xfId="12245" xr:uid="{00000000-0005-0000-0000-0000135A0000}"/>
    <cellStyle name="Normal 69 12 2" xfId="24412" xr:uid="{00000000-0005-0000-0000-0000145A0000}"/>
    <cellStyle name="Normal 69 13" xfId="12246" xr:uid="{00000000-0005-0000-0000-0000155A0000}"/>
    <cellStyle name="Normal 69 13 2" xfId="24413" xr:uid="{00000000-0005-0000-0000-0000165A0000}"/>
    <cellStyle name="Normal 69 14" xfId="12247" xr:uid="{00000000-0005-0000-0000-0000175A0000}"/>
    <cellStyle name="Normal 69 14 2" xfId="24414" xr:uid="{00000000-0005-0000-0000-0000185A0000}"/>
    <cellStyle name="Normal 69 15" xfId="12248" xr:uid="{00000000-0005-0000-0000-0000195A0000}"/>
    <cellStyle name="Normal 69 15 2" xfId="24415" xr:uid="{00000000-0005-0000-0000-00001A5A0000}"/>
    <cellStyle name="Normal 69 16" xfId="12249" xr:uid="{00000000-0005-0000-0000-00001B5A0000}"/>
    <cellStyle name="Normal 69 16 2" xfId="24416" xr:uid="{00000000-0005-0000-0000-00001C5A0000}"/>
    <cellStyle name="Normal 69 17" xfId="12250" xr:uid="{00000000-0005-0000-0000-00001D5A0000}"/>
    <cellStyle name="Normal 69 17 2" xfId="24417" xr:uid="{00000000-0005-0000-0000-00001E5A0000}"/>
    <cellStyle name="Normal 69 18" xfId="12251" xr:uid="{00000000-0005-0000-0000-00001F5A0000}"/>
    <cellStyle name="Normal 69 18 2" xfId="24418" xr:uid="{00000000-0005-0000-0000-0000205A0000}"/>
    <cellStyle name="Normal 69 19" xfId="12252" xr:uid="{00000000-0005-0000-0000-0000215A0000}"/>
    <cellStyle name="Normal 69 19 2" xfId="24419" xr:uid="{00000000-0005-0000-0000-0000225A0000}"/>
    <cellStyle name="Normal 69 2" xfId="758" xr:uid="{00000000-0005-0000-0000-0000235A0000}"/>
    <cellStyle name="Normal 69 2 2" xfId="24420" xr:uid="{00000000-0005-0000-0000-0000245A0000}"/>
    <cellStyle name="Normal 69 2 3" xfId="12253" xr:uid="{00000000-0005-0000-0000-0000255A0000}"/>
    <cellStyle name="Normal 69 20" xfId="12254" xr:uid="{00000000-0005-0000-0000-0000265A0000}"/>
    <cellStyle name="Normal 69 20 2" xfId="24421" xr:uid="{00000000-0005-0000-0000-0000275A0000}"/>
    <cellStyle name="Normal 69 21" xfId="12255" xr:uid="{00000000-0005-0000-0000-0000285A0000}"/>
    <cellStyle name="Normal 69 21 2" xfId="24422" xr:uid="{00000000-0005-0000-0000-0000295A0000}"/>
    <cellStyle name="Normal 69 22" xfId="12256" xr:uid="{00000000-0005-0000-0000-00002A5A0000}"/>
    <cellStyle name="Normal 69 22 2" xfId="24423" xr:uid="{00000000-0005-0000-0000-00002B5A0000}"/>
    <cellStyle name="Normal 69 23" xfId="12257" xr:uid="{00000000-0005-0000-0000-00002C5A0000}"/>
    <cellStyle name="Normal 69 23 2" xfId="24424" xr:uid="{00000000-0005-0000-0000-00002D5A0000}"/>
    <cellStyle name="Normal 69 24" xfId="12258" xr:uid="{00000000-0005-0000-0000-00002E5A0000}"/>
    <cellStyle name="Normal 69 24 2" xfId="24425" xr:uid="{00000000-0005-0000-0000-00002F5A0000}"/>
    <cellStyle name="Normal 69 25" xfId="12259" xr:uid="{00000000-0005-0000-0000-0000305A0000}"/>
    <cellStyle name="Normal 69 25 2" xfId="24426" xr:uid="{00000000-0005-0000-0000-0000315A0000}"/>
    <cellStyle name="Normal 69 26" xfId="12260" xr:uid="{00000000-0005-0000-0000-0000325A0000}"/>
    <cellStyle name="Normal 69 26 2" xfId="24427" xr:uid="{00000000-0005-0000-0000-0000335A0000}"/>
    <cellStyle name="Normal 69 27" xfId="12261" xr:uid="{00000000-0005-0000-0000-0000345A0000}"/>
    <cellStyle name="Normal 69 27 2" xfId="24428" xr:uid="{00000000-0005-0000-0000-0000355A0000}"/>
    <cellStyle name="Normal 69 28" xfId="12262" xr:uid="{00000000-0005-0000-0000-0000365A0000}"/>
    <cellStyle name="Normal 69 28 2" xfId="24429" xr:uid="{00000000-0005-0000-0000-0000375A0000}"/>
    <cellStyle name="Normal 69 29" xfId="12263" xr:uid="{00000000-0005-0000-0000-0000385A0000}"/>
    <cellStyle name="Normal 69 29 2" xfId="24430" xr:uid="{00000000-0005-0000-0000-0000395A0000}"/>
    <cellStyle name="Normal 69 3" xfId="410" xr:uid="{00000000-0005-0000-0000-00003A5A0000}"/>
    <cellStyle name="Normal 69 3 2" xfId="24431" xr:uid="{00000000-0005-0000-0000-00003B5A0000}"/>
    <cellStyle name="Normal 69 30" xfId="12264" xr:uid="{00000000-0005-0000-0000-00003C5A0000}"/>
    <cellStyle name="Normal 69 30 2" xfId="24432" xr:uid="{00000000-0005-0000-0000-00003D5A0000}"/>
    <cellStyle name="Normal 69 31" xfId="12265" xr:uid="{00000000-0005-0000-0000-00003E5A0000}"/>
    <cellStyle name="Normal 69 31 2" xfId="24433" xr:uid="{00000000-0005-0000-0000-00003F5A0000}"/>
    <cellStyle name="Normal 69 32" xfId="12266" xr:uid="{00000000-0005-0000-0000-0000405A0000}"/>
    <cellStyle name="Normal 69 32 2" xfId="24434" xr:uid="{00000000-0005-0000-0000-0000415A0000}"/>
    <cellStyle name="Normal 69 33" xfId="12267" xr:uid="{00000000-0005-0000-0000-0000425A0000}"/>
    <cellStyle name="Normal 69 33 2" xfId="24435" xr:uid="{00000000-0005-0000-0000-0000435A0000}"/>
    <cellStyle name="Normal 69 34" xfId="12268" xr:uid="{00000000-0005-0000-0000-0000445A0000}"/>
    <cellStyle name="Normal 69 34 2" xfId="24436" xr:uid="{00000000-0005-0000-0000-0000455A0000}"/>
    <cellStyle name="Normal 69 35" xfId="12269" xr:uid="{00000000-0005-0000-0000-0000465A0000}"/>
    <cellStyle name="Normal 69 35 2" xfId="24437" xr:uid="{00000000-0005-0000-0000-0000475A0000}"/>
    <cellStyle name="Normal 69 36" xfId="12270" xr:uid="{00000000-0005-0000-0000-0000485A0000}"/>
    <cellStyle name="Normal 69 36 2" xfId="24438" xr:uid="{00000000-0005-0000-0000-0000495A0000}"/>
    <cellStyle name="Normal 69 37" xfId="12271" xr:uid="{00000000-0005-0000-0000-00004A5A0000}"/>
    <cellStyle name="Normal 69 37 2" xfId="24439" xr:uid="{00000000-0005-0000-0000-00004B5A0000}"/>
    <cellStyle name="Normal 69 38" xfId="12272" xr:uid="{00000000-0005-0000-0000-00004C5A0000}"/>
    <cellStyle name="Normal 69 38 2" xfId="24440" xr:uid="{00000000-0005-0000-0000-00004D5A0000}"/>
    <cellStyle name="Normal 69 39" xfId="12273" xr:uid="{00000000-0005-0000-0000-00004E5A0000}"/>
    <cellStyle name="Normal 69 39 2" xfId="24441" xr:uid="{00000000-0005-0000-0000-00004F5A0000}"/>
    <cellStyle name="Normal 69 4" xfId="12274" xr:uid="{00000000-0005-0000-0000-0000505A0000}"/>
    <cellStyle name="Normal 69 4 2" xfId="24442" xr:uid="{00000000-0005-0000-0000-0000515A0000}"/>
    <cellStyle name="Normal 69 40" xfId="12275" xr:uid="{00000000-0005-0000-0000-0000525A0000}"/>
    <cellStyle name="Normal 69 40 2" xfId="24443" xr:uid="{00000000-0005-0000-0000-0000535A0000}"/>
    <cellStyle name="Normal 69 41" xfId="12276" xr:uid="{00000000-0005-0000-0000-0000545A0000}"/>
    <cellStyle name="Normal 69 41 2" xfId="24444" xr:uid="{00000000-0005-0000-0000-0000555A0000}"/>
    <cellStyle name="Normal 69 42" xfId="12277" xr:uid="{00000000-0005-0000-0000-0000565A0000}"/>
    <cellStyle name="Normal 69 42 2" xfId="24445" xr:uid="{00000000-0005-0000-0000-0000575A0000}"/>
    <cellStyle name="Normal 69 43" xfId="12278" xr:uid="{00000000-0005-0000-0000-0000585A0000}"/>
    <cellStyle name="Normal 69 43 2" xfId="24446" xr:uid="{00000000-0005-0000-0000-0000595A0000}"/>
    <cellStyle name="Normal 69 44" xfId="12279" xr:uid="{00000000-0005-0000-0000-00005A5A0000}"/>
    <cellStyle name="Normal 69 44 2" xfId="24447" xr:uid="{00000000-0005-0000-0000-00005B5A0000}"/>
    <cellStyle name="Normal 69 45" xfId="12280" xr:uid="{00000000-0005-0000-0000-00005C5A0000}"/>
    <cellStyle name="Normal 69 45 2" xfId="24448" xr:uid="{00000000-0005-0000-0000-00005D5A0000}"/>
    <cellStyle name="Normal 69 46" xfId="12281" xr:uid="{00000000-0005-0000-0000-00005E5A0000}"/>
    <cellStyle name="Normal 69 46 2" xfId="24449" xr:uid="{00000000-0005-0000-0000-00005F5A0000}"/>
    <cellStyle name="Normal 69 47" xfId="12282" xr:uid="{00000000-0005-0000-0000-0000605A0000}"/>
    <cellStyle name="Normal 69 47 2" xfId="24450" xr:uid="{00000000-0005-0000-0000-0000615A0000}"/>
    <cellStyle name="Normal 69 48" xfId="12283" xr:uid="{00000000-0005-0000-0000-0000625A0000}"/>
    <cellStyle name="Normal 69 48 2" xfId="24451" xr:uid="{00000000-0005-0000-0000-0000635A0000}"/>
    <cellStyle name="Normal 69 49" xfId="12284" xr:uid="{00000000-0005-0000-0000-0000645A0000}"/>
    <cellStyle name="Normal 69 49 2" xfId="24452" xr:uid="{00000000-0005-0000-0000-0000655A0000}"/>
    <cellStyle name="Normal 69 5" xfId="12285" xr:uid="{00000000-0005-0000-0000-0000665A0000}"/>
    <cellStyle name="Normal 69 5 2" xfId="24453" xr:uid="{00000000-0005-0000-0000-0000675A0000}"/>
    <cellStyle name="Normal 69 50" xfId="12286" xr:uid="{00000000-0005-0000-0000-0000685A0000}"/>
    <cellStyle name="Normal 69 50 2" xfId="24454" xr:uid="{00000000-0005-0000-0000-0000695A0000}"/>
    <cellStyle name="Normal 69 51" xfId="12287" xr:uid="{00000000-0005-0000-0000-00006A5A0000}"/>
    <cellStyle name="Normal 69 51 2" xfId="24455" xr:uid="{00000000-0005-0000-0000-00006B5A0000}"/>
    <cellStyle name="Normal 69 52" xfId="12288" xr:uid="{00000000-0005-0000-0000-00006C5A0000}"/>
    <cellStyle name="Normal 69 52 2" xfId="24456" xr:uid="{00000000-0005-0000-0000-00006D5A0000}"/>
    <cellStyle name="Normal 69 53" xfId="12289" xr:uid="{00000000-0005-0000-0000-00006E5A0000}"/>
    <cellStyle name="Normal 69 53 2" xfId="24457" xr:uid="{00000000-0005-0000-0000-00006F5A0000}"/>
    <cellStyle name="Normal 69 54" xfId="12290" xr:uid="{00000000-0005-0000-0000-0000705A0000}"/>
    <cellStyle name="Normal 69 54 2" xfId="24458" xr:uid="{00000000-0005-0000-0000-0000715A0000}"/>
    <cellStyle name="Normal 69 55" xfId="12291" xr:uid="{00000000-0005-0000-0000-0000725A0000}"/>
    <cellStyle name="Normal 69 55 2" xfId="24459" xr:uid="{00000000-0005-0000-0000-0000735A0000}"/>
    <cellStyle name="Normal 69 56" xfId="12292" xr:uid="{00000000-0005-0000-0000-0000745A0000}"/>
    <cellStyle name="Normal 69 56 2" xfId="24460" xr:uid="{00000000-0005-0000-0000-0000755A0000}"/>
    <cellStyle name="Normal 69 57" xfId="12293" xr:uid="{00000000-0005-0000-0000-0000765A0000}"/>
    <cellStyle name="Normal 69 57 2" xfId="24461" xr:uid="{00000000-0005-0000-0000-0000775A0000}"/>
    <cellStyle name="Normal 69 58" xfId="12294" xr:uid="{00000000-0005-0000-0000-0000785A0000}"/>
    <cellStyle name="Normal 69 58 2" xfId="24462" xr:uid="{00000000-0005-0000-0000-0000795A0000}"/>
    <cellStyle name="Normal 69 59" xfId="12295" xr:uid="{00000000-0005-0000-0000-00007A5A0000}"/>
    <cellStyle name="Normal 69 59 2" xfId="24463" xr:uid="{00000000-0005-0000-0000-00007B5A0000}"/>
    <cellStyle name="Normal 69 6" xfId="12296" xr:uid="{00000000-0005-0000-0000-00007C5A0000}"/>
    <cellStyle name="Normal 69 6 2" xfId="24464" xr:uid="{00000000-0005-0000-0000-00007D5A0000}"/>
    <cellStyle name="Normal 69 60" xfId="12297" xr:uid="{00000000-0005-0000-0000-00007E5A0000}"/>
    <cellStyle name="Normal 69 60 2" xfId="24465" xr:uid="{00000000-0005-0000-0000-00007F5A0000}"/>
    <cellStyle name="Normal 69 61" xfId="12298" xr:uid="{00000000-0005-0000-0000-0000805A0000}"/>
    <cellStyle name="Normal 69 61 2" xfId="24466" xr:uid="{00000000-0005-0000-0000-0000815A0000}"/>
    <cellStyle name="Normal 69 62" xfId="12299" xr:uid="{00000000-0005-0000-0000-0000825A0000}"/>
    <cellStyle name="Normal 69 62 2" xfId="24467" xr:uid="{00000000-0005-0000-0000-0000835A0000}"/>
    <cellStyle name="Normal 69 63" xfId="12300" xr:uid="{00000000-0005-0000-0000-0000845A0000}"/>
    <cellStyle name="Normal 69 63 2" xfId="24468" xr:uid="{00000000-0005-0000-0000-0000855A0000}"/>
    <cellStyle name="Normal 69 64" xfId="12301" xr:uid="{00000000-0005-0000-0000-0000865A0000}"/>
    <cellStyle name="Normal 69 64 2" xfId="24469" xr:uid="{00000000-0005-0000-0000-0000875A0000}"/>
    <cellStyle name="Normal 69 65" xfId="12302" xr:uid="{00000000-0005-0000-0000-0000885A0000}"/>
    <cellStyle name="Normal 69 65 2" xfId="24470" xr:uid="{00000000-0005-0000-0000-0000895A0000}"/>
    <cellStyle name="Normal 69 66" xfId="12303" xr:uid="{00000000-0005-0000-0000-00008A5A0000}"/>
    <cellStyle name="Normal 69 66 2" xfId="24471" xr:uid="{00000000-0005-0000-0000-00008B5A0000}"/>
    <cellStyle name="Normal 69 67" xfId="12304" xr:uid="{00000000-0005-0000-0000-00008C5A0000}"/>
    <cellStyle name="Normal 69 67 2" xfId="24472" xr:uid="{00000000-0005-0000-0000-00008D5A0000}"/>
    <cellStyle name="Normal 69 68" xfId="12305" xr:uid="{00000000-0005-0000-0000-00008E5A0000}"/>
    <cellStyle name="Normal 69 68 2" xfId="24473" xr:uid="{00000000-0005-0000-0000-00008F5A0000}"/>
    <cellStyle name="Normal 69 69" xfId="12306" xr:uid="{00000000-0005-0000-0000-0000905A0000}"/>
    <cellStyle name="Normal 69 69 2" xfId="24474" xr:uid="{00000000-0005-0000-0000-0000915A0000}"/>
    <cellStyle name="Normal 69 7" xfId="12307" xr:uid="{00000000-0005-0000-0000-0000925A0000}"/>
    <cellStyle name="Normal 69 7 2" xfId="24475" xr:uid="{00000000-0005-0000-0000-0000935A0000}"/>
    <cellStyle name="Normal 69 70" xfId="12308" xr:uid="{00000000-0005-0000-0000-0000945A0000}"/>
    <cellStyle name="Normal 69 70 2" xfId="24476" xr:uid="{00000000-0005-0000-0000-0000955A0000}"/>
    <cellStyle name="Normal 69 71" xfId="12309" xr:uid="{00000000-0005-0000-0000-0000965A0000}"/>
    <cellStyle name="Normal 69 71 2" xfId="24477" xr:uid="{00000000-0005-0000-0000-0000975A0000}"/>
    <cellStyle name="Normal 69 72" xfId="12310" xr:uid="{00000000-0005-0000-0000-0000985A0000}"/>
    <cellStyle name="Normal 69 72 2" xfId="24478" xr:uid="{00000000-0005-0000-0000-0000995A0000}"/>
    <cellStyle name="Normal 69 73" xfId="12311" xr:uid="{00000000-0005-0000-0000-00009A5A0000}"/>
    <cellStyle name="Normal 69 73 2" xfId="24479" xr:uid="{00000000-0005-0000-0000-00009B5A0000}"/>
    <cellStyle name="Normal 69 74" xfId="12312" xr:uid="{00000000-0005-0000-0000-00009C5A0000}"/>
    <cellStyle name="Normal 69 74 2" xfId="24480" xr:uid="{00000000-0005-0000-0000-00009D5A0000}"/>
    <cellStyle name="Normal 69 75" xfId="12313" xr:uid="{00000000-0005-0000-0000-00009E5A0000}"/>
    <cellStyle name="Normal 69 75 2" xfId="24481" xr:uid="{00000000-0005-0000-0000-00009F5A0000}"/>
    <cellStyle name="Normal 69 76" xfId="12314" xr:uid="{00000000-0005-0000-0000-0000A05A0000}"/>
    <cellStyle name="Normal 69 76 2" xfId="24482" xr:uid="{00000000-0005-0000-0000-0000A15A0000}"/>
    <cellStyle name="Normal 69 77" xfId="12315" xr:uid="{00000000-0005-0000-0000-0000A25A0000}"/>
    <cellStyle name="Normal 69 77 2" xfId="24483" xr:uid="{00000000-0005-0000-0000-0000A35A0000}"/>
    <cellStyle name="Normal 69 78" xfId="12316" xr:uid="{00000000-0005-0000-0000-0000A45A0000}"/>
    <cellStyle name="Normal 69 78 2" xfId="24484" xr:uid="{00000000-0005-0000-0000-0000A55A0000}"/>
    <cellStyle name="Normal 69 79" xfId="12317" xr:uid="{00000000-0005-0000-0000-0000A65A0000}"/>
    <cellStyle name="Normal 69 79 2" xfId="24485" xr:uid="{00000000-0005-0000-0000-0000A75A0000}"/>
    <cellStyle name="Normal 69 8" xfId="12318" xr:uid="{00000000-0005-0000-0000-0000A85A0000}"/>
    <cellStyle name="Normal 69 8 2" xfId="24486" xr:uid="{00000000-0005-0000-0000-0000A95A0000}"/>
    <cellStyle name="Normal 69 80" xfId="24409" xr:uid="{00000000-0005-0000-0000-0000AA5A0000}"/>
    <cellStyle name="Normal 69 9" xfId="12319" xr:uid="{00000000-0005-0000-0000-0000AB5A0000}"/>
    <cellStyle name="Normal 69 9 2" xfId="24487" xr:uid="{00000000-0005-0000-0000-0000AC5A0000}"/>
    <cellStyle name="Normal 7" xfId="102" xr:uid="{00000000-0005-0000-0000-0000AD5A0000}"/>
    <cellStyle name="Normal 7 10" xfId="12320" xr:uid="{00000000-0005-0000-0000-0000AE5A0000}"/>
    <cellStyle name="Normal 7 10 2" xfId="24488" xr:uid="{00000000-0005-0000-0000-0000AF5A0000}"/>
    <cellStyle name="Normal 7 11" xfId="12321" xr:uid="{00000000-0005-0000-0000-0000B05A0000}"/>
    <cellStyle name="Normal 7 11 2" xfId="24489" xr:uid="{00000000-0005-0000-0000-0000B15A0000}"/>
    <cellStyle name="Normal 7 12" xfId="12322" xr:uid="{00000000-0005-0000-0000-0000B25A0000}"/>
    <cellStyle name="Normal 7 12 2" xfId="24490" xr:uid="{00000000-0005-0000-0000-0000B35A0000}"/>
    <cellStyle name="Normal 7 13" xfId="12323" xr:uid="{00000000-0005-0000-0000-0000B45A0000}"/>
    <cellStyle name="Normal 7 13 2" xfId="24491" xr:uid="{00000000-0005-0000-0000-0000B55A0000}"/>
    <cellStyle name="Normal 7 14" xfId="12324" xr:uid="{00000000-0005-0000-0000-0000B65A0000}"/>
    <cellStyle name="Normal 7 14 2" xfId="24492" xr:uid="{00000000-0005-0000-0000-0000B75A0000}"/>
    <cellStyle name="Normal 7 15" xfId="12325" xr:uid="{00000000-0005-0000-0000-0000B85A0000}"/>
    <cellStyle name="Normal 7 15 2" xfId="24493" xr:uid="{00000000-0005-0000-0000-0000B95A0000}"/>
    <cellStyle name="Normal 7 16" xfId="12326" xr:uid="{00000000-0005-0000-0000-0000BA5A0000}"/>
    <cellStyle name="Normal 7 16 2" xfId="24494" xr:uid="{00000000-0005-0000-0000-0000BB5A0000}"/>
    <cellStyle name="Normal 7 17" xfId="12327" xr:uid="{00000000-0005-0000-0000-0000BC5A0000}"/>
    <cellStyle name="Normal 7 17 2" xfId="24495" xr:uid="{00000000-0005-0000-0000-0000BD5A0000}"/>
    <cellStyle name="Normal 7 18" xfId="12328" xr:uid="{00000000-0005-0000-0000-0000BE5A0000}"/>
    <cellStyle name="Normal 7 18 2" xfId="24496" xr:uid="{00000000-0005-0000-0000-0000BF5A0000}"/>
    <cellStyle name="Normal 7 19" xfId="12329" xr:uid="{00000000-0005-0000-0000-0000C05A0000}"/>
    <cellStyle name="Normal 7 19 2" xfId="24497" xr:uid="{00000000-0005-0000-0000-0000C15A0000}"/>
    <cellStyle name="Normal 7 2" xfId="759" xr:uid="{00000000-0005-0000-0000-0000C25A0000}"/>
    <cellStyle name="Normal 7 2 2" xfId="24498" xr:uid="{00000000-0005-0000-0000-0000C35A0000}"/>
    <cellStyle name="Normal 7 2 3" xfId="12330" xr:uid="{00000000-0005-0000-0000-0000C45A0000}"/>
    <cellStyle name="Normal 7 20" xfId="12331" xr:uid="{00000000-0005-0000-0000-0000C55A0000}"/>
    <cellStyle name="Normal 7 20 2" xfId="24499" xr:uid="{00000000-0005-0000-0000-0000C65A0000}"/>
    <cellStyle name="Normal 7 21" xfId="12332" xr:uid="{00000000-0005-0000-0000-0000C75A0000}"/>
    <cellStyle name="Normal 7 21 2" xfId="24500" xr:uid="{00000000-0005-0000-0000-0000C85A0000}"/>
    <cellStyle name="Normal 7 22" xfId="12333" xr:uid="{00000000-0005-0000-0000-0000C95A0000}"/>
    <cellStyle name="Normal 7 22 2" xfId="24501" xr:uid="{00000000-0005-0000-0000-0000CA5A0000}"/>
    <cellStyle name="Normal 7 23" xfId="12334" xr:uid="{00000000-0005-0000-0000-0000CB5A0000}"/>
    <cellStyle name="Normal 7 23 2" xfId="24502" xr:uid="{00000000-0005-0000-0000-0000CC5A0000}"/>
    <cellStyle name="Normal 7 24" xfId="12335" xr:uid="{00000000-0005-0000-0000-0000CD5A0000}"/>
    <cellStyle name="Normal 7 24 2" xfId="24503" xr:uid="{00000000-0005-0000-0000-0000CE5A0000}"/>
    <cellStyle name="Normal 7 25" xfId="12336" xr:uid="{00000000-0005-0000-0000-0000CF5A0000}"/>
    <cellStyle name="Normal 7 25 2" xfId="24504" xr:uid="{00000000-0005-0000-0000-0000D05A0000}"/>
    <cellStyle name="Normal 7 26" xfId="12337" xr:uid="{00000000-0005-0000-0000-0000D15A0000}"/>
    <cellStyle name="Normal 7 26 2" xfId="24505" xr:uid="{00000000-0005-0000-0000-0000D25A0000}"/>
    <cellStyle name="Normal 7 27" xfId="12338" xr:uid="{00000000-0005-0000-0000-0000D35A0000}"/>
    <cellStyle name="Normal 7 27 2" xfId="24506" xr:uid="{00000000-0005-0000-0000-0000D45A0000}"/>
    <cellStyle name="Normal 7 28" xfId="12339" xr:uid="{00000000-0005-0000-0000-0000D55A0000}"/>
    <cellStyle name="Normal 7 28 2" xfId="24507" xr:uid="{00000000-0005-0000-0000-0000D65A0000}"/>
    <cellStyle name="Normal 7 29" xfId="12340" xr:uid="{00000000-0005-0000-0000-0000D75A0000}"/>
    <cellStyle name="Normal 7 29 2" xfId="24508" xr:uid="{00000000-0005-0000-0000-0000D85A0000}"/>
    <cellStyle name="Normal 7 3" xfId="300" xr:uid="{00000000-0005-0000-0000-0000D95A0000}"/>
    <cellStyle name="Normal 7 3 2" xfId="24509" xr:uid="{00000000-0005-0000-0000-0000DA5A0000}"/>
    <cellStyle name="Normal 7 30" xfId="12341" xr:uid="{00000000-0005-0000-0000-0000DB5A0000}"/>
    <cellStyle name="Normal 7 30 2" xfId="24510" xr:uid="{00000000-0005-0000-0000-0000DC5A0000}"/>
    <cellStyle name="Normal 7 31" xfId="12342" xr:uid="{00000000-0005-0000-0000-0000DD5A0000}"/>
    <cellStyle name="Normal 7 31 2" xfId="24511" xr:uid="{00000000-0005-0000-0000-0000DE5A0000}"/>
    <cellStyle name="Normal 7 32" xfId="12343" xr:uid="{00000000-0005-0000-0000-0000DF5A0000}"/>
    <cellStyle name="Normal 7 32 2" xfId="24512" xr:uid="{00000000-0005-0000-0000-0000E05A0000}"/>
    <cellStyle name="Normal 7 33" xfId="12344" xr:uid="{00000000-0005-0000-0000-0000E15A0000}"/>
    <cellStyle name="Normal 7 33 2" xfId="24513" xr:uid="{00000000-0005-0000-0000-0000E25A0000}"/>
    <cellStyle name="Normal 7 34" xfId="12345" xr:uid="{00000000-0005-0000-0000-0000E35A0000}"/>
    <cellStyle name="Normal 7 34 2" xfId="24514" xr:uid="{00000000-0005-0000-0000-0000E45A0000}"/>
    <cellStyle name="Normal 7 35" xfId="12346" xr:uid="{00000000-0005-0000-0000-0000E55A0000}"/>
    <cellStyle name="Normal 7 35 2" xfId="24515" xr:uid="{00000000-0005-0000-0000-0000E65A0000}"/>
    <cellStyle name="Normal 7 36" xfId="12347" xr:uid="{00000000-0005-0000-0000-0000E75A0000}"/>
    <cellStyle name="Normal 7 36 2" xfId="24516" xr:uid="{00000000-0005-0000-0000-0000E85A0000}"/>
    <cellStyle name="Normal 7 37" xfId="12348" xr:uid="{00000000-0005-0000-0000-0000E95A0000}"/>
    <cellStyle name="Normal 7 37 2" xfId="24517" xr:uid="{00000000-0005-0000-0000-0000EA5A0000}"/>
    <cellStyle name="Normal 7 38" xfId="12349" xr:uid="{00000000-0005-0000-0000-0000EB5A0000}"/>
    <cellStyle name="Normal 7 38 2" xfId="24518" xr:uid="{00000000-0005-0000-0000-0000EC5A0000}"/>
    <cellStyle name="Normal 7 39" xfId="12350" xr:uid="{00000000-0005-0000-0000-0000ED5A0000}"/>
    <cellStyle name="Normal 7 39 2" xfId="24519" xr:uid="{00000000-0005-0000-0000-0000EE5A0000}"/>
    <cellStyle name="Normal 7 4" xfId="12351" xr:uid="{00000000-0005-0000-0000-0000EF5A0000}"/>
    <cellStyle name="Normal 7 4 2" xfId="24520" xr:uid="{00000000-0005-0000-0000-0000F05A0000}"/>
    <cellStyle name="Normal 7 4 3" xfId="31364" xr:uid="{00000000-0005-0000-0000-0000F15A0000}"/>
    <cellStyle name="Normal 7 40" xfId="12352" xr:uid="{00000000-0005-0000-0000-0000F25A0000}"/>
    <cellStyle name="Normal 7 40 2" xfId="24521" xr:uid="{00000000-0005-0000-0000-0000F35A0000}"/>
    <cellStyle name="Normal 7 41" xfId="12353" xr:uid="{00000000-0005-0000-0000-0000F45A0000}"/>
    <cellStyle name="Normal 7 41 2" xfId="24522" xr:uid="{00000000-0005-0000-0000-0000F55A0000}"/>
    <cellStyle name="Normal 7 42" xfId="12354" xr:uid="{00000000-0005-0000-0000-0000F65A0000}"/>
    <cellStyle name="Normal 7 42 2" xfId="24523" xr:uid="{00000000-0005-0000-0000-0000F75A0000}"/>
    <cellStyle name="Normal 7 43" xfId="12355" xr:uid="{00000000-0005-0000-0000-0000F85A0000}"/>
    <cellStyle name="Normal 7 43 2" xfId="24524" xr:uid="{00000000-0005-0000-0000-0000F95A0000}"/>
    <cellStyle name="Normal 7 44" xfId="12356" xr:uid="{00000000-0005-0000-0000-0000FA5A0000}"/>
    <cellStyle name="Normal 7 44 2" xfId="24525" xr:uid="{00000000-0005-0000-0000-0000FB5A0000}"/>
    <cellStyle name="Normal 7 45" xfId="12357" xr:uid="{00000000-0005-0000-0000-0000FC5A0000}"/>
    <cellStyle name="Normal 7 45 2" xfId="24526" xr:uid="{00000000-0005-0000-0000-0000FD5A0000}"/>
    <cellStyle name="Normal 7 46" xfId="12358" xr:uid="{00000000-0005-0000-0000-0000FE5A0000}"/>
    <cellStyle name="Normal 7 46 2" xfId="24527" xr:uid="{00000000-0005-0000-0000-0000FF5A0000}"/>
    <cellStyle name="Normal 7 47" xfId="12359" xr:uid="{00000000-0005-0000-0000-0000005B0000}"/>
    <cellStyle name="Normal 7 47 2" xfId="24528" xr:uid="{00000000-0005-0000-0000-0000015B0000}"/>
    <cellStyle name="Normal 7 48" xfId="12360" xr:uid="{00000000-0005-0000-0000-0000025B0000}"/>
    <cellStyle name="Normal 7 48 2" xfId="24529" xr:uid="{00000000-0005-0000-0000-0000035B0000}"/>
    <cellStyle name="Normal 7 49" xfId="12361" xr:uid="{00000000-0005-0000-0000-0000045B0000}"/>
    <cellStyle name="Normal 7 49 2" xfId="24530" xr:uid="{00000000-0005-0000-0000-0000055B0000}"/>
    <cellStyle name="Normal 7 5" xfId="12362" xr:uid="{00000000-0005-0000-0000-0000065B0000}"/>
    <cellStyle name="Normal 7 5 2" xfId="24531" xr:uid="{00000000-0005-0000-0000-0000075B0000}"/>
    <cellStyle name="Normal 7 50" xfId="12363" xr:uid="{00000000-0005-0000-0000-0000085B0000}"/>
    <cellStyle name="Normal 7 50 2" xfId="24532" xr:uid="{00000000-0005-0000-0000-0000095B0000}"/>
    <cellStyle name="Normal 7 51" xfId="12364" xr:uid="{00000000-0005-0000-0000-00000A5B0000}"/>
    <cellStyle name="Normal 7 51 2" xfId="24533" xr:uid="{00000000-0005-0000-0000-00000B5B0000}"/>
    <cellStyle name="Normal 7 52" xfId="12365" xr:uid="{00000000-0005-0000-0000-00000C5B0000}"/>
    <cellStyle name="Normal 7 52 2" xfId="24534" xr:uid="{00000000-0005-0000-0000-00000D5B0000}"/>
    <cellStyle name="Normal 7 53" xfId="12366" xr:uid="{00000000-0005-0000-0000-00000E5B0000}"/>
    <cellStyle name="Normal 7 53 2" xfId="24535" xr:uid="{00000000-0005-0000-0000-00000F5B0000}"/>
    <cellStyle name="Normal 7 54" xfId="12367" xr:uid="{00000000-0005-0000-0000-0000105B0000}"/>
    <cellStyle name="Normal 7 54 2" xfId="24536" xr:uid="{00000000-0005-0000-0000-0000115B0000}"/>
    <cellStyle name="Normal 7 55" xfId="12368" xr:uid="{00000000-0005-0000-0000-0000125B0000}"/>
    <cellStyle name="Normal 7 55 2" xfId="24537" xr:uid="{00000000-0005-0000-0000-0000135B0000}"/>
    <cellStyle name="Normal 7 56" xfId="12369" xr:uid="{00000000-0005-0000-0000-0000145B0000}"/>
    <cellStyle name="Normal 7 56 2" xfId="24538" xr:uid="{00000000-0005-0000-0000-0000155B0000}"/>
    <cellStyle name="Normal 7 57" xfId="12370" xr:uid="{00000000-0005-0000-0000-0000165B0000}"/>
    <cellStyle name="Normal 7 57 2" xfId="24539" xr:uid="{00000000-0005-0000-0000-0000175B0000}"/>
    <cellStyle name="Normal 7 58" xfId="12371" xr:uid="{00000000-0005-0000-0000-0000185B0000}"/>
    <cellStyle name="Normal 7 58 2" xfId="24540" xr:uid="{00000000-0005-0000-0000-0000195B0000}"/>
    <cellStyle name="Normal 7 59" xfId="12372" xr:uid="{00000000-0005-0000-0000-00001A5B0000}"/>
    <cellStyle name="Normal 7 59 2" xfId="24541" xr:uid="{00000000-0005-0000-0000-00001B5B0000}"/>
    <cellStyle name="Normal 7 6" xfId="12373" xr:uid="{00000000-0005-0000-0000-00001C5B0000}"/>
    <cellStyle name="Normal 7 6 2" xfId="24542" xr:uid="{00000000-0005-0000-0000-00001D5B0000}"/>
    <cellStyle name="Normal 7 60" xfId="12374" xr:uid="{00000000-0005-0000-0000-00001E5B0000}"/>
    <cellStyle name="Normal 7 60 2" xfId="24543" xr:uid="{00000000-0005-0000-0000-00001F5B0000}"/>
    <cellStyle name="Normal 7 61" xfId="12375" xr:uid="{00000000-0005-0000-0000-0000205B0000}"/>
    <cellStyle name="Normal 7 61 2" xfId="24544" xr:uid="{00000000-0005-0000-0000-0000215B0000}"/>
    <cellStyle name="Normal 7 62" xfId="12376" xr:uid="{00000000-0005-0000-0000-0000225B0000}"/>
    <cellStyle name="Normal 7 62 2" xfId="24545" xr:uid="{00000000-0005-0000-0000-0000235B0000}"/>
    <cellStyle name="Normal 7 63" xfId="12377" xr:uid="{00000000-0005-0000-0000-0000245B0000}"/>
    <cellStyle name="Normal 7 63 2" xfId="24546" xr:uid="{00000000-0005-0000-0000-0000255B0000}"/>
    <cellStyle name="Normal 7 64" xfId="12378" xr:uid="{00000000-0005-0000-0000-0000265B0000}"/>
    <cellStyle name="Normal 7 64 2" xfId="24547" xr:uid="{00000000-0005-0000-0000-0000275B0000}"/>
    <cellStyle name="Normal 7 65" xfId="12379" xr:uid="{00000000-0005-0000-0000-0000285B0000}"/>
    <cellStyle name="Normal 7 65 2" xfId="24548" xr:uid="{00000000-0005-0000-0000-0000295B0000}"/>
    <cellStyle name="Normal 7 66" xfId="12380" xr:uid="{00000000-0005-0000-0000-00002A5B0000}"/>
    <cellStyle name="Normal 7 66 2" xfId="24549" xr:uid="{00000000-0005-0000-0000-00002B5B0000}"/>
    <cellStyle name="Normal 7 67" xfId="12381" xr:uid="{00000000-0005-0000-0000-00002C5B0000}"/>
    <cellStyle name="Normal 7 67 2" xfId="24550" xr:uid="{00000000-0005-0000-0000-00002D5B0000}"/>
    <cellStyle name="Normal 7 68" xfId="12382" xr:uid="{00000000-0005-0000-0000-00002E5B0000}"/>
    <cellStyle name="Normal 7 68 2" xfId="24551" xr:uid="{00000000-0005-0000-0000-00002F5B0000}"/>
    <cellStyle name="Normal 7 69" xfId="12383" xr:uid="{00000000-0005-0000-0000-0000305B0000}"/>
    <cellStyle name="Normal 7 69 2" xfId="24552" xr:uid="{00000000-0005-0000-0000-0000315B0000}"/>
    <cellStyle name="Normal 7 7" xfId="12384" xr:uid="{00000000-0005-0000-0000-0000325B0000}"/>
    <cellStyle name="Normal 7 7 2" xfId="24553" xr:uid="{00000000-0005-0000-0000-0000335B0000}"/>
    <cellStyle name="Normal 7 70" xfId="12385" xr:uid="{00000000-0005-0000-0000-0000345B0000}"/>
    <cellStyle name="Normal 7 70 2" xfId="24554" xr:uid="{00000000-0005-0000-0000-0000355B0000}"/>
    <cellStyle name="Normal 7 71" xfId="12386" xr:uid="{00000000-0005-0000-0000-0000365B0000}"/>
    <cellStyle name="Normal 7 71 2" xfId="24555" xr:uid="{00000000-0005-0000-0000-0000375B0000}"/>
    <cellStyle name="Normal 7 72" xfId="12387" xr:uid="{00000000-0005-0000-0000-0000385B0000}"/>
    <cellStyle name="Normal 7 72 2" xfId="24556" xr:uid="{00000000-0005-0000-0000-0000395B0000}"/>
    <cellStyle name="Normal 7 73" xfId="12388" xr:uid="{00000000-0005-0000-0000-00003A5B0000}"/>
    <cellStyle name="Normal 7 73 2" xfId="24557" xr:uid="{00000000-0005-0000-0000-00003B5B0000}"/>
    <cellStyle name="Normal 7 74" xfId="12389" xr:uid="{00000000-0005-0000-0000-00003C5B0000}"/>
    <cellStyle name="Normal 7 74 2" xfId="24558" xr:uid="{00000000-0005-0000-0000-00003D5B0000}"/>
    <cellStyle name="Normal 7 75" xfId="12390" xr:uid="{00000000-0005-0000-0000-00003E5B0000}"/>
    <cellStyle name="Normal 7 75 2" xfId="24559" xr:uid="{00000000-0005-0000-0000-00003F5B0000}"/>
    <cellStyle name="Normal 7 76" xfId="12391" xr:uid="{00000000-0005-0000-0000-0000405B0000}"/>
    <cellStyle name="Normal 7 76 2" xfId="24560" xr:uid="{00000000-0005-0000-0000-0000415B0000}"/>
    <cellStyle name="Normal 7 77" xfId="12392" xr:uid="{00000000-0005-0000-0000-0000425B0000}"/>
    <cellStyle name="Normal 7 77 2" xfId="24561" xr:uid="{00000000-0005-0000-0000-0000435B0000}"/>
    <cellStyle name="Normal 7 78" xfId="12393" xr:uid="{00000000-0005-0000-0000-0000445B0000}"/>
    <cellStyle name="Normal 7 78 2" xfId="24562" xr:uid="{00000000-0005-0000-0000-0000455B0000}"/>
    <cellStyle name="Normal 7 79" xfId="12394" xr:uid="{00000000-0005-0000-0000-0000465B0000}"/>
    <cellStyle name="Normal 7 79 2" xfId="24563" xr:uid="{00000000-0005-0000-0000-0000475B0000}"/>
    <cellStyle name="Normal 7 8" xfId="12395" xr:uid="{00000000-0005-0000-0000-0000485B0000}"/>
    <cellStyle name="Normal 7 8 2" xfId="24564" xr:uid="{00000000-0005-0000-0000-0000495B0000}"/>
    <cellStyle name="Normal 7 80" xfId="15051" xr:uid="{00000000-0005-0000-0000-00004A5B0000}"/>
    <cellStyle name="Normal 7 9" xfId="12396" xr:uid="{00000000-0005-0000-0000-00004B5B0000}"/>
    <cellStyle name="Normal 7 9 2" xfId="24565" xr:uid="{00000000-0005-0000-0000-00004C5B0000}"/>
    <cellStyle name="Normal 70" xfId="196" xr:uid="{00000000-0005-0000-0000-00004D5B0000}"/>
    <cellStyle name="Normal 70 10" xfId="12397" xr:uid="{00000000-0005-0000-0000-00004E5B0000}"/>
    <cellStyle name="Normal 70 10 2" xfId="24567" xr:uid="{00000000-0005-0000-0000-00004F5B0000}"/>
    <cellStyle name="Normal 70 11" xfId="12398" xr:uid="{00000000-0005-0000-0000-0000505B0000}"/>
    <cellStyle name="Normal 70 11 2" xfId="24568" xr:uid="{00000000-0005-0000-0000-0000515B0000}"/>
    <cellStyle name="Normal 70 12" xfId="12399" xr:uid="{00000000-0005-0000-0000-0000525B0000}"/>
    <cellStyle name="Normal 70 12 2" xfId="24569" xr:uid="{00000000-0005-0000-0000-0000535B0000}"/>
    <cellStyle name="Normal 70 13" xfId="12400" xr:uid="{00000000-0005-0000-0000-0000545B0000}"/>
    <cellStyle name="Normal 70 13 2" xfId="24570" xr:uid="{00000000-0005-0000-0000-0000555B0000}"/>
    <cellStyle name="Normal 70 14" xfId="12401" xr:uid="{00000000-0005-0000-0000-0000565B0000}"/>
    <cellStyle name="Normal 70 14 2" xfId="24571" xr:uid="{00000000-0005-0000-0000-0000575B0000}"/>
    <cellStyle name="Normal 70 15" xfId="12402" xr:uid="{00000000-0005-0000-0000-0000585B0000}"/>
    <cellStyle name="Normal 70 15 2" xfId="24572" xr:uid="{00000000-0005-0000-0000-0000595B0000}"/>
    <cellStyle name="Normal 70 16" xfId="12403" xr:uid="{00000000-0005-0000-0000-00005A5B0000}"/>
    <cellStyle name="Normal 70 16 2" xfId="24573" xr:uid="{00000000-0005-0000-0000-00005B5B0000}"/>
    <cellStyle name="Normal 70 17" xfId="12404" xr:uid="{00000000-0005-0000-0000-00005C5B0000}"/>
    <cellStyle name="Normal 70 17 2" xfId="24574" xr:uid="{00000000-0005-0000-0000-00005D5B0000}"/>
    <cellStyle name="Normal 70 18" xfId="12405" xr:uid="{00000000-0005-0000-0000-00005E5B0000}"/>
    <cellStyle name="Normal 70 18 2" xfId="24575" xr:uid="{00000000-0005-0000-0000-00005F5B0000}"/>
    <cellStyle name="Normal 70 19" xfId="12406" xr:uid="{00000000-0005-0000-0000-0000605B0000}"/>
    <cellStyle name="Normal 70 19 2" xfId="24576" xr:uid="{00000000-0005-0000-0000-0000615B0000}"/>
    <cellStyle name="Normal 70 2" xfId="760" xr:uid="{00000000-0005-0000-0000-0000625B0000}"/>
    <cellStyle name="Normal 70 2 2" xfId="24577" xr:uid="{00000000-0005-0000-0000-0000635B0000}"/>
    <cellStyle name="Normal 70 2 3" xfId="12407" xr:uid="{00000000-0005-0000-0000-0000645B0000}"/>
    <cellStyle name="Normal 70 20" xfId="12408" xr:uid="{00000000-0005-0000-0000-0000655B0000}"/>
    <cellStyle name="Normal 70 20 2" xfId="24578" xr:uid="{00000000-0005-0000-0000-0000665B0000}"/>
    <cellStyle name="Normal 70 21" xfId="12409" xr:uid="{00000000-0005-0000-0000-0000675B0000}"/>
    <cellStyle name="Normal 70 21 2" xfId="24579" xr:uid="{00000000-0005-0000-0000-0000685B0000}"/>
    <cellStyle name="Normal 70 22" xfId="12410" xr:uid="{00000000-0005-0000-0000-0000695B0000}"/>
    <cellStyle name="Normal 70 22 2" xfId="24580" xr:uid="{00000000-0005-0000-0000-00006A5B0000}"/>
    <cellStyle name="Normal 70 23" xfId="12411" xr:uid="{00000000-0005-0000-0000-00006B5B0000}"/>
    <cellStyle name="Normal 70 23 2" xfId="24581" xr:uid="{00000000-0005-0000-0000-00006C5B0000}"/>
    <cellStyle name="Normal 70 24" xfId="12412" xr:uid="{00000000-0005-0000-0000-00006D5B0000}"/>
    <cellStyle name="Normal 70 24 2" xfId="24582" xr:uid="{00000000-0005-0000-0000-00006E5B0000}"/>
    <cellStyle name="Normal 70 25" xfId="12413" xr:uid="{00000000-0005-0000-0000-00006F5B0000}"/>
    <cellStyle name="Normal 70 25 2" xfId="24583" xr:uid="{00000000-0005-0000-0000-0000705B0000}"/>
    <cellStyle name="Normal 70 26" xfId="12414" xr:uid="{00000000-0005-0000-0000-0000715B0000}"/>
    <cellStyle name="Normal 70 26 2" xfId="24584" xr:uid="{00000000-0005-0000-0000-0000725B0000}"/>
    <cellStyle name="Normal 70 27" xfId="12415" xr:uid="{00000000-0005-0000-0000-0000735B0000}"/>
    <cellStyle name="Normal 70 27 2" xfId="24585" xr:uid="{00000000-0005-0000-0000-0000745B0000}"/>
    <cellStyle name="Normal 70 28" xfId="12416" xr:uid="{00000000-0005-0000-0000-0000755B0000}"/>
    <cellStyle name="Normal 70 28 2" xfId="24586" xr:uid="{00000000-0005-0000-0000-0000765B0000}"/>
    <cellStyle name="Normal 70 29" xfId="12417" xr:uid="{00000000-0005-0000-0000-0000775B0000}"/>
    <cellStyle name="Normal 70 29 2" xfId="24587" xr:uid="{00000000-0005-0000-0000-0000785B0000}"/>
    <cellStyle name="Normal 70 3" xfId="411" xr:uid="{00000000-0005-0000-0000-0000795B0000}"/>
    <cellStyle name="Normal 70 3 2" xfId="24588" xr:uid="{00000000-0005-0000-0000-00007A5B0000}"/>
    <cellStyle name="Normal 70 30" xfId="12418" xr:uid="{00000000-0005-0000-0000-00007B5B0000}"/>
    <cellStyle name="Normal 70 30 2" xfId="24589" xr:uid="{00000000-0005-0000-0000-00007C5B0000}"/>
    <cellStyle name="Normal 70 31" xfId="12419" xr:uid="{00000000-0005-0000-0000-00007D5B0000}"/>
    <cellStyle name="Normal 70 31 2" xfId="24590" xr:uid="{00000000-0005-0000-0000-00007E5B0000}"/>
    <cellStyle name="Normal 70 32" xfId="12420" xr:uid="{00000000-0005-0000-0000-00007F5B0000}"/>
    <cellStyle name="Normal 70 32 2" xfId="24591" xr:uid="{00000000-0005-0000-0000-0000805B0000}"/>
    <cellStyle name="Normal 70 33" xfId="12421" xr:uid="{00000000-0005-0000-0000-0000815B0000}"/>
    <cellStyle name="Normal 70 33 2" xfId="24592" xr:uid="{00000000-0005-0000-0000-0000825B0000}"/>
    <cellStyle name="Normal 70 34" xfId="12422" xr:uid="{00000000-0005-0000-0000-0000835B0000}"/>
    <cellStyle name="Normal 70 34 2" xfId="24593" xr:uid="{00000000-0005-0000-0000-0000845B0000}"/>
    <cellStyle name="Normal 70 35" xfId="12423" xr:uid="{00000000-0005-0000-0000-0000855B0000}"/>
    <cellStyle name="Normal 70 35 2" xfId="24594" xr:uid="{00000000-0005-0000-0000-0000865B0000}"/>
    <cellStyle name="Normal 70 36" xfId="12424" xr:uid="{00000000-0005-0000-0000-0000875B0000}"/>
    <cellStyle name="Normal 70 36 2" xfId="24595" xr:uid="{00000000-0005-0000-0000-0000885B0000}"/>
    <cellStyle name="Normal 70 37" xfId="12425" xr:uid="{00000000-0005-0000-0000-0000895B0000}"/>
    <cellStyle name="Normal 70 37 2" xfId="24596" xr:uid="{00000000-0005-0000-0000-00008A5B0000}"/>
    <cellStyle name="Normal 70 38" xfId="12426" xr:uid="{00000000-0005-0000-0000-00008B5B0000}"/>
    <cellStyle name="Normal 70 38 2" xfId="24597" xr:uid="{00000000-0005-0000-0000-00008C5B0000}"/>
    <cellStyle name="Normal 70 39" xfId="12427" xr:uid="{00000000-0005-0000-0000-00008D5B0000}"/>
    <cellStyle name="Normal 70 39 2" xfId="24598" xr:uid="{00000000-0005-0000-0000-00008E5B0000}"/>
    <cellStyle name="Normal 70 4" xfId="12428" xr:uid="{00000000-0005-0000-0000-00008F5B0000}"/>
    <cellStyle name="Normal 70 4 2" xfId="24599" xr:uid="{00000000-0005-0000-0000-0000905B0000}"/>
    <cellStyle name="Normal 70 40" xfId="12429" xr:uid="{00000000-0005-0000-0000-0000915B0000}"/>
    <cellStyle name="Normal 70 40 2" xfId="24600" xr:uid="{00000000-0005-0000-0000-0000925B0000}"/>
    <cellStyle name="Normal 70 41" xfId="12430" xr:uid="{00000000-0005-0000-0000-0000935B0000}"/>
    <cellStyle name="Normal 70 41 2" xfId="24601" xr:uid="{00000000-0005-0000-0000-0000945B0000}"/>
    <cellStyle name="Normal 70 42" xfId="12431" xr:uid="{00000000-0005-0000-0000-0000955B0000}"/>
    <cellStyle name="Normal 70 42 2" xfId="24602" xr:uid="{00000000-0005-0000-0000-0000965B0000}"/>
    <cellStyle name="Normal 70 43" xfId="12432" xr:uid="{00000000-0005-0000-0000-0000975B0000}"/>
    <cellStyle name="Normal 70 43 2" xfId="24603" xr:uid="{00000000-0005-0000-0000-0000985B0000}"/>
    <cellStyle name="Normal 70 44" xfId="12433" xr:uid="{00000000-0005-0000-0000-0000995B0000}"/>
    <cellStyle name="Normal 70 44 2" xfId="24604" xr:uid="{00000000-0005-0000-0000-00009A5B0000}"/>
    <cellStyle name="Normal 70 45" xfId="12434" xr:uid="{00000000-0005-0000-0000-00009B5B0000}"/>
    <cellStyle name="Normal 70 45 2" xfId="24605" xr:uid="{00000000-0005-0000-0000-00009C5B0000}"/>
    <cellStyle name="Normal 70 46" xfId="12435" xr:uid="{00000000-0005-0000-0000-00009D5B0000}"/>
    <cellStyle name="Normal 70 46 2" xfId="24606" xr:uid="{00000000-0005-0000-0000-00009E5B0000}"/>
    <cellStyle name="Normal 70 47" xfId="12436" xr:uid="{00000000-0005-0000-0000-00009F5B0000}"/>
    <cellStyle name="Normal 70 47 2" xfId="24607" xr:uid="{00000000-0005-0000-0000-0000A05B0000}"/>
    <cellStyle name="Normal 70 48" xfId="12437" xr:uid="{00000000-0005-0000-0000-0000A15B0000}"/>
    <cellStyle name="Normal 70 48 2" xfId="24608" xr:uid="{00000000-0005-0000-0000-0000A25B0000}"/>
    <cellStyle name="Normal 70 49" xfId="12438" xr:uid="{00000000-0005-0000-0000-0000A35B0000}"/>
    <cellStyle name="Normal 70 49 2" xfId="24609" xr:uid="{00000000-0005-0000-0000-0000A45B0000}"/>
    <cellStyle name="Normal 70 5" xfId="12439" xr:uid="{00000000-0005-0000-0000-0000A55B0000}"/>
    <cellStyle name="Normal 70 5 2" xfId="24610" xr:uid="{00000000-0005-0000-0000-0000A65B0000}"/>
    <cellStyle name="Normal 70 50" xfId="12440" xr:uid="{00000000-0005-0000-0000-0000A75B0000}"/>
    <cellStyle name="Normal 70 50 2" xfId="24611" xr:uid="{00000000-0005-0000-0000-0000A85B0000}"/>
    <cellStyle name="Normal 70 51" xfId="12441" xr:uid="{00000000-0005-0000-0000-0000A95B0000}"/>
    <cellStyle name="Normal 70 51 2" xfId="24612" xr:uid="{00000000-0005-0000-0000-0000AA5B0000}"/>
    <cellStyle name="Normal 70 52" xfId="12442" xr:uid="{00000000-0005-0000-0000-0000AB5B0000}"/>
    <cellStyle name="Normal 70 52 2" xfId="24613" xr:uid="{00000000-0005-0000-0000-0000AC5B0000}"/>
    <cellStyle name="Normal 70 53" xfId="12443" xr:uid="{00000000-0005-0000-0000-0000AD5B0000}"/>
    <cellStyle name="Normal 70 53 2" xfId="24614" xr:uid="{00000000-0005-0000-0000-0000AE5B0000}"/>
    <cellStyle name="Normal 70 54" xfId="12444" xr:uid="{00000000-0005-0000-0000-0000AF5B0000}"/>
    <cellStyle name="Normal 70 54 2" xfId="24615" xr:uid="{00000000-0005-0000-0000-0000B05B0000}"/>
    <cellStyle name="Normal 70 55" xfId="12445" xr:uid="{00000000-0005-0000-0000-0000B15B0000}"/>
    <cellStyle name="Normal 70 55 2" xfId="24616" xr:uid="{00000000-0005-0000-0000-0000B25B0000}"/>
    <cellStyle name="Normal 70 56" xfId="12446" xr:uid="{00000000-0005-0000-0000-0000B35B0000}"/>
    <cellStyle name="Normal 70 56 2" xfId="24617" xr:uid="{00000000-0005-0000-0000-0000B45B0000}"/>
    <cellStyle name="Normal 70 57" xfId="12447" xr:uid="{00000000-0005-0000-0000-0000B55B0000}"/>
    <cellStyle name="Normal 70 57 2" xfId="24618" xr:uid="{00000000-0005-0000-0000-0000B65B0000}"/>
    <cellStyle name="Normal 70 58" xfId="12448" xr:uid="{00000000-0005-0000-0000-0000B75B0000}"/>
    <cellStyle name="Normal 70 58 2" xfId="24619" xr:uid="{00000000-0005-0000-0000-0000B85B0000}"/>
    <cellStyle name="Normal 70 59" xfId="12449" xr:uid="{00000000-0005-0000-0000-0000B95B0000}"/>
    <cellStyle name="Normal 70 59 2" xfId="24620" xr:uid="{00000000-0005-0000-0000-0000BA5B0000}"/>
    <cellStyle name="Normal 70 6" xfId="12450" xr:uid="{00000000-0005-0000-0000-0000BB5B0000}"/>
    <cellStyle name="Normal 70 6 2" xfId="24621" xr:uid="{00000000-0005-0000-0000-0000BC5B0000}"/>
    <cellStyle name="Normal 70 60" xfId="12451" xr:uid="{00000000-0005-0000-0000-0000BD5B0000}"/>
    <cellStyle name="Normal 70 60 2" xfId="24622" xr:uid="{00000000-0005-0000-0000-0000BE5B0000}"/>
    <cellStyle name="Normal 70 61" xfId="12452" xr:uid="{00000000-0005-0000-0000-0000BF5B0000}"/>
    <cellStyle name="Normal 70 61 2" xfId="24623" xr:uid="{00000000-0005-0000-0000-0000C05B0000}"/>
    <cellStyle name="Normal 70 62" xfId="12453" xr:uid="{00000000-0005-0000-0000-0000C15B0000}"/>
    <cellStyle name="Normal 70 62 2" xfId="24624" xr:uid="{00000000-0005-0000-0000-0000C25B0000}"/>
    <cellStyle name="Normal 70 63" xfId="12454" xr:uid="{00000000-0005-0000-0000-0000C35B0000}"/>
    <cellStyle name="Normal 70 63 2" xfId="24625" xr:uid="{00000000-0005-0000-0000-0000C45B0000}"/>
    <cellStyle name="Normal 70 64" xfId="12455" xr:uid="{00000000-0005-0000-0000-0000C55B0000}"/>
    <cellStyle name="Normal 70 64 2" xfId="24626" xr:uid="{00000000-0005-0000-0000-0000C65B0000}"/>
    <cellStyle name="Normal 70 65" xfId="12456" xr:uid="{00000000-0005-0000-0000-0000C75B0000}"/>
    <cellStyle name="Normal 70 65 2" xfId="24627" xr:uid="{00000000-0005-0000-0000-0000C85B0000}"/>
    <cellStyle name="Normal 70 66" xfId="12457" xr:uid="{00000000-0005-0000-0000-0000C95B0000}"/>
    <cellStyle name="Normal 70 66 2" xfId="24628" xr:uid="{00000000-0005-0000-0000-0000CA5B0000}"/>
    <cellStyle name="Normal 70 67" xfId="12458" xr:uid="{00000000-0005-0000-0000-0000CB5B0000}"/>
    <cellStyle name="Normal 70 67 2" xfId="24629" xr:uid="{00000000-0005-0000-0000-0000CC5B0000}"/>
    <cellStyle name="Normal 70 68" xfId="12459" xr:uid="{00000000-0005-0000-0000-0000CD5B0000}"/>
    <cellStyle name="Normal 70 68 2" xfId="24630" xr:uid="{00000000-0005-0000-0000-0000CE5B0000}"/>
    <cellStyle name="Normal 70 69" xfId="12460" xr:uid="{00000000-0005-0000-0000-0000CF5B0000}"/>
    <cellStyle name="Normal 70 69 2" xfId="24631" xr:uid="{00000000-0005-0000-0000-0000D05B0000}"/>
    <cellStyle name="Normal 70 7" xfId="12461" xr:uid="{00000000-0005-0000-0000-0000D15B0000}"/>
    <cellStyle name="Normal 70 7 2" xfId="24632" xr:uid="{00000000-0005-0000-0000-0000D25B0000}"/>
    <cellStyle name="Normal 70 70" xfId="12462" xr:uid="{00000000-0005-0000-0000-0000D35B0000}"/>
    <cellStyle name="Normal 70 70 2" xfId="24633" xr:uid="{00000000-0005-0000-0000-0000D45B0000}"/>
    <cellStyle name="Normal 70 71" xfId="12463" xr:uid="{00000000-0005-0000-0000-0000D55B0000}"/>
    <cellStyle name="Normal 70 71 2" xfId="24634" xr:uid="{00000000-0005-0000-0000-0000D65B0000}"/>
    <cellStyle name="Normal 70 72" xfId="12464" xr:uid="{00000000-0005-0000-0000-0000D75B0000}"/>
    <cellStyle name="Normal 70 72 2" xfId="24635" xr:uid="{00000000-0005-0000-0000-0000D85B0000}"/>
    <cellStyle name="Normal 70 73" xfId="12465" xr:uid="{00000000-0005-0000-0000-0000D95B0000}"/>
    <cellStyle name="Normal 70 73 2" xfId="24636" xr:uid="{00000000-0005-0000-0000-0000DA5B0000}"/>
    <cellStyle name="Normal 70 74" xfId="12466" xr:uid="{00000000-0005-0000-0000-0000DB5B0000}"/>
    <cellStyle name="Normal 70 74 2" xfId="24637" xr:uid="{00000000-0005-0000-0000-0000DC5B0000}"/>
    <cellStyle name="Normal 70 75" xfId="12467" xr:uid="{00000000-0005-0000-0000-0000DD5B0000}"/>
    <cellStyle name="Normal 70 75 2" xfId="24638" xr:uid="{00000000-0005-0000-0000-0000DE5B0000}"/>
    <cellStyle name="Normal 70 76" xfId="12468" xr:uid="{00000000-0005-0000-0000-0000DF5B0000}"/>
    <cellStyle name="Normal 70 76 2" xfId="24639" xr:uid="{00000000-0005-0000-0000-0000E05B0000}"/>
    <cellStyle name="Normal 70 77" xfId="12469" xr:uid="{00000000-0005-0000-0000-0000E15B0000}"/>
    <cellStyle name="Normal 70 77 2" xfId="24640" xr:uid="{00000000-0005-0000-0000-0000E25B0000}"/>
    <cellStyle name="Normal 70 78" xfId="12470" xr:uid="{00000000-0005-0000-0000-0000E35B0000}"/>
    <cellStyle name="Normal 70 78 2" xfId="24641" xr:uid="{00000000-0005-0000-0000-0000E45B0000}"/>
    <cellStyle name="Normal 70 79" xfId="12471" xr:uid="{00000000-0005-0000-0000-0000E55B0000}"/>
    <cellStyle name="Normal 70 79 2" xfId="24642" xr:uid="{00000000-0005-0000-0000-0000E65B0000}"/>
    <cellStyle name="Normal 70 8" xfId="12472" xr:uid="{00000000-0005-0000-0000-0000E75B0000}"/>
    <cellStyle name="Normal 70 8 2" xfId="24643" xr:uid="{00000000-0005-0000-0000-0000E85B0000}"/>
    <cellStyle name="Normal 70 80" xfId="24566" xr:uid="{00000000-0005-0000-0000-0000E95B0000}"/>
    <cellStyle name="Normal 70 9" xfId="12473" xr:uid="{00000000-0005-0000-0000-0000EA5B0000}"/>
    <cellStyle name="Normal 70 9 2" xfId="24644" xr:uid="{00000000-0005-0000-0000-0000EB5B0000}"/>
    <cellStyle name="Normal 71" xfId="197" xr:uid="{00000000-0005-0000-0000-0000EC5B0000}"/>
    <cellStyle name="Normal 71 10" xfId="12474" xr:uid="{00000000-0005-0000-0000-0000ED5B0000}"/>
    <cellStyle name="Normal 71 10 2" xfId="24646" xr:uid="{00000000-0005-0000-0000-0000EE5B0000}"/>
    <cellStyle name="Normal 71 11" xfId="12475" xr:uid="{00000000-0005-0000-0000-0000EF5B0000}"/>
    <cellStyle name="Normal 71 11 2" xfId="24647" xr:uid="{00000000-0005-0000-0000-0000F05B0000}"/>
    <cellStyle name="Normal 71 12" xfId="12476" xr:uid="{00000000-0005-0000-0000-0000F15B0000}"/>
    <cellStyle name="Normal 71 12 2" xfId="24648" xr:uid="{00000000-0005-0000-0000-0000F25B0000}"/>
    <cellStyle name="Normal 71 13" xfId="12477" xr:uid="{00000000-0005-0000-0000-0000F35B0000}"/>
    <cellStyle name="Normal 71 13 2" xfId="24649" xr:uid="{00000000-0005-0000-0000-0000F45B0000}"/>
    <cellStyle name="Normal 71 14" xfId="12478" xr:uid="{00000000-0005-0000-0000-0000F55B0000}"/>
    <cellStyle name="Normal 71 14 2" xfId="24650" xr:uid="{00000000-0005-0000-0000-0000F65B0000}"/>
    <cellStyle name="Normal 71 15" xfId="12479" xr:uid="{00000000-0005-0000-0000-0000F75B0000}"/>
    <cellStyle name="Normal 71 15 2" xfId="24651" xr:uid="{00000000-0005-0000-0000-0000F85B0000}"/>
    <cellStyle name="Normal 71 16" xfId="12480" xr:uid="{00000000-0005-0000-0000-0000F95B0000}"/>
    <cellStyle name="Normal 71 16 2" xfId="24652" xr:uid="{00000000-0005-0000-0000-0000FA5B0000}"/>
    <cellStyle name="Normal 71 17" xfId="12481" xr:uid="{00000000-0005-0000-0000-0000FB5B0000}"/>
    <cellStyle name="Normal 71 17 2" xfId="24653" xr:uid="{00000000-0005-0000-0000-0000FC5B0000}"/>
    <cellStyle name="Normal 71 18" xfId="12482" xr:uid="{00000000-0005-0000-0000-0000FD5B0000}"/>
    <cellStyle name="Normal 71 18 2" xfId="24654" xr:uid="{00000000-0005-0000-0000-0000FE5B0000}"/>
    <cellStyle name="Normal 71 19" xfId="12483" xr:uid="{00000000-0005-0000-0000-0000FF5B0000}"/>
    <cellStyle name="Normal 71 19 2" xfId="24655" xr:uid="{00000000-0005-0000-0000-0000005C0000}"/>
    <cellStyle name="Normal 71 2" xfId="761" xr:uid="{00000000-0005-0000-0000-0000015C0000}"/>
    <cellStyle name="Normal 71 2 2" xfId="24656" xr:uid="{00000000-0005-0000-0000-0000025C0000}"/>
    <cellStyle name="Normal 71 2 3" xfId="12484" xr:uid="{00000000-0005-0000-0000-0000035C0000}"/>
    <cellStyle name="Normal 71 20" xfId="12485" xr:uid="{00000000-0005-0000-0000-0000045C0000}"/>
    <cellStyle name="Normal 71 20 2" xfId="24657" xr:uid="{00000000-0005-0000-0000-0000055C0000}"/>
    <cellStyle name="Normal 71 21" xfId="12486" xr:uid="{00000000-0005-0000-0000-0000065C0000}"/>
    <cellStyle name="Normal 71 21 2" xfId="24658" xr:uid="{00000000-0005-0000-0000-0000075C0000}"/>
    <cellStyle name="Normal 71 22" xfId="12487" xr:uid="{00000000-0005-0000-0000-0000085C0000}"/>
    <cellStyle name="Normal 71 22 2" xfId="24659" xr:uid="{00000000-0005-0000-0000-0000095C0000}"/>
    <cellStyle name="Normal 71 23" xfId="12488" xr:uid="{00000000-0005-0000-0000-00000A5C0000}"/>
    <cellStyle name="Normal 71 23 2" xfId="24660" xr:uid="{00000000-0005-0000-0000-00000B5C0000}"/>
    <cellStyle name="Normal 71 24" xfId="12489" xr:uid="{00000000-0005-0000-0000-00000C5C0000}"/>
    <cellStyle name="Normal 71 24 2" xfId="24661" xr:uid="{00000000-0005-0000-0000-00000D5C0000}"/>
    <cellStyle name="Normal 71 25" xfId="12490" xr:uid="{00000000-0005-0000-0000-00000E5C0000}"/>
    <cellStyle name="Normal 71 25 2" xfId="24662" xr:uid="{00000000-0005-0000-0000-00000F5C0000}"/>
    <cellStyle name="Normal 71 26" xfId="12491" xr:uid="{00000000-0005-0000-0000-0000105C0000}"/>
    <cellStyle name="Normal 71 26 2" xfId="24663" xr:uid="{00000000-0005-0000-0000-0000115C0000}"/>
    <cellStyle name="Normal 71 27" xfId="12492" xr:uid="{00000000-0005-0000-0000-0000125C0000}"/>
    <cellStyle name="Normal 71 27 2" xfId="24664" xr:uid="{00000000-0005-0000-0000-0000135C0000}"/>
    <cellStyle name="Normal 71 28" xfId="12493" xr:uid="{00000000-0005-0000-0000-0000145C0000}"/>
    <cellStyle name="Normal 71 28 2" xfId="24665" xr:uid="{00000000-0005-0000-0000-0000155C0000}"/>
    <cellStyle name="Normal 71 29" xfId="12494" xr:uid="{00000000-0005-0000-0000-0000165C0000}"/>
    <cellStyle name="Normal 71 29 2" xfId="24666" xr:uid="{00000000-0005-0000-0000-0000175C0000}"/>
    <cellStyle name="Normal 71 3" xfId="412" xr:uid="{00000000-0005-0000-0000-0000185C0000}"/>
    <cellStyle name="Normal 71 3 2" xfId="24667" xr:uid="{00000000-0005-0000-0000-0000195C0000}"/>
    <cellStyle name="Normal 71 30" xfId="12495" xr:uid="{00000000-0005-0000-0000-00001A5C0000}"/>
    <cellStyle name="Normal 71 30 2" xfId="24668" xr:uid="{00000000-0005-0000-0000-00001B5C0000}"/>
    <cellStyle name="Normal 71 31" xfId="12496" xr:uid="{00000000-0005-0000-0000-00001C5C0000}"/>
    <cellStyle name="Normal 71 31 2" xfId="24669" xr:uid="{00000000-0005-0000-0000-00001D5C0000}"/>
    <cellStyle name="Normal 71 32" xfId="12497" xr:uid="{00000000-0005-0000-0000-00001E5C0000}"/>
    <cellStyle name="Normal 71 32 2" xfId="24670" xr:uid="{00000000-0005-0000-0000-00001F5C0000}"/>
    <cellStyle name="Normal 71 33" xfId="12498" xr:uid="{00000000-0005-0000-0000-0000205C0000}"/>
    <cellStyle name="Normal 71 33 2" xfId="24671" xr:uid="{00000000-0005-0000-0000-0000215C0000}"/>
    <cellStyle name="Normal 71 34" xfId="12499" xr:uid="{00000000-0005-0000-0000-0000225C0000}"/>
    <cellStyle name="Normal 71 34 2" xfId="24672" xr:uid="{00000000-0005-0000-0000-0000235C0000}"/>
    <cellStyle name="Normal 71 35" xfId="12500" xr:uid="{00000000-0005-0000-0000-0000245C0000}"/>
    <cellStyle name="Normal 71 35 2" xfId="24673" xr:uid="{00000000-0005-0000-0000-0000255C0000}"/>
    <cellStyle name="Normal 71 36" xfId="12501" xr:uid="{00000000-0005-0000-0000-0000265C0000}"/>
    <cellStyle name="Normal 71 36 2" xfId="24674" xr:uid="{00000000-0005-0000-0000-0000275C0000}"/>
    <cellStyle name="Normal 71 37" xfId="12502" xr:uid="{00000000-0005-0000-0000-0000285C0000}"/>
    <cellStyle name="Normal 71 37 2" xfId="24675" xr:uid="{00000000-0005-0000-0000-0000295C0000}"/>
    <cellStyle name="Normal 71 38" xfId="12503" xr:uid="{00000000-0005-0000-0000-00002A5C0000}"/>
    <cellStyle name="Normal 71 38 2" xfId="24676" xr:uid="{00000000-0005-0000-0000-00002B5C0000}"/>
    <cellStyle name="Normal 71 39" xfId="12504" xr:uid="{00000000-0005-0000-0000-00002C5C0000}"/>
    <cellStyle name="Normal 71 39 2" xfId="24677" xr:uid="{00000000-0005-0000-0000-00002D5C0000}"/>
    <cellStyle name="Normal 71 4" xfId="12505" xr:uid="{00000000-0005-0000-0000-00002E5C0000}"/>
    <cellStyle name="Normal 71 4 2" xfId="24678" xr:uid="{00000000-0005-0000-0000-00002F5C0000}"/>
    <cellStyle name="Normal 71 40" xfId="12506" xr:uid="{00000000-0005-0000-0000-0000305C0000}"/>
    <cellStyle name="Normal 71 40 2" xfId="24679" xr:uid="{00000000-0005-0000-0000-0000315C0000}"/>
    <cellStyle name="Normal 71 41" xfId="12507" xr:uid="{00000000-0005-0000-0000-0000325C0000}"/>
    <cellStyle name="Normal 71 41 2" xfId="24680" xr:uid="{00000000-0005-0000-0000-0000335C0000}"/>
    <cellStyle name="Normal 71 42" xfId="12508" xr:uid="{00000000-0005-0000-0000-0000345C0000}"/>
    <cellStyle name="Normal 71 42 2" xfId="24681" xr:uid="{00000000-0005-0000-0000-0000355C0000}"/>
    <cellStyle name="Normal 71 43" xfId="12509" xr:uid="{00000000-0005-0000-0000-0000365C0000}"/>
    <cellStyle name="Normal 71 43 2" xfId="24682" xr:uid="{00000000-0005-0000-0000-0000375C0000}"/>
    <cellStyle name="Normal 71 44" xfId="12510" xr:uid="{00000000-0005-0000-0000-0000385C0000}"/>
    <cellStyle name="Normal 71 44 2" xfId="24683" xr:uid="{00000000-0005-0000-0000-0000395C0000}"/>
    <cellStyle name="Normal 71 45" xfId="12511" xr:uid="{00000000-0005-0000-0000-00003A5C0000}"/>
    <cellStyle name="Normal 71 45 2" xfId="24684" xr:uid="{00000000-0005-0000-0000-00003B5C0000}"/>
    <cellStyle name="Normal 71 46" xfId="12512" xr:uid="{00000000-0005-0000-0000-00003C5C0000}"/>
    <cellStyle name="Normal 71 46 2" xfId="24685" xr:uid="{00000000-0005-0000-0000-00003D5C0000}"/>
    <cellStyle name="Normal 71 47" xfId="12513" xr:uid="{00000000-0005-0000-0000-00003E5C0000}"/>
    <cellStyle name="Normal 71 47 2" xfId="24686" xr:uid="{00000000-0005-0000-0000-00003F5C0000}"/>
    <cellStyle name="Normal 71 48" xfId="12514" xr:uid="{00000000-0005-0000-0000-0000405C0000}"/>
    <cellStyle name="Normal 71 48 2" xfId="24687" xr:uid="{00000000-0005-0000-0000-0000415C0000}"/>
    <cellStyle name="Normal 71 49" xfId="12515" xr:uid="{00000000-0005-0000-0000-0000425C0000}"/>
    <cellStyle name="Normal 71 49 2" xfId="24688" xr:uid="{00000000-0005-0000-0000-0000435C0000}"/>
    <cellStyle name="Normal 71 5" xfId="12516" xr:uid="{00000000-0005-0000-0000-0000445C0000}"/>
    <cellStyle name="Normal 71 5 2" xfId="24689" xr:uid="{00000000-0005-0000-0000-0000455C0000}"/>
    <cellStyle name="Normal 71 50" xfId="12517" xr:uid="{00000000-0005-0000-0000-0000465C0000}"/>
    <cellStyle name="Normal 71 50 2" xfId="24690" xr:uid="{00000000-0005-0000-0000-0000475C0000}"/>
    <cellStyle name="Normal 71 51" xfId="12518" xr:uid="{00000000-0005-0000-0000-0000485C0000}"/>
    <cellStyle name="Normal 71 51 2" xfId="24691" xr:uid="{00000000-0005-0000-0000-0000495C0000}"/>
    <cellStyle name="Normal 71 52" xfId="12519" xr:uid="{00000000-0005-0000-0000-00004A5C0000}"/>
    <cellStyle name="Normal 71 52 2" xfId="24692" xr:uid="{00000000-0005-0000-0000-00004B5C0000}"/>
    <cellStyle name="Normal 71 53" xfId="12520" xr:uid="{00000000-0005-0000-0000-00004C5C0000}"/>
    <cellStyle name="Normal 71 53 2" xfId="24693" xr:uid="{00000000-0005-0000-0000-00004D5C0000}"/>
    <cellStyle name="Normal 71 54" xfId="12521" xr:uid="{00000000-0005-0000-0000-00004E5C0000}"/>
    <cellStyle name="Normal 71 54 2" xfId="24694" xr:uid="{00000000-0005-0000-0000-00004F5C0000}"/>
    <cellStyle name="Normal 71 55" xfId="12522" xr:uid="{00000000-0005-0000-0000-0000505C0000}"/>
    <cellStyle name="Normal 71 55 2" xfId="24695" xr:uid="{00000000-0005-0000-0000-0000515C0000}"/>
    <cellStyle name="Normal 71 56" xfId="12523" xr:uid="{00000000-0005-0000-0000-0000525C0000}"/>
    <cellStyle name="Normal 71 56 2" xfId="24696" xr:uid="{00000000-0005-0000-0000-0000535C0000}"/>
    <cellStyle name="Normal 71 57" xfId="12524" xr:uid="{00000000-0005-0000-0000-0000545C0000}"/>
    <cellStyle name="Normal 71 57 2" xfId="24697" xr:uid="{00000000-0005-0000-0000-0000555C0000}"/>
    <cellStyle name="Normal 71 58" xfId="12525" xr:uid="{00000000-0005-0000-0000-0000565C0000}"/>
    <cellStyle name="Normal 71 58 2" xfId="24698" xr:uid="{00000000-0005-0000-0000-0000575C0000}"/>
    <cellStyle name="Normal 71 59" xfId="12526" xr:uid="{00000000-0005-0000-0000-0000585C0000}"/>
    <cellStyle name="Normal 71 59 2" xfId="24699" xr:uid="{00000000-0005-0000-0000-0000595C0000}"/>
    <cellStyle name="Normal 71 6" xfId="12527" xr:uid="{00000000-0005-0000-0000-00005A5C0000}"/>
    <cellStyle name="Normal 71 6 2" xfId="24700" xr:uid="{00000000-0005-0000-0000-00005B5C0000}"/>
    <cellStyle name="Normal 71 60" xfId="12528" xr:uid="{00000000-0005-0000-0000-00005C5C0000}"/>
    <cellStyle name="Normal 71 60 2" xfId="24701" xr:uid="{00000000-0005-0000-0000-00005D5C0000}"/>
    <cellStyle name="Normal 71 61" xfId="12529" xr:uid="{00000000-0005-0000-0000-00005E5C0000}"/>
    <cellStyle name="Normal 71 61 2" xfId="24702" xr:uid="{00000000-0005-0000-0000-00005F5C0000}"/>
    <cellStyle name="Normal 71 62" xfId="12530" xr:uid="{00000000-0005-0000-0000-0000605C0000}"/>
    <cellStyle name="Normal 71 62 2" xfId="24703" xr:uid="{00000000-0005-0000-0000-0000615C0000}"/>
    <cellStyle name="Normal 71 63" xfId="12531" xr:uid="{00000000-0005-0000-0000-0000625C0000}"/>
    <cellStyle name="Normal 71 63 2" xfId="24704" xr:uid="{00000000-0005-0000-0000-0000635C0000}"/>
    <cellStyle name="Normal 71 64" xfId="12532" xr:uid="{00000000-0005-0000-0000-0000645C0000}"/>
    <cellStyle name="Normal 71 64 2" xfId="24705" xr:uid="{00000000-0005-0000-0000-0000655C0000}"/>
    <cellStyle name="Normal 71 65" xfId="12533" xr:uid="{00000000-0005-0000-0000-0000665C0000}"/>
    <cellStyle name="Normal 71 65 2" xfId="24706" xr:uid="{00000000-0005-0000-0000-0000675C0000}"/>
    <cellStyle name="Normal 71 66" xfId="12534" xr:uid="{00000000-0005-0000-0000-0000685C0000}"/>
    <cellStyle name="Normal 71 66 2" xfId="24707" xr:uid="{00000000-0005-0000-0000-0000695C0000}"/>
    <cellStyle name="Normal 71 67" xfId="12535" xr:uid="{00000000-0005-0000-0000-00006A5C0000}"/>
    <cellStyle name="Normal 71 67 2" xfId="24708" xr:uid="{00000000-0005-0000-0000-00006B5C0000}"/>
    <cellStyle name="Normal 71 68" xfId="12536" xr:uid="{00000000-0005-0000-0000-00006C5C0000}"/>
    <cellStyle name="Normal 71 68 2" xfId="24709" xr:uid="{00000000-0005-0000-0000-00006D5C0000}"/>
    <cellStyle name="Normal 71 69" xfId="12537" xr:uid="{00000000-0005-0000-0000-00006E5C0000}"/>
    <cellStyle name="Normal 71 69 2" xfId="24710" xr:uid="{00000000-0005-0000-0000-00006F5C0000}"/>
    <cellStyle name="Normal 71 7" xfId="12538" xr:uid="{00000000-0005-0000-0000-0000705C0000}"/>
    <cellStyle name="Normal 71 7 2" xfId="24711" xr:uid="{00000000-0005-0000-0000-0000715C0000}"/>
    <cellStyle name="Normal 71 70" xfId="12539" xr:uid="{00000000-0005-0000-0000-0000725C0000}"/>
    <cellStyle name="Normal 71 70 2" xfId="24712" xr:uid="{00000000-0005-0000-0000-0000735C0000}"/>
    <cellStyle name="Normal 71 71" xfId="12540" xr:uid="{00000000-0005-0000-0000-0000745C0000}"/>
    <cellStyle name="Normal 71 71 2" xfId="24713" xr:uid="{00000000-0005-0000-0000-0000755C0000}"/>
    <cellStyle name="Normal 71 72" xfId="12541" xr:uid="{00000000-0005-0000-0000-0000765C0000}"/>
    <cellStyle name="Normal 71 72 2" xfId="24714" xr:uid="{00000000-0005-0000-0000-0000775C0000}"/>
    <cellStyle name="Normal 71 73" xfId="12542" xr:uid="{00000000-0005-0000-0000-0000785C0000}"/>
    <cellStyle name="Normal 71 73 2" xfId="24715" xr:uid="{00000000-0005-0000-0000-0000795C0000}"/>
    <cellStyle name="Normal 71 74" xfId="12543" xr:uid="{00000000-0005-0000-0000-00007A5C0000}"/>
    <cellStyle name="Normal 71 74 2" xfId="24716" xr:uid="{00000000-0005-0000-0000-00007B5C0000}"/>
    <cellStyle name="Normal 71 75" xfId="12544" xr:uid="{00000000-0005-0000-0000-00007C5C0000}"/>
    <cellStyle name="Normal 71 75 2" xfId="24717" xr:uid="{00000000-0005-0000-0000-00007D5C0000}"/>
    <cellStyle name="Normal 71 76" xfId="12545" xr:uid="{00000000-0005-0000-0000-00007E5C0000}"/>
    <cellStyle name="Normal 71 76 2" xfId="24718" xr:uid="{00000000-0005-0000-0000-00007F5C0000}"/>
    <cellStyle name="Normal 71 77" xfId="12546" xr:uid="{00000000-0005-0000-0000-0000805C0000}"/>
    <cellStyle name="Normal 71 77 2" xfId="24719" xr:uid="{00000000-0005-0000-0000-0000815C0000}"/>
    <cellStyle name="Normal 71 78" xfId="12547" xr:uid="{00000000-0005-0000-0000-0000825C0000}"/>
    <cellStyle name="Normal 71 78 2" xfId="24720" xr:uid="{00000000-0005-0000-0000-0000835C0000}"/>
    <cellStyle name="Normal 71 79" xfId="12548" xr:uid="{00000000-0005-0000-0000-0000845C0000}"/>
    <cellStyle name="Normal 71 79 2" xfId="24721" xr:uid="{00000000-0005-0000-0000-0000855C0000}"/>
    <cellStyle name="Normal 71 8" xfId="12549" xr:uid="{00000000-0005-0000-0000-0000865C0000}"/>
    <cellStyle name="Normal 71 8 2" xfId="24722" xr:uid="{00000000-0005-0000-0000-0000875C0000}"/>
    <cellStyle name="Normal 71 80" xfId="24645" xr:uid="{00000000-0005-0000-0000-0000885C0000}"/>
    <cellStyle name="Normal 71 9" xfId="12550" xr:uid="{00000000-0005-0000-0000-0000895C0000}"/>
    <cellStyle name="Normal 71 9 2" xfId="24723" xr:uid="{00000000-0005-0000-0000-00008A5C0000}"/>
    <cellStyle name="Normal 72" xfId="198" xr:uid="{00000000-0005-0000-0000-00008B5C0000}"/>
    <cellStyle name="Normal 72 10" xfId="12551" xr:uid="{00000000-0005-0000-0000-00008C5C0000}"/>
    <cellStyle name="Normal 72 10 2" xfId="24725" xr:uid="{00000000-0005-0000-0000-00008D5C0000}"/>
    <cellStyle name="Normal 72 11" xfId="12552" xr:uid="{00000000-0005-0000-0000-00008E5C0000}"/>
    <cellStyle name="Normal 72 11 2" xfId="24726" xr:uid="{00000000-0005-0000-0000-00008F5C0000}"/>
    <cellStyle name="Normal 72 12" xfId="12553" xr:uid="{00000000-0005-0000-0000-0000905C0000}"/>
    <cellStyle name="Normal 72 12 2" xfId="24727" xr:uid="{00000000-0005-0000-0000-0000915C0000}"/>
    <cellStyle name="Normal 72 13" xfId="12554" xr:uid="{00000000-0005-0000-0000-0000925C0000}"/>
    <cellStyle name="Normal 72 13 2" xfId="24728" xr:uid="{00000000-0005-0000-0000-0000935C0000}"/>
    <cellStyle name="Normal 72 14" xfId="12555" xr:uid="{00000000-0005-0000-0000-0000945C0000}"/>
    <cellStyle name="Normal 72 14 2" xfId="24729" xr:uid="{00000000-0005-0000-0000-0000955C0000}"/>
    <cellStyle name="Normal 72 15" xfId="12556" xr:uid="{00000000-0005-0000-0000-0000965C0000}"/>
    <cellStyle name="Normal 72 15 2" xfId="24730" xr:uid="{00000000-0005-0000-0000-0000975C0000}"/>
    <cellStyle name="Normal 72 16" xfId="12557" xr:uid="{00000000-0005-0000-0000-0000985C0000}"/>
    <cellStyle name="Normal 72 16 2" xfId="24731" xr:uid="{00000000-0005-0000-0000-0000995C0000}"/>
    <cellStyle name="Normal 72 17" xfId="12558" xr:uid="{00000000-0005-0000-0000-00009A5C0000}"/>
    <cellStyle name="Normal 72 17 2" xfId="24732" xr:uid="{00000000-0005-0000-0000-00009B5C0000}"/>
    <cellStyle name="Normal 72 18" xfId="12559" xr:uid="{00000000-0005-0000-0000-00009C5C0000}"/>
    <cellStyle name="Normal 72 18 2" xfId="24733" xr:uid="{00000000-0005-0000-0000-00009D5C0000}"/>
    <cellStyle name="Normal 72 19" xfId="12560" xr:uid="{00000000-0005-0000-0000-00009E5C0000}"/>
    <cellStyle name="Normal 72 19 2" xfId="24734" xr:uid="{00000000-0005-0000-0000-00009F5C0000}"/>
    <cellStyle name="Normal 72 2" xfId="762" xr:uid="{00000000-0005-0000-0000-0000A05C0000}"/>
    <cellStyle name="Normal 72 2 2" xfId="24735" xr:uid="{00000000-0005-0000-0000-0000A15C0000}"/>
    <cellStyle name="Normal 72 2 3" xfId="12561" xr:uid="{00000000-0005-0000-0000-0000A25C0000}"/>
    <cellStyle name="Normal 72 20" xfId="12562" xr:uid="{00000000-0005-0000-0000-0000A35C0000}"/>
    <cellStyle name="Normal 72 20 2" xfId="24736" xr:uid="{00000000-0005-0000-0000-0000A45C0000}"/>
    <cellStyle name="Normal 72 21" xfId="12563" xr:uid="{00000000-0005-0000-0000-0000A55C0000}"/>
    <cellStyle name="Normal 72 21 2" xfId="24737" xr:uid="{00000000-0005-0000-0000-0000A65C0000}"/>
    <cellStyle name="Normal 72 22" xfId="12564" xr:uid="{00000000-0005-0000-0000-0000A75C0000}"/>
    <cellStyle name="Normal 72 22 2" xfId="24738" xr:uid="{00000000-0005-0000-0000-0000A85C0000}"/>
    <cellStyle name="Normal 72 23" xfId="12565" xr:uid="{00000000-0005-0000-0000-0000A95C0000}"/>
    <cellStyle name="Normal 72 23 2" xfId="24739" xr:uid="{00000000-0005-0000-0000-0000AA5C0000}"/>
    <cellStyle name="Normal 72 24" xfId="12566" xr:uid="{00000000-0005-0000-0000-0000AB5C0000}"/>
    <cellStyle name="Normal 72 24 2" xfId="24740" xr:uid="{00000000-0005-0000-0000-0000AC5C0000}"/>
    <cellStyle name="Normal 72 25" xfId="12567" xr:uid="{00000000-0005-0000-0000-0000AD5C0000}"/>
    <cellStyle name="Normal 72 25 2" xfId="24741" xr:uid="{00000000-0005-0000-0000-0000AE5C0000}"/>
    <cellStyle name="Normal 72 26" xfId="12568" xr:uid="{00000000-0005-0000-0000-0000AF5C0000}"/>
    <cellStyle name="Normal 72 26 2" xfId="24742" xr:uid="{00000000-0005-0000-0000-0000B05C0000}"/>
    <cellStyle name="Normal 72 27" xfId="12569" xr:uid="{00000000-0005-0000-0000-0000B15C0000}"/>
    <cellStyle name="Normal 72 27 2" xfId="24743" xr:uid="{00000000-0005-0000-0000-0000B25C0000}"/>
    <cellStyle name="Normal 72 28" xfId="12570" xr:uid="{00000000-0005-0000-0000-0000B35C0000}"/>
    <cellStyle name="Normal 72 28 2" xfId="24744" xr:uid="{00000000-0005-0000-0000-0000B45C0000}"/>
    <cellStyle name="Normal 72 29" xfId="12571" xr:uid="{00000000-0005-0000-0000-0000B55C0000}"/>
    <cellStyle name="Normal 72 29 2" xfId="24745" xr:uid="{00000000-0005-0000-0000-0000B65C0000}"/>
    <cellStyle name="Normal 72 3" xfId="413" xr:uid="{00000000-0005-0000-0000-0000B75C0000}"/>
    <cellStyle name="Normal 72 3 2" xfId="24746" xr:uid="{00000000-0005-0000-0000-0000B85C0000}"/>
    <cellStyle name="Normal 72 30" xfId="12572" xr:uid="{00000000-0005-0000-0000-0000B95C0000}"/>
    <cellStyle name="Normal 72 30 2" xfId="24747" xr:uid="{00000000-0005-0000-0000-0000BA5C0000}"/>
    <cellStyle name="Normal 72 31" xfId="12573" xr:uid="{00000000-0005-0000-0000-0000BB5C0000}"/>
    <cellStyle name="Normal 72 31 2" xfId="24748" xr:uid="{00000000-0005-0000-0000-0000BC5C0000}"/>
    <cellStyle name="Normal 72 32" xfId="12574" xr:uid="{00000000-0005-0000-0000-0000BD5C0000}"/>
    <cellStyle name="Normal 72 32 2" xfId="24749" xr:uid="{00000000-0005-0000-0000-0000BE5C0000}"/>
    <cellStyle name="Normal 72 33" xfId="12575" xr:uid="{00000000-0005-0000-0000-0000BF5C0000}"/>
    <cellStyle name="Normal 72 33 2" xfId="24750" xr:uid="{00000000-0005-0000-0000-0000C05C0000}"/>
    <cellStyle name="Normal 72 34" xfId="12576" xr:uid="{00000000-0005-0000-0000-0000C15C0000}"/>
    <cellStyle name="Normal 72 34 2" xfId="24751" xr:uid="{00000000-0005-0000-0000-0000C25C0000}"/>
    <cellStyle name="Normal 72 35" xfId="12577" xr:uid="{00000000-0005-0000-0000-0000C35C0000}"/>
    <cellStyle name="Normal 72 35 2" xfId="24752" xr:uid="{00000000-0005-0000-0000-0000C45C0000}"/>
    <cellStyle name="Normal 72 36" xfId="12578" xr:uid="{00000000-0005-0000-0000-0000C55C0000}"/>
    <cellStyle name="Normal 72 36 2" xfId="24753" xr:uid="{00000000-0005-0000-0000-0000C65C0000}"/>
    <cellStyle name="Normal 72 37" xfId="12579" xr:uid="{00000000-0005-0000-0000-0000C75C0000}"/>
    <cellStyle name="Normal 72 37 2" xfId="24754" xr:uid="{00000000-0005-0000-0000-0000C85C0000}"/>
    <cellStyle name="Normal 72 38" xfId="12580" xr:uid="{00000000-0005-0000-0000-0000C95C0000}"/>
    <cellStyle name="Normal 72 38 2" xfId="24755" xr:uid="{00000000-0005-0000-0000-0000CA5C0000}"/>
    <cellStyle name="Normal 72 39" xfId="12581" xr:uid="{00000000-0005-0000-0000-0000CB5C0000}"/>
    <cellStyle name="Normal 72 39 2" xfId="24756" xr:uid="{00000000-0005-0000-0000-0000CC5C0000}"/>
    <cellStyle name="Normal 72 4" xfId="12582" xr:uid="{00000000-0005-0000-0000-0000CD5C0000}"/>
    <cellStyle name="Normal 72 4 2" xfId="24757" xr:uid="{00000000-0005-0000-0000-0000CE5C0000}"/>
    <cellStyle name="Normal 72 40" xfId="12583" xr:uid="{00000000-0005-0000-0000-0000CF5C0000}"/>
    <cellStyle name="Normal 72 40 2" xfId="24758" xr:uid="{00000000-0005-0000-0000-0000D05C0000}"/>
    <cellStyle name="Normal 72 41" xfId="12584" xr:uid="{00000000-0005-0000-0000-0000D15C0000}"/>
    <cellStyle name="Normal 72 41 2" xfId="24759" xr:uid="{00000000-0005-0000-0000-0000D25C0000}"/>
    <cellStyle name="Normal 72 42" xfId="12585" xr:uid="{00000000-0005-0000-0000-0000D35C0000}"/>
    <cellStyle name="Normal 72 42 2" xfId="24760" xr:uid="{00000000-0005-0000-0000-0000D45C0000}"/>
    <cellStyle name="Normal 72 43" xfId="12586" xr:uid="{00000000-0005-0000-0000-0000D55C0000}"/>
    <cellStyle name="Normal 72 43 2" xfId="24761" xr:uid="{00000000-0005-0000-0000-0000D65C0000}"/>
    <cellStyle name="Normal 72 44" xfId="12587" xr:uid="{00000000-0005-0000-0000-0000D75C0000}"/>
    <cellStyle name="Normal 72 44 2" xfId="24762" xr:uid="{00000000-0005-0000-0000-0000D85C0000}"/>
    <cellStyle name="Normal 72 45" xfId="12588" xr:uid="{00000000-0005-0000-0000-0000D95C0000}"/>
    <cellStyle name="Normal 72 45 2" xfId="24763" xr:uid="{00000000-0005-0000-0000-0000DA5C0000}"/>
    <cellStyle name="Normal 72 46" xfId="12589" xr:uid="{00000000-0005-0000-0000-0000DB5C0000}"/>
    <cellStyle name="Normal 72 46 2" xfId="24764" xr:uid="{00000000-0005-0000-0000-0000DC5C0000}"/>
    <cellStyle name="Normal 72 47" xfId="12590" xr:uid="{00000000-0005-0000-0000-0000DD5C0000}"/>
    <cellStyle name="Normal 72 47 2" xfId="24765" xr:uid="{00000000-0005-0000-0000-0000DE5C0000}"/>
    <cellStyle name="Normal 72 48" xfId="12591" xr:uid="{00000000-0005-0000-0000-0000DF5C0000}"/>
    <cellStyle name="Normal 72 48 2" xfId="24766" xr:uid="{00000000-0005-0000-0000-0000E05C0000}"/>
    <cellStyle name="Normal 72 49" xfId="12592" xr:uid="{00000000-0005-0000-0000-0000E15C0000}"/>
    <cellStyle name="Normal 72 49 2" xfId="24767" xr:uid="{00000000-0005-0000-0000-0000E25C0000}"/>
    <cellStyle name="Normal 72 5" xfId="12593" xr:uid="{00000000-0005-0000-0000-0000E35C0000}"/>
    <cellStyle name="Normal 72 5 2" xfId="24768" xr:uid="{00000000-0005-0000-0000-0000E45C0000}"/>
    <cellStyle name="Normal 72 50" xfId="12594" xr:uid="{00000000-0005-0000-0000-0000E55C0000}"/>
    <cellStyle name="Normal 72 50 2" xfId="24769" xr:uid="{00000000-0005-0000-0000-0000E65C0000}"/>
    <cellStyle name="Normal 72 51" xfId="12595" xr:uid="{00000000-0005-0000-0000-0000E75C0000}"/>
    <cellStyle name="Normal 72 51 2" xfId="24770" xr:uid="{00000000-0005-0000-0000-0000E85C0000}"/>
    <cellStyle name="Normal 72 52" xfId="12596" xr:uid="{00000000-0005-0000-0000-0000E95C0000}"/>
    <cellStyle name="Normal 72 52 2" xfId="24771" xr:uid="{00000000-0005-0000-0000-0000EA5C0000}"/>
    <cellStyle name="Normal 72 53" xfId="12597" xr:uid="{00000000-0005-0000-0000-0000EB5C0000}"/>
    <cellStyle name="Normal 72 53 2" xfId="24772" xr:uid="{00000000-0005-0000-0000-0000EC5C0000}"/>
    <cellStyle name="Normal 72 54" xfId="12598" xr:uid="{00000000-0005-0000-0000-0000ED5C0000}"/>
    <cellStyle name="Normal 72 54 2" xfId="24773" xr:uid="{00000000-0005-0000-0000-0000EE5C0000}"/>
    <cellStyle name="Normal 72 55" xfId="12599" xr:uid="{00000000-0005-0000-0000-0000EF5C0000}"/>
    <cellStyle name="Normal 72 55 2" xfId="24774" xr:uid="{00000000-0005-0000-0000-0000F05C0000}"/>
    <cellStyle name="Normal 72 56" xfId="12600" xr:uid="{00000000-0005-0000-0000-0000F15C0000}"/>
    <cellStyle name="Normal 72 56 2" xfId="24775" xr:uid="{00000000-0005-0000-0000-0000F25C0000}"/>
    <cellStyle name="Normal 72 57" xfId="12601" xr:uid="{00000000-0005-0000-0000-0000F35C0000}"/>
    <cellStyle name="Normal 72 57 2" xfId="24776" xr:uid="{00000000-0005-0000-0000-0000F45C0000}"/>
    <cellStyle name="Normal 72 58" xfId="12602" xr:uid="{00000000-0005-0000-0000-0000F55C0000}"/>
    <cellStyle name="Normal 72 58 2" xfId="24777" xr:uid="{00000000-0005-0000-0000-0000F65C0000}"/>
    <cellStyle name="Normal 72 59" xfId="12603" xr:uid="{00000000-0005-0000-0000-0000F75C0000}"/>
    <cellStyle name="Normal 72 59 2" xfId="24778" xr:uid="{00000000-0005-0000-0000-0000F85C0000}"/>
    <cellStyle name="Normal 72 6" xfId="12604" xr:uid="{00000000-0005-0000-0000-0000F95C0000}"/>
    <cellStyle name="Normal 72 6 2" xfId="24779" xr:uid="{00000000-0005-0000-0000-0000FA5C0000}"/>
    <cellStyle name="Normal 72 60" xfId="12605" xr:uid="{00000000-0005-0000-0000-0000FB5C0000}"/>
    <cellStyle name="Normal 72 60 2" xfId="24780" xr:uid="{00000000-0005-0000-0000-0000FC5C0000}"/>
    <cellStyle name="Normal 72 61" xfId="12606" xr:uid="{00000000-0005-0000-0000-0000FD5C0000}"/>
    <cellStyle name="Normal 72 61 2" xfId="24781" xr:uid="{00000000-0005-0000-0000-0000FE5C0000}"/>
    <cellStyle name="Normal 72 62" xfId="12607" xr:uid="{00000000-0005-0000-0000-0000FF5C0000}"/>
    <cellStyle name="Normal 72 62 2" xfId="24782" xr:uid="{00000000-0005-0000-0000-0000005D0000}"/>
    <cellStyle name="Normal 72 63" xfId="12608" xr:uid="{00000000-0005-0000-0000-0000015D0000}"/>
    <cellStyle name="Normal 72 63 2" xfId="24783" xr:uid="{00000000-0005-0000-0000-0000025D0000}"/>
    <cellStyle name="Normal 72 64" xfId="12609" xr:uid="{00000000-0005-0000-0000-0000035D0000}"/>
    <cellStyle name="Normal 72 64 2" xfId="24784" xr:uid="{00000000-0005-0000-0000-0000045D0000}"/>
    <cellStyle name="Normal 72 65" xfId="12610" xr:uid="{00000000-0005-0000-0000-0000055D0000}"/>
    <cellStyle name="Normal 72 65 2" xfId="24785" xr:uid="{00000000-0005-0000-0000-0000065D0000}"/>
    <cellStyle name="Normal 72 66" xfId="12611" xr:uid="{00000000-0005-0000-0000-0000075D0000}"/>
    <cellStyle name="Normal 72 66 2" xfId="24786" xr:uid="{00000000-0005-0000-0000-0000085D0000}"/>
    <cellStyle name="Normal 72 67" xfId="12612" xr:uid="{00000000-0005-0000-0000-0000095D0000}"/>
    <cellStyle name="Normal 72 67 2" xfId="24787" xr:uid="{00000000-0005-0000-0000-00000A5D0000}"/>
    <cellStyle name="Normal 72 68" xfId="12613" xr:uid="{00000000-0005-0000-0000-00000B5D0000}"/>
    <cellStyle name="Normal 72 68 2" xfId="24788" xr:uid="{00000000-0005-0000-0000-00000C5D0000}"/>
    <cellStyle name="Normal 72 69" xfId="12614" xr:uid="{00000000-0005-0000-0000-00000D5D0000}"/>
    <cellStyle name="Normal 72 69 2" xfId="24789" xr:uid="{00000000-0005-0000-0000-00000E5D0000}"/>
    <cellStyle name="Normal 72 7" xfId="12615" xr:uid="{00000000-0005-0000-0000-00000F5D0000}"/>
    <cellStyle name="Normal 72 7 2" xfId="24790" xr:uid="{00000000-0005-0000-0000-0000105D0000}"/>
    <cellStyle name="Normal 72 70" xfId="12616" xr:uid="{00000000-0005-0000-0000-0000115D0000}"/>
    <cellStyle name="Normal 72 70 2" xfId="24791" xr:uid="{00000000-0005-0000-0000-0000125D0000}"/>
    <cellStyle name="Normal 72 71" xfId="12617" xr:uid="{00000000-0005-0000-0000-0000135D0000}"/>
    <cellStyle name="Normal 72 71 2" xfId="24792" xr:uid="{00000000-0005-0000-0000-0000145D0000}"/>
    <cellStyle name="Normal 72 72" xfId="12618" xr:uid="{00000000-0005-0000-0000-0000155D0000}"/>
    <cellStyle name="Normal 72 72 2" xfId="24793" xr:uid="{00000000-0005-0000-0000-0000165D0000}"/>
    <cellStyle name="Normal 72 73" xfId="12619" xr:uid="{00000000-0005-0000-0000-0000175D0000}"/>
    <cellStyle name="Normal 72 73 2" xfId="24794" xr:uid="{00000000-0005-0000-0000-0000185D0000}"/>
    <cellStyle name="Normal 72 74" xfId="12620" xr:uid="{00000000-0005-0000-0000-0000195D0000}"/>
    <cellStyle name="Normal 72 74 2" xfId="24795" xr:uid="{00000000-0005-0000-0000-00001A5D0000}"/>
    <cellStyle name="Normal 72 75" xfId="12621" xr:uid="{00000000-0005-0000-0000-00001B5D0000}"/>
    <cellStyle name="Normal 72 75 2" xfId="24796" xr:uid="{00000000-0005-0000-0000-00001C5D0000}"/>
    <cellStyle name="Normal 72 76" xfId="12622" xr:uid="{00000000-0005-0000-0000-00001D5D0000}"/>
    <cellStyle name="Normal 72 76 2" xfId="24797" xr:uid="{00000000-0005-0000-0000-00001E5D0000}"/>
    <cellStyle name="Normal 72 77" xfId="12623" xr:uid="{00000000-0005-0000-0000-00001F5D0000}"/>
    <cellStyle name="Normal 72 77 2" xfId="24798" xr:uid="{00000000-0005-0000-0000-0000205D0000}"/>
    <cellStyle name="Normal 72 78" xfId="12624" xr:uid="{00000000-0005-0000-0000-0000215D0000}"/>
    <cellStyle name="Normal 72 78 2" xfId="24799" xr:uid="{00000000-0005-0000-0000-0000225D0000}"/>
    <cellStyle name="Normal 72 79" xfId="12625" xr:uid="{00000000-0005-0000-0000-0000235D0000}"/>
    <cellStyle name="Normal 72 79 2" xfId="24800" xr:uid="{00000000-0005-0000-0000-0000245D0000}"/>
    <cellStyle name="Normal 72 8" xfId="12626" xr:uid="{00000000-0005-0000-0000-0000255D0000}"/>
    <cellStyle name="Normal 72 8 2" xfId="24801" xr:uid="{00000000-0005-0000-0000-0000265D0000}"/>
    <cellStyle name="Normal 72 80" xfId="24724" xr:uid="{00000000-0005-0000-0000-0000275D0000}"/>
    <cellStyle name="Normal 72 9" xfId="12627" xr:uid="{00000000-0005-0000-0000-0000285D0000}"/>
    <cellStyle name="Normal 72 9 2" xfId="24802" xr:uid="{00000000-0005-0000-0000-0000295D0000}"/>
    <cellStyle name="Normal 73" xfId="199" xr:uid="{00000000-0005-0000-0000-00002A5D0000}"/>
    <cellStyle name="Normal 73 10" xfId="12628" xr:uid="{00000000-0005-0000-0000-00002B5D0000}"/>
    <cellStyle name="Normal 73 10 2" xfId="24804" xr:uid="{00000000-0005-0000-0000-00002C5D0000}"/>
    <cellStyle name="Normal 73 11" xfId="12629" xr:uid="{00000000-0005-0000-0000-00002D5D0000}"/>
    <cellStyle name="Normal 73 11 2" xfId="24805" xr:uid="{00000000-0005-0000-0000-00002E5D0000}"/>
    <cellStyle name="Normal 73 12" xfId="12630" xr:uid="{00000000-0005-0000-0000-00002F5D0000}"/>
    <cellStyle name="Normal 73 12 2" xfId="24806" xr:uid="{00000000-0005-0000-0000-0000305D0000}"/>
    <cellStyle name="Normal 73 13" xfId="12631" xr:uid="{00000000-0005-0000-0000-0000315D0000}"/>
    <cellStyle name="Normal 73 13 2" xfId="24807" xr:uid="{00000000-0005-0000-0000-0000325D0000}"/>
    <cellStyle name="Normal 73 14" xfId="12632" xr:uid="{00000000-0005-0000-0000-0000335D0000}"/>
    <cellStyle name="Normal 73 14 2" xfId="24808" xr:uid="{00000000-0005-0000-0000-0000345D0000}"/>
    <cellStyle name="Normal 73 15" xfId="12633" xr:uid="{00000000-0005-0000-0000-0000355D0000}"/>
    <cellStyle name="Normal 73 15 2" xfId="24809" xr:uid="{00000000-0005-0000-0000-0000365D0000}"/>
    <cellStyle name="Normal 73 16" xfId="12634" xr:uid="{00000000-0005-0000-0000-0000375D0000}"/>
    <cellStyle name="Normal 73 16 2" xfId="24810" xr:uid="{00000000-0005-0000-0000-0000385D0000}"/>
    <cellStyle name="Normal 73 17" xfId="12635" xr:uid="{00000000-0005-0000-0000-0000395D0000}"/>
    <cellStyle name="Normal 73 17 2" xfId="24811" xr:uid="{00000000-0005-0000-0000-00003A5D0000}"/>
    <cellStyle name="Normal 73 18" xfId="12636" xr:uid="{00000000-0005-0000-0000-00003B5D0000}"/>
    <cellStyle name="Normal 73 18 2" xfId="24812" xr:uid="{00000000-0005-0000-0000-00003C5D0000}"/>
    <cellStyle name="Normal 73 19" xfId="12637" xr:uid="{00000000-0005-0000-0000-00003D5D0000}"/>
    <cellStyle name="Normal 73 19 2" xfId="24813" xr:uid="{00000000-0005-0000-0000-00003E5D0000}"/>
    <cellStyle name="Normal 73 2" xfId="763" xr:uid="{00000000-0005-0000-0000-00003F5D0000}"/>
    <cellStyle name="Normal 73 2 2" xfId="24814" xr:uid="{00000000-0005-0000-0000-0000405D0000}"/>
    <cellStyle name="Normal 73 2 3" xfId="12638" xr:uid="{00000000-0005-0000-0000-0000415D0000}"/>
    <cellStyle name="Normal 73 20" xfId="12639" xr:uid="{00000000-0005-0000-0000-0000425D0000}"/>
    <cellStyle name="Normal 73 20 2" xfId="24815" xr:uid="{00000000-0005-0000-0000-0000435D0000}"/>
    <cellStyle name="Normal 73 21" xfId="12640" xr:uid="{00000000-0005-0000-0000-0000445D0000}"/>
    <cellStyle name="Normal 73 21 2" xfId="24816" xr:uid="{00000000-0005-0000-0000-0000455D0000}"/>
    <cellStyle name="Normal 73 22" xfId="12641" xr:uid="{00000000-0005-0000-0000-0000465D0000}"/>
    <cellStyle name="Normal 73 22 2" xfId="24817" xr:uid="{00000000-0005-0000-0000-0000475D0000}"/>
    <cellStyle name="Normal 73 23" xfId="12642" xr:uid="{00000000-0005-0000-0000-0000485D0000}"/>
    <cellStyle name="Normal 73 23 2" xfId="24818" xr:uid="{00000000-0005-0000-0000-0000495D0000}"/>
    <cellStyle name="Normal 73 24" xfId="12643" xr:uid="{00000000-0005-0000-0000-00004A5D0000}"/>
    <cellStyle name="Normal 73 24 2" xfId="24819" xr:uid="{00000000-0005-0000-0000-00004B5D0000}"/>
    <cellStyle name="Normal 73 25" xfId="12644" xr:uid="{00000000-0005-0000-0000-00004C5D0000}"/>
    <cellStyle name="Normal 73 25 2" xfId="24820" xr:uid="{00000000-0005-0000-0000-00004D5D0000}"/>
    <cellStyle name="Normal 73 26" xfId="12645" xr:uid="{00000000-0005-0000-0000-00004E5D0000}"/>
    <cellStyle name="Normal 73 26 2" xfId="24821" xr:uid="{00000000-0005-0000-0000-00004F5D0000}"/>
    <cellStyle name="Normal 73 27" xfId="12646" xr:uid="{00000000-0005-0000-0000-0000505D0000}"/>
    <cellStyle name="Normal 73 27 2" xfId="24822" xr:uid="{00000000-0005-0000-0000-0000515D0000}"/>
    <cellStyle name="Normal 73 28" xfId="12647" xr:uid="{00000000-0005-0000-0000-0000525D0000}"/>
    <cellStyle name="Normal 73 28 2" xfId="24823" xr:uid="{00000000-0005-0000-0000-0000535D0000}"/>
    <cellStyle name="Normal 73 29" xfId="12648" xr:uid="{00000000-0005-0000-0000-0000545D0000}"/>
    <cellStyle name="Normal 73 29 2" xfId="24824" xr:uid="{00000000-0005-0000-0000-0000555D0000}"/>
    <cellStyle name="Normal 73 3" xfId="414" xr:uid="{00000000-0005-0000-0000-0000565D0000}"/>
    <cellStyle name="Normal 73 3 2" xfId="24825" xr:uid="{00000000-0005-0000-0000-0000575D0000}"/>
    <cellStyle name="Normal 73 30" xfId="12649" xr:uid="{00000000-0005-0000-0000-0000585D0000}"/>
    <cellStyle name="Normal 73 30 2" xfId="24826" xr:uid="{00000000-0005-0000-0000-0000595D0000}"/>
    <cellStyle name="Normal 73 31" xfId="12650" xr:uid="{00000000-0005-0000-0000-00005A5D0000}"/>
    <cellStyle name="Normal 73 31 2" xfId="24827" xr:uid="{00000000-0005-0000-0000-00005B5D0000}"/>
    <cellStyle name="Normal 73 32" xfId="12651" xr:uid="{00000000-0005-0000-0000-00005C5D0000}"/>
    <cellStyle name="Normal 73 32 2" xfId="24828" xr:uid="{00000000-0005-0000-0000-00005D5D0000}"/>
    <cellStyle name="Normal 73 33" xfId="12652" xr:uid="{00000000-0005-0000-0000-00005E5D0000}"/>
    <cellStyle name="Normal 73 33 2" xfId="24829" xr:uid="{00000000-0005-0000-0000-00005F5D0000}"/>
    <cellStyle name="Normal 73 34" xfId="12653" xr:uid="{00000000-0005-0000-0000-0000605D0000}"/>
    <cellStyle name="Normal 73 34 2" xfId="24830" xr:uid="{00000000-0005-0000-0000-0000615D0000}"/>
    <cellStyle name="Normal 73 35" xfId="12654" xr:uid="{00000000-0005-0000-0000-0000625D0000}"/>
    <cellStyle name="Normal 73 35 2" xfId="24831" xr:uid="{00000000-0005-0000-0000-0000635D0000}"/>
    <cellStyle name="Normal 73 36" xfId="12655" xr:uid="{00000000-0005-0000-0000-0000645D0000}"/>
    <cellStyle name="Normal 73 36 2" xfId="24832" xr:uid="{00000000-0005-0000-0000-0000655D0000}"/>
    <cellStyle name="Normal 73 37" xfId="12656" xr:uid="{00000000-0005-0000-0000-0000665D0000}"/>
    <cellStyle name="Normal 73 37 2" xfId="24833" xr:uid="{00000000-0005-0000-0000-0000675D0000}"/>
    <cellStyle name="Normal 73 38" xfId="12657" xr:uid="{00000000-0005-0000-0000-0000685D0000}"/>
    <cellStyle name="Normal 73 38 2" xfId="24834" xr:uid="{00000000-0005-0000-0000-0000695D0000}"/>
    <cellStyle name="Normal 73 39" xfId="12658" xr:uid="{00000000-0005-0000-0000-00006A5D0000}"/>
    <cellStyle name="Normal 73 39 2" xfId="24835" xr:uid="{00000000-0005-0000-0000-00006B5D0000}"/>
    <cellStyle name="Normal 73 4" xfId="12659" xr:uid="{00000000-0005-0000-0000-00006C5D0000}"/>
    <cellStyle name="Normal 73 4 2" xfId="24836" xr:uid="{00000000-0005-0000-0000-00006D5D0000}"/>
    <cellStyle name="Normal 73 40" xfId="12660" xr:uid="{00000000-0005-0000-0000-00006E5D0000}"/>
    <cellStyle name="Normal 73 40 2" xfId="24837" xr:uid="{00000000-0005-0000-0000-00006F5D0000}"/>
    <cellStyle name="Normal 73 41" xfId="12661" xr:uid="{00000000-0005-0000-0000-0000705D0000}"/>
    <cellStyle name="Normal 73 41 2" xfId="24838" xr:uid="{00000000-0005-0000-0000-0000715D0000}"/>
    <cellStyle name="Normal 73 42" xfId="12662" xr:uid="{00000000-0005-0000-0000-0000725D0000}"/>
    <cellStyle name="Normal 73 42 2" xfId="24839" xr:uid="{00000000-0005-0000-0000-0000735D0000}"/>
    <cellStyle name="Normal 73 43" xfId="12663" xr:uid="{00000000-0005-0000-0000-0000745D0000}"/>
    <cellStyle name="Normal 73 43 2" xfId="24840" xr:uid="{00000000-0005-0000-0000-0000755D0000}"/>
    <cellStyle name="Normal 73 44" xfId="12664" xr:uid="{00000000-0005-0000-0000-0000765D0000}"/>
    <cellStyle name="Normal 73 44 2" xfId="24841" xr:uid="{00000000-0005-0000-0000-0000775D0000}"/>
    <cellStyle name="Normal 73 45" xfId="12665" xr:uid="{00000000-0005-0000-0000-0000785D0000}"/>
    <cellStyle name="Normal 73 45 2" xfId="24842" xr:uid="{00000000-0005-0000-0000-0000795D0000}"/>
    <cellStyle name="Normal 73 46" xfId="12666" xr:uid="{00000000-0005-0000-0000-00007A5D0000}"/>
    <cellStyle name="Normal 73 46 2" xfId="24843" xr:uid="{00000000-0005-0000-0000-00007B5D0000}"/>
    <cellStyle name="Normal 73 47" xfId="12667" xr:uid="{00000000-0005-0000-0000-00007C5D0000}"/>
    <cellStyle name="Normal 73 47 2" xfId="24844" xr:uid="{00000000-0005-0000-0000-00007D5D0000}"/>
    <cellStyle name="Normal 73 48" xfId="12668" xr:uid="{00000000-0005-0000-0000-00007E5D0000}"/>
    <cellStyle name="Normal 73 48 2" xfId="24845" xr:uid="{00000000-0005-0000-0000-00007F5D0000}"/>
    <cellStyle name="Normal 73 49" xfId="12669" xr:uid="{00000000-0005-0000-0000-0000805D0000}"/>
    <cellStyle name="Normal 73 49 2" xfId="24846" xr:uid="{00000000-0005-0000-0000-0000815D0000}"/>
    <cellStyle name="Normal 73 5" xfId="12670" xr:uid="{00000000-0005-0000-0000-0000825D0000}"/>
    <cellStyle name="Normal 73 5 2" xfId="24847" xr:uid="{00000000-0005-0000-0000-0000835D0000}"/>
    <cellStyle name="Normal 73 50" xfId="12671" xr:uid="{00000000-0005-0000-0000-0000845D0000}"/>
    <cellStyle name="Normal 73 50 2" xfId="24848" xr:uid="{00000000-0005-0000-0000-0000855D0000}"/>
    <cellStyle name="Normal 73 51" xfId="12672" xr:uid="{00000000-0005-0000-0000-0000865D0000}"/>
    <cellStyle name="Normal 73 51 2" xfId="24849" xr:uid="{00000000-0005-0000-0000-0000875D0000}"/>
    <cellStyle name="Normal 73 52" xfId="12673" xr:uid="{00000000-0005-0000-0000-0000885D0000}"/>
    <cellStyle name="Normal 73 52 2" xfId="24850" xr:uid="{00000000-0005-0000-0000-0000895D0000}"/>
    <cellStyle name="Normal 73 53" xfId="12674" xr:uid="{00000000-0005-0000-0000-00008A5D0000}"/>
    <cellStyle name="Normal 73 53 2" xfId="24851" xr:uid="{00000000-0005-0000-0000-00008B5D0000}"/>
    <cellStyle name="Normal 73 54" xfId="12675" xr:uid="{00000000-0005-0000-0000-00008C5D0000}"/>
    <cellStyle name="Normal 73 54 2" xfId="24852" xr:uid="{00000000-0005-0000-0000-00008D5D0000}"/>
    <cellStyle name="Normal 73 55" xfId="12676" xr:uid="{00000000-0005-0000-0000-00008E5D0000}"/>
    <cellStyle name="Normal 73 55 2" xfId="24853" xr:uid="{00000000-0005-0000-0000-00008F5D0000}"/>
    <cellStyle name="Normal 73 56" xfId="12677" xr:uid="{00000000-0005-0000-0000-0000905D0000}"/>
    <cellStyle name="Normal 73 56 2" xfId="24854" xr:uid="{00000000-0005-0000-0000-0000915D0000}"/>
    <cellStyle name="Normal 73 57" xfId="12678" xr:uid="{00000000-0005-0000-0000-0000925D0000}"/>
    <cellStyle name="Normal 73 57 2" xfId="24855" xr:uid="{00000000-0005-0000-0000-0000935D0000}"/>
    <cellStyle name="Normal 73 58" xfId="12679" xr:uid="{00000000-0005-0000-0000-0000945D0000}"/>
    <cellStyle name="Normal 73 58 2" xfId="24856" xr:uid="{00000000-0005-0000-0000-0000955D0000}"/>
    <cellStyle name="Normal 73 59" xfId="12680" xr:uid="{00000000-0005-0000-0000-0000965D0000}"/>
    <cellStyle name="Normal 73 59 2" xfId="24857" xr:uid="{00000000-0005-0000-0000-0000975D0000}"/>
    <cellStyle name="Normal 73 6" xfId="12681" xr:uid="{00000000-0005-0000-0000-0000985D0000}"/>
    <cellStyle name="Normal 73 6 2" xfId="24858" xr:uid="{00000000-0005-0000-0000-0000995D0000}"/>
    <cellStyle name="Normal 73 60" xfId="12682" xr:uid="{00000000-0005-0000-0000-00009A5D0000}"/>
    <cellStyle name="Normal 73 60 2" xfId="24859" xr:uid="{00000000-0005-0000-0000-00009B5D0000}"/>
    <cellStyle name="Normal 73 61" xfId="12683" xr:uid="{00000000-0005-0000-0000-00009C5D0000}"/>
    <cellStyle name="Normal 73 61 2" xfId="24860" xr:uid="{00000000-0005-0000-0000-00009D5D0000}"/>
    <cellStyle name="Normal 73 62" xfId="12684" xr:uid="{00000000-0005-0000-0000-00009E5D0000}"/>
    <cellStyle name="Normal 73 62 2" xfId="24861" xr:uid="{00000000-0005-0000-0000-00009F5D0000}"/>
    <cellStyle name="Normal 73 63" xfId="12685" xr:uid="{00000000-0005-0000-0000-0000A05D0000}"/>
    <cellStyle name="Normal 73 63 2" xfId="24862" xr:uid="{00000000-0005-0000-0000-0000A15D0000}"/>
    <cellStyle name="Normal 73 64" xfId="12686" xr:uid="{00000000-0005-0000-0000-0000A25D0000}"/>
    <cellStyle name="Normal 73 64 2" xfId="24863" xr:uid="{00000000-0005-0000-0000-0000A35D0000}"/>
    <cellStyle name="Normal 73 65" xfId="12687" xr:uid="{00000000-0005-0000-0000-0000A45D0000}"/>
    <cellStyle name="Normal 73 65 2" xfId="24864" xr:uid="{00000000-0005-0000-0000-0000A55D0000}"/>
    <cellStyle name="Normal 73 66" xfId="12688" xr:uid="{00000000-0005-0000-0000-0000A65D0000}"/>
    <cellStyle name="Normal 73 66 2" xfId="24865" xr:uid="{00000000-0005-0000-0000-0000A75D0000}"/>
    <cellStyle name="Normal 73 67" xfId="12689" xr:uid="{00000000-0005-0000-0000-0000A85D0000}"/>
    <cellStyle name="Normal 73 67 2" xfId="24866" xr:uid="{00000000-0005-0000-0000-0000A95D0000}"/>
    <cellStyle name="Normal 73 68" xfId="12690" xr:uid="{00000000-0005-0000-0000-0000AA5D0000}"/>
    <cellStyle name="Normal 73 68 2" xfId="24867" xr:uid="{00000000-0005-0000-0000-0000AB5D0000}"/>
    <cellStyle name="Normal 73 69" xfId="12691" xr:uid="{00000000-0005-0000-0000-0000AC5D0000}"/>
    <cellStyle name="Normal 73 69 2" xfId="24868" xr:uid="{00000000-0005-0000-0000-0000AD5D0000}"/>
    <cellStyle name="Normal 73 7" xfId="12692" xr:uid="{00000000-0005-0000-0000-0000AE5D0000}"/>
    <cellStyle name="Normal 73 7 2" xfId="24869" xr:uid="{00000000-0005-0000-0000-0000AF5D0000}"/>
    <cellStyle name="Normal 73 70" xfId="12693" xr:uid="{00000000-0005-0000-0000-0000B05D0000}"/>
    <cellStyle name="Normal 73 70 2" xfId="24870" xr:uid="{00000000-0005-0000-0000-0000B15D0000}"/>
    <cellStyle name="Normal 73 71" xfId="12694" xr:uid="{00000000-0005-0000-0000-0000B25D0000}"/>
    <cellStyle name="Normal 73 71 2" xfId="24871" xr:uid="{00000000-0005-0000-0000-0000B35D0000}"/>
    <cellStyle name="Normal 73 72" xfId="12695" xr:uid="{00000000-0005-0000-0000-0000B45D0000}"/>
    <cellStyle name="Normal 73 72 2" xfId="24872" xr:uid="{00000000-0005-0000-0000-0000B55D0000}"/>
    <cellStyle name="Normal 73 73" xfId="12696" xr:uid="{00000000-0005-0000-0000-0000B65D0000}"/>
    <cellStyle name="Normal 73 73 2" xfId="24873" xr:uid="{00000000-0005-0000-0000-0000B75D0000}"/>
    <cellStyle name="Normal 73 74" xfId="12697" xr:uid="{00000000-0005-0000-0000-0000B85D0000}"/>
    <cellStyle name="Normal 73 74 2" xfId="24874" xr:uid="{00000000-0005-0000-0000-0000B95D0000}"/>
    <cellStyle name="Normal 73 75" xfId="12698" xr:uid="{00000000-0005-0000-0000-0000BA5D0000}"/>
    <cellStyle name="Normal 73 75 2" xfId="24875" xr:uid="{00000000-0005-0000-0000-0000BB5D0000}"/>
    <cellStyle name="Normal 73 76" xfId="12699" xr:uid="{00000000-0005-0000-0000-0000BC5D0000}"/>
    <cellStyle name="Normal 73 76 2" xfId="24876" xr:uid="{00000000-0005-0000-0000-0000BD5D0000}"/>
    <cellStyle name="Normal 73 77" xfId="12700" xr:uid="{00000000-0005-0000-0000-0000BE5D0000}"/>
    <cellStyle name="Normal 73 77 2" xfId="24877" xr:uid="{00000000-0005-0000-0000-0000BF5D0000}"/>
    <cellStyle name="Normal 73 78" xfId="12701" xr:uid="{00000000-0005-0000-0000-0000C05D0000}"/>
    <cellStyle name="Normal 73 78 2" xfId="24878" xr:uid="{00000000-0005-0000-0000-0000C15D0000}"/>
    <cellStyle name="Normal 73 79" xfId="12702" xr:uid="{00000000-0005-0000-0000-0000C25D0000}"/>
    <cellStyle name="Normal 73 79 2" xfId="24879" xr:uid="{00000000-0005-0000-0000-0000C35D0000}"/>
    <cellStyle name="Normal 73 8" xfId="12703" xr:uid="{00000000-0005-0000-0000-0000C45D0000}"/>
    <cellStyle name="Normal 73 8 2" xfId="24880" xr:uid="{00000000-0005-0000-0000-0000C55D0000}"/>
    <cellStyle name="Normal 73 80" xfId="24803" xr:uid="{00000000-0005-0000-0000-0000C65D0000}"/>
    <cellStyle name="Normal 73 9" xfId="12704" xr:uid="{00000000-0005-0000-0000-0000C75D0000}"/>
    <cellStyle name="Normal 73 9 2" xfId="24881" xr:uid="{00000000-0005-0000-0000-0000C85D0000}"/>
    <cellStyle name="Normal 74" xfId="200" xr:uid="{00000000-0005-0000-0000-0000C95D0000}"/>
    <cellStyle name="Normal 74 10" xfId="12705" xr:uid="{00000000-0005-0000-0000-0000CA5D0000}"/>
    <cellStyle name="Normal 74 10 2" xfId="24883" xr:uid="{00000000-0005-0000-0000-0000CB5D0000}"/>
    <cellStyle name="Normal 74 11" xfId="12706" xr:uid="{00000000-0005-0000-0000-0000CC5D0000}"/>
    <cellStyle name="Normal 74 11 2" xfId="24884" xr:uid="{00000000-0005-0000-0000-0000CD5D0000}"/>
    <cellStyle name="Normal 74 12" xfId="12707" xr:uid="{00000000-0005-0000-0000-0000CE5D0000}"/>
    <cellStyle name="Normal 74 12 2" xfId="24885" xr:uid="{00000000-0005-0000-0000-0000CF5D0000}"/>
    <cellStyle name="Normal 74 13" xfId="12708" xr:uid="{00000000-0005-0000-0000-0000D05D0000}"/>
    <cellStyle name="Normal 74 13 2" xfId="24886" xr:uid="{00000000-0005-0000-0000-0000D15D0000}"/>
    <cellStyle name="Normal 74 14" xfId="12709" xr:uid="{00000000-0005-0000-0000-0000D25D0000}"/>
    <cellStyle name="Normal 74 14 2" xfId="24887" xr:uid="{00000000-0005-0000-0000-0000D35D0000}"/>
    <cellStyle name="Normal 74 15" xfId="12710" xr:uid="{00000000-0005-0000-0000-0000D45D0000}"/>
    <cellStyle name="Normal 74 15 2" xfId="24888" xr:uid="{00000000-0005-0000-0000-0000D55D0000}"/>
    <cellStyle name="Normal 74 16" xfId="12711" xr:uid="{00000000-0005-0000-0000-0000D65D0000}"/>
    <cellStyle name="Normal 74 16 2" xfId="24889" xr:uid="{00000000-0005-0000-0000-0000D75D0000}"/>
    <cellStyle name="Normal 74 17" xfId="12712" xr:uid="{00000000-0005-0000-0000-0000D85D0000}"/>
    <cellStyle name="Normal 74 17 2" xfId="24890" xr:uid="{00000000-0005-0000-0000-0000D95D0000}"/>
    <cellStyle name="Normal 74 18" xfId="12713" xr:uid="{00000000-0005-0000-0000-0000DA5D0000}"/>
    <cellStyle name="Normal 74 18 2" xfId="24891" xr:uid="{00000000-0005-0000-0000-0000DB5D0000}"/>
    <cellStyle name="Normal 74 19" xfId="12714" xr:uid="{00000000-0005-0000-0000-0000DC5D0000}"/>
    <cellStyle name="Normal 74 19 2" xfId="24892" xr:uid="{00000000-0005-0000-0000-0000DD5D0000}"/>
    <cellStyle name="Normal 74 2" xfId="764" xr:uid="{00000000-0005-0000-0000-0000DE5D0000}"/>
    <cellStyle name="Normal 74 2 2" xfId="24893" xr:uid="{00000000-0005-0000-0000-0000DF5D0000}"/>
    <cellStyle name="Normal 74 2 3" xfId="12715" xr:uid="{00000000-0005-0000-0000-0000E05D0000}"/>
    <cellStyle name="Normal 74 20" xfId="12716" xr:uid="{00000000-0005-0000-0000-0000E15D0000}"/>
    <cellStyle name="Normal 74 20 2" xfId="24894" xr:uid="{00000000-0005-0000-0000-0000E25D0000}"/>
    <cellStyle name="Normal 74 21" xfId="12717" xr:uid="{00000000-0005-0000-0000-0000E35D0000}"/>
    <cellStyle name="Normal 74 21 2" xfId="24895" xr:uid="{00000000-0005-0000-0000-0000E45D0000}"/>
    <cellStyle name="Normal 74 22" xfId="12718" xr:uid="{00000000-0005-0000-0000-0000E55D0000}"/>
    <cellStyle name="Normal 74 22 2" xfId="24896" xr:uid="{00000000-0005-0000-0000-0000E65D0000}"/>
    <cellStyle name="Normal 74 23" xfId="12719" xr:uid="{00000000-0005-0000-0000-0000E75D0000}"/>
    <cellStyle name="Normal 74 23 2" xfId="24897" xr:uid="{00000000-0005-0000-0000-0000E85D0000}"/>
    <cellStyle name="Normal 74 24" xfId="12720" xr:uid="{00000000-0005-0000-0000-0000E95D0000}"/>
    <cellStyle name="Normal 74 24 2" xfId="24898" xr:uid="{00000000-0005-0000-0000-0000EA5D0000}"/>
    <cellStyle name="Normal 74 25" xfId="12721" xr:uid="{00000000-0005-0000-0000-0000EB5D0000}"/>
    <cellStyle name="Normal 74 25 2" xfId="24899" xr:uid="{00000000-0005-0000-0000-0000EC5D0000}"/>
    <cellStyle name="Normal 74 26" xfId="12722" xr:uid="{00000000-0005-0000-0000-0000ED5D0000}"/>
    <cellStyle name="Normal 74 26 2" xfId="24900" xr:uid="{00000000-0005-0000-0000-0000EE5D0000}"/>
    <cellStyle name="Normal 74 27" xfId="12723" xr:uid="{00000000-0005-0000-0000-0000EF5D0000}"/>
    <cellStyle name="Normal 74 27 2" xfId="24901" xr:uid="{00000000-0005-0000-0000-0000F05D0000}"/>
    <cellStyle name="Normal 74 28" xfId="12724" xr:uid="{00000000-0005-0000-0000-0000F15D0000}"/>
    <cellStyle name="Normal 74 28 2" xfId="24902" xr:uid="{00000000-0005-0000-0000-0000F25D0000}"/>
    <cellStyle name="Normal 74 29" xfId="12725" xr:uid="{00000000-0005-0000-0000-0000F35D0000}"/>
    <cellStyle name="Normal 74 29 2" xfId="24903" xr:uid="{00000000-0005-0000-0000-0000F45D0000}"/>
    <cellStyle name="Normal 74 3" xfId="415" xr:uid="{00000000-0005-0000-0000-0000F55D0000}"/>
    <cellStyle name="Normal 74 3 2" xfId="24904" xr:uid="{00000000-0005-0000-0000-0000F65D0000}"/>
    <cellStyle name="Normal 74 30" xfId="12726" xr:uid="{00000000-0005-0000-0000-0000F75D0000}"/>
    <cellStyle name="Normal 74 30 2" xfId="24905" xr:uid="{00000000-0005-0000-0000-0000F85D0000}"/>
    <cellStyle name="Normal 74 31" xfId="12727" xr:uid="{00000000-0005-0000-0000-0000F95D0000}"/>
    <cellStyle name="Normal 74 31 2" xfId="24906" xr:uid="{00000000-0005-0000-0000-0000FA5D0000}"/>
    <cellStyle name="Normal 74 32" xfId="12728" xr:uid="{00000000-0005-0000-0000-0000FB5D0000}"/>
    <cellStyle name="Normal 74 32 2" xfId="24907" xr:uid="{00000000-0005-0000-0000-0000FC5D0000}"/>
    <cellStyle name="Normal 74 33" xfId="12729" xr:uid="{00000000-0005-0000-0000-0000FD5D0000}"/>
    <cellStyle name="Normal 74 33 2" xfId="24908" xr:uid="{00000000-0005-0000-0000-0000FE5D0000}"/>
    <cellStyle name="Normal 74 34" xfId="12730" xr:uid="{00000000-0005-0000-0000-0000FF5D0000}"/>
    <cellStyle name="Normal 74 34 2" xfId="24909" xr:uid="{00000000-0005-0000-0000-0000005E0000}"/>
    <cellStyle name="Normal 74 35" xfId="12731" xr:uid="{00000000-0005-0000-0000-0000015E0000}"/>
    <cellStyle name="Normal 74 35 2" xfId="24910" xr:uid="{00000000-0005-0000-0000-0000025E0000}"/>
    <cellStyle name="Normal 74 36" xfId="12732" xr:uid="{00000000-0005-0000-0000-0000035E0000}"/>
    <cellStyle name="Normal 74 36 2" xfId="24911" xr:uid="{00000000-0005-0000-0000-0000045E0000}"/>
    <cellStyle name="Normal 74 37" xfId="12733" xr:uid="{00000000-0005-0000-0000-0000055E0000}"/>
    <cellStyle name="Normal 74 37 2" xfId="24912" xr:uid="{00000000-0005-0000-0000-0000065E0000}"/>
    <cellStyle name="Normal 74 38" xfId="12734" xr:uid="{00000000-0005-0000-0000-0000075E0000}"/>
    <cellStyle name="Normal 74 38 2" xfId="24913" xr:uid="{00000000-0005-0000-0000-0000085E0000}"/>
    <cellStyle name="Normal 74 39" xfId="12735" xr:uid="{00000000-0005-0000-0000-0000095E0000}"/>
    <cellStyle name="Normal 74 39 2" xfId="24914" xr:uid="{00000000-0005-0000-0000-00000A5E0000}"/>
    <cellStyle name="Normal 74 4" xfId="12736" xr:uid="{00000000-0005-0000-0000-00000B5E0000}"/>
    <cellStyle name="Normal 74 4 2" xfId="24915" xr:uid="{00000000-0005-0000-0000-00000C5E0000}"/>
    <cellStyle name="Normal 74 40" xfId="12737" xr:uid="{00000000-0005-0000-0000-00000D5E0000}"/>
    <cellStyle name="Normal 74 40 2" xfId="24916" xr:uid="{00000000-0005-0000-0000-00000E5E0000}"/>
    <cellStyle name="Normal 74 41" xfId="12738" xr:uid="{00000000-0005-0000-0000-00000F5E0000}"/>
    <cellStyle name="Normal 74 41 2" xfId="24917" xr:uid="{00000000-0005-0000-0000-0000105E0000}"/>
    <cellStyle name="Normal 74 42" xfId="12739" xr:uid="{00000000-0005-0000-0000-0000115E0000}"/>
    <cellStyle name="Normal 74 42 2" xfId="24918" xr:uid="{00000000-0005-0000-0000-0000125E0000}"/>
    <cellStyle name="Normal 74 43" xfId="12740" xr:uid="{00000000-0005-0000-0000-0000135E0000}"/>
    <cellStyle name="Normal 74 43 2" xfId="24919" xr:uid="{00000000-0005-0000-0000-0000145E0000}"/>
    <cellStyle name="Normal 74 44" xfId="12741" xr:uid="{00000000-0005-0000-0000-0000155E0000}"/>
    <cellStyle name="Normal 74 44 2" xfId="24920" xr:uid="{00000000-0005-0000-0000-0000165E0000}"/>
    <cellStyle name="Normal 74 45" xfId="12742" xr:uid="{00000000-0005-0000-0000-0000175E0000}"/>
    <cellStyle name="Normal 74 45 2" xfId="24921" xr:uid="{00000000-0005-0000-0000-0000185E0000}"/>
    <cellStyle name="Normal 74 46" xfId="12743" xr:uid="{00000000-0005-0000-0000-0000195E0000}"/>
    <cellStyle name="Normal 74 46 2" xfId="24922" xr:uid="{00000000-0005-0000-0000-00001A5E0000}"/>
    <cellStyle name="Normal 74 47" xfId="12744" xr:uid="{00000000-0005-0000-0000-00001B5E0000}"/>
    <cellStyle name="Normal 74 47 2" xfId="24923" xr:uid="{00000000-0005-0000-0000-00001C5E0000}"/>
    <cellStyle name="Normal 74 48" xfId="12745" xr:uid="{00000000-0005-0000-0000-00001D5E0000}"/>
    <cellStyle name="Normal 74 48 2" xfId="24924" xr:uid="{00000000-0005-0000-0000-00001E5E0000}"/>
    <cellStyle name="Normal 74 49" xfId="12746" xr:uid="{00000000-0005-0000-0000-00001F5E0000}"/>
    <cellStyle name="Normal 74 49 2" xfId="24925" xr:uid="{00000000-0005-0000-0000-0000205E0000}"/>
    <cellStyle name="Normal 74 5" xfId="12747" xr:uid="{00000000-0005-0000-0000-0000215E0000}"/>
    <cellStyle name="Normal 74 5 2" xfId="24926" xr:uid="{00000000-0005-0000-0000-0000225E0000}"/>
    <cellStyle name="Normal 74 50" xfId="12748" xr:uid="{00000000-0005-0000-0000-0000235E0000}"/>
    <cellStyle name="Normal 74 50 2" xfId="24927" xr:uid="{00000000-0005-0000-0000-0000245E0000}"/>
    <cellStyle name="Normal 74 51" xfId="12749" xr:uid="{00000000-0005-0000-0000-0000255E0000}"/>
    <cellStyle name="Normal 74 51 2" xfId="24928" xr:uid="{00000000-0005-0000-0000-0000265E0000}"/>
    <cellStyle name="Normal 74 52" xfId="12750" xr:uid="{00000000-0005-0000-0000-0000275E0000}"/>
    <cellStyle name="Normal 74 52 2" xfId="24929" xr:uid="{00000000-0005-0000-0000-0000285E0000}"/>
    <cellStyle name="Normal 74 53" xfId="12751" xr:uid="{00000000-0005-0000-0000-0000295E0000}"/>
    <cellStyle name="Normal 74 53 2" xfId="24930" xr:uid="{00000000-0005-0000-0000-00002A5E0000}"/>
    <cellStyle name="Normal 74 54" xfId="12752" xr:uid="{00000000-0005-0000-0000-00002B5E0000}"/>
    <cellStyle name="Normal 74 54 2" xfId="24931" xr:uid="{00000000-0005-0000-0000-00002C5E0000}"/>
    <cellStyle name="Normal 74 55" xfId="12753" xr:uid="{00000000-0005-0000-0000-00002D5E0000}"/>
    <cellStyle name="Normal 74 55 2" xfId="24932" xr:uid="{00000000-0005-0000-0000-00002E5E0000}"/>
    <cellStyle name="Normal 74 56" xfId="12754" xr:uid="{00000000-0005-0000-0000-00002F5E0000}"/>
    <cellStyle name="Normal 74 56 2" xfId="24933" xr:uid="{00000000-0005-0000-0000-0000305E0000}"/>
    <cellStyle name="Normal 74 57" xfId="12755" xr:uid="{00000000-0005-0000-0000-0000315E0000}"/>
    <cellStyle name="Normal 74 57 2" xfId="24934" xr:uid="{00000000-0005-0000-0000-0000325E0000}"/>
    <cellStyle name="Normal 74 58" xfId="12756" xr:uid="{00000000-0005-0000-0000-0000335E0000}"/>
    <cellStyle name="Normal 74 58 2" xfId="24935" xr:uid="{00000000-0005-0000-0000-0000345E0000}"/>
    <cellStyle name="Normal 74 59" xfId="12757" xr:uid="{00000000-0005-0000-0000-0000355E0000}"/>
    <cellStyle name="Normal 74 59 2" xfId="24936" xr:uid="{00000000-0005-0000-0000-0000365E0000}"/>
    <cellStyle name="Normal 74 6" xfId="12758" xr:uid="{00000000-0005-0000-0000-0000375E0000}"/>
    <cellStyle name="Normal 74 6 2" xfId="24937" xr:uid="{00000000-0005-0000-0000-0000385E0000}"/>
    <cellStyle name="Normal 74 60" xfId="12759" xr:uid="{00000000-0005-0000-0000-0000395E0000}"/>
    <cellStyle name="Normal 74 60 2" xfId="24938" xr:uid="{00000000-0005-0000-0000-00003A5E0000}"/>
    <cellStyle name="Normal 74 61" xfId="12760" xr:uid="{00000000-0005-0000-0000-00003B5E0000}"/>
    <cellStyle name="Normal 74 61 2" xfId="24939" xr:uid="{00000000-0005-0000-0000-00003C5E0000}"/>
    <cellStyle name="Normal 74 62" xfId="12761" xr:uid="{00000000-0005-0000-0000-00003D5E0000}"/>
    <cellStyle name="Normal 74 62 2" xfId="24940" xr:uid="{00000000-0005-0000-0000-00003E5E0000}"/>
    <cellStyle name="Normal 74 63" xfId="12762" xr:uid="{00000000-0005-0000-0000-00003F5E0000}"/>
    <cellStyle name="Normal 74 63 2" xfId="24941" xr:uid="{00000000-0005-0000-0000-0000405E0000}"/>
    <cellStyle name="Normal 74 64" xfId="12763" xr:uid="{00000000-0005-0000-0000-0000415E0000}"/>
    <cellStyle name="Normal 74 64 2" xfId="24942" xr:uid="{00000000-0005-0000-0000-0000425E0000}"/>
    <cellStyle name="Normal 74 65" xfId="12764" xr:uid="{00000000-0005-0000-0000-0000435E0000}"/>
    <cellStyle name="Normal 74 65 2" xfId="24943" xr:uid="{00000000-0005-0000-0000-0000445E0000}"/>
    <cellStyle name="Normal 74 66" xfId="12765" xr:uid="{00000000-0005-0000-0000-0000455E0000}"/>
    <cellStyle name="Normal 74 66 2" xfId="24944" xr:uid="{00000000-0005-0000-0000-0000465E0000}"/>
    <cellStyle name="Normal 74 67" xfId="12766" xr:uid="{00000000-0005-0000-0000-0000475E0000}"/>
    <cellStyle name="Normal 74 67 2" xfId="24945" xr:uid="{00000000-0005-0000-0000-0000485E0000}"/>
    <cellStyle name="Normal 74 68" xfId="12767" xr:uid="{00000000-0005-0000-0000-0000495E0000}"/>
    <cellStyle name="Normal 74 68 2" xfId="24946" xr:uid="{00000000-0005-0000-0000-00004A5E0000}"/>
    <cellStyle name="Normal 74 69" xfId="12768" xr:uid="{00000000-0005-0000-0000-00004B5E0000}"/>
    <cellStyle name="Normal 74 69 2" xfId="24947" xr:uid="{00000000-0005-0000-0000-00004C5E0000}"/>
    <cellStyle name="Normal 74 7" xfId="12769" xr:uid="{00000000-0005-0000-0000-00004D5E0000}"/>
    <cellStyle name="Normal 74 7 2" xfId="24948" xr:uid="{00000000-0005-0000-0000-00004E5E0000}"/>
    <cellStyle name="Normal 74 70" xfId="12770" xr:uid="{00000000-0005-0000-0000-00004F5E0000}"/>
    <cellStyle name="Normal 74 70 2" xfId="24949" xr:uid="{00000000-0005-0000-0000-0000505E0000}"/>
    <cellStyle name="Normal 74 71" xfId="12771" xr:uid="{00000000-0005-0000-0000-0000515E0000}"/>
    <cellStyle name="Normal 74 71 2" xfId="24950" xr:uid="{00000000-0005-0000-0000-0000525E0000}"/>
    <cellStyle name="Normal 74 72" xfId="12772" xr:uid="{00000000-0005-0000-0000-0000535E0000}"/>
    <cellStyle name="Normal 74 72 2" xfId="24951" xr:uid="{00000000-0005-0000-0000-0000545E0000}"/>
    <cellStyle name="Normal 74 73" xfId="12773" xr:uid="{00000000-0005-0000-0000-0000555E0000}"/>
    <cellStyle name="Normal 74 73 2" xfId="24952" xr:uid="{00000000-0005-0000-0000-0000565E0000}"/>
    <cellStyle name="Normal 74 74" xfId="12774" xr:uid="{00000000-0005-0000-0000-0000575E0000}"/>
    <cellStyle name="Normal 74 74 2" xfId="24953" xr:uid="{00000000-0005-0000-0000-0000585E0000}"/>
    <cellStyle name="Normal 74 75" xfId="12775" xr:uid="{00000000-0005-0000-0000-0000595E0000}"/>
    <cellStyle name="Normal 74 75 2" xfId="24954" xr:uid="{00000000-0005-0000-0000-00005A5E0000}"/>
    <cellStyle name="Normal 74 76" xfId="12776" xr:uid="{00000000-0005-0000-0000-00005B5E0000}"/>
    <cellStyle name="Normal 74 76 2" xfId="24955" xr:uid="{00000000-0005-0000-0000-00005C5E0000}"/>
    <cellStyle name="Normal 74 77" xfId="12777" xr:uid="{00000000-0005-0000-0000-00005D5E0000}"/>
    <cellStyle name="Normal 74 77 2" xfId="24956" xr:uid="{00000000-0005-0000-0000-00005E5E0000}"/>
    <cellStyle name="Normal 74 78" xfId="12778" xr:uid="{00000000-0005-0000-0000-00005F5E0000}"/>
    <cellStyle name="Normal 74 78 2" xfId="24957" xr:uid="{00000000-0005-0000-0000-0000605E0000}"/>
    <cellStyle name="Normal 74 79" xfId="12779" xr:uid="{00000000-0005-0000-0000-0000615E0000}"/>
    <cellStyle name="Normal 74 79 2" xfId="24958" xr:uid="{00000000-0005-0000-0000-0000625E0000}"/>
    <cellStyle name="Normal 74 8" xfId="12780" xr:uid="{00000000-0005-0000-0000-0000635E0000}"/>
    <cellStyle name="Normal 74 8 2" xfId="24959" xr:uid="{00000000-0005-0000-0000-0000645E0000}"/>
    <cellStyle name="Normal 74 80" xfId="24882" xr:uid="{00000000-0005-0000-0000-0000655E0000}"/>
    <cellStyle name="Normal 74 9" xfId="12781" xr:uid="{00000000-0005-0000-0000-0000665E0000}"/>
    <cellStyle name="Normal 74 9 2" xfId="24960" xr:uid="{00000000-0005-0000-0000-0000675E0000}"/>
    <cellStyle name="Normal 75" xfId="201" xr:uid="{00000000-0005-0000-0000-0000685E0000}"/>
    <cellStyle name="Normal 75 10" xfId="12782" xr:uid="{00000000-0005-0000-0000-0000695E0000}"/>
    <cellStyle name="Normal 75 10 2" xfId="24962" xr:uid="{00000000-0005-0000-0000-00006A5E0000}"/>
    <cellStyle name="Normal 75 11" xfId="12783" xr:uid="{00000000-0005-0000-0000-00006B5E0000}"/>
    <cellStyle name="Normal 75 11 2" xfId="24963" xr:uid="{00000000-0005-0000-0000-00006C5E0000}"/>
    <cellStyle name="Normal 75 12" xfId="12784" xr:uid="{00000000-0005-0000-0000-00006D5E0000}"/>
    <cellStyle name="Normal 75 12 2" xfId="24964" xr:uid="{00000000-0005-0000-0000-00006E5E0000}"/>
    <cellStyle name="Normal 75 13" xfId="12785" xr:uid="{00000000-0005-0000-0000-00006F5E0000}"/>
    <cellStyle name="Normal 75 13 2" xfId="24965" xr:uid="{00000000-0005-0000-0000-0000705E0000}"/>
    <cellStyle name="Normal 75 14" xfId="12786" xr:uid="{00000000-0005-0000-0000-0000715E0000}"/>
    <cellStyle name="Normal 75 14 2" xfId="24966" xr:uid="{00000000-0005-0000-0000-0000725E0000}"/>
    <cellStyle name="Normal 75 15" xfId="12787" xr:uid="{00000000-0005-0000-0000-0000735E0000}"/>
    <cellStyle name="Normal 75 15 2" xfId="24967" xr:uid="{00000000-0005-0000-0000-0000745E0000}"/>
    <cellStyle name="Normal 75 16" xfId="12788" xr:uid="{00000000-0005-0000-0000-0000755E0000}"/>
    <cellStyle name="Normal 75 16 2" xfId="24968" xr:uid="{00000000-0005-0000-0000-0000765E0000}"/>
    <cellStyle name="Normal 75 17" xfId="12789" xr:uid="{00000000-0005-0000-0000-0000775E0000}"/>
    <cellStyle name="Normal 75 17 2" xfId="24969" xr:uid="{00000000-0005-0000-0000-0000785E0000}"/>
    <cellStyle name="Normal 75 18" xfId="12790" xr:uid="{00000000-0005-0000-0000-0000795E0000}"/>
    <cellStyle name="Normal 75 18 2" xfId="24970" xr:uid="{00000000-0005-0000-0000-00007A5E0000}"/>
    <cellStyle name="Normal 75 19" xfId="12791" xr:uid="{00000000-0005-0000-0000-00007B5E0000}"/>
    <cellStyle name="Normal 75 19 2" xfId="24971" xr:uid="{00000000-0005-0000-0000-00007C5E0000}"/>
    <cellStyle name="Normal 75 2" xfId="765" xr:uid="{00000000-0005-0000-0000-00007D5E0000}"/>
    <cellStyle name="Normal 75 2 2" xfId="24972" xr:uid="{00000000-0005-0000-0000-00007E5E0000}"/>
    <cellStyle name="Normal 75 2 3" xfId="12792" xr:uid="{00000000-0005-0000-0000-00007F5E0000}"/>
    <cellStyle name="Normal 75 20" xfId="12793" xr:uid="{00000000-0005-0000-0000-0000805E0000}"/>
    <cellStyle name="Normal 75 20 2" xfId="24973" xr:uid="{00000000-0005-0000-0000-0000815E0000}"/>
    <cellStyle name="Normal 75 21" xfId="12794" xr:uid="{00000000-0005-0000-0000-0000825E0000}"/>
    <cellStyle name="Normal 75 21 2" xfId="24974" xr:uid="{00000000-0005-0000-0000-0000835E0000}"/>
    <cellStyle name="Normal 75 22" xfId="12795" xr:uid="{00000000-0005-0000-0000-0000845E0000}"/>
    <cellStyle name="Normal 75 22 2" xfId="24975" xr:uid="{00000000-0005-0000-0000-0000855E0000}"/>
    <cellStyle name="Normal 75 23" xfId="12796" xr:uid="{00000000-0005-0000-0000-0000865E0000}"/>
    <cellStyle name="Normal 75 23 2" xfId="24976" xr:uid="{00000000-0005-0000-0000-0000875E0000}"/>
    <cellStyle name="Normal 75 24" xfId="12797" xr:uid="{00000000-0005-0000-0000-0000885E0000}"/>
    <cellStyle name="Normal 75 24 2" xfId="24977" xr:uid="{00000000-0005-0000-0000-0000895E0000}"/>
    <cellStyle name="Normal 75 25" xfId="12798" xr:uid="{00000000-0005-0000-0000-00008A5E0000}"/>
    <cellStyle name="Normal 75 25 2" xfId="24978" xr:uid="{00000000-0005-0000-0000-00008B5E0000}"/>
    <cellStyle name="Normal 75 26" xfId="12799" xr:uid="{00000000-0005-0000-0000-00008C5E0000}"/>
    <cellStyle name="Normal 75 26 2" xfId="24979" xr:uid="{00000000-0005-0000-0000-00008D5E0000}"/>
    <cellStyle name="Normal 75 27" xfId="12800" xr:uid="{00000000-0005-0000-0000-00008E5E0000}"/>
    <cellStyle name="Normal 75 27 2" xfId="24980" xr:uid="{00000000-0005-0000-0000-00008F5E0000}"/>
    <cellStyle name="Normal 75 28" xfId="12801" xr:uid="{00000000-0005-0000-0000-0000905E0000}"/>
    <cellStyle name="Normal 75 28 2" xfId="24981" xr:uid="{00000000-0005-0000-0000-0000915E0000}"/>
    <cellStyle name="Normal 75 29" xfId="12802" xr:uid="{00000000-0005-0000-0000-0000925E0000}"/>
    <cellStyle name="Normal 75 29 2" xfId="24982" xr:uid="{00000000-0005-0000-0000-0000935E0000}"/>
    <cellStyle name="Normal 75 3" xfId="416" xr:uid="{00000000-0005-0000-0000-0000945E0000}"/>
    <cellStyle name="Normal 75 3 2" xfId="24983" xr:uid="{00000000-0005-0000-0000-0000955E0000}"/>
    <cellStyle name="Normal 75 30" xfId="12803" xr:uid="{00000000-0005-0000-0000-0000965E0000}"/>
    <cellStyle name="Normal 75 30 2" xfId="24984" xr:uid="{00000000-0005-0000-0000-0000975E0000}"/>
    <cellStyle name="Normal 75 31" xfId="12804" xr:uid="{00000000-0005-0000-0000-0000985E0000}"/>
    <cellStyle name="Normal 75 31 2" xfId="24985" xr:uid="{00000000-0005-0000-0000-0000995E0000}"/>
    <cellStyle name="Normal 75 32" xfId="12805" xr:uid="{00000000-0005-0000-0000-00009A5E0000}"/>
    <cellStyle name="Normal 75 32 2" xfId="24986" xr:uid="{00000000-0005-0000-0000-00009B5E0000}"/>
    <cellStyle name="Normal 75 33" xfId="12806" xr:uid="{00000000-0005-0000-0000-00009C5E0000}"/>
    <cellStyle name="Normal 75 33 2" xfId="24987" xr:uid="{00000000-0005-0000-0000-00009D5E0000}"/>
    <cellStyle name="Normal 75 34" xfId="12807" xr:uid="{00000000-0005-0000-0000-00009E5E0000}"/>
    <cellStyle name="Normal 75 34 2" xfId="24988" xr:uid="{00000000-0005-0000-0000-00009F5E0000}"/>
    <cellStyle name="Normal 75 35" xfId="12808" xr:uid="{00000000-0005-0000-0000-0000A05E0000}"/>
    <cellStyle name="Normal 75 35 2" xfId="24989" xr:uid="{00000000-0005-0000-0000-0000A15E0000}"/>
    <cellStyle name="Normal 75 36" xfId="12809" xr:uid="{00000000-0005-0000-0000-0000A25E0000}"/>
    <cellStyle name="Normal 75 36 2" xfId="24990" xr:uid="{00000000-0005-0000-0000-0000A35E0000}"/>
    <cellStyle name="Normal 75 37" xfId="12810" xr:uid="{00000000-0005-0000-0000-0000A45E0000}"/>
    <cellStyle name="Normal 75 37 2" xfId="24991" xr:uid="{00000000-0005-0000-0000-0000A55E0000}"/>
    <cellStyle name="Normal 75 38" xfId="12811" xr:uid="{00000000-0005-0000-0000-0000A65E0000}"/>
    <cellStyle name="Normal 75 38 2" xfId="24992" xr:uid="{00000000-0005-0000-0000-0000A75E0000}"/>
    <cellStyle name="Normal 75 39" xfId="12812" xr:uid="{00000000-0005-0000-0000-0000A85E0000}"/>
    <cellStyle name="Normal 75 39 2" xfId="24993" xr:uid="{00000000-0005-0000-0000-0000A95E0000}"/>
    <cellStyle name="Normal 75 4" xfId="12813" xr:uid="{00000000-0005-0000-0000-0000AA5E0000}"/>
    <cellStyle name="Normal 75 4 2" xfId="24994" xr:uid="{00000000-0005-0000-0000-0000AB5E0000}"/>
    <cellStyle name="Normal 75 40" xfId="12814" xr:uid="{00000000-0005-0000-0000-0000AC5E0000}"/>
    <cellStyle name="Normal 75 40 2" xfId="24995" xr:uid="{00000000-0005-0000-0000-0000AD5E0000}"/>
    <cellStyle name="Normal 75 41" xfId="12815" xr:uid="{00000000-0005-0000-0000-0000AE5E0000}"/>
    <cellStyle name="Normal 75 41 2" xfId="24996" xr:uid="{00000000-0005-0000-0000-0000AF5E0000}"/>
    <cellStyle name="Normal 75 42" xfId="12816" xr:uid="{00000000-0005-0000-0000-0000B05E0000}"/>
    <cellStyle name="Normal 75 42 2" xfId="24997" xr:uid="{00000000-0005-0000-0000-0000B15E0000}"/>
    <cellStyle name="Normal 75 43" xfId="12817" xr:uid="{00000000-0005-0000-0000-0000B25E0000}"/>
    <cellStyle name="Normal 75 43 2" xfId="24998" xr:uid="{00000000-0005-0000-0000-0000B35E0000}"/>
    <cellStyle name="Normal 75 44" xfId="12818" xr:uid="{00000000-0005-0000-0000-0000B45E0000}"/>
    <cellStyle name="Normal 75 44 2" xfId="24999" xr:uid="{00000000-0005-0000-0000-0000B55E0000}"/>
    <cellStyle name="Normal 75 45" xfId="12819" xr:uid="{00000000-0005-0000-0000-0000B65E0000}"/>
    <cellStyle name="Normal 75 45 2" xfId="25000" xr:uid="{00000000-0005-0000-0000-0000B75E0000}"/>
    <cellStyle name="Normal 75 46" xfId="12820" xr:uid="{00000000-0005-0000-0000-0000B85E0000}"/>
    <cellStyle name="Normal 75 46 2" xfId="25001" xr:uid="{00000000-0005-0000-0000-0000B95E0000}"/>
    <cellStyle name="Normal 75 47" xfId="12821" xr:uid="{00000000-0005-0000-0000-0000BA5E0000}"/>
    <cellStyle name="Normal 75 47 2" xfId="25002" xr:uid="{00000000-0005-0000-0000-0000BB5E0000}"/>
    <cellStyle name="Normal 75 48" xfId="12822" xr:uid="{00000000-0005-0000-0000-0000BC5E0000}"/>
    <cellStyle name="Normal 75 48 2" xfId="25003" xr:uid="{00000000-0005-0000-0000-0000BD5E0000}"/>
    <cellStyle name="Normal 75 49" xfId="12823" xr:uid="{00000000-0005-0000-0000-0000BE5E0000}"/>
    <cellStyle name="Normal 75 49 2" xfId="25004" xr:uid="{00000000-0005-0000-0000-0000BF5E0000}"/>
    <cellStyle name="Normal 75 5" xfId="12824" xr:uid="{00000000-0005-0000-0000-0000C05E0000}"/>
    <cellStyle name="Normal 75 5 2" xfId="25005" xr:uid="{00000000-0005-0000-0000-0000C15E0000}"/>
    <cellStyle name="Normal 75 50" xfId="12825" xr:uid="{00000000-0005-0000-0000-0000C25E0000}"/>
    <cellStyle name="Normal 75 50 2" xfId="25006" xr:uid="{00000000-0005-0000-0000-0000C35E0000}"/>
    <cellStyle name="Normal 75 51" xfId="12826" xr:uid="{00000000-0005-0000-0000-0000C45E0000}"/>
    <cellStyle name="Normal 75 51 2" xfId="25007" xr:uid="{00000000-0005-0000-0000-0000C55E0000}"/>
    <cellStyle name="Normal 75 52" xfId="12827" xr:uid="{00000000-0005-0000-0000-0000C65E0000}"/>
    <cellStyle name="Normal 75 52 2" xfId="25008" xr:uid="{00000000-0005-0000-0000-0000C75E0000}"/>
    <cellStyle name="Normal 75 53" xfId="12828" xr:uid="{00000000-0005-0000-0000-0000C85E0000}"/>
    <cellStyle name="Normal 75 53 2" xfId="25009" xr:uid="{00000000-0005-0000-0000-0000C95E0000}"/>
    <cellStyle name="Normal 75 54" xfId="12829" xr:uid="{00000000-0005-0000-0000-0000CA5E0000}"/>
    <cellStyle name="Normal 75 54 2" xfId="25010" xr:uid="{00000000-0005-0000-0000-0000CB5E0000}"/>
    <cellStyle name="Normal 75 55" xfId="12830" xr:uid="{00000000-0005-0000-0000-0000CC5E0000}"/>
    <cellStyle name="Normal 75 55 2" xfId="25011" xr:uid="{00000000-0005-0000-0000-0000CD5E0000}"/>
    <cellStyle name="Normal 75 56" xfId="12831" xr:uid="{00000000-0005-0000-0000-0000CE5E0000}"/>
    <cellStyle name="Normal 75 56 2" xfId="25012" xr:uid="{00000000-0005-0000-0000-0000CF5E0000}"/>
    <cellStyle name="Normal 75 57" xfId="12832" xr:uid="{00000000-0005-0000-0000-0000D05E0000}"/>
    <cellStyle name="Normal 75 57 2" xfId="25013" xr:uid="{00000000-0005-0000-0000-0000D15E0000}"/>
    <cellStyle name="Normal 75 58" xfId="12833" xr:uid="{00000000-0005-0000-0000-0000D25E0000}"/>
    <cellStyle name="Normal 75 58 2" xfId="25014" xr:uid="{00000000-0005-0000-0000-0000D35E0000}"/>
    <cellStyle name="Normal 75 59" xfId="12834" xr:uid="{00000000-0005-0000-0000-0000D45E0000}"/>
    <cellStyle name="Normal 75 59 2" xfId="25015" xr:uid="{00000000-0005-0000-0000-0000D55E0000}"/>
    <cellStyle name="Normal 75 6" xfId="12835" xr:uid="{00000000-0005-0000-0000-0000D65E0000}"/>
    <cellStyle name="Normal 75 6 2" xfId="25016" xr:uid="{00000000-0005-0000-0000-0000D75E0000}"/>
    <cellStyle name="Normal 75 60" xfId="12836" xr:uid="{00000000-0005-0000-0000-0000D85E0000}"/>
    <cellStyle name="Normal 75 60 2" xfId="25017" xr:uid="{00000000-0005-0000-0000-0000D95E0000}"/>
    <cellStyle name="Normal 75 61" xfId="12837" xr:uid="{00000000-0005-0000-0000-0000DA5E0000}"/>
    <cellStyle name="Normal 75 61 2" xfId="25018" xr:uid="{00000000-0005-0000-0000-0000DB5E0000}"/>
    <cellStyle name="Normal 75 62" xfId="12838" xr:uid="{00000000-0005-0000-0000-0000DC5E0000}"/>
    <cellStyle name="Normal 75 62 2" xfId="25019" xr:uid="{00000000-0005-0000-0000-0000DD5E0000}"/>
    <cellStyle name="Normal 75 63" xfId="12839" xr:uid="{00000000-0005-0000-0000-0000DE5E0000}"/>
    <cellStyle name="Normal 75 63 2" xfId="25020" xr:uid="{00000000-0005-0000-0000-0000DF5E0000}"/>
    <cellStyle name="Normal 75 64" xfId="12840" xr:uid="{00000000-0005-0000-0000-0000E05E0000}"/>
    <cellStyle name="Normal 75 64 2" xfId="25021" xr:uid="{00000000-0005-0000-0000-0000E15E0000}"/>
    <cellStyle name="Normal 75 65" xfId="12841" xr:uid="{00000000-0005-0000-0000-0000E25E0000}"/>
    <cellStyle name="Normal 75 65 2" xfId="25022" xr:uid="{00000000-0005-0000-0000-0000E35E0000}"/>
    <cellStyle name="Normal 75 66" xfId="12842" xr:uid="{00000000-0005-0000-0000-0000E45E0000}"/>
    <cellStyle name="Normal 75 66 2" xfId="25023" xr:uid="{00000000-0005-0000-0000-0000E55E0000}"/>
    <cellStyle name="Normal 75 67" xfId="12843" xr:uid="{00000000-0005-0000-0000-0000E65E0000}"/>
    <cellStyle name="Normal 75 67 2" xfId="25024" xr:uid="{00000000-0005-0000-0000-0000E75E0000}"/>
    <cellStyle name="Normal 75 68" xfId="12844" xr:uid="{00000000-0005-0000-0000-0000E85E0000}"/>
    <cellStyle name="Normal 75 68 2" xfId="25025" xr:uid="{00000000-0005-0000-0000-0000E95E0000}"/>
    <cellStyle name="Normal 75 69" xfId="12845" xr:uid="{00000000-0005-0000-0000-0000EA5E0000}"/>
    <cellStyle name="Normal 75 69 2" xfId="25026" xr:uid="{00000000-0005-0000-0000-0000EB5E0000}"/>
    <cellStyle name="Normal 75 7" xfId="12846" xr:uid="{00000000-0005-0000-0000-0000EC5E0000}"/>
    <cellStyle name="Normal 75 7 2" xfId="25027" xr:uid="{00000000-0005-0000-0000-0000ED5E0000}"/>
    <cellStyle name="Normal 75 70" xfId="12847" xr:uid="{00000000-0005-0000-0000-0000EE5E0000}"/>
    <cellStyle name="Normal 75 70 2" xfId="25028" xr:uid="{00000000-0005-0000-0000-0000EF5E0000}"/>
    <cellStyle name="Normal 75 71" xfId="12848" xr:uid="{00000000-0005-0000-0000-0000F05E0000}"/>
    <cellStyle name="Normal 75 71 2" xfId="25029" xr:uid="{00000000-0005-0000-0000-0000F15E0000}"/>
    <cellStyle name="Normal 75 72" xfId="12849" xr:uid="{00000000-0005-0000-0000-0000F25E0000}"/>
    <cellStyle name="Normal 75 72 2" xfId="25030" xr:uid="{00000000-0005-0000-0000-0000F35E0000}"/>
    <cellStyle name="Normal 75 73" xfId="12850" xr:uid="{00000000-0005-0000-0000-0000F45E0000}"/>
    <cellStyle name="Normal 75 73 2" xfId="25031" xr:uid="{00000000-0005-0000-0000-0000F55E0000}"/>
    <cellStyle name="Normal 75 74" xfId="12851" xr:uid="{00000000-0005-0000-0000-0000F65E0000}"/>
    <cellStyle name="Normal 75 74 2" xfId="25032" xr:uid="{00000000-0005-0000-0000-0000F75E0000}"/>
    <cellStyle name="Normal 75 75" xfId="12852" xr:uid="{00000000-0005-0000-0000-0000F85E0000}"/>
    <cellStyle name="Normal 75 75 2" xfId="25033" xr:uid="{00000000-0005-0000-0000-0000F95E0000}"/>
    <cellStyle name="Normal 75 76" xfId="12853" xr:uid="{00000000-0005-0000-0000-0000FA5E0000}"/>
    <cellStyle name="Normal 75 76 2" xfId="25034" xr:uid="{00000000-0005-0000-0000-0000FB5E0000}"/>
    <cellStyle name="Normal 75 77" xfId="12854" xr:uid="{00000000-0005-0000-0000-0000FC5E0000}"/>
    <cellStyle name="Normal 75 77 2" xfId="25035" xr:uid="{00000000-0005-0000-0000-0000FD5E0000}"/>
    <cellStyle name="Normal 75 78" xfId="12855" xr:uid="{00000000-0005-0000-0000-0000FE5E0000}"/>
    <cellStyle name="Normal 75 78 2" xfId="25036" xr:uid="{00000000-0005-0000-0000-0000FF5E0000}"/>
    <cellStyle name="Normal 75 79" xfId="12856" xr:uid="{00000000-0005-0000-0000-0000005F0000}"/>
    <cellStyle name="Normal 75 79 2" xfId="25037" xr:uid="{00000000-0005-0000-0000-0000015F0000}"/>
    <cellStyle name="Normal 75 8" xfId="12857" xr:uid="{00000000-0005-0000-0000-0000025F0000}"/>
    <cellStyle name="Normal 75 8 2" xfId="25038" xr:uid="{00000000-0005-0000-0000-0000035F0000}"/>
    <cellStyle name="Normal 75 80" xfId="24961" xr:uid="{00000000-0005-0000-0000-0000045F0000}"/>
    <cellStyle name="Normal 75 9" xfId="12858" xr:uid="{00000000-0005-0000-0000-0000055F0000}"/>
    <cellStyle name="Normal 75 9 2" xfId="25039" xr:uid="{00000000-0005-0000-0000-0000065F0000}"/>
    <cellStyle name="Normal 76" xfId="202" xr:uid="{00000000-0005-0000-0000-0000075F0000}"/>
    <cellStyle name="Normal 76 10" xfId="12859" xr:uid="{00000000-0005-0000-0000-0000085F0000}"/>
    <cellStyle name="Normal 76 10 2" xfId="25041" xr:uid="{00000000-0005-0000-0000-0000095F0000}"/>
    <cellStyle name="Normal 76 11" xfId="12860" xr:uid="{00000000-0005-0000-0000-00000A5F0000}"/>
    <cellStyle name="Normal 76 11 2" xfId="25042" xr:uid="{00000000-0005-0000-0000-00000B5F0000}"/>
    <cellStyle name="Normal 76 12" xfId="12861" xr:uid="{00000000-0005-0000-0000-00000C5F0000}"/>
    <cellStyle name="Normal 76 12 2" xfId="25043" xr:uid="{00000000-0005-0000-0000-00000D5F0000}"/>
    <cellStyle name="Normal 76 13" xfId="12862" xr:uid="{00000000-0005-0000-0000-00000E5F0000}"/>
    <cellStyle name="Normal 76 13 2" xfId="25044" xr:uid="{00000000-0005-0000-0000-00000F5F0000}"/>
    <cellStyle name="Normal 76 14" xfId="12863" xr:uid="{00000000-0005-0000-0000-0000105F0000}"/>
    <cellStyle name="Normal 76 14 2" xfId="25045" xr:uid="{00000000-0005-0000-0000-0000115F0000}"/>
    <cellStyle name="Normal 76 15" xfId="12864" xr:uid="{00000000-0005-0000-0000-0000125F0000}"/>
    <cellStyle name="Normal 76 15 2" xfId="25046" xr:uid="{00000000-0005-0000-0000-0000135F0000}"/>
    <cellStyle name="Normal 76 16" xfId="12865" xr:uid="{00000000-0005-0000-0000-0000145F0000}"/>
    <cellStyle name="Normal 76 16 2" xfId="25047" xr:uid="{00000000-0005-0000-0000-0000155F0000}"/>
    <cellStyle name="Normal 76 17" xfId="12866" xr:uid="{00000000-0005-0000-0000-0000165F0000}"/>
    <cellStyle name="Normal 76 17 2" xfId="25048" xr:uid="{00000000-0005-0000-0000-0000175F0000}"/>
    <cellStyle name="Normal 76 18" xfId="12867" xr:uid="{00000000-0005-0000-0000-0000185F0000}"/>
    <cellStyle name="Normal 76 18 2" xfId="25049" xr:uid="{00000000-0005-0000-0000-0000195F0000}"/>
    <cellStyle name="Normal 76 19" xfId="12868" xr:uid="{00000000-0005-0000-0000-00001A5F0000}"/>
    <cellStyle name="Normal 76 19 2" xfId="25050" xr:uid="{00000000-0005-0000-0000-00001B5F0000}"/>
    <cellStyle name="Normal 76 2" xfId="766" xr:uid="{00000000-0005-0000-0000-00001C5F0000}"/>
    <cellStyle name="Normal 76 2 2" xfId="25051" xr:uid="{00000000-0005-0000-0000-00001D5F0000}"/>
    <cellStyle name="Normal 76 2 3" xfId="12869" xr:uid="{00000000-0005-0000-0000-00001E5F0000}"/>
    <cellStyle name="Normal 76 20" xfId="12870" xr:uid="{00000000-0005-0000-0000-00001F5F0000}"/>
    <cellStyle name="Normal 76 20 2" xfId="25052" xr:uid="{00000000-0005-0000-0000-0000205F0000}"/>
    <cellStyle name="Normal 76 21" xfId="12871" xr:uid="{00000000-0005-0000-0000-0000215F0000}"/>
    <cellStyle name="Normal 76 21 2" xfId="25053" xr:uid="{00000000-0005-0000-0000-0000225F0000}"/>
    <cellStyle name="Normal 76 22" xfId="12872" xr:uid="{00000000-0005-0000-0000-0000235F0000}"/>
    <cellStyle name="Normal 76 22 2" xfId="25054" xr:uid="{00000000-0005-0000-0000-0000245F0000}"/>
    <cellStyle name="Normal 76 23" xfId="12873" xr:uid="{00000000-0005-0000-0000-0000255F0000}"/>
    <cellStyle name="Normal 76 23 2" xfId="25055" xr:uid="{00000000-0005-0000-0000-0000265F0000}"/>
    <cellStyle name="Normal 76 24" xfId="12874" xr:uid="{00000000-0005-0000-0000-0000275F0000}"/>
    <cellStyle name="Normal 76 24 2" xfId="25056" xr:uid="{00000000-0005-0000-0000-0000285F0000}"/>
    <cellStyle name="Normal 76 25" xfId="12875" xr:uid="{00000000-0005-0000-0000-0000295F0000}"/>
    <cellStyle name="Normal 76 25 2" xfId="25057" xr:uid="{00000000-0005-0000-0000-00002A5F0000}"/>
    <cellStyle name="Normal 76 26" xfId="12876" xr:uid="{00000000-0005-0000-0000-00002B5F0000}"/>
    <cellStyle name="Normal 76 26 2" xfId="25058" xr:uid="{00000000-0005-0000-0000-00002C5F0000}"/>
    <cellStyle name="Normal 76 27" xfId="12877" xr:uid="{00000000-0005-0000-0000-00002D5F0000}"/>
    <cellStyle name="Normal 76 27 2" xfId="25059" xr:uid="{00000000-0005-0000-0000-00002E5F0000}"/>
    <cellStyle name="Normal 76 28" xfId="12878" xr:uid="{00000000-0005-0000-0000-00002F5F0000}"/>
    <cellStyle name="Normal 76 28 2" xfId="25060" xr:uid="{00000000-0005-0000-0000-0000305F0000}"/>
    <cellStyle name="Normal 76 29" xfId="12879" xr:uid="{00000000-0005-0000-0000-0000315F0000}"/>
    <cellStyle name="Normal 76 29 2" xfId="25061" xr:uid="{00000000-0005-0000-0000-0000325F0000}"/>
    <cellStyle name="Normal 76 3" xfId="417" xr:uid="{00000000-0005-0000-0000-0000335F0000}"/>
    <cellStyle name="Normal 76 3 2" xfId="25062" xr:uid="{00000000-0005-0000-0000-0000345F0000}"/>
    <cellStyle name="Normal 76 30" xfId="12880" xr:uid="{00000000-0005-0000-0000-0000355F0000}"/>
    <cellStyle name="Normal 76 30 2" xfId="25063" xr:uid="{00000000-0005-0000-0000-0000365F0000}"/>
    <cellStyle name="Normal 76 31" xfId="12881" xr:uid="{00000000-0005-0000-0000-0000375F0000}"/>
    <cellStyle name="Normal 76 31 2" xfId="25064" xr:uid="{00000000-0005-0000-0000-0000385F0000}"/>
    <cellStyle name="Normal 76 32" xfId="12882" xr:uid="{00000000-0005-0000-0000-0000395F0000}"/>
    <cellStyle name="Normal 76 32 2" xfId="25065" xr:uid="{00000000-0005-0000-0000-00003A5F0000}"/>
    <cellStyle name="Normal 76 33" xfId="12883" xr:uid="{00000000-0005-0000-0000-00003B5F0000}"/>
    <cellStyle name="Normal 76 33 2" xfId="25066" xr:uid="{00000000-0005-0000-0000-00003C5F0000}"/>
    <cellStyle name="Normal 76 34" xfId="12884" xr:uid="{00000000-0005-0000-0000-00003D5F0000}"/>
    <cellStyle name="Normal 76 34 2" xfId="25067" xr:uid="{00000000-0005-0000-0000-00003E5F0000}"/>
    <cellStyle name="Normal 76 35" xfId="12885" xr:uid="{00000000-0005-0000-0000-00003F5F0000}"/>
    <cellStyle name="Normal 76 35 2" xfId="25068" xr:uid="{00000000-0005-0000-0000-0000405F0000}"/>
    <cellStyle name="Normal 76 36" xfId="12886" xr:uid="{00000000-0005-0000-0000-0000415F0000}"/>
    <cellStyle name="Normal 76 36 2" xfId="25069" xr:uid="{00000000-0005-0000-0000-0000425F0000}"/>
    <cellStyle name="Normal 76 37" xfId="12887" xr:uid="{00000000-0005-0000-0000-0000435F0000}"/>
    <cellStyle name="Normal 76 37 2" xfId="25070" xr:uid="{00000000-0005-0000-0000-0000445F0000}"/>
    <cellStyle name="Normal 76 38" xfId="12888" xr:uid="{00000000-0005-0000-0000-0000455F0000}"/>
    <cellStyle name="Normal 76 38 2" xfId="25071" xr:uid="{00000000-0005-0000-0000-0000465F0000}"/>
    <cellStyle name="Normal 76 39" xfId="12889" xr:uid="{00000000-0005-0000-0000-0000475F0000}"/>
    <cellStyle name="Normal 76 39 2" xfId="25072" xr:uid="{00000000-0005-0000-0000-0000485F0000}"/>
    <cellStyle name="Normal 76 4" xfId="12890" xr:uid="{00000000-0005-0000-0000-0000495F0000}"/>
    <cellStyle name="Normal 76 4 2" xfId="25073" xr:uid="{00000000-0005-0000-0000-00004A5F0000}"/>
    <cellStyle name="Normal 76 40" xfId="12891" xr:uid="{00000000-0005-0000-0000-00004B5F0000}"/>
    <cellStyle name="Normal 76 40 2" xfId="25074" xr:uid="{00000000-0005-0000-0000-00004C5F0000}"/>
    <cellStyle name="Normal 76 41" xfId="12892" xr:uid="{00000000-0005-0000-0000-00004D5F0000}"/>
    <cellStyle name="Normal 76 41 2" xfId="25075" xr:uid="{00000000-0005-0000-0000-00004E5F0000}"/>
    <cellStyle name="Normal 76 42" xfId="12893" xr:uid="{00000000-0005-0000-0000-00004F5F0000}"/>
    <cellStyle name="Normal 76 42 2" xfId="25076" xr:uid="{00000000-0005-0000-0000-0000505F0000}"/>
    <cellStyle name="Normal 76 43" xfId="12894" xr:uid="{00000000-0005-0000-0000-0000515F0000}"/>
    <cellStyle name="Normal 76 43 2" xfId="25077" xr:uid="{00000000-0005-0000-0000-0000525F0000}"/>
    <cellStyle name="Normal 76 44" xfId="12895" xr:uid="{00000000-0005-0000-0000-0000535F0000}"/>
    <cellStyle name="Normal 76 44 2" xfId="25078" xr:uid="{00000000-0005-0000-0000-0000545F0000}"/>
    <cellStyle name="Normal 76 45" xfId="12896" xr:uid="{00000000-0005-0000-0000-0000555F0000}"/>
    <cellStyle name="Normal 76 45 2" xfId="25079" xr:uid="{00000000-0005-0000-0000-0000565F0000}"/>
    <cellStyle name="Normal 76 46" xfId="12897" xr:uid="{00000000-0005-0000-0000-0000575F0000}"/>
    <cellStyle name="Normal 76 46 2" xfId="25080" xr:uid="{00000000-0005-0000-0000-0000585F0000}"/>
    <cellStyle name="Normal 76 47" xfId="12898" xr:uid="{00000000-0005-0000-0000-0000595F0000}"/>
    <cellStyle name="Normal 76 47 2" xfId="25081" xr:uid="{00000000-0005-0000-0000-00005A5F0000}"/>
    <cellStyle name="Normal 76 48" xfId="12899" xr:uid="{00000000-0005-0000-0000-00005B5F0000}"/>
    <cellStyle name="Normal 76 48 2" xfId="25082" xr:uid="{00000000-0005-0000-0000-00005C5F0000}"/>
    <cellStyle name="Normal 76 49" xfId="12900" xr:uid="{00000000-0005-0000-0000-00005D5F0000}"/>
    <cellStyle name="Normal 76 49 2" xfId="25083" xr:uid="{00000000-0005-0000-0000-00005E5F0000}"/>
    <cellStyle name="Normal 76 5" xfId="12901" xr:uid="{00000000-0005-0000-0000-00005F5F0000}"/>
    <cellStyle name="Normal 76 5 2" xfId="25084" xr:uid="{00000000-0005-0000-0000-0000605F0000}"/>
    <cellStyle name="Normal 76 50" xfId="12902" xr:uid="{00000000-0005-0000-0000-0000615F0000}"/>
    <cellStyle name="Normal 76 50 2" xfId="25085" xr:uid="{00000000-0005-0000-0000-0000625F0000}"/>
    <cellStyle name="Normal 76 51" xfId="12903" xr:uid="{00000000-0005-0000-0000-0000635F0000}"/>
    <cellStyle name="Normal 76 51 2" xfId="25086" xr:uid="{00000000-0005-0000-0000-0000645F0000}"/>
    <cellStyle name="Normal 76 52" xfId="12904" xr:uid="{00000000-0005-0000-0000-0000655F0000}"/>
    <cellStyle name="Normal 76 52 2" xfId="25087" xr:uid="{00000000-0005-0000-0000-0000665F0000}"/>
    <cellStyle name="Normal 76 53" xfId="12905" xr:uid="{00000000-0005-0000-0000-0000675F0000}"/>
    <cellStyle name="Normal 76 53 2" xfId="25088" xr:uid="{00000000-0005-0000-0000-0000685F0000}"/>
    <cellStyle name="Normal 76 54" xfId="12906" xr:uid="{00000000-0005-0000-0000-0000695F0000}"/>
    <cellStyle name="Normal 76 54 2" xfId="25089" xr:uid="{00000000-0005-0000-0000-00006A5F0000}"/>
    <cellStyle name="Normal 76 55" xfId="12907" xr:uid="{00000000-0005-0000-0000-00006B5F0000}"/>
    <cellStyle name="Normal 76 55 2" xfId="25090" xr:uid="{00000000-0005-0000-0000-00006C5F0000}"/>
    <cellStyle name="Normal 76 56" xfId="12908" xr:uid="{00000000-0005-0000-0000-00006D5F0000}"/>
    <cellStyle name="Normal 76 56 2" xfId="25091" xr:uid="{00000000-0005-0000-0000-00006E5F0000}"/>
    <cellStyle name="Normal 76 57" xfId="12909" xr:uid="{00000000-0005-0000-0000-00006F5F0000}"/>
    <cellStyle name="Normal 76 57 2" xfId="25092" xr:uid="{00000000-0005-0000-0000-0000705F0000}"/>
    <cellStyle name="Normal 76 58" xfId="12910" xr:uid="{00000000-0005-0000-0000-0000715F0000}"/>
    <cellStyle name="Normal 76 58 2" xfId="25093" xr:uid="{00000000-0005-0000-0000-0000725F0000}"/>
    <cellStyle name="Normal 76 59" xfId="12911" xr:uid="{00000000-0005-0000-0000-0000735F0000}"/>
    <cellStyle name="Normal 76 59 2" xfId="25094" xr:uid="{00000000-0005-0000-0000-0000745F0000}"/>
    <cellStyle name="Normal 76 6" xfId="12912" xr:uid="{00000000-0005-0000-0000-0000755F0000}"/>
    <cellStyle name="Normal 76 6 2" xfId="25095" xr:uid="{00000000-0005-0000-0000-0000765F0000}"/>
    <cellStyle name="Normal 76 60" xfId="12913" xr:uid="{00000000-0005-0000-0000-0000775F0000}"/>
    <cellStyle name="Normal 76 60 2" xfId="25096" xr:uid="{00000000-0005-0000-0000-0000785F0000}"/>
    <cellStyle name="Normal 76 61" xfId="12914" xr:uid="{00000000-0005-0000-0000-0000795F0000}"/>
    <cellStyle name="Normal 76 61 2" xfId="25097" xr:uid="{00000000-0005-0000-0000-00007A5F0000}"/>
    <cellStyle name="Normal 76 62" xfId="12915" xr:uid="{00000000-0005-0000-0000-00007B5F0000}"/>
    <cellStyle name="Normal 76 62 2" xfId="25098" xr:uid="{00000000-0005-0000-0000-00007C5F0000}"/>
    <cellStyle name="Normal 76 63" xfId="12916" xr:uid="{00000000-0005-0000-0000-00007D5F0000}"/>
    <cellStyle name="Normal 76 63 2" xfId="25099" xr:uid="{00000000-0005-0000-0000-00007E5F0000}"/>
    <cellStyle name="Normal 76 64" xfId="12917" xr:uid="{00000000-0005-0000-0000-00007F5F0000}"/>
    <cellStyle name="Normal 76 64 2" xfId="25100" xr:uid="{00000000-0005-0000-0000-0000805F0000}"/>
    <cellStyle name="Normal 76 65" xfId="12918" xr:uid="{00000000-0005-0000-0000-0000815F0000}"/>
    <cellStyle name="Normal 76 65 2" xfId="25101" xr:uid="{00000000-0005-0000-0000-0000825F0000}"/>
    <cellStyle name="Normal 76 66" xfId="12919" xr:uid="{00000000-0005-0000-0000-0000835F0000}"/>
    <cellStyle name="Normal 76 66 2" xfId="25102" xr:uid="{00000000-0005-0000-0000-0000845F0000}"/>
    <cellStyle name="Normal 76 67" xfId="12920" xr:uid="{00000000-0005-0000-0000-0000855F0000}"/>
    <cellStyle name="Normal 76 67 2" xfId="25103" xr:uid="{00000000-0005-0000-0000-0000865F0000}"/>
    <cellStyle name="Normal 76 68" xfId="12921" xr:uid="{00000000-0005-0000-0000-0000875F0000}"/>
    <cellStyle name="Normal 76 68 2" xfId="25104" xr:uid="{00000000-0005-0000-0000-0000885F0000}"/>
    <cellStyle name="Normal 76 69" xfId="12922" xr:uid="{00000000-0005-0000-0000-0000895F0000}"/>
    <cellStyle name="Normal 76 69 2" xfId="25105" xr:uid="{00000000-0005-0000-0000-00008A5F0000}"/>
    <cellStyle name="Normal 76 7" xfId="12923" xr:uid="{00000000-0005-0000-0000-00008B5F0000}"/>
    <cellStyle name="Normal 76 7 2" xfId="25106" xr:uid="{00000000-0005-0000-0000-00008C5F0000}"/>
    <cellStyle name="Normal 76 70" xfId="12924" xr:uid="{00000000-0005-0000-0000-00008D5F0000}"/>
    <cellStyle name="Normal 76 70 2" xfId="25107" xr:uid="{00000000-0005-0000-0000-00008E5F0000}"/>
    <cellStyle name="Normal 76 71" xfId="12925" xr:uid="{00000000-0005-0000-0000-00008F5F0000}"/>
    <cellStyle name="Normal 76 71 2" xfId="25108" xr:uid="{00000000-0005-0000-0000-0000905F0000}"/>
    <cellStyle name="Normal 76 72" xfId="12926" xr:uid="{00000000-0005-0000-0000-0000915F0000}"/>
    <cellStyle name="Normal 76 72 2" xfId="25109" xr:uid="{00000000-0005-0000-0000-0000925F0000}"/>
    <cellStyle name="Normal 76 73" xfId="12927" xr:uid="{00000000-0005-0000-0000-0000935F0000}"/>
    <cellStyle name="Normal 76 73 2" xfId="25110" xr:uid="{00000000-0005-0000-0000-0000945F0000}"/>
    <cellStyle name="Normal 76 74" xfId="12928" xr:uid="{00000000-0005-0000-0000-0000955F0000}"/>
    <cellStyle name="Normal 76 74 2" xfId="25111" xr:uid="{00000000-0005-0000-0000-0000965F0000}"/>
    <cellStyle name="Normal 76 75" xfId="12929" xr:uid="{00000000-0005-0000-0000-0000975F0000}"/>
    <cellStyle name="Normal 76 75 2" xfId="25112" xr:uid="{00000000-0005-0000-0000-0000985F0000}"/>
    <cellStyle name="Normal 76 76" xfId="12930" xr:uid="{00000000-0005-0000-0000-0000995F0000}"/>
    <cellStyle name="Normal 76 76 2" xfId="25113" xr:uid="{00000000-0005-0000-0000-00009A5F0000}"/>
    <cellStyle name="Normal 76 77" xfId="12931" xr:uid="{00000000-0005-0000-0000-00009B5F0000}"/>
    <cellStyle name="Normal 76 77 2" xfId="25114" xr:uid="{00000000-0005-0000-0000-00009C5F0000}"/>
    <cellStyle name="Normal 76 78" xfId="12932" xr:uid="{00000000-0005-0000-0000-00009D5F0000}"/>
    <cellStyle name="Normal 76 78 2" xfId="25115" xr:uid="{00000000-0005-0000-0000-00009E5F0000}"/>
    <cellStyle name="Normal 76 79" xfId="12933" xr:uid="{00000000-0005-0000-0000-00009F5F0000}"/>
    <cellStyle name="Normal 76 79 2" xfId="25116" xr:uid="{00000000-0005-0000-0000-0000A05F0000}"/>
    <cellStyle name="Normal 76 8" xfId="12934" xr:uid="{00000000-0005-0000-0000-0000A15F0000}"/>
    <cellStyle name="Normal 76 8 2" xfId="25117" xr:uid="{00000000-0005-0000-0000-0000A25F0000}"/>
    <cellStyle name="Normal 76 80" xfId="25040" xr:uid="{00000000-0005-0000-0000-0000A35F0000}"/>
    <cellStyle name="Normal 76 9" xfId="12935" xr:uid="{00000000-0005-0000-0000-0000A45F0000}"/>
    <cellStyle name="Normal 76 9 2" xfId="25118" xr:uid="{00000000-0005-0000-0000-0000A55F0000}"/>
    <cellStyle name="Normal 77" xfId="203" xr:uid="{00000000-0005-0000-0000-0000A65F0000}"/>
    <cellStyle name="Normal 77 10" xfId="12936" xr:uid="{00000000-0005-0000-0000-0000A75F0000}"/>
    <cellStyle name="Normal 77 10 2" xfId="25120" xr:uid="{00000000-0005-0000-0000-0000A85F0000}"/>
    <cellStyle name="Normal 77 11" xfId="12937" xr:uid="{00000000-0005-0000-0000-0000A95F0000}"/>
    <cellStyle name="Normal 77 11 2" xfId="25121" xr:uid="{00000000-0005-0000-0000-0000AA5F0000}"/>
    <cellStyle name="Normal 77 12" xfId="12938" xr:uid="{00000000-0005-0000-0000-0000AB5F0000}"/>
    <cellStyle name="Normal 77 12 2" xfId="25122" xr:uid="{00000000-0005-0000-0000-0000AC5F0000}"/>
    <cellStyle name="Normal 77 13" xfId="12939" xr:uid="{00000000-0005-0000-0000-0000AD5F0000}"/>
    <cellStyle name="Normal 77 13 2" xfId="25123" xr:uid="{00000000-0005-0000-0000-0000AE5F0000}"/>
    <cellStyle name="Normal 77 14" xfId="12940" xr:uid="{00000000-0005-0000-0000-0000AF5F0000}"/>
    <cellStyle name="Normal 77 14 2" xfId="25124" xr:uid="{00000000-0005-0000-0000-0000B05F0000}"/>
    <cellStyle name="Normal 77 15" xfId="12941" xr:uid="{00000000-0005-0000-0000-0000B15F0000}"/>
    <cellStyle name="Normal 77 15 2" xfId="25125" xr:uid="{00000000-0005-0000-0000-0000B25F0000}"/>
    <cellStyle name="Normal 77 16" xfId="12942" xr:uid="{00000000-0005-0000-0000-0000B35F0000}"/>
    <cellStyle name="Normal 77 16 2" xfId="25126" xr:uid="{00000000-0005-0000-0000-0000B45F0000}"/>
    <cellStyle name="Normal 77 17" xfId="12943" xr:uid="{00000000-0005-0000-0000-0000B55F0000}"/>
    <cellStyle name="Normal 77 17 2" xfId="25127" xr:uid="{00000000-0005-0000-0000-0000B65F0000}"/>
    <cellStyle name="Normal 77 18" xfId="12944" xr:uid="{00000000-0005-0000-0000-0000B75F0000}"/>
    <cellStyle name="Normal 77 18 2" xfId="25128" xr:uid="{00000000-0005-0000-0000-0000B85F0000}"/>
    <cellStyle name="Normal 77 19" xfId="12945" xr:uid="{00000000-0005-0000-0000-0000B95F0000}"/>
    <cellStyle name="Normal 77 19 2" xfId="25129" xr:uid="{00000000-0005-0000-0000-0000BA5F0000}"/>
    <cellStyle name="Normal 77 2" xfId="767" xr:uid="{00000000-0005-0000-0000-0000BB5F0000}"/>
    <cellStyle name="Normal 77 2 2" xfId="25130" xr:uid="{00000000-0005-0000-0000-0000BC5F0000}"/>
    <cellStyle name="Normal 77 2 3" xfId="12946" xr:uid="{00000000-0005-0000-0000-0000BD5F0000}"/>
    <cellStyle name="Normal 77 20" xfId="12947" xr:uid="{00000000-0005-0000-0000-0000BE5F0000}"/>
    <cellStyle name="Normal 77 20 2" xfId="25131" xr:uid="{00000000-0005-0000-0000-0000BF5F0000}"/>
    <cellStyle name="Normal 77 21" xfId="12948" xr:uid="{00000000-0005-0000-0000-0000C05F0000}"/>
    <cellStyle name="Normal 77 21 2" xfId="25132" xr:uid="{00000000-0005-0000-0000-0000C15F0000}"/>
    <cellStyle name="Normal 77 22" xfId="12949" xr:uid="{00000000-0005-0000-0000-0000C25F0000}"/>
    <cellStyle name="Normal 77 22 2" xfId="25133" xr:uid="{00000000-0005-0000-0000-0000C35F0000}"/>
    <cellStyle name="Normal 77 23" xfId="12950" xr:uid="{00000000-0005-0000-0000-0000C45F0000}"/>
    <cellStyle name="Normal 77 23 2" xfId="25134" xr:uid="{00000000-0005-0000-0000-0000C55F0000}"/>
    <cellStyle name="Normal 77 24" xfId="12951" xr:uid="{00000000-0005-0000-0000-0000C65F0000}"/>
    <cellStyle name="Normal 77 24 2" xfId="25135" xr:uid="{00000000-0005-0000-0000-0000C75F0000}"/>
    <cellStyle name="Normal 77 25" xfId="12952" xr:uid="{00000000-0005-0000-0000-0000C85F0000}"/>
    <cellStyle name="Normal 77 25 2" xfId="25136" xr:uid="{00000000-0005-0000-0000-0000C95F0000}"/>
    <cellStyle name="Normal 77 26" xfId="12953" xr:uid="{00000000-0005-0000-0000-0000CA5F0000}"/>
    <cellStyle name="Normal 77 26 2" xfId="25137" xr:uid="{00000000-0005-0000-0000-0000CB5F0000}"/>
    <cellStyle name="Normal 77 27" xfId="12954" xr:uid="{00000000-0005-0000-0000-0000CC5F0000}"/>
    <cellStyle name="Normal 77 27 2" xfId="25138" xr:uid="{00000000-0005-0000-0000-0000CD5F0000}"/>
    <cellStyle name="Normal 77 28" xfId="12955" xr:uid="{00000000-0005-0000-0000-0000CE5F0000}"/>
    <cellStyle name="Normal 77 28 2" xfId="25139" xr:uid="{00000000-0005-0000-0000-0000CF5F0000}"/>
    <cellStyle name="Normal 77 29" xfId="12956" xr:uid="{00000000-0005-0000-0000-0000D05F0000}"/>
    <cellStyle name="Normal 77 29 2" xfId="25140" xr:uid="{00000000-0005-0000-0000-0000D15F0000}"/>
    <cellStyle name="Normal 77 3" xfId="418" xr:uid="{00000000-0005-0000-0000-0000D25F0000}"/>
    <cellStyle name="Normal 77 3 2" xfId="25141" xr:uid="{00000000-0005-0000-0000-0000D35F0000}"/>
    <cellStyle name="Normal 77 30" xfId="12957" xr:uid="{00000000-0005-0000-0000-0000D45F0000}"/>
    <cellStyle name="Normal 77 30 2" xfId="25142" xr:uid="{00000000-0005-0000-0000-0000D55F0000}"/>
    <cellStyle name="Normal 77 31" xfId="12958" xr:uid="{00000000-0005-0000-0000-0000D65F0000}"/>
    <cellStyle name="Normal 77 31 2" xfId="25143" xr:uid="{00000000-0005-0000-0000-0000D75F0000}"/>
    <cellStyle name="Normal 77 32" xfId="12959" xr:uid="{00000000-0005-0000-0000-0000D85F0000}"/>
    <cellStyle name="Normal 77 32 2" xfId="25144" xr:uid="{00000000-0005-0000-0000-0000D95F0000}"/>
    <cellStyle name="Normal 77 33" xfId="12960" xr:uid="{00000000-0005-0000-0000-0000DA5F0000}"/>
    <cellStyle name="Normal 77 33 2" xfId="25145" xr:uid="{00000000-0005-0000-0000-0000DB5F0000}"/>
    <cellStyle name="Normal 77 34" xfId="12961" xr:uid="{00000000-0005-0000-0000-0000DC5F0000}"/>
    <cellStyle name="Normal 77 34 2" xfId="25146" xr:uid="{00000000-0005-0000-0000-0000DD5F0000}"/>
    <cellStyle name="Normal 77 35" xfId="12962" xr:uid="{00000000-0005-0000-0000-0000DE5F0000}"/>
    <cellStyle name="Normal 77 35 2" xfId="25147" xr:uid="{00000000-0005-0000-0000-0000DF5F0000}"/>
    <cellStyle name="Normal 77 36" xfId="12963" xr:uid="{00000000-0005-0000-0000-0000E05F0000}"/>
    <cellStyle name="Normal 77 36 2" xfId="25148" xr:uid="{00000000-0005-0000-0000-0000E15F0000}"/>
    <cellStyle name="Normal 77 37" xfId="12964" xr:uid="{00000000-0005-0000-0000-0000E25F0000}"/>
    <cellStyle name="Normal 77 37 2" xfId="25149" xr:uid="{00000000-0005-0000-0000-0000E35F0000}"/>
    <cellStyle name="Normal 77 38" xfId="12965" xr:uid="{00000000-0005-0000-0000-0000E45F0000}"/>
    <cellStyle name="Normal 77 38 2" xfId="25150" xr:uid="{00000000-0005-0000-0000-0000E55F0000}"/>
    <cellStyle name="Normal 77 39" xfId="12966" xr:uid="{00000000-0005-0000-0000-0000E65F0000}"/>
    <cellStyle name="Normal 77 39 2" xfId="25151" xr:uid="{00000000-0005-0000-0000-0000E75F0000}"/>
    <cellStyle name="Normal 77 4" xfId="12967" xr:uid="{00000000-0005-0000-0000-0000E85F0000}"/>
    <cellStyle name="Normal 77 4 2" xfId="25152" xr:uid="{00000000-0005-0000-0000-0000E95F0000}"/>
    <cellStyle name="Normal 77 40" xfId="12968" xr:uid="{00000000-0005-0000-0000-0000EA5F0000}"/>
    <cellStyle name="Normal 77 40 2" xfId="25153" xr:uid="{00000000-0005-0000-0000-0000EB5F0000}"/>
    <cellStyle name="Normal 77 41" xfId="12969" xr:uid="{00000000-0005-0000-0000-0000EC5F0000}"/>
    <cellStyle name="Normal 77 41 2" xfId="25154" xr:uid="{00000000-0005-0000-0000-0000ED5F0000}"/>
    <cellStyle name="Normal 77 42" xfId="12970" xr:uid="{00000000-0005-0000-0000-0000EE5F0000}"/>
    <cellStyle name="Normal 77 42 2" xfId="25155" xr:uid="{00000000-0005-0000-0000-0000EF5F0000}"/>
    <cellStyle name="Normal 77 43" xfId="12971" xr:uid="{00000000-0005-0000-0000-0000F05F0000}"/>
    <cellStyle name="Normal 77 43 2" xfId="25156" xr:uid="{00000000-0005-0000-0000-0000F15F0000}"/>
    <cellStyle name="Normal 77 44" xfId="12972" xr:uid="{00000000-0005-0000-0000-0000F25F0000}"/>
    <cellStyle name="Normal 77 44 2" xfId="25157" xr:uid="{00000000-0005-0000-0000-0000F35F0000}"/>
    <cellStyle name="Normal 77 45" xfId="12973" xr:uid="{00000000-0005-0000-0000-0000F45F0000}"/>
    <cellStyle name="Normal 77 45 2" xfId="25158" xr:uid="{00000000-0005-0000-0000-0000F55F0000}"/>
    <cellStyle name="Normal 77 46" xfId="12974" xr:uid="{00000000-0005-0000-0000-0000F65F0000}"/>
    <cellStyle name="Normal 77 46 2" xfId="25159" xr:uid="{00000000-0005-0000-0000-0000F75F0000}"/>
    <cellStyle name="Normal 77 47" xfId="12975" xr:uid="{00000000-0005-0000-0000-0000F85F0000}"/>
    <cellStyle name="Normal 77 47 2" xfId="25160" xr:uid="{00000000-0005-0000-0000-0000F95F0000}"/>
    <cellStyle name="Normal 77 48" xfId="12976" xr:uid="{00000000-0005-0000-0000-0000FA5F0000}"/>
    <cellStyle name="Normal 77 48 2" xfId="25161" xr:uid="{00000000-0005-0000-0000-0000FB5F0000}"/>
    <cellStyle name="Normal 77 49" xfId="12977" xr:uid="{00000000-0005-0000-0000-0000FC5F0000}"/>
    <cellStyle name="Normal 77 49 2" xfId="25162" xr:uid="{00000000-0005-0000-0000-0000FD5F0000}"/>
    <cellStyle name="Normal 77 5" xfId="12978" xr:uid="{00000000-0005-0000-0000-0000FE5F0000}"/>
    <cellStyle name="Normal 77 5 2" xfId="25163" xr:uid="{00000000-0005-0000-0000-0000FF5F0000}"/>
    <cellStyle name="Normal 77 50" xfId="12979" xr:uid="{00000000-0005-0000-0000-000000600000}"/>
    <cellStyle name="Normal 77 50 2" xfId="25164" xr:uid="{00000000-0005-0000-0000-000001600000}"/>
    <cellStyle name="Normal 77 51" xfId="12980" xr:uid="{00000000-0005-0000-0000-000002600000}"/>
    <cellStyle name="Normal 77 51 2" xfId="25165" xr:uid="{00000000-0005-0000-0000-000003600000}"/>
    <cellStyle name="Normal 77 52" xfId="12981" xr:uid="{00000000-0005-0000-0000-000004600000}"/>
    <cellStyle name="Normal 77 52 2" xfId="25166" xr:uid="{00000000-0005-0000-0000-000005600000}"/>
    <cellStyle name="Normal 77 53" xfId="12982" xr:uid="{00000000-0005-0000-0000-000006600000}"/>
    <cellStyle name="Normal 77 53 2" xfId="25167" xr:uid="{00000000-0005-0000-0000-000007600000}"/>
    <cellStyle name="Normal 77 54" xfId="12983" xr:uid="{00000000-0005-0000-0000-000008600000}"/>
    <cellStyle name="Normal 77 54 2" xfId="25168" xr:uid="{00000000-0005-0000-0000-000009600000}"/>
    <cellStyle name="Normal 77 55" xfId="12984" xr:uid="{00000000-0005-0000-0000-00000A600000}"/>
    <cellStyle name="Normal 77 55 2" xfId="25169" xr:uid="{00000000-0005-0000-0000-00000B600000}"/>
    <cellStyle name="Normal 77 56" xfId="12985" xr:uid="{00000000-0005-0000-0000-00000C600000}"/>
    <cellStyle name="Normal 77 56 2" xfId="25170" xr:uid="{00000000-0005-0000-0000-00000D600000}"/>
    <cellStyle name="Normal 77 57" xfId="12986" xr:uid="{00000000-0005-0000-0000-00000E600000}"/>
    <cellStyle name="Normal 77 57 2" xfId="25171" xr:uid="{00000000-0005-0000-0000-00000F600000}"/>
    <cellStyle name="Normal 77 58" xfId="12987" xr:uid="{00000000-0005-0000-0000-000010600000}"/>
    <cellStyle name="Normal 77 58 2" xfId="25172" xr:uid="{00000000-0005-0000-0000-000011600000}"/>
    <cellStyle name="Normal 77 59" xfId="12988" xr:uid="{00000000-0005-0000-0000-000012600000}"/>
    <cellStyle name="Normal 77 59 2" xfId="25173" xr:uid="{00000000-0005-0000-0000-000013600000}"/>
    <cellStyle name="Normal 77 6" xfId="12989" xr:uid="{00000000-0005-0000-0000-000014600000}"/>
    <cellStyle name="Normal 77 6 2" xfId="25174" xr:uid="{00000000-0005-0000-0000-000015600000}"/>
    <cellStyle name="Normal 77 60" xfId="12990" xr:uid="{00000000-0005-0000-0000-000016600000}"/>
    <cellStyle name="Normal 77 60 2" xfId="25175" xr:uid="{00000000-0005-0000-0000-000017600000}"/>
    <cellStyle name="Normal 77 61" xfId="12991" xr:uid="{00000000-0005-0000-0000-000018600000}"/>
    <cellStyle name="Normal 77 61 2" xfId="25176" xr:uid="{00000000-0005-0000-0000-000019600000}"/>
    <cellStyle name="Normal 77 62" xfId="12992" xr:uid="{00000000-0005-0000-0000-00001A600000}"/>
    <cellStyle name="Normal 77 62 2" xfId="25177" xr:uid="{00000000-0005-0000-0000-00001B600000}"/>
    <cellStyle name="Normal 77 63" xfId="12993" xr:uid="{00000000-0005-0000-0000-00001C600000}"/>
    <cellStyle name="Normal 77 63 2" xfId="25178" xr:uid="{00000000-0005-0000-0000-00001D600000}"/>
    <cellStyle name="Normal 77 64" xfId="12994" xr:uid="{00000000-0005-0000-0000-00001E600000}"/>
    <cellStyle name="Normal 77 64 2" xfId="25179" xr:uid="{00000000-0005-0000-0000-00001F600000}"/>
    <cellStyle name="Normal 77 65" xfId="12995" xr:uid="{00000000-0005-0000-0000-000020600000}"/>
    <cellStyle name="Normal 77 65 2" xfId="25180" xr:uid="{00000000-0005-0000-0000-000021600000}"/>
    <cellStyle name="Normal 77 66" xfId="12996" xr:uid="{00000000-0005-0000-0000-000022600000}"/>
    <cellStyle name="Normal 77 66 2" xfId="25181" xr:uid="{00000000-0005-0000-0000-000023600000}"/>
    <cellStyle name="Normal 77 67" xfId="12997" xr:uid="{00000000-0005-0000-0000-000024600000}"/>
    <cellStyle name="Normal 77 67 2" xfId="25182" xr:uid="{00000000-0005-0000-0000-000025600000}"/>
    <cellStyle name="Normal 77 68" xfId="12998" xr:uid="{00000000-0005-0000-0000-000026600000}"/>
    <cellStyle name="Normal 77 68 2" xfId="25183" xr:uid="{00000000-0005-0000-0000-000027600000}"/>
    <cellStyle name="Normal 77 69" xfId="12999" xr:uid="{00000000-0005-0000-0000-000028600000}"/>
    <cellStyle name="Normal 77 69 2" xfId="25184" xr:uid="{00000000-0005-0000-0000-000029600000}"/>
    <cellStyle name="Normal 77 7" xfId="13000" xr:uid="{00000000-0005-0000-0000-00002A600000}"/>
    <cellStyle name="Normal 77 7 2" xfId="25185" xr:uid="{00000000-0005-0000-0000-00002B600000}"/>
    <cellStyle name="Normal 77 70" xfId="13001" xr:uid="{00000000-0005-0000-0000-00002C600000}"/>
    <cellStyle name="Normal 77 70 2" xfId="25186" xr:uid="{00000000-0005-0000-0000-00002D600000}"/>
    <cellStyle name="Normal 77 71" xfId="13002" xr:uid="{00000000-0005-0000-0000-00002E600000}"/>
    <cellStyle name="Normal 77 71 2" xfId="25187" xr:uid="{00000000-0005-0000-0000-00002F600000}"/>
    <cellStyle name="Normal 77 72" xfId="13003" xr:uid="{00000000-0005-0000-0000-000030600000}"/>
    <cellStyle name="Normal 77 72 2" xfId="25188" xr:uid="{00000000-0005-0000-0000-000031600000}"/>
    <cellStyle name="Normal 77 73" xfId="13004" xr:uid="{00000000-0005-0000-0000-000032600000}"/>
    <cellStyle name="Normal 77 73 2" xfId="25189" xr:uid="{00000000-0005-0000-0000-000033600000}"/>
    <cellStyle name="Normal 77 74" xfId="13005" xr:uid="{00000000-0005-0000-0000-000034600000}"/>
    <cellStyle name="Normal 77 74 2" xfId="25190" xr:uid="{00000000-0005-0000-0000-000035600000}"/>
    <cellStyle name="Normal 77 75" xfId="13006" xr:uid="{00000000-0005-0000-0000-000036600000}"/>
    <cellStyle name="Normal 77 75 2" xfId="25191" xr:uid="{00000000-0005-0000-0000-000037600000}"/>
    <cellStyle name="Normal 77 76" xfId="13007" xr:uid="{00000000-0005-0000-0000-000038600000}"/>
    <cellStyle name="Normal 77 76 2" xfId="25192" xr:uid="{00000000-0005-0000-0000-000039600000}"/>
    <cellStyle name="Normal 77 77" xfId="13008" xr:uid="{00000000-0005-0000-0000-00003A600000}"/>
    <cellStyle name="Normal 77 77 2" xfId="25193" xr:uid="{00000000-0005-0000-0000-00003B600000}"/>
    <cellStyle name="Normal 77 78" xfId="13009" xr:uid="{00000000-0005-0000-0000-00003C600000}"/>
    <cellStyle name="Normal 77 78 2" xfId="25194" xr:uid="{00000000-0005-0000-0000-00003D600000}"/>
    <cellStyle name="Normal 77 79" xfId="13010" xr:uid="{00000000-0005-0000-0000-00003E600000}"/>
    <cellStyle name="Normal 77 79 2" xfId="25195" xr:uid="{00000000-0005-0000-0000-00003F600000}"/>
    <cellStyle name="Normal 77 8" xfId="13011" xr:uid="{00000000-0005-0000-0000-000040600000}"/>
    <cellStyle name="Normal 77 8 2" xfId="25196" xr:uid="{00000000-0005-0000-0000-000041600000}"/>
    <cellStyle name="Normal 77 80" xfId="25119" xr:uid="{00000000-0005-0000-0000-000042600000}"/>
    <cellStyle name="Normal 77 9" xfId="13012" xr:uid="{00000000-0005-0000-0000-000043600000}"/>
    <cellStyle name="Normal 77 9 2" xfId="25197" xr:uid="{00000000-0005-0000-0000-000044600000}"/>
    <cellStyle name="Normal 78" xfId="204" xr:uid="{00000000-0005-0000-0000-000045600000}"/>
    <cellStyle name="Normal 78 10" xfId="13013" xr:uid="{00000000-0005-0000-0000-000046600000}"/>
    <cellStyle name="Normal 78 10 2" xfId="25199" xr:uid="{00000000-0005-0000-0000-000047600000}"/>
    <cellStyle name="Normal 78 11" xfId="13014" xr:uid="{00000000-0005-0000-0000-000048600000}"/>
    <cellStyle name="Normal 78 11 2" xfId="25200" xr:uid="{00000000-0005-0000-0000-000049600000}"/>
    <cellStyle name="Normal 78 12" xfId="13015" xr:uid="{00000000-0005-0000-0000-00004A600000}"/>
    <cellStyle name="Normal 78 12 2" xfId="25201" xr:uid="{00000000-0005-0000-0000-00004B600000}"/>
    <cellStyle name="Normal 78 13" xfId="13016" xr:uid="{00000000-0005-0000-0000-00004C600000}"/>
    <cellStyle name="Normal 78 13 2" xfId="25202" xr:uid="{00000000-0005-0000-0000-00004D600000}"/>
    <cellStyle name="Normal 78 14" xfId="13017" xr:uid="{00000000-0005-0000-0000-00004E600000}"/>
    <cellStyle name="Normal 78 14 2" xfId="25203" xr:uid="{00000000-0005-0000-0000-00004F600000}"/>
    <cellStyle name="Normal 78 15" xfId="13018" xr:uid="{00000000-0005-0000-0000-000050600000}"/>
    <cellStyle name="Normal 78 15 2" xfId="25204" xr:uid="{00000000-0005-0000-0000-000051600000}"/>
    <cellStyle name="Normal 78 16" xfId="13019" xr:uid="{00000000-0005-0000-0000-000052600000}"/>
    <cellStyle name="Normal 78 16 2" xfId="25205" xr:uid="{00000000-0005-0000-0000-000053600000}"/>
    <cellStyle name="Normal 78 17" xfId="13020" xr:uid="{00000000-0005-0000-0000-000054600000}"/>
    <cellStyle name="Normal 78 17 2" xfId="25206" xr:uid="{00000000-0005-0000-0000-000055600000}"/>
    <cellStyle name="Normal 78 18" xfId="13021" xr:uid="{00000000-0005-0000-0000-000056600000}"/>
    <cellStyle name="Normal 78 18 2" xfId="25207" xr:uid="{00000000-0005-0000-0000-000057600000}"/>
    <cellStyle name="Normal 78 19" xfId="13022" xr:uid="{00000000-0005-0000-0000-000058600000}"/>
    <cellStyle name="Normal 78 19 2" xfId="25208" xr:uid="{00000000-0005-0000-0000-000059600000}"/>
    <cellStyle name="Normal 78 2" xfId="768" xr:uid="{00000000-0005-0000-0000-00005A600000}"/>
    <cellStyle name="Normal 78 2 2" xfId="25209" xr:uid="{00000000-0005-0000-0000-00005B600000}"/>
    <cellStyle name="Normal 78 2 3" xfId="13023" xr:uid="{00000000-0005-0000-0000-00005C600000}"/>
    <cellStyle name="Normal 78 20" xfId="13024" xr:uid="{00000000-0005-0000-0000-00005D600000}"/>
    <cellStyle name="Normal 78 20 2" xfId="25210" xr:uid="{00000000-0005-0000-0000-00005E600000}"/>
    <cellStyle name="Normal 78 21" xfId="13025" xr:uid="{00000000-0005-0000-0000-00005F600000}"/>
    <cellStyle name="Normal 78 21 2" xfId="25211" xr:uid="{00000000-0005-0000-0000-000060600000}"/>
    <cellStyle name="Normal 78 22" xfId="13026" xr:uid="{00000000-0005-0000-0000-000061600000}"/>
    <cellStyle name="Normal 78 22 2" xfId="25212" xr:uid="{00000000-0005-0000-0000-000062600000}"/>
    <cellStyle name="Normal 78 23" xfId="13027" xr:uid="{00000000-0005-0000-0000-000063600000}"/>
    <cellStyle name="Normal 78 23 2" xfId="25213" xr:uid="{00000000-0005-0000-0000-000064600000}"/>
    <cellStyle name="Normal 78 24" xfId="13028" xr:uid="{00000000-0005-0000-0000-000065600000}"/>
    <cellStyle name="Normal 78 24 2" xfId="25214" xr:uid="{00000000-0005-0000-0000-000066600000}"/>
    <cellStyle name="Normal 78 25" xfId="13029" xr:uid="{00000000-0005-0000-0000-000067600000}"/>
    <cellStyle name="Normal 78 25 2" xfId="25215" xr:uid="{00000000-0005-0000-0000-000068600000}"/>
    <cellStyle name="Normal 78 26" xfId="13030" xr:uid="{00000000-0005-0000-0000-000069600000}"/>
    <cellStyle name="Normal 78 26 2" xfId="25216" xr:uid="{00000000-0005-0000-0000-00006A600000}"/>
    <cellStyle name="Normal 78 27" xfId="13031" xr:uid="{00000000-0005-0000-0000-00006B600000}"/>
    <cellStyle name="Normal 78 27 2" xfId="25217" xr:uid="{00000000-0005-0000-0000-00006C600000}"/>
    <cellStyle name="Normal 78 28" xfId="13032" xr:uid="{00000000-0005-0000-0000-00006D600000}"/>
    <cellStyle name="Normal 78 28 2" xfId="25218" xr:uid="{00000000-0005-0000-0000-00006E600000}"/>
    <cellStyle name="Normal 78 29" xfId="13033" xr:uid="{00000000-0005-0000-0000-00006F600000}"/>
    <cellStyle name="Normal 78 29 2" xfId="25219" xr:uid="{00000000-0005-0000-0000-000070600000}"/>
    <cellStyle name="Normal 78 3" xfId="419" xr:uid="{00000000-0005-0000-0000-000071600000}"/>
    <cellStyle name="Normal 78 3 2" xfId="25220" xr:uid="{00000000-0005-0000-0000-000072600000}"/>
    <cellStyle name="Normal 78 30" xfId="13034" xr:uid="{00000000-0005-0000-0000-000073600000}"/>
    <cellStyle name="Normal 78 30 2" xfId="25221" xr:uid="{00000000-0005-0000-0000-000074600000}"/>
    <cellStyle name="Normal 78 31" xfId="13035" xr:uid="{00000000-0005-0000-0000-000075600000}"/>
    <cellStyle name="Normal 78 31 2" xfId="25222" xr:uid="{00000000-0005-0000-0000-000076600000}"/>
    <cellStyle name="Normal 78 32" xfId="13036" xr:uid="{00000000-0005-0000-0000-000077600000}"/>
    <cellStyle name="Normal 78 32 2" xfId="25223" xr:uid="{00000000-0005-0000-0000-000078600000}"/>
    <cellStyle name="Normal 78 33" xfId="13037" xr:uid="{00000000-0005-0000-0000-000079600000}"/>
    <cellStyle name="Normal 78 33 2" xfId="25224" xr:uid="{00000000-0005-0000-0000-00007A600000}"/>
    <cellStyle name="Normal 78 34" xfId="13038" xr:uid="{00000000-0005-0000-0000-00007B600000}"/>
    <cellStyle name="Normal 78 34 2" xfId="25225" xr:uid="{00000000-0005-0000-0000-00007C600000}"/>
    <cellStyle name="Normal 78 35" xfId="13039" xr:uid="{00000000-0005-0000-0000-00007D600000}"/>
    <cellStyle name="Normal 78 35 2" xfId="25226" xr:uid="{00000000-0005-0000-0000-00007E600000}"/>
    <cellStyle name="Normal 78 36" xfId="13040" xr:uid="{00000000-0005-0000-0000-00007F600000}"/>
    <cellStyle name="Normal 78 36 2" xfId="25227" xr:uid="{00000000-0005-0000-0000-000080600000}"/>
    <cellStyle name="Normal 78 37" xfId="13041" xr:uid="{00000000-0005-0000-0000-000081600000}"/>
    <cellStyle name="Normal 78 37 2" xfId="25228" xr:uid="{00000000-0005-0000-0000-000082600000}"/>
    <cellStyle name="Normal 78 38" xfId="13042" xr:uid="{00000000-0005-0000-0000-000083600000}"/>
    <cellStyle name="Normal 78 38 2" xfId="25229" xr:uid="{00000000-0005-0000-0000-000084600000}"/>
    <cellStyle name="Normal 78 39" xfId="13043" xr:uid="{00000000-0005-0000-0000-000085600000}"/>
    <cellStyle name="Normal 78 39 2" xfId="25230" xr:uid="{00000000-0005-0000-0000-000086600000}"/>
    <cellStyle name="Normal 78 4" xfId="13044" xr:uid="{00000000-0005-0000-0000-000087600000}"/>
    <cellStyle name="Normal 78 4 2" xfId="25231" xr:uid="{00000000-0005-0000-0000-000088600000}"/>
    <cellStyle name="Normal 78 40" xfId="13045" xr:uid="{00000000-0005-0000-0000-000089600000}"/>
    <cellStyle name="Normal 78 40 2" xfId="25232" xr:uid="{00000000-0005-0000-0000-00008A600000}"/>
    <cellStyle name="Normal 78 41" xfId="13046" xr:uid="{00000000-0005-0000-0000-00008B600000}"/>
    <cellStyle name="Normal 78 41 2" xfId="25233" xr:uid="{00000000-0005-0000-0000-00008C600000}"/>
    <cellStyle name="Normal 78 42" xfId="13047" xr:uid="{00000000-0005-0000-0000-00008D600000}"/>
    <cellStyle name="Normal 78 42 2" xfId="25234" xr:uid="{00000000-0005-0000-0000-00008E600000}"/>
    <cellStyle name="Normal 78 43" xfId="13048" xr:uid="{00000000-0005-0000-0000-00008F600000}"/>
    <cellStyle name="Normal 78 43 2" xfId="25235" xr:uid="{00000000-0005-0000-0000-000090600000}"/>
    <cellStyle name="Normal 78 44" xfId="13049" xr:uid="{00000000-0005-0000-0000-000091600000}"/>
    <cellStyle name="Normal 78 44 2" xfId="25236" xr:uid="{00000000-0005-0000-0000-000092600000}"/>
    <cellStyle name="Normal 78 45" xfId="13050" xr:uid="{00000000-0005-0000-0000-000093600000}"/>
    <cellStyle name="Normal 78 45 2" xfId="25237" xr:uid="{00000000-0005-0000-0000-000094600000}"/>
    <cellStyle name="Normal 78 46" xfId="13051" xr:uid="{00000000-0005-0000-0000-000095600000}"/>
    <cellStyle name="Normal 78 46 2" xfId="25238" xr:uid="{00000000-0005-0000-0000-000096600000}"/>
    <cellStyle name="Normal 78 47" xfId="13052" xr:uid="{00000000-0005-0000-0000-000097600000}"/>
    <cellStyle name="Normal 78 47 2" xfId="25239" xr:uid="{00000000-0005-0000-0000-000098600000}"/>
    <cellStyle name="Normal 78 48" xfId="13053" xr:uid="{00000000-0005-0000-0000-000099600000}"/>
    <cellStyle name="Normal 78 48 2" xfId="25240" xr:uid="{00000000-0005-0000-0000-00009A600000}"/>
    <cellStyle name="Normal 78 49" xfId="13054" xr:uid="{00000000-0005-0000-0000-00009B600000}"/>
    <cellStyle name="Normal 78 49 2" xfId="25241" xr:uid="{00000000-0005-0000-0000-00009C600000}"/>
    <cellStyle name="Normal 78 5" xfId="13055" xr:uid="{00000000-0005-0000-0000-00009D600000}"/>
    <cellStyle name="Normal 78 5 2" xfId="25242" xr:uid="{00000000-0005-0000-0000-00009E600000}"/>
    <cellStyle name="Normal 78 50" xfId="13056" xr:uid="{00000000-0005-0000-0000-00009F600000}"/>
    <cellStyle name="Normal 78 50 2" xfId="25243" xr:uid="{00000000-0005-0000-0000-0000A0600000}"/>
    <cellStyle name="Normal 78 51" xfId="13057" xr:uid="{00000000-0005-0000-0000-0000A1600000}"/>
    <cellStyle name="Normal 78 51 2" xfId="25244" xr:uid="{00000000-0005-0000-0000-0000A2600000}"/>
    <cellStyle name="Normal 78 52" xfId="13058" xr:uid="{00000000-0005-0000-0000-0000A3600000}"/>
    <cellStyle name="Normal 78 52 2" xfId="25245" xr:uid="{00000000-0005-0000-0000-0000A4600000}"/>
    <cellStyle name="Normal 78 53" xfId="13059" xr:uid="{00000000-0005-0000-0000-0000A5600000}"/>
    <cellStyle name="Normal 78 53 2" xfId="25246" xr:uid="{00000000-0005-0000-0000-0000A6600000}"/>
    <cellStyle name="Normal 78 54" xfId="13060" xr:uid="{00000000-0005-0000-0000-0000A7600000}"/>
    <cellStyle name="Normal 78 54 2" xfId="25247" xr:uid="{00000000-0005-0000-0000-0000A8600000}"/>
    <cellStyle name="Normal 78 55" xfId="13061" xr:uid="{00000000-0005-0000-0000-0000A9600000}"/>
    <cellStyle name="Normal 78 55 2" xfId="25248" xr:uid="{00000000-0005-0000-0000-0000AA600000}"/>
    <cellStyle name="Normal 78 56" xfId="13062" xr:uid="{00000000-0005-0000-0000-0000AB600000}"/>
    <cellStyle name="Normal 78 56 2" xfId="25249" xr:uid="{00000000-0005-0000-0000-0000AC600000}"/>
    <cellStyle name="Normal 78 57" xfId="13063" xr:uid="{00000000-0005-0000-0000-0000AD600000}"/>
    <cellStyle name="Normal 78 57 2" xfId="25250" xr:uid="{00000000-0005-0000-0000-0000AE600000}"/>
    <cellStyle name="Normal 78 58" xfId="13064" xr:uid="{00000000-0005-0000-0000-0000AF600000}"/>
    <cellStyle name="Normal 78 58 2" xfId="25251" xr:uid="{00000000-0005-0000-0000-0000B0600000}"/>
    <cellStyle name="Normal 78 59" xfId="13065" xr:uid="{00000000-0005-0000-0000-0000B1600000}"/>
    <cellStyle name="Normal 78 59 2" xfId="25252" xr:uid="{00000000-0005-0000-0000-0000B2600000}"/>
    <cellStyle name="Normal 78 6" xfId="13066" xr:uid="{00000000-0005-0000-0000-0000B3600000}"/>
    <cellStyle name="Normal 78 6 2" xfId="25253" xr:uid="{00000000-0005-0000-0000-0000B4600000}"/>
    <cellStyle name="Normal 78 60" xfId="13067" xr:uid="{00000000-0005-0000-0000-0000B5600000}"/>
    <cellStyle name="Normal 78 60 2" xfId="25254" xr:uid="{00000000-0005-0000-0000-0000B6600000}"/>
    <cellStyle name="Normal 78 61" xfId="13068" xr:uid="{00000000-0005-0000-0000-0000B7600000}"/>
    <cellStyle name="Normal 78 61 2" xfId="25255" xr:uid="{00000000-0005-0000-0000-0000B8600000}"/>
    <cellStyle name="Normal 78 62" xfId="13069" xr:uid="{00000000-0005-0000-0000-0000B9600000}"/>
    <cellStyle name="Normal 78 62 2" xfId="25256" xr:uid="{00000000-0005-0000-0000-0000BA600000}"/>
    <cellStyle name="Normal 78 63" xfId="13070" xr:uid="{00000000-0005-0000-0000-0000BB600000}"/>
    <cellStyle name="Normal 78 63 2" xfId="25257" xr:uid="{00000000-0005-0000-0000-0000BC600000}"/>
    <cellStyle name="Normal 78 64" xfId="13071" xr:uid="{00000000-0005-0000-0000-0000BD600000}"/>
    <cellStyle name="Normal 78 64 2" xfId="25258" xr:uid="{00000000-0005-0000-0000-0000BE600000}"/>
    <cellStyle name="Normal 78 65" xfId="13072" xr:uid="{00000000-0005-0000-0000-0000BF600000}"/>
    <cellStyle name="Normal 78 65 2" xfId="25259" xr:uid="{00000000-0005-0000-0000-0000C0600000}"/>
    <cellStyle name="Normal 78 66" xfId="13073" xr:uid="{00000000-0005-0000-0000-0000C1600000}"/>
    <cellStyle name="Normal 78 66 2" xfId="25260" xr:uid="{00000000-0005-0000-0000-0000C2600000}"/>
    <cellStyle name="Normal 78 67" xfId="13074" xr:uid="{00000000-0005-0000-0000-0000C3600000}"/>
    <cellStyle name="Normal 78 67 2" xfId="25261" xr:uid="{00000000-0005-0000-0000-0000C4600000}"/>
    <cellStyle name="Normal 78 68" xfId="13075" xr:uid="{00000000-0005-0000-0000-0000C5600000}"/>
    <cellStyle name="Normal 78 68 2" xfId="25262" xr:uid="{00000000-0005-0000-0000-0000C6600000}"/>
    <cellStyle name="Normal 78 69" xfId="13076" xr:uid="{00000000-0005-0000-0000-0000C7600000}"/>
    <cellStyle name="Normal 78 69 2" xfId="25263" xr:uid="{00000000-0005-0000-0000-0000C8600000}"/>
    <cellStyle name="Normal 78 7" xfId="13077" xr:uid="{00000000-0005-0000-0000-0000C9600000}"/>
    <cellStyle name="Normal 78 7 2" xfId="25264" xr:uid="{00000000-0005-0000-0000-0000CA600000}"/>
    <cellStyle name="Normal 78 70" xfId="13078" xr:uid="{00000000-0005-0000-0000-0000CB600000}"/>
    <cellStyle name="Normal 78 70 2" xfId="25265" xr:uid="{00000000-0005-0000-0000-0000CC600000}"/>
    <cellStyle name="Normal 78 71" xfId="13079" xr:uid="{00000000-0005-0000-0000-0000CD600000}"/>
    <cellStyle name="Normal 78 71 2" xfId="25266" xr:uid="{00000000-0005-0000-0000-0000CE600000}"/>
    <cellStyle name="Normal 78 72" xfId="13080" xr:uid="{00000000-0005-0000-0000-0000CF600000}"/>
    <cellStyle name="Normal 78 72 2" xfId="25267" xr:uid="{00000000-0005-0000-0000-0000D0600000}"/>
    <cellStyle name="Normal 78 73" xfId="13081" xr:uid="{00000000-0005-0000-0000-0000D1600000}"/>
    <cellStyle name="Normal 78 73 2" xfId="25268" xr:uid="{00000000-0005-0000-0000-0000D2600000}"/>
    <cellStyle name="Normal 78 74" xfId="13082" xr:uid="{00000000-0005-0000-0000-0000D3600000}"/>
    <cellStyle name="Normal 78 74 2" xfId="25269" xr:uid="{00000000-0005-0000-0000-0000D4600000}"/>
    <cellStyle name="Normal 78 75" xfId="13083" xr:uid="{00000000-0005-0000-0000-0000D5600000}"/>
    <cellStyle name="Normal 78 75 2" xfId="25270" xr:uid="{00000000-0005-0000-0000-0000D6600000}"/>
    <cellStyle name="Normal 78 76" xfId="13084" xr:uid="{00000000-0005-0000-0000-0000D7600000}"/>
    <cellStyle name="Normal 78 76 2" xfId="25271" xr:uid="{00000000-0005-0000-0000-0000D8600000}"/>
    <cellStyle name="Normal 78 77" xfId="13085" xr:uid="{00000000-0005-0000-0000-0000D9600000}"/>
    <cellStyle name="Normal 78 77 2" xfId="25272" xr:uid="{00000000-0005-0000-0000-0000DA600000}"/>
    <cellStyle name="Normal 78 78" xfId="13086" xr:uid="{00000000-0005-0000-0000-0000DB600000}"/>
    <cellStyle name="Normal 78 78 2" xfId="25273" xr:uid="{00000000-0005-0000-0000-0000DC600000}"/>
    <cellStyle name="Normal 78 79" xfId="13087" xr:uid="{00000000-0005-0000-0000-0000DD600000}"/>
    <cellStyle name="Normal 78 79 2" xfId="25274" xr:uid="{00000000-0005-0000-0000-0000DE600000}"/>
    <cellStyle name="Normal 78 8" xfId="13088" xr:uid="{00000000-0005-0000-0000-0000DF600000}"/>
    <cellStyle name="Normal 78 8 2" xfId="25275" xr:uid="{00000000-0005-0000-0000-0000E0600000}"/>
    <cellStyle name="Normal 78 80" xfId="25198" xr:uid="{00000000-0005-0000-0000-0000E1600000}"/>
    <cellStyle name="Normal 78 9" xfId="13089" xr:uid="{00000000-0005-0000-0000-0000E2600000}"/>
    <cellStyle name="Normal 78 9 2" xfId="25276" xr:uid="{00000000-0005-0000-0000-0000E3600000}"/>
    <cellStyle name="Normal 79" xfId="205" xr:uid="{00000000-0005-0000-0000-0000E4600000}"/>
    <cellStyle name="Normal 79 10" xfId="13090" xr:uid="{00000000-0005-0000-0000-0000E5600000}"/>
    <cellStyle name="Normal 79 10 2" xfId="25278" xr:uid="{00000000-0005-0000-0000-0000E6600000}"/>
    <cellStyle name="Normal 79 11" xfId="13091" xr:uid="{00000000-0005-0000-0000-0000E7600000}"/>
    <cellStyle name="Normal 79 11 2" xfId="25279" xr:uid="{00000000-0005-0000-0000-0000E8600000}"/>
    <cellStyle name="Normal 79 12" xfId="13092" xr:uid="{00000000-0005-0000-0000-0000E9600000}"/>
    <cellStyle name="Normal 79 12 2" xfId="25280" xr:uid="{00000000-0005-0000-0000-0000EA600000}"/>
    <cellStyle name="Normal 79 13" xfId="13093" xr:uid="{00000000-0005-0000-0000-0000EB600000}"/>
    <cellStyle name="Normal 79 13 2" xfId="25281" xr:uid="{00000000-0005-0000-0000-0000EC600000}"/>
    <cellStyle name="Normal 79 14" xfId="13094" xr:uid="{00000000-0005-0000-0000-0000ED600000}"/>
    <cellStyle name="Normal 79 14 2" xfId="25282" xr:uid="{00000000-0005-0000-0000-0000EE600000}"/>
    <cellStyle name="Normal 79 15" xfId="13095" xr:uid="{00000000-0005-0000-0000-0000EF600000}"/>
    <cellStyle name="Normal 79 15 2" xfId="25283" xr:uid="{00000000-0005-0000-0000-0000F0600000}"/>
    <cellStyle name="Normal 79 16" xfId="13096" xr:uid="{00000000-0005-0000-0000-0000F1600000}"/>
    <cellStyle name="Normal 79 16 2" xfId="25284" xr:uid="{00000000-0005-0000-0000-0000F2600000}"/>
    <cellStyle name="Normal 79 17" xfId="13097" xr:uid="{00000000-0005-0000-0000-0000F3600000}"/>
    <cellStyle name="Normal 79 17 2" xfId="25285" xr:uid="{00000000-0005-0000-0000-0000F4600000}"/>
    <cellStyle name="Normal 79 18" xfId="13098" xr:uid="{00000000-0005-0000-0000-0000F5600000}"/>
    <cellStyle name="Normal 79 18 2" xfId="25286" xr:uid="{00000000-0005-0000-0000-0000F6600000}"/>
    <cellStyle name="Normal 79 19" xfId="13099" xr:uid="{00000000-0005-0000-0000-0000F7600000}"/>
    <cellStyle name="Normal 79 19 2" xfId="25287" xr:uid="{00000000-0005-0000-0000-0000F8600000}"/>
    <cellStyle name="Normal 79 2" xfId="769" xr:uid="{00000000-0005-0000-0000-0000F9600000}"/>
    <cellStyle name="Normal 79 2 2" xfId="25288" xr:uid="{00000000-0005-0000-0000-0000FA600000}"/>
    <cellStyle name="Normal 79 2 3" xfId="13100" xr:uid="{00000000-0005-0000-0000-0000FB600000}"/>
    <cellStyle name="Normal 79 20" xfId="13101" xr:uid="{00000000-0005-0000-0000-0000FC600000}"/>
    <cellStyle name="Normal 79 20 2" xfId="25289" xr:uid="{00000000-0005-0000-0000-0000FD600000}"/>
    <cellStyle name="Normal 79 21" xfId="13102" xr:uid="{00000000-0005-0000-0000-0000FE600000}"/>
    <cellStyle name="Normal 79 21 2" xfId="25290" xr:uid="{00000000-0005-0000-0000-0000FF600000}"/>
    <cellStyle name="Normal 79 22" xfId="13103" xr:uid="{00000000-0005-0000-0000-000000610000}"/>
    <cellStyle name="Normal 79 22 2" xfId="25291" xr:uid="{00000000-0005-0000-0000-000001610000}"/>
    <cellStyle name="Normal 79 23" xfId="13104" xr:uid="{00000000-0005-0000-0000-000002610000}"/>
    <cellStyle name="Normal 79 23 2" xfId="25292" xr:uid="{00000000-0005-0000-0000-000003610000}"/>
    <cellStyle name="Normal 79 24" xfId="13105" xr:uid="{00000000-0005-0000-0000-000004610000}"/>
    <cellStyle name="Normal 79 24 2" xfId="25293" xr:uid="{00000000-0005-0000-0000-000005610000}"/>
    <cellStyle name="Normal 79 25" xfId="13106" xr:uid="{00000000-0005-0000-0000-000006610000}"/>
    <cellStyle name="Normal 79 25 2" xfId="25294" xr:uid="{00000000-0005-0000-0000-000007610000}"/>
    <cellStyle name="Normal 79 26" xfId="13107" xr:uid="{00000000-0005-0000-0000-000008610000}"/>
    <cellStyle name="Normal 79 26 2" xfId="25295" xr:uid="{00000000-0005-0000-0000-000009610000}"/>
    <cellStyle name="Normal 79 27" xfId="13108" xr:uid="{00000000-0005-0000-0000-00000A610000}"/>
    <cellStyle name="Normal 79 27 2" xfId="25296" xr:uid="{00000000-0005-0000-0000-00000B610000}"/>
    <cellStyle name="Normal 79 28" xfId="13109" xr:uid="{00000000-0005-0000-0000-00000C610000}"/>
    <cellStyle name="Normal 79 28 2" xfId="25297" xr:uid="{00000000-0005-0000-0000-00000D610000}"/>
    <cellStyle name="Normal 79 29" xfId="13110" xr:uid="{00000000-0005-0000-0000-00000E610000}"/>
    <cellStyle name="Normal 79 29 2" xfId="25298" xr:uid="{00000000-0005-0000-0000-00000F610000}"/>
    <cellStyle name="Normal 79 3" xfId="420" xr:uid="{00000000-0005-0000-0000-000010610000}"/>
    <cellStyle name="Normal 79 3 2" xfId="25299" xr:uid="{00000000-0005-0000-0000-000011610000}"/>
    <cellStyle name="Normal 79 30" xfId="13111" xr:uid="{00000000-0005-0000-0000-000012610000}"/>
    <cellStyle name="Normal 79 30 2" xfId="25300" xr:uid="{00000000-0005-0000-0000-000013610000}"/>
    <cellStyle name="Normal 79 31" xfId="13112" xr:uid="{00000000-0005-0000-0000-000014610000}"/>
    <cellStyle name="Normal 79 31 2" xfId="25301" xr:uid="{00000000-0005-0000-0000-000015610000}"/>
    <cellStyle name="Normal 79 32" xfId="13113" xr:uid="{00000000-0005-0000-0000-000016610000}"/>
    <cellStyle name="Normal 79 32 2" xfId="25302" xr:uid="{00000000-0005-0000-0000-000017610000}"/>
    <cellStyle name="Normal 79 33" xfId="13114" xr:uid="{00000000-0005-0000-0000-000018610000}"/>
    <cellStyle name="Normal 79 33 2" xfId="25303" xr:uid="{00000000-0005-0000-0000-000019610000}"/>
    <cellStyle name="Normal 79 34" xfId="13115" xr:uid="{00000000-0005-0000-0000-00001A610000}"/>
    <cellStyle name="Normal 79 34 2" xfId="25304" xr:uid="{00000000-0005-0000-0000-00001B610000}"/>
    <cellStyle name="Normal 79 35" xfId="13116" xr:uid="{00000000-0005-0000-0000-00001C610000}"/>
    <cellStyle name="Normal 79 35 2" xfId="25305" xr:uid="{00000000-0005-0000-0000-00001D610000}"/>
    <cellStyle name="Normal 79 36" xfId="13117" xr:uid="{00000000-0005-0000-0000-00001E610000}"/>
    <cellStyle name="Normal 79 36 2" xfId="25306" xr:uid="{00000000-0005-0000-0000-00001F610000}"/>
    <cellStyle name="Normal 79 37" xfId="13118" xr:uid="{00000000-0005-0000-0000-000020610000}"/>
    <cellStyle name="Normal 79 37 2" xfId="25307" xr:uid="{00000000-0005-0000-0000-000021610000}"/>
    <cellStyle name="Normal 79 38" xfId="13119" xr:uid="{00000000-0005-0000-0000-000022610000}"/>
    <cellStyle name="Normal 79 38 2" xfId="25308" xr:uid="{00000000-0005-0000-0000-000023610000}"/>
    <cellStyle name="Normal 79 39" xfId="13120" xr:uid="{00000000-0005-0000-0000-000024610000}"/>
    <cellStyle name="Normal 79 39 2" xfId="25309" xr:uid="{00000000-0005-0000-0000-000025610000}"/>
    <cellStyle name="Normal 79 4" xfId="13121" xr:uid="{00000000-0005-0000-0000-000026610000}"/>
    <cellStyle name="Normal 79 4 2" xfId="25310" xr:uid="{00000000-0005-0000-0000-000027610000}"/>
    <cellStyle name="Normal 79 40" xfId="13122" xr:uid="{00000000-0005-0000-0000-000028610000}"/>
    <cellStyle name="Normal 79 40 2" xfId="25311" xr:uid="{00000000-0005-0000-0000-000029610000}"/>
    <cellStyle name="Normal 79 41" xfId="13123" xr:uid="{00000000-0005-0000-0000-00002A610000}"/>
    <cellStyle name="Normal 79 41 2" xfId="25312" xr:uid="{00000000-0005-0000-0000-00002B610000}"/>
    <cellStyle name="Normal 79 42" xfId="13124" xr:uid="{00000000-0005-0000-0000-00002C610000}"/>
    <cellStyle name="Normal 79 42 2" xfId="25313" xr:uid="{00000000-0005-0000-0000-00002D610000}"/>
    <cellStyle name="Normal 79 43" xfId="13125" xr:uid="{00000000-0005-0000-0000-00002E610000}"/>
    <cellStyle name="Normal 79 43 2" xfId="25314" xr:uid="{00000000-0005-0000-0000-00002F610000}"/>
    <cellStyle name="Normal 79 44" xfId="13126" xr:uid="{00000000-0005-0000-0000-000030610000}"/>
    <cellStyle name="Normal 79 44 2" xfId="25315" xr:uid="{00000000-0005-0000-0000-000031610000}"/>
    <cellStyle name="Normal 79 45" xfId="13127" xr:uid="{00000000-0005-0000-0000-000032610000}"/>
    <cellStyle name="Normal 79 45 2" xfId="25316" xr:uid="{00000000-0005-0000-0000-000033610000}"/>
    <cellStyle name="Normal 79 46" xfId="13128" xr:uid="{00000000-0005-0000-0000-000034610000}"/>
    <cellStyle name="Normal 79 46 2" xfId="25317" xr:uid="{00000000-0005-0000-0000-000035610000}"/>
    <cellStyle name="Normal 79 47" xfId="13129" xr:uid="{00000000-0005-0000-0000-000036610000}"/>
    <cellStyle name="Normal 79 47 2" xfId="25318" xr:uid="{00000000-0005-0000-0000-000037610000}"/>
    <cellStyle name="Normal 79 48" xfId="13130" xr:uid="{00000000-0005-0000-0000-000038610000}"/>
    <cellStyle name="Normal 79 48 2" xfId="25319" xr:uid="{00000000-0005-0000-0000-000039610000}"/>
    <cellStyle name="Normal 79 49" xfId="13131" xr:uid="{00000000-0005-0000-0000-00003A610000}"/>
    <cellStyle name="Normal 79 49 2" xfId="25320" xr:uid="{00000000-0005-0000-0000-00003B610000}"/>
    <cellStyle name="Normal 79 5" xfId="13132" xr:uid="{00000000-0005-0000-0000-00003C610000}"/>
    <cellStyle name="Normal 79 5 2" xfId="25321" xr:uid="{00000000-0005-0000-0000-00003D610000}"/>
    <cellStyle name="Normal 79 50" xfId="13133" xr:uid="{00000000-0005-0000-0000-00003E610000}"/>
    <cellStyle name="Normal 79 50 2" xfId="25322" xr:uid="{00000000-0005-0000-0000-00003F610000}"/>
    <cellStyle name="Normal 79 51" xfId="13134" xr:uid="{00000000-0005-0000-0000-000040610000}"/>
    <cellStyle name="Normal 79 51 2" xfId="25323" xr:uid="{00000000-0005-0000-0000-000041610000}"/>
    <cellStyle name="Normal 79 52" xfId="13135" xr:uid="{00000000-0005-0000-0000-000042610000}"/>
    <cellStyle name="Normal 79 52 2" xfId="25324" xr:uid="{00000000-0005-0000-0000-000043610000}"/>
    <cellStyle name="Normal 79 53" xfId="13136" xr:uid="{00000000-0005-0000-0000-000044610000}"/>
    <cellStyle name="Normal 79 53 2" xfId="25325" xr:uid="{00000000-0005-0000-0000-000045610000}"/>
    <cellStyle name="Normal 79 54" xfId="13137" xr:uid="{00000000-0005-0000-0000-000046610000}"/>
    <cellStyle name="Normal 79 54 2" xfId="25326" xr:uid="{00000000-0005-0000-0000-000047610000}"/>
    <cellStyle name="Normal 79 55" xfId="13138" xr:uid="{00000000-0005-0000-0000-000048610000}"/>
    <cellStyle name="Normal 79 55 2" xfId="25327" xr:uid="{00000000-0005-0000-0000-000049610000}"/>
    <cellStyle name="Normal 79 56" xfId="13139" xr:uid="{00000000-0005-0000-0000-00004A610000}"/>
    <cellStyle name="Normal 79 56 2" xfId="25328" xr:uid="{00000000-0005-0000-0000-00004B610000}"/>
    <cellStyle name="Normal 79 57" xfId="13140" xr:uid="{00000000-0005-0000-0000-00004C610000}"/>
    <cellStyle name="Normal 79 57 2" xfId="25329" xr:uid="{00000000-0005-0000-0000-00004D610000}"/>
    <cellStyle name="Normal 79 58" xfId="13141" xr:uid="{00000000-0005-0000-0000-00004E610000}"/>
    <cellStyle name="Normal 79 58 2" xfId="25330" xr:uid="{00000000-0005-0000-0000-00004F610000}"/>
    <cellStyle name="Normal 79 59" xfId="13142" xr:uid="{00000000-0005-0000-0000-000050610000}"/>
    <cellStyle name="Normal 79 59 2" xfId="25331" xr:uid="{00000000-0005-0000-0000-000051610000}"/>
    <cellStyle name="Normal 79 6" xfId="13143" xr:uid="{00000000-0005-0000-0000-000052610000}"/>
    <cellStyle name="Normal 79 6 2" xfId="25332" xr:uid="{00000000-0005-0000-0000-000053610000}"/>
    <cellStyle name="Normal 79 60" xfId="13144" xr:uid="{00000000-0005-0000-0000-000054610000}"/>
    <cellStyle name="Normal 79 60 2" xfId="25333" xr:uid="{00000000-0005-0000-0000-000055610000}"/>
    <cellStyle name="Normal 79 61" xfId="13145" xr:uid="{00000000-0005-0000-0000-000056610000}"/>
    <cellStyle name="Normal 79 61 2" xfId="25334" xr:uid="{00000000-0005-0000-0000-000057610000}"/>
    <cellStyle name="Normal 79 62" xfId="13146" xr:uid="{00000000-0005-0000-0000-000058610000}"/>
    <cellStyle name="Normal 79 62 2" xfId="25335" xr:uid="{00000000-0005-0000-0000-000059610000}"/>
    <cellStyle name="Normal 79 63" xfId="13147" xr:uid="{00000000-0005-0000-0000-00005A610000}"/>
    <cellStyle name="Normal 79 63 2" xfId="25336" xr:uid="{00000000-0005-0000-0000-00005B610000}"/>
    <cellStyle name="Normal 79 64" xfId="13148" xr:uid="{00000000-0005-0000-0000-00005C610000}"/>
    <cellStyle name="Normal 79 64 2" xfId="25337" xr:uid="{00000000-0005-0000-0000-00005D610000}"/>
    <cellStyle name="Normal 79 65" xfId="13149" xr:uid="{00000000-0005-0000-0000-00005E610000}"/>
    <cellStyle name="Normal 79 65 2" xfId="25338" xr:uid="{00000000-0005-0000-0000-00005F610000}"/>
    <cellStyle name="Normal 79 66" xfId="13150" xr:uid="{00000000-0005-0000-0000-000060610000}"/>
    <cellStyle name="Normal 79 66 2" xfId="25339" xr:uid="{00000000-0005-0000-0000-000061610000}"/>
    <cellStyle name="Normal 79 67" xfId="13151" xr:uid="{00000000-0005-0000-0000-000062610000}"/>
    <cellStyle name="Normal 79 67 2" xfId="25340" xr:uid="{00000000-0005-0000-0000-000063610000}"/>
    <cellStyle name="Normal 79 68" xfId="13152" xr:uid="{00000000-0005-0000-0000-000064610000}"/>
    <cellStyle name="Normal 79 68 2" xfId="25341" xr:uid="{00000000-0005-0000-0000-000065610000}"/>
    <cellStyle name="Normal 79 69" xfId="13153" xr:uid="{00000000-0005-0000-0000-000066610000}"/>
    <cellStyle name="Normal 79 69 2" xfId="25342" xr:uid="{00000000-0005-0000-0000-000067610000}"/>
    <cellStyle name="Normal 79 7" xfId="13154" xr:uid="{00000000-0005-0000-0000-000068610000}"/>
    <cellStyle name="Normal 79 7 2" xfId="25343" xr:uid="{00000000-0005-0000-0000-000069610000}"/>
    <cellStyle name="Normal 79 70" xfId="13155" xr:uid="{00000000-0005-0000-0000-00006A610000}"/>
    <cellStyle name="Normal 79 70 2" xfId="25344" xr:uid="{00000000-0005-0000-0000-00006B610000}"/>
    <cellStyle name="Normal 79 71" xfId="13156" xr:uid="{00000000-0005-0000-0000-00006C610000}"/>
    <cellStyle name="Normal 79 71 2" xfId="25345" xr:uid="{00000000-0005-0000-0000-00006D610000}"/>
    <cellStyle name="Normal 79 72" xfId="13157" xr:uid="{00000000-0005-0000-0000-00006E610000}"/>
    <cellStyle name="Normal 79 72 2" xfId="25346" xr:uid="{00000000-0005-0000-0000-00006F610000}"/>
    <cellStyle name="Normal 79 73" xfId="13158" xr:uid="{00000000-0005-0000-0000-000070610000}"/>
    <cellStyle name="Normal 79 73 2" xfId="25347" xr:uid="{00000000-0005-0000-0000-000071610000}"/>
    <cellStyle name="Normal 79 74" xfId="13159" xr:uid="{00000000-0005-0000-0000-000072610000}"/>
    <cellStyle name="Normal 79 74 2" xfId="25348" xr:uid="{00000000-0005-0000-0000-000073610000}"/>
    <cellStyle name="Normal 79 75" xfId="13160" xr:uid="{00000000-0005-0000-0000-000074610000}"/>
    <cellStyle name="Normal 79 75 2" xfId="25349" xr:uid="{00000000-0005-0000-0000-000075610000}"/>
    <cellStyle name="Normal 79 76" xfId="13161" xr:uid="{00000000-0005-0000-0000-000076610000}"/>
    <cellStyle name="Normal 79 76 2" xfId="25350" xr:uid="{00000000-0005-0000-0000-000077610000}"/>
    <cellStyle name="Normal 79 77" xfId="13162" xr:uid="{00000000-0005-0000-0000-000078610000}"/>
    <cellStyle name="Normal 79 77 2" xfId="25351" xr:uid="{00000000-0005-0000-0000-000079610000}"/>
    <cellStyle name="Normal 79 78" xfId="13163" xr:uid="{00000000-0005-0000-0000-00007A610000}"/>
    <cellStyle name="Normal 79 78 2" xfId="25352" xr:uid="{00000000-0005-0000-0000-00007B610000}"/>
    <cellStyle name="Normal 79 79" xfId="13164" xr:uid="{00000000-0005-0000-0000-00007C610000}"/>
    <cellStyle name="Normal 79 79 2" xfId="25353" xr:uid="{00000000-0005-0000-0000-00007D610000}"/>
    <cellStyle name="Normal 79 8" xfId="13165" xr:uid="{00000000-0005-0000-0000-00007E610000}"/>
    <cellStyle name="Normal 79 8 2" xfId="25354" xr:uid="{00000000-0005-0000-0000-00007F610000}"/>
    <cellStyle name="Normal 79 80" xfId="25277" xr:uid="{00000000-0005-0000-0000-000080610000}"/>
    <cellStyle name="Normal 79 9" xfId="13166" xr:uid="{00000000-0005-0000-0000-000081610000}"/>
    <cellStyle name="Normal 79 9 2" xfId="25355" xr:uid="{00000000-0005-0000-0000-000082610000}"/>
    <cellStyle name="Normal 8" xfId="106" xr:uid="{00000000-0005-0000-0000-000083610000}"/>
    <cellStyle name="Normal 8 10" xfId="13167" xr:uid="{00000000-0005-0000-0000-000084610000}"/>
    <cellStyle name="Normal 8 10 2" xfId="25356" xr:uid="{00000000-0005-0000-0000-000085610000}"/>
    <cellStyle name="Normal 8 11" xfId="13168" xr:uid="{00000000-0005-0000-0000-000086610000}"/>
    <cellStyle name="Normal 8 11 2" xfId="25357" xr:uid="{00000000-0005-0000-0000-000087610000}"/>
    <cellStyle name="Normal 8 12" xfId="13169" xr:uid="{00000000-0005-0000-0000-000088610000}"/>
    <cellStyle name="Normal 8 12 2" xfId="25358" xr:uid="{00000000-0005-0000-0000-000089610000}"/>
    <cellStyle name="Normal 8 13" xfId="13170" xr:uid="{00000000-0005-0000-0000-00008A610000}"/>
    <cellStyle name="Normal 8 13 2" xfId="25359" xr:uid="{00000000-0005-0000-0000-00008B610000}"/>
    <cellStyle name="Normal 8 14" xfId="13171" xr:uid="{00000000-0005-0000-0000-00008C610000}"/>
    <cellStyle name="Normal 8 14 2" xfId="25360" xr:uid="{00000000-0005-0000-0000-00008D610000}"/>
    <cellStyle name="Normal 8 15" xfId="13172" xr:uid="{00000000-0005-0000-0000-00008E610000}"/>
    <cellStyle name="Normal 8 15 2" xfId="25361" xr:uid="{00000000-0005-0000-0000-00008F610000}"/>
    <cellStyle name="Normal 8 16" xfId="13173" xr:uid="{00000000-0005-0000-0000-000090610000}"/>
    <cellStyle name="Normal 8 16 2" xfId="25362" xr:uid="{00000000-0005-0000-0000-000091610000}"/>
    <cellStyle name="Normal 8 17" xfId="13174" xr:uid="{00000000-0005-0000-0000-000092610000}"/>
    <cellStyle name="Normal 8 17 2" xfId="25363" xr:uid="{00000000-0005-0000-0000-000093610000}"/>
    <cellStyle name="Normal 8 18" xfId="13175" xr:uid="{00000000-0005-0000-0000-000094610000}"/>
    <cellStyle name="Normal 8 18 2" xfId="25364" xr:uid="{00000000-0005-0000-0000-000095610000}"/>
    <cellStyle name="Normal 8 19" xfId="13176" xr:uid="{00000000-0005-0000-0000-000096610000}"/>
    <cellStyle name="Normal 8 19 2" xfId="25365" xr:uid="{00000000-0005-0000-0000-000097610000}"/>
    <cellStyle name="Normal 8 2" xfId="782" xr:uid="{00000000-0005-0000-0000-000098610000}"/>
    <cellStyle name="Normal 8 2 10" xfId="13177" xr:uid="{00000000-0005-0000-0000-000099610000}"/>
    <cellStyle name="Normal 8 2 10 2" xfId="25367" xr:uid="{00000000-0005-0000-0000-00009A610000}"/>
    <cellStyle name="Normal 8 2 11" xfId="13178" xr:uid="{00000000-0005-0000-0000-00009B610000}"/>
    <cellStyle name="Normal 8 2 11 2" xfId="25368" xr:uid="{00000000-0005-0000-0000-00009C610000}"/>
    <cellStyle name="Normal 8 2 12" xfId="13179" xr:uid="{00000000-0005-0000-0000-00009D610000}"/>
    <cellStyle name="Normal 8 2 12 2" xfId="25369" xr:uid="{00000000-0005-0000-0000-00009E610000}"/>
    <cellStyle name="Normal 8 2 13" xfId="13180" xr:uid="{00000000-0005-0000-0000-00009F610000}"/>
    <cellStyle name="Normal 8 2 13 2" xfId="25370" xr:uid="{00000000-0005-0000-0000-0000A0610000}"/>
    <cellStyle name="Normal 8 2 14" xfId="13181" xr:uid="{00000000-0005-0000-0000-0000A1610000}"/>
    <cellStyle name="Normal 8 2 14 2" xfId="25371" xr:uid="{00000000-0005-0000-0000-0000A2610000}"/>
    <cellStyle name="Normal 8 2 15" xfId="13182" xr:uid="{00000000-0005-0000-0000-0000A3610000}"/>
    <cellStyle name="Normal 8 2 15 2" xfId="25372" xr:uid="{00000000-0005-0000-0000-0000A4610000}"/>
    <cellStyle name="Normal 8 2 16" xfId="13183" xr:uid="{00000000-0005-0000-0000-0000A5610000}"/>
    <cellStyle name="Normal 8 2 16 2" xfId="25373" xr:uid="{00000000-0005-0000-0000-0000A6610000}"/>
    <cellStyle name="Normal 8 2 17" xfId="13184" xr:uid="{00000000-0005-0000-0000-0000A7610000}"/>
    <cellStyle name="Normal 8 2 17 2" xfId="25374" xr:uid="{00000000-0005-0000-0000-0000A8610000}"/>
    <cellStyle name="Normal 8 2 18" xfId="13185" xr:uid="{00000000-0005-0000-0000-0000A9610000}"/>
    <cellStyle name="Normal 8 2 18 2" xfId="25375" xr:uid="{00000000-0005-0000-0000-0000AA610000}"/>
    <cellStyle name="Normal 8 2 19" xfId="13186" xr:uid="{00000000-0005-0000-0000-0000AB610000}"/>
    <cellStyle name="Normal 8 2 19 2" xfId="25376" xr:uid="{00000000-0005-0000-0000-0000AC610000}"/>
    <cellStyle name="Normal 8 2 2" xfId="13187" xr:uid="{00000000-0005-0000-0000-0000AD610000}"/>
    <cellStyle name="Normal 8 2 2 2" xfId="25377" xr:uid="{00000000-0005-0000-0000-0000AE610000}"/>
    <cellStyle name="Normal 8 2 20" xfId="13188" xr:uid="{00000000-0005-0000-0000-0000AF610000}"/>
    <cellStyle name="Normal 8 2 20 2" xfId="25378" xr:uid="{00000000-0005-0000-0000-0000B0610000}"/>
    <cellStyle name="Normal 8 2 21" xfId="13189" xr:uid="{00000000-0005-0000-0000-0000B1610000}"/>
    <cellStyle name="Normal 8 2 21 2" xfId="25379" xr:uid="{00000000-0005-0000-0000-0000B2610000}"/>
    <cellStyle name="Normal 8 2 22" xfId="13190" xr:uid="{00000000-0005-0000-0000-0000B3610000}"/>
    <cellStyle name="Normal 8 2 22 2" xfId="25380" xr:uid="{00000000-0005-0000-0000-0000B4610000}"/>
    <cellStyle name="Normal 8 2 23" xfId="13191" xr:uid="{00000000-0005-0000-0000-0000B5610000}"/>
    <cellStyle name="Normal 8 2 23 2" xfId="25381" xr:uid="{00000000-0005-0000-0000-0000B6610000}"/>
    <cellStyle name="Normal 8 2 24" xfId="13192" xr:uid="{00000000-0005-0000-0000-0000B7610000}"/>
    <cellStyle name="Normal 8 2 24 2" xfId="25382" xr:uid="{00000000-0005-0000-0000-0000B8610000}"/>
    <cellStyle name="Normal 8 2 25" xfId="13193" xr:uid="{00000000-0005-0000-0000-0000B9610000}"/>
    <cellStyle name="Normal 8 2 25 2" xfId="25383" xr:uid="{00000000-0005-0000-0000-0000BA610000}"/>
    <cellStyle name="Normal 8 2 26" xfId="13194" xr:uid="{00000000-0005-0000-0000-0000BB610000}"/>
    <cellStyle name="Normal 8 2 26 2" xfId="25384" xr:uid="{00000000-0005-0000-0000-0000BC610000}"/>
    <cellStyle name="Normal 8 2 27" xfId="13195" xr:uid="{00000000-0005-0000-0000-0000BD610000}"/>
    <cellStyle name="Normal 8 2 27 2" xfId="25385" xr:uid="{00000000-0005-0000-0000-0000BE610000}"/>
    <cellStyle name="Normal 8 2 28" xfId="13196" xr:uid="{00000000-0005-0000-0000-0000BF610000}"/>
    <cellStyle name="Normal 8 2 28 2" xfId="25386" xr:uid="{00000000-0005-0000-0000-0000C0610000}"/>
    <cellStyle name="Normal 8 2 29" xfId="13197" xr:uid="{00000000-0005-0000-0000-0000C1610000}"/>
    <cellStyle name="Normal 8 2 29 2" xfId="25387" xr:uid="{00000000-0005-0000-0000-0000C2610000}"/>
    <cellStyle name="Normal 8 2 3" xfId="13198" xr:uid="{00000000-0005-0000-0000-0000C3610000}"/>
    <cellStyle name="Normal 8 2 3 2" xfId="25388" xr:uid="{00000000-0005-0000-0000-0000C4610000}"/>
    <cellStyle name="Normal 8 2 30" xfId="13199" xr:uid="{00000000-0005-0000-0000-0000C5610000}"/>
    <cellStyle name="Normal 8 2 30 2" xfId="25389" xr:uid="{00000000-0005-0000-0000-0000C6610000}"/>
    <cellStyle name="Normal 8 2 31" xfId="13200" xr:uid="{00000000-0005-0000-0000-0000C7610000}"/>
    <cellStyle name="Normal 8 2 31 2" xfId="25390" xr:uid="{00000000-0005-0000-0000-0000C8610000}"/>
    <cellStyle name="Normal 8 2 32" xfId="13201" xr:uid="{00000000-0005-0000-0000-0000C9610000}"/>
    <cellStyle name="Normal 8 2 32 2" xfId="25391" xr:uid="{00000000-0005-0000-0000-0000CA610000}"/>
    <cellStyle name="Normal 8 2 33" xfId="13202" xr:uid="{00000000-0005-0000-0000-0000CB610000}"/>
    <cellStyle name="Normal 8 2 33 2" xfId="25392" xr:uid="{00000000-0005-0000-0000-0000CC610000}"/>
    <cellStyle name="Normal 8 2 34" xfId="13203" xr:uid="{00000000-0005-0000-0000-0000CD610000}"/>
    <cellStyle name="Normal 8 2 34 2" xfId="25393" xr:uid="{00000000-0005-0000-0000-0000CE610000}"/>
    <cellStyle name="Normal 8 2 35" xfId="13204" xr:uid="{00000000-0005-0000-0000-0000CF610000}"/>
    <cellStyle name="Normal 8 2 35 2" xfId="25394" xr:uid="{00000000-0005-0000-0000-0000D0610000}"/>
    <cellStyle name="Normal 8 2 36" xfId="13205" xr:uid="{00000000-0005-0000-0000-0000D1610000}"/>
    <cellStyle name="Normal 8 2 36 2" xfId="25395" xr:uid="{00000000-0005-0000-0000-0000D2610000}"/>
    <cellStyle name="Normal 8 2 37" xfId="13206" xr:uid="{00000000-0005-0000-0000-0000D3610000}"/>
    <cellStyle name="Normal 8 2 37 2" xfId="25396" xr:uid="{00000000-0005-0000-0000-0000D4610000}"/>
    <cellStyle name="Normal 8 2 38" xfId="13207" xr:uid="{00000000-0005-0000-0000-0000D5610000}"/>
    <cellStyle name="Normal 8 2 38 2" xfId="25397" xr:uid="{00000000-0005-0000-0000-0000D6610000}"/>
    <cellStyle name="Normal 8 2 39" xfId="13208" xr:uid="{00000000-0005-0000-0000-0000D7610000}"/>
    <cellStyle name="Normal 8 2 39 2" xfId="25398" xr:uid="{00000000-0005-0000-0000-0000D8610000}"/>
    <cellStyle name="Normal 8 2 4" xfId="13209" xr:uid="{00000000-0005-0000-0000-0000D9610000}"/>
    <cellStyle name="Normal 8 2 4 2" xfId="25399" xr:uid="{00000000-0005-0000-0000-0000DA610000}"/>
    <cellStyle name="Normal 8 2 40" xfId="13210" xr:uid="{00000000-0005-0000-0000-0000DB610000}"/>
    <cellStyle name="Normal 8 2 40 2" xfId="25400" xr:uid="{00000000-0005-0000-0000-0000DC610000}"/>
    <cellStyle name="Normal 8 2 41" xfId="13211" xr:uid="{00000000-0005-0000-0000-0000DD610000}"/>
    <cellStyle name="Normal 8 2 41 2" xfId="25401" xr:uid="{00000000-0005-0000-0000-0000DE610000}"/>
    <cellStyle name="Normal 8 2 42" xfId="13212" xr:uid="{00000000-0005-0000-0000-0000DF610000}"/>
    <cellStyle name="Normal 8 2 42 2" xfId="25402" xr:uid="{00000000-0005-0000-0000-0000E0610000}"/>
    <cellStyle name="Normal 8 2 43" xfId="13213" xr:uid="{00000000-0005-0000-0000-0000E1610000}"/>
    <cellStyle name="Normal 8 2 43 2" xfId="25403" xr:uid="{00000000-0005-0000-0000-0000E2610000}"/>
    <cellStyle name="Normal 8 2 44" xfId="13214" xr:uid="{00000000-0005-0000-0000-0000E3610000}"/>
    <cellStyle name="Normal 8 2 44 2" xfId="25404" xr:uid="{00000000-0005-0000-0000-0000E4610000}"/>
    <cellStyle name="Normal 8 2 45" xfId="13215" xr:uid="{00000000-0005-0000-0000-0000E5610000}"/>
    <cellStyle name="Normal 8 2 45 2" xfId="25405" xr:uid="{00000000-0005-0000-0000-0000E6610000}"/>
    <cellStyle name="Normal 8 2 46" xfId="13216" xr:uid="{00000000-0005-0000-0000-0000E7610000}"/>
    <cellStyle name="Normal 8 2 46 2" xfId="25406" xr:uid="{00000000-0005-0000-0000-0000E8610000}"/>
    <cellStyle name="Normal 8 2 47" xfId="13217" xr:uid="{00000000-0005-0000-0000-0000E9610000}"/>
    <cellStyle name="Normal 8 2 47 2" xfId="25407" xr:uid="{00000000-0005-0000-0000-0000EA610000}"/>
    <cellStyle name="Normal 8 2 48" xfId="13218" xr:uid="{00000000-0005-0000-0000-0000EB610000}"/>
    <cellStyle name="Normal 8 2 48 2" xfId="25408" xr:uid="{00000000-0005-0000-0000-0000EC610000}"/>
    <cellStyle name="Normal 8 2 49" xfId="13219" xr:uid="{00000000-0005-0000-0000-0000ED610000}"/>
    <cellStyle name="Normal 8 2 49 2" xfId="25409" xr:uid="{00000000-0005-0000-0000-0000EE610000}"/>
    <cellStyle name="Normal 8 2 5" xfId="13220" xr:uid="{00000000-0005-0000-0000-0000EF610000}"/>
    <cellStyle name="Normal 8 2 5 2" xfId="25410" xr:uid="{00000000-0005-0000-0000-0000F0610000}"/>
    <cellStyle name="Normal 8 2 50" xfId="13221" xr:uid="{00000000-0005-0000-0000-0000F1610000}"/>
    <cellStyle name="Normal 8 2 50 2" xfId="25411" xr:uid="{00000000-0005-0000-0000-0000F2610000}"/>
    <cellStyle name="Normal 8 2 51" xfId="13222" xr:uid="{00000000-0005-0000-0000-0000F3610000}"/>
    <cellStyle name="Normal 8 2 51 2" xfId="25412" xr:uid="{00000000-0005-0000-0000-0000F4610000}"/>
    <cellStyle name="Normal 8 2 52" xfId="13223" xr:uid="{00000000-0005-0000-0000-0000F5610000}"/>
    <cellStyle name="Normal 8 2 52 2" xfId="25413" xr:uid="{00000000-0005-0000-0000-0000F6610000}"/>
    <cellStyle name="Normal 8 2 53" xfId="13224" xr:uid="{00000000-0005-0000-0000-0000F7610000}"/>
    <cellStyle name="Normal 8 2 53 2" xfId="25414" xr:uid="{00000000-0005-0000-0000-0000F8610000}"/>
    <cellStyle name="Normal 8 2 54" xfId="13225" xr:uid="{00000000-0005-0000-0000-0000F9610000}"/>
    <cellStyle name="Normal 8 2 54 2" xfId="25415" xr:uid="{00000000-0005-0000-0000-0000FA610000}"/>
    <cellStyle name="Normal 8 2 55" xfId="13226" xr:uid="{00000000-0005-0000-0000-0000FB610000}"/>
    <cellStyle name="Normal 8 2 55 2" xfId="25416" xr:uid="{00000000-0005-0000-0000-0000FC610000}"/>
    <cellStyle name="Normal 8 2 56" xfId="13227" xr:uid="{00000000-0005-0000-0000-0000FD610000}"/>
    <cellStyle name="Normal 8 2 56 2" xfId="25417" xr:uid="{00000000-0005-0000-0000-0000FE610000}"/>
    <cellStyle name="Normal 8 2 57" xfId="13228" xr:uid="{00000000-0005-0000-0000-0000FF610000}"/>
    <cellStyle name="Normal 8 2 57 2" xfId="25418" xr:uid="{00000000-0005-0000-0000-000000620000}"/>
    <cellStyle name="Normal 8 2 58" xfId="13229" xr:uid="{00000000-0005-0000-0000-000001620000}"/>
    <cellStyle name="Normal 8 2 58 2" xfId="25419" xr:uid="{00000000-0005-0000-0000-000002620000}"/>
    <cellStyle name="Normal 8 2 59" xfId="13230" xr:uid="{00000000-0005-0000-0000-000003620000}"/>
    <cellStyle name="Normal 8 2 59 2" xfId="25420" xr:uid="{00000000-0005-0000-0000-000004620000}"/>
    <cellStyle name="Normal 8 2 6" xfId="13231" xr:uid="{00000000-0005-0000-0000-000005620000}"/>
    <cellStyle name="Normal 8 2 6 2" xfId="25421" xr:uid="{00000000-0005-0000-0000-000006620000}"/>
    <cellStyle name="Normal 8 2 60" xfId="13232" xr:uid="{00000000-0005-0000-0000-000007620000}"/>
    <cellStyle name="Normal 8 2 60 2" xfId="25422" xr:uid="{00000000-0005-0000-0000-000008620000}"/>
    <cellStyle name="Normal 8 2 61" xfId="13233" xr:uid="{00000000-0005-0000-0000-000009620000}"/>
    <cellStyle name="Normal 8 2 61 2" xfId="25423" xr:uid="{00000000-0005-0000-0000-00000A620000}"/>
    <cellStyle name="Normal 8 2 62" xfId="13234" xr:uid="{00000000-0005-0000-0000-00000B620000}"/>
    <cellStyle name="Normal 8 2 62 2" xfId="25424" xr:uid="{00000000-0005-0000-0000-00000C620000}"/>
    <cellStyle name="Normal 8 2 63" xfId="13235" xr:uid="{00000000-0005-0000-0000-00000D620000}"/>
    <cellStyle name="Normal 8 2 63 2" xfId="25425" xr:uid="{00000000-0005-0000-0000-00000E620000}"/>
    <cellStyle name="Normal 8 2 64" xfId="13236" xr:uid="{00000000-0005-0000-0000-00000F620000}"/>
    <cellStyle name="Normal 8 2 64 2" xfId="25426" xr:uid="{00000000-0005-0000-0000-000010620000}"/>
    <cellStyle name="Normal 8 2 65" xfId="13237" xr:uid="{00000000-0005-0000-0000-000011620000}"/>
    <cellStyle name="Normal 8 2 65 2" xfId="25427" xr:uid="{00000000-0005-0000-0000-000012620000}"/>
    <cellStyle name="Normal 8 2 66" xfId="13238" xr:uid="{00000000-0005-0000-0000-000013620000}"/>
    <cellStyle name="Normal 8 2 66 2" xfId="25428" xr:uid="{00000000-0005-0000-0000-000014620000}"/>
    <cellStyle name="Normal 8 2 67" xfId="13239" xr:uid="{00000000-0005-0000-0000-000015620000}"/>
    <cellStyle name="Normal 8 2 67 2" xfId="25429" xr:uid="{00000000-0005-0000-0000-000016620000}"/>
    <cellStyle name="Normal 8 2 68" xfId="13240" xr:uid="{00000000-0005-0000-0000-000017620000}"/>
    <cellStyle name="Normal 8 2 68 2" xfId="25430" xr:uid="{00000000-0005-0000-0000-000018620000}"/>
    <cellStyle name="Normal 8 2 69" xfId="13241" xr:uid="{00000000-0005-0000-0000-000019620000}"/>
    <cellStyle name="Normal 8 2 69 2" xfId="25431" xr:uid="{00000000-0005-0000-0000-00001A620000}"/>
    <cellStyle name="Normal 8 2 7" xfId="13242" xr:uid="{00000000-0005-0000-0000-00001B620000}"/>
    <cellStyle name="Normal 8 2 7 2" xfId="25432" xr:uid="{00000000-0005-0000-0000-00001C620000}"/>
    <cellStyle name="Normal 8 2 70" xfId="13243" xr:uid="{00000000-0005-0000-0000-00001D620000}"/>
    <cellStyle name="Normal 8 2 70 2" xfId="25433" xr:uid="{00000000-0005-0000-0000-00001E620000}"/>
    <cellStyle name="Normal 8 2 71" xfId="13244" xr:uid="{00000000-0005-0000-0000-00001F620000}"/>
    <cellStyle name="Normal 8 2 71 2" xfId="25434" xr:uid="{00000000-0005-0000-0000-000020620000}"/>
    <cellStyle name="Normal 8 2 72" xfId="13245" xr:uid="{00000000-0005-0000-0000-000021620000}"/>
    <cellStyle name="Normal 8 2 72 2" xfId="25435" xr:uid="{00000000-0005-0000-0000-000022620000}"/>
    <cellStyle name="Normal 8 2 73" xfId="13246" xr:uid="{00000000-0005-0000-0000-000023620000}"/>
    <cellStyle name="Normal 8 2 73 2" xfId="25436" xr:uid="{00000000-0005-0000-0000-000024620000}"/>
    <cellStyle name="Normal 8 2 74" xfId="13247" xr:uid="{00000000-0005-0000-0000-000025620000}"/>
    <cellStyle name="Normal 8 2 74 2" xfId="25437" xr:uid="{00000000-0005-0000-0000-000026620000}"/>
    <cellStyle name="Normal 8 2 75" xfId="13248" xr:uid="{00000000-0005-0000-0000-000027620000}"/>
    <cellStyle name="Normal 8 2 75 2" xfId="25438" xr:uid="{00000000-0005-0000-0000-000028620000}"/>
    <cellStyle name="Normal 8 2 76" xfId="13249" xr:uid="{00000000-0005-0000-0000-000029620000}"/>
    <cellStyle name="Normal 8 2 76 2" xfId="25439" xr:uid="{00000000-0005-0000-0000-00002A620000}"/>
    <cellStyle name="Normal 8 2 77" xfId="13250" xr:uid="{00000000-0005-0000-0000-00002B620000}"/>
    <cellStyle name="Normal 8 2 77 2" xfId="25440" xr:uid="{00000000-0005-0000-0000-00002C620000}"/>
    <cellStyle name="Normal 8 2 78" xfId="13251" xr:uid="{00000000-0005-0000-0000-00002D620000}"/>
    <cellStyle name="Normal 8 2 78 2" xfId="25441" xr:uid="{00000000-0005-0000-0000-00002E620000}"/>
    <cellStyle name="Normal 8 2 79" xfId="13252" xr:uid="{00000000-0005-0000-0000-00002F620000}"/>
    <cellStyle name="Normal 8 2 79 2" xfId="25442" xr:uid="{00000000-0005-0000-0000-000030620000}"/>
    <cellStyle name="Normal 8 2 8" xfId="13253" xr:uid="{00000000-0005-0000-0000-000031620000}"/>
    <cellStyle name="Normal 8 2 8 2" xfId="25443" xr:uid="{00000000-0005-0000-0000-000032620000}"/>
    <cellStyle name="Normal 8 2 80" xfId="25366" xr:uid="{00000000-0005-0000-0000-000033620000}"/>
    <cellStyle name="Normal 8 2 9" xfId="13254" xr:uid="{00000000-0005-0000-0000-000034620000}"/>
    <cellStyle name="Normal 8 2 9 2" xfId="25444" xr:uid="{00000000-0005-0000-0000-000035620000}"/>
    <cellStyle name="Normal 8 20" xfId="13255" xr:uid="{00000000-0005-0000-0000-000036620000}"/>
    <cellStyle name="Normal 8 20 2" xfId="25445" xr:uid="{00000000-0005-0000-0000-000037620000}"/>
    <cellStyle name="Normal 8 21" xfId="13256" xr:uid="{00000000-0005-0000-0000-000038620000}"/>
    <cellStyle name="Normal 8 21 2" xfId="25446" xr:uid="{00000000-0005-0000-0000-000039620000}"/>
    <cellStyle name="Normal 8 22" xfId="13257" xr:uid="{00000000-0005-0000-0000-00003A620000}"/>
    <cellStyle name="Normal 8 22 2" xfId="25447" xr:uid="{00000000-0005-0000-0000-00003B620000}"/>
    <cellStyle name="Normal 8 23" xfId="13258" xr:uid="{00000000-0005-0000-0000-00003C620000}"/>
    <cellStyle name="Normal 8 23 2" xfId="25448" xr:uid="{00000000-0005-0000-0000-00003D620000}"/>
    <cellStyle name="Normal 8 24" xfId="13259" xr:uid="{00000000-0005-0000-0000-00003E620000}"/>
    <cellStyle name="Normal 8 24 2" xfId="25449" xr:uid="{00000000-0005-0000-0000-00003F620000}"/>
    <cellStyle name="Normal 8 25" xfId="13260" xr:uid="{00000000-0005-0000-0000-000040620000}"/>
    <cellStyle name="Normal 8 25 2" xfId="25450" xr:uid="{00000000-0005-0000-0000-000041620000}"/>
    <cellStyle name="Normal 8 26" xfId="13261" xr:uid="{00000000-0005-0000-0000-000042620000}"/>
    <cellStyle name="Normal 8 26 2" xfId="25451" xr:uid="{00000000-0005-0000-0000-000043620000}"/>
    <cellStyle name="Normal 8 27" xfId="13262" xr:uid="{00000000-0005-0000-0000-000044620000}"/>
    <cellStyle name="Normal 8 27 2" xfId="25452" xr:uid="{00000000-0005-0000-0000-000045620000}"/>
    <cellStyle name="Normal 8 28" xfId="13263" xr:uid="{00000000-0005-0000-0000-000046620000}"/>
    <cellStyle name="Normal 8 28 2" xfId="25453" xr:uid="{00000000-0005-0000-0000-000047620000}"/>
    <cellStyle name="Normal 8 29" xfId="13264" xr:uid="{00000000-0005-0000-0000-000048620000}"/>
    <cellStyle name="Normal 8 29 2" xfId="25454" xr:uid="{00000000-0005-0000-0000-000049620000}"/>
    <cellStyle name="Normal 8 3" xfId="770" xr:uid="{00000000-0005-0000-0000-00004A620000}"/>
    <cellStyle name="Normal 8 3 10" xfId="13266" xr:uid="{00000000-0005-0000-0000-00004B620000}"/>
    <cellStyle name="Normal 8 3 10 2" xfId="25456" xr:uid="{00000000-0005-0000-0000-00004C620000}"/>
    <cellStyle name="Normal 8 3 11" xfId="13267" xr:uid="{00000000-0005-0000-0000-00004D620000}"/>
    <cellStyle name="Normal 8 3 11 2" xfId="25457" xr:uid="{00000000-0005-0000-0000-00004E620000}"/>
    <cellStyle name="Normal 8 3 12" xfId="13268" xr:uid="{00000000-0005-0000-0000-00004F620000}"/>
    <cellStyle name="Normal 8 3 12 2" xfId="25458" xr:uid="{00000000-0005-0000-0000-000050620000}"/>
    <cellStyle name="Normal 8 3 13" xfId="13269" xr:uid="{00000000-0005-0000-0000-000051620000}"/>
    <cellStyle name="Normal 8 3 13 2" xfId="25459" xr:uid="{00000000-0005-0000-0000-000052620000}"/>
    <cellStyle name="Normal 8 3 14" xfId="13270" xr:uid="{00000000-0005-0000-0000-000053620000}"/>
    <cellStyle name="Normal 8 3 14 2" xfId="25460" xr:uid="{00000000-0005-0000-0000-000054620000}"/>
    <cellStyle name="Normal 8 3 15" xfId="13271" xr:uid="{00000000-0005-0000-0000-000055620000}"/>
    <cellStyle name="Normal 8 3 15 2" xfId="25461" xr:uid="{00000000-0005-0000-0000-000056620000}"/>
    <cellStyle name="Normal 8 3 16" xfId="13272" xr:uid="{00000000-0005-0000-0000-000057620000}"/>
    <cellStyle name="Normal 8 3 16 2" xfId="25462" xr:uid="{00000000-0005-0000-0000-000058620000}"/>
    <cellStyle name="Normal 8 3 17" xfId="13273" xr:uid="{00000000-0005-0000-0000-000059620000}"/>
    <cellStyle name="Normal 8 3 17 2" xfId="25463" xr:uid="{00000000-0005-0000-0000-00005A620000}"/>
    <cellStyle name="Normal 8 3 18" xfId="13274" xr:uid="{00000000-0005-0000-0000-00005B620000}"/>
    <cellStyle name="Normal 8 3 18 2" xfId="25464" xr:uid="{00000000-0005-0000-0000-00005C620000}"/>
    <cellStyle name="Normal 8 3 19" xfId="13275" xr:uid="{00000000-0005-0000-0000-00005D620000}"/>
    <cellStyle name="Normal 8 3 19 2" xfId="25465" xr:uid="{00000000-0005-0000-0000-00005E620000}"/>
    <cellStyle name="Normal 8 3 2" xfId="13276" xr:uid="{00000000-0005-0000-0000-00005F620000}"/>
    <cellStyle name="Normal 8 3 2 2" xfId="25466" xr:uid="{00000000-0005-0000-0000-000060620000}"/>
    <cellStyle name="Normal 8 3 20" xfId="13277" xr:uid="{00000000-0005-0000-0000-000061620000}"/>
    <cellStyle name="Normal 8 3 20 2" xfId="25467" xr:uid="{00000000-0005-0000-0000-000062620000}"/>
    <cellStyle name="Normal 8 3 21" xfId="13278" xr:uid="{00000000-0005-0000-0000-000063620000}"/>
    <cellStyle name="Normal 8 3 21 2" xfId="25468" xr:uid="{00000000-0005-0000-0000-000064620000}"/>
    <cellStyle name="Normal 8 3 22" xfId="13279" xr:uid="{00000000-0005-0000-0000-000065620000}"/>
    <cellStyle name="Normal 8 3 22 2" xfId="25469" xr:uid="{00000000-0005-0000-0000-000066620000}"/>
    <cellStyle name="Normal 8 3 23" xfId="13280" xr:uid="{00000000-0005-0000-0000-000067620000}"/>
    <cellStyle name="Normal 8 3 23 2" xfId="25470" xr:uid="{00000000-0005-0000-0000-000068620000}"/>
    <cellStyle name="Normal 8 3 24" xfId="13281" xr:uid="{00000000-0005-0000-0000-000069620000}"/>
    <cellStyle name="Normal 8 3 24 2" xfId="25471" xr:uid="{00000000-0005-0000-0000-00006A620000}"/>
    <cellStyle name="Normal 8 3 25" xfId="13282" xr:uid="{00000000-0005-0000-0000-00006B620000}"/>
    <cellStyle name="Normal 8 3 25 2" xfId="25472" xr:uid="{00000000-0005-0000-0000-00006C620000}"/>
    <cellStyle name="Normal 8 3 26" xfId="13283" xr:uid="{00000000-0005-0000-0000-00006D620000}"/>
    <cellStyle name="Normal 8 3 26 2" xfId="25473" xr:uid="{00000000-0005-0000-0000-00006E620000}"/>
    <cellStyle name="Normal 8 3 27" xfId="13284" xr:uid="{00000000-0005-0000-0000-00006F620000}"/>
    <cellStyle name="Normal 8 3 27 2" xfId="25474" xr:uid="{00000000-0005-0000-0000-000070620000}"/>
    <cellStyle name="Normal 8 3 28" xfId="13285" xr:uid="{00000000-0005-0000-0000-000071620000}"/>
    <cellStyle name="Normal 8 3 28 2" xfId="25475" xr:uid="{00000000-0005-0000-0000-000072620000}"/>
    <cellStyle name="Normal 8 3 29" xfId="13286" xr:uid="{00000000-0005-0000-0000-000073620000}"/>
    <cellStyle name="Normal 8 3 29 2" xfId="25476" xr:uid="{00000000-0005-0000-0000-000074620000}"/>
    <cellStyle name="Normal 8 3 3" xfId="13287" xr:uid="{00000000-0005-0000-0000-000075620000}"/>
    <cellStyle name="Normal 8 3 3 2" xfId="25477" xr:uid="{00000000-0005-0000-0000-000076620000}"/>
    <cellStyle name="Normal 8 3 30" xfId="13288" xr:uid="{00000000-0005-0000-0000-000077620000}"/>
    <cellStyle name="Normal 8 3 30 2" xfId="25478" xr:uid="{00000000-0005-0000-0000-000078620000}"/>
    <cellStyle name="Normal 8 3 31" xfId="13289" xr:uid="{00000000-0005-0000-0000-000079620000}"/>
    <cellStyle name="Normal 8 3 31 2" xfId="25479" xr:uid="{00000000-0005-0000-0000-00007A620000}"/>
    <cellStyle name="Normal 8 3 32" xfId="13290" xr:uid="{00000000-0005-0000-0000-00007B620000}"/>
    <cellStyle name="Normal 8 3 32 2" xfId="25480" xr:uid="{00000000-0005-0000-0000-00007C620000}"/>
    <cellStyle name="Normal 8 3 33" xfId="13291" xr:uid="{00000000-0005-0000-0000-00007D620000}"/>
    <cellStyle name="Normal 8 3 33 2" xfId="25481" xr:uid="{00000000-0005-0000-0000-00007E620000}"/>
    <cellStyle name="Normal 8 3 34" xfId="13292" xr:uid="{00000000-0005-0000-0000-00007F620000}"/>
    <cellStyle name="Normal 8 3 34 2" xfId="25482" xr:uid="{00000000-0005-0000-0000-000080620000}"/>
    <cellStyle name="Normal 8 3 35" xfId="13293" xr:uid="{00000000-0005-0000-0000-000081620000}"/>
    <cellStyle name="Normal 8 3 35 2" xfId="25483" xr:uid="{00000000-0005-0000-0000-000082620000}"/>
    <cellStyle name="Normal 8 3 36" xfId="13294" xr:uid="{00000000-0005-0000-0000-000083620000}"/>
    <cellStyle name="Normal 8 3 36 2" xfId="25484" xr:uid="{00000000-0005-0000-0000-000084620000}"/>
    <cellStyle name="Normal 8 3 37" xfId="13295" xr:uid="{00000000-0005-0000-0000-000085620000}"/>
    <cellStyle name="Normal 8 3 37 2" xfId="25485" xr:uid="{00000000-0005-0000-0000-000086620000}"/>
    <cellStyle name="Normal 8 3 38" xfId="13296" xr:uid="{00000000-0005-0000-0000-000087620000}"/>
    <cellStyle name="Normal 8 3 38 2" xfId="25486" xr:uid="{00000000-0005-0000-0000-000088620000}"/>
    <cellStyle name="Normal 8 3 39" xfId="13297" xr:uid="{00000000-0005-0000-0000-000089620000}"/>
    <cellStyle name="Normal 8 3 39 2" xfId="25487" xr:uid="{00000000-0005-0000-0000-00008A620000}"/>
    <cellStyle name="Normal 8 3 4" xfId="13298" xr:uid="{00000000-0005-0000-0000-00008B620000}"/>
    <cellStyle name="Normal 8 3 4 2" xfId="25488" xr:uid="{00000000-0005-0000-0000-00008C620000}"/>
    <cellStyle name="Normal 8 3 40" xfId="13299" xr:uid="{00000000-0005-0000-0000-00008D620000}"/>
    <cellStyle name="Normal 8 3 40 2" xfId="25489" xr:uid="{00000000-0005-0000-0000-00008E620000}"/>
    <cellStyle name="Normal 8 3 41" xfId="13300" xr:uid="{00000000-0005-0000-0000-00008F620000}"/>
    <cellStyle name="Normal 8 3 41 2" xfId="25490" xr:uid="{00000000-0005-0000-0000-000090620000}"/>
    <cellStyle name="Normal 8 3 42" xfId="13301" xr:uid="{00000000-0005-0000-0000-000091620000}"/>
    <cellStyle name="Normal 8 3 42 2" xfId="25491" xr:uid="{00000000-0005-0000-0000-000092620000}"/>
    <cellStyle name="Normal 8 3 43" xfId="13302" xr:uid="{00000000-0005-0000-0000-000093620000}"/>
    <cellStyle name="Normal 8 3 43 2" xfId="25492" xr:uid="{00000000-0005-0000-0000-000094620000}"/>
    <cellStyle name="Normal 8 3 44" xfId="13303" xr:uid="{00000000-0005-0000-0000-000095620000}"/>
    <cellStyle name="Normal 8 3 44 2" xfId="25493" xr:uid="{00000000-0005-0000-0000-000096620000}"/>
    <cellStyle name="Normal 8 3 45" xfId="13304" xr:uid="{00000000-0005-0000-0000-000097620000}"/>
    <cellStyle name="Normal 8 3 45 2" xfId="25494" xr:uid="{00000000-0005-0000-0000-000098620000}"/>
    <cellStyle name="Normal 8 3 46" xfId="13305" xr:uid="{00000000-0005-0000-0000-000099620000}"/>
    <cellStyle name="Normal 8 3 46 2" xfId="25495" xr:uid="{00000000-0005-0000-0000-00009A620000}"/>
    <cellStyle name="Normal 8 3 47" xfId="13306" xr:uid="{00000000-0005-0000-0000-00009B620000}"/>
    <cellStyle name="Normal 8 3 47 2" xfId="25496" xr:uid="{00000000-0005-0000-0000-00009C620000}"/>
    <cellStyle name="Normal 8 3 48" xfId="13307" xr:uid="{00000000-0005-0000-0000-00009D620000}"/>
    <cellStyle name="Normal 8 3 48 2" xfId="25497" xr:uid="{00000000-0005-0000-0000-00009E620000}"/>
    <cellStyle name="Normal 8 3 49" xfId="13308" xr:uid="{00000000-0005-0000-0000-00009F620000}"/>
    <cellStyle name="Normal 8 3 49 2" xfId="25498" xr:uid="{00000000-0005-0000-0000-0000A0620000}"/>
    <cellStyle name="Normal 8 3 5" xfId="13309" xr:uid="{00000000-0005-0000-0000-0000A1620000}"/>
    <cellStyle name="Normal 8 3 5 2" xfId="25499" xr:uid="{00000000-0005-0000-0000-0000A2620000}"/>
    <cellStyle name="Normal 8 3 50" xfId="13310" xr:uid="{00000000-0005-0000-0000-0000A3620000}"/>
    <cellStyle name="Normal 8 3 50 2" xfId="25500" xr:uid="{00000000-0005-0000-0000-0000A4620000}"/>
    <cellStyle name="Normal 8 3 51" xfId="13311" xr:uid="{00000000-0005-0000-0000-0000A5620000}"/>
    <cellStyle name="Normal 8 3 51 2" xfId="25501" xr:uid="{00000000-0005-0000-0000-0000A6620000}"/>
    <cellStyle name="Normal 8 3 52" xfId="13312" xr:uid="{00000000-0005-0000-0000-0000A7620000}"/>
    <cellStyle name="Normal 8 3 52 2" xfId="25502" xr:uid="{00000000-0005-0000-0000-0000A8620000}"/>
    <cellStyle name="Normal 8 3 53" xfId="13313" xr:uid="{00000000-0005-0000-0000-0000A9620000}"/>
    <cellStyle name="Normal 8 3 53 2" xfId="25503" xr:uid="{00000000-0005-0000-0000-0000AA620000}"/>
    <cellStyle name="Normal 8 3 54" xfId="13314" xr:uid="{00000000-0005-0000-0000-0000AB620000}"/>
    <cellStyle name="Normal 8 3 54 2" xfId="25504" xr:uid="{00000000-0005-0000-0000-0000AC620000}"/>
    <cellStyle name="Normal 8 3 55" xfId="13315" xr:uid="{00000000-0005-0000-0000-0000AD620000}"/>
    <cellStyle name="Normal 8 3 55 2" xfId="25505" xr:uid="{00000000-0005-0000-0000-0000AE620000}"/>
    <cellStyle name="Normal 8 3 56" xfId="13316" xr:uid="{00000000-0005-0000-0000-0000AF620000}"/>
    <cellStyle name="Normal 8 3 56 2" xfId="25506" xr:uid="{00000000-0005-0000-0000-0000B0620000}"/>
    <cellStyle name="Normal 8 3 57" xfId="13317" xr:uid="{00000000-0005-0000-0000-0000B1620000}"/>
    <cellStyle name="Normal 8 3 57 2" xfId="25507" xr:uid="{00000000-0005-0000-0000-0000B2620000}"/>
    <cellStyle name="Normal 8 3 58" xfId="13318" xr:uid="{00000000-0005-0000-0000-0000B3620000}"/>
    <cellStyle name="Normal 8 3 58 2" xfId="25508" xr:uid="{00000000-0005-0000-0000-0000B4620000}"/>
    <cellStyle name="Normal 8 3 59" xfId="13319" xr:uid="{00000000-0005-0000-0000-0000B5620000}"/>
    <cellStyle name="Normal 8 3 59 2" xfId="25509" xr:uid="{00000000-0005-0000-0000-0000B6620000}"/>
    <cellStyle name="Normal 8 3 6" xfId="13320" xr:uid="{00000000-0005-0000-0000-0000B7620000}"/>
    <cellStyle name="Normal 8 3 6 2" xfId="25510" xr:uid="{00000000-0005-0000-0000-0000B8620000}"/>
    <cellStyle name="Normal 8 3 60" xfId="13321" xr:uid="{00000000-0005-0000-0000-0000B9620000}"/>
    <cellStyle name="Normal 8 3 60 2" xfId="25511" xr:uid="{00000000-0005-0000-0000-0000BA620000}"/>
    <cellStyle name="Normal 8 3 61" xfId="13322" xr:uid="{00000000-0005-0000-0000-0000BB620000}"/>
    <cellStyle name="Normal 8 3 61 2" xfId="25512" xr:uid="{00000000-0005-0000-0000-0000BC620000}"/>
    <cellStyle name="Normal 8 3 62" xfId="13323" xr:uid="{00000000-0005-0000-0000-0000BD620000}"/>
    <cellStyle name="Normal 8 3 62 2" xfId="25513" xr:uid="{00000000-0005-0000-0000-0000BE620000}"/>
    <cellStyle name="Normal 8 3 63" xfId="13324" xr:uid="{00000000-0005-0000-0000-0000BF620000}"/>
    <cellStyle name="Normal 8 3 63 2" xfId="25514" xr:uid="{00000000-0005-0000-0000-0000C0620000}"/>
    <cellStyle name="Normal 8 3 64" xfId="13325" xr:uid="{00000000-0005-0000-0000-0000C1620000}"/>
    <cellStyle name="Normal 8 3 64 2" xfId="25515" xr:uid="{00000000-0005-0000-0000-0000C2620000}"/>
    <cellStyle name="Normal 8 3 65" xfId="13326" xr:uid="{00000000-0005-0000-0000-0000C3620000}"/>
    <cellStyle name="Normal 8 3 65 2" xfId="25516" xr:uid="{00000000-0005-0000-0000-0000C4620000}"/>
    <cellStyle name="Normal 8 3 66" xfId="13327" xr:uid="{00000000-0005-0000-0000-0000C5620000}"/>
    <cellStyle name="Normal 8 3 66 2" xfId="25517" xr:uid="{00000000-0005-0000-0000-0000C6620000}"/>
    <cellStyle name="Normal 8 3 67" xfId="13328" xr:uid="{00000000-0005-0000-0000-0000C7620000}"/>
    <cellStyle name="Normal 8 3 67 2" xfId="25518" xr:uid="{00000000-0005-0000-0000-0000C8620000}"/>
    <cellStyle name="Normal 8 3 68" xfId="13329" xr:uid="{00000000-0005-0000-0000-0000C9620000}"/>
    <cellStyle name="Normal 8 3 68 2" xfId="25519" xr:uid="{00000000-0005-0000-0000-0000CA620000}"/>
    <cellStyle name="Normal 8 3 69" xfId="13330" xr:uid="{00000000-0005-0000-0000-0000CB620000}"/>
    <cellStyle name="Normal 8 3 69 2" xfId="25520" xr:uid="{00000000-0005-0000-0000-0000CC620000}"/>
    <cellStyle name="Normal 8 3 7" xfId="13331" xr:uid="{00000000-0005-0000-0000-0000CD620000}"/>
    <cellStyle name="Normal 8 3 7 2" xfId="25521" xr:uid="{00000000-0005-0000-0000-0000CE620000}"/>
    <cellStyle name="Normal 8 3 70" xfId="13332" xr:uid="{00000000-0005-0000-0000-0000CF620000}"/>
    <cellStyle name="Normal 8 3 70 2" xfId="25522" xr:uid="{00000000-0005-0000-0000-0000D0620000}"/>
    <cellStyle name="Normal 8 3 71" xfId="13333" xr:uid="{00000000-0005-0000-0000-0000D1620000}"/>
    <cellStyle name="Normal 8 3 71 2" xfId="25523" xr:uid="{00000000-0005-0000-0000-0000D2620000}"/>
    <cellStyle name="Normal 8 3 72" xfId="13334" xr:uid="{00000000-0005-0000-0000-0000D3620000}"/>
    <cellStyle name="Normal 8 3 72 2" xfId="25524" xr:uid="{00000000-0005-0000-0000-0000D4620000}"/>
    <cellStyle name="Normal 8 3 73" xfId="13335" xr:uid="{00000000-0005-0000-0000-0000D5620000}"/>
    <cellStyle name="Normal 8 3 73 2" xfId="25525" xr:uid="{00000000-0005-0000-0000-0000D6620000}"/>
    <cellStyle name="Normal 8 3 74" xfId="13336" xr:uid="{00000000-0005-0000-0000-0000D7620000}"/>
    <cellStyle name="Normal 8 3 74 2" xfId="25526" xr:uid="{00000000-0005-0000-0000-0000D8620000}"/>
    <cellStyle name="Normal 8 3 75" xfId="13337" xr:uid="{00000000-0005-0000-0000-0000D9620000}"/>
    <cellStyle name="Normal 8 3 75 2" xfId="25527" xr:uid="{00000000-0005-0000-0000-0000DA620000}"/>
    <cellStyle name="Normal 8 3 76" xfId="13338" xr:uid="{00000000-0005-0000-0000-0000DB620000}"/>
    <cellStyle name="Normal 8 3 76 2" xfId="25528" xr:uid="{00000000-0005-0000-0000-0000DC620000}"/>
    <cellStyle name="Normal 8 3 77" xfId="13339" xr:uid="{00000000-0005-0000-0000-0000DD620000}"/>
    <cellStyle name="Normal 8 3 77 2" xfId="25529" xr:uid="{00000000-0005-0000-0000-0000DE620000}"/>
    <cellStyle name="Normal 8 3 78" xfId="13340" xr:uid="{00000000-0005-0000-0000-0000DF620000}"/>
    <cellStyle name="Normal 8 3 78 2" xfId="25530" xr:uid="{00000000-0005-0000-0000-0000E0620000}"/>
    <cellStyle name="Normal 8 3 79" xfId="13341" xr:uid="{00000000-0005-0000-0000-0000E1620000}"/>
    <cellStyle name="Normal 8 3 79 2" xfId="25531" xr:uid="{00000000-0005-0000-0000-0000E2620000}"/>
    <cellStyle name="Normal 8 3 8" xfId="13342" xr:uid="{00000000-0005-0000-0000-0000E3620000}"/>
    <cellStyle name="Normal 8 3 8 2" xfId="25532" xr:uid="{00000000-0005-0000-0000-0000E4620000}"/>
    <cellStyle name="Normal 8 3 80" xfId="25455" xr:uid="{00000000-0005-0000-0000-0000E5620000}"/>
    <cellStyle name="Normal 8 3 81" xfId="13265" xr:uid="{00000000-0005-0000-0000-0000E6620000}"/>
    <cellStyle name="Normal 8 3 9" xfId="13343" xr:uid="{00000000-0005-0000-0000-0000E7620000}"/>
    <cellStyle name="Normal 8 3 9 2" xfId="25533" xr:uid="{00000000-0005-0000-0000-0000E8620000}"/>
    <cellStyle name="Normal 8 30" xfId="13344" xr:uid="{00000000-0005-0000-0000-0000E9620000}"/>
    <cellStyle name="Normal 8 30 2" xfId="25534" xr:uid="{00000000-0005-0000-0000-0000EA620000}"/>
    <cellStyle name="Normal 8 31" xfId="13345" xr:uid="{00000000-0005-0000-0000-0000EB620000}"/>
    <cellStyle name="Normal 8 31 2" xfId="25535" xr:uid="{00000000-0005-0000-0000-0000EC620000}"/>
    <cellStyle name="Normal 8 32" xfId="13346" xr:uid="{00000000-0005-0000-0000-0000ED620000}"/>
    <cellStyle name="Normal 8 32 2" xfId="25536" xr:uid="{00000000-0005-0000-0000-0000EE620000}"/>
    <cellStyle name="Normal 8 33" xfId="13347" xr:uid="{00000000-0005-0000-0000-0000EF620000}"/>
    <cellStyle name="Normal 8 33 2" xfId="25537" xr:uid="{00000000-0005-0000-0000-0000F0620000}"/>
    <cellStyle name="Normal 8 34" xfId="13348" xr:uid="{00000000-0005-0000-0000-0000F1620000}"/>
    <cellStyle name="Normal 8 34 2" xfId="25538" xr:uid="{00000000-0005-0000-0000-0000F2620000}"/>
    <cellStyle name="Normal 8 35" xfId="13349" xr:uid="{00000000-0005-0000-0000-0000F3620000}"/>
    <cellStyle name="Normal 8 35 2" xfId="25539" xr:uid="{00000000-0005-0000-0000-0000F4620000}"/>
    <cellStyle name="Normal 8 36" xfId="13350" xr:uid="{00000000-0005-0000-0000-0000F5620000}"/>
    <cellStyle name="Normal 8 36 2" xfId="25540" xr:uid="{00000000-0005-0000-0000-0000F6620000}"/>
    <cellStyle name="Normal 8 37" xfId="13351" xr:uid="{00000000-0005-0000-0000-0000F7620000}"/>
    <cellStyle name="Normal 8 37 2" xfId="25541" xr:uid="{00000000-0005-0000-0000-0000F8620000}"/>
    <cellStyle name="Normal 8 38" xfId="13352" xr:uid="{00000000-0005-0000-0000-0000F9620000}"/>
    <cellStyle name="Normal 8 38 2" xfId="25542" xr:uid="{00000000-0005-0000-0000-0000FA620000}"/>
    <cellStyle name="Normal 8 39" xfId="13353" xr:uid="{00000000-0005-0000-0000-0000FB620000}"/>
    <cellStyle name="Normal 8 39 2" xfId="25543" xr:uid="{00000000-0005-0000-0000-0000FC620000}"/>
    <cellStyle name="Normal 8 4" xfId="301" xr:uid="{00000000-0005-0000-0000-0000FD620000}"/>
    <cellStyle name="Normal 8 4 10" xfId="13354" xr:uid="{00000000-0005-0000-0000-0000FE620000}"/>
    <cellStyle name="Normal 8 4 10 2" xfId="25545" xr:uid="{00000000-0005-0000-0000-0000FF620000}"/>
    <cellStyle name="Normal 8 4 11" xfId="13355" xr:uid="{00000000-0005-0000-0000-000000630000}"/>
    <cellStyle name="Normal 8 4 11 2" xfId="25546" xr:uid="{00000000-0005-0000-0000-000001630000}"/>
    <cellStyle name="Normal 8 4 12" xfId="13356" xr:uid="{00000000-0005-0000-0000-000002630000}"/>
    <cellStyle name="Normal 8 4 12 2" xfId="25547" xr:uid="{00000000-0005-0000-0000-000003630000}"/>
    <cellStyle name="Normal 8 4 13" xfId="13357" xr:uid="{00000000-0005-0000-0000-000004630000}"/>
    <cellStyle name="Normal 8 4 13 2" xfId="25548" xr:uid="{00000000-0005-0000-0000-000005630000}"/>
    <cellStyle name="Normal 8 4 14" xfId="13358" xr:uid="{00000000-0005-0000-0000-000006630000}"/>
    <cellStyle name="Normal 8 4 14 2" xfId="25549" xr:uid="{00000000-0005-0000-0000-000007630000}"/>
    <cellStyle name="Normal 8 4 15" xfId="13359" xr:uid="{00000000-0005-0000-0000-000008630000}"/>
    <cellStyle name="Normal 8 4 15 2" xfId="25550" xr:uid="{00000000-0005-0000-0000-000009630000}"/>
    <cellStyle name="Normal 8 4 16" xfId="13360" xr:uid="{00000000-0005-0000-0000-00000A630000}"/>
    <cellStyle name="Normal 8 4 16 2" xfId="25551" xr:uid="{00000000-0005-0000-0000-00000B630000}"/>
    <cellStyle name="Normal 8 4 17" xfId="13361" xr:uid="{00000000-0005-0000-0000-00000C630000}"/>
    <cellStyle name="Normal 8 4 17 2" xfId="25552" xr:uid="{00000000-0005-0000-0000-00000D630000}"/>
    <cellStyle name="Normal 8 4 18" xfId="13362" xr:uid="{00000000-0005-0000-0000-00000E630000}"/>
    <cellStyle name="Normal 8 4 18 2" xfId="25553" xr:uid="{00000000-0005-0000-0000-00000F630000}"/>
    <cellStyle name="Normal 8 4 19" xfId="13363" xr:uid="{00000000-0005-0000-0000-000010630000}"/>
    <cellStyle name="Normal 8 4 19 2" xfId="25554" xr:uid="{00000000-0005-0000-0000-000011630000}"/>
    <cellStyle name="Normal 8 4 2" xfId="13364" xr:uid="{00000000-0005-0000-0000-000012630000}"/>
    <cellStyle name="Normal 8 4 2 2" xfId="25555" xr:uid="{00000000-0005-0000-0000-000013630000}"/>
    <cellStyle name="Normal 8 4 20" xfId="13365" xr:uid="{00000000-0005-0000-0000-000014630000}"/>
    <cellStyle name="Normal 8 4 20 2" xfId="25556" xr:uid="{00000000-0005-0000-0000-000015630000}"/>
    <cellStyle name="Normal 8 4 21" xfId="13366" xr:uid="{00000000-0005-0000-0000-000016630000}"/>
    <cellStyle name="Normal 8 4 21 2" xfId="25557" xr:uid="{00000000-0005-0000-0000-000017630000}"/>
    <cellStyle name="Normal 8 4 22" xfId="13367" xr:uid="{00000000-0005-0000-0000-000018630000}"/>
    <cellStyle name="Normal 8 4 22 2" xfId="25558" xr:uid="{00000000-0005-0000-0000-000019630000}"/>
    <cellStyle name="Normal 8 4 23" xfId="13368" xr:uid="{00000000-0005-0000-0000-00001A630000}"/>
    <cellStyle name="Normal 8 4 23 2" xfId="25559" xr:uid="{00000000-0005-0000-0000-00001B630000}"/>
    <cellStyle name="Normal 8 4 24" xfId="13369" xr:uid="{00000000-0005-0000-0000-00001C630000}"/>
    <cellStyle name="Normal 8 4 24 2" xfId="25560" xr:uid="{00000000-0005-0000-0000-00001D630000}"/>
    <cellStyle name="Normal 8 4 25" xfId="13370" xr:uid="{00000000-0005-0000-0000-00001E630000}"/>
    <cellStyle name="Normal 8 4 25 2" xfId="25561" xr:uid="{00000000-0005-0000-0000-00001F630000}"/>
    <cellStyle name="Normal 8 4 26" xfId="13371" xr:uid="{00000000-0005-0000-0000-000020630000}"/>
    <cellStyle name="Normal 8 4 26 2" xfId="25562" xr:uid="{00000000-0005-0000-0000-000021630000}"/>
    <cellStyle name="Normal 8 4 27" xfId="13372" xr:uid="{00000000-0005-0000-0000-000022630000}"/>
    <cellStyle name="Normal 8 4 27 2" xfId="25563" xr:uid="{00000000-0005-0000-0000-000023630000}"/>
    <cellStyle name="Normal 8 4 28" xfId="13373" xr:uid="{00000000-0005-0000-0000-000024630000}"/>
    <cellStyle name="Normal 8 4 28 2" xfId="25564" xr:uid="{00000000-0005-0000-0000-000025630000}"/>
    <cellStyle name="Normal 8 4 29" xfId="13374" xr:uid="{00000000-0005-0000-0000-000026630000}"/>
    <cellStyle name="Normal 8 4 29 2" xfId="25565" xr:uid="{00000000-0005-0000-0000-000027630000}"/>
    <cellStyle name="Normal 8 4 3" xfId="13375" xr:uid="{00000000-0005-0000-0000-000028630000}"/>
    <cellStyle name="Normal 8 4 3 2" xfId="25566" xr:uid="{00000000-0005-0000-0000-000029630000}"/>
    <cellStyle name="Normal 8 4 30" xfId="13376" xr:uid="{00000000-0005-0000-0000-00002A630000}"/>
    <cellStyle name="Normal 8 4 30 2" xfId="25567" xr:uid="{00000000-0005-0000-0000-00002B630000}"/>
    <cellStyle name="Normal 8 4 31" xfId="13377" xr:uid="{00000000-0005-0000-0000-00002C630000}"/>
    <cellStyle name="Normal 8 4 31 2" xfId="25568" xr:uid="{00000000-0005-0000-0000-00002D630000}"/>
    <cellStyle name="Normal 8 4 32" xfId="13378" xr:uid="{00000000-0005-0000-0000-00002E630000}"/>
    <cellStyle name="Normal 8 4 32 2" xfId="25569" xr:uid="{00000000-0005-0000-0000-00002F630000}"/>
    <cellStyle name="Normal 8 4 33" xfId="13379" xr:uid="{00000000-0005-0000-0000-000030630000}"/>
    <cellStyle name="Normal 8 4 33 2" xfId="25570" xr:uid="{00000000-0005-0000-0000-000031630000}"/>
    <cellStyle name="Normal 8 4 34" xfId="13380" xr:uid="{00000000-0005-0000-0000-000032630000}"/>
    <cellStyle name="Normal 8 4 34 2" xfId="25571" xr:uid="{00000000-0005-0000-0000-000033630000}"/>
    <cellStyle name="Normal 8 4 35" xfId="13381" xr:uid="{00000000-0005-0000-0000-000034630000}"/>
    <cellStyle name="Normal 8 4 35 2" xfId="25572" xr:uid="{00000000-0005-0000-0000-000035630000}"/>
    <cellStyle name="Normal 8 4 36" xfId="13382" xr:uid="{00000000-0005-0000-0000-000036630000}"/>
    <cellStyle name="Normal 8 4 36 2" xfId="25573" xr:uid="{00000000-0005-0000-0000-000037630000}"/>
    <cellStyle name="Normal 8 4 37" xfId="13383" xr:uid="{00000000-0005-0000-0000-000038630000}"/>
    <cellStyle name="Normal 8 4 37 2" xfId="25574" xr:uid="{00000000-0005-0000-0000-000039630000}"/>
    <cellStyle name="Normal 8 4 38" xfId="13384" xr:uid="{00000000-0005-0000-0000-00003A630000}"/>
    <cellStyle name="Normal 8 4 38 2" xfId="25575" xr:uid="{00000000-0005-0000-0000-00003B630000}"/>
    <cellStyle name="Normal 8 4 39" xfId="13385" xr:uid="{00000000-0005-0000-0000-00003C630000}"/>
    <cellStyle name="Normal 8 4 39 2" xfId="25576" xr:uid="{00000000-0005-0000-0000-00003D630000}"/>
    <cellStyle name="Normal 8 4 4" xfId="13386" xr:uid="{00000000-0005-0000-0000-00003E630000}"/>
    <cellStyle name="Normal 8 4 4 2" xfId="25577" xr:uid="{00000000-0005-0000-0000-00003F630000}"/>
    <cellStyle name="Normal 8 4 40" xfId="13387" xr:uid="{00000000-0005-0000-0000-000040630000}"/>
    <cellStyle name="Normal 8 4 40 2" xfId="25578" xr:uid="{00000000-0005-0000-0000-000041630000}"/>
    <cellStyle name="Normal 8 4 41" xfId="13388" xr:uid="{00000000-0005-0000-0000-000042630000}"/>
    <cellStyle name="Normal 8 4 41 2" xfId="25579" xr:uid="{00000000-0005-0000-0000-000043630000}"/>
    <cellStyle name="Normal 8 4 42" xfId="13389" xr:uid="{00000000-0005-0000-0000-000044630000}"/>
    <cellStyle name="Normal 8 4 42 2" xfId="25580" xr:uid="{00000000-0005-0000-0000-000045630000}"/>
    <cellStyle name="Normal 8 4 43" xfId="13390" xr:uid="{00000000-0005-0000-0000-000046630000}"/>
    <cellStyle name="Normal 8 4 43 2" xfId="25581" xr:uid="{00000000-0005-0000-0000-000047630000}"/>
    <cellStyle name="Normal 8 4 44" xfId="13391" xr:uid="{00000000-0005-0000-0000-000048630000}"/>
    <cellStyle name="Normal 8 4 44 2" xfId="25582" xr:uid="{00000000-0005-0000-0000-000049630000}"/>
    <cellStyle name="Normal 8 4 45" xfId="13392" xr:uid="{00000000-0005-0000-0000-00004A630000}"/>
    <cellStyle name="Normal 8 4 45 2" xfId="25583" xr:uid="{00000000-0005-0000-0000-00004B630000}"/>
    <cellStyle name="Normal 8 4 46" xfId="13393" xr:uid="{00000000-0005-0000-0000-00004C630000}"/>
    <cellStyle name="Normal 8 4 46 2" xfId="25584" xr:uid="{00000000-0005-0000-0000-00004D630000}"/>
    <cellStyle name="Normal 8 4 47" xfId="13394" xr:uid="{00000000-0005-0000-0000-00004E630000}"/>
    <cellStyle name="Normal 8 4 47 2" xfId="25585" xr:uid="{00000000-0005-0000-0000-00004F630000}"/>
    <cellStyle name="Normal 8 4 48" xfId="13395" xr:uid="{00000000-0005-0000-0000-000050630000}"/>
    <cellStyle name="Normal 8 4 48 2" xfId="25586" xr:uid="{00000000-0005-0000-0000-000051630000}"/>
    <cellStyle name="Normal 8 4 49" xfId="13396" xr:uid="{00000000-0005-0000-0000-000052630000}"/>
    <cellStyle name="Normal 8 4 49 2" xfId="25587" xr:uid="{00000000-0005-0000-0000-000053630000}"/>
    <cellStyle name="Normal 8 4 5" xfId="13397" xr:uid="{00000000-0005-0000-0000-000054630000}"/>
    <cellStyle name="Normal 8 4 5 2" xfId="25588" xr:uid="{00000000-0005-0000-0000-000055630000}"/>
    <cellStyle name="Normal 8 4 50" xfId="13398" xr:uid="{00000000-0005-0000-0000-000056630000}"/>
    <cellStyle name="Normal 8 4 50 2" xfId="25589" xr:uid="{00000000-0005-0000-0000-000057630000}"/>
    <cellStyle name="Normal 8 4 51" xfId="13399" xr:uid="{00000000-0005-0000-0000-000058630000}"/>
    <cellStyle name="Normal 8 4 51 2" xfId="25590" xr:uid="{00000000-0005-0000-0000-000059630000}"/>
    <cellStyle name="Normal 8 4 52" xfId="13400" xr:uid="{00000000-0005-0000-0000-00005A630000}"/>
    <cellStyle name="Normal 8 4 52 2" xfId="25591" xr:uid="{00000000-0005-0000-0000-00005B630000}"/>
    <cellStyle name="Normal 8 4 53" xfId="13401" xr:uid="{00000000-0005-0000-0000-00005C630000}"/>
    <cellStyle name="Normal 8 4 53 2" xfId="25592" xr:uid="{00000000-0005-0000-0000-00005D630000}"/>
    <cellStyle name="Normal 8 4 54" xfId="13402" xr:uid="{00000000-0005-0000-0000-00005E630000}"/>
    <cellStyle name="Normal 8 4 54 2" xfId="25593" xr:uid="{00000000-0005-0000-0000-00005F630000}"/>
    <cellStyle name="Normal 8 4 55" xfId="13403" xr:uid="{00000000-0005-0000-0000-000060630000}"/>
    <cellStyle name="Normal 8 4 55 2" xfId="25594" xr:uid="{00000000-0005-0000-0000-000061630000}"/>
    <cellStyle name="Normal 8 4 56" xfId="13404" xr:uid="{00000000-0005-0000-0000-000062630000}"/>
    <cellStyle name="Normal 8 4 56 2" xfId="25595" xr:uid="{00000000-0005-0000-0000-000063630000}"/>
    <cellStyle name="Normal 8 4 57" xfId="13405" xr:uid="{00000000-0005-0000-0000-000064630000}"/>
    <cellStyle name="Normal 8 4 57 2" xfId="25596" xr:uid="{00000000-0005-0000-0000-000065630000}"/>
    <cellStyle name="Normal 8 4 58" xfId="13406" xr:uid="{00000000-0005-0000-0000-000066630000}"/>
    <cellStyle name="Normal 8 4 58 2" xfId="25597" xr:uid="{00000000-0005-0000-0000-000067630000}"/>
    <cellStyle name="Normal 8 4 59" xfId="13407" xr:uid="{00000000-0005-0000-0000-000068630000}"/>
    <cellStyle name="Normal 8 4 59 2" xfId="25598" xr:uid="{00000000-0005-0000-0000-000069630000}"/>
    <cellStyle name="Normal 8 4 6" xfId="13408" xr:uid="{00000000-0005-0000-0000-00006A630000}"/>
    <cellStyle name="Normal 8 4 6 2" xfId="25599" xr:uid="{00000000-0005-0000-0000-00006B630000}"/>
    <cellStyle name="Normal 8 4 60" xfId="13409" xr:uid="{00000000-0005-0000-0000-00006C630000}"/>
    <cellStyle name="Normal 8 4 60 2" xfId="25600" xr:uid="{00000000-0005-0000-0000-00006D630000}"/>
    <cellStyle name="Normal 8 4 61" xfId="13410" xr:uid="{00000000-0005-0000-0000-00006E630000}"/>
    <cellStyle name="Normal 8 4 61 2" xfId="25601" xr:uid="{00000000-0005-0000-0000-00006F630000}"/>
    <cellStyle name="Normal 8 4 62" xfId="13411" xr:uid="{00000000-0005-0000-0000-000070630000}"/>
    <cellStyle name="Normal 8 4 62 2" xfId="25602" xr:uid="{00000000-0005-0000-0000-000071630000}"/>
    <cellStyle name="Normal 8 4 63" xfId="13412" xr:uid="{00000000-0005-0000-0000-000072630000}"/>
    <cellStyle name="Normal 8 4 63 2" xfId="25603" xr:uid="{00000000-0005-0000-0000-000073630000}"/>
    <cellStyle name="Normal 8 4 64" xfId="13413" xr:uid="{00000000-0005-0000-0000-000074630000}"/>
    <cellStyle name="Normal 8 4 64 2" xfId="25604" xr:uid="{00000000-0005-0000-0000-000075630000}"/>
    <cellStyle name="Normal 8 4 65" xfId="13414" xr:uid="{00000000-0005-0000-0000-000076630000}"/>
    <cellStyle name="Normal 8 4 65 2" xfId="25605" xr:uid="{00000000-0005-0000-0000-000077630000}"/>
    <cellStyle name="Normal 8 4 66" xfId="13415" xr:uid="{00000000-0005-0000-0000-000078630000}"/>
    <cellStyle name="Normal 8 4 66 2" xfId="25606" xr:uid="{00000000-0005-0000-0000-000079630000}"/>
    <cellStyle name="Normal 8 4 67" xfId="13416" xr:uid="{00000000-0005-0000-0000-00007A630000}"/>
    <cellStyle name="Normal 8 4 67 2" xfId="25607" xr:uid="{00000000-0005-0000-0000-00007B630000}"/>
    <cellStyle name="Normal 8 4 68" xfId="13417" xr:uid="{00000000-0005-0000-0000-00007C630000}"/>
    <cellStyle name="Normal 8 4 68 2" xfId="25608" xr:uid="{00000000-0005-0000-0000-00007D630000}"/>
    <cellStyle name="Normal 8 4 69" xfId="13418" xr:uid="{00000000-0005-0000-0000-00007E630000}"/>
    <cellStyle name="Normal 8 4 69 2" xfId="25609" xr:uid="{00000000-0005-0000-0000-00007F630000}"/>
    <cellStyle name="Normal 8 4 7" xfId="13419" xr:uid="{00000000-0005-0000-0000-000080630000}"/>
    <cellStyle name="Normal 8 4 7 2" xfId="25610" xr:uid="{00000000-0005-0000-0000-000081630000}"/>
    <cellStyle name="Normal 8 4 70" xfId="13420" xr:uid="{00000000-0005-0000-0000-000082630000}"/>
    <cellStyle name="Normal 8 4 70 2" xfId="25611" xr:uid="{00000000-0005-0000-0000-000083630000}"/>
    <cellStyle name="Normal 8 4 71" xfId="13421" xr:uid="{00000000-0005-0000-0000-000084630000}"/>
    <cellStyle name="Normal 8 4 71 2" xfId="25612" xr:uid="{00000000-0005-0000-0000-000085630000}"/>
    <cellStyle name="Normal 8 4 72" xfId="13422" xr:uid="{00000000-0005-0000-0000-000086630000}"/>
    <cellStyle name="Normal 8 4 72 2" xfId="25613" xr:uid="{00000000-0005-0000-0000-000087630000}"/>
    <cellStyle name="Normal 8 4 73" xfId="13423" xr:uid="{00000000-0005-0000-0000-000088630000}"/>
    <cellStyle name="Normal 8 4 73 2" xfId="25614" xr:uid="{00000000-0005-0000-0000-000089630000}"/>
    <cellStyle name="Normal 8 4 74" xfId="13424" xr:uid="{00000000-0005-0000-0000-00008A630000}"/>
    <cellStyle name="Normal 8 4 74 2" xfId="25615" xr:uid="{00000000-0005-0000-0000-00008B630000}"/>
    <cellStyle name="Normal 8 4 75" xfId="13425" xr:uid="{00000000-0005-0000-0000-00008C630000}"/>
    <cellStyle name="Normal 8 4 75 2" xfId="25616" xr:uid="{00000000-0005-0000-0000-00008D630000}"/>
    <cellStyle name="Normal 8 4 76" xfId="13426" xr:uid="{00000000-0005-0000-0000-00008E630000}"/>
    <cellStyle name="Normal 8 4 76 2" xfId="25617" xr:uid="{00000000-0005-0000-0000-00008F630000}"/>
    <cellStyle name="Normal 8 4 77" xfId="13427" xr:uid="{00000000-0005-0000-0000-000090630000}"/>
    <cellStyle name="Normal 8 4 77 2" xfId="25618" xr:uid="{00000000-0005-0000-0000-000091630000}"/>
    <cellStyle name="Normal 8 4 78" xfId="13428" xr:uid="{00000000-0005-0000-0000-000092630000}"/>
    <cellStyle name="Normal 8 4 78 2" xfId="25619" xr:uid="{00000000-0005-0000-0000-000093630000}"/>
    <cellStyle name="Normal 8 4 79" xfId="13429" xr:uid="{00000000-0005-0000-0000-000094630000}"/>
    <cellStyle name="Normal 8 4 79 2" xfId="25620" xr:uid="{00000000-0005-0000-0000-000095630000}"/>
    <cellStyle name="Normal 8 4 8" xfId="13430" xr:uid="{00000000-0005-0000-0000-000096630000}"/>
    <cellStyle name="Normal 8 4 8 2" xfId="25621" xr:uid="{00000000-0005-0000-0000-000097630000}"/>
    <cellStyle name="Normal 8 4 80" xfId="25544" xr:uid="{00000000-0005-0000-0000-000098630000}"/>
    <cellStyle name="Normal 8 4 9" xfId="13431" xr:uid="{00000000-0005-0000-0000-000099630000}"/>
    <cellStyle name="Normal 8 4 9 2" xfId="25622" xr:uid="{00000000-0005-0000-0000-00009A630000}"/>
    <cellStyle name="Normal 8 40" xfId="13432" xr:uid="{00000000-0005-0000-0000-00009B630000}"/>
    <cellStyle name="Normal 8 40 2" xfId="25623" xr:uid="{00000000-0005-0000-0000-00009C630000}"/>
    <cellStyle name="Normal 8 41" xfId="13433" xr:uid="{00000000-0005-0000-0000-00009D630000}"/>
    <cellStyle name="Normal 8 41 2" xfId="25624" xr:uid="{00000000-0005-0000-0000-00009E630000}"/>
    <cellStyle name="Normal 8 42" xfId="13434" xr:uid="{00000000-0005-0000-0000-00009F630000}"/>
    <cellStyle name="Normal 8 42 2" xfId="25625" xr:uid="{00000000-0005-0000-0000-0000A0630000}"/>
    <cellStyle name="Normal 8 43" xfId="13435" xr:uid="{00000000-0005-0000-0000-0000A1630000}"/>
    <cellStyle name="Normal 8 43 2" xfId="25626" xr:uid="{00000000-0005-0000-0000-0000A2630000}"/>
    <cellStyle name="Normal 8 44" xfId="13436" xr:uid="{00000000-0005-0000-0000-0000A3630000}"/>
    <cellStyle name="Normal 8 44 2" xfId="25627" xr:uid="{00000000-0005-0000-0000-0000A4630000}"/>
    <cellStyle name="Normal 8 45" xfId="13437" xr:uid="{00000000-0005-0000-0000-0000A5630000}"/>
    <cellStyle name="Normal 8 45 2" xfId="25628" xr:uid="{00000000-0005-0000-0000-0000A6630000}"/>
    <cellStyle name="Normal 8 46" xfId="13438" xr:uid="{00000000-0005-0000-0000-0000A7630000}"/>
    <cellStyle name="Normal 8 46 2" xfId="25629" xr:uid="{00000000-0005-0000-0000-0000A8630000}"/>
    <cellStyle name="Normal 8 47" xfId="13439" xr:uid="{00000000-0005-0000-0000-0000A9630000}"/>
    <cellStyle name="Normal 8 47 2" xfId="25630" xr:uid="{00000000-0005-0000-0000-0000AA630000}"/>
    <cellStyle name="Normal 8 48" xfId="13440" xr:uid="{00000000-0005-0000-0000-0000AB630000}"/>
    <cellStyle name="Normal 8 48 2" xfId="25631" xr:uid="{00000000-0005-0000-0000-0000AC630000}"/>
    <cellStyle name="Normal 8 49" xfId="13441" xr:uid="{00000000-0005-0000-0000-0000AD630000}"/>
    <cellStyle name="Normal 8 49 2" xfId="25632" xr:uid="{00000000-0005-0000-0000-0000AE630000}"/>
    <cellStyle name="Normal 8 5" xfId="13442" xr:uid="{00000000-0005-0000-0000-0000AF630000}"/>
    <cellStyle name="Normal 8 5 2" xfId="25633" xr:uid="{00000000-0005-0000-0000-0000B0630000}"/>
    <cellStyle name="Normal 8 50" xfId="13443" xr:uid="{00000000-0005-0000-0000-0000B1630000}"/>
    <cellStyle name="Normal 8 50 2" xfId="25634" xr:uid="{00000000-0005-0000-0000-0000B2630000}"/>
    <cellStyle name="Normal 8 51" xfId="13444" xr:uid="{00000000-0005-0000-0000-0000B3630000}"/>
    <cellStyle name="Normal 8 51 2" xfId="25635" xr:uid="{00000000-0005-0000-0000-0000B4630000}"/>
    <cellStyle name="Normal 8 52" xfId="13445" xr:uid="{00000000-0005-0000-0000-0000B5630000}"/>
    <cellStyle name="Normal 8 52 2" xfId="25636" xr:uid="{00000000-0005-0000-0000-0000B6630000}"/>
    <cellStyle name="Normal 8 53" xfId="13446" xr:uid="{00000000-0005-0000-0000-0000B7630000}"/>
    <cellStyle name="Normal 8 53 2" xfId="25637" xr:uid="{00000000-0005-0000-0000-0000B8630000}"/>
    <cellStyle name="Normal 8 54" xfId="13447" xr:uid="{00000000-0005-0000-0000-0000B9630000}"/>
    <cellStyle name="Normal 8 54 2" xfId="25638" xr:uid="{00000000-0005-0000-0000-0000BA630000}"/>
    <cellStyle name="Normal 8 55" xfId="13448" xr:uid="{00000000-0005-0000-0000-0000BB630000}"/>
    <cellStyle name="Normal 8 55 2" xfId="25639" xr:uid="{00000000-0005-0000-0000-0000BC630000}"/>
    <cellStyle name="Normal 8 56" xfId="13449" xr:uid="{00000000-0005-0000-0000-0000BD630000}"/>
    <cellStyle name="Normal 8 56 2" xfId="25640" xr:uid="{00000000-0005-0000-0000-0000BE630000}"/>
    <cellStyle name="Normal 8 57" xfId="13450" xr:uid="{00000000-0005-0000-0000-0000BF630000}"/>
    <cellStyle name="Normal 8 57 2" xfId="25641" xr:uid="{00000000-0005-0000-0000-0000C0630000}"/>
    <cellStyle name="Normal 8 58" xfId="13451" xr:uid="{00000000-0005-0000-0000-0000C1630000}"/>
    <cellStyle name="Normal 8 58 2" xfId="25642" xr:uid="{00000000-0005-0000-0000-0000C2630000}"/>
    <cellStyle name="Normal 8 59" xfId="13452" xr:uid="{00000000-0005-0000-0000-0000C3630000}"/>
    <cellStyle name="Normal 8 59 2" xfId="25643" xr:uid="{00000000-0005-0000-0000-0000C4630000}"/>
    <cellStyle name="Normal 8 6" xfId="13453" xr:uid="{00000000-0005-0000-0000-0000C5630000}"/>
    <cellStyle name="Normal 8 6 2" xfId="25644" xr:uid="{00000000-0005-0000-0000-0000C6630000}"/>
    <cellStyle name="Normal 8 60" xfId="13454" xr:uid="{00000000-0005-0000-0000-0000C7630000}"/>
    <cellStyle name="Normal 8 60 2" xfId="25645" xr:uid="{00000000-0005-0000-0000-0000C8630000}"/>
    <cellStyle name="Normal 8 61" xfId="13455" xr:uid="{00000000-0005-0000-0000-0000C9630000}"/>
    <cellStyle name="Normal 8 61 2" xfId="25646" xr:uid="{00000000-0005-0000-0000-0000CA630000}"/>
    <cellStyle name="Normal 8 62" xfId="13456" xr:uid="{00000000-0005-0000-0000-0000CB630000}"/>
    <cellStyle name="Normal 8 62 2" xfId="25647" xr:uid="{00000000-0005-0000-0000-0000CC630000}"/>
    <cellStyle name="Normal 8 63" xfId="13457" xr:uid="{00000000-0005-0000-0000-0000CD630000}"/>
    <cellStyle name="Normal 8 63 2" xfId="25648" xr:uid="{00000000-0005-0000-0000-0000CE630000}"/>
    <cellStyle name="Normal 8 64" xfId="13458" xr:uid="{00000000-0005-0000-0000-0000CF630000}"/>
    <cellStyle name="Normal 8 64 2" xfId="25649" xr:uid="{00000000-0005-0000-0000-0000D0630000}"/>
    <cellStyle name="Normal 8 65" xfId="13459" xr:uid="{00000000-0005-0000-0000-0000D1630000}"/>
    <cellStyle name="Normal 8 65 2" xfId="25650" xr:uid="{00000000-0005-0000-0000-0000D2630000}"/>
    <cellStyle name="Normal 8 66" xfId="13460" xr:uid="{00000000-0005-0000-0000-0000D3630000}"/>
    <cellStyle name="Normal 8 66 2" xfId="25651" xr:uid="{00000000-0005-0000-0000-0000D4630000}"/>
    <cellStyle name="Normal 8 67" xfId="13461" xr:uid="{00000000-0005-0000-0000-0000D5630000}"/>
    <cellStyle name="Normal 8 67 2" xfId="25652" xr:uid="{00000000-0005-0000-0000-0000D6630000}"/>
    <cellStyle name="Normal 8 68" xfId="13462" xr:uid="{00000000-0005-0000-0000-0000D7630000}"/>
    <cellStyle name="Normal 8 68 2" xfId="25653" xr:uid="{00000000-0005-0000-0000-0000D8630000}"/>
    <cellStyle name="Normal 8 69" xfId="13463" xr:uid="{00000000-0005-0000-0000-0000D9630000}"/>
    <cellStyle name="Normal 8 69 2" xfId="25654" xr:uid="{00000000-0005-0000-0000-0000DA630000}"/>
    <cellStyle name="Normal 8 7" xfId="13464" xr:uid="{00000000-0005-0000-0000-0000DB630000}"/>
    <cellStyle name="Normal 8 7 2" xfId="25655" xr:uid="{00000000-0005-0000-0000-0000DC630000}"/>
    <cellStyle name="Normal 8 70" xfId="13465" xr:uid="{00000000-0005-0000-0000-0000DD630000}"/>
    <cellStyle name="Normal 8 70 2" xfId="25656" xr:uid="{00000000-0005-0000-0000-0000DE630000}"/>
    <cellStyle name="Normal 8 71" xfId="13466" xr:uid="{00000000-0005-0000-0000-0000DF630000}"/>
    <cellStyle name="Normal 8 71 2" xfId="25657" xr:uid="{00000000-0005-0000-0000-0000E0630000}"/>
    <cellStyle name="Normal 8 72" xfId="13467" xr:uid="{00000000-0005-0000-0000-0000E1630000}"/>
    <cellStyle name="Normal 8 72 2" xfId="25658" xr:uid="{00000000-0005-0000-0000-0000E2630000}"/>
    <cellStyle name="Normal 8 73" xfId="13468" xr:uid="{00000000-0005-0000-0000-0000E3630000}"/>
    <cellStyle name="Normal 8 73 2" xfId="25659" xr:uid="{00000000-0005-0000-0000-0000E4630000}"/>
    <cellStyle name="Normal 8 74" xfId="13469" xr:uid="{00000000-0005-0000-0000-0000E5630000}"/>
    <cellStyle name="Normal 8 74 2" xfId="25660" xr:uid="{00000000-0005-0000-0000-0000E6630000}"/>
    <cellStyle name="Normal 8 75" xfId="13470" xr:uid="{00000000-0005-0000-0000-0000E7630000}"/>
    <cellStyle name="Normal 8 75 2" xfId="25661" xr:uid="{00000000-0005-0000-0000-0000E8630000}"/>
    <cellStyle name="Normal 8 76" xfId="13471" xr:uid="{00000000-0005-0000-0000-0000E9630000}"/>
    <cellStyle name="Normal 8 76 2" xfId="25662" xr:uid="{00000000-0005-0000-0000-0000EA630000}"/>
    <cellStyle name="Normal 8 77" xfId="13472" xr:uid="{00000000-0005-0000-0000-0000EB630000}"/>
    <cellStyle name="Normal 8 77 2" xfId="25663" xr:uid="{00000000-0005-0000-0000-0000EC630000}"/>
    <cellStyle name="Normal 8 78" xfId="13473" xr:uid="{00000000-0005-0000-0000-0000ED630000}"/>
    <cellStyle name="Normal 8 78 2" xfId="25664" xr:uid="{00000000-0005-0000-0000-0000EE630000}"/>
    <cellStyle name="Normal 8 79" xfId="13474" xr:uid="{00000000-0005-0000-0000-0000EF630000}"/>
    <cellStyle name="Normal 8 79 2" xfId="25665" xr:uid="{00000000-0005-0000-0000-0000F0630000}"/>
    <cellStyle name="Normal 8 8" xfId="13475" xr:uid="{00000000-0005-0000-0000-0000F1630000}"/>
    <cellStyle name="Normal 8 8 2" xfId="25666" xr:uid="{00000000-0005-0000-0000-0000F2630000}"/>
    <cellStyle name="Normal 8 80" xfId="13476" xr:uid="{00000000-0005-0000-0000-0000F3630000}"/>
    <cellStyle name="Normal 8 80 2" xfId="25667" xr:uid="{00000000-0005-0000-0000-0000F4630000}"/>
    <cellStyle name="Normal 8 81" xfId="13477" xr:uid="{00000000-0005-0000-0000-0000F5630000}"/>
    <cellStyle name="Normal 8 81 2" xfId="25668" xr:uid="{00000000-0005-0000-0000-0000F6630000}"/>
    <cellStyle name="Normal 8 82" xfId="13478" xr:uid="{00000000-0005-0000-0000-0000F7630000}"/>
    <cellStyle name="Normal 8 82 2" xfId="25669" xr:uid="{00000000-0005-0000-0000-0000F8630000}"/>
    <cellStyle name="Normal 8 83" xfId="15052" xr:uid="{00000000-0005-0000-0000-0000F9630000}"/>
    <cellStyle name="Normal 8 9" xfId="13479" xr:uid="{00000000-0005-0000-0000-0000FA630000}"/>
    <cellStyle name="Normal 8 9 2" xfId="25670" xr:uid="{00000000-0005-0000-0000-0000FB630000}"/>
    <cellStyle name="Normal 80" xfId="206" xr:uid="{00000000-0005-0000-0000-0000FC630000}"/>
    <cellStyle name="Normal 80 10" xfId="13480" xr:uid="{00000000-0005-0000-0000-0000FD630000}"/>
    <cellStyle name="Normal 80 10 2" xfId="25672" xr:uid="{00000000-0005-0000-0000-0000FE630000}"/>
    <cellStyle name="Normal 80 11" xfId="13481" xr:uid="{00000000-0005-0000-0000-0000FF630000}"/>
    <cellStyle name="Normal 80 11 2" xfId="25673" xr:uid="{00000000-0005-0000-0000-000000640000}"/>
    <cellStyle name="Normal 80 12" xfId="13482" xr:uid="{00000000-0005-0000-0000-000001640000}"/>
    <cellStyle name="Normal 80 12 2" xfId="25674" xr:uid="{00000000-0005-0000-0000-000002640000}"/>
    <cellStyle name="Normal 80 13" xfId="13483" xr:uid="{00000000-0005-0000-0000-000003640000}"/>
    <cellStyle name="Normal 80 13 2" xfId="25675" xr:uid="{00000000-0005-0000-0000-000004640000}"/>
    <cellStyle name="Normal 80 14" xfId="13484" xr:uid="{00000000-0005-0000-0000-000005640000}"/>
    <cellStyle name="Normal 80 14 2" xfId="25676" xr:uid="{00000000-0005-0000-0000-000006640000}"/>
    <cellStyle name="Normal 80 15" xfId="13485" xr:uid="{00000000-0005-0000-0000-000007640000}"/>
    <cellStyle name="Normal 80 15 2" xfId="25677" xr:uid="{00000000-0005-0000-0000-000008640000}"/>
    <cellStyle name="Normal 80 16" xfId="13486" xr:uid="{00000000-0005-0000-0000-000009640000}"/>
    <cellStyle name="Normal 80 16 2" xfId="25678" xr:uid="{00000000-0005-0000-0000-00000A640000}"/>
    <cellStyle name="Normal 80 17" xfId="13487" xr:uid="{00000000-0005-0000-0000-00000B640000}"/>
    <cellStyle name="Normal 80 17 2" xfId="25679" xr:uid="{00000000-0005-0000-0000-00000C640000}"/>
    <cellStyle name="Normal 80 18" xfId="13488" xr:uid="{00000000-0005-0000-0000-00000D640000}"/>
    <cellStyle name="Normal 80 18 2" xfId="25680" xr:uid="{00000000-0005-0000-0000-00000E640000}"/>
    <cellStyle name="Normal 80 19" xfId="13489" xr:uid="{00000000-0005-0000-0000-00000F640000}"/>
    <cellStyle name="Normal 80 19 2" xfId="25681" xr:uid="{00000000-0005-0000-0000-000010640000}"/>
    <cellStyle name="Normal 80 2" xfId="771" xr:uid="{00000000-0005-0000-0000-000011640000}"/>
    <cellStyle name="Normal 80 2 2" xfId="25682" xr:uid="{00000000-0005-0000-0000-000012640000}"/>
    <cellStyle name="Normal 80 2 3" xfId="13490" xr:uid="{00000000-0005-0000-0000-000013640000}"/>
    <cellStyle name="Normal 80 20" xfId="13491" xr:uid="{00000000-0005-0000-0000-000014640000}"/>
    <cellStyle name="Normal 80 20 2" xfId="25683" xr:uid="{00000000-0005-0000-0000-000015640000}"/>
    <cellStyle name="Normal 80 21" xfId="13492" xr:uid="{00000000-0005-0000-0000-000016640000}"/>
    <cellStyle name="Normal 80 21 2" xfId="25684" xr:uid="{00000000-0005-0000-0000-000017640000}"/>
    <cellStyle name="Normal 80 22" xfId="13493" xr:uid="{00000000-0005-0000-0000-000018640000}"/>
    <cellStyle name="Normal 80 22 2" xfId="25685" xr:uid="{00000000-0005-0000-0000-000019640000}"/>
    <cellStyle name="Normal 80 23" xfId="13494" xr:uid="{00000000-0005-0000-0000-00001A640000}"/>
    <cellStyle name="Normal 80 23 2" xfId="25686" xr:uid="{00000000-0005-0000-0000-00001B640000}"/>
    <cellStyle name="Normal 80 24" xfId="13495" xr:uid="{00000000-0005-0000-0000-00001C640000}"/>
    <cellStyle name="Normal 80 24 2" xfId="25687" xr:uid="{00000000-0005-0000-0000-00001D640000}"/>
    <cellStyle name="Normal 80 25" xfId="13496" xr:uid="{00000000-0005-0000-0000-00001E640000}"/>
    <cellStyle name="Normal 80 25 2" xfId="25688" xr:uid="{00000000-0005-0000-0000-00001F640000}"/>
    <cellStyle name="Normal 80 26" xfId="13497" xr:uid="{00000000-0005-0000-0000-000020640000}"/>
    <cellStyle name="Normal 80 26 2" xfId="25689" xr:uid="{00000000-0005-0000-0000-000021640000}"/>
    <cellStyle name="Normal 80 27" xfId="13498" xr:uid="{00000000-0005-0000-0000-000022640000}"/>
    <cellStyle name="Normal 80 27 2" xfId="25690" xr:uid="{00000000-0005-0000-0000-000023640000}"/>
    <cellStyle name="Normal 80 28" xfId="13499" xr:uid="{00000000-0005-0000-0000-000024640000}"/>
    <cellStyle name="Normal 80 28 2" xfId="25691" xr:uid="{00000000-0005-0000-0000-000025640000}"/>
    <cellStyle name="Normal 80 29" xfId="13500" xr:uid="{00000000-0005-0000-0000-000026640000}"/>
    <cellStyle name="Normal 80 29 2" xfId="25692" xr:uid="{00000000-0005-0000-0000-000027640000}"/>
    <cellStyle name="Normal 80 3" xfId="421" xr:uid="{00000000-0005-0000-0000-000028640000}"/>
    <cellStyle name="Normal 80 3 2" xfId="25693" xr:uid="{00000000-0005-0000-0000-000029640000}"/>
    <cellStyle name="Normal 80 30" xfId="13501" xr:uid="{00000000-0005-0000-0000-00002A640000}"/>
    <cellStyle name="Normal 80 30 2" xfId="25694" xr:uid="{00000000-0005-0000-0000-00002B640000}"/>
    <cellStyle name="Normal 80 31" xfId="13502" xr:uid="{00000000-0005-0000-0000-00002C640000}"/>
    <cellStyle name="Normal 80 31 2" xfId="25695" xr:uid="{00000000-0005-0000-0000-00002D640000}"/>
    <cellStyle name="Normal 80 32" xfId="13503" xr:uid="{00000000-0005-0000-0000-00002E640000}"/>
    <cellStyle name="Normal 80 32 2" xfId="25696" xr:uid="{00000000-0005-0000-0000-00002F640000}"/>
    <cellStyle name="Normal 80 33" xfId="13504" xr:uid="{00000000-0005-0000-0000-000030640000}"/>
    <cellStyle name="Normal 80 33 2" xfId="25697" xr:uid="{00000000-0005-0000-0000-000031640000}"/>
    <cellStyle name="Normal 80 34" xfId="13505" xr:uid="{00000000-0005-0000-0000-000032640000}"/>
    <cellStyle name="Normal 80 34 2" xfId="25698" xr:uid="{00000000-0005-0000-0000-000033640000}"/>
    <cellStyle name="Normal 80 35" xfId="13506" xr:uid="{00000000-0005-0000-0000-000034640000}"/>
    <cellStyle name="Normal 80 35 2" xfId="25699" xr:uid="{00000000-0005-0000-0000-000035640000}"/>
    <cellStyle name="Normal 80 36" xfId="13507" xr:uid="{00000000-0005-0000-0000-000036640000}"/>
    <cellStyle name="Normal 80 36 2" xfId="25700" xr:uid="{00000000-0005-0000-0000-000037640000}"/>
    <cellStyle name="Normal 80 37" xfId="13508" xr:uid="{00000000-0005-0000-0000-000038640000}"/>
    <cellStyle name="Normal 80 37 2" xfId="25701" xr:uid="{00000000-0005-0000-0000-000039640000}"/>
    <cellStyle name="Normal 80 38" xfId="13509" xr:uid="{00000000-0005-0000-0000-00003A640000}"/>
    <cellStyle name="Normal 80 38 2" xfId="25702" xr:uid="{00000000-0005-0000-0000-00003B640000}"/>
    <cellStyle name="Normal 80 39" xfId="13510" xr:uid="{00000000-0005-0000-0000-00003C640000}"/>
    <cellStyle name="Normal 80 39 2" xfId="25703" xr:uid="{00000000-0005-0000-0000-00003D640000}"/>
    <cellStyle name="Normal 80 4" xfId="13511" xr:uid="{00000000-0005-0000-0000-00003E640000}"/>
    <cellStyle name="Normal 80 4 2" xfId="25704" xr:uid="{00000000-0005-0000-0000-00003F640000}"/>
    <cellStyle name="Normal 80 40" xfId="13512" xr:uid="{00000000-0005-0000-0000-000040640000}"/>
    <cellStyle name="Normal 80 40 2" xfId="25705" xr:uid="{00000000-0005-0000-0000-000041640000}"/>
    <cellStyle name="Normal 80 41" xfId="13513" xr:uid="{00000000-0005-0000-0000-000042640000}"/>
    <cellStyle name="Normal 80 41 2" xfId="25706" xr:uid="{00000000-0005-0000-0000-000043640000}"/>
    <cellStyle name="Normal 80 42" xfId="13514" xr:uid="{00000000-0005-0000-0000-000044640000}"/>
    <cellStyle name="Normal 80 42 2" xfId="25707" xr:uid="{00000000-0005-0000-0000-000045640000}"/>
    <cellStyle name="Normal 80 43" xfId="13515" xr:uid="{00000000-0005-0000-0000-000046640000}"/>
    <cellStyle name="Normal 80 43 2" xfId="25708" xr:uid="{00000000-0005-0000-0000-000047640000}"/>
    <cellStyle name="Normal 80 44" xfId="13516" xr:uid="{00000000-0005-0000-0000-000048640000}"/>
    <cellStyle name="Normal 80 44 2" xfId="25709" xr:uid="{00000000-0005-0000-0000-000049640000}"/>
    <cellStyle name="Normal 80 45" xfId="13517" xr:uid="{00000000-0005-0000-0000-00004A640000}"/>
    <cellStyle name="Normal 80 45 2" xfId="25710" xr:uid="{00000000-0005-0000-0000-00004B640000}"/>
    <cellStyle name="Normal 80 46" xfId="13518" xr:uid="{00000000-0005-0000-0000-00004C640000}"/>
    <cellStyle name="Normal 80 46 2" xfId="25711" xr:uid="{00000000-0005-0000-0000-00004D640000}"/>
    <cellStyle name="Normal 80 47" xfId="13519" xr:uid="{00000000-0005-0000-0000-00004E640000}"/>
    <cellStyle name="Normal 80 47 2" xfId="25712" xr:uid="{00000000-0005-0000-0000-00004F640000}"/>
    <cellStyle name="Normal 80 48" xfId="13520" xr:uid="{00000000-0005-0000-0000-000050640000}"/>
    <cellStyle name="Normal 80 48 2" xfId="25713" xr:uid="{00000000-0005-0000-0000-000051640000}"/>
    <cellStyle name="Normal 80 49" xfId="13521" xr:uid="{00000000-0005-0000-0000-000052640000}"/>
    <cellStyle name="Normal 80 49 2" xfId="25714" xr:uid="{00000000-0005-0000-0000-000053640000}"/>
    <cellStyle name="Normal 80 5" xfId="13522" xr:uid="{00000000-0005-0000-0000-000054640000}"/>
    <cellStyle name="Normal 80 5 2" xfId="25715" xr:uid="{00000000-0005-0000-0000-000055640000}"/>
    <cellStyle name="Normal 80 50" xfId="13523" xr:uid="{00000000-0005-0000-0000-000056640000}"/>
    <cellStyle name="Normal 80 50 2" xfId="25716" xr:uid="{00000000-0005-0000-0000-000057640000}"/>
    <cellStyle name="Normal 80 51" xfId="13524" xr:uid="{00000000-0005-0000-0000-000058640000}"/>
    <cellStyle name="Normal 80 51 2" xfId="25717" xr:uid="{00000000-0005-0000-0000-000059640000}"/>
    <cellStyle name="Normal 80 52" xfId="13525" xr:uid="{00000000-0005-0000-0000-00005A640000}"/>
    <cellStyle name="Normal 80 52 2" xfId="25718" xr:uid="{00000000-0005-0000-0000-00005B640000}"/>
    <cellStyle name="Normal 80 53" xfId="13526" xr:uid="{00000000-0005-0000-0000-00005C640000}"/>
    <cellStyle name="Normal 80 53 2" xfId="25719" xr:uid="{00000000-0005-0000-0000-00005D640000}"/>
    <cellStyle name="Normal 80 54" xfId="13527" xr:uid="{00000000-0005-0000-0000-00005E640000}"/>
    <cellStyle name="Normal 80 54 2" xfId="25720" xr:uid="{00000000-0005-0000-0000-00005F640000}"/>
    <cellStyle name="Normal 80 55" xfId="13528" xr:uid="{00000000-0005-0000-0000-000060640000}"/>
    <cellStyle name="Normal 80 55 2" xfId="25721" xr:uid="{00000000-0005-0000-0000-000061640000}"/>
    <cellStyle name="Normal 80 56" xfId="13529" xr:uid="{00000000-0005-0000-0000-000062640000}"/>
    <cellStyle name="Normal 80 56 2" xfId="25722" xr:uid="{00000000-0005-0000-0000-000063640000}"/>
    <cellStyle name="Normal 80 57" xfId="13530" xr:uid="{00000000-0005-0000-0000-000064640000}"/>
    <cellStyle name="Normal 80 57 2" xfId="25723" xr:uid="{00000000-0005-0000-0000-000065640000}"/>
    <cellStyle name="Normal 80 58" xfId="13531" xr:uid="{00000000-0005-0000-0000-000066640000}"/>
    <cellStyle name="Normal 80 58 2" xfId="25724" xr:uid="{00000000-0005-0000-0000-000067640000}"/>
    <cellStyle name="Normal 80 59" xfId="13532" xr:uid="{00000000-0005-0000-0000-000068640000}"/>
    <cellStyle name="Normal 80 59 2" xfId="25725" xr:uid="{00000000-0005-0000-0000-000069640000}"/>
    <cellStyle name="Normal 80 6" xfId="13533" xr:uid="{00000000-0005-0000-0000-00006A640000}"/>
    <cellStyle name="Normal 80 6 2" xfId="25726" xr:uid="{00000000-0005-0000-0000-00006B640000}"/>
    <cellStyle name="Normal 80 60" xfId="13534" xr:uid="{00000000-0005-0000-0000-00006C640000}"/>
    <cellStyle name="Normal 80 60 2" xfId="25727" xr:uid="{00000000-0005-0000-0000-00006D640000}"/>
    <cellStyle name="Normal 80 61" xfId="13535" xr:uid="{00000000-0005-0000-0000-00006E640000}"/>
    <cellStyle name="Normal 80 61 2" xfId="25728" xr:uid="{00000000-0005-0000-0000-00006F640000}"/>
    <cellStyle name="Normal 80 62" xfId="13536" xr:uid="{00000000-0005-0000-0000-000070640000}"/>
    <cellStyle name="Normal 80 62 2" xfId="25729" xr:uid="{00000000-0005-0000-0000-000071640000}"/>
    <cellStyle name="Normal 80 63" xfId="13537" xr:uid="{00000000-0005-0000-0000-000072640000}"/>
    <cellStyle name="Normal 80 63 2" xfId="25730" xr:uid="{00000000-0005-0000-0000-000073640000}"/>
    <cellStyle name="Normal 80 64" xfId="13538" xr:uid="{00000000-0005-0000-0000-000074640000}"/>
    <cellStyle name="Normal 80 64 2" xfId="25731" xr:uid="{00000000-0005-0000-0000-000075640000}"/>
    <cellStyle name="Normal 80 65" xfId="13539" xr:uid="{00000000-0005-0000-0000-000076640000}"/>
    <cellStyle name="Normal 80 65 2" xfId="25732" xr:uid="{00000000-0005-0000-0000-000077640000}"/>
    <cellStyle name="Normal 80 66" xfId="13540" xr:uid="{00000000-0005-0000-0000-000078640000}"/>
    <cellStyle name="Normal 80 66 2" xfId="25733" xr:uid="{00000000-0005-0000-0000-000079640000}"/>
    <cellStyle name="Normal 80 67" xfId="13541" xr:uid="{00000000-0005-0000-0000-00007A640000}"/>
    <cellStyle name="Normal 80 67 2" xfId="25734" xr:uid="{00000000-0005-0000-0000-00007B640000}"/>
    <cellStyle name="Normal 80 68" xfId="13542" xr:uid="{00000000-0005-0000-0000-00007C640000}"/>
    <cellStyle name="Normal 80 68 2" xfId="25735" xr:uid="{00000000-0005-0000-0000-00007D640000}"/>
    <cellStyle name="Normal 80 69" xfId="13543" xr:uid="{00000000-0005-0000-0000-00007E640000}"/>
    <cellStyle name="Normal 80 69 2" xfId="25736" xr:uid="{00000000-0005-0000-0000-00007F640000}"/>
    <cellStyle name="Normal 80 7" xfId="13544" xr:uid="{00000000-0005-0000-0000-000080640000}"/>
    <cellStyle name="Normal 80 7 2" xfId="25737" xr:uid="{00000000-0005-0000-0000-000081640000}"/>
    <cellStyle name="Normal 80 70" xfId="13545" xr:uid="{00000000-0005-0000-0000-000082640000}"/>
    <cellStyle name="Normal 80 70 2" xfId="25738" xr:uid="{00000000-0005-0000-0000-000083640000}"/>
    <cellStyle name="Normal 80 71" xfId="13546" xr:uid="{00000000-0005-0000-0000-000084640000}"/>
    <cellStyle name="Normal 80 71 2" xfId="25739" xr:uid="{00000000-0005-0000-0000-000085640000}"/>
    <cellStyle name="Normal 80 72" xfId="13547" xr:uid="{00000000-0005-0000-0000-000086640000}"/>
    <cellStyle name="Normal 80 72 2" xfId="25740" xr:uid="{00000000-0005-0000-0000-000087640000}"/>
    <cellStyle name="Normal 80 73" xfId="13548" xr:uid="{00000000-0005-0000-0000-000088640000}"/>
    <cellStyle name="Normal 80 73 2" xfId="25741" xr:uid="{00000000-0005-0000-0000-000089640000}"/>
    <cellStyle name="Normal 80 74" xfId="13549" xr:uid="{00000000-0005-0000-0000-00008A640000}"/>
    <cellStyle name="Normal 80 74 2" xfId="25742" xr:uid="{00000000-0005-0000-0000-00008B640000}"/>
    <cellStyle name="Normal 80 75" xfId="13550" xr:uid="{00000000-0005-0000-0000-00008C640000}"/>
    <cellStyle name="Normal 80 75 2" xfId="25743" xr:uid="{00000000-0005-0000-0000-00008D640000}"/>
    <cellStyle name="Normal 80 76" xfId="13551" xr:uid="{00000000-0005-0000-0000-00008E640000}"/>
    <cellStyle name="Normal 80 76 2" xfId="25744" xr:uid="{00000000-0005-0000-0000-00008F640000}"/>
    <cellStyle name="Normal 80 77" xfId="13552" xr:uid="{00000000-0005-0000-0000-000090640000}"/>
    <cellStyle name="Normal 80 77 2" xfId="25745" xr:uid="{00000000-0005-0000-0000-000091640000}"/>
    <cellStyle name="Normal 80 78" xfId="13553" xr:uid="{00000000-0005-0000-0000-000092640000}"/>
    <cellStyle name="Normal 80 78 2" xfId="25746" xr:uid="{00000000-0005-0000-0000-000093640000}"/>
    <cellStyle name="Normal 80 79" xfId="13554" xr:uid="{00000000-0005-0000-0000-000094640000}"/>
    <cellStyle name="Normal 80 79 2" xfId="25747" xr:uid="{00000000-0005-0000-0000-000095640000}"/>
    <cellStyle name="Normal 80 8" xfId="13555" xr:uid="{00000000-0005-0000-0000-000096640000}"/>
    <cellStyle name="Normal 80 8 2" xfId="25748" xr:uid="{00000000-0005-0000-0000-000097640000}"/>
    <cellStyle name="Normal 80 80" xfId="25671" xr:uid="{00000000-0005-0000-0000-000098640000}"/>
    <cellStyle name="Normal 80 9" xfId="13556" xr:uid="{00000000-0005-0000-0000-000099640000}"/>
    <cellStyle name="Normal 80 9 2" xfId="25749" xr:uid="{00000000-0005-0000-0000-00009A640000}"/>
    <cellStyle name="Normal 81" xfId="67" xr:uid="{00000000-0005-0000-0000-00009B640000}"/>
    <cellStyle name="Normal 81 10" xfId="13557" xr:uid="{00000000-0005-0000-0000-00009C640000}"/>
    <cellStyle name="Normal 81 10 2" xfId="25751" xr:uid="{00000000-0005-0000-0000-00009D640000}"/>
    <cellStyle name="Normal 81 11" xfId="13558" xr:uid="{00000000-0005-0000-0000-00009E640000}"/>
    <cellStyle name="Normal 81 11 2" xfId="25752" xr:uid="{00000000-0005-0000-0000-00009F640000}"/>
    <cellStyle name="Normal 81 12" xfId="13559" xr:uid="{00000000-0005-0000-0000-0000A0640000}"/>
    <cellStyle name="Normal 81 12 2" xfId="25753" xr:uid="{00000000-0005-0000-0000-0000A1640000}"/>
    <cellStyle name="Normal 81 13" xfId="13560" xr:uid="{00000000-0005-0000-0000-0000A2640000}"/>
    <cellStyle name="Normal 81 13 2" xfId="25754" xr:uid="{00000000-0005-0000-0000-0000A3640000}"/>
    <cellStyle name="Normal 81 14" xfId="13561" xr:uid="{00000000-0005-0000-0000-0000A4640000}"/>
    <cellStyle name="Normal 81 14 2" xfId="25755" xr:uid="{00000000-0005-0000-0000-0000A5640000}"/>
    <cellStyle name="Normal 81 15" xfId="13562" xr:uid="{00000000-0005-0000-0000-0000A6640000}"/>
    <cellStyle name="Normal 81 15 2" xfId="25756" xr:uid="{00000000-0005-0000-0000-0000A7640000}"/>
    <cellStyle name="Normal 81 16" xfId="13563" xr:uid="{00000000-0005-0000-0000-0000A8640000}"/>
    <cellStyle name="Normal 81 16 2" xfId="25757" xr:uid="{00000000-0005-0000-0000-0000A9640000}"/>
    <cellStyle name="Normal 81 17" xfId="13564" xr:uid="{00000000-0005-0000-0000-0000AA640000}"/>
    <cellStyle name="Normal 81 17 2" xfId="25758" xr:uid="{00000000-0005-0000-0000-0000AB640000}"/>
    <cellStyle name="Normal 81 18" xfId="13565" xr:uid="{00000000-0005-0000-0000-0000AC640000}"/>
    <cellStyle name="Normal 81 18 2" xfId="25759" xr:uid="{00000000-0005-0000-0000-0000AD640000}"/>
    <cellStyle name="Normal 81 19" xfId="13566" xr:uid="{00000000-0005-0000-0000-0000AE640000}"/>
    <cellStyle name="Normal 81 19 2" xfId="25760" xr:uid="{00000000-0005-0000-0000-0000AF640000}"/>
    <cellStyle name="Normal 81 2" xfId="772" xr:uid="{00000000-0005-0000-0000-0000B0640000}"/>
    <cellStyle name="Normal 81 2 2" xfId="25761" xr:uid="{00000000-0005-0000-0000-0000B1640000}"/>
    <cellStyle name="Normal 81 2 3" xfId="13567" xr:uid="{00000000-0005-0000-0000-0000B2640000}"/>
    <cellStyle name="Normal 81 20" xfId="13568" xr:uid="{00000000-0005-0000-0000-0000B3640000}"/>
    <cellStyle name="Normal 81 20 2" xfId="25762" xr:uid="{00000000-0005-0000-0000-0000B4640000}"/>
    <cellStyle name="Normal 81 21" xfId="13569" xr:uid="{00000000-0005-0000-0000-0000B5640000}"/>
    <cellStyle name="Normal 81 21 2" xfId="25763" xr:uid="{00000000-0005-0000-0000-0000B6640000}"/>
    <cellStyle name="Normal 81 22" xfId="13570" xr:uid="{00000000-0005-0000-0000-0000B7640000}"/>
    <cellStyle name="Normal 81 22 2" xfId="25764" xr:uid="{00000000-0005-0000-0000-0000B8640000}"/>
    <cellStyle name="Normal 81 23" xfId="13571" xr:uid="{00000000-0005-0000-0000-0000B9640000}"/>
    <cellStyle name="Normal 81 23 2" xfId="25765" xr:uid="{00000000-0005-0000-0000-0000BA640000}"/>
    <cellStyle name="Normal 81 24" xfId="13572" xr:uid="{00000000-0005-0000-0000-0000BB640000}"/>
    <cellStyle name="Normal 81 24 2" xfId="25766" xr:uid="{00000000-0005-0000-0000-0000BC640000}"/>
    <cellStyle name="Normal 81 25" xfId="13573" xr:uid="{00000000-0005-0000-0000-0000BD640000}"/>
    <cellStyle name="Normal 81 25 2" xfId="25767" xr:uid="{00000000-0005-0000-0000-0000BE640000}"/>
    <cellStyle name="Normal 81 26" xfId="13574" xr:uid="{00000000-0005-0000-0000-0000BF640000}"/>
    <cellStyle name="Normal 81 26 2" xfId="25768" xr:uid="{00000000-0005-0000-0000-0000C0640000}"/>
    <cellStyle name="Normal 81 27" xfId="13575" xr:uid="{00000000-0005-0000-0000-0000C1640000}"/>
    <cellStyle name="Normal 81 27 2" xfId="25769" xr:uid="{00000000-0005-0000-0000-0000C2640000}"/>
    <cellStyle name="Normal 81 28" xfId="13576" xr:uid="{00000000-0005-0000-0000-0000C3640000}"/>
    <cellStyle name="Normal 81 28 2" xfId="25770" xr:uid="{00000000-0005-0000-0000-0000C4640000}"/>
    <cellStyle name="Normal 81 29" xfId="13577" xr:uid="{00000000-0005-0000-0000-0000C5640000}"/>
    <cellStyle name="Normal 81 29 2" xfId="25771" xr:uid="{00000000-0005-0000-0000-0000C6640000}"/>
    <cellStyle name="Normal 81 3" xfId="422" xr:uid="{00000000-0005-0000-0000-0000C7640000}"/>
    <cellStyle name="Normal 81 3 2" xfId="25772" xr:uid="{00000000-0005-0000-0000-0000C8640000}"/>
    <cellStyle name="Normal 81 30" xfId="13578" xr:uid="{00000000-0005-0000-0000-0000C9640000}"/>
    <cellStyle name="Normal 81 30 2" xfId="25773" xr:uid="{00000000-0005-0000-0000-0000CA640000}"/>
    <cellStyle name="Normal 81 31" xfId="13579" xr:uid="{00000000-0005-0000-0000-0000CB640000}"/>
    <cellStyle name="Normal 81 31 2" xfId="25774" xr:uid="{00000000-0005-0000-0000-0000CC640000}"/>
    <cellStyle name="Normal 81 32" xfId="13580" xr:uid="{00000000-0005-0000-0000-0000CD640000}"/>
    <cellStyle name="Normal 81 32 2" xfId="25775" xr:uid="{00000000-0005-0000-0000-0000CE640000}"/>
    <cellStyle name="Normal 81 33" xfId="13581" xr:uid="{00000000-0005-0000-0000-0000CF640000}"/>
    <cellStyle name="Normal 81 33 2" xfId="25776" xr:uid="{00000000-0005-0000-0000-0000D0640000}"/>
    <cellStyle name="Normal 81 34" xfId="13582" xr:uid="{00000000-0005-0000-0000-0000D1640000}"/>
    <cellStyle name="Normal 81 34 2" xfId="25777" xr:uid="{00000000-0005-0000-0000-0000D2640000}"/>
    <cellStyle name="Normal 81 35" xfId="13583" xr:uid="{00000000-0005-0000-0000-0000D3640000}"/>
    <cellStyle name="Normal 81 35 2" xfId="25778" xr:uid="{00000000-0005-0000-0000-0000D4640000}"/>
    <cellStyle name="Normal 81 36" xfId="13584" xr:uid="{00000000-0005-0000-0000-0000D5640000}"/>
    <cellStyle name="Normal 81 36 2" xfId="25779" xr:uid="{00000000-0005-0000-0000-0000D6640000}"/>
    <cellStyle name="Normal 81 37" xfId="13585" xr:uid="{00000000-0005-0000-0000-0000D7640000}"/>
    <cellStyle name="Normal 81 37 2" xfId="25780" xr:uid="{00000000-0005-0000-0000-0000D8640000}"/>
    <cellStyle name="Normal 81 38" xfId="13586" xr:uid="{00000000-0005-0000-0000-0000D9640000}"/>
    <cellStyle name="Normal 81 38 2" xfId="25781" xr:uid="{00000000-0005-0000-0000-0000DA640000}"/>
    <cellStyle name="Normal 81 39" xfId="13587" xr:uid="{00000000-0005-0000-0000-0000DB640000}"/>
    <cellStyle name="Normal 81 39 2" xfId="25782" xr:uid="{00000000-0005-0000-0000-0000DC640000}"/>
    <cellStyle name="Normal 81 4" xfId="207" xr:uid="{00000000-0005-0000-0000-0000DD640000}"/>
    <cellStyle name="Normal 81 4 2" xfId="25783" xr:uid="{00000000-0005-0000-0000-0000DE640000}"/>
    <cellStyle name="Normal 81 4 3" xfId="13588" xr:uid="{00000000-0005-0000-0000-0000DF640000}"/>
    <cellStyle name="Normal 81 40" xfId="13589" xr:uid="{00000000-0005-0000-0000-0000E0640000}"/>
    <cellStyle name="Normal 81 40 2" xfId="25784" xr:uid="{00000000-0005-0000-0000-0000E1640000}"/>
    <cellStyle name="Normal 81 41" xfId="13590" xr:uid="{00000000-0005-0000-0000-0000E2640000}"/>
    <cellStyle name="Normal 81 41 2" xfId="25785" xr:uid="{00000000-0005-0000-0000-0000E3640000}"/>
    <cellStyle name="Normal 81 42" xfId="13591" xr:uid="{00000000-0005-0000-0000-0000E4640000}"/>
    <cellStyle name="Normal 81 42 2" xfId="25786" xr:uid="{00000000-0005-0000-0000-0000E5640000}"/>
    <cellStyle name="Normal 81 43" xfId="13592" xr:uid="{00000000-0005-0000-0000-0000E6640000}"/>
    <cellStyle name="Normal 81 43 2" xfId="25787" xr:uid="{00000000-0005-0000-0000-0000E7640000}"/>
    <cellStyle name="Normal 81 44" xfId="13593" xr:uid="{00000000-0005-0000-0000-0000E8640000}"/>
    <cellStyle name="Normal 81 44 2" xfId="25788" xr:uid="{00000000-0005-0000-0000-0000E9640000}"/>
    <cellStyle name="Normal 81 45" xfId="13594" xr:uid="{00000000-0005-0000-0000-0000EA640000}"/>
    <cellStyle name="Normal 81 45 2" xfId="25789" xr:uid="{00000000-0005-0000-0000-0000EB640000}"/>
    <cellStyle name="Normal 81 46" xfId="13595" xr:uid="{00000000-0005-0000-0000-0000EC640000}"/>
    <cellStyle name="Normal 81 46 2" xfId="25790" xr:uid="{00000000-0005-0000-0000-0000ED640000}"/>
    <cellStyle name="Normal 81 47" xfId="13596" xr:uid="{00000000-0005-0000-0000-0000EE640000}"/>
    <cellStyle name="Normal 81 47 2" xfId="25791" xr:uid="{00000000-0005-0000-0000-0000EF640000}"/>
    <cellStyle name="Normal 81 48" xfId="13597" xr:uid="{00000000-0005-0000-0000-0000F0640000}"/>
    <cellStyle name="Normal 81 48 2" xfId="25792" xr:uid="{00000000-0005-0000-0000-0000F1640000}"/>
    <cellStyle name="Normal 81 49" xfId="13598" xr:uid="{00000000-0005-0000-0000-0000F2640000}"/>
    <cellStyle name="Normal 81 49 2" xfId="25793" xr:uid="{00000000-0005-0000-0000-0000F3640000}"/>
    <cellStyle name="Normal 81 5" xfId="13599" xr:uid="{00000000-0005-0000-0000-0000F4640000}"/>
    <cellStyle name="Normal 81 5 2" xfId="25794" xr:uid="{00000000-0005-0000-0000-0000F5640000}"/>
    <cellStyle name="Normal 81 50" xfId="13600" xr:uid="{00000000-0005-0000-0000-0000F6640000}"/>
    <cellStyle name="Normal 81 50 2" xfId="25795" xr:uid="{00000000-0005-0000-0000-0000F7640000}"/>
    <cellStyle name="Normal 81 51" xfId="13601" xr:uid="{00000000-0005-0000-0000-0000F8640000}"/>
    <cellStyle name="Normal 81 51 2" xfId="25796" xr:uid="{00000000-0005-0000-0000-0000F9640000}"/>
    <cellStyle name="Normal 81 52" xfId="13602" xr:uid="{00000000-0005-0000-0000-0000FA640000}"/>
    <cellStyle name="Normal 81 52 2" xfId="25797" xr:uid="{00000000-0005-0000-0000-0000FB640000}"/>
    <cellStyle name="Normal 81 53" xfId="13603" xr:uid="{00000000-0005-0000-0000-0000FC640000}"/>
    <cellStyle name="Normal 81 53 2" xfId="25798" xr:uid="{00000000-0005-0000-0000-0000FD640000}"/>
    <cellStyle name="Normal 81 54" xfId="13604" xr:uid="{00000000-0005-0000-0000-0000FE640000}"/>
    <cellStyle name="Normal 81 54 2" xfId="25799" xr:uid="{00000000-0005-0000-0000-0000FF640000}"/>
    <cellStyle name="Normal 81 55" xfId="13605" xr:uid="{00000000-0005-0000-0000-000000650000}"/>
    <cellStyle name="Normal 81 55 2" xfId="25800" xr:uid="{00000000-0005-0000-0000-000001650000}"/>
    <cellStyle name="Normal 81 56" xfId="13606" xr:uid="{00000000-0005-0000-0000-000002650000}"/>
    <cellStyle name="Normal 81 56 2" xfId="25801" xr:uid="{00000000-0005-0000-0000-000003650000}"/>
    <cellStyle name="Normal 81 57" xfId="13607" xr:uid="{00000000-0005-0000-0000-000004650000}"/>
    <cellStyle name="Normal 81 57 2" xfId="25802" xr:uid="{00000000-0005-0000-0000-000005650000}"/>
    <cellStyle name="Normal 81 58" xfId="13608" xr:uid="{00000000-0005-0000-0000-000006650000}"/>
    <cellStyle name="Normal 81 58 2" xfId="25803" xr:uid="{00000000-0005-0000-0000-000007650000}"/>
    <cellStyle name="Normal 81 59" xfId="13609" xr:uid="{00000000-0005-0000-0000-000008650000}"/>
    <cellStyle name="Normal 81 59 2" xfId="25804" xr:uid="{00000000-0005-0000-0000-000009650000}"/>
    <cellStyle name="Normal 81 6" xfId="13610" xr:uid="{00000000-0005-0000-0000-00000A650000}"/>
    <cellStyle name="Normal 81 6 2" xfId="25805" xr:uid="{00000000-0005-0000-0000-00000B650000}"/>
    <cellStyle name="Normal 81 60" xfId="13611" xr:uid="{00000000-0005-0000-0000-00000C650000}"/>
    <cellStyle name="Normal 81 60 2" xfId="25806" xr:uid="{00000000-0005-0000-0000-00000D650000}"/>
    <cellStyle name="Normal 81 61" xfId="13612" xr:uid="{00000000-0005-0000-0000-00000E650000}"/>
    <cellStyle name="Normal 81 61 2" xfId="25807" xr:uid="{00000000-0005-0000-0000-00000F650000}"/>
    <cellStyle name="Normal 81 62" xfId="13613" xr:uid="{00000000-0005-0000-0000-000010650000}"/>
    <cellStyle name="Normal 81 62 2" xfId="25808" xr:uid="{00000000-0005-0000-0000-000011650000}"/>
    <cellStyle name="Normal 81 63" xfId="13614" xr:uid="{00000000-0005-0000-0000-000012650000}"/>
    <cellStyle name="Normal 81 63 2" xfId="25809" xr:uid="{00000000-0005-0000-0000-000013650000}"/>
    <cellStyle name="Normal 81 64" xfId="13615" xr:uid="{00000000-0005-0000-0000-000014650000}"/>
    <cellStyle name="Normal 81 64 2" xfId="25810" xr:uid="{00000000-0005-0000-0000-000015650000}"/>
    <cellStyle name="Normal 81 65" xfId="13616" xr:uid="{00000000-0005-0000-0000-000016650000}"/>
    <cellStyle name="Normal 81 65 2" xfId="25811" xr:uid="{00000000-0005-0000-0000-000017650000}"/>
    <cellStyle name="Normal 81 66" xfId="13617" xr:uid="{00000000-0005-0000-0000-000018650000}"/>
    <cellStyle name="Normal 81 66 2" xfId="25812" xr:uid="{00000000-0005-0000-0000-000019650000}"/>
    <cellStyle name="Normal 81 67" xfId="13618" xr:uid="{00000000-0005-0000-0000-00001A650000}"/>
    <cellStyle name="Normal 81 67 2" xfId="25813" xr:uid="{00000000-0005-0000-0000-00001B650000}"/>
    <cellStyle name="Normal 81 68" xfId="13619" xr:uid="{00000000-0005-0000-0000-00001C650000}"/>
    <cellStyle name="Normal 81 68 2" xfId="25814" xr:uid="{00000000-0005-0000-0000-00001D650000}"/>
    <cellStyle name="Normal 81 69" xfId="13620" xr:uid="{00000000-0005-0000-0000-00001E650000}"/>
    <cellStyle name="Normal 81 69 2" xfId="25815" xr:uid="{00000000-0005-0000-0000-00001F650000}"/>
    <cellStyle name="Normal 81 7" xfId="13621" xr:uid="{00000000-0005-0000-0000-000020650000}"/>
    <cellStyle name="Normal 81 7 2" xfId="25816" xr:uid="{00000000-0005-0000-0000-000021650000}"/>
    <cellStyle name="Normal 81 70" xfId="13622" xr:uid="{00000000-0005-0000-0000-000022650000}"/>
    <cellStyle name="Normal 81 70 2" xfId="25817" xr:uid="{00000000-0005-0000-0000-000023650000}"/>
    <cellStyle name="Normal 81 71" xfId="13623" xr:uid="{00000000-0005-0000-0000-000024650000}"/>
    <cellStyle name="Normal 81 71 2" xfId="25818" xr:uid="{00000000-0005-0000-0000-000025650000}"/>
    <cellStyle name="Normal 81 72" xfId="13624" xr:uid="{00000000-0005-0000-0000-000026650000}"/>
    <cellStyle name="Normal 81 72 2" xfId="25819" xr:uid="{00000000-0005-0000-0000-000027650000}"/>
    <cellStyle name="Normal 81 73" xfId="13625" xr:uid="{00000000-0005-0000-0000-000028650000}"/>
    <cellStyle name="Normal 81 73 2" xfId="25820" xr:uid="{00000000-0005-0000-0000-000029650000}"/>
    <cellStyle name="Normal 81 74" xfId="13626" xr:uid="{00000000-0005-0000-0000-00002A650000}"/>
    <cellStyle name="Normal 81 74 2" xfId="25821" xr:uid="{00000000-0005-0000-0000-00002B650000}"/>
    <cellStyle name="Normal 81 75" xfId="13627" xr:uid="{00000000-0005-0000-0000-00002C650000}"/>
    <cellStyle name="Normal 81 75 2" xfId="25822" xr:uid="{00000000-0005-0000-0000-00002D650000}"/>
    <cellStyle name="Normal 81 76" xfId="13628" xr:uid="{00000000-0005-0000-0000-00002E650000}"/>
    <cellStyle name="Normal 81 76 2" xfId="25823" xr:uid="{00000000-0005-0000-0000-00002F650000}"/>
    <cellStyle name="Normal 81 77" xfId="13629" xr:uid="{00000000-0005-0000-0000-000030650000}"/>
    <cellStyle name="Normal 81 77 2" xfId="25824" xr:uid="{00000000-0005-0000-0000-000031650000}"/>
    <cellStyle name="Normal 81 78" xfId="13630" xr:uid="{00000000-0005-0000-0000-000032650000}"/>
    <cellStyle name="Normal 81 78 2" xfId="25825" xr:uid="{00000000-0005-0000-0000-000033650000}"/>
    <cellStyle name="Normal 81 79" xfId="13631" xr:uid="{00000000-0005-0000-0000-000034650000}"/>
    <cellStyle name="Normal 81 79 2" xfId="25826" xr:uid="{00000000-0005-0000-0000-000035650000}"/>
    <cellStyle name="Normal 81 8" xfId="13632" xr:uid="{00000000-0005-0000-0000-000036650000}"/>
    <cellStyle name="Normal 81 8 2" xfId="25827" xr:uid="{00000000-0005-0000-0000-000037650000}"/>
    <cellStyle name="Normal 81 80" xfId="25750" xr:uid="{00000000-0005-0000-0000-000038650000}"/>
    <cellStyle name="Normal 81 9" xfId="13633" xr:uid="{00000000-0005-0000-0000-000039650000}"/>
    <cellStyle name="Normal 81 9 2" xfId="25828" xr:uid="{00000000-0005-0000-0000-00003A650000}"/>
    <cellStyle name="Normal 82" xfId="208" xr:uid="{00000000-0005-0000-0000-00003B650000}"/>
    <cellStyle name="Normal 82 10" xfId="13634" xr:uid="{00000000-0005-0000-0000-00003C650000}"/>
    <cellStyle name="Normal 82 10 2" xfId="25830" xr:uid="{00000000-0005-0000-0000-00003D650000}"/>
    <cellStyle name="Normal 82 11" xfId="13635" xr:uid="{00000000-0005-0000-0000-00003E650000}"/>
    <cellStyle name="Normal 82 11 2" xfId="25831" xr:uid="{00000000-0005-0000-0000-00003F650000}"/>
    <cellStyle name="Normal 82 12" xfId="13636" xr:uid="{00000000-0005-0000-0000-000040650000}"/>
    <cellStyle name="Normal 82 12 2" xfId="25832" xr:uid="{00000000-0005-0000-0000-000041650000}"/>
    <cellStyle name="Normal 82 13" xfId="13637" xr:uid="{00000000-0005-0000-0000-000042650000}"/>
    <cellStyle name="Normal 82 13 2" xfId="25833" xr:uid="{00000000-0005-0000-0000-000043650000}"/>
    <cellStyle name="Normal 82 14" xfId="13638" xr:uid="{00000000-0005-0000-0000-000044650000}"/>
    <cellStyle name="Normal 82 14 2" xfId="25834" xr:uid="{00000000-0005-0000-0000-000045650000}"/>
    <cellStyle name="Normal 82 15" xfId="13639" xr:uid="{00000000-0005-0000-0000-000046650000}"/>
    <cellStyle name="Normal 82 15 2" xfId="25835" xr:uid="{00000000-0005-0000-0000-000047650000}"/>
    <cellStyle name="Normal 82 16" xfId="13640" xr:uid="{00000000-0005-0000-0000-000048650000}"/>
    <cellStyle name="Normal 82 16 2" xfId="25836" xr:uid="{00000000-0005-0000-0000-000049650000}"/>
    <cellStyle name="Normal 82 17" xfId="13641" xr:uid="{00000000-0005-0000-0000-00004A650000}"/>
    <cellStyle name="Normal 82 17 2" xfId="25837" xr:uid="{00000000-0005-0000-0000-00004B650000}"/>
    <cellStyle name="Normal 82 18" xfId="13642" xr:uid="{00000000-0005-0000-0000-00004C650000}"/>
    <cellStyle name="Normal 82 18 2" xfId="25838" xr:uid="{00000000-0005-0000-0000-00004D650000}"/>
    <cellStyle name="Normal 82 19" xfId="13643" xr:uid="{00000000-0005-0000-0000-00004E650000}"/>
    <cellStyle name="Normal 82 19 2" xfId="25839" xr:uid="{00000000-0005-0000-0000-00004F650000}"/>
    <cellStyle name="Normal 82 2" xfId="773" xr:uid="{00000000-0005-0000-0000-000050650000}"/>
    <cellStyle name="Normal 82 2 2" xfId="25840" xr:uid="{00000000-0005-0000-0000-000051650000}"/>
    <cellStyle name="Normal 82 2 3" xfId="13644" xr:uid="{00000000-0005-0000-0000-000052650000}"/>
    <cellStyle name="Normal 82 20" xfId="13645" xr:uid="{00000000-0005-0000-0000-000053650000}"/>
    <cellStyle name="Normal 82 20 2" xfId="25841" xr:uid="{00000000-0005-0000-0000-000054650000}"/>
    <cellStyle name="Normal 82 21" xfId="13646" xr:uid="{00000000-0005-0000-0000-000055650000}"/>
    <cellStyle name="Normal 82 21 2" xfId="25842" xr:uid="{00000000-0005-0000-0000-000056650000}"/>
    <cellStyle name="Normal 82 22" xfId="13647" xr:uid="{00000000-0005-0000-0000-000057650000}"/>
    <cellStyle name="Normal 82 22 2" xfId="25843" xr:uid="{00000000-0005-0000-0000-000058650000}"/>
    <cellStyle name="Normal 82 23" xfId="13648" xr:uid="{00000000-0005-0000-0000-000059650000}"/>
    <cellStyle name="Normal 82 23 2" xfId="25844" xr:uid="{00000000-0005-0000-0000-00005A650000}"/>
    <cellStyle name="Normal 82 24" xfId="13649" xr:uid="{00000000-0005-0000-0000-00005B650000}"/>
    <cellStyle name="Normal 82 24 2" xfId="25845" xr:uid="{00000000-0005-0000-0000-00005C650000}"/>
    <cellStyle name="Normal 82 25" xfId="13650" xr:uid="{00000000-0005-0000-0000-00005D650000}"/>
    <cellStyle name="Normal 82 25 2" xfId="25846" xr:uid="{00000000-0005-0000-0000-00005E650000}"/>
    <cellStyle name="Normal 82 26" xfId="13651" xr:uid="{00000000-0005-0000-0000-00005F650000}"/>
    <cellStyle name="Normal 82 26 2" xfId="25847" xr:uid="{00000000-0005-0000-0000-000060650000}"/>
    <cellStyle name="Normal 82 27" xfId="13652" xr:uid="{00000000-0005-0000-0000-000061650000}"/>
    <cellStyle name="Normal 82 27 2" xfId="25848" xr:uid="{00000000-0005-0000-0000-000062650000}"/>
    <cellStyle name="Normal 82 28" xfId="13653" xr:uid="{00000000-0005-0000-0000-000063650000}"/>
    <cellStyle name="Normal 82 28 2" xfId="25849" xr:uid="{00000000-0005-0000-0000-000064650000}"/>
    <cellStyle name="Normal 82 29" xfId="13654" xr:uid="{00000000-0005-0000-0000-000065650000}"/>
    <cellStyle name="Normal 82 29 2" xfId="25850" xr:uid="{00000000-0005-0000-0000-000066650000}"/>
    <cellStyle name="Normal 82 3" xfId="423" xr:uid="{00000000-0005-0000-0000-000067650000}"/>
    <cellStyle name="Normal 82 3 2" xfId="25851" xr:uid="{00000000-0005-0000-0000-000068650000}"/>
    <cellStyle name="Normal 82 30" xfId="13655" xr:uid="{00000000-0005-0000-0000-000069650000}"/>
    <cellStyle name="Normal 82 30 2" xfId="25852" xr:uid="{00000000-0005-0000-0000-00006A650000}"/>
    <cellStyle name="Normal 82 31" xfId="13656" xr:uid="{00000000-0005-0000-0000-00006B650000}"/>
    <cellStyle name="Normal 82 31 2" xfId="25853" xr:uid="{00000000-0005-0000-0000-00006C650000}"/>
    <cellStyle name="Normal 82 32" xfId="13657" xr:uid="{00000000-0005-0000-0000-00006D650000}"/>
    <cellStyle name="Normal 82 32 2" xfId="25854" xr:uid="{00000000-0005-0000-0000-00006E650000}"/>
    <cellStyle name="Normal 82 33" xfId="13658" xr:uid="{00000000-0005-0000-0000-00006F650000}"/>
    <cellStyle name="Normal 82 33 2" xfId="25855" xr:uid="{00000000-0005-0000-0000-000070650000}"/>
    <cellStyle name="Normal 82 34" xfId="13659" xr:uid="{00000000-0005-0000-0000-000071650000}"/>
    <cellStyle name="Normal 82 34 2" xfId="25856" xr:uid="{00000000-0005-0000-0000-000072650000}"/>
    <cellStyle name="Normal 82 35" xfId="13660" xr:uid="{00000000-0005-0000-0000-000073650000}"/>
    <cellStyle name="Normal 82 35 2" xfId="25857" xr:uid="{00000000-0005-0000-0000-000074650000}"/>
    <cellStyle name="Normal 82 36" xfId="13661" xr:uid="{00000000-0005-0000-0000-000075650000}"/>
    <cellStyle name="Normal 82 36 2" xfId="25858" xr:uid="{00000000-0005-0000-0000-000076650000}"/>
    <cellStyle name="Normal 82 37" xfId="13662" xr:uid="{00000000-0005-0000-0000-000077650000}"/>
    <cellStyle name="Normal 82 37 2" xfId="25859" xr:uid="{00000000-0005-0000-0000-000078650000}"/>
    <cellStyle name="Normal 82 38" xfId="13663" xr:uid="{00000000-0005-0000-0000-000079650000}"/>
    <cellStyle name="Normal 82 38 2" xfId="25860" xr:uid="{00000000-0005-0000-0000-00007A650000}"/>
    <cellStyle name="Normal 82 39" xfId="13664" xr:uid="{00000000-0005-0000-0000-00007B650000}"/>
    <cellStyle name="Normal 82 39 2" xfId="25861" xr:uid="{00000000-0005-0000-0000-00007C650000}"/>
    <cellStyle name="Normal 82 4" xfId="13665" xr:uid="{00000000-0005-0000-0000-00007D650000}"/>
    <cellStyle name="Normal 82 4 2" xfId="25862" xr:uid="{00000000-0005-0000-0000-00007E650000}"/>
    <cellStyle name="Normal 82 40" xfId="13666" xr:uid="{00000000-0005-0000-0000-00007F650000}"/>
    <cellStyle name="Normal 82 40 2" xfId="25863" xr:uid="{00000000-0005-0000-0000-000080650000}"/>
    <cellStyle name="Normal 82 41" xfId="13667" xr:uid="{00000000-0005-0000-0000-000081650000}"/>
    <cellStyle name="Normal 82 41 2" xfId="25864" xr:uid="{00000000-0005-0000-0000-000082650000}"/>
    <cellStyle name="Normal 82 42" xfId="13668" xr:uid="{00000000-0005-0000-0000-000083650000}"/>
    <cellStyle name="Normal 82 42 2" xfId="25865" xr:uid="{00000000-0005-0000-0000-000084650000}"/>
    <cellStyle name="Normal 82 43" xfId="13669" xr:uid="{00000000-0005-0000-0000-000085650000}"/>
    <cellStyle name="Normal 82 43 2" xfId="25866" xr:uid="{00000000-0005-0000-0000-000086650000}"/>
    <cellStyle name="Normal 82 44" xfId="13670" xr:uid="{00000000-0005-0000-0000-000087650000}"/>
    <cellStyle name="Normal 82 44 2" xfId="25867" xr:uid="{00000000-0005-0000-0000-000088650000}"/>
    <cellStyle name="Normal 82 45" xfId="13671" xr:uid="{00000000-0005-0000-0000-000089650000}"/>
    <cellStyle name="Normal 82 45 2" xfId="25868" xr:uid="{00000000-0005-0000-0000-00008A650000}"/>
    <cellStyle name="Normal 82 46" xfId="13672" xr:uid="{00000000-0005-0000-0000-00008B650000}"/>
    <cellStyle name="Normal 82 46 2" xfId="25869" xr:uid="{00000000-0005-0000-0000-00008C650000}"/>
    <cellStyle name="Normal 82 47" xfId="13673" xr:uid="{00000000-0005-0000-0000-00008D650000}"/>
    <cellStyle name="Normal 82 47 2" xfId="25870" xr:uid="{00000000-0005-0000-0000-00008E650000}"/>
    <cellStyle name="Normal 82 48" xfId="13674" xr:uid="{00000000-0005-0000-0000-00008F650000}"/>
    <cellStyle name="Normal 82 48 2" xfId="25871" xr:uid="{00000000-0005-0000-0000-000090650000}"/>
    <cellStyle name="Normal 82 49" xfId="13675" xr:uid="{00000000-0005-0000-0000-000091650000}"/>
    <cellStyle name="Normal 82 49 2" xfId="25872" xr:uid="{00000000-0005-0000-0000-000092650000}"/>
    <cellStyle name="Normal 82 5" xfId="13676" xr:uid="{00000000-0005-0000-0000-000093650000}"/>
    <cellStyle name="Normal 82 5 2" xfId="25873" xr:uid="{00000000-0005-0000-0000-000094650000}"/>
    <cellStyle name="Normal 82 50" xfId="13677" xr:uid="{00000000-0005-0000-0000-000095650000}"/>
    <cellStyle name="Normal 82 50 2" xfId="25874" xr:uid="{00000000-0005-0000-0000-000096650000}"/>
    <cellStyle name="Normal 82 51" xfId="13678" xr:uid="{00000000-0005-0000-0000-000097650000}"/>
    <cellStyle name="Normal 82 51 2" xfId="25875" xr:uid="{00000000-0005-0000-0000-000098650000}"/>
    <cellStyle name="Normal 82 52" xfId="13679" xr:uid="{00000000-0005-0000-0000-000099650000}"/>
    <cellStyle name="Normal 82 52 2" xfId="25876" xr:uid="{00000000-0005-0000-0000-00009A650000}"/>
    <cellStyle name="Normal 82 53" xfId="13680" xr:uid="{00000000-0005-0000-0000-00009B650000}"/>
    <cellStyle name="Normal 82 53 2" xfId="25877" xr:uid="{00000000-0005-0000-0000-00009C650000}"/>
    <cellStyle name="Normal 82 54" xfId="13681" xr:uid="{00000000-0005-0000-0000-00009D650000}"/>
    <cellStyle name="Normal 82 54 2" xfId="25878" xr:uid="{00000000-0005-0000-0000-00009E650000}"/>
    <cellStyle name="Normal 82 55" xfId="13682" xr:uid="{00000000-0005-0000-0000-00009F650000}"/>
    <cellStyle name="Normal 82 55 2" xfId="25879" xr:uid="{00000000-0005-0000-0000-0000A0650000}"/>
    <cellStyle name="Normal 82 56" xfId="13683" xr:uid="{00000000-0005-0000-0000-0000A1650000}"/>
    <cellStyle name="Normal 82 56 2" xfId="25880" xr:uid="{00000000-0005-0000-0000-0000A2650000}"/>
    <cellStyle name="Normal 82 57" xfId="13684" xr:uid="{00000000-0005-0000-0000-0000A3650000}"/>
    <cellStyle name="Normal 82 57 2" xfId="25881" xr:uid="{00000000-0005-0000-0000-0000A4650000}"/>
    <cellStyle name="Normal 82 58" xfId="13685" xr:uid="{00000000-0005-0000-0000-0000A5650000}"/>
    <cellStyle name="Normal 82 58 2" xfId="25882" xr:uid="{00000000-0005-0000-0000-0000A6650000}"/>
    <cellStyle name="Normal 82 59" xfId="13686" xr:uid="{00000000-0005-0000-0000-0000A7650000}"/>
    <cellStyle name="Normal 82 59 2" xfId="25883" xr:uid="{00000000-0005-0000-0000-0000A8650000}"/>
    <cellStyle name="Normal 82 6" xfId="13687" xr:uid="{00000000-0005-0000-0000-0000A9650000}"/>
    <cellStyle name="Normal 82 6 2" xfId="25884" xr:uid="{00000000-0005-0000-0000-0000AA650000}"/>
    <cellStyle name="Normal 82 60" xfId="13688" xr:uid="{00000000-0005-0000-0000-0000AB650000}"/>
    <cellStyle name="Normal 82 60 2" xfId="25885" xr:uid="{00000000-0005-0000-0000-0000AC650000}"/>
    <cellStyle name="Normal 82 61" xfId="13689" xr:uid="{00000000-0005-0000-0000-0000AD650000}"/>
    <cellStyle name="Normal 82 61 2" xfId="25886" xr:uid="{00000000-0005-0000-0000-0000AE650000}"/>
    <cellStyle name="Normal 82 62" xfId="13690" xr:uid="{00000000-0005-0000-0000-0000AF650000}"/>
    <cellStyle name="Normal 82 62 2" xfId="25887" xr:uid="{00000000-0005-0000-0000-0000B0650000}"/>
    <cellStyle name="Normal 82 63" xfId="13691" xr:uid="{00000000-0005-0000-0000-0000B1650000}"/>
    <cellStyle name="Normal 82 63 2" xfId="25888" xr:uid="{00000000-0005-0000-0000-0000B2650000}"/>
    <cellStyle name="Normal 82 64" xfId="13692" xr:uid="{00000000-0005-0000-0000-0000B3650000}"/>
    <cellStyle name="Normal 82 64 2" xfId="25889" xr:uid="{00000000-0005-0000-0000-0000B4650000}"/>
    <cellStyle name="Normal 82 65" xfId="13693" xr:uid="{00000000-0005-0000-0000-0000B5650000}"/>
    <cellStyle name="Normal 82 65 2" xfId="25890" xr:uid="{00000000-0005-0000-0000-0000B6650000}"/>
    <cellStyle name="Normal 82 66" xfId="13694" xr:uid="{00000000-0005-0000-0000-0000B7650000}"/>
    <cellStyle name="Normal 82 66 2" xfId="25891" xr:uid="{00000000-0005-0000-0000-0000B8650000}"/>
    <cellStyle name="Normal 82 67" xfId="13695" xr:uid="{00000000-0005-0000-0000-0000B9650000}"/>
    <cellStyle name="Normal 82 67 2" xfId="25892" xr:uid="{00000000-0005-0000-0000-0000BA650000}"/>
    <cellStyle name="Normal 82 68" xfId="13696" xr:uid="{00000000-0005-0000-0000-0000BB650000}"/>
    <cellStyle name="Normal 82 68 2" xfId="25893" xr:uid="{00000000-0005-0000-0000-0000BC650000}"/>
    <cellStyle name="Normal 82 69" xfId="13697" xr:uid="{00000000-0005-0000-0000-0000BD650000}"/>
    <cellStyle name="Normal 82 69 2" xfId="25894" xr:uid="{00000000-0005-0000-0000-0000BE650000}"/>
    <cellStyle name="Normal 82 7" xfId="13698" xr:uid="{00000000-0005-0000-0000-0000BF650000}"/>
    <cellStyle name="Normal 82 7 2" xfId="25895" xr:uid="{00000000-0005-0000-0000-0000C0650000}"/>
    <cellStyle name="Normal 82 70" xfId="13699" xr:uid="{00000000-0005-0000-0000-0000C1650000}"/>
    <cellStyle name="Normal 82 70 2" xfId="25896" xr:uid="{00000000-0005-0000-0000-0000C2650000}"/>
    <cellStyle name="Normal 82 71" xfId="13700" xr:uid="{00000000-0005-0000-0000-0000C3650000}"/>
    <cellStyle name="Normal 82 71 2" xfId="25897" xr:uid="{00000000-0005-0000-0000-0000C4650000}"/>
    <cellStyle name="Normal 82 72" xfId="13701" xr:uid="{00000000-0005-0000-0000-0000C5650000}"/>
    <cellStyle name="Normal 82 72 2" xfId="25898" xr:uid="{00000000-0005-0000-0000-0000C6650000}"/>
    <cellStyle name="Normal 82 73" xfId="13702" xr:uid="{00000000-0005-0000-0000-0000C7650000}"/>
    <cellStyle name="Normal 82 73 2" xfId="25899" xr:uid="{00000000-0005-0000-0000-0000C8650000}"/>
    <cellStyle name="Normal 82 74" xfId="13703" xr:uid="{00000000-0005-0000-0000-0000C9650000}"/>
    <cellStyle name="Normal 82 74 2" xfId="25900" xr:uid="{00000000-0005-0000-0000-0000CA650000}"/>
    <cellStyle name="Normal 82 75" xfId="13704" xr:uid="{00000000-0005-0000-0000-0000CB650000}"/>
    <cellStyle name="Normal 82 75 2" xfId="25901" xr:uid="{00000000-0005-0000-0000-0000CC650000}"/>
    <cellStyle name="Normal 82 76" xfId="13705" xr:uid="{00000000-0005-0000-0000-0000CD650000}"/>
    <cellStyle name="Normal 82 76 2" xfId="25902" xr:uid="{00000000-0005-0000-0000-0000CE650000}"/>
    <cellStyle name="Normal 82 77" xfId="13706" xr:uid="{00000000-0005-0000-0000-0000CF650000}"/>
    <cellStyle name="Normal 82 77 2" xfId="25903" xr:uid="{00000000-0005-0000-0000-0000D0650000}"/>
    <cellStyle name="Normal 82 78" xfId="13707" xr:uid="{00000000-0005-0000-0000-0000D1650000}"/>
    <cellStyle name="Normal 82 78 2" xfId="25904" xr:uid="{00000000-0005-0000-0000-0000D2650000}"/>
    <cellStyle name="Normal 82 79" xfId="13708" xr:uid="{00000000-0005-0000-0000-0000D3650000}"/>
    <cellStyle name="Normal 82 79 2" xfId="25905" xr:uid="{00000000-0005-0000-0000-0000D4650000}"/>
    <cellStyle name="Normal 82 8" xfId="13709" xr:uid="{00000000-0005-0000-0000-0000D5650000}"/>
    <cellStyle name="Normal 82 8 2" xfId="25906" xr:uid="{00000000-0005-0000-0000-0000D6650000}"/>
    <cellStyle name="Normal 82 80" xfId="25829" xr:uid="{00000000-0005-0000-0000-0000D7650000}"/>
    <cellStyle name="Normal 82 9" xfId="13710" xr:uid="{00000000-0005-0000-0000-0000D8650000}"/>
    <cellStyle name="Normal 82 9 2" xfId="25907" xr:uid="{00000000-0005-0000-0000-0000D9650000}"/>
    <cellStyle name="Normal 83" xfId="209" xr:uid="{00000000-0005-0000-0000-0000DA650000}"/>
    <cellStyle name="Normal 83 10" xfId="13711" xr:uid="{00000000-0005-0000-0000-0000DB650000}"/>
    <cellStyle name="Normal 83 10 2" xfId="25909" xr:uid="{00000000-0005-0000-0000-0000DC650000}"/>
    <cellStyle name="Normal 83 11" xfId="13712" xr:uid="{00000000-0005-0000-0000-0000DD650000}"/>
    <cellStyle name="Normal 83 11 2" xfId="25910" xr:uid="{00000000-0005-0000-0000-0000DE650000}"/>
    <cellStyle name="Normal 83 12" xfId="13713" xr:uid="{00000000-0005-0000-0000-0000DF650000}"/>
    <cellStyle name="Normal 83 12 2" xfId="25911" xr:uid="{00000000-0005-0000-0000-0000E0650000}"/>
    <cellStyle name="Normal 83 13" xfId="13714" xr:uid="{00000000-0005-0000-0000-0000E1650000}"/>
    <cellStyle name="Normal 83 13 2" xfId="25912" xr:uid="{00000000-0005-0000-0000-0000E2650000}"/>
    <cellStyle name="Normal 83 14" xfId="13715" xr:uid="{00000000-0005-0000-0000-0000E3650000}"/>
    <cellStyle name="Normal 83 14 2" xfId="25913" xr:uid="{00000000-0005-0000-0000-0000E4650000}"/>
    <cellStyle name="Normal 83 15" xfId="13716" xr:uid="{00000000-0005-0000-0000-0000E5650000}"/>
    <cellStyle name="Normal 83 15 2" xfId="25914" xr:uid="{00000000-0005-0000-0000-0000E6650000}"/>
    <cellStyle name="Normal 83 16" xfId="13717" xr:uid="{00000000-0005-0000-0000-0000E7650000}"/>
    <cellStyle name="Normal 83 16 2" xfId="25915" xr:uid="{00000000-0005-0000-0000-0000E8650000}"/>
    <cellStyle name="Normal 83 17" xfId="13718" xr:uid="{00000000-0005-0000-0000-0000E9650000}"/>
    <cellStyle name="Normal 83 17 2" xfId="25916" xr:uid="{00000000-0005-0000-0000-0000EA650000}"/>
    <cellStyle name="Normal 83 18" xfId="13719" xr:uid="{00000000-0005-0000-0000-0000EB650000}"/>
    <cellStyle name="Normal 83 18 2" xfId="25917" xr:uid="{00000000-0005-0000-0000-0000EC650000}"/>
    <cellStyle name="Normal 83 19" xfId="13720" xr:uid="{00000000-0005-0000-0000-0000ED650000}"/>
    <cellStyle name="Normal 83 19 2" xfId="25918" xr:uid="{00000000-0005-0000-0000-0000EE650000}"/>
    <cellStyle name="Normal 83 2" xfId="774" xr:uid="{00000000-0005-0000-0000-0000EF650000}"/>
    <cellStyle name="Normal 83 2 2" xfId="25919" xr:uid="{00000000-0005-0000-0000-0000F0650000}"/>
    <cellStyle name="Normal 83 2 3" xfId="13721" xr:uid="{00000000-0005-0000-0000-0000F1650000}"/>
    <cellStyle name="Normal 83 20" xfId="13722" xr:uid="{00000000-0005-0000-0000-0000F2650000}"/>
    <cellStyle name="Normal 83 20 2" xfId="25920" xr:uid="{00000000-0005-0000-0000-0000F3650000}"/>
    <cellStyle name="Normal 83 21" xfId="13723" xr:uid="{00000000-0005-0000-0000-0000F4650000}"/>
    <cellStyle name="Normal 83 21 2" xfId="25921" xr:uid="{00000000-0005-0000-0000-0000F5650000}"/>
    <cellStyle name="Normal 83 22" xfId="13724" xr:uid="{00000000-0005-0000-0000-0000F6650000}"/>
    <cellStyle name="Normal 83 22 2" xfId="25922" xr:uid="{00000000-0005-0000-0000-0000F7650000}"/>
    <cellStyle name="Normal 83 23" xfId="13725" xr:uid="{00000000-0005-0000-0000-0000F8650000}"/>
    <cellStyle name="Normal 83 23 2" xfId="25923" xr:uid="{00000000-0005-0000-0000-0000F9650000}"/>
    <cellStyle name="Normal 83 24" xfId="13726" xr:uid="{00000000-0005-0000-0000-0000FA650000}"/>
    <cellStyle name="Normal 83 24 2" xfId="25924" xr:uid="{00000000-0005-0000-0000-0000FB650000}"/>
    <cellStyle name="Normal 83 25" xfId="13727" xr:uid="{00000000-0005-0000-0000-0000FC650000}"/>
    <cellStyle name="Normal 83 25 2" xfId="25925" xr:uid="{00000000-0005-0000-0000-0000FD650000}"/>
    <cellStyle name="Normal 83 26" xfId="13728" xr:uid="{00000000-0005-0000-0000-0000FE650000}"/>
    <cellStyle name="Normal 83 26 2" xfId="25926" xr:uid="{00000000-0005-0000-0000-0000FF650000}"/>
    <cellStyle name="Normal 83 27" xfId="13729" xr:uid="{00000000-0005-0000-0000-000000660000}"/>
    <cellStyle name="Normal 83 27 2" xfId="25927" xr:uid="{00000000-0005-0000-0000-000001660000}"/>
    <cellStyle name="Normal 83 28" xfId="13730" xr:uid="{00000000-0005-0000-0000-000002660000}"/>
    <cellStyle name="Normal 83 28 2" xfId="25928" xr:uid="{00000000-0005-0000-0000-000003660000}"/>
    <cellStyle name="Normal 83 29" xfId="13731" xr:uid="{00000000-0005-0000-0000-000004660000}"/>
    <cellStyle name="Normal 83 29 2" xfId="25929" xr:uid="{00000000-0005-0000-0000-000005660000}"/>
    <cellStyle name="Normal 83 3" xfId="424" xr:uid="{00000000-0005-0000-0000-000006660000}"/>
    <cellStyle name="Normal 83 3 2" xfId="25930" xr:uid="{00000000-0005-0000-0000-000007660000}"/>
    <cellStyle name="Normal 83 30" xfId="13732" xr:uid="{00000000-0005-0000-0000-000008660000}"/>
    <cellStyle name="Normal 83 30 2" xfId="25931" xr:uid="{00000000-0005-0000-0000-000009660000}"/>
    <cellStyle name="Normal 83 31" xfId="13733" xr:uid="{00000000-0005-0000-0000-00000A660000}"/>
    <cellStyle name="Normal 83 31 2" xfId="25932" xr:uid="{00000000-0005-0000-0000-00000B660000}"/>
    <cellStyle name="Normal 83 32" xfId="13734" xr:uid="{00000000-0005-0000-0000-00000C660000}"/>
    <cellStyle name="Normal 83 32 2" xfId="25933" xr:uid="{00000000-0005-0000-0000-00000D660000}"/>
    <cellStyle name="Normal 83 33" xfId="13735" xr:uid="{00000000-0005-0000-0000-00000E660000}"/>
    <cellStyle name="Normal 83 33 2" xfId="25934" xr:uid="{00000000-0005-0000-0000-00000F660000}"/>
    <cellStyle name="Normal 83 34" xfId="13736" xr:uid="{00000000-0005-0000-0000-000010660000}"/>
    <cellStyle name="Normal 83 34 2" xfId="25935" xr:uid="{00000000-0005-0000-0000-000011660000}"/>
    <cellStyle name="Normal 83 35" xfId="13737" xr:uid="{00000000-0005-0000-0000-000012660000}"/>
    <cellStyle name="Normal 83 35 2" xfId="25936" xr:uid="{00000000-0005-0000-0000-000013660000}"/>
    <cellStyle name="Normal 83 36" xfId="13738" xr:uid="{00000000-0005-0000-0000-000014660000}"/>
    <cellStyle name="Normal 83 36 2" xfId="25937" xr:uid="{00000000-0005-0000-0000-000015660000}"/>
    <cellStyle name="Normal 83 37" xfId="13739" xr:uid="{00000000-0005-0000-0000-000016660000}"/>
    <cellStyle name="Normal 83 37 2" xfId="25938" xr:uid="{00000000-0005-0000-0000-000017660000}"/>
    <cellStyle name="Normal 83 38" xfId="13740" xr:uid="{00000000-0005-0000-0000-000018660000}"/>
    <cellStyle name="Normal 83 38 2" xfId="25939" xr:uid="{00000000-0005-0000-0000-000019660000}"/>
    <cellStyle name="Normal 83 39" xfId="13741" xr:uid="{00000000-0005-0000-0000-00001A660000}"/>
    <cellStyle name="Normal 83 39 2" xfId="25940" xr:uid="{00000000-0005-0000-0000-00001B660000}"/>
    <cellStyle name="Normal 83 4" xfId="13742" xr:uid="{00000000-0005-0000-0000-00001C660000}"/>
    <cellStyle name="Normal 83 4 2" xfId="25941" xr:uid="{00000000-0005-0000-0000-00001D660000}"/>
    <cellStyle name="Normal 83 40" xfId="13743" xr:uid="{00000000-0005-0000-0000-00001E660000}"/>
    <cellStyle name="Normal 83 40 2" xfId="25942" xr:uid="{00000000-0005-0000-0000-00001F660000}"/>
    <cellStyle name="Normal 83 41" xfId="13744" xr:uid="{00000000-0005-0000-0000-000020660000}"/>
    <cellStyle name="Normal 83 41 2" xfId="25943" xr:uid="{00000000-0005-0000-0000-000021660000}"/>
    <cellStyle name="Normal 83 42" xfId="13745" xr:uid="{00000000-0005-0000-0000-000022660000}"/>
    <cellStyle name="Normal 83 42 2" xfId="25944" xr:uid="{00000000-0005-0000-0000-000023660000}"/>
    <cellStyle name="Normal 83 43" xfId="13746" xr:uid="{00000000-0005-0000-0000-000024660000}"/>
    <cellStyle name="Normal 83 43 2" xfId="25945" xr:uid="{00000000-0005-0000-0000-000025660000}"/>
    <cellStyle name="Normal 83 44" xfId="13747" xr:uid="{00000000-0005-0000-0000-000026660000}"/>
    <cellStyle name="Normal 83 44 2" xfId="25946" xr:uid="{00000000-0005-0000-0000-000027660000}"/>
    <cellStyle name="Normal 83 45" xfId="13748" xr:uid="{00000000-0005-0000-0000-000028660000}"/>
    <cellStyle name="Normal 83 45 2" xfId="25947" xr:uid="{00000000-0005-0000-0000-000029660000}"/>
    <cellStyle name="Normal 83 46" xfId="13749" xr:uid="{00000000-0005-0000-0000-00002A660000}"/>
    <cellStyle name="Normal 83 46 2" xfId="25948" xr:uid="{00000000-0005-0000-0000-00002B660000}"/>
    <cellStyle name="Normal 83 47" xfId="13750" xr:uid="{00000000-0005-0000-0000-00002C660000}"/>
    <cellStyle name="Normal 83 47 2" xfId="25949" xr:uid="{00000000-0005-0000-0000-00002D660000}"/>
    <cellStyle name="Normal 83 48" xfId="13751" xr:uid="{00000000-0005-0000-0000-00002E660000}"/>
    <cellStyle name="Normal 83 48 2" xfId="25950" xr:uid="{00000000-0005-0000-0000-00002F660000}"/>
    <cellStyle name="Normal 83 49" xfId="13752" xr:uid="{00000000-0005-0000-0000-000030660000}"/>
    <cellStyle name="Normal 83 49 2" xfId="25951" xr:uid="{00000000-0005-0000-0000-000031660000}"/>
    <cellStyle name="Normal 83 5" xfId="13753" xr:uid="{00000000-0005-0000-0000-000032660000}"/>
    <cellStyle name="Normal 83 5 2" xfId="25952" xr:uid="{00000000-0005-0000-0000-000033660000}"/>
    <cellStyle name="Normal 83 50" xfId="13754" xr:uid="{00000000-0005-0000-0000-000034660000}"/>
    <cellStyle name="Normal 83 50 2" xfId="25953" xr:uid="{00000000-0005-0000-0000-000035660000}"/>
    <cellStyle name="Normal 83 51" xfId="13755" xr:uid="{00000000-0005-0000-0000-000036660000}"/>
    <cellStyle name="Normal 83 51 2" xfId="25954" xr:uid="{00000000-0005-0000-0000-000037660000}"/>
    <cellStyle name="Normal 83 52" xfId="13756" xr:uid="{00000000-0005-0000-0000-000038660000}"/>
    <cellStyle name="Normal 83 52 2" xfId="25955" xr:uid="{00000000-0005-0000-0000-000039660000}"/>
    <cellStyle name="Normal 83 53" xfId="13757" xr:uid="{00000000-0005-0000-0000-00003A660000}"/>
    <cellStyle name="Normal 83 53 2" xfId="25956" xr:uid="{00000000-0005-0000-0000-00003B660000}"/>
    <cellStyle name="Normal 83 54" xfId="13758" xr:uid="{00000000-0005-0000-0000-00003C660000}"/>
    <cellStyle name="Normal 83 54 2" xfId="25957" xr:uid="{00000000-0005-0000-0000-00003D660000}"/>
    <cellStyle name="Normal 83 55" xfId="13759" xr:uid="{00000000-0005-0000-0000-00003E660000}"/>
    <cellStyle name="Normal 83 55 2" xfId="25958" xr:uid="{00000000-0005-0000-0000-00003F660000}"/>
    <cellStyle name="Normal 83 56" xfId="13760" xr:uid="{00000000-0005-0000-0000-000040660000}"/>
    <cellStyle name="Normal 83 56 2" xfId="25959" xr:uid="{00000000-0005-0000-0000-000041660000}"/>
    <cellStyle name="Normal 83 57" xfId="13761" xr:uid="{00000000-0005-0000-0000-000042660000}"/>
    <cellStyle name="Normal 83 57 2" xfId="25960" xr:uid="{00000000-0005-0000-0000-000043660000}"/>
    <cellStyle name="Normal 83 58" xfId="13762" xr:uid="{00000000-0005-0000-0000-000044660000}"/>
    <cellStyle name="Normal 83 58 2" xfId="25961" xr:uid="{00000000-0005-0000-0000-000045660000}"/>
    <cellStyle name="Normal 83 59" xfId="13763" xr:uid="{00000000-0005-0000-0000-000046660000}"/>
    <cellStyle name="Normal 83 59 2" xfId="25962" xr:uid="{00000000-0005-0000-0000-000047660000}"/>
    <cellStyle name="Normal 83 6" xfId="13764" xr:uid="{00000000-0005-0000-0000-000048660000}"/>
    <cellStyle name="Normal 83 6 2" xfId="25963" xr:uid="{00000000-0005-0000-0000-000049660000}"/>
    <cellStyle name="Normal 83 60" xfId="13765" xr:uid="{00000000-0005-0000-0000-00004A660000}"/>
    <cellStyle name="Normal 83 60 2" xfId="25964" xr:uid="{00000000-0005-0000-0000-00004B660000}"/>
    <cellStyle name="Normal 83 61" xfId="13766" xr:uid="{00000000-0005-0000-0000-00004C660000}"/>
    <cellStyle name="Normal 83 61 2" xfId="25965" xr:uid="{00000000-0005-0000-0000-00004D660000}"/>
    <cellStyle name="Normal 83 62" xfId="13767" xr:uid="{00000000-0005-0000-0000-00004E660000}"/>
    <cellStyle name="Normal 83 62 2" xfId="25966" xr:uid="{00000000-0005-0000-0000-00004F660000}"/>
    <cellStyle name="Normal 83 63" xfId="13768" xr:uid="{00000000-0005-0000-0000-000050660000}"/>
    <cellStyle name="Normal 83 63 2" xfId="25967" xr:uid="{00000000-0005-0000-0000-000051660000}"/>
    <cellStyle name="Normal 83 64" xfId="13769" xr:uid="{00000000-0005-0000-0000-000052660000}"/>
    <cellStyle name="Normal 83 64 2" xfId="25968" xr:uid="{00000000-0005-0000-0000-000053660000}"/>
    <cellStyle name="Normal 83 65" xfId="13770" xr:uid="{00000000-0005-0000-0000-000054660000}"/>
    <cellStyle name="Normal 83 65 2" xfId="25969" xr:uid="{00000000-0005-0000-0000-000055660000}"/>
    <cellStyle name="Normal 83 66" xfId="13771" xr:uid="{00000000-0005-0000-0000-000056660000}"/>
    <cellStyle name="Normal 83 66 2" xfId="25970" xr:uid="{00000000-0005-0000-0000-000057660000}"/>
    <cellStyle name="Normal 83 67" xfId="13772" xr:uid="{00000000-0005-0000-0000-000058660000}"/>
    <cellStyle name="Normal 83 67 2" xfId="25971" xr:uid="{00000000-0005-0000-0000-000059660000}"/>
    <cellStyle name="Normal 83 68" xfId="13773" xr:uid="{00000000-0005-0000-0000-00005A660000}"/>
    <cellStyle name="Normal 83 68 2" xfId="25972" xr:uid="{00000000-0005-0000-0000-00005B660000}"/>
    <cellStyle name="Normal 83 69" xfId="13774" xr:uid="{00000000-0005-0000-0000-00005C660000}"/>
    <cellStyle name="Normal 83 69 2" xfId="25973" xr:uid="{00000000-0005-0000-0000-00005D660000}"/>
    <cellStyle name="Normal 83 7" xfId="13775" xr:uid="{00000000-0005-0000-0000-00005E660000}"/>
    <cellStyle name="Normal 83 7 2" xfId="25974" xr:uid="{00000000-0005-0000-0000-00005F660000}"/>
    <cellStyle name="Normal 83 70" xfId="13776" xr:uid="{00000000-0005-0000-0000-000060660000}"/>
    <cellStyle name="Normal 83 70 2" xfId="25975" xr:uid="{00000000-0005-0000-0000-000061660000}"/>
    <cellStyle name="Normal 83 71" xfId="13777" xr:uid="{00000000-0005-0000-0000-000062660000}"/>
    <cellStyle name="Normal 83 71 2" xfId="25976" xr:uid="{00000000-0005-0000-0000-000063660000}"/>
    <cellStyle name="Normal 83 72" xfId="13778" xr:uid="{00000000-0005-0000-0000-000064660000}"/>
    <cellStyle name="Normal 83 72 2" xfId="25977" xr:uid="{00000000-0005-0000-0000-000065660000}"/>
    <cellStyle name="Normal 83 73" xfId="13779" xr:uid="{00000000-0005-0000-0000-000066660000}"/>
    <cellStyle name="Normal 83 73 2" xfId="25978" xr:uid="{00000000-0005-0000-0000-000067660000}"/>
    <cellStyle name="Normal 83 74" xfId="13780" xr:uid="{00000000-0005-0000-0000-000068660000}"/>
    <cellStyle name="Normal 83 74 2" xfId="25979" xr:uid="{00000000-0005-0000-0000-000069660000}"/>
    <cellStyle name="Normal 83 75" xfId="13781" xr:uid="{00000000-0005-0000-0000-00006A660000}"/>
    <cellStyle name="Normal 83 75 2" xfId="25980" xr:uid="{00000000-0005-0000-0000-00006B660000}"/>
    <cellStyle name="Normal 83 76" xfId="13782" xr:uid="{00000000-0005-0000-0000-00006C660000}"/>
    <cellStyle name="Normal 83 76 2" xfId="25981" xr:uid="{00000000-0005-0000-0000-00006D660000}"/>
    <cellStyle name="Normal 83 77" xfId="13783" xr:uid="{00000000-0005-0000-0000-00006E660000}"/>
    <cellStyle name="Normal 83 77 2" xfId="25982" xr:uid="{00000000-0005-0000-0000-00006F660000}"/>
    <cellStyle name="Normal 83 78" xfId="13784" xr:uid="{00000000-0005-0000-0000-000070660000}"/>
    <cellStyle name="Normal 83 78 2" xfId="25983" xr:uid="{00000000-0005-0000-0000-000071660000}"/>
    <cellStyle name="Normal 83 79" xfId="13785" xr:uid="{00000000-0005-0000-0000-000072660000}"/>
    <cellStyle name="Normal 83 79 2" xfId="25984" xr:uid="{00000000-0005-0000-0000-000073660000}"/>
    <cellStyle name="Normal 83 8" xfId="13786" xr:uid="{00000000-0005-0000-0000-000074660000}"/>
    <cellStyle name="Normal 83 8 2" xfId="25985" xr:uid="{00000000-0005-0000-0000-000075660000}"/>
    <cellStyle name="Normal 83 80" xfId="25908" xr:uid="{00000000-0005-0000-0000-000076660000}"/>
    <cellStyle name="Normal 83 9" xfId="13787" xr:uid="{00000000-0005-0000-0000-000077660000}"/>
    <cellStyle name="Normal 83 9 2" xfId="25986" xr:uid="{00000000-0005-0000-0000-000078660000}"/>
    <cellStyle name="Normal 84" xfId="210" xr:uid="{00000000-0005-0000-0000-000079660000}"/>
    <cellStyle name="Normal 84 10" xfId="13788" xr:uid="{00000000-0005-0000-0000-00007A660000}"/>
    <cellStyle name="Normal 84 10 2" xfId="25988" xr:uid="{00000000-0005-0000-0000-00007B660000}"/>
    <cellStyle name="Normal 84 11" xfId="13789" xr:uid="{00000000-0005-0000-0000-00007C660000}"/>
    <cellStyle name="Normal 84 11 2" xfId="25989" xr:uid="{00000000-0005-0000-0000-00007D660000}"/>
    <cellStyle name="Normal 84 12" xfId="13790" xr:uid="{00000000-0005-0000-0000-00007E660000}"/>
    <cellStyle name="Normal 84 12 2" xfId="25990" xr:uid="{00000000-0005-0000-0000-00007F660000}"/>
    <cellStyle name="Normal 84 13" xfId="13791" xr:uid="{00000000-0005-0000-0000-000080660000}"/>
    <cellStyle name="Normal 84 13 2" xfId="25991" xr:uid="{00000000-0005-0000-0000-000081660000}"/>
    <cellStyle name="Normal 84 14" xfId="13792" xr:uid="{00000000-0005-0000-0000-000082660000}"/>
    <cellStyle name="Normal 84 14 2" xfId="25992" xr:uid="{00000000-0005-0000-0000-000083660000}"/>
    <cellStyle name="Normal 84 15" xfId="13793" xr:uid="{00000000-0005-0000-0000-000084660000}"/>
    <cellStyle name="Normal 84 15 2" xfId="25993" xr:uid="{00000000-0005-0000-0000-000085660000}"/>
    <cellStyle name="Normal 84 16" xfId="13794" xr:uid="{00000000-0005-0000-0000-000086660000}"/>
    <cellStyle name="Normal 84 16 2" xfId="25994" xr:uid="{00000000-0005-0000-0000-000087660000}"/>
    <cellStyle name="Normal 84 17" xfId="13795" xr:uid="{00000000-0005-0000-0000-000088660000}"/>
    <cellStyle name="Normal 84 17 2" xfId="25995" xr:uid="{00000000-0005-0000-0000-000089660000}"/>
    <cellStyle name="Normal 84 18" xfId="13796" xr:uid="{00000000-0005-0000-0000-00008A660000}"/>
    <cellStyle name="Normal 84 18 2" xfId="25996" xr:uid="{00000000-0005-0000-0000-00008B660000}"/>
    <cellStyle name="Normal 84 19" xfId="13797" xr:uid="{00000000-0005-0000-0000-00008C660000}"/>
    <cellStyle name="Normal 84 19 2" xfId="25997" xr:uid="{00000000-0005-0000-0000-00008D660000}"/>
    <cellStyle name="Normal 84 2" xfId="775" xr:uid="{00000000-0005-0000-0000-00008E660000}"/>
    <cellStyle name="Normal 84 2 2" xfId="25998" xr:uid="{00000000-0005-0000-0000-00008F660000}"/>
    <cellStyle name="Normal 84 2 3" xfId="13798" xr:uid="{00000000-0005-0000-0000-000090660000}"/>
    <cellStyle name="Normal 84 20" xfId="13799" xr:uid="{00000000-0005-0000-0000-000091660000}"/>
    <cellStyle name="Normal 84 20 2" xfId="25999" xr:uid="{00000000-0005-0000-0000-000092660000}"/>
    <cellStyle name="Normal 84 21" xfId="13800" xr:uid="{00000000-0005-0000-0000-000093660000}"/>
    <cellStyle name="Normal 84 21 2" xfId="26000" xr:uid="{00000000-0005-0000-0000-000094660000}"/>
    <cellStyle name="Normal 84 22" xfId="13801" xr:uid="{00000000-0005-0000-0000-000095660000}"/>
    <cellStyle name="Normal 84 22 2" xfId="26001" xr:uid="{00000000-0005-0000-0000-000096660000}"/>
    <cellStyle name="Normal 84 23" xfId="13802" xr:uid="{00000000-0005-0000-0000-000097660000}"/>
    <cellStyle name="Normal 84 23 2" xfId="26002" xr:uid="{00000000-0005-0000-0000-000098660000}"/>
    <cellStyle name="Normal 84 24" xfId="13803" xr:uid="{00000000-0005-0000-0000-000099660000}"/>
    <cellStyle name="Normal 84 24 2" xfId="26003" xr:uid="{00000000-0005-0000-0000-00009A660000}"/>
    <cellStyle name="Normal 84 25" xfId="13804" xr:uid="{00000000-0005-0000-0000-00009B660000}"/>
    <cellStyle name="Normal 84 25 2" xfId="26004" xr:uid="{00000000-0005-0000-0000-00009C660000}"/>
    <cellStyle name="Normal 84 26" xfId="13805" xr:uid="{00000000-0005-0000-0000-00009D660000}"/>
    <cellStyle name="Normal 84 26 2" xfId="26005" xr:uid="{00000000-0005-0000-0000-00009E660000}"/>
    <cellStyle name="Normal 84 27" xfId="13806" xr:uid="{00000000-0005-0000-0000-00009F660000}"/>
    <cellStyle name="Normal 84 27 2" xfId="26006" xr:uid="{00000000-0005-0000-0000-0000A0660000}"/>
    <cellStyle name="Normal 84 28" xfId="13807" xr:uid="{00000000-0005-0000-0000-0000A1660000}"/>
    <cellStyle name="Normal 84 28 2" xfId="26007" xr:uid="{00000000-0005-0000-0000-0000A2660000}"/>
    <cellStyle name="Normal 84 29" xfId="13808" xr:uid="{00000000-0005-0000-0000-0000A3660000}"/>
    <cellStyle name="Normal 84 29 2" xfId="26008" xr:uid="{00000000-0005-0000-0000-0000A4660000}"/>
    <cellStyle name="Normal 84 3" xfId="425" xr:uid="{00000000-0005-0000-0000-0000A5660000}"/>
    <cellStyle name="Normal 84 3 2" xfId="26009" xr:uid="{00000000-0005-0000-0000-0000A6660000}"/>
    <cellStyle name="Normal 84 30" xfId="13809" xr:uid="{00000000-0005-0000-0000-0000A7660000}"/>
    <cellStyle name="Normal 84 30 2" xfId="26010" xr:uid="{00000000-0005-0000-0000-0000A8660000}"/>
    <cellStyle name="Normal 84 31" xfId="13810" xr:uid="{00000000-0005-0000-0000-0000A9660000}"/>
    <cellStyle name="Normal 84 31 2" xfId="26011" xr:uid="{00000000-0005-0000-0000-0000AA660000}"/>
    <cellStyle name="Normal 84 32" xfId="13811" xr:uid="{00000000-0005-0000-0000-0000AB660000}"/>
    <cellStyle name="Normal 84 32 2" xfId="26012" xr:uid="{00000000-0005-0000-0000-0000AC660000}"/>
    <cellStyle name="Normal 84 33" xfId="13812" xr:uid="{00000000-0005-0000-0000-0000AD660000}"/>
    <cellStyle name="Normal 84 33 2" xfId="26013" xr:uid="{00000000-0005-0000-0000-0000AE660000}"/>
    <cellStyle name="Normal 84 34" xfId="13813" xr:uid="{00000000-0005-0000-0000-0000AF660000}"/>
    <cellStyle name="Normal 84 34 2" xfId="26014" xr:uid="{00000000-0005-0000-0000-0000B0660000}"/>
    <cellStyle name="Normal 84 35" xfId="13814" xr:uid="{00000000-0005-0000-0000-0000B1660000}"/>
    <cellStyle name="Normal 84 35 2" xfId="26015" xr:uid="{00000000-0005-0000-0000-0000B2660000}"/>
    <cellStyle name="Normal 84 36" xfId="13815" xr:uid="{00000000-0005-0000-0000-0000B3660000}"/>
    <cellStyle name="Normal 84 36 2" xfId="26016" xr:uid="{00000000-0005-0000-0000-0000B4660000}"/>
    <cellStyle name="Normal 84 37" xfId="13816" xr:uid="{00000000-0005-0000-0000-0000B5660000}"/>
    <cellStyle name="Normal 84 37 2" xfId="26017" xr:uid="{00000000-0005-0000-0000-0000B6660000}"/>
    <cellStyle name="Normal 84 38" xfId="13817" xr:uid="{00000000-0005-0000-0000-0000B7660000}"/>
    <cellStyle name="Normal 84 38 2" xfId="26018" xr:uid="{00000000-0005-0000-0000-0000B8660000}"/>
    <cellStyle name="Normal 84 39" xfId="13818" xr:uid="{00000000-0005-0000-0000-0000B9660000}"/>
    <cellStyle name="Normal 84 39 2" xfId="26019" xr:uid="{00000000-0005-0000-0000-0000BA660000}"/>
    <cellStyle name="Normal 84 4" xfId="13819" xr:uid="{00000000-0005-0000-0000-0000BB660000}"/>
    <cellStyle name="Normal 84 4 2" xfId="26020" xr:uid="{00000000-0005-0000-0000-0000BC660000}"/>
    <cellStyle name="Normal 84 40" xfId="13820" xr:uid="{00000000-0005-0000-0000-0000BD660000}"/>
    <cellStyle name="Normal 84 40 2" xfId="26021" xr:uid="{00000000-0005-0000-0000-0000BE660000}"/>
    <cellStyle name="Normal 84 41" xfId="13821" xr:uid="{00000000-0005-0000-0000-0000BF660000}"/>
    <cellStyle name="Normal 84 41 2" xfId="26022" xr:uid="{00000000-0005-0000-0000-0000C0660000}"/>
    <cellStyle name="Normal 84 42" xfId="13822" xr:uid="{00000000-0005-0000-0000-0000C1660000}"/>
    <cellStyle name="Normal 84 42 2" xfId="26023" xr:uid="{00000000-0005-0000-0000-0000C2660000}"/>
    <cellStyle name="Normal 84 43" xfId="13823" xr:uid="{00000000-0005-0000-0000-0000C3660000}"/>
    <cellStyle name="Normal 84 43 2" xfId="26024" xr:uid="{00000000-0005-0000-0000-0000C4660000}"/>
    <cellStyle name="Normal 84 44" xfId="13824" xr:uid="{00000000-0005-0000-0000-0000C5660000}"/>
    <cellStyle name="Normal 84 44 2" xfId="26025" xr:uid="{00000000-0005-0000-0000-0000C6660000}"/>
    <cellStyle name="Normal 84 45" xfId="13825" xr:uid="{00000000-0005-0000-0000-0000C7660000}"/>
    <cellStyle name="Normal 84 45 2" xfId="26026" xr:uid="{00000000-0005-0000-0000-0000C8660000}"/>
    <cellStyle name="Normal 84 46" xfId="13826" xr:uid="{00000000-0005-0000-0000-0000C9660000}"/>
    <cellStyle name="Normal 84 46 2" xfId="26027" xr:uid="{00000000-0005-0000-0000-0000CA660000}"/>
    <cellStyle name="Normal 84 47" xfId="13827" xr:uid="{00000000-0005-0000-0000-0000CB660000}"/>
    <cellStyle name="Normal 84 47 2" xfId="26028" xr:uid="{00000000-0005-0000-0000-0000CC660000}"/>
    <cellStyle name="Normal 84 48" xfId="13828" xr:uid="{00000000-0005-0000-0000-0000CD660000}"/>
    <cellStyle name="Normal 84 48 2" xfId="26029" xr:uid="{00000000-0005-0000-0000-0000CE660000}"/>
    <cellStyle name="Normal 84 49" xfId="13829" xr:uid="{00000000-0005-0000-0000-0000CF660000}"/>
    <cellStyle name="Normal 84 49 2" xfId="26030" xr:uid="{00000000-0005-0000-0000-0000D0660000}"/>
    <cellStyle name="Normal 84 5" xfId="13830" xr:uid="{00000000-0005-0000-0000-0000D1660000}"/>
    <cellStyle name="Normal 84 5 2" xfId="26031" xr:uid="{00000000-0005-0000-0000-0000D2660000}"/>
    <cellStyle name="Normal 84 50" xfId="13831" xr:uid="{00000000-0005-0000-0000-0000D3660000}"/>
    <cellStyle name="Normal 84 50 2" xfId="26032" xr:uid="{00000000-0005-0000-0000-0000D4660000}"/>
    <cellStyle name="Normal 84 51" xfId="13832" xr:uid="{00000000-0005-0000-0000-0000D5660000}"/>
    <cellStyle name="Normal 84 51 2" xfId="26033" xr:uid="{00000000-0005-0000-0000-0000D6660000}"/>
    <cellStyle name="Normal 84 52" xfId="13833" xr:uid="{00000000-0005-0000-0000-0000D7660000}"/>
    <cellStyle name="Normal 84 52 2" xfId="26034" xr:uid="{00000000-0005-0000-0000-0000D8660000}"/>
    <cellStyle name="Normal 84 53" xfId="13834" xr:uid="{00000000-0005-0000-0000-0000D9660000}"/>
    <cellStyle name="Normal 84 53 2" xfId="26035" xr:uid="{00000000-0005-0000-0000-0000DA660000}"/>
    <cellStyle name="Normal 84 54" xfId="13835" xr:uid="{00000000-0005-0000-0000-0000DB660000}"/>
    <cellStyle name="Normal 84 54 2" xfId="26036" xr:uid="{00000000-0005-0000-0000-0000DC660000}"/>
    <cellStyle name="Normal 84 55" xfId="13836" xr:uid="{00000000-0005-0000-0000-0000DD660000}"/>
    <cellStyle name="Normal 84 55 2" xfId="26037" xr:uid="{00000000-0005-0000-0000-0000DE660000}"/>
    <cellStyle name="Normal 84 56" xfId="13837" xr:uid="{00000000-0005-0000-0000-0000DF660000}"/>
    <cellStyle name="Normal 84 56 2" xfId="26038" xr:uid="{00000000-0005-0000-0000-0000E0660000}"/>
    <cellStyle name="Normal 84 57" xfId="13838" xr:uid="{00000000-0005-0000-0000-0000E1660000}"/>
    <cellStyle name="Normal 84 57 2" xfId="26039" xr:uid="{00000000-0005-0000-0000-0000E2660000}"/>
    <cellStyle name="Normal 84 58" xfId="13839" xr:uid="{00000000-0005-0000-0000-0000E3660000}"/>
    <cellStyle name="Normal 84 58 2" xfId="26040" xr:uid="{00000000-0005-0000-0000-0000E4660000}"/>
    <cellStyle name="Normal 84 59" xfId="13840" xr:uid="{00000000-0005-0000-0000-0000E5660000}"/>
    <cellStyle name="Normal 84 59 2" xfId="26041" xr:uid="{00000000-0005-0000-0000-0000E6660000}"/>
    <cellStyle name="Normal 84 6" xfId="13841" xr:uid="{00000000-0005-0000-0000-0000E7660000}"/>
    <cellStyle name="Normal 84 6 2" xfId="26042" xr:uid="{00000000-0005-0000-0000-0000E8660000}"/>
    <cellStyle name="Normal 84 60" xfId="13842" xr:uid="{00000000-0005-0000-0000-0000E9660000}"/>
    <cellStyle name="Normal 84 60 2" xfId="26043" xr:uid="{00000000-0005-0000-0000-0000EA660000}"/>
    <cellStyle name="Normal 84 61" xfId="13843" xr:uid="{00000000-0005-0000-0000-0000EB660000}"/>
    <cellStyle name="Normal 84 61 2" xfId="26044" xr:uid="{00000000-0005-0000-0000-0000EC660000}"/>
    <cellStyle name="Normal 84 62" xfId="13844" xr:uid="{00000000-0005-0000-0000-0000ED660000}"/>
    <cellStyle name="Normal 84 62 2" xfId="26045" xr:uid="{00000000-0005-0000-0000-0000EE660000}"/>
    <cellStyle name="Normal 84 63" xfId="13845" xr:uid="{00000000-0005-0000-0000-0000EF660000}"/>
    <cellStyle name="Normal 84 63 2" xfId="26046" xr:uid="{00000000-0005-0000-0000-0000F0660000}"/>
    <cellStyle name="Normal 84 64" xfId="13846" xr:uid="{00000000-0005-0000-0000-0000F1660000}"/>
    <cellStyle name="Normal 84 64 2" xfId="26047" xr:uid="{00000000-0005-0000-0000-0000F2660000}"/>
    <cellStyle name="Normal 84 65" xfId="13847" xr:uid="{00000000-0005-0000-0000-0000F3660000}"/>
    <cellStyle name="Normal 84 65 2" xfId="26048" xr:uid="{00000000-0005-0000-0000-0000F4660000}"/>
    <cellStyle name="Normal 84 66" xfId="13848" xr:uid="{00000000-0005-0000-0000-0000F5660000}"/>
    <cellStyle name="Normal 84 66 2" xfId="26049" xr:uid="{00000000-0005-0000-0000-0000F6660000}"/>
    <cellStyle name="Normal 84 67" xfId="13849" xr:uid="{00000000-0005-0000-0000-0000F7660000}"/>
    <cellStyle name="Normal 84 67 2" xfId="26050" xr:uid="{00000000-0005-0000-0000-0000F8660000}"/>
    <cellStyle name="Normal 84 68" xfId="13850" xr:uid="{00000000-0005-0000-0000-0000F9660000}"/>
    <cellStyle name="Normal 84 68 2" xfId="26051" xr:uid="{00000000-0005-0000-0000-0000FA660000}"/>
    <cellStyle name="Normal 84 69" xfId="13851" xr:uid="{00000000-0005-0000-0000-0000FB660000}"/>
    <cellStyle name="Normal 84 69 2" xfId="26052" xr:uid="{00000000-0005-0000-0000-0000FC660000}"/>
    <cellStyle name="Normal 84 7" xfId="13852" xr:uid="{00000000-0005-0000-0000-0000FD660000}"/>
    <cellStyle name="Normal 84 7 2" xfId="26053" xr:uid="{00000000-0005-0000-0000-0000FE660000}"/>
    <cellStyle name="Normal 84 70" xfId="13853" xr:uid="{00000000-0005-0000-0000-0000FF660000}"/>
    <cellStyle name="Normal 84 70 2" xfId="26054" xr:uid="{00000000-0005-0000-0000-000000670000}"/>
    <cellStyle name="Normal 84 71" xfId="13854" xr:uid="{00000000-0005-0000-0000-000001670000}"/>
    <cellStyle name="Normal 84 71 2" xfId="26055" xr:uid="{00000000-0005-0000-0000-000002670000}"/>
    <cellStyle name="Normal 84 72" xfId="13855" xr:uid="{00000000-0005-0000-0000-000003670000}"/>
    <cellStyle name="Normal 84 72 2" xfId="26056" xr:uid="{00000000-0005-0000-0000-000004670000}"/>
    <cellStyle name="Normal 84 73" xfId="13856" xr:uid="{00000000-0005-0000-0000-000005670000}"/>
    <cellStyle name="Normal 84 73 2" xfId="26057" xr:uid="{00000000-0005-0000-0000-000006670000}"/>
    <cellStyle name="Normal 84 74" xfId="13857" xr:uid="{00000000-0005-0000-0000-000007670000}"/>
    <cellStyle name="Normal 84 74 2" xfId="26058" xr:uid="{00000000-0005-0000-0000-000008670000}"/>
    <cellStyle name="Normal 84 75" xfId="13858" xr:uid="{00000000-0005-0000-0000-000009670000}"/>
    <cellStyle name="Normal 84 75 2" xfId="26059" xr:uid="{00000000-0005-0000-0000-00000A670000}"/>
    <cellStyle name="Normal 84 76" xfId="13859" xr:uid="{00000000-0005-0000-0000-00000B670000}"/>
    <cellStyle name="Normal 84 76 2" xfId="26060" xr:uid="{00000000-0005-0000-0000-00000C670000}"/>
    <cellStyle name="Normal 84 77" xfId="13860" xr:uid="{00000000-0005-0000-0000-00000D670000}"/>
    <cellStyle name="Normal 84 77 2" xfId="26061" xr:uid="{00000000-0005-0000-0000-00000E670000}"/>
    <cellStyle name="Normal 84 78" xfId="13861" xr:uid="{00000000-0005-0000-0000-00000F670000}"/>
    <cellStyle name="Normal 84 78 2" xfId="26062" xr:uid="{00000000-0005-0000-0000-000010670000}"/>
    <cellStyle name="Normal 84 79" xfId="13862" xr:uid="{00000000-0005-0000-0000-000011670000}"/>
    <cellStyle name="Normal 84 79 2" xfId="26063" xr:uid="{00000000-0005-0000-0000-000012670000}"/>
    <cellStyle name="Normal 84 8" xfId="13863" xr:uid="{00000000-0005-0000-0000-000013670000}"/>
    <cellStyle name="Normal 84 8 2" xfId="26064" xr:uid="{00000000-0005-0000-0000-000014670000}"/>
    <cellStyle name="Normal 84 80" xfId="25987" xr:uid="{00000000-0005-0000-0000-000015670000}"/>
    <cellStyle name="Normal 84 9" xfId="13864" xr:uid="{00000000-0005-0000-0000-000016670000}"/>
    <cellStyle name="Normal 84 9 2" xfId="26065" xr:uid="{00000000-0005-0000-0000-000017670000}"/>
    <cellStyle name="Normal 85" xfId="211" xr:uid="{00000000-0005-0000-0000-000018670000}"/>
    <cellStyle name="Normal 85 10" xfId="13865" xr:uid="{00000000-0005-0000-0000-000019670000}"/>
    <cellStyle name="Normal 85 10 2" xfId="26067" xr:uid="{00000000-0005-0000-0000-00001A670000}"/>
    <cellStyle name="Normal 85 11" xfId="13866" xr:uid="{00000000-0005-0000-0000-00001B670000}"/>
    <cellStyle name="Normal 85 11 2" xfId="26068" xr:uid="{00000000-0005-0000-0000-00001C670000}"/>
    <cellStyle name="Normal 85 12" xfId="13867" xr:uid="{00000000-0005-0000-0000-00001D670000}"/>
    <cellStyle name="Normal 85 12 2" xfId="26069" xr:uid="{00000000-0005-0000-0000-00001E670000}"/>
    <cellStyle name="Normal 85 13" xfId="13868" xr:uid="{00000000-0005-0000-0000-00001F670000}"/>
    <cellStyle name="Normal 85 13 2" xfId="26070" xr:uid="{00000000-0005-0000-0000-000020670000}"/>
    <cellStyle name="Normal 85 14" xfId="13869" xr:uid="{00000000-0005-0000-0000-000021670000}"/>
    <cellStyle name="Normal 85 14 2" xfId="26071" xr:uid="{00000000-0005-0000-0000-000022670000}"/>
    <cellStyle name="Normal 85 15" xfId="13870" xr:uid="{00000000-0005-0000-0000-000023670000}"/>
    <cellStyle name="Normal 85 15 2" xfId="26072" xr:uid="{00000000-0005-0000-0000-000024670000}"/>
    <cellStyle name="Normal 85 16" xfId="13871" xr:uid="{00000000-0005-0000-0000-000025670000}"/>
    <cellStyle name="Normal 85 16 2" xfId="26073" xr:uid="{00000000-0005-0000-0000-000026670000}"/>
    <cellStyle name="Normal 85 17" xfId="13872" xr:uid="{00000000-0005-0000-0000-000027670000}"/>
    <cellStyle name="Normal 85 17 2" xfId="26074" xr:uid="{00000000-0005-0000-0000-000028670000}"/>
    <cellStyle name="Normal 85 18" xfId="13873" xr:uid="{00000000-0005-0000-0000-000029670000}"/>
    <cellStyle name="Normal 85 18 2" xfId="26075" xr:uid="{00000000-0005-0000-0000-00002A670000}"/>
    <cellStyle name="Normal 85 19" xfId="13874" xr:uid="{00000000-0005-0000-0000-00002B670000}"/>
    <cellStyle name="Normal 85 19 2" xfId="26076" xr:uid="{00000000-0005-0000-0000-00002C670000}"/>
    <cellStyle name="Normal 85 2" xfId="776" xr:uid="{00000000-0005-0000-0000-00002D670000}"/>
    <cellStyle name="Normal 85 2 2" xfId="26077" xr:uid="{00000000-0005-0000-0000-00002E670000}"/>
    <cellStyle name="Normal 85 2 3" xfId="13875" xr:uid="{00000000-0005-0000-0000-00002F670000}"/>
    <cellStyle name="Normal 85 20" xfId="13876" xr:uid="{00000000-0005-0000-0000-000030670000}"/>
    <cellStyle name="Normal 85 20 2" xfId="26078" xr:uid="{00000000-0005-0000-0000-000031670000}"/>
    <cellStyle name="Normal 85 21" xfId="13877" xr:uid="{00000000-0005-0000-0000-000032670000}"/>
    <cellStyle name="Normal 85 21 2" xfId="26079" xr:uid="{00000000-0005-0000-0000-000033670000}"/>
    <cellStyle name="Normal 85 22" xfId="13878" xr:uid="{00000000-0005-0000-0000-000034670000}"/>
    <cellStyle name="Normal 85 22 2" xfId="26080" xr:uid="{00000000-0005-0000-0000-000035670000}"/>
    <cellStyle name="Normal 85 23" xfId="13879" xr:uid="{00000000-0005-0000-0000-000036670000}"/>
    <cellStyle name="Normal 85 23 2" xfId="26081" xr:uid="{00000000-0005-0000-0000-000037670000}"/>
    <cellStyle name="Normal 85 24" xfId="13880" xr:uid="{00000000-0005-0000-0000-000038670000}"/>
    <cellStyle name="Normal 85 24 2" xfId="26082" xr:uid="{00000000-0005-0000-0000-000039670000}"/>
    <cellStyle name="Normal 85 25" xfId="13881" xr:uid="{00000000-0005-0000-0000-00003A670000}"/>
    <cellStyle name="Normal 85 25 2" xfId="26083" xr:uid="{00000000-0005-0000-0000-00003B670000}"/>
    <cellStyle name="Normal 85 26" xfId="13882" xr:uid="{00000000-0005-0000-0000-00003C670000}"/>
    <cellStyle name="Normal 85 26 2" xfId="26084" xr:uid="{00000000-0005-0000-0000-00003D670000}"/>
    <cellStyle name="Normal 85 27" xfId="13883" xr:uid="{00000000-0005-0000-0000-00003E670000}"/>
    <cellStyle name="Normal 85 27 2" xfId="26085" xr:uid="{00000000-0005-0000-0000-00003F670000}"/>
    <cellStyle name="Normal 85 28" xfId="13884" xr:uid="{00000000-0005-0000-0000-000040670000}"/>
    <cellStyle name="Normal 85 28 2" xfId="26086" xr:uid="{00000000-0005-0000-0000-000041670000}"/>
    <cellStyle name="Normal 85 29" xfId="13885" xr:uid="{00000000-0005-0000-0000-000042670000}"/>
    <cellStyle name="Normal 85 29 2" xfId="26087" xr:uid="{00000000-0005-0000-0000-000043670000}"/>
    <cellStyle name="Normal 85 3" xfId="426" xr:uid="{00000000-0005-0000-0000-000044670000}"/>
    <cellStyle name="Normal 85 3 2" xfId="26088" xr:uid="{00000000-0005-0000-0000-000045670000}"/>
    <cellStyle name="Normal 85 30" xfId="13886" xr:uid="{00000000-0005-0000-0000-000046670000}"/>
    <cellStyle name="Normal 85 30 2" xfId="26089" xr:uid="{00000000-0005-0000-0000-000047670000}"/>
    <cellStyle name="Normal 85 31" xfId="13887" xr:uid="{00000000-0005-0000-0000-000048670000}"/>
    <cellStyle name="Normal 85 31 2" xfId="26090" xr:uid="{00000000-0005-0000-0000-000049670000}"/>
    <cellStyle name="Normal 85 32" xfId="13888" xr:uid="{00000000-0005-0000-0000-00004A670000}"/>
    <cellStyle name="Normal 85 32 2" xfId="26091" xr:uid="{00000000-0005-0000-0000-00004B670000}"/>
    <cellStyle name="Normal 85 33" xfId="13889" xr:uid="{00000000-0005-0000-0000-00004C670000}"/>
    <cellStyle name="Normal 85 33 2" xfId="26092" xr:uid="{00000000-0005-0000-0000-00004D670000}"/>
    <cellStyle name="Normal 85 34" xfId="13890" xr:uid="{00000000-0005-0000-0000-00004E670000}"/>
    <cellStyle name="Normal 85 34 2" xfId="26093" xr:uid="{00000000-0005-0000-0000-00004F670000}"/>
    <cellStyle name="Normal 85 35" xfId="13891" xr:uid="{00000000-0005-0000-0000-000050670000}"/>
    <cellStyle name="Normal 85 35 2" xfId="26094" xr:uid="{00000000-0005-0000-0000-000051670000}"/>
    <cellStyle name="Normal 85 36" xfId="13892" xr:uid="{00000000-0005-0000-0000-000052670000}"/>
    <cellStyle name="Normal 85 36 2" xfId="26095" xr:uid="{00000000-0005-0000-0000-000053670000}"/>
    <cellStyle name="Normal 85 37" xfId="13893" xr:uid="{00000000-0005-0000-0000-000054670000}"/>
    <cellStyle name="Normal 85 37 2" xfId="26096" xr:uid="{00000000-0005-0000-0000-000055670000}"/>
    <cellStyle name="Normal 85 38" xfId="13894" xr:uid="{00000000-0005-0000-0000-000056670000}"/>
    <cellStyle name="Normal 85 38 2" xfId="26097" xr:uid="{00000000-0005-0000-0000-000057670000}"/>
    <cellStyle name="Normal 85 39" xfId="13895" xr:uid="{00000000-0005-0000-0000-000058670000}"/>
    <cellStyle name="Normal 85 39 2" xfId="26098" xr:uid="{00000000-0005-0000-0000-000059670000}"/>
    <cellStyle name="Normal 85 4" xfId="13896" xr:uid="{00000000-0005-0000-0000-00005A670000}"/>
    <cellStyle name="Normal 85 4 2" xfId="26099" xr:uid="{00000000-0005-0000-0000-00005B670000}"/>
    <cellStyle name="Normal 85 40" xfId="13897" xr:uid="{00000000-0005-0000-0000-00005C670000}"/>
    <cellStyle name="Normal 85 40 2" xfId="26100" xr:uid="{00000000-0005-0000-0000-00005D670000}"/>
    <cellStyle name="Normal 85 41" xfId="13898" xr:uid="{00000000-0005-0000-0000-00005E670000}"/>
    <cellStyle name="Normal 85 41 2" xfId="26101" xr:uid="{00000000-0005-0000-0000-00005F670000}"/>
    <cellStyle name="Normal 85 42" xfId="13899" xr:uid="{00000000-0005-0000-0000-000060670000}"/>
    <cellStyle name="Normal 85 42 2" xfId="26102" xr:uid="{00000000-0005-0000-0000-000061670000}"/>
    <cellStyle name="Normal 85 43" xfId="13900" xr:uid="{00000000-0005-0000-0000-000062670000}"/>
    <cellStyle name="Normal 85 43 2" xfId="26103" xr:uid="{00000000-0005-0000-0000-000063670000}"/>
    <cellStyle name="Normal 85 44" xfId="13901" xr:uid="{00000000-0005-0000-0000-000064670000}"/>
    <cellStyle name="Normal 85 44 2" xfId="26104" xr:uid="{00000000-0005-0000-0000-000065670000}"/>
    <cellStyle name="Normal 85 45" xfId="13902" xr:uid="{00000000-0005-0000-0000-000066670000}"/>
    <cellStyle name="Normal 85 45 2" xfId="26105" xr:uid="{00000000-0005-0000-0000-000067670000}"/>
    <cellStyle name="Normal 85 46" xfId="13903" xr:uid="{00000000-0005-0000-0000-000068670000}"/>
    <cellStyle name="Normal 85 46 2" xfId="26106" xr:uid="{00000000-0005-0000-0000-000069670000}"/>
    <cellStyle name="Normal 85 47" xfId="13904" xr:uid="{00000000-0005-0000-0000-00006A670000}"/>
    <cellStyle name="Normal 85 47 2" xfId="26107" xr:uid="{00000000-0005-0000-0000-00006B670000}"/>
    <cellStyle name="Normal 85 48" xfId="13905" xr:uid="{00000000-0005-0000-0000-00006C670000}"/>
    <cellStyle name="Normal 85 48 2" xfId="26108" xr:uid="{00000000-0005-0000-0000-00006D670000}"/>
    <cellStyle name="Normal 85 49" xfId="13906" xr:uid="{00000000-0005-0000-0000-00006E670000}"/>
    <cellStyle name="Normal 85 49 2" xfId="26109" xr:uid="{00000000-0005-0000-0000-00006F670000}"/>
    <cellStyle name="Normal 85 5" xfId="13907" xr:uid="{00000000-0005-0000-0000-000070670000}"/>
    <cellStyle name="Normal 85 5 2" xfId="26110" xr:uid="{00000000-0005-0000-0000-000071670000}"/>
    <cellStyle name="Normal 85 50" xfId="13908" xr:uid="{00000000-0005-0000-0000-000072670000}"/>
    <cellStyle name="Normal 85 50 2" xfId="26111" xr:uid="{00000000-0005-0000-0000-000073670000}"/>
    <cellStyle name="Normal 85 51" xfId="13909" xr:uid="{00000000-0005-0000-0000-000074670000}"/>
    <cellStyle name="Normal 85 51 2" xfId="26112" xr:uid="{00000000-0005-0000-0000-000075670000}"/>
    <cellStyle name="Normal 85 52" xfId="13910" xr:uid="{00000000-0005-0000-0000-000076670000}"/>
    <cellStyle name="Normal 85 52 2" xfId="26113" xr:uid="{00000000-0005-0000-0000-000077670000}"/>
    <cellStyle name="Normal 85 53" xfId="13911" xr:uid="{00000000-0005-0000-0000-000078670000}"/>
    <cellStyle name="Normal 85 53 2" xfId="26114" xr:uid="{00000000-0005-0000-0000-000079670000}"/>
    <cellStyle name="Normal 85 54" xfId="13912" xr:uid="{00000000-0005-0000-0000-00007A670000}"/>
    <cellStyle name="Normal 85 54 2" xfId="26115" xr:uid="{00000000-0005-0000-0000-00007B670000}"/>
    <cellStyle name="Normal 85 55" xfId="13913" xr:uid="{00000000-0005-0000-0000-00007C670000}"/>
    <cellStyle name="Normal 85 55 2" xfId="26116" xr:uid="{00000000-0005-0000-0000-00007D670000}"/>
    <cellStyle name="Normal 85 56" xfId="13914" xr:uid="{00000000-0005-0000-0000-00007E670000}"/>
    <cellStyle name="Normal 85 56 2" xfId="26117" xr:uid="{00000000-0005-0000-0000-00007F670000}"/>
    <cellStyle name="Normal 85 57" xfId="13915" xr:uid="{00000000-0005-0000-0000-000080670000}"/>
    <cellStyle name="Normal 85 57 2" xfId="26118" xr:uid="{00000000-0005-0000-0000-000081670000}"/>
    <cellStyle name="Normal 85 58" xfId="13916" xr:uid="{00000000-0005-0000-0000-000082670000}"/>
    <cellStyle name="Normal 85 58 2" xfId="26119" xr:uid="{00000000-0005-0000-0000-000083670000}"/>
    <cellStyle name="Normal 85 59" xfId="13917" xr:uid="{00000000-0005-0000-0000-000084670000}"/>
    <cellStyle name="Normal 85 59 2" xfId="26120" xr:uid="{00000000-0005-0000-0000-000085670000}"/>
    <cellStyle name="Normal 85 6" xfId="13918" xr:uid="{00000000-0005-0000-0000-000086670000}"/>
    <cellStyle name="Normal 85 6 2" xfId="26121" xr:uid="{00000000-0005-0000-0000-000087670000}"/>
    <cellStyle name="Normal 85 60" xfId="13919" xr:uid="{00000000-0005-0000-0000-000088670000}"/>
    <cellStyle name="Normal 85 60 2" xfId="26122" xr:uid="{00000000-0005-0000-0000-000089670000}"/>
    <cellStyle name="Normal 85 61" xfId="13920" xr:uid="{00000000-0005-0000-0000-00008A670000}"/>
    <cellStyle name="Normal 85 61 2" xfId="26123" xr:uid="{00000000-0005-0000-0000-00008B670000}"/>
    <cellStyle name="Normal 85 62" xfId="13921" xr:uid="{00000000-0005-0000-0000-00008C670000}"/>
    <cellStyle name="Normal 85 62 2" xfId="26124" xr:uid="{00000000-0005-0000-0000-00008D670000}"/>
    <cellStyle name="Normal 85 63" xfId="13922" xr:uid="{00000000-0005-0000-0000-00008E670000}"/>
    <cellStyle name="Normal 85 63 2" xfId="26125" xr:uid="{00000000-0005-0000-0000-00008F670000}"/>
    <cellStyle name="Normal 85 64" xfId="13923" xr:uid="{00000000-0005-0000-0000-000090670000}"/>
    <cellStyle name="Normal 85 64 2" xfId="26126" xr:uid="{00000000-0005-0000-0000-000091670000}"/>
    <cellStyle name="Normal 85 65" xfId="13924" xr:uid="{00000000-0005-0000-0000-000092670000}"/>
    <cellStyle name="Normal 85 65 2" xfId="26127" xr:uid="{00000000-0005-0000-0000-000093670000}"/>
    <cellStyle name="Normal 85 66" xfId="13925" xr:uid="{00000000-0005-0000-0000-000094670000}"/>
    <cellStyle name="Normal 85 66 2" xfId="26128" xr:uid="{00000000-0005-0000-0000-000095670000}"/>
    <cellStyle name="Normal 85 67" xfId="13926" xr:uid="{00000000-0005-0000-0000-000096670000}"/>
    <cellStyle name="Normal 85 67 2" xfId="26129" xr:uid="{00000000-0005-0000-0000-000097670000}"/>
    <cellStyle name="Normal 85 68" xfId="13927" xr:uid="{00000000-0005-0000-0000-000098670000}"/>
    <cellStyle name="Normal 85 68 2" xfId="26130" xr:uid="{00000000-0005-0000-0000-000099670000}"/>
    <cellStyle name="Normal 85 69" xfId="13928" xr:uid="{00000000-0005-0000-0000-00009A670000}"/>
    <cellStyle name="Normal 85 69 2" xfId="26131" xr:uid="{00000000-0005-0000-0000-00009B670000}"/>
    <cellStyle name="Normal 85 7" xfId="13929" xr:uid="{00000000-0005-0000-0000-00009C670000}"/>
    <cellStyle name="Normal 85 7 2" xfId="26132" xr:uid="{00000000-0005-0000-0000-00009D670000}"/>
    <cellStyle name="Normal 85 70" xfId="13930" xr:uid="{00000000-0005-0000-0000-00009E670000}"/>
    <cellStyle name="Normal 85 70 2" xfId="26133" xr:uid="{00000000-0005-0000-0000-00009F670000}"/>
    <cellStyle name="Normal 85 71" xfId="13931" xr:uid="{00000000-0005-0000-0000-0000A0670000}"/>
    <cellStyle name="Normal 85 71 2" xfId="26134" xr:uid="{00000000-0005-0000-0000-0000A1670000}"/>
    <cellStyle name="Normal 85 72" xfId="13932" xr:uid="{00000000-0005-0000-0000-0000A2670000}"/>
    <cellStyle name="Normal 85 72 2" xfId="26135" xr:uid="{00000000-0005-0000-0000-0000A3670000}"/>
    <cellStyle name="Normal 85 73" xfId="13933" xr:uid="{00000000-0005-0000-0000-0000A4670000}"/>
    <cellStyle name="Normal 85 73 2" xfId="26136" xr:uid="{00000000-0005-0000-0000-0000A5670000}"/>
    <cellStyle name="Normal 85 74" xfId="13934" xr:uid="{00000000-0005-0000-0000-0000A6670000}"/>
    <cellStyle name="Normal 85 74 2" xfId="26137" xr:uid="{00000000-0005-0000-0000-0000A7670000}"/>
    <cellStyle name="Normal 85 75" xfId="13935" xr:uid="{00000000-0005-0000-0000-0000A8670000}"/>
    <cellStyle name="Normal 85 75 2" xfId="26138" xr:uid="{00000000-0005-0000-0000-0000A9670000}"/>
    <cellStyle name="Normal 85 76" xfId="13936" xr:uid="{00000000-0005-0000-0000-0000AA670000}"/>
    <cellStyle name="Normal 85 76 2" xfId="26139" xr:uid="{00000000-0005-0000-0000-0000AB670000}"/>
    <cellStyle name="Normal 85 77" xfId="13937" xr:uid="{00000000-0005-0000-0000-0000AC670000}"/>
    <cellStyle name="Normal 85 77 2" xfId="26140" xr:uid="{00000000-0005-0000-0000-0000AD670000}"/>
    <cellStyle name="Normal 85 78" xfId="13938" xr:uid="{00000000-0005-0000-0000-0000AE670000}"/>
    <cellStyle name="Normal 85 78 2" xfId="26141" xr:uid="{00000000-0005-0000-0000-0000AF670000}"/>
    <cellStyle name="Normal 85 79" xfId="13939" xr:uid="{00000000-0005-0000-0000-0000B0670000}"/>
    <cellStyle name="Normal 85 79 2" xfId="26142" xr:uid="{00000000-0005-0000-0000-0000B1670000}"/>
    <cellStyle name="Normal 85 8" xfId="13940" xr:uid="{00000000-0005-0000-0000-0000B2670000}"/>
    <cellStyle name="Normal 85 8 2" xfId="26143" xr:uid="{00000000-0005-0000-0000-0000B3670000}"/>
    <cellStyle name="Normal 85 80" xfId="26066" xr:uid="{00000000-0005-0000-0000-0000B4670000}"/>
    <cellStyle name="Normal 85 9" xfId="13941" xr:uid="{00000000-0005-0000-0000-0000B5670000}"/>
    <cellStyle name="Normal 85 9 2" xfId="26144" xr:uid="{00000000-0005-0000-0000-0000B6670000}"/>
    <cellStyle name="Normal 86" xfId="212" xr:uid="{00000000-0005-0000-0000-0000B7670000}"/>
    <cellStyle name="Normal 86 10" xfId="13942" xr:uid="{00000000-0005-0000-0000-0000B8670000}"/>
    <cellStyle name="Normal 86 10 2" xfId="26146" xr:uid="{00000000-0005-0000-0000-0000B9670000}"/>
    <cellStyle name="Normal 86 11" xfId="13943" xr:uid="{00000000-0005-0000-0000-0000BA670000}"/>
    <cellStyle name="Normal 86 11 2" xfId="26147" xr:uid="{00000000-0005-0000-0000-0000BB670000}"/>
    <cellStyle name="Normal 86 12" xfId="13944" xr:uid="{00000000-0005-0000-0000-0000BC670000}"/>
    <cellStyle name="Normal 86 12 2" xfId="26148" xr:uid="{00000000-0005-0000-0000-0000BD670000}"/>
    <cellStyle name="Normal 86 13" xfId="13945" xr:uid="{00000000-0005-0000-0000-0000BE670000}"/>
    <cellStyle name="Normal 86 13 2" xfId="26149" xr:uid="{00000000-0005-0000-0000-0000BF670000}"/>
    <cellStyle name="Normal 86 14" xfId="13946" xr:uid="{00000000-0005-0000-0000-0000C0670000}"/>
    <cellStyle name="Normal 86 14 2" xfId="26150" xr:uid="{00000000-0005-0000-0000-0000C1670000}"/>
    <cellStyle name="Normal 86 15" xfId="13947" xr:uid="{00000000-0005-0000-0000-0000C2670000}"/>
    <cellStyle name="Normal 86 15 2" xfId="26151" xr:uid="{00000000-0005-0000-0000-0000C3670000}"/>
    <cellStyle name="Normal 86 16" xfId="13948" xr:uid="{00000000-0005-0000-0000-0000C4670000}"/>
    <cellStyle name="Normal 86 16 2" xfId="26152" xr:uid="{00000000-0005-0000-0000-0000C5670000}"/>
    <cellStyle name="Normal 86 17" xfId="13949" xr:uid="{00000000-0005-0000-0000-0000C6670000}"/>
    <cellStyle name="Normal 86 17 2" xfId="26153" xr:uid="{00000000-0005-0000-0000-0000C7670000}"/>
    <cellStyle name="Normal 86 18" xfId="13950" xr:uid="{00000000-0005-0000-0000-0000C8670000}"/>
    <cellStyle name="Normal 86 18 2" xfId="26154" xr:uid="{00000000-0005-0000-0000-0000C9670000}"/>
    <cellStyle name="Normal 86 19" xfId="13951" xr:uid="{00000000-0005-0000-0000-0000CA670000}"/>
    <cellStyle name="Normal 86 19 2" xfId="26155" xr:uid="{00000000-0005-0000-0000-0000CB670000}"/>
    <cellStyle name="Normal 86 2" xfId="777" xr:uid="{00000000-0005-0000-0000-0000CC670000}"/>
    <cellStyle name="Normal 86 2 2" xfId="26156" xr:uid="{00000000-0005-0000-0000-0000CD670000}"/>
    <cellStyle name="Normal 86 2 3" xfId="13952" xr:uid="{00000000-0005-0000-0000-0000CE670000}"/>
    <cellStyle name="Normal 86 20" xfId="13953" xr:uid="{00000000-0005-0000-0000-0000CF670000}"/>
    <cellStyle name="Normal 86 20 2" xfId="26157" xr:uid="{00000000-0005-0000-0000-0000D0670000}"/>
    <cellStyle name="Normal 86 21" xfId="13954" xr:uid="{00000000-0005-0000-0000-0000D1670000}"/>
    <cellStyle name="Normal 86 21 2" xfId="26158" xr:uid="{00000000-0005-0000-0000-0000D2670000}"/>
    <cellStyle name="Normal 86 22" xfId="13955" xr:uid="{00000000-0005-0000-0000-0000D3670000}"/>
    <cellStyle name="Normal 86 22 2" xfId="26159" xr:uid="{00000000-0005-0000-0000-0000D4670000}"/>
    <cellStyle name="Normal 86 23" xfId="13956" xr:uid="{00000000-0005-0000-0000-0000D5670000}"/>
    <cellStyle name="Normal 86 23 2" xfId="26160" xr:uid="{00000000-0005-0000-0000-0000D6670000}"/>
    <cellStyle name="Normal 86 24" xfId="13957" xr:uid="{00000000-0005-0000-0000-0000D7670000}"/>
    <cellStyle name="Normal 86 24 2" xfId="26161" xr:uid="{00000000-0005-0000-0000-0000D8670000}"/>
    <cellStyle name="Normal 86 25" xfId="13958" xr:uid="{00000000-0005-0000-0000-0000D9670000}"/>
    <cellStyle name="Normal 86 25 2" xfId="26162" xr:uid="{00000000-0005-0000-0000-0000DA670000}"/>
    <cellStyle name="Normal 86 26" xfId="13959" xr:uid="{00000000-0005-0000-0000-0000DB670000}"/>
    <cellStyle name="Normal 86 26 2" xfId="26163" xr:uid="{00000000-0005-0000-0000-0000DC670000}"/>
    <cellStyle name="Normal 86 27" xfId="13960" xr:uid="{00000000-0005-0000-0000-0000DD670000}"/>
    <cellStyle name="Normal 86 27 2" xfId="26164" xr:uid="{00000000-0005-0000-0000-0000DE670000}"/>
    <cellStyle name="Normal 86 28" xfId="13961" xr:uid="{00000000-0005-0000-0000-0000DF670000}"/>
    <cellStyle name="Normal 86 28 2" xfId="26165" xr:uid="{00000000-0005-0000-0000-0000E0670000}"/>
    <cellStyle name="Normal 86 29" xfId="13962" xr:uid="{00000000-0005-0000-0000-0000E1670000}"/>
    <cellStyle name="Normal 86 29 2" xfId="26166" xr:uid="{00000000-0005-0000-0000-0000E2670000}"/>
    <cellStyle name="Normal 86 3" xfId="427" xr:uid="{00000000-0005-0000-0000-0000E3670000}"/>
    <cellStyle name="Normal 86 3 2" xfId="26167" xr:uid="{00000000-0005-0000-0000-0000E4670000}"/>
    <cellStyle name="Normal 86 30" xfId="13963" xr:uid="{00000000-0005-0000-0000-0000E5670000}"/>
    <cellStyle name="Normal 86 30 2" xfId="26168" xr:uid="{00000000-0005-0000-0000-0000E6670000}"/>
    <cellStyle name="Normal 86 31" xfId="13964" xr:uid="{00000000-0005-0000-0000-0000E7670000}"/>
    <cellStyle name="Normal 86 31 2" xfId="26169" xr:uid="{00000000-0005-0000-0000-0000E8670000}"/>
    <cellStyle name="Normal 86 32" xfId="13965" xr:uid="{00000000-0005-0000-0000-0000E9670000}"/>
    <cellStyle name="Normal 86 32 2" xfId="26170" xr:uid="{00000000-0005-0000-0000-0000EA670000}"/>
    <cellStyle name="Normal 86 33" xfId="13966" xr:uid="{00000000-0005-0000-0000-0000EB670000}"/>
    <cellStyle name="Normal 86 33 2" xfId="26171" xr:uid="{00000000-0005-0000-0000-0000EC670000}"/>
    <cellStyle name="Normal 86 34" xfId="13967" xr:uid="{00000000-0005-0000-0000-0000ED670000}"/>
    <cellStyle name="Normal 86 34 2" xfId="26172" xr:uid="{00000000-0005-0000-0000-0000EE670000}"/>
    <cellStyle name="Normal 86 35" xfId="13968" xr:uid="{00000000-0005-0000-0000-0000EF670000}"/>
    <cellStyle name="Normal 86 35 2" xfId="26173" xr:uid="{00000000-0005-0000-0000-0000F0670000}"/>
    <cellStyle name="Normal 86 36" xfId="13969" xr:uid="{00000000-0005-0000-0000-0000F1670000}"/>
    <cellStyle name="Normal 86 36 2" xfId="26174" xr:uid="{00000000-0005-0000-0000-0000F2670000}"/>
    <cellStyle name="Normal 86 37" xfId="13970" xr:uid="{00000000-0005-0000-0000-0000F3670000}"/>
    <cellStyle name="Normal 86 37 2" xfId="26175" xr:uid="{00000000-0005-0000-0000-0000F4670000}"/>
    <cellStyle name="Normal 86 38" xfId="13971" xr:uid="{00000000-0005-0000-0000-0000F5670000}"/>
    <cellStyle name="Normal 86 38 2" xfId="26176" xr:uid="{00000000-0005-0000-0000-0000F6670000}"/>
    <cellStyle name="Normal 86 39" xfId="13972" xr:uid="{00000000-0005-0000-0000-0000F7670000}"/>
    <cellStyle name="Normal 86 39 2" xfId="26177" xr:uid="{00000000-0005-0000-0000-0000F8670000}"/>
    <cellStyle name="Normal 86 4" xfId="13973" xr:uid="{00000000-0005-0000-0000-0000F9670000}"/>
    <cellStyle name="Normal 86 4 2" xfId="26178" xr:uid="{00000000-0005-0000-0000-0000FA670000}"/>
    <cellStyle name="Normal 86 40" xfId="13974" xr:uid="{00000000-0005-0000-0000-0000FB670000}"/>
    <cellStyle name="Normal 86 40 2" xfId="26179" xr:uid="{00000000-0005-0000-0000-0000FC670000}"/>
    <cellStyle name="Normal 86 41" xfId="13975" xr:uid="{00000000-0005-0000-0000-0000FD670000}"/>
    <cellStyle name="Normal 86 41 2" xfId="26180" xr:uid="{00000000-0005-0000-0000-0000FE670000}"/>
    <cellStyle name="Normal 86 42" xfId="13976" xr:uid="{00000000-0005-0000-0000-0000FF670000}"/>
    <cellStyle name="Normal 86 42 2" xfId="26181" xr:uid="{00000000-0005-0000-0000-000000680000}"/>
    <cellStyle name="Normal 86 43" xfId="13977" xr:uid="{00000000-0005-0000-0000-000001680000}"/>
    <cellStyle name="Normal 86 43 2" xfId="26182" xr:uid="{00000000-0005-0000-0000-000002680000}"/>
    <cellStyle name="Normal 86 44" xfId="13978" xr:uid="{00000000-0005-0000-0000-000003680000}"/>
    <cellStyle name="Normal 86 44 2" xfId="26183" xr:uid="{00000000-0005-0000-0000-000004680000}"/>
    <cellStyle name="Normal 86 45" xfId="13979" xr:uid="{00000000-0005-0000-0000-000005680000}"/>
    <cellStyle name="Normal 86 45 2" xfId="26184" xr:uid="{00000000-0005-0000-0000-000006680000}"/>
    <cellStyle name="Normal 86 46" xfId="13980" xr:uid="{00000000-0005-0000-0000-000007680000}"/>
    <cellStyle name="Normal 86 46 2" xfId="26185" xr:uid="{00000000-0005-0000-0000-000008680000}"/>
    <cellStyle name="Normal 86 47" xfId="13981" xr:uid="{00000000-0005-0000-0000-000009680000}"/>
    <cellStyle name="Normal 86 47 2" xfId="26186" xr:uid="{00000000-0005-0000-0000-00000A680000}"/>
    <cellStyle name="Normal 86 48" xfId="13982" xr:uid="{00000000-0005-0000-0000-00000B680000}"/>
    <cellStyle name="Normal 86 48 2" xfId="26187" xr:uid="{00000000-0005-0000-0000-00000C680000}"/>
    <cellStyle name="Normal 86 49" xfId="13983" xr:uid="{00000000-0005-0000-0000-00000D680000}"/>
    <cellStyle name="Normal 86 49 2" xfId="26188" xr:uid="{00000000-0005-0000-0000-00000E680000}"/>
    <cellStyle name="Normal 86 5" xfId="13984" xr:uid="{00000000-0005-0000-0000-00000F680000}"/>
    <cellStyle name="Normal 86 5 2" xfId="26189" xr:uid="{00000000-0005-0000-0000-000010680000}"/>
    <cellStyle name="Normal 86 50" xfId="13985" xr:uid="{00000000-0005-0000-0000-000011680000}"/>
    <cellStyle name="Normal 86 50 2" xfId="26190" xr:uid="{00000000-0005-0000-0000-000012680000}"/>
    <cellStyle name="Normal 86 51" xfId="13986" xr:uid="{00000000-0005-0000-0000-000013680000}"/>
    <cellStyle name="Normal 86 51 2" xfId="26191" xr:uid="{00000000-0005-0000-0000-000014680000}"/>
    <cellStyle name="Normal 86 52" xfId="13987" xr:uid="{00000000-0005-0000-0000-000015680000}"/>
    <cellStyle name="Normal 86 52 2" xfId="26192" xr:uid="{00000000-0005-0000-0000-000016680000}"/>
    <cellStyle name="Normal 86 53" xfId="13988" xr:uid="{00000000-0005-0000-0000-000017680000}"/>
    <cellStyle name="Normal 86 53 2" xfId="26193" xr:uid="{00000000-0005-0000-0000-000018680000}"/>
    <cellStyle name="Normal 86 54" xfId="13989" xr:uid="{00000000-0005-0000-0000-000019680000}"/>
    <cellStyle name="Normal 86 54 2" xfId="26194" xr:uid="{00000000-0005-0000-0000-00001A680000}"/>
    <cellStyle name="Normal 86 55" xfId="13990" xr:uid="{00000000-0005-0000-0000-00001B680000}"/>
    <cellStyle name="Normal 86 55 2" xfId="26195" xr:uid="{00000000-0005-0000-0000-00001C680000}"/>
    <cellStyle name="Normal 86 56" xfId="13991" xr:uid="{00000000-0005-0000-0000-00001D680000}"/>
    <cellStyle name="Normal 86 56 2" xfId="26196" xr:uid="{00000000-0005-0000-0000-00001E680000}"/>
    <cellStyle name="Normal 86 57" xfId="13992" xr:uid="{00000000-0005-0000-0000-00001F680000}"/>
    <cellStyle name="Normal 86 57 2" xfId="26197" xr:uid="{00000000-0005-0000-0000-000020680000}"/>
    <cellStyle name="Normal 86 58" xfId="13993" xr:uid="{00000000-0005-0000-0000-000021680000}"/>
    <cellStyle name="Normal 86 58 2" xfId="26198" xr:uid="{00000000-0005-0000-0000-000022680000}"/>
    <cellStyle name="Normal 86 59" xfId="13994" xr:uid="{00000000-0005-0000-0000-000023680000}"/>
    <cellStyle name="Normal 86 59 2" xfId="26199" xr:uid="{00000000-0005-0000-0000-000024680000}"/>
    <cellStyle name="Normal 86 6" xfId="13995" xr:uid="{00000000-0005-0000-0000-000025680000}"/>
    <cellStyle name="Normal 86 6 2" xfId="26200" xr:uid="{00000000-0005-0000-0000-000026680000}"/>
    <cellStyle name="Normal 86 60" xfId="13996" xr:uid="{00000000-0005-0000-0000-000027680000}"/>
    <cellStyle name="Normal 86 60 2" xfId="26201" xr:uid="{00000000-0005-0000-0000-000028680000}"/>
    <cellStyle name="Normal 86 61" xfId="13997" xr:uid="{00000000-0005-0000-0000-000029680000}"/>
    <cellStyle name="Normal 86 61 2" xfId="26202" xr:uid="{00000000-0005-0000-0000-00002A680000}"/>
    <cellStyle name="Normal 86 62" xfId="13998" xr:uid="{00000000-0005-0000-0000-00002B680000}"/>
    <cellStyle name="Normal 86 62 2" xfId="26203" xr:uid="{00000000-0005-0000-0000-00002C680000}"/>
    <cellStyle name="Normal 86 63" xfId="13999" xr:uid="{00000000-0005-0000-0000-00002D680000}"/>
    <cellStyle name="Normal 86 63 2" xfId="26204" xr:uid="{00000000-0005-0000-0000-00002E680000}"/>
    <cellStyle name="Normal 86 64" xfId="14000" xr:uid="{00000000-0005-0000-0000-00002F680000}"/>
    <cellStyle name="Normal 86 64 2" xfId="26205" xr:uid="{00000000-0005-0000-0000-000030680000}"/>
    <cellStyle name="Normal 86 65" xfId="14001" xr:uid="{00000000-0005-0000-0000-000031680000}"/>
    <cellStyle name="Normal 86 65 2" xfId="26206" xr:uid="{00000000-0005-0000-0000-000032680000}"/>
    <cellStyle name="Normal 86 66" xfId="14002" xr:uid="{00000000-0005-0000-0000-000033680000}"/>
    <cellStyle name="Normal 86 66 2" xfId="26207" xr:uid="{00000000-0005-0000-0000-000034680000}"/>
    <cellStyle name="Normal 86 67" xfId="14003" xr:uid="{00000000-0005-0000-0000-000035680000}"/>
    <cellStyle name="Normal 86 67 2" xfId="26208" xr:uid="{00000000-0005-0000-0000-000036680000}"/>
    <cellStyle name="Normal 86 68" xfId="14004" xr:uid="{00000000-0005-0000-0000-000037680000}"/>
    <cellStyle name="Normal 86 68 2" xfId="26209" xr:uid="{00000000-0005-0000-0000-000038680000}"/>
    <cellStyle name="Normal 86 69" xfId="14005" xr:uid="{00000000-0005-0000-0000-000039680000}"/>
    <cellStyle name="Normal 86 69 2" xfId="26210" xr:uid="{00000000-0005-0000-0000-00003A680000}"/>
    <cellStyle name="Normal 86 7" xfId="14006" xr:uid="{00000000-0005-0000-0000-00003B680000}"/>
    <cellStyle name="Normal 86 7 2" xfId="26211" xr:uid="{00000000-0005-0000-0000-00003C680000}"/>
    <cellStyle name="Normal 86 70" xfId="14007" xr:uid="{00000000-0005-0000-0000-00003D680000}"/>
    <cellStyle name="Normal 86 70 2" xfId="26212" xr:uid="{00000000-0005-0000-0000-00003E680000}"/>
    <cellStyle name="Normal 86 71" xfId="14008" xr:uid="{00000000-0005-0000-0000-00003F680000}"/>
    <cellStyle name="Normal 86 71 2" xfId="26213" xr:uid="{00000000-0005-0000-0000-000040680000}"/>
    <cellStyle name="Normal 86 72" xfId="14009" xr:uid="{00000000-0005-0000-0000-000041680000}"/>
    <cellStyle name="Normal 86 72 2" xfId="26214" xr:uid="{00000000-0005-0000-0000-000042680000}"/>
    <cellStyle name="Normal 86 73" xfId="14010" xr:uid="{00000000-0005-0000-0000-000043680000}"/>
    <cellStyle name="Normal 86 73 2" xfId="26215" xr:uid="{00000000-0005-0000-0000-000044680000}"/>
    <cellStyle name="Normal 86 74" xfId="14011" xr:uid="{00000000-0005-0000-0000-000045680000}"/>
    <cellStyle name="Normal 86 74 2" xfId="26216" xr:uid="{00000000-0005-0000-0000-000046680000}"/>
    <cellStyle name="Normal 86 75" xfId="14012" xr:uid="{00000000-0005-0000-0000-000047680000}"/>
    <cellStyle name="Normal 86 75 2" xfId="26217" xr:uid="{00000000-0005-0000-0000-000048680000}"/>
    <cellStyle name="Normal 86 76" xfId="14013" xr:uid="{00000000-0005-0000-0000-000049680000}"/>
    <cellStyle name="Normal 86 76 2" xfId="26218" xr:uid="{00000000-0005-0000-0000-00004A680000}"/>
    <cellStyle name="Normal 86 77" xfId="14014" xr:uid="{00000000-0005-0000-0000-00004B680000}"/>
    <cellStyle name="Normal 86 77 2" xfId="26219" xr:uid="{00000000-0005-0000-0000-00004C680000}"/>
    <cellStyle name="Normal 86 78" xfId="14015" xr:uid="{00000000-0005-0000-0000-00004D680000}"/>
    <cellStyle name="Normal 86 78 2" xfId="26220" xr:uid="{00000000-0005-0000-0000-00004E680000}"/>
    <cellStyle name="Normal 86 79" xfId="14016" xr:uid="{00000000-0005-0000-0000-00004F680000}"/>
    <cellStyle name="Normal 86 79 2" xfId="26221" xr:uid="{00000000-0005-0000-0000-000050680000}"/>
    <cellStyle name="Normal 86 8" xfId="14017" xr:uid="{00000000-0005-0000-0000-000051680000}"/>
    <cellStyle name="Normal 86 8 2" xfId="26222" xr:uid="{00000000-0005-0000-0000-000052680000}"/>
    <cellStyle name="Normal 86 80" xfId="26145" xr:uid="{00000000-0005-0000-0000-000053680000}"/>
    <cellStyle name="Normal 86 9" xfId="14018" xr:uid="{00000000-0005-0000-0000-000054680000}"/>
    <cellStyle name="Normal 86 9 2" xfId="26223" xr:uid="{00000000-0005-0000-0000-000055680000}"/>
    <cellStyle name="Normal 87" xfId="65" xr:uid="{00000000-0005-0000-0000-000056680000}"/>
    <cellStyle name="Normal 87 10" xfId="14019" xr:uid="{00000000-0005-0000-0000-000057680000}"/>
    <cellStyle name="Normal 87 10 2" xfId="26225" xr:uid="{00000000-0005-0000-0000-000058680000}"/>
    <cellStyle name="Normal 87 11" xfId="14020" xr:uid="{00000000-0005-0000-0000-000059680000}"/>
    <cellStyle name="Normal 87 11 2" xfId="26226" xr:uid="{00000000-0005-0000-0000-00005A680000}"/>
    <cellStyle name="Normal 87 12" xfId="14021" xr:uid="{00000000-0005-0000-0000-00005B680000}"/>
    <cellStyle name="Normal 87 12 2" xfId="26227" xr:uid="{00000000-0005-0000-0000-00005C680000}"/>
    <cellStyle name="Normal 87 13" xfId="14022" xr:uid="{00000000-0005-0000-0000-00005D680000}"/>
    <cellStyle name="Normal 87 13 2" xfId="26228" xr:uid="{00000000-0005-0000-0000-00005E680000}"/>
    <cellStyle name="Normal 87 14" xfId="14023" xr:uid="{00000000-0005-0000-0000-00005F680000}"/>
    <cellStyle name="Normal 87 14 2" xfId="26229" xr:uid="{00000000-0005-0000-0000-000060680000}"/>
    <cellStyle name="Normal 87 15" xfId="14024" xr:uid="{00000000-0005-0000-0000-000061680000}"/>
    <cellStyle name="Normal 87 15 2" xfId="26230" xr:uid="{00000000-0005-0000-0000-000062680000}"/>
    <cellStyle name="Normal 87 16" xfId="14025" xr:uid="{00000000-0005-0000-0000-000063680000}"/>
    <cellStyle name="Normal 87 16 2" xfId="26231" xr:uid="{00000000-0005-0000-0000-000064680000}"/>
    <cellStyle name="Normal 87 17" xfId="14026" xr:uid="{00000000-0005-0000-0000-000065680000}"/>
    <cellStyle name="Normal 87 17 2" xfId="26232" xr:uid="{00000000-0005-0000-0000-000066680000}"/>
    <cellStyle name="Normal 87 18" xfId="14027" xr:uid="{00000000-0005-0000-0000-000067680000}"/>
    <cellStyle name="Normal 87 18 2" xfId="26233" xr:uid="{00000000-0005-0000-0000-000068680000}"/>
    <cellStyle name="Normal 87 19" xfId="14028" xr:uid="{00000000-0005-0000-0000-000069680000}"/>
    <cellStyle name="Normal 87 19 2" xfId="26234" xr:uid="{00000000-0005-0000-0000-00006A680000}"/>
    <cellStyle name="Normal 87 2" xfId="778" xr:uid="{00000000-0005-0000-0000-00006B680000}"/>
    <cellStyle name="Normal 87 2 2" xfId="26235" xr:uid="{00000000-0005-0000-0000-00006C680000}"/>
    <cellStyle name="Normal 87 2 3" xfId="14029" xr:uid="{00000000-0005-0000-0000-00006D680000}"/>
    <cellStyle name="Normal 87 20" xfId="14030" xr:uid="{00000000-0005-0000-0000-00006E680000}"/>
    <cellStyle name="Normal 87 20 2" xfId="26236" xr:uid="{00000000-0005-0000-0000-00006F680000}"/>
    <cellStyle name="Normal 87 21" xfId="14031" xr:uid="{00000000-0005-0000-0000-000070680000}"/>
    <cellStyle name="Normal 87 21 2" xfId="26237" xr:uid="{00000000-0005-0000-0000-000071680000}"/>
    <cellStyle name="Normal 87 22" xfId="14032" xr:uid="{00000000-0005-0000-0000-000072680000}"/>
    <cellStyle name="Normal 87 22 2" xfId="26238" xr:uid="{00000000-0005-0000-0000-000073680000}"/>
    <cellStyle name="Normal 87 23" xfId="14033" xr:uid="{00000000-0005-0000-0000-000074680000}"/>
    <cellStyle name="Normal 87 23 2" xfId="26239" xr:uid="{00000000-0005-0000-0000-000075680000}"/>
    <cellStyle name="Normal 87 24" xfId="14034" xr:uid="{00000000-0005-0000-0000-000076680000}"/>
    <cellStyle name="Normal 87 24 2" xfId="26240" xr:uid="{00000000-0005-0000-0000-000077680000}"/>
    <cellStyle name="Normal 87 25" xfId="14035" xr:uid="{00000000-0005-0000-0000-000078680000}"/>
    <cellStyle name="Normal 87 25 2" xfId="26241" xr:uid="{00000000-0005-0000-0000-000079680000}"/>
    <cellStyle name="Normal 87 26" xfId="14036" xr:uid="{00000000-0005-0000-0000-00007A680000}"/>
    <cellStyle name="Normal 87 26 2" xfId="26242" xr:uid="{00000000-0005-0000-0000-00007B680000}"/>
    <cellStyle name="Normal 87 27" xfId="14037" xr:uid="{00000000-0005-0000-0000-00007C680000}"/>
    <cellStyle name="Normal 87 27 2" xfId="26243" xr:uid="{00000000-0005-0000-0000-00007D680000}"/>
    <cellStyle name="Normal 87 28" xfId="14038" xr:uid="{00000000-0005-0000-0000-00007E680000}"/>
    <cellStyle name="Normal 87 28 2" xfId="26244" xr:uid="{00000000-0005-0000-0000-00007F680000}"/>
    <cellStyle name="Normal 87 29" xfId="14039" xr:uid="{00000000-0005-0000-0000-000080680000}"/>
    <cellStyle name="Normal 87 29 2" xfId="26245" xr:uid="{00000000-0005-0000-0000-000081680000}"/>
    <cellStyle name="Normal 87 3" xfId="428" xr:uid="{00000000-0005-0000-0000-000082680000}"/>
    <cellStyle name="Normal 87 3 2" xfId="26246" xr:uid="{00000000-0005-0000-0000-000083680000}"/>
    <cellStyle name="Normal 87 30" xfId="14040" xr:uid="{00000000-0005-0000-0000-000084680000}"/>
    <cellStyle name="Normal 87 30 2" xfId="26247" xr:uid="{00000000-0005-0000-0000-000085680000}"/>
    <cellStyle name="Normal 87 31" xfId="14041" xr:uid="{00000000-0005-0000-0000-000086680000}"/>
    <cellStyle name="Normal 87 31 2" xfId="26248" xr:uid="{00000000-0005-0000-0000-000087680000}"/>
    <cellStyle name="Normal 87 32" xfId="14042" xr:uid="{00000000-0005-0000-0000-000088680000}"/>
    <cellStyle name="Normal 87 32 2" xfId="26249" xr:uid="{00000000-0005-0000-0000-000089680000}"/>
    <cellStyle name="Normal 87 33" xfId="14043" xr:uid="{00000000-0005-0000-0000-00008A680000}"/>
    <cellStyle name="Normal 87 33 2" xfId="26250" xr:uid="{00000000-0005-0000-0000-00008B680000}"/>
    <cellStyle name="Normal 87 34" xfId="14044" xr:uid="{00000000-0005-0000-0000-00008C680000}"/>
    <cellStyle name="Normal 87 34 2" xfId="26251" xr:uid="{00000000-0005-0000-0000-00008D680000}"/>
    <cellStyle name="Normal 87 35" xfId="14045" xr:uid="{00000000-0005-0000-0000-00008E680000}"/>
    <cellStyle name="Normal 87 35 2" xfId="26252" xr:uid="{00000000-0005-0000-0000-00008F680000}"/>
    <cellStyle name="Normal 87 36" xfId="14046" xr:uid="{00000000-0005-0000-0000-000090680000}"/>
    <cellStyle name="Normal 87 36 2" xfId="26253" xr:uid="{00000000-0005-0000-0000-000091680000}"/>
    <cellStyle name="Normal 87 37" xfId="14047" xr:uid="{00000000-0005-0000-0000-000092680000}"/>
    <cellStyle name="Normal 87 37 2" xfId="26254" xr:uid="{00000000-0005-0000-0000-000093680000}"/>
    <cellStyle name="Normal 87 38" xfId="14048" xr:uid="{00000000-0005-0000-0000-000094680000}"/>
    <cellStyle name="Normal 87 38 2" xfId="26255" xr:uid="{00000000-0005-0000-0000-000095680000}"/>
    <cellStyle name="Normal 87 39" xfId="14049" xr:uid="{00000000-0005-0000-0000-000096680000}"/>
    <cellStyle name="Normal 87 39 2" xfId="26256" xr:uid="{00000000-0005-0000-0000-000097680000}"/>
    <cellStyle name="Normal 87 4" xfId="213" xr:uid="{00000000-0005-0000-0000-000098680000}"/>
    <cellStyle name="Normal 87 4 2" xfId="26257" xr:uid="{00000000-0005-0000-0000-000099680000}"/>
    <cellStyle name="Normal 87 4 3" xfId="14050" xr:uid="{00000000-0005-0000-0000-00009A680000}"/>
    <cellStyle name="Normal 87 40" xfId="14051" xr:uid="{00000000-0005-0000-0000-00009B680000}"/>
    <cellStyle name="Normal 87 40 2" xfId="26258" xr:uid="{00000000-0005-0000-0000-00009C680000}"/>
    <cellStyle name="Normal 87 41" xfId="14052" xr:uid="{00000000-0005-0000-0000-00009D680000}"/>
    <cellStyle name="Normal 87 41 2" xfId="26259" xr:uid="{00000000-0005-0000-0000-00009E680000}"/>
    <cellStyle name="Normal 87 42" xfId="14053" xr:uid="{00000000-0005-0000-0000-00009F680000}"/>
    <cellStyle name="Normal 87 42 2" xfId="26260" xr:uid="{00000000-0005-0000-0000-0000A0680000}"/>
    <cellStyle name="Normal 87 43" xfId="14054" xr:uid="{00000000-0005-0000-0000-0000A1680000}"/>
    <cellStyle name="Normal 87 43 2" xfId="26261" xr:uid="{00000000-0005-0000-0000-0000A2680000}"/>
    <cellStyle name="Normal 87 44" xfId="14055" xr:uid="{00000000-0005-0000-0000-0000A3680000}"/>
    <cellStyle name="Normal 87 44 2" xfId="26262" xr:uid="{00000000-0005-0000-0000-0000A4680000}"/>
    <cellStyle name="Normal 87 45" xfId="14056" xr:uid="{00000000-0005-0000-0000-0000A5680000}"/>
    <cellStyle name="Normal 87 45 2" xfId="26263" xr:uid="{00000000-0005-0000-0000-0000A6680000}"/>
    <cellStyle name="Normal 87 46" xfId="14057" xr:uid="{00000000-0005-0000-0000-0000A7680000}"/>
    <cellStyle name="Normal 87 46 2" xfId="26264" xr:uid="{00000000-0005-0000-0000-0000A8680000}"/>
    <cellStyle name="Normal 87 47" xfId="14058" xr:uid="{00000000-0005-0000-0000-0000A9680000}"/>
    <cellStyle name="Normal 87 47 2" xfId="26265" xr:uid="{00000000-0005-0000-0000-0000AA680000}"/>
    <cellStyle name="Normal 87 48" xfId="14059" xr:uid="{00000000-0005-0000-0000-0000AB680000}"/>
    <cellStyle name="Normal 87 48 2" xfId="26266" xr:uid="{00000000-0005-0000-0000-0000AC680000}"/>
    <cellStyle name="Normal 87 49" xfId="14060" xr:uid="{00000000-0005-0000-0000-0000AD680000}"/>
    <cellStyle name="Normal 87 49 2" xfId="26267" xr:uid="{00000000-0005-0000-0000-0000AE680000}"/>
    <cellStyle name="Normal 87 5" xfId="14061" xr:uid="{00000000-0005-0000-0000-0000AF680000}"/>
    <cellStyle name="Normal 87 5 2" xfId="26268" xr:uid="{00000000-0005-0000-0000-0000B0680000}"/>
    <cellStyle name="Normal 87 50" xfId="14062" xr:uid="{00000000-0005-0000-0000-0000B1680000}"/>
    <cellStyle name="Normal 87 50 2" xfId="26269" xr:uid="{00000000-0005-0000-0000-0000B2680000}"/>
    <cellStyle name="Normal 87 51" xfId="14063" xr:uid="{00000000-0005-0000-0000-0000B3680000}"/>
    <cellStyle name="Normal 87 51 2" xfId="26270" xr:uid="{00000000-0005-0000-0000-0000B4680000}"/>
    <cellStyle name="Normal 87 52" xfId="14064" xr:uid="{00000000-0005-0000-0000-0000B5680000}"/>
    <cellStyle name="Normal 87 52 2" xfId="26271" xr:uid="{00000000-0005-0000-0000-0000B6680000}"/>
    <cellStyle name="Normal 87 53" xfId="14065" xr:uid="{00000000-0005-0000-0000-0000B7680000}"/>
    <cellStyle name="Normal 87 53 2" xfId="26272" xr:uid="{00000000-0005-0000-0000-0000B8680000}"/>
    <cellStyle name="Normal 87 54" xfId="14066" xr:uid="{00000000-0005-0000-0000-0000B9680000}"/>
    <cellStyle name="Normal 87 54 2" xfId="26273" xr:uid="{00000000-0005-0000-0000-0000BA680000}"/>
    <cellStyle name="Normal 87 55" xfId="14067" xr:uid="{00000000-0005-0000-0000-0000BB680000}"/>
    <cellStyle name="Normal 87 55 2" xfId="26274" xr:uid="{00000000-0005-0000-0000-0000BC680000}"/>
    <cellStyle name="Normal 87 56" xfId="14068" xr:uid="{00000000-0005-0000-0000-0000BD680000}"/>
    <cellStyle name="Normal 87 56 2" xfId="26275" xr:uid="{00000000-0005-0000-0000-0000BE680000}"/>
    <cellStyle name="Normal 87 57" xfId="14069" xr:uid="{00000000-0005-0000-0000-0000BF680000}"/>
    <cellStyle name="Normal 87 57 2" xfId="26276" xr:uid="{00000000-0005-0000-0000-0000C0680000}"/>
    <cellStyle name="Normal 87 58" xfId="14070" xr:uid="{00000000-0005-0000-0000-0000C1680000}"/>
    <cellStyle name="Normal 87 58 2" xfId="26277" xr:uid="{00000000-0005-0000-0000-0000C2680000}"/>
    <cellStyle name="Normal 87 59" xfId="14071" xr:uid="{00000000-0005-0000-0000-0000C3680000}"/>
    <cellStyle name="Normal 87 59 2" xfId="26278" xr:uid="{00000000-0005-0000-0000-0000C4680000}"/>
    <cellStyle name="Normal 87 6" xfId="14072" xr:uid="{00000000-0005-0000-0000-0000C5680000}"/>
    <cellStyle name="Normal 87 6 2" xfId="26279" xr:uid="{00000000-0005-0000-0000-0000C6680000}"/>
    <cellStyle name="Normal 87 60" xfId="14073" xr:uid="{00000000-0005-0000-0000-0000C7680000}"/>
    <cellStyle name="Normal 87 60 2" xfId="26280" xr:uid="{00000000-0005-0000-0000-0000C8680000}"/>
    <cellStyle name="Normal 87 61" xfId="14074" xr:uid="{00000000-0005-0000-0000-0000C9680000}"/>
    <cellStyle name="Normal 87 61 2" xfId="26281" xr:uid="{00000000-0005-0000-0000-0000CA680000}"/>
    <cellStyle name="Normal 87 62" xfId="14075" xr:uid="{00000000-0005-0000-0000-0000CB680000}"/>
    <cellStyle name="Normal 87 62 2" xfId="26282" xr:uid="{00000000-0005-0000-0000-0000CC680000}"/>
    <cellStyle name="Normal 87 63" xfId="14076" xr:uid="{00000000-0005-0000-0000-0000CD680000}"/>
    <cellStyle name="Normal 87 63 2" xfId="26283" xr:uid="{00000000-0005-0000-0000-0000CE680000}"/>
    <cellStyle name="Normal 87 64" xfId="14077" xr:uid="{00000000-0005-0000-0000-0000CF680000}"/>
    <cellStyle name="Normal 87 64 2" xfId="26284" xr:uid="{00000000-0005-0000-0000-0000D0680000}"/>
    <cellStyle name="Normal 87 65" xfId="14078" xr:uid="{00000000-0005-0000-0000-0000D1680000}"/>
    <cellStyle name="Normal 87 65 2" xfId="26285" xr:uid="{00000000-0005-0000-0000-0000D2680000}"/>
    <cellStyle name="Normal 87 66" xfId="14079" xr:uid="{00000000-0005-0000-0000-0000D3680000}"/>
    <cellStyle name="Normal 87 66 2" xfId="26286" xr:uid="{00000000-0005-0000-0000-0000D4680000}"/>
    <cellStyle name="Normal 87 67" xfId="14080" xr:uid="{00000000-0005-0000-0000-0000D5680000}"/>
    <cellStyle name="Normal 87 67 2" xfId="26287" xr:uid="{00000000-0005-0000-0000-0000D6680000}"/>
    <cellStyle name="Normal 87 68" xfId="14081" xr:uid="{00000000-0005-0000-0000-0000D7680000}"/>
    <cellStyle name="Normal 87 68 2" xfId="26288" xr:uid="{00000000-0005-0000-0000-0000D8680000}"/>
    <cellStyle name="Normal 87 69" xfId="14082" xr:uid="{00000000-0005-0000-0000-0000D9680000}"/>
    <cellStyle name="Normal 87 69 2" xfId="26289" xr:uid="{00000000-0005-0000-0000-0000DA680000}"/>
    <cellStyle name="Normal 87 7" xfId="14083" xr:uid="{00000000-0005-0000-0000-0000DB680000}"/>
    <cellStyle name="Normal 87 7 2" xfId="26290" xr:uid="{00000000-0005-0000-0000-0000DC680000}"/>
    <cellStyle name="Normal 87 70" xfId="14084" xr:uid="{00000000-0005-0000-0000-0000DD680000}"/>
    <cellStyle name="Normal 87 70 2" xfId="26291" xr:uid="{00000000-0005-0000-0000-0000DE680000}"/>
    <cellStyle name="Normal 87 71" xfId="14085" xr:uid="{00000000-0005-0000-0000-0000DF680000}"/>
    <cellStyle name="Normal 87 71 2" xfId="26292" xr:uid="{00000000-0005-0000-0000-0000E0680000}"/>
    <cellStyle name="Normal 87 72" xfId="14086" xr:uid="{00000000-0005-0000-0000-0000E1680000}"/>
    <cellStyle name="Normal 87 72 2" xfId="26293" xr:uid="{00000000-0005-0000-0000-0000E2680000}"/>
    <cellStyle name="Normal 87 73" xfId="14087" xr:uid="{00000000-0005-0000-0000-0000E3680000}"/>
    <cellStyle name="Normal 87 73 2" xfId="26294" xr:uid="{00000000-0005-0000-0000-0000E4680000}"/>
    <cellStyle name="Normal 87 74" xfId="14088" xr:uid="{00000000-0005-0000-0000-0000E5680000}"/>
    <cellStyle name="Normal 87 74 2" xfId="26295" xr:uid="{00000000-0005-0000-0000-0000E6680000}"/>
    <cellStyle name="Normal 87 75" xfId="14089" xr:uid="{00000000-0005-0000-0000-0000E7680000}"/>
    <cellStyle name="Normal 87 75 2" xfId="26296" xr:uid="{00000000-0005-0000-0000-0000E8680000}"/>
    <cellStyle name="Normal 87 76" xfId="14090" xr:uid="{00000000-0005-0000-0000-0000E9680000}"/>
    <cellStyle name="Normal 87 76 2" xfId="26297" xr:uid="{00000000-0005-0000-0000-0000EA680000}"/>
    <cellStyle name="Normal 87 77" xfId="14091" xr:uid="{00000000-0005-0000-0000-0000EB680000}"/>
    <cellStyle name="Normal 87 77 2" xfId="26298" xr:uid="{00000000-0005-0000-0000-0000EC680000}"/>
    <cellStyle name="Normal 87 78" xfId="14092" xr:uid="{00000000-0005-0000-0000-0000ED680000}"/>
    <cellStyle name="Normal 87 78 2" xfId="26299" xr:uid="{00000000-0005-0000-0000-0000EE680000}"/>
    <cellStyle name="Normal 87 79" xfId="14093" xr:uid="{00000000-0005-0000-0000-0000EF680000}"/>
    <cellStyle name="Normal 87 79 2" xfId="26300" xr:uid="{00000000-0005-0000-0000-0000F0680000}"/>
    <cellStyle name="Normal 87 8" xfId="14094" xr:uid="{00000000-0005-0000-0000-0000F1680000}"/>
    <cellStyle name="Normal 87 8 2" xfId="26301" xr:uid="{00000000-0005-0000-0000-0000F2680000}"/>
    <cellStyle name="Normal 87 80" xfId="26224" xr:uid="{00000000-0005-0000-0000-0000F3680000}"/>
    <cellStyle name="Normal 87 9" xfId="14095" xr:uid="{00000000-0005-0000-0000-0000F4680000}"/>
    <cellStyle name="Normal 87 9 2" xfId="26302" xr:uid="{00000000-0005-0000-0000-0000F5680000}"/>
    <cellStyle name="Normal 88" xfId="66" xr:uid="{00000000-0005-0000-0000-0000F6680000}"/>
    <cellStyle name="Normal 88 10" xfId="14096" xr:uid="{00000000-0005-0000-0000-0000F7680000}"/>
    <cellStyle name="Normal 88 10 2" xfId="26304" xr:uid="{00000000-0005-0000-0000-0000F8680000}"/>
    <cellStyle name="Normal 88 11" xfId="14097" xr:uid="{00000000-0005-0000-0000-0000F9680000}"/>
    <cellStyle name="Normal 88 11 2" xfId="26305" xr:uid="{00000000-0005-0000-0000-0000FA680000}"/>
    <cellStyle name="Normal 88 12" xfId="14098" xr:uid="{00000000-0005-0000-0000-0000FB680000}"/>
    <cellStyle name="Normal 88 12 2" xfId="26306" xr:uid="{00000000-0005-0000-0000-0000FC680000}"/>
    <cellStyle name="Normal 88 13" xfId="14099" xr:uid="{00000000-0005-0000-0000-0000FD680000}"/>
    <cellStyle name="Normal 88 13 2" xfId="26307" xr:uid="{00000000-0005-0000-0000-0000FE680000}"/>
    <cellStyle name="Normal 88 14" xfId="14100" xr:uid="{00000000-0005-0000-0000-0000FF680000}"/>
    <cellStyle name="Normal 88 14 2" xfId="26308" xr:uid="{00000000-0005-0000-0000-000000690000}"/>
    <cellStyle name="Normal 88 15" xfId="14101" xr:uid="{00000000-0005-0000-0000-000001690000}"/>
    <cellStyle name="Normal 88 15 2" xfId="26309" xr:uid="{00000000-0005-0000-0000-000002690000}"/>
    <cellStyle name="Normal 88 16" xfId="14102" xr:uid="{00000000-0005-0000-0000-000003690000}"/>
    <cellStyle name="Normal 88 16 2" xfId="26310" xr:uid="{00000000-0005-0000-0000-000004690000}"/>
    <cellStyle name="Normal 88 17" xfId="14103" xr:uid="{00000000-0005-0000-0000-000005690000}"/>
    <cellStyle name="Normal 88 17 2" xfId="26311" xr:uid="{00000000-0005-0000-0000-000006690000}"/>
    <cellStyle name="Normal 88 18" xfId="14104" xr:uid="{00000000-0005-0000-0000-000007690000}"/>
    <cellStyle name="Normal 88 18 2" xfId="26312" xr:uid="{00000000-0005-0000-0000-000008690000}"/>
    <cellStyle name="Normal 88 19" xfId="14105" xr:uid="{00000000-0005-0000-0000-000009690000}"/>
    <cellStyle name="Normal 88 19 2" xfId="26313" xr:uid="{00000000-0005-0000-0000-00000A690000}"/>
    <cellStyle name="Normal 88 2" xfId="268" xr:uid="{00000000-0005-0000-0000-00000B690000}"/>
    <cellStyle name="Normal 88 2 2" xfId="26314" xr:uid="{00000000-0005-0000-0000-00000C690000}"/>
    <cellStyle name="Normal 88 2 3" xfId="14106" xr:uid="{00000000-0005-0000-0000-00000D690000}"/>
    <cellStyle name="Normal 88 20" xfId="14107" xr:uid="{00000000-0005-0000-0000-00000E690000}"/>
    <cellStyle name="Normal 88 20 2" xfId="26315" xr:uid="{00000000-0005-0000-0000-00000F690000}"/>
    <cellStyle name="Normal 88 21" xfId="14108" xr:uid="{00000000-0005-0000-0000-000010690000}"/>
    <cellStyle name="Normal 88 21 2" xfId="26316" xr:uid="{00000000-0005-0000-0000-000011690000}"/>
    <cellStyle name="Normal 88 22" xfId="14109" xr:uid="{00000000-0005-0000-0000-000012690000}"/>
    <cellStyle name="Normal 88 22 2" xfId="26317" xr:uid="{00000000-0005-0000-0000-000013690000}"/>
    <cellStyle name="Normal 88 23" xfId="14110" xr:uid="{00000000-0005-0000-0000-000014690000}"/>
    <cellStyle name="Normal 88 23 2" xfId="26318" xr:uid="{00000000-0005-0000-0000-000015690000}"/>
    <cellStyle name="Normal 88 24" xfId="14111" xr:uid="{00000000-0005-0000-0000-000016690000}"/>
    <cellStyle name="Normal 88 24 2" xfId="26319" xr:uid="{00000000-0005-0000-0000-000017690000}"/>
    <cellStyle name="Normal 88 25" xfId="14112" xr:uid="{00000000-0005-0000-0000-000018690000}"/>
    <cellStyle name="Normal 88 25 2" xfId="26320" xr:uid="{00000000-0005-0000-0000-000019690000}"/>
    <cellStyle name="Normal 88 26" xfId="14113" xr:uid="{00000000-0005-0000-0000-00001A690000}"/>
    <cellStyle name="Normal 88 26 2" xfId="26321" xr:uid="{00000000-0005-0000-0000-00001B690000}"/>
    <cellStyle name="Normal 88 27" xfId="14114" xr:uid="{00000000-0005-0000-0000-00001C690000}"/>
    <cellStyle name="Normal 88 27 2" xfId="26322" xr:uid="{00000000-0005-0000-0000-00001D690000}"/>
    <cellStyle name="Normal 88 28" xfId="14115" xr:uid="{00000000-0005-0000-0000-00001E690000}"/>
    <cellStyle name="Normal 88 28 2" xfId="26323" xr:uid="{00000000-0005-0000-0000-00001F690000}"/>
    <cellStyle name="Normal 88 29" xfId="14116" xr:uid="{00000000-0005-0000-0000-000020690000}"/>
    <cellStyle name="Normal 88 29 2" xfId="26324" xr:uid="{00000000-0005-0000-0000-000021690000}"/>
    <cellStyle name="Normal 88 3" xfId="429" xr:uid="{00000000-0005-0000-0000-000022690000}"/>
    <cellStyle name="Normal 88 3 2" xfId="26325" xr:uid="{00000000-0005-0000-0000-000023690000}"/>
    <cellStyle name="Normal 88 30" xfId="14117" xr:uid="{00000000-0005-0000-0000-000024690000}"/>
    <cellStyle name="Normal 88 30 2" xfId="26326" xr:uid="{00000000-0005-0000-0000-000025690000}"/>
    <cellStyle name="Normal 88 31" xfId="14118" xr:uid="{00000000-0005-0000-0000-000026690000}"/>
    <cellStyle name="Normal 88 31 2" xfId="26327" xr:uid="{00000000-0005-0000-0000-000027690000}"/>
    <cellStyle name="Normal 88 32" xfId="14119" xr:uid="{00000000-0005-0000-0000-000028690000}"/>
    <cellStyle name="Normal 88 32 2" xfId="26328" xr:uid="{00000000-0005-0000-0000-000029690000}"/>
    <cellStyle name="Normal 88 33" xfId="14120" xr:uid="{00000000-0005-0000-0000-00002A690000}"/>
    <cellStyle name="Normal 88 33 2" xfId="26329" xr:uid="{00000000-0005-0000-0000-00002B690000}"/>
    <cellStyle name="Normal 88 34" xfId="14121" xr:uid="{00000000-0005-0000-0000-00002C690000}"/>
    <cellStyle name="Normal 88 34 2" xfId="26330" xr:uid="{00000000-0005-0000-0000-00002D690000}"/>
    <cellStyle name="Normal 88 35" xfId="14122" xr:uid="{00000000-0005-0000-0000-00002E690000}"/>
    <cellStyle name="Normal 88 35 2" xfId="26331" xr:uid="{00000000-0005-0000-0000-00002F690000}"/>
    <cellStyle name="Normal 88 36" xfId="14123" xr:uid="{00000000-0005-0000-0000-000030690000}"/>
    <cellStyle name="Normal 88 36 2" xfId="26332" xr:uid="{00000000-0005-0000-0000-000031690000}"/>
    <cellStyle name="Normal 88 37" xfId="14124" xr:uid="{00000000-0005-0000-0000-000032690000}"/>
    <cellStyle name="Normal 88 37 2" xfId="26333" xr:uid="{00000000-0005-0000-0000-000033690000}"/>
    <cellStyle name="Normal 88 38" xfId="14125" xr:uid="{00000000-0005-0000-0000-000034690000}"/>
    <cellStyle name="Normal 88 38 2" xfId="26334" xr:uid="{00000000-0005-0000-0000-000035690000}"/>
    <cellStyle name="Normal 88 39" xfId="14126" xr:uid="{00000000-0005-0000-0000-000036690000}"/>
    <cellStyle name="Normal 88 39 2" xfId="26335" xr:uid="{00000000-0005-0000-0000-000037690000}"/>
    <cellStyle name="Normal 88 4" xfId="214" xr:uid="{00000000-0005-0000-0000-000038690000}"/>
    <cellStyle name="Normal 88 4 2" xfId="26336" xr:uid="{00000000-0005-0000-0000-000039690000}"/>
    <cellStyle name="Normal 88 4 3" xfId="14127" xr:uid="{00000000-0005-0000-0000-00003A690000}"/>
    <cellStyle name="Normal 88 40" xfId="14128" xr:uid="{00000000-0005-0000-0000-00003B690000}"/>
    <cellStyle name="Normal 88 40 2" xfId="26337" xr:uid="{00000000-0005-0000-0000-00003C690000}"/>
    <cellStyle name="Normal 88 41" xfId="14129" xr:uid="{00000000-0005-0000-0000-00003D690000}"/>
    <cellStyle name="Normal 88 41 2" xfId="26338" xr:uid="{00000000-0005-0000-0000-00003E690000}"/>
    <cellStyle name="Normal 88 42" xfId="14130" xr:uid="{00000000-0005-0000-0000-00003F690000}"/>
    <cellStyle name="Normal 88 42 2" xfId="26339" xr:uid="{00000000-0005-0000-0000-000040690000}"/>
    <cellStyle name="Normal 88 43" xfId="14131" xr:uid="{00000000-0005-0000-0000-000041690000}"/>
    <cellStyle name="Normal 88 43 2" xfId="26340" xr:uid="{00000000-0005-0000-0000-000042690000}"/>
    <cellStyle name="Normal 88 44" xfId="14132" xr:uid="{00000000-0005-0000-0000-000043690000}"/>
    <cellStyle name="Normal 88 44 2" xfId="26341" xr:uid="{00000000-0005-0000-0000-000044690000}"/>
    <cellStyle name="Normal 88 45" xfId="14133" xr:uid="{00000000-0005-0000-0000-000045690000}"/>
    <cellStyle name="Normal 88 45 2" xfId="26342" xr:uid="{00000000-0005-0000-0000-000046690000}"/>
    <cellStyle name="Normal 88 46" xfId="14134" xr:uid="{00000000-0005-0000-0000-000047690000}"/>
    <cellStyle name="Normal 88 46 2" xfId="26343" xr:uid="{00000000-0005-0000-0000-000048690000}"/>
    <cellStyle name="Normal 88 47" xfId="14135" xr:uid="{00000000-0005-0000-0000-000049690000}"/>
    <cellStyle name="Normal 88 47 2" xfId="26344" xr:uid="{00000000-0005-0000-0000-00004A690000}"/>
    <cellStyle name="Normal 88 48" xfId="14136" xr:uid="{00000000-0005-0000-0000-00004B690000}"/>
    <cellStyle name="Normal 88 48 2" xfId="26345" xr:uid="{00000000-0005-0000-0000-00004C690000}"/>
    <cellStyle name="Normal 88 49" xfId="14137" xr:uid="{00000000-0005-0000-0000-00004D690000}"/>
    <cellStyle name="Normal 88 49 2" xfId="26346" xr:uid="{00000000-0005-0000-0000-00004E690000}"/>
    <cellStyle name="Normal 88 5" xfId="14138" xr:uid="{00000000-0005-0000-0000-00004F690000}"/>
    <cellStyle name="Normal 88 5 2" xfId="26347" xr:uid="{00000000-0005-0000-0000-000050690000}"/>
    <cellStyle name="Normal 88 50" xfId="14139" xr:uid="{00000000-0005-0000-0000-000051690000}"/>
    <cellStyle name="Normal 88 50 2" xfId="26348" xr:uid="{00000000-0005-0000-0000-000052690000}"/>
    <cellStyle name="Normal 88 51" xfId="14140" xr:uid="{00000000-0005-0000-0000-000053690000}"/>
    <cellStyle name="Normal 88 51 2" xfId="26349" xr:uid="{00000000-0005-0000-0000-000054690000}"/>
    <cellStyle name="Normal 88 52" xfId="14141" xr:uid="{00000000-0005-0000-0000-000055690000}"/>
    <cellStyle name="Normal 88 52 2" xfId="26350" xr:uid="{00000000-0005-0000-0000-000056690000}"/>
    <cellStyle name="Normal 88 53" xfId="14142" xr:uid="{00000000-0005-0000-0000-000057690000}"/>
    <cellStyle name="Normal 88 53 2" xfId="26351" xr:uid="{00000000-0005-0000-0000-000058690000}"/>
    <cellStyle name="Normal 88 54" xfId="14143" xr:uid="{00000000-0005-0000-0000-000059690000}"/>
    <cellStyle name="Normal 88 54 2" xfId="26352" xr:uid="{00000000-0005-0000-0000-00005A690000}"/>
    <cellStyle name="Normal 88 55" xfId="14144" xr:uid="{00000000-0005-0000-0000-00005B690000}"/>
    <cellStyle name="Normal 88 55 2" xfId="26353" xr:uid="{00000000-0005-0000-0000-00005C690000}"/>
    <cellStyle name="Normal 88 56" xfId="14145" xr:uid="{00000000-0005-0000-0000-00005D690000}"/>
    <cellStyle name="Normal 88 56 2" xfId="26354" xr:uid="{00000000-0005-0000-0000-00005E690000}"/>
    <cellStyle name="Normal 88 57" xfId="14146" xr:uid="{00000000-0005-0000-0000-00005F690000}"/>
    <cellStyle name="Normal 88 57 2" xfId="26355" xr:uid="{00000000-0005-0000-0000-000060690000}"/>
    <cellStyle name="Normal 88 58" xfId="14147" xr:uid="{00000000-0005-0000-0000-000061690000}"/>
    <cellStyle name="Normal 88 58 2" xfId="26356" xr:uid="{00000000-0005-0000-0000-000062690000}"/>
    <cellStyle name="Normal 88 59" xfId="14148" xr:uid="{00000000-0005-0000-0000-000063690000}"/>
    <cellStyle name="Normal 88 59 2" xfId="26357" xr:uid="{00000000-0005-0000-0000-000064690000}"/>
    <cellStyle name="Normal 88 6" xfId="14149" xr:uid="{00000000-0005-0000-0000-000065690000}"/>
    <cellStyle name="Normal 88 6 2" xfId="26358" xr:uid="{00000000-0005-0000-0000-000066690000}"/>
    <cellStyle name="Normal 88 60" xfId="14150" xr:uid="{00000000-0005-0000-0000-000067690000}"/>
    <cellStyle name="Normal 88 60 2" xfId="26359" xr:uid="{00000000-0005-0000-0000-000068690000}"/>
    <cellStyle name="Normal 88 61" xfId="14151" xr:uid="{00000000-0005-0000-0000-000069690000}"/>
    <cellStyle name="Normal 88 61 2" xfId="26360" xr:uid="{00000000-0005-0000-0000-00006A690000}"/>
    <cellStyle name="Normal 88 62" xfId="14152" xr:uid="{00000000-0005-0000-0000-00006B690000}"/>
    <cellStyle name="Normal 88 62 2" xfId="26361" xr:uid="{00000000-0005-0000-0000-00006C690000}"/>
    <cellStyle name="Normal 88 63" xfId="14153" xr:uid="{00000000-0005-0000-0000-00006D690000}"/>
    <cellStyle name="Normal 88 63 2" xfId="26362" xr:uid="{00000000-0005-0000-0000-00006E690000}"/>
    <cellStyle name="Normal 88 64" xfId="14154" xr:uid="{00000000-0005-0000-0000-00006F690000}"/>
    <cellStyle name="Normal 88 64 2" xfId="26363" xr:uid="{00000000-0005-0000-0000-000070690000}"/>
    <cellStyle name="Normal 88 65" xfId="14155" xr:uid="{00000000-0005-0000-0000-000071690000}"/>
    <cellStyle name="Normal 88 65 2" xfId="26364" xr:uid="{00000000-0005-0000-0000-000072690000}"/>
    <cellStyle name="Normal 88 66" xfId="14156" xr:uid="{00000000-0005-0000-0000-000073690000}"/>
    <cellStyle name="Normal 88 66 2" xfId="26365" xr:uid="{00000000-0005-0000-0000-000074690000}"/>
    <cellStyle name="Normal 88 67" xfId="14157" xr:uid="{00000000-0005-0000-0000-000075690000}"/>
    <cellStyle name="Normal 88 67 2" xfId="26366" xr:uid="{00000000-0005-0000-0000-000076690000}"/>
    <cellStyle name="Normal 88 68" xfId="14158" xr:uid="{00000000-0005-0000-0000-000077690000}"/>
    <cellStyle name="Normal 88 68 2" xfId="26367" xr:uid="{00000000-0005-0000-0000-000078690000}"/>
    <cellStyle name="Normal 88 69" xfId="14159" xr:uid="{00000000-0005-0000-0000-000079690000}"/>
    <cellStyle name="Normal 88 69 2" xfId="26368" xr:uid="{00000000-0005-0000-0000-00007A690000}"/>
    <cellStyle name="Normal 88 7" xfId="14160" xr:uid="{00000000-0005-0000-0000-00007B690000}"/>
    <cellStyle name="Normal 88 7 2" xfId="26369" xr:uid="{00000000-0005-0000-0000-00007C690000}"/>
    <cellStyle name="Normal 88 70" xfId="14161" xr:uid="{00000000-0005-0000-0000-00007D690000}"/>
    <cellStyle name="Normal 88 70 2" xfId="26370" xr:uid="{00000000-0005-0000-0000-00007E690000}"/>
    <cellStyle name="Normal 88 71" xfId="14162" xr:uid="{00000000-0005-0000-0000-00007F690000}"/>
    <cellStyle name="Normal 88 71 2" xfId="26371" xr:uid="{00000000-0005-0000-0000-000080690000}"/>
    <cellStyle name="Normal 88 72" xfId="14163" xr:uid="{00000000-0005-0000-0000-000081690000}"/>
    <cellStyle name="Normal 88 72 2" xfId="26372" xr:uid="{00000000-0005-0000-0000-000082690000}"/>
    <cellStyle name="Normal 88 73" xfId="14164" xr:uid="{00000000-0005-0000-0000-000083690000}"/>
    <cellStyle name="Normal 88 73 2" xfId="26373" xr:uid="{00000000-0005-0000-0000-000084690000}"/>
    <cellStyle name="Normal 88 74" xfId="14165" xr:uid="{00000000-0005-0000-0000-000085690000}"/>
    <cellStyle name="Normal 88 74 2" xfId="26374" xr:uid="{00000000-0005-0000-0000-000086690000}"/>
    <cellStyle name="Normal 88 75" xfId="14166" xr:uid="{00000000-0005-0000-0000-000087690000}"/>
    <cellStyle name="Normal 88 75 2" xfId="26375" xr:uid="{00000000-0005-0000-0000-000088690000}"/>
    <cellStyle name="Normal 88 76" xfId="14167" xr:uid="{00000000-0005-0000-0000-000089690000}"/>
    <cellStyle name="Normal 88 76 2" xfId="26376" xr:uid="{00000000-0005-0000-0000-00008A690000}"/>
    <cellStyle name="Normal 88 77" xfId="14168" xr:uid="{00000000-0005-0000-0000-00008B690000}"/>
    <cellStyle name="Normal 88 77 2" xfId="26377" xr:uid="{00000000-0005-0000-0000-00008C690000}"/>
    <cellStyle name="Normal 88 78" xfId="14169" xr:uid="{00000000-0005-0000-0000-00008D690000}"/>
    <cellStyle name="Normal 88 78 2" xfId="26378" xr:uid="{00000000-0005-0000-0000-00008E690000}"/>
    <cellStyle name="Normal 88 79" xfId="14170" xr:uid="{00000000-0005-0000-0000-00008F690000}"/>
    <cellStyle name="Normal 88 79 2" xfId="26379" xr:uid="{00000000-0005-0000-0000-000090690000}"/>
    <cellStyle name="Normal 88 8" xfId="14171" xr:uid="{00000000-0005-0000-0000-000091690000}"/>
    <cellStyle name="Normal 88 8 2" xfId="26380" xr:uid="{00000000-0005-0000-0000-000092690000}"/>
    <cellStyle name="Normal 88 80" xfId="26303" xr:uid="{00000000-0005-0000-0000-000093690000}"/>
    <cellStyle name="Normal 88 9" xfId="14172" xr:uid="{00000000-0005-0000-0000-000094690000}"/>
    <cellStyle name="Normal 88 9 2" xfId="26381" xr:uid="{00000000-0005-0000-0000-000095690000}"/>
    <cellStyle name="Normal 89" xfId="215" xr:uid="{00000000-0005-0000-0000-000096690000}"/>
    <cellStyle name="Normal 89 10" xfId="14173" xr:uid="{00000000-0005-0000-0000-000097690000}"/>
    <cellStyle name="Normal 89 10 2" xfId="26383" xr:uid="{00000000-0005-0000-0000-000098690000}"/>
    <cellStyle name="Normal 89 11" xfId="14174" xr:uid="{00000000-0005-0000-0000-000099690000}"/>
    <cellStyle name="Normal 89 11 2" xfId="26384" xr:uid="{00000000-0005-0000-0000-00009A690000}"/>
    <cellStyle name="Normal 89 12" xfId="14175" xr:uid="{00000000-0005-0000-0000-00009B690000}"/>
    <cellStyle name="Normal 89 12 2" xfId="26385" xr:uid="{00000000-0005-0000-0000-00009C690000}"/>
    <cellStyle name="Normal 89 13" xfId="14176" xr:uid="{00000000-0005-0000-0000-00009D690000}"/>
    <cellStyle name="Normal 89 13 2" xfId="26386" xr:uid="{00000000-0005-0000-0000-00009E690000}"/>
    <cellStyle name="Normal 89 14" xfId="14177" xr:uid="{00000000-0005-0000-0000-00009F690000}"/>
    <cellStyle name="Normal 89 14 2" xfId="26387" xr:uid="{00000000-0005-0000-0000-0000A0690000}"/>
    <cellStyle name="Normal 89 15" xfId="14178" xr:uid="{00000000-0005-0000-0000-0000A1690000}"/>
    <cellStyle name="Normal 89 15 2" xfId="26388" xr:uid="{00000000-0005-0000-0000-0000A2690000}"/>
    <cellStyle name="Normal 89 16" xfId="14179" xr:uid="{00000000-0005-0000-0000-0000A3690000}"/>
    <cellStyle name="Normal 89 16 2" xfId="26389" xr:uid="{00000000-0005-0000-0000-0000A4690000}"/>
    <cellStyle name="Normal 89 17" xfId="14180" xr:uid="{00000000-0005-0000-0000-0000A5690000}"/>
    <cellStyle name="Normal 89 17 2" xfId="26390" xr:uid="{00000000-0005-0000-0000-0000A6690000}"/>
    <cellStyle name="Normal 89 18" xfId="14181" xr:uid="{00000000-0005-0000-0000-0000A7690000}"/>
    <cellStyle name="Normal 89 18 2" xfId="26391" xr:uid="{00000000-0005-0000-0000-0000A8690000}"/>
    <cellStyle name="Normal 89 19" xfId="14182" xr:uid="{00000000-0005-0000-0000-0000A9690000}"/>
    <cellStyle name="Normal 89 19 2" xfId="26392" xr:uid="{00000000-0005-0000-0000-0000AA690000}"/>
    <cellStyle name="Normal 89 2" xfId="269" xr:uid="{00000000-0005-0000-0000-0000AB690000}"/>
    <cellStyle name="Normal 89 2 2" xfId="26393" xr:uid="{00000000-0005-0000-0000-0000AC690000}"/>
    <cellStyle name="Normal 89 2 3" xfId="14183" xr:uid="{00000000-0005-0000-0000-0000AD690000}"/>
    <cellStyle name="Normal 89 20" xfId="14184" xr:uid="{00000000-0005-0000-0000-0000AE690000}"/>
    <cellStyle name="Normal 89 20 2" xfId="26394" xr:uid="{00000000-0005-0000-0000-0000AF690000}"/>
    <cellStyle name="Normal 89 21" xfId="14185" xr:uid="{00000000-0005-0000-0000-0000B0690000}"/>
    <cellStyle name="Normal 89 21 2" xfId="26395" xr:uid="{00000000-0005-0000-0000-0000B1690000}"/>
    <cellStyle name="Normal 89 22" xfId="14186" xr:uid="{00000000-0005-0000-0000-0000B2690000}"/>
    <cellStyle name="Normal 89 22 2" xfId="26396" xr:uid="{00000000-0005-0000-0000-0000B3690000}"/>
    <cellStyle name="Normal 89 23" xfId="14187" xr:uid="{00000000-0005-0000-0000-0000B4690000}"/>
    <cellStyle name="Normal 89 23 2" xfId="26397" xr:uid="{00000000-0005-0000-0000-0000B5690000}"/>
    <cellStyle name="Normal 89 24" xfId="14188" xr:uid="{00000000-0005-0000-0000-0000B6690000}"/>
    <cellStyle name="Normal 89 24 2" xfId="26398" xr:uid="{00000000-0005-0000-0000-0000B7690000}"/>
    <cellStyle name="Normal 89 25" xfId="14189" xr:uid="{00000000-0005-0000-0000-0000B8690000}"/>
    <cellStyle name="Normal 89 25 2" xfId="26399" xr:uid="{00000000-0005-0000-0000-0000B9690000}"/>
    <cellStyle name="Normal 89 26" xfId="14190" xr:uid="{00000000-0005-0000-0000-0000BA690000}"/>
    <cellStyle name="Normal 89 26 2" xfId="26400" xr:uid="{00000000-0005-0000-0000-0000BB690000}"/>
    <cellStyle name="Normal 89 27" xfId="14191" xr:uid="{00000000-0005-0000-0000-0000BC690000}"/>
    <cellStyle name="Normal 89 27 2" xfId="26401" xr:uid="{00000000-0005-0000-0000-0000BD690000}"/>
    <cellStyle name="Normal 89 28" xfId="14192" xr:uid="{00000000-0005-0000-0000-0000BE690000}"/>
    <cellStyle name="Normal 89 28 2" xfId="26402" xr:uid="{00000000-0005-0000-0000-0000BF690000}"/>
    <cellStyle name="Normal 89 29" xfId="14193" xr:uid="{00000000-0005-0000-0000-0000C0690000}"/>
    <cellStyle name="Normal 89 29 2" xfId="26403" xr:uid="{00000000-0005-0000-0000-0000C1690000}"/>
    <cellStyle name="Normal 89 3" xfId="430" xr:uid="{00000000-0005-0000-0000-0000C2690000}"/>
    <cellStyle name="Normal 89 3 2" xfId="26404" xr:uid="{00000000-0005-0000-0000-0000C3690000}"/>
    <cellStyle name="Normal 89 30" xfId="14194" xr:uid="{00000000-0005-0000-0000-0000C4690000}"/>
    <cellStyle name="Normal 89 30 2" xfId="26405" xr:uid="{00000000-0005-0000-0000-0000C5690000}"/>
    <cellStyle name="Normal 89 31" xfId="14195" xr:uid="{00000000-0005-0000-0000-0000C6690000}"/>
    <cellStyle name="Normal 89 31 2" xfId="26406" xr:uid="{00000000-0005-0000-0000-0000C7690000}"/>
    <cellStyle name="Normal 89 32" xfId="14196" xr:uid="{00000000-0005-0000-0000-0000C8690000}"/>
    <cellStyle name="Normal 89 32 2" xfId="26407" xr:uid="{00000000-0005-0000-0000-0000C9690000}"/>
    <cellStyle name="Normal 89 33" xfId="14197" xr:uid="{00000000-0005-0000-0000-0000CA690000}"/>
    <cellStyle name="Normal 89 33 2" xfId="26408" xr:uid="{00000000-0005-0000-0000-0000CB690000}"/>
    <cellStyle name="Normal 89 34" xfId="14198" xr:uid="{00000000-0005-0000-0000-0000CC690000}"/>
    <cellStyle name="Normal 89 34 2" xfId="26409" xr:uid="{00000000-0005-0000-0000-0000CD690000}"/>
    <cellStyle name="Normal 89 35" xfId="14199" xr:uid="{00000000-0005-0000-0000-0000CE690000}"/>
    <cellStyle name="Normal 89 35 2" xfId="26410" xr:uid="{00000000-0005-0000-0000-0000CF690000}"/>
    <cellStyle name="Normal 89 36" xfId="14200" xr:uid="{00000000-0005-0000-0000-0000D0690000}"/>
    <cellStyle name="Normal 89 36 2" xfId="26411" xr:uid="{00000000-0005-0000-0000-0000D1690000}"/>
    <cellStyle name="Normal 89 37" xfId="14201" xr:uid="{00000000-0005-0000-0000-0000D2690000}"/>
    <cellStyle name="Normal 89 37 2" xfId="26412" xr:uid="{00000000-0005-0000-0000-0000D3690000}"/>
    <cellStyle name="Normal 89 38" xfId="14202" xr:uid="{00000000-0005-0000-0000-0000D4690000}"/>
    <cellStyle name="Normal 89 38 2" xfId="26413" xr:uid="{00000000-0005-0000-0000-0000D5690000}"/>
    <cellStyle name="Normal 89 39" xfId="14203" xr:uid="{00000000-0005-0000-0000-0000D6690000}"/>
    <cellStyle name="Normal 89 39 2" xfId="26414" xr:uid="{00000000-0005-0000-0000-0000D7690000}"/>
    <cellStyle name="Normal 89 4" xfId="14204" xr:uid="{00000000-0005-0000-0000-0000D8690000}"/>
    <cellStyle name="Normal 89 4 2" xfId="26415" xr:uid="{00000000-0005-0000-0000-0000D9690000}"/>
    <cellStyle name="Normal 89 40" xfId="14205" xr:uid="{00000000-0005-0000-0000-0000DA690000}"/>
    <cellStyle name="Normal 89 40 2" xfId="26416" xr:uid="{00000000-0005-0000-0000-0000DB690000}"/>
    <cellStyle name="Normal 89 41" xfId="14206" xr:uid="{00000000-0005-0000-0000-0000DC690000}"/>
    <cellStyle name="Normal 89 41 2" xfId="26417" xr:uid="{00000000-0005-0000-0000-0000DD690000}"/>
    <cellStyle name="Normal 89 42" xfId="14207" xr:uid="{00000000-0005-0000-0000-0000DE690000}"/>
    <cellStyle name="Normal 89 42 2" xfId="26418" xr:uid="{00000000-0005-0000-0000-0000DF690000}"/>
    <cellStyle name="Normal 89 43" xfId="14208" xr:uid="{00000000-0005-0000-0000-0000E0690000}"/>
    <cellStyle name="Normal 89 43 2" xfId="26419" xr:uid="{00000000-0005-0000-0000-0000E1690000}"/>
    <cellStyle name="Normal 89 44" xfId="14209" xr:uid="{00000000-0005-0000-0000-0000E2690000}"/>
    <cellStyle name="Normal 89 44 2" xfId="26420" xr:uid="{00000000-0005-0000-0000-0000E3690000}"/>
    <cellStyle name="Normal 89 45" xfId="14210" xr:uid="{00000000-0005-0000-0000-0000E4690000}"/>
    <cellStyle name="Normal 89 45 2" xfId="26421" xr:uid="{00000000-0005-0000-0000-0000E5690000}"/>
    <cellStyle name="Normal 89 46" xfId="14211" xr:uid="{00000000-0005-0000-0000-0000E6690000}"/>
    <cellStyle name="Normal 89 46 2" xfId="26422" xr:uid="{00000000-0005-0000-0000-0000E7690000}"/>
    <cellStyle name="Normal 89 47" xfId="14212" xr:uid="{00000000-0005-0000-0000-0000E8690000}"/>
    <cellStyle name="Normal 89 47 2" xfId="26423" xr:uid="{00000000-0005-0000-0000-0000E9690000}"/>
    <cellStyle name="Normal 89 48" xfId="14213" xr:uid="{00000000-0005-0000-0000-0000EA690000}"/>
    <cellStyle name="Normal 89 48 2" xfId="26424" xr:uid="{00000000-0005-0000-0000-0000EB690000}"/>
    <cellStyle name="Normal 89 49" xfId="14214" xr:uid="{00000000-0005-0000-0000-0000EC690000}"/>
    <cellStyle name="Normal 89 49 2" xfId="26425" xr:uid="{00000000-0005-0000-0000-0000ED690000}"/>
    <cellStyle name="Normal 89 5" xfId="14215" xr:uid="{00000000-0005-0000-0000-0000EE690000}"/>
    <cellStyle name="Normal 89 5 2" xfId="26426" xr:uid="{00000000-0005-0000-0000-0000EF690000}"/>
    <cellStyle name="Normal 89 50" xfId="14216" xr:uid="{00000000-0005-0000-0000-0000F0690000}"/>
    <cellStyle name="Normal 89 50 2" xfId="26427" xr:uid="{00000000-0005-0000-0000-0000F1690000}"/>
    <cellStyle name="Normal 89 51" xfId="14217" xr:uid="{00000000-0005-0000-0000-0000F2690000}"/>
    <cellStyle name="Normal 89 51 2" xfId="26428" xr:uid="{00000000-0005-0000-0000-0000F3690000}"/>
    <cellStyle name="Normal 89 52" xfId="14218" xr:uid="{00000000-0005-0000-0000-0000F4690000}"/>
    <cellStyle name="Normal 89 52 2" xfId="26429" xr:uid="{00000000-0005-0000-0000-0000F5690000}"/>
    <cellStyle name="Normal 89 53" xfId="14219" xr:uid="{00000000-0005-0000-0000-0000F6690000}"/>
    <cellStyle name="Normal 89 53 2" xfId="26430" xr:uid="{00000000-0005-0000-0000-0000F7690000}"/>
    <cellStyle name="Normal 89 54" xfId="14220" xr:uid="{00000000-0005-0000-0000-0000F8690000}"/>
    <cellStyle name="Normal 89 54 2" xfId="26431" xr:uid="{00000000-0005-0000-0000-0000F9690000}"/>
    <cellStyle name="Normal 89 55" xfId="14221" xr:uid="{00000000-0005-0000-0000-0000FA690000}"/>
    <cellStyle name="Normal 89 55 2" xfId="26432" xr:uid="{00000000-0005-0000-0000-0000FB690000}"/>
    <cellStyle name="Normal 89 56" xfId="14222" xr:uid="{00000000-0005-0000-0000-0000FC690000}"/>
    <cellStyle name="Normal 89 56 2" xfId="26433" xr:uid="{00000000-0005-0000-0000-0000FD690000}"/>
    <cellStyle name="Normal 89 57" xfId="14223" xr:uid="{00000000-0005-0000-0000-0000FE690000}"/>
    <cellStyle name="Normal 89 57 2" xfId="26434" xr:uid="{00000000-0005-0000-0000-0000FF690000}"/>
    <cellStyle name="Normal 89 58" xfId="14224" xr:uid="{00000000-0005-0000-0000-0000006A0000}"/>
    <cellStyle name="Normal 89 58 2" xfId="26435" xr:uid="{00000000-0005-0000-0000-0000016A0000}"/>
    <cellStyle name="Normal 89 59" xfId="14225" xr:uid="{00000000-0005-0000-0000-0000026A0000}"/>
    <cellStyle name="Normal 89 59 2" xfId="26436" xr:uid="{00000000-0005-0000-0000-0000036A0000}"/>
    <cellStyle name="Normal 89 6" xfId="14226" xr:uid="{00000000-0005-0000-0000-0000046A0000}"/>
    <cellStyle name="Normal 89 6 2" xfId="26437" xr:uid="{00000000-0005-0000-0000-0000056A0000}"/>
    <cellStyle name="Normal 89 60" xfId="14227" xr:uid="{00000000-0005-0000-0000-0000066A0000}"/>
    <cellStyle name="Normal 89 60 2" xfId="26438" xr:uid="{00000000-0005-0000-0000-0000076A0000}"/>
    <cellStyle name="Normal 89 61" xfId="14228" xr:uid="{00000000-0005-0000-0000-0000086A0000}"/>
    <cellStyle name="Normal 89 61 2" xfId="26439" xr:uid="{00000000-0005-0000-0000-0000096A0000}"/>
    <cellStyle name="Normal 89 62" xfId="14229" xr:uid="{00000000-0005-0000-0000-00000A6A0000}"/>
    <cellStyle name="Normal 89 62 2" xfId="26440" xr:uid="{00000000-0005-0000-0000-00000B6A0000}"/>
    <cellStyle name="Normal 89 63" xfId="14230" xr:uid="{00000000-0005-0000-0000-00000C6A0000}"/>
    <cellStyle name="Normal 89 63 2" xfId="26441" xr:uid="{00000000-0005-0000-0000-00000D6A0000}"/>
    <cellStyle name="Normal 89 64" xfId="14231" xr:uid="{00000000-0005-0000-0000-00000E6A0000}"/>
    <cellStyle name="Normal 89 64 2" xfId="26442" xr:uid="{00000000-0005-0000-0000-00000F6A0000}"/>
    <cellStyle name="Normal 89 65" xfId="14232" xr:uid="{00000000-0005-0000-0000-0000106A0000}"/>
    <cellStyle name="Normal 89 65 2" xfId="26443" xr:uid="{00000000-0005-0000-0000-0000116A0000}"/>
    <cellStyle name="Normal 89 66" xfId="14233" xr:uid="{00000000-0005-0000-0000-0000126A0000}"/>
    <cellStyle name="Normal 89 66 2" xfId="26444" xr:uid="{00000000-0005-0000-0000-0000136A0000}"/>
    <cellStyle name="Normal 89 67" xfId="14234" xr:uid="{00000000-0005-0000-0000-0000146A0000}"/>
    <cellStyle name="Normal 89 67 2" xfId="26445" xr:uid="{00000000-0005-0000-0000-0000156A0000}"/>
    <cellStyle name="Normal 89 68" xfId="14235" xr:uid="{00000000-0005-0000-0000-0000166A0000}"/>
    <cellStyle name="Normal 89 68 2" xfId="26446" xr:uid="{00000000-0005-0000-0000-0000176A0000}"/>
    <cellStyle name="Normal 89 69" xfId="14236" xr:uid="{00000000-0005-0000-0000-0000186A0000}"/>
    <cellStyle name="Normal 89 69 2" xfId="26447" xr:uid="{00000000-0005-0000-0000-0000196A0000}"/>
    <cellStyle name="Normal 89 7" xfId="14237" xr:uid="{00000000-0005-0000-0000-00001A6A0000}"/>
    <cellStyle name="Normal 89 7 2" xfId="26448" xr:uid="{00000000-0005-0000-0000-00001B6A0000}"/>
    <cellStyle name="Normal 89 70" xfId="14238" xr:uid="{00000000-0005-0000-0000-00001C6A0000}"/>
    <cellStyle name="Normal 89 70 2" xfId="26449" xr:uid="{00000000-0005-0000-0000-00001D6A0000}"/>
    <cellStyle name="Normal 89 71" xfId="14239" xr:uid="{00000000-0005-0000-0000-00001E6A0000}"/>
    <cellStyle name="Normal 89 71 2" xfId="26450" xr:uid="{00000000-0005-0000-0000-00001F6A0000}"/>
    <cellStyle name="Normal 89 72" xfId="14240" xr:uid="{00000000-0005-0000-0000-0000206A0000}"/>
    <cellStyle name="Normal 89 72 2" xfId="26451" xr:uid="{00000000-0005-0000-0000-0000216A0000}"/>
    <cellStyle name="Normal 89 73" xfId="14241" xr:uid="{00000000-0005-0000-0000-0000226A0000}"/>
    <cellStyle name="Normal 89 73 2" xfId="26452" xr:uid="{00000000-0005-0000-0000-0000236A0000}"/>
    <cellStyle name="Normal 89 74" xfId="14242" xr:uid="{00000000-0005-0000-0000-0000246A0000}"/>
    <cellStyle name="Normal 89 74 2" xfId="26453" xr:uid="{00000000-0005-0000-0000-0000256A0000}"/>
    <cellStyle name="Normal 89 75" xfId="14243" xr:uid="{00000000-0005-0000-0000-0000266A0000}"/>
    <cellStyle name="Normal 89 75 2" xfId="26454" xr:uid="{00000000-0005-0000-0000-0000276A0000}"/>
    <cellStyle name="Normal 89 76" xfId="14244" xr:uid="{00000000-0005-0000-0000-0000286A0000}"/>
    <cellStyle name="Normal 89 76 2" xfId="26455" xr:uid="{00000000-0005-0000-0000-0000296A0000}"/>
    <cellStyle name="Normal 89 77" xfId="14245" xr:uid="{00000000-0005-0000-0000-00002A6A0000}"/>
    <cellStyle name="Normal 89 77 2" xfId="26456" xr:uid="{00000000-0005-0000-0000-00002B6A0000}"/>
    <cellStyle name="Normal 89 78" xfId="14246" xr:uid="{00000000-0005-0000-0000-00002C6A0000}"/>
    <cellStyle name="Normal 89 78 2" xfId="26457" xr:uid="{00000000-0005-0000-0000-00002D6A0000}"/>
    <cellStyle name="Normal 89 79" xfId="14247" xr:uid="{00000000-0005-0000-0000-00002E6A0000}"/>
    <cellStyle name="Normal 89 79 2" xfId="26458" xr:uid="{00000000-0005-0000-0000-00002F6A0000}"/>
    <cellStyle name="Normal 89 8" xfId="14248" xr:uid="{00000000-0005-0000-0000-0000306A0000}"/>
    <cellStyle name="Normal 89 8 2" xfId="26459" xr:uid="{00000000-0005-0000-0000-0000316A0000}"/>
    <cellStyle name="Normal 89 80" xfId="26382" xr:uid="{00000000-0005-0000-0000-0000326A0000}"/>
    <cellStyle name="Normal 89 9" xfId="14249" xr:uid="{00000000-0005-0000-0000-0000336A0000}"/>
    <cellStyle name="Normal 89 9 2" xfId="26460" xr:uid="{00000000-0005-0000-0000-0000346A0000}"/>
    <cellStyle name="Normal 9" xfId="115" xr:uid="{00000000-0005-0000-0000-0000356A0000}"/>
    <cellStyle name="Normal 9 2" xfId="779" xr:uid="{00000000-0005-0000-0000-0000366A0000}"/>
    <cellStyle name="Normal 9 2 2" xfId="15053" xr:uid="{00000000-0005-0000-0000-0000376A0000}"/>
    <cellStyle name="Normal 9 3" xfId="302" xr:uid="{00000000-0005-0000-0000-0000386A0000}"/>
    <cellStyle name="Normal 90" xfId="216" xr:uid="{00000000-0005-0000-0000-0000396A0000}"/>
    <cellStyle name="Normal 90 10" xfId="14250" xr:uid="{00000000-0005-0000-0000-00003A6A0000}"/>
    <cellStyle name="Normal 90 10 2" xfId="26462" xr:uid="{00000000-0005-0000-0000-00003B6A0000}"/>
    <cellStyle name="Normal 90 11" xfId="14251" xr:uid="{00000000-0005-0000-0000-00003C6A0000}"/>
    <cellStyle name="Normal 90 11 2" xfId="26463" xr:uid="{00000000-0005-0000-0000-00003D6A0000}"/>
    <cellStyle name="Normal 90 12" xfId="14252" xr:uid="{00000000-0005-0000-0000-00003E6A0000}"/>
    <cellStyle name="Normal 90 12 2" xfId="26464" xr:uid="{00000000-0005-0000-0000-00003F6A0000}"/>
    <cellStyle name="Normal 90 13" xfId="14253" xr:uid="{00000000-0005-0000-0000-0000406A0000}"/>
    <cellStyle name="Normal 90 13 2" xfId="26465" xr:uid="{00000000-0005-0000-0000-0000416A0000}"/>
    <cellStyle name="Normal 90 14" xfId="14254" xr:uid="{00000000-0005-0000-0000-0000426A0000}"/>
    <cellStyle name="Normal 90 14 2" xfId="26466" xr:uid="{00000000-0005-0000-0000-0000436A0000}"/>
    <cellStyle name="Normal 90 15" xfId="14255" xr:uid="{00000000-0005-0000-0000-0000446A0000}"/>
    <cellStyle name="Normal 90 15 2" xfId="26467" xr:uid="{00000000-0005-0000-0000-0000456A0000}"/>
    <cellStyle name="Normal 90 16" xfId="14256" xr:uid="{00000000-0005-0000-0000-0000466A0000}"/>
    <cellStyle name="Normal 90 16 2" xfId="26468" xr:uid="{00000000-0005-0000-0000-0000476A0000}"/>
    <cellStyle name="Normal 90 17" xfId="14257" xr:uid="{00000000-0005-0000-0000-0000486A0000}"/>
    <cellStyle name="Normal 90 17 2" xfId="26469" xr:uid="{00000000-0005-0000-0000-0000496A0000}"/>
    <cellStyle name="Normal 90 18" xfId="14258" xr:uid="{00000000-0005-0000-0000-00004A6A0000}"/>
    <cellStyle name="Normal 90 18 2" xfId="26470" xr:uid="{00000000-0005-0000-0000-00004B6A0000}"/>
    <cellStyle name="Normal 90 19" xfId="14259" xr:uid="{00000000-0005-0000-0000-00004C6A0000}"/>
    <cellStyle name="Normal 90 19 2" xfId="26471" xr:uid="{00000000-0005-0000-0000-00004D6A0000}"/>
    <cellStyle name="Normal 90 2" xfId="270" xr:uid="{00000000-0005-0000-0000-00004E6A0000}"/>
    <cellStyle name="Normal 90 2 2" xfId="1501" xr:uid="{00000000-0005-0000-0000-00004F6A0000}"/>
    <cellStyle name="Normal 90 2 2 2" xfId="1504" xr:uid="{00000000-0005-0000-0000-0000506A0000}"/>
    <cellStyle name="Normal 90 2 3" xfId="808" xr:uid="{00000000-0005-0000-0000-0000516A0000}"/>
    <cellStyle name="Normal 90 2 4" xfId="1519" xr:uid="{00000000-0005-0000-0000-0000526A0000}"/>
    <cellStyle name="Normal 90 20" xfId="14260" xr:uid="{00000000-0005-0000-0000-0000536A0000}"/>
    <cellStyle name="Normal 90 20 2" xfId="26472" xr:uid="{00000000-0005-0000-0000-0000546A0000}"/>
    <cellStyle name="Normal 90 21" xfId="14261" xr:uid="{00000000-0005-0000-0000-0000556A0000}"/>
    <cellStyle name="Normal 90 21 2" xfId="26473" xr:uid="{00000000-0005-0000-0000-0000566A0000}"/>
    <cellStyle name="Normal 90 22" xfId="14262" xr:uid="{00000000-0005-0000-0000-0000576A0000}"/>
    <cellStyle name="Normal 90 22 2" xfId="26474" xr:uid="{00000000-0005-0000-0000-0000586A0000}"/>
    <cellStyle name="Normal 90 23" xfId="14263" xr:uid="{00000000-0005-0000-0000-0000596A0000}"/>
    <cellStyle name="Normal 90 23 2" xfId="26475" xr:uid="{00000000-0005-0000-0000-00005A6A0000}"/>
    <cellStyle name="Normal 90 24" xfId="14264" xr:uid="{00000000-0005-0000-0000-00005B6A0000}"/>
    <cellStyle name="Normal 90 24 2" xfId="26476" xr:uid="{00000000-0005-0000-0000-00005C6A0000}"/>
    <cellStyle name="Normal 90 25" xfId="14265" xr:uid="{00000000-0005-0000-0000-00005D6A0000}"/>
    <cellStyle name="Normal 90 25 2" xfId="26477" xr:uid="{00000000-0005-0000-0000-00005E6A0000}"/>
    <cellStyle name="Normal 90 26" xfId="14266" xr:uid="{00000000-0005-0000-0000-00005F6A0000}"/>
    <cellStyle name="Normal 90 26 2" xfId="26478" xr:uid="{00000000-0005-0000-0000-0000606A0000}"/>
    <cellStyle name="Normal 90 27" xfId="14267" xr:uid="{00000000-0005-0000-0000-0000616A0000}"/>
    <cellStyle name="Normal 90 27 2" xfId="26479" xr:uid="{00000000-0005-0000-0000-0000626A0000}"/>
    <cellStyle name="Normal 90 28" xfId="14268" xr:uid="{00000000-0005-0000-0000-0000636A0000}"/>
    <cellStyle name="Normal 90 28 2" xfId="26480" xr:uid="{00000000-0005-0000-0000-0000646A0000}"/>
    <cellStyle name="Normal 90 29" xfId="14269" xr:uid="{00000000-0005-0000-0000-0000656A0000}"/>
    <cellStyle name="Normal 90 29 2" xfId="26481" xr:uid="{00000000-0005-0000-0000-0000666A0000}"/>
    <cellStyle name="Normal 90 3" xfId="780" xr:uid="{00000000-0005-0000-0000-0000676A0000}"/>
    <cellStyle name="Normal 90 3 2" xfId="26482" xr:uid="{00000000-0005-0000-0000-0000686A0000}"/>
    <cellStyle name="Normal 90 3 3" xfId="14270" xr:uid="{00000000-0005-0000-0000-0000696A0000}"/>
    <cellStyle name="Normal 90 30" xfId="14271" xr:uid="{00000000-0005-0000-0000-00006A6A0000}"/>
    <cellStyle name="Normal 90 30 2" xfId="26483" xr:uid="{00000000-0005-0000-0000-00006B6A0000}"/>
    <cellStyle name="Normal 90 31" xfId="14272" xr:uid="{00000000-0005-0000-0000-00006C6A0000}"/>
    <cellStyle name="Normal 90 31 2" xfId="26484" xr:uid="{00000000-0005-0000-0000-00006D6A0000}"/>
    <cellStyle name="Normal 90 32" xfId="14273" xr:uid="{00000000-0005-0000-0000-00006E6A0000}"/>
    <cellStyle name="Normal 90 32 2" xfId="26485" xr:uid="{00000000-0005-0000-0000-00006F6A0000}"/>
    <cellStyle name="Normal 90 33" xfId="14274" xr:uid="{00000000-0005-0000-0000-0000706A0000}"/>
    <cellStyle name="Normal 90 33 2" xfId="26486" xr:uid="{00000000-0005-0000-0000-0000716A0000}"/>
    <cellStyle name="Normal 90 34" xfId="14275" xr:uid="{00000000-0005-0000-0000-0000726A0000}"/>
    <cellStyle name="Normal 90 34 2" xfId="26487" xr:uid="{00000000-0005-0000-0000-0000736A0000}"/>
    <cellStyle name="Normal 90 35" xfId="14276" xr:uid="{00000000-0005-0000-0000-0000746A0000}"/>
    <cellStyle name="Normal 90 35 2" xfId="26488" xr:uid="{00000000-0005-0000-0000-0000756A0000}"/>
    <cellStyle name="Normal 90 36" xfId="14277" xr:uid="{00000000-0005-0000-0000-0000766A0000}"/>
    <cellStyle name="Normal 90 36 2" xfId="26489" xr:uid="{00000000-0005-0000-0000-0000776A0000}"/>
    <cellStyle name="Normal 90 37" xfId="14278" xr:uid="{00000000-0005-0000-0000-0000786A0000}"/>
    <cellStyle name="Normal 90 37 2" xfId="26490" xr:uid="{00000000-0005-0000-0000-0000796A0000}"/>
    <cellStyle name="Normal 90 38" xfId="14279" xr:uid="{00000000-0005-0000-0000-00007A6A0000}"/>
    <cellStyle name="Normal 90 38 2" xfId="26491" xr:uid="{00000000-0005-0000-0000-00007B6A0000}"/>
    <cellStyle name="Normal 90 39" xfId="14280" xr:uid="{00000000-0005-0000-0000-00007C6A0000}"/>
    <cellStyle name="Normal 90 39 2" xfId="26492" xr:uid="{00000000-0005-0000-0000-00007D6A0000}"/>
    <cellStyle name="Normal 90 4" xfId="431" xr:uid="{00000000-0005-0000-0000-00007E6A0000}"/>
    <cellStyle name="Normal 90 4 2" xfId="26493" xr:uid="{00000000-0005-0000-0000-00007F6A0000}"/>
    <cellStyle name="Normal 90 40" xfId="14281" xr:uid="{00000000-0005-0000-0000-0000806A0000}"/>
    <cellStyle name="Normal 90 40 2" xfId="26494" xr:uid="{00000000-0005-0000-0000-0000816A0000}"/>
    <cellStyle name="Normal 90 41" xfId="14282" xr:uid="{00000000-0005-0000-0000-0000826A0000}"/>
    <cellStyle name="Normal 90 41 2" xfId="26495" xr:uid="{00000000-0005-0000-0000-0000836A0000}"/>
    <cellStyle name="Normal 90 42" xfId="14283" xr:uid="{00000000-0005-0000-0000-0000846A0000}"/>
    <cellStyle name="Normal 90 42 2" xfId="26496" xr:uid="{00000000-0005-0000-0000-0000856A0000}"/>
    <cellStyle name="Normal 90 43" xfId="14284" xr:uid="{00000000-0005-0000-0000-0000866A0000}"/>
    <cellStyle name="Normal 90 43 2" xfId="26497" xr:uid="{00000000-0005-0000-0000-0000876A0000}"/>
    <cellStyle name="Normal 90 44" xfId="14285" xr:uid="{00000000-0005-0000-0000-0000886A0000}"/>
    <cellStyle name="Normal 90 44 2" xfId="26498" xr:uid="{00000000-0005-0000-0000-0000896A0000}"/>
    <cellStyle name="Normal 90 45" xfId="14286" xr:uid="{00000000-0005-0000-0000-00008A6A0000}"/>
    <cellStyle name="Normal 90 45 2" xfId="26499" xr:uid="{00000000-0005-0000-0000-00008B6A0000}"/>
    <cellStyle name="Normal 90 46" xfId="14287" xr:uid="{00000000-0005-0000-0000-00008C6A0000}"/>
    <cellStyle name="Normal 90 46 2" xfId="26500" xr:uid="{00000000-0005-0000-0000-00008D6A0000}"/>
    <cellStyle name="Normal 90 47" xfId="14288" xr:uid="{00000000-0005-0000-0000-00008E6A0000}"/>
    <cellStyle name="Normal 90 47 2" xfId="26501" xr:uid="{00000000-0005-0000-0000-00008F6A0000}"/>
    <cellStyle name="Normal 90 48" xfId="14289" xr:uid="{00000000-0005-0000-0000-0000906A0000}"/>
    <cellStyle name="Normal 90 48 2" xfId="26502" xr:uid="{00000000-0005-0000-0000-0000916A0000}"/>
    <cellStyle name="Normal 90 49" xfId="14290" xr:uid="{00000000-0005-0000-0000-0000926A0000}"/>
    <cellStyle name="Normal 90 49 2" xfId="26503" xr:uid="{00000000-0005-0000-0000-0000936A0000}"/>
    <cellStyle name="Normal 90 5" xfId="14291" xr:uid="{00000000-0005-0000-0000-0000946A0000}"/>
    <cellStyle name="Normal 90 5 2" xfId="26504" xr:uid="{00000000-0005-0000-0000-0000956A0000}"/>
    <cellStyle name="Normal 90 50" xfId="14292" xr:uid="{00000000-0005-0000-0000-0000966A0000}"/>
    <cellStyle name="Normal 90 50 2" xfId="26505" xr:uid="{00000000-0005-0000-0000-0000976A0000}"/>
    <cellStyle name="Normal 90 51" xfId="14293" xr:uid="{00000000-0005-0000-0000-0000986A0000}"/>
    <cellStyle name="Normal 90 51 2" xfId="26506" xr:uid="{00000000-0005-0000-0000-0000996A0000}"/>
    <cellStyle name="Normal 90 52" xfId="14294" xr:uid="{00000000-0005-0000-0000-00009A6A0000}"/>
    <cellStyle name="Normal 90 52 2" xfId="26507" xr:uid="{00000000-0005-0000-0000-00009B6A0000}"/>
    <cellStyle name="Normal 90 53" xfId="14295" xr:uid="{00000000-0005-0000-0000-00009C6A0000}"/>
    <cellStyle name="Normal 90 53 2" xfId="26508" xr:uid="{00000000-0005-0000-0000-00009D6A0000}"/>
    <cellStyle name="Normal 90 54" xfId="14296" xr:uid="{00000000-0005-0000-0000-00009E6A0000}"/>
    <cellStyle name="Normal 90 54 2" xfId="26509" xr:uid="{00000000-0005-0000-0000-00009F6A0000}"/>
    <cellStyle name="Normal 90 55" xfId="14297" xr:uid="{00000000-0005-0000-0000-0000A06A0000}"/>
    <cellStyle name="Normal 90 55 2" xfId="26510" xr:uid="{00000000-0005-0000-0000-0000A16A0000}"/>
    <cellStyle name="Normal 90 56" xfId="14298" xr:uid="{00000000-0005-0000-0000-0000A26A0000}"/>
    <cellStyle name="Normal 90 56 2" xfId="26511" xr:uid="{00000000-0005-0000-0000-0000A36A0000}"/>
    <cellStyle name="Normal 90 57" xfId="14299" xr:uid="{00000000-0005-0000-0000-0000A46A0000}"/>
    <cellStyle name="Normal 90 57 2" xfId="26512" xr:uid="{00000000-0005-0000-0000-0000A56A0000}"/>
    <cellStyle name="Normal 90 58" xfId="14300" xr:uid="{00000000-0005-0000-0000-0000A66A0000}"/>
    <cellStyle name="Normal 90 58 2" xfId="26513" xr:uid="{00000000-0005-0000-0000-0000A76A0000}"/>
    <cellStyle name="Normal 90 59" xfId="14301" xr:uid="{00000000-0005-0000-0000-0000A86A0000}"/>
    <cellStyle name="Normal 90 59 2" xfId="26514" xr:uid="{00000000-0005-0000-0000-0000A96A0000}"/>
    <cellStyle name="Normal 90 6" xfId="14302" xr:uid="{00000000-0005-0000-0000-0000AA6A0000}"/>
    <cellStyle name="Normal 90 6 2" xfId="26515" xr:uid="{00000000-0005-0000-0000-0000AB6A0000}"/>
    <cellStyle name="Normal 90 60" xfId="14303" xr:uid="{00000000-0005-0000-0000-0000AC6A0000}"/>
    <cellStyle name="Normal 90 60 2" xfId="26516" xr:uid="{00000000-0005-0000-0000-0000AD6A0000}"/>
    <cellStyle name="Normal 90 61" xfId="14304" xr:uid="{00000000-0005-0000-0000-0000AE6A0000}"/>
    <cellStyle name="Normal 90 61 2" xfId="26517" xr:uid="{00000000-0005-0000-0000-0000AF6A0000}"/>
    <cellStyle name="Normal 90 62" xfId="14305" xr:uid="{00000000-0005-0000-0000-0000B06A0000}"/>
    <cellStyle name="Normal 90 62 2" xfId="26518" xr:uid="{00000000-0005-0000-0000-0000B16A0000}"/>
    <cellStyle name="Normal 90 63" xfId="14306" xr:uid="{00000000-0005-0000-0000-0000B26A0000}"/>
    <cellStyle name="Normal 90 63 2" xfId="26519" xr:uid="{00000000-0005-0000-0000-0000B36A0000}"/>
    <cellStyle name="Normal 90 64" xfId="14307" xr:uid="{00000000-0005-0000-0000-0000B46A0000}"/>
    <cellStyle name="Normal 90 64 2" xfId="26520" xr:uid="{00000000-0005-0000-0000-0000B56A0000}"/>
    <cellStyle name="Normal 90 65" xfId="14308" xr:uid="{00000000-0005-0000-0000-0000B66A0000}"/>
    <cellStyle name="Normal 90 65 2" xfId="26521" xr:uid="{00000000-0005-0000-0000-0000B76A0000}"/>
    <cellStyle name="Normal 90 66" xfId="14309" xr:uid="{00000000-0005-0000-0000-0000B86A0000}"/>
    <cellStyle name="Normal 90 66 2" xfId="26522" xr:uid="{00000000-0005-0000-0000-0000B96A0000}"/>
    <cellStyle name="Normal 90 67" xfId="14310" xr:uid="{00000000-0005-0000-0000-0000BA6A0000}"/>
    <cellStyle name="Normal 90 67 2" xfId="26523" xr:uid="{00000000-0005-0000-0000-0000BB6A0000}"/>
    <cellStyle name="Normal 90 68" xfId="14311" xr:uid="{00000000-0005-0000-0000-0000BC6A0000}"/>
    <cellStyle name="Normal 90 68 2" xfId="26524" xr:uid="{00000000-0005-0000-0000-0000BD6A0000}"/>
    <cellStyle name="Normal 90 69" xfId="14312" xr:uid="{00000000-0005-0000-0000-0000BE6A0000}"/>
    <cellStyle name="Normal 90 69 2" xfId="26525" xr:uid="{00000000-0005-0000-0000-0000BF6A0000}"/>
    <cellStyle name="Normal 90 7" xfId="14313" xr:uid="{00000000-0005-0000-0000-0000C06A0000}"/>
    <cellStyle name="Normal 90 7 2" xfId="26526" xr:uid="{00000000-0005-0000-0000-0000C16A0000}"/>
    <cellStyle name="Normal 90 70" xfId="14314" xr:uid="{00000000-0005-0000-0000-0000C26A0000}"/>
    <cellStyle name="Normal 90 70 2" xfId="26527" xr:uid="{00000000-0005-0000-0000-0000C36A0000}"/>
    <cellStyle name="Normal 90 71" xfId="14315" xr:uid="{00000000-0005-0000-0000-0000C46A0000}"/>
    <cellStyle name="Normal 90 71 2" xfId="26528" xr:uid="{00000000-0005-0000-0000-0000C56A0000}"/>
    <cellStyle name="Normal 90 72" xfId="14316" xr:uid="{00000000-0005-0000-0000-0000C66A0000}"/>
    <cellStyle name="Normal 90 72 2" xfId="26529" xr:uid="{00000000-0005-0000-0000-0000C76A0000}"/>
    <cellStyle name="Normal 90 73" xfId="14317" xr:uid="{00000000-0005-0000-0000-0000C86A0000}"/>
    <cellStyle name="Normal 90 73 2" xfId="26530" xr:uid="{00000000-0005-0000-0000-0000C96A0000}"/>
    <cellStyle name="Normal 90 74" xfId="14318" xr:uid="{00000000-0005-0000-0000-0000CA6A0000}"/>
    <cellStyle name="Normal 90 74 2" xfId="26531" xr:uid="{00000000-0005-0000-0000-0000CB6A0000}"/>
    <cellStyle name="Normal 90 75" xfId="14319" xr:uid="{00000000-0005-0000-0000-0000CC6A0000}"/>
    <cellStyle name="Normal 90 75 2" xfId="26532" xr:uid="{00000000-0005-0000-0000-0000CD6A0000}"/>
    <cellStyle name="Normal 90 76" xfId="14320" xr:uid="{00000000-0005-0000-0000-0000CE6A0000}"/>
    <cellStyle name="Normal 90 76 2" xfId="26533" xr:uid="{00000000-0005-0000-0000-0000CF6A0000}"/>
    <cellStyle name="Normal 90 77" xfId="14321" xr:uid="{00000000-0005-0000-0000-0000D06A0000}"/>
    <cellStyle name="Normal 90 77 2" xfId="26534" xr:uid="{00000000-0005-0000-0000-0000D16A0000}"/>
    <cellStyle name="Normal 90 78" xfId="14322" xr:uid="{00000000-0005-0000-0000-0000D26A0000}"/>
    <cellStyle name="Normal 90 78 2" xfId="26535" xr:uid="{00000000-0005-0000-0000-0000D36A0000}"/>
    <cellStyle name="Normal 90 79" xfId="14323" xr:uid="{00000000-0005-0000-0000-0000D46A0000}"/>
    <cellStyle name="Normal 90 79 2" xfId="26536" xr:uid="{00000000-0005-0000-0000-0000D56A0000}"/>
    <cellStyle name="Normal 90 8" xfId="14324" xr:uid="{00000000-0005-0000-0000-0000D66A0000}"/>
    <cellStyle name="Normal 90 8 2" xfId="26537" xr:uid="{00000000-0005-0000-0000-0000D76A0000}"/>
    <cellStyle name="Normal 90 80" xfId="26461" xr:uid="{00000000-0005-0000-0000-0000D86A0000}"/>
    <cellStyle name="Normal 90 9" xfId="14325" xr:uid="{00000000-0005-0000-0000-0000D96A0000}"/>
    <cellStyle name="Normal 90 9 2" xfId="26538" xr:uid="{00000000-0005-0000-0000-0000DA6A0000}"/>
    <cellStyle name="Normal 91" xfId="217" xr:uid="{00000000-0005-0000-0000-0000DB6A0000}"/>
    <cellStyle name="Normal 91 10" xfId="14326" xr:uid="{00000000-0005-0000-0000-0000DC6A0000}"/>
    <cellStyle name="Normal 91 10 2" xfId="26540" xr:uid="{00000000-0005-0000-0000-0000DD6A0000}"/>
    <cellStyle name="Normal 91 11" xfId="14327" xr:uid="{00000000-0005-0000-0000-0000DE6A0000}"/>
    <cellStyle name="Normal 91 11 2" xfId="26541" xr:uid="{00000000-0005-0000-0000-0000DF6A0000}"/>
    <cellStyle name="Normal 91 12" xfId="14328" xr:uid="{00000000-0005-0000-0000-0000E06A0000}"/>
    <cellStyle name="Normal 91 12 2" xfId="26542" xr:uid="{00000000-0005-0000-0000-0000E16A0000}"/>
    <cellStyle name="Normal 91 13" xfId="14329" xr:uid="{00000000-0005-0000-0000-0000E26A0000}"/>
    <cellStyle name="Normal 91 13 2" xfId="26543" xr:uid="{00000000-0005-0000-0000-0000E36A0000}"/>
    <cellStyle name="Normal 91 14" xfId="14330" xr:uid="{00000000-0005-0000-0000-0000E46A0000}"/>
    <cellStyle name="Normal 91 14 2" xfId="26544" xr:uid="{00000000-0005-0000-0000-0000E56A0000}"/>
    <cellStyle name="Normal 91 15" xfId="14331" xr:uid="{00000000-0005-0000-0000-0000E66A0000}"/>
    <cellStyle name="Normal 91 15 2" xfId="26545" xr:uid="{00000000-0005-0000-0000-0000E76A0000}"/>
    <cellStyle name="Normal 91 16" xfId="14332" xr:uid="{00000000-0005-0000-0000-0000E86A0000}"/>
    <cellStyle name="Normal 91 16 2" xfId="26546" xr:uid="{00000000-0005-0000-0000-0000E96A0000}"/>
    <cellStyle name="Normal 91 17" xfId="14333" xr:uid="{00000000-0005-0000-0000-0000EA6A0000}"/>
    <cellStyle name="Normal 91 17 2" xfId="26547" xr:uid="{00000000-0005-0000-0000-0000EB6A0000}"/>
    <cellStyle name="Normal 91 18" xfId="14334" xr:uid="{00000000-0005-0000-0000-0000EC6A0000}"/>
    <cellStyle name="Normal 91 18 2" xfId="26548" xr:uid="{00000000-0005-0000-0000-0000ED6A0000}"/>
    <cellStyle name="Normal 91 19" xfId="14335" xr:uid="{00000000-0005-0000-0000-0000EE6A0000}"/>
    <cellStyle name="Normal 91 19 2" xfId="26549" xr:uid="{00000000-0005-0000-0000-0000EF6A0000}"/>
    <cellStyle name="Normal 91 2" xfId="271" xr:uid="{00000000-0005-0000-0000-0000F06A0000}"/>
    <cellStyle name="Normal 91 2 2" xfId="26550" xr:uid="{00000000-0005-0000-0000-0000F16A0000}"/>
    <cellStyle name="Normal 91 2 3" xfId="14336" xr:uid="{00000000-0005-0000-0000-0000F26A0000}"/>
    <cellStyle name="Normal 91 20" xfId="14337" xr:uid="{00000000-0005-0000-0000-0000F36A0000}"/>
    <cellStyle name="Normal 91 20 2" xfId="26551" xr:uid="{00000000-0005-0000-0000-0000F46A0000}"/>
    <cellStyle name="Normal 91 21" xfId="14338" xr:uid="{00000000-0005-0000-0000-0000F56A0000}"/>
    <cellStyle name="Normal 91 21 2" xfId="26552" xr:uid="{00000000-0005-0000-0000-0000F66A0000}"/>
    <cellStyle name="Normal 91 22" xfId="14339" xr:uid="{00000000-0005-0000-0000-0000F76A0000}"/>
    <cellStyle name="Normal 91 22 2" xfId="26553" xr:uid="{00000000-0005-0000-0000-0000F86A0000}"/>
    <cellStyle name="Normal 91 23" xfId="14340" xr:uid="{00000000-0005-0000-0000-0000F96A0000}"/>
    <cellStyle name="Normal 91 23 2" xfId="26554" xr:uid="{00000000-0005-0000-0000-0000FA6A0000}"/>
    <cellStyle name="Normal 91 24" xfId="14341" xr:uid="{00000000-0005-0000-0000-0000FB6A0000}"/>
    <cellStyle name="Normal 91 24 2" xfId="26555" xr:uid="{00000000-0005-0000-0000-0000FC6A0000}"/>
    <cellStyle name="Normal 91 25" xfId="14342" xr:uid="{00000000-0005-0000-0000-0000FD6A0000}"/>
    <cellStyle name="Normal 91 25 2" xfId="26556" xr:uid="{00000000-0005-0000-0000-0000FE6A0000}"/>
    <cellStyle name="Normal 91 26" xfId="14343" xr:uid="{00000000-0005-0000-0000-0000FF6A0000}"/>
    <cellStyle name="Normal 91 26 2" xfId="26557" xr:uid="{00000000-0005-0000-0000-0000006B0000}"/>
    <cellStyle name="Normal 91 27" xfId="14344" xr:uid="{00000000-0005-0000-0000-0000016B0000}"/>
    <cellStyle name="Normal 91 27 2" xfId="26558" xr:uid="{00000000-0005-0000-0000-0000026B0000}"/>
    <cellStyle name="Normal 91 28" xfId="14345" xr:uid="{00000000-0005-0000-0000-0000036B0000}"/>
    <cellStyle name="Normal 91 28 2" xfId="26559" xr:uid="{00000000-0005-0000-0000-0000046B0000}"/>
    <cellStyle name="Normal 91 29" xfId="14346" xr:uid="{00000000-0005-0000-0000-0000056B0000}"/>
    <cellStyle name="Normal 91 29 2" xfId="26560" xr:uid="{00000000-0005-0000-0000-0000066B0000}"/>
    <cellStyle name="Normal 91 3" xfId="432" xr:uid="{00000000-0005-0000-0000-0000076B0000}"/>
    <cellStyle name="Normal 91 3 2" xfId="26561" xr:uid="{00000000-0005-0000-0000-0000086B0000}"/>
    <cellStyle name="Normal 91 30" xfId="14347" xr:uid="{00000000-0005-0000-0000-0000096B0000}"/>
    <cellStyle name="Normal 91 30 2" xfId="26562" xr:uid="{00000000-0005-0000-0000-00000A6B0000}"/>
    <cellStyle name="Normal 91 31" xfId="14348" xr:uid="{00000000-0005-0000-0000-00000B6B0000}"/>
    <cellStyle name="Normal 91 31 2" xfId="26563" xr:uid="{00000000-0005-0000-0000-00000C6B0000}"/>
    <cellStyle name="Normal 91 32" xfId="14349" xr:uid="{00000000-0005-0000-0000-00000D6B0000}"/>
    <cellStyle name="Normal 91 32 2" xfId="26564" xr:uid="{00000000-0005-0000-0000-00000E6B0000}"/>
    <cellStyle name="Normal 91 33" xfId="14350" xr:uid="{00000000-0005-0000-0000-00000F6B0000}"/>
    <cellStyle name="Normal 91 33 2" xfId="26565" xr:uid="{00000000-0005-0000-0000-0000106B0000}"/>
    <cellStyle name="Normal 91 34" xfId="14351" xr:uid="{00000000-0005-0000-0000-0000116B0000}"/>
    <cellStyle name="Normal 91 34 2" xfId="26566" xr:uid="{00000000-0005-0000-0000-0000126B0000}"/>
    <cellStyle name="Normal 91 35" xfId="14352" xr:uid="{00000000-0005-0000-0000-0000136B0000}"/>
    <cellStyle name="Normal 91 35 2" xfId="26567" xr:uid="{00000000-0005-0000-0000-0000146B0000}"/>
    <cellStyle name="Normal 91 36" xfId="14353" xr:uid="{00000000-0005-0000-0000-0000156B0000}"/>
    <cellStyle name="Normal 91 36 2" xfId="26568" xr:uid="{00000000-0005-0000-0000-0000166B0000}"/>
    <cellStyle name="Normal 91 37" xfId="14354" xr:uid="{00000000-0005-0000-0000-0000176B0000}"/>
    <cellStyle name="Normal 91 37 2" xfId="26569" xr:uid="{00000000-0005-0000-0000-0000186B0000}"/>
    <cellStyle name="Normal 91 38" xfId="14355" xr:uid="{00000000-0005-0000-0000-0000196B0000}"/>
    <cellStyle name="Normal 91 38 2" xfId="26570" xr:uid="{00000000-0005-0000-0000-00001A6B0000}"/>
    <cellStyle name="Normal 91 39" xfId="14356" xr:uid="{00000000-0005-0000-0000-00001B6B0000}"/>
    <cellStyle name="Normal 91 39 2" xfId="26571" xr:uid="{00000000-0005-0000-0000-00001C6B0000}"/>
    <cellStyle name="Normal 91 4" xfId="14357" xr:uid="{00000000-0005-0000-0000-00001D6B0000}"/>
    <cellStyle name="Normal 91 4 2" xfId="26572" xr:uid="{00000000-0005-0000-0000-00001E6B0000}"/>
    <cellStyle name="Normal 91 40" xfId="14358" xr:uid="{00000000-0005-0000-0000-00001F6B0000}"/>
    <cellStyle name="Normal 91 40 2" xfId="26573" xr:uid="{00000000-0005-0000-0000-0000206B0000}"/>
    <cellStyle name="Normal 91 41" xfId="14359" xr:uid="{00000000-0005-0000-0000-0000216B0000}"/>
    <cellStyle name="Normal 91 41 2" xfId="26574" xr:uid="{00000000-0005-0000-0000-0000226B0000}"/>
    <cellStyle name="Normal 91 42" xfId="14360" xr:uid="{00000000-0005-0000-0000-0000236B0000}"/>
    <cellStyle name="Normal 91 42 2" xfId="26575" xr:uid="{00000000-0005-0000-0000-0000246B0000}"/>
    <cellStyle name="Normal 91 43" xfId="14361" xr:uid="{00000000-0005-0000-0000-0000256B0000}"/>
    <cellStyle name="Normal 91 43 2" xfId="26576" xr:uid="{00000000-0005-0000-0000-0000266B0000}"/>
    <cellStyle name="Normal 91 44" xfId="14362" xr:uid="{00000000-0005-0000-0000-0000276B0000}"/>
    <cellStyle name="Normal 91 44 2" xfId="26577" xr:uid="{00000000-0005-0000-0000-0000286B0000}"/>
    <cellStyle name="Normal 91 45" xfId="14363" xr:uid="{00000000-0005-0000-0000-0000296B0000}"/>
    <cellStyle name="Normal 91 45 2" xfId="26578" xr:uid="{00000000-0005-0000-0000-00002A6B0000}"/>
    <cellStyle name="Normal 91 46" xfId="14364" xr:uid="{00000000-0005-0000-0000-00002B6B0000}"/>
    <cellStyle name="Normal 91 46 2" xfId="26579" xr:uid="{00000000-0005-0000-0000-00002C6B0000}"/>
    <cellStyle name="Normal 91 47" xfId="14365" xr:uid="{00000000-0005-0000-0000-00002D6B0000}"/>
    <cellStyle name="Normal 91 47 2" xfId="26580" xr:uid="{00000000-0005-0000-0000-00002E6B0000}"/>
    <cellStyle name="Normal 91 48" xfId="14366" xr:uid="{00000000-0005-0000-0000-00002F6B0000}"/>
    <cellStyle name="Normal 91 48 2" xfId="26581" xr:uid="{00000000-0005-0000-0000-0000306B0000}"/>
    <cellStyle name="Normal 91 49" xfId="14367" xr:uid="{00000000-0005-0000-0000-0000316B0000}"/>
    <cellStyle name="Normal 91 49 2" xfId="26582" xr:uid="{00000000-0005-0000-0000-0000326B0000}"/>
    <cellStyle name="Normal 91 5" xfId="14368" xr:uid="{00000000-0005-0000-0000-0000336B0000}"/>
    <cellStyle name="Normal 91 5 2" xfId="26583" xr:uid="{00000000-0005-0000-0000-0000346B0000}"/>
    <cellStyle name="Normal 91 50" xfId="14369" xr:uid="{00000000-0005-0000-0000-0000356B0000}"/>
    <cellStyle name="Normal 91 50 2" xfId="26584" xr:uid="{00000000-0005-0000-0000-0000366B0000}"/>
    <cellStyle name="Normal 91 51" xfId="14370" xr:uid="{00000000-0005-0000-0000-0000376B0000}"/>
    <cellStyle name="Normal 91 51 2" xfId="26585" xr:uid="{00000000-0005-0000-0000-0000386B0000}"/>
    <cellStyle name="Normal 91 52" xfId="14371" xr:uid="{00000000-0005-0000-0000-0000396B0000}"/>
    <cellStyle name="Normal 91 52 2" xfId="26586" xr:uid="{00000000-0005-0000-0000-00003A6B0000}"/>
    <cellStyle name="Normal 91 53" xfId="14372" xr:uid="{00000000-0005-0000-0000-00003B6B0000}"/>
    <cellStyle name="Normal 91 53 2" xfId="26587" xr:uid="{00000000-0005-0000-0000-00003C6B0000}"/>
    <cellStyle name="Normal 91 54" xfId="14373" xr:uid="{00000000-0005-0000-0000-00003D6B0000}"/>
    <cellStyle name="Normal 91 54 2" xfId="26588" xr:uid="{00000000-0005-0000-0000-00003E6B0000}"/>
    <cellStyle name="Normal 91 55" xfId="14374" xr:uid="{00000000-0005-0000-0000-00003F6B0000}"/>
    <cellStyle name="Normal 91 55 2" xfId="26589" xr:uid="{00000000-0005-0000-0000-0000406B0000}"/>
    <cellStyle name="Normal 91 56" xfId="14375" xr:uid="{00000000-0005-0000-0000-0000416B0000}"/>
    <cellStyle name="Normal 91 56 2" xfId="26590" xr:uid="{00000000-0005-0000-0000-0000426B0000}"/>
    <cellStyle name="Normal 91 57" xfId="14376" xr:uid="{00000000-0005-0000-0000-0000436B0000}"/>
    <cellStyle name="Normal 91 57 2" xfId="26591" xr:uid="{00000000-0005-0000-0000-0000446B0000}"/>
    <cellStyle name="Normal 91 58" xfId="14377" xr:uid="{00000000-0005-0000-0000-0000456B0000}"/>
    <cellStyle name="Normal 91 58 2" xfId="26592" xr:uid="{00000000-0005-0000-0000-0000466B0000}"/>
    <cellStyle name="Normal 91 59" xfId="14378" xr:uid="{00000000-0005-0000-0000-0000476B0000}"/>
    <cellStyle name="Normal 91 59 2" xfId="26593" xr:uid="{00000000-0005-0000-0000-0000486B0000}"/>
    <cellStyle name="Normal 91 6" xfId="14379" xr:uid="{00000000-0005-0000-0000-0000496B0000}"/>
    <cellStyle name="Normal 91 6 2" xfId="26594" xr:uid="{00000000-0005-0000-0000-00004A6B0000}"/>
    <cellStyle name="Normal 91 60" xfId="14380" xr:uid="{00000000-0005-0000-0000-00004B6B0000}"/>
    <cellStyle name="Normal 91 60 2" xfId="26595" xr:uid="{00000000-0005-0000-0000-00004C6B0000}"/>
    <cellStyle name="Normal 91 61" xfId="14381" xr:uid="{00000000-0005-0000-0000-00004D6B0000}"/>
    <cellStyle name="Normal 91 61 2" xfId="26596" xr:uid="{00000000-0005-0000-0000-00004E6B0000}"/>
    <cellStyle name="Normal 91 62" xfId="14382" xr:uid="{00000000-0005-0000-0000-00004F6B0000}"/>
    <cellStyle name="Normal 91 62 2" xfId="26597" xr:uid="{00000000-0005-0000-0000-0000506B0000}"/>
    <cellStyle name="Normal 91 63" xfId="14383" xr:uid="{00000000-0005-0000-0000-0000516B0000}"/>
    <cellStyle name="Normal 91 63 2" xfId="26598" xr:uid="{00000000-0005-0000-0000-0000526B0000}"/>
    <cellStyle name="Normal 91 64" xfId="14384" xr:uid="{00000000-0005-0000-0000-0000536B0000}"/>
    <cellStyle name="Normal 91 64 2" xfId="26599" xr:uid="{00000000-0005-0000-0000-0000546B0000}"/>
    <cellStyle name="Normal 91 65" xfId="14385" xr:uid="{00000000-0005-0000-0000-0000556B0000}"/>
    <cellStyle name="Normal 91 65 2" xfId="26600" xr:uid="{00000000-0005-0000-0000-0000566B0000}"/>
    <cellStyle name="Normal 91 66" xfId="14386" xr:uid="{00000000-0005-0000-0000-0000576B0000}"/>
    <cellStyle name="Normal 91 66 2" xfId="26601" xr:uid="{00000000-0005-0000-0000-0000586B0000}"/>
    <cellStyle name="Normal 91 67" xfId="14387" xr:uid="{00000000-0005-0000-0000-0000596B0000}"/>
    <cellStyle name="Normal 91 67 2" xfId="26602" xr:uid="{00000000-0005-0000-0000-00005A6B0000}"/>
    <cellStyle name="Normal 91 68" xfId="14388" xr:uid="{00000000-0005-0000-0000-00005B6B0000}"/>
    <cellStyle name="Normal 91 68 2" xfId="26603" xr:uid="{00000000-0005-0000-0000-00005C6B0000}"/>
    <cellStyle name="Normal 91 69" xfId="14389" xr:uid="{00000000-0005-0000-0000-00005D6B0000}"/>
    <cellStyle name="Normal 91 69 2" xfId="26604" xr:uid="{00000000-0005-0000-0000-00005E6B0000}"/>
    <cellStyle name="Normal 91 7" xfId="14390" xr:uid="{00000000-0005-0000-0000-00005F6B0000}"/>
    <cellStyle name="Normal 91 7 2" xfId="26605" xr:uid="{00000000-0005-0000-0000-0000606B0000}"/>
    <cellStyle name="Normal 91 70" xfId="14391" xr:uid="{00000000-0005-0000-0000-0000616B0000}"/>
    <cellStyle name="Normal 91 70 2" xfId="26606" xr:uid="{00000000-0005-0000-0000-0000626B0000}"/>
    <cellStyle name="Normal 91 71" xfId="14392" xr:uid="{00000000-0005-0000-0000-0000636B0000}"/>
    <cellStyle name="Normal 91 71 2" xfId="26607" xr:uid="{00000000-0005-0000-0000-0000646B0000}"/>
    <cellStyle name="Normal 91 72" xfId="14393" xr:uid="{00000000-0005-0000-0000-0000656B0000}"/>
    <cellStyle name="Normal 91 72 2" xfId="26608" xr:uid="{00000000-0005-0000-0000-0000666B0000}"/>
    <cellStyle name="Normal 91 73" xfId="14394" xr:uid="{00000000-0005-0000-0000-0000676B0000}"/>
    <cellStyle name="Normal 91 73 2" xfId="26609" xr:uid="{00000000-0005-0000-0000-0000686B0000}"/>
    <cellStyle name="Normal 91 74" xfId="14395" xr:uid="{00000000-0005-0000-0000-0000696B0000}"/>
    <cellStyle name="Normal 91 74 2" xfId="26610" xr:uid="{00000000-0005-0000-0000-00006A6B0000}"/>
    <cellStyle name="Normal 91 75" xfId="14396" xr:uid="{00000000-0005-0000-0000-00006B6B0000}"/>
    <cellStyle name="Normal 91 75 2" xfId="26611" xr:uid="{00000000-0005-0000-0000-00006C6B0000}"/>
    <cellStyle name="Normal 91 76" xfId="14397" xr:uid="{00000000-0005-0000-0000-00006D6B0000}"/>
    <cellStyle name="Normal 91 76 2" xfId="26612" xr:uid="{00000000-0005-0000-0000-00006E6B0000}"/>
    <cellStyle name="Normal 91 77" xfId="14398" xr:uid="{00000000-0005-0000-0000-00006F6B0000}"/>
    <cellStyle name="Normal 91 77 2" xfId="26613" xr:uid="{00000000-0005-0000-0000-0000706B0000}"/>
    <cellStyle name="Normal 91 78" xfId="14399" xr:uid="{00000000-0005-0000-0000-0000716B0000}"/>
    <cellStyle name="Normal 91 78 2" xfId="26614" xr:uid="{00000000-0005-0000-0000-0000726B0000}"/>
    <cellStyle name="Normal 91 79" xfId="14400" xr:uid="{00000000-0005-0000-0000-0000736B0000}"/>
    <cellStyle name="Normal 91 79 2" xfId="26615" xr:uid="{00000000-0005-0000-0000-0000746B0000}"/>
    <cellStyle name="Normal 91 8" xfId="14401" xr:uid="{00000000-0005-0000-0000-0000756B0000}"/>
    <cellStyle name="Normal 91 8 2" xfId="26616" xr:uid="{00000000-0005-0000-0000-0000766B0000}"/>
    <cellStyle name="Normal 91 80" xfId="26539" xr:uid="{00000000-0005-0000-0000-0000776B0000}"/>
    <cellStyle name="Normal 91 9" xfId="14402" xr:uid="{00000000-0005-0000-0000-0000786B0000}"/>
    <cellStyle name="Normal 91 9 2" xfId="26617" xr:uid="{00000000-0005-0000-0000-0000796B0000}"/>
    <cellStyle name="Normal 92" xfId="218" xr:uid="{00000000-0005-0000-0000-00007A6B0000}"/>
    <cellStyle name="Normal 92 10" xfId="14403" xr:uid="{00000000-0005-0000-0000-00007B6B0000}"/>
    <cellStyle name="Normal 92 10 2" xfId="26619" xr:uid="{00000000-0005-0000-0000-00007C6B0000}"/>
    <cellStyle name="Normal 92 11" xfId="14404" xr:uid="{00000000-0005-0000-0000-00007D6B0000}"/>
    <cellStyle name="Normal 92 11 2" xfId="26620" xr:uid="{00000000-0005-0000-0000-00007E6B0000}"/>
    <cellStyle name="Normal 92 12" xfId="14405" xr:uid="{00000000-0005-0000-0000-00007F6B0000}"/>
    <cellStyle name="Normal 92 12 2" xfId="26621" xr:uid="{00000000-0005-0000-0000-0000806B0000}"/>
    <cellStyle name="Normal 92 13" xfId="14406" xr:uid="{00000000-0005-0000-0000-0000816B0000}"/>
    <cellStyle name="Normal 92 13 2" xfId="26622" xr:uid="{00000000-0005-0000-0000-0000826B0000}"/>
    <cellStyle name="Normal 92 14" xfId="14407" xr:uid="{00000000-0005-0000-0000-0000836B0000}"/>
    <cellStyle name="Normal 92 14 2" xfId="26623" xr:uid="{00000000-0005-0000-0000-0000846B0000}"/>
    <cellStyle name="Normal 92 15" xfId="14408" xr:uid="{00000000-0005-0000-0000-0000856B0000}"/>
    <cellStyle name="Normal 92 15 2" xfId="26624" xr:uid="{00000000-0005-0000-0000-0000866B0000}"/>
    <cellStyle name="Normal 92 16" xfId="14409" xr:uid="{00000000-0005-0000-0000-0000876B0000}"/>
    <cellStyle name="Normal 92 16 2" xfId="26625" xr:uid="{00000000-0005-0000-0000-0000886B0000}"/>
    <cellStyle name="Normal 92 17" xfId="14410" xr:uid="{00000000-0005-0000-0000-0000896B0000}"/>
    <cellStyle name="Normal 92 17 2" xfId="26626" xr:uid="{00000000-0005-0000-0000-00008A6B0000}"/>
    <cellStyle name="Normal 92 18" xfId="14411" xr:uid="{00000000-0005-0000-0000-00008B6B0000}"/>
    <cellStyle name="Normal 92 18 2" xfId="26627" xr:uid="{00000000-0005-0000-0000-00008C6B0000}"/>
    <cellStyle name="Normal 92 19" xfId="14412" xr:uid="{00000000-0005-0000-0000-00008D6B0000}"/>
    <cellStyle name="Normal 92 19 2" xfId="26628" xr:uid="{00000000-0005-0000-0000-00008E6B0000}"/>
    <cellStyle name="Normal 92 2" xfId="272" xr:uid="{00000000-0005-0000-0000-00008F6B0000}"/>
    <cellStyle name="Normal 92 2 2" xfId="26629" xr:uid="{00000000-0005-0000-0000-0000906B0000}"/>
    <cellStyle name="Normal 92 2 3" xfId="14413" xr:uid="{00000000-0005-0000-0000-0000916B0000}"/>
    <cellStyle name="Normal 92 20" xfId="14414" xr:uid="{00000000-0005-0000-0000-0000926B0000}"/>
    <cellStyle name="Normal 92 20 2" xfId="26630" xr:uid="{00000000-0005-0000-0000-0000936B0000}"/>
    <cellStyle name="Normal 92 21" xfId="14415" xr:uid="{00000000-0005-0000-0000-0000946B0000}"/>
    <cellStyle name="Normal 92 21 2" xfId="26631" xr:uid="{00000000-0005-0000-0000-0000956B0000}"/>
    <cellStyle name="Normal 92 22" xfId="14416" xr:uid="{00000000-0005-0000-0000-0000966B0000}"/>
    <cellStyle name="Normal 92 22 2" xfId="26632" xr:uid="{00000000-0005-0000-0000-0000976B0000}"/>
    <cellStyle name="Normal 92 23" xfId="14417" xr:uid="{00000000-0005-0000-0000-0000986B0000}"/>
    <cellStyle name="Normal 92 23 2" xfId="26633" xr:uid="{00000000-0005-0000-0000-0000996B0000}"/>
    <cellStyle name="Normal 92 24" xfId="14418" xr:uid="{00000000-0005-0000-0000-00009A6B0000}"/>
    <cellStyle name="Normal 92 24 2" xfId="26634" xr:uid="{00000000-0005-0000-0000-00009B6B0000}"/>
    <cellStyle name="Normal 92 25" xfId="14419" xr:uid="{00000000-0005-0000-0000-00009C6B0000}"/>
    <cellStyle name="Normal 92 25 2" xfId="26635" xr:uid="{00000000-0005-0000-0000-00009D6B0000}"/>
    <cellStyle name="Normal 92 26" xfId="14420" xr:uid="{00000000-0005-0000-0000-00009E6B0000}"/>
    <cellStyle name="Normal 92 26 2" xfId="26636" xr:uid="{00000000-0005-0000-0000-00009F6B0000}"/>
    <cellStyle name="Normal 92 27" xfId="14421" xr:uid="{00000000-0005-0000-0000-0000A06B0000}"/>
    <cellStyle name="Normal 92 27 2" xfId="26637" xr:uid="{00000000-0005-0000-0000-0000A16B0000}"/>
    <cellStyle name="Normal 92 28" xfId="14422" xr:uid="{00000000-0005-0000-0000-0000A26B0000}"/>
    <cellStyle name="Normal 92 28 2" xfId="26638" xr:uid="{00000000-0005-0000-0000-0000A36B0000}"/>
    <cellStyle name="Normal 92 29" xfId="14423" xr:uid="{00000000-0005-0000-0000-0000A46B0000}"/>
    <cellStyle name="Normal 92 29 2" xfId="26639" xr:uid="{00000000-0005-0000-0000-0000A56B0000}"/>
    <cellStyle name="Normal 92 3" xfId="433" xr:uid="{00000000-0005-0000-0000-0000A66B0000}"/>
    <cellStyle name="Normal 92 3 2" xfId="26640" xr:uid="{00000000-0005-0000-0000-0000A76B0000}"/>
    <cellStyle name="Normal 92 30" xfId="14424" xr:uid="{00000000-0005-0000-0000-0000A86B0000}"/>
    <cellStyle name="Normal 92 30 2" xfId="26641" xr:uid="{00000000-0005-0000-0000-0000A96B0000}"/>
    <cellStyle name="Normal 92 31" xfId="14425" xr:uid="{00000000-0005-0000-0000-0000AA6B0000}"/>
    <cellStyle name="Normal 92 31 2" xfId="26642" xr:uid="{00000000-0005-0000-0000-0000AB6B0000}"/>
    <cellStyle name="Normal 92 32" xfId="14426" xr:uid="{00000000-0005-0000-0000-0000AC6B0000}"/>
    <cellStyle name="Normal 92 32 2" xfId="26643" xr:uid="{00000000-0005-0000-0000-0000AD6B0000}"/>
    <cellStyle name="Normal 92 33" xfId="14427" xr:uid="{00000000-0005-0000-0000-0000AE6B0000}"/>
    <cellStyle name="Normal 92 33 2" xfId="26644" xr:uid="{00000000-0005-0000-0000-0000AF6B0000}"/>
    <cellStyle name="Normal 92 34" xfId="14428" xr:uid="{00000000-0005-0000-0000-0000B06B0000}"/>
    <cellStyle name="Normal 92 34 2" xfId="26645" xr:uid="{00000000-0005-0000-0000-0000B16B0000}"/>
    <cellStyle name="Normal 92 35" xfId="14429" xr:uid="{00000000-0005-0000-0000-0000B26B0000}"/>
    <cellStyle name="Normal 92 35 2" xfId="26646" xr:uid="{00000000-0005-0000-0000-0000B36B0000}"/>
    <cellStyle name="Normal 92 36" xfId="14430" xr:uid="{00000000-0005-0000-0000-0000B46B0000}"/>
    <cellStyle name="Normal 92 36 2" xfId="26647" xr:uid="{00000000-0005-0000-0000-0000B56B0000}"/>
    <cellStyle name="Normal 92 37" xfId="14431" xr:uid="{00000000-0005-0000-0000-0000B66B0000}"/>
    <cellStyle name="Normal 92 37 2" xfId="26648" xr:uid="{00000000-0005-0000-0000-0000B76B0000}"/>
    <cellStyle name="Normal 92 38" xfId="14432" xr:uid="{00000000-0005-0000-0000-0000B86B0000}"/>
    <cellStyle name="Normal 92 38 2" xfId="26649" xr:uid="{00000000-0005-0000-0000-0000B96B0000}"/>
    <cellStyle name="Normal 92 39" xfId="14433" xr:uid="{00000000-0005-0000-0000-0000BA6B0000}"/>
    <cellStyle name="Normal 92 39 2" xfId="26650" xr:uid="{00000000-0005-0000-0000-0000BB6B0000}"/>
    <cellStyle name="Normal 92 4" xfId="14434" xr:uid="{00000000-0005-0000-0000-0000BC6B0000}"/>
    <cellStyle name="Normal 92 4 2" xfId="26651" xr:uid="{00000000-0005-0000-0000-0000BD6B0000}"/>
    <cellStyle name="Normal 92 40" xfId="14435" xr:uid="{00000000-0005-0000-0000-0000BE6B0000}"/>
    <cellStyle name="Normal 92 40 2" xfId="26652" xr:uid="{00000000-0005-0000-0000-0000BF6B0000}"/>
    <cellStyle name="Normal 92 41" xfId="14436" xr:uid="{00000000-0005-0000-0000-0000C06B0000}"/>
    <cellStyle name="Normal 92 41 2" xfId="26653" xr:uid="{00000000-0005-0000-0000-0000C16B0000}"/>
    <cellStyle name="Normal 92 42" xfId="14437" xr:uid="{00000000-0005-0000-0000-0000C26B0000}"/>
    <cellStyle name="Normal 92 42 2" xfId="26654" xr:uid="{00000000-0005-0000-0000-0000C36B0000}"/>
    <cellStyle name="Normal 92 43" xfId="14438" xr:uid="{00000000-0005-0000-0000-0000C46B0000}"/>
    <cellStyle name="Normal 92 43 2" xfId="26655" xr:uid="{00000000-0005-0000-0000-0000C56B0000}"/>
    <cellStyle name="Normal 92 44" xfId="14439" xr:uid="{00000000-0005-0000-0000-0000C66B0000}"/>
    <cellStyle name="Normal 92 44 2" xfId="26656" xr:uid="{00000000-0005-0000-0000-0000C76B0000}"/>
    <cellStyle name="Normal 92 45" xfId="14440" xr:uid="{00000000-0005-0000-0000-0000C86B0000}"/>
    <cellStyle name="Normal 92 45 2" xfId="26657" xr:uid="{00000000-0005-0000-0000-0000C96B0000}"/>
    <cellStyle name="Normal 92 46" xfId="14441" xr:uid="{00000000-0005-0000-0000-0000CA6B0000}"/>
    <cellStyle name="Normal 92 46 2" xfId="26658" xr:uid="{00000000-0005-0000-0000-0000CB6B0000}"/>
    <cellStyle name="Normal 92 47" xfId="14442" xr:uid="{00000000-0005-0000-0000-0000CC6B0000}"/>
    <cellStyle name="Normal 92 47 2" xfId="26659" xr:uid="{00000000-0005-0000-0000-0000CD6B0000}"/>
    <cellStyle name="Normal 92 48" xfId="14443" xr:uid="{00000000-0005-0000-0000-0000CE6B0000}"/>
    <cellStyle name="Normal 92 48 2" xfId="26660" xr:uid="{00000000-0005-0000-0000-0000CF6B0000}"/>
    <cellStyle name="Normal 92 49" xfId="14444" xr:uid="{00000000-0005-0000-0000-0000D06B0000}"/>
    <cellStyle name="Normal 92 49 2" xfId="26661" xr:uid="{00000000-0005-0000-0000-0000D16B0000}"/>
    <cellStyle name="Normal 92 5" xfId="14445" xr:uid="{00000000-0005-0000-0000-0000D26B0000}"/>
    <cellStyle name="Normal 92 5 2" xfId="26662" xr:uid="{00000000-0005-0000-0000-0000D36B0000}"/>
    <cellStyle name="Normal 92 50" xfId="14446" xr:uid="{00000000-0005-0000-0000-0000D46B0000}"/>
    <cellStyle name="Normal 92 50 2" xfId="26663" xr:uid="{00000000-0005-0000-0000-0000D56B0000}"/>
    <cellStyle name="Normal 92 51" xfId="14447" xr:uid="{00000000-0005-0000-0000-0000D66B0000}"/>
    <cellStyle name="Normal 92 51 2" xfId="26664" xr:uid="{00000000-0005-0000-0000-0000D76B0000}"/>
    <cellStyle name="Normal 92 52" xfId="14448" xr:uid="{00000000-0005-0000-0000-0000D86B0000}"/>
    <cellStyle name="Normal 92 52 2" xfId="26665" xr:uid="{00000000-0005-0000-0000-0000D96B0000}"/>
    <cellStyle name="Normal 92 53" xfId="14449" xr:uid="{00000000-0005-0000-0000-0000DA6B0000}"/>
    <cellStyle name="Normal 92 53 2" xfId="26666" xr:uid="{00000000-0005-0000-0000-0000DB6B0000}"/>
    <cellStyle name="Normal 92 54" xfId="14450" xr:uid="{00000000-0005-0000-0000-0000DC6B0000}"/>
    <cellStyle name="Normal 92 54 2" xfId="26667" xr:uid="{00000000-0005-0000-0000-0000DD6B0000}"/>
    <cellStyle name="Normal 92 55" xfId="14451" xr:uid="{00000000-0005-0000-0000-0000DE6B0000}"/>
    <cellStyle name="Normal 92 55 2" xfId="26668" xr:uid="{00000000-0005-0000-0000-0000DF6B0000}"/>
    <cellStyle name="Normal 92 56" xfId="14452" xr:uid="{00000000-0005-0000-0000-0000E06B0000}"/>
    <cellStyle name="Normal 92 56 2" xfId="26669" xr:uid="{00000000-0005-0000-0000-0000E16B0000}"/>
    <cellStyle name="Normal 92 57" xfId="14453" xr:uid="{00000000-0005-0000-0000-0000E26B0000}"/>
    <cellStyle name="Normal 92 57 2" xfId="26670" xr:uid="{00000000-0005-0000-0000-0000E36B0000}"/>
    <cellStyle name="Normal 92 58" xfId="14454" xr:uid="{00000000-0005-0000-0000-0000E46B0000}"/>
    <cellStyle name="Normal 92 58 2" xfId="26671" xr:uid="{00000000-0005-0000-0000-0000E56B0000}"/>
    <cellStyle name="Normal 92 59" xfId="14455" xr:uid="{00000000-0005-0000-0000-0000E66B0000}"/>
    <cellStyle name="Normal 92 59 2" xfId="26672" xr:uid="{00000000-0005-0000-0000-0000E76B0000}"/>
    <cellStyle name="Normal 92 6" xfId="14456" xr:uid="{00000000-0005-0000-0000-0000E86B0000}"/>
    <cellStyle name="Normal 92 6 2" xfId="26673" xr:uid="{00000000-0005-0000-0000-0000E96B0000}"/>
    <cellStyle name="Normal 92 60" xfId="14457" xr:uid="{00000000-0005-0000-0000-0000EA6B0000}"/>
    <cellStyle name="Normal 92 60 2" xfId="26674" xr:uid="{00000000-0005-0000-0000-0000EB6B0000}"/>
    <cellStyle name="Normal 92 61" xfId="14458" xr:uid="{00000000-0005-0000-0000-0000EC6B0000}"/>
    <cellStyle name="Normal 92 61 2" xfId="26675" xr:uid="{00000000-0005-0000-0000-0000ED6B0000}"/>
    <cellStyle name="Normal 92 62" xfId="14459" xr:uid="{00000000-0005-0000-0000-0000EE6B0000}"/>
    <cellStyle name="Normal 92 62 2" xfId="26676" xr:uid="{00000000-0005-0000-0000-0000EF6B0000}"/>
    <cellStyle name="Normal 92 63" xfId="14460" xr:uid="{00000000-0005-0000-0000-0000F06B0000}"/>
    <cellStyle name="Normal 92 63 2" xfId="26677" xr:uid="{00000000-0005-0000-0000-0000F16B0000}"/>
    <cellStyle name="Normal 92 64" xfId="14461" xr:uid="{00000000-0005-0000-0000-0000F26B0000}"/>
    <cellStyle name="Normal 92 64 2" xfId="26678" xr:uid="{00000000-0005-0000-0000-0000F36B0000}"/>
    <cellStyle name="Normal 92 65" xfId="14462" xr:uid="{00000000-0005-0000-0000-0000F46B0000}"/>
    <cellStyle name="Normal 92 65 2" xfId="26679" xr:uid="{00000000-0005-0000-0000-0000F56B0000}"/>
    <cellStyle name="Normal 92 66" xfId="14463" xr:uid="{00000000-0005-0000-0000-0000F66B0000}"/>
    <cellStyle name="Normal 92 66 2" xfId="26680" xr:uid="{00000000-0005-0000-0000-0000F76B0000}"/>
    <cellStyle name="Normal 92 67" xfId="14464" xr:uid="{00000000-0005-0000-0000-0000F86B0000}"/>
    <cellStyle name="Normal 92 67 2" xfId="26681" xr:uid="{00000000-0005-0000-0000-0000F96B0000}"/>
    <cellStyle name="Normal 92 68" xfId="14465" xr:uid="{00000000-0005-0000-0000-0000FA6B0000}"/>
    <cellStyle name="Normal 92 68 2" xfId="26682" xr:uid="{00000000-0005-0000-0000-0000FB6B0000}"/>
    <cellStyle name="Normal 92 69" xfId="14466" xr:uid="{00000000-0005-0000-0000-0000FC6B0000}"/>
    <cellStyle name="Normal 92 69 2" xfId="26683" xr:uid="{00000000-0005-0000-0000-0000FD6B0000}"/>
    <cellStyle name="Normal 92 7" xfId="14467" xr:uid="{00000000-0005-0000-0000-0000FE6B0000}"/>
    <cellStyle name="Normal 92 7 2" xfId="26684" xr:uid="{00000000-0005-0000-0000-0000FF6B0000}"/>
    <cellStyle name="Normal 92 70" xfId="14468" xr:uid="{00000000-0005-0000-0000-0000006C0000}"/>
    <cellStyle name="Normal 92 70 2" xfId="26685" xr:uid="{00000000-0005-0000-0000-0000016C0000}"/>
    <cellStyle name="Normal 92 71" xfId="14469" xr:uid="{00000000-0005-0000-0000-0000026C0000}"/>
    <cellStyle name="Normal 92 71 2" xfId="26686" xr:uid="{00000000-0005-0000-0000-0000036C0000}"/>
    <cellStyle name="Normal 92 72" xfId="14470" xr:uid="{00000000-0005-0000-0000-0000046C0000}"/>
    <cellStyle name="Normal 92 72 2" xfId="26687" xr:uid="{00000000-0005-0000-0000-0000056C0000}"/>
    <cellStyle name="Normal 92 73" xfId="14471" xr:uid="{00000000-0005-0000-0000-0000066C0000}"/>
    <cellStyle name="Normal 92 73 2" xfId="26688" xr:uid="{00000000-0005-0000-0000-0000076C0000}"/>
    <cellStyle name="Normal 92 74" xfId="14472" xr:uid="{00000000-0005-0000-0000-0000086C0000}"/>
    <cellStyle name="Normal 92 74 2" xfId="26689" xr:uid="{00000000-0005-0000-0000-0000096C0000}"/>
    <cellStyle name="Normal 92 75" xfId="14473" xr:uid="{00000000-0005-0000-0000-00000A6C0000}"/>
    <cellStyle name="Normal 92 75 2" xfId="26690" xr:uid="{00000000-0005-0000-0000-00000B6C0000}"/>
    <cellStyle name="Normal 92 76" xfId="14474" xr:uid="{00000000-0005-0000-0000-00000C6C0000}"/>
    <cellStyle name="Normal 92 76 2" xfId="26691" xr:uid="{00000000-0005-0000-0000-00000D6C0000}"/>
    <cellStyle name="Normal 92 77" xfId="14475" xr:uid="{00000000-0005-0000-0000-00000E6C0000}"/>
    <cellStyle name="Normal 92 77 2" xfId="26692" xr:uid="{00000000-0005-0000-0000-00000F6C0000}"/>
    <cellStyle name="Normal 92 78" xfId="14476" xr:uid="{00000000-0005-0000-0000-0000106C0000}"/>
    <cellStyle name="Normal 92 78 2" xfId="26693" xr:uid="{00000000-0005-0000-0000-0000116C0000}"/>
    <cellStyle name="Normal 92 79" xfId="14477" xr:uid="{00000000-0005-0000-0000-0000126C0000}"/>
    <cellStyle name="Normal 92 79 2" xfId="26694" xr:uid="{00000000-0005-0000-0000-0000136C0000}"/>
    <cellStyle name="Normal 92 8" xfId="14478" xr:uid="{00000000-0005-0000-0000-0000146C0000}"/>
    <cellStyle name="Normal 92 8 2" xfId="26695" xr:uid="{00000000-0005-0000-0000-0000156C0000}"/>
    <cellStyle name="Normal 92 80" xfId="26618" xr:uid="{00000000-0005-0000-0000-0000166C0000}"/>
    <cellStyle name="Normal 92 9" xfId="14479" xr:uid="{00000000-0005-0000-0000-0000176C0000}"/>
    <cellStyle name="Normal 92 9 2" xfId="26696" xr:uid="{00000000-0005-0000-0000-0000186C0000}"/>
    <cellStyle name="Normal 93" xfId="219" xr:uid="{00000000-0005-0000-0000-0000196C0000}"/>
    <cellStyle name="Normal 93 10" xfId="14480" xr:uid="{00000000-0005-0000-0000-00001A6C0000}"/>
    <cellStyle name="Normal 93 10 2" xfId="26698" xr:uid="{00000000-0005-0000-0000-00001B6C0000}"/>
    <cellStyle name="Normal 93 11" xfId="14481" xr:uid="{00000000-0005-0000-0000-00001C6C0000}"/>
    <cellStyle name="Normal 93 11 2" xfId="26699" xr:uid="{00000000-0005-0000-0000-00001D6C0000}"/>
    <cellStyle name="Normal 93 12" xfId="14482" xr:uid="{00000000-0005-0000-0000-00001E6C0000}"/>
    <cellStyle name="Normal 93 12 2" xfId="26700" xr:uid="{00000000-0005-0000-0000-00001F6C0000}"/>
    <cellStyle name="Normal 93 13" xfId="14483" xr:uid="{00000000-0005-0000-0000-0000206C0000}"/>
    <cellStyle name="Normal 93 13 2" xfId="26701" xr:uid="{00000000-0005-0000-0000-0000216C0000}"/>
    <cellStyle name="Normal 93 14" xfId="14484" xr:uid="{00000000-0005-0000-0000-0000226C0000}"/>
    <cellStyle name="Normal 93 14 2" xfId="26702" xr:uid="{00000000-0005-0000-0000-0000236C0000}"/>
    <cellStyle name="Normal 93 15" xfId="14485" xr:uid="{00000000-0005-0000-0000-0000246C0000}"/>
    <cellStyle name="Normal 93 15 2" xfId="26703" xr:uid="{00000000-0005-0000-0000-0000256C0000}"/>
    <cellStyle name="Normal 93 16" xfId="14486" xr:uid="{00000000-0005-0000-0000-0000266C0000}"/>
    <cellStyle name="Normal 93 16 2" xfId="26704" xr:uid="{00000000-0005-0000-0000-0000276C0000}"/>
    <cellStyle name="Normal 93 17" xfId="14487" xr:uid="{00000000-0005-0000-0000-0000286C0000}"/>
    <cellStyle name="Normal 93 17 2" xfId="26705" xr:uid="{00000000-0005-0000-0000-0000296C0000}"/>
    <cellStyle name="Normal 93 18" xfId="14488" xr:uid="{00000000-0005-0000-0000-00002A6C0000}"/>
    <cellStyle name="Normal 93 18 2" xfId="26706" xr:uid="{00000000-0005-0000-0000-00002B6C0000}"/>
    <cellStyle name="Normal 93 19" xfId="14489" xr:uid="{00000000-0005-0000-0000-00002C6C0000}"/>
    <cellStyle name="Normal 93 19 2" xfId="26707" xr:uid="{00000000-0005-0000-0000-00002D6C0000}"/>
    <cellStyle name="Normal 93 2" xfId="273" xr:uid="{00000000-0005-0000-0000-00002E6C0000}"/>
    <cellStyle name="Normal 93 2 2" xfId="26708" xr:uid="{00000000-0005-0000-0000-00002F6C0000}"/>
    <cellStyle name="Normal 93 2 3" xfId="14490" xr:uid="{00000000-0005-0000-0000-0000306C0000}"/>
    <cellStyle name="Normal 93 20" xfId="14491" xr:uid="{00000000-0005-0000-0000-0000316C0000}"/>
    <cellStyle name="Normal 93 20 2" xfId="26709" xr:uid="{00000000-0005-0000-0000-0000326C0000}"/>
    <cellStyle name="Normal 93 21" xfId="14492" xr:uid="{00000000-0005-0000-0000-0000336C0000}"/>
    <cellStyle name="Normal 93 21 2" xfId="26710" xr:uid="{00000000-0005-0000-0000-0000346C0000}"/>
    <cellStyle name="Normal 93 22" xfId="14493" xr:uid="{00000000-0005-0000-0000-0000356C0000}"/>
    <cellStyle name="Normal 93 22 2" xfId="26711" xr:uid="{00000000-0005-0000-0000-0000366C0000}"/>
    <cellStyle name="Normal 93 23" xfId="14494" xr:uid="{00000000-0005-0000-0000-0000376C0000}"/>
    <cellStyle name="Normal 93 23 2" xfId="26712" xr:uid="{00000000-0005-0000-0000-0000386C0000}"/>
    <cellStyle name="Normal 93 24" xfId="14495" xr:uid="{00000000-0005-0000-0000-0000396C0000}"/>
    <cellStyle name="Normal 93 24 2" xfId="26713" xr:uid="{00000000-0005-0000-0000-00003A6C0000}"/>
    <cellStyle name="Normal 93 25" xfId="14496" xr:uid="{00000000-0005-0000-0000-00003B6C0000}"/>
    <cellStyle name="Normal 93 25 2" xfId="26714" xr:uid="{00000000-0005-0000-0000-00003C6C0000}"/>
    <cellStyle name="Normal 93 26" xfId="14497" xr:uid="{00000000-0005-0000-0000-00003D6C0000}"/>
    <cellStyle name="Normal 93 26 2" xfId="26715" xr:uid="{00000000-0005-0000-0000-00003E6C0000}"/>
    <cellStyle name="Normal 93 27" xfId="14498" xr:uid="{00000000-0005-0000-0000-00003F6C0000}"/>
    <cellStyle name="Normal 93 27 2" xfId="26716" xr:uid="{00000000-0005-0000-0000-0000406C0000}"/>
    <cellStyle name="Normal 93 28" xfId="14499" xr:uid="{00000000-0005-0000-0000-0000416C0000}"/>
    <cellStyle name="Normal 93 28 2" xfId="26717" xr:uid="{00000000-0005-0000-0000-0000426C0000}"/>
    <cellStyle name="Normal 93 29" xfId="14500" xr:uid="{00000000-0005-0000-0000-0000436C0000}"/>
    <cellStyle name="Normal 93 29 2" xfId="26718" xr:uid="{00000000-0005-0000-0000-0000446C0000}"/>
    <cellStyle name="Normal 93 3" xfId="434" xr:uid="{00000000-0005-0000-0000-0000456C0000}"/>
    <cellStyle name="Normal 93 3 2" xfId="26719" xr:uid="{00000000-0005-0000-0000-0000466C0000}"/>
    <cellStyle name="Normal 93 30" xfId="14501" xr:uid="{00000000-0005-0000-0000-0000476C0000}"/>
    <cellStyle name="Normal 93 30 2" xfId="26720" xr:uid="{00000000-0005-0000-0000-0000486C0000}"/>
    <cellStyle name="Normal 93 31" xfId="14502" xr:uid="{00000000-0005-0000-0000-0000496C0000}"/>
    <cellStyle name="Normal 93 31 2" xfId="26721" xr:uid="{00000000-0005-0000-0000-00004A6C0000}"/>
    <cellStyle name="Normal 93 32" xfId="14503" xr:uid="{00000000-0005-0000-0000-00004B6C0000}"/>
    <cellStyle name="Normal 93 32 2" xfId="26722" xr:uid="{00000000-0005-0000-0000-00004C6C0000}"/>
    <cellStyle name="Normal 93 33" xfId="14504" xr:uid="{00000000-0005-0000-0000-00004D6C0000}"/>
    <cellStyle name="Normal 93 33 2" xfId="26723" xr:uid="{00000000-0005-0000-0000-00004E6C0000}"/>
    <cellStyle name="Normal 93 34" xfId="14505" xr:uid="{00000000-0005-0000-0000-00004F6C0000}"/>
    <cellStyle name="Normal 93 34 2" xfId="26724" xr:uid="{00000000-0005-0000-0000-0000506C0000}"/>
    <cellStyle name="Normal 93 35" xfId="14506" xr:uid="{00000000-0005-0000-0000-0000516C0000}"/>
    <cellStyle name="Normal 93 35 2" xfId="26725" xr:uid="{00000000-0005-0000-0000-0000526C0000}"/>
    <cellStyle name="Normal 93 36" xfId="14507" xr:uid="{00000000-0005-0000-0000-0000536C0000}"/>
    <cellStyle name="Normal 93 36 2" xfId="26726" xr:uid="{00000000-0005-0000-0000-0000546C0000}"/>
    <cellStyle name="Normal 93 37" xfId="14508" xr:uid="{00000000-0005-0000-0000-0000556C0000}"/>
    <cellStyle name="Normal 93 37 2" xfId="26727" xr:uid="{00000000-0005-0000-0000-0000566C0000}"/>
    <cellStyle name="Normal 93 38" xfId="14509" xr:uid="{00000000-0005-0000-0000-0000576C0000}"/>
    <cellStyle name="Normal 93 38 2" xfId="26728" xr:uid="{00000000-0005-0000-0000-0000586C0000}"/>
    <cellStyle name="Normal 93 39" xfId="14510" xr:uid="{00000000-0005-0000-0000-0000596C0000}"/>
    <cellStyle name="Normal 93 39 2" xfId="26729" xr:uid="{00000000-0005-0000-0000-00005A6C0000}"/>
    <cellStyle name="Normal 93 4" xfId="14511" xr:uid="{00000000-0005-0000-0000-00005B6C0000}"/>
    <cellStyle name="Normal 93 4 2" xfId="26730" xr:uid="{00000000-0005-0000-0000-00005C6C0000}"/>
    <cellStyle name="Normal 93 40" xfId="14512" xr:uid="{00000000-0005-0000-0000-00005D6C0000}"/>
    <cellStyle name="Normal 93 40 2" xfId="26731" xr:uid="{00000000-0005-0000-0000-00005E6C0000}"/>
    <cellStyle name="Normal 93 41" xfId="14513" xr:uid="{00000000-0005-0000-0000-00005F6C0000}"/>
    <cellStyle name="Normal 93 41 2" xfId="26732" xr:uid="{00000000-0005-0000-0000-0000606C0000}"/>
    <cellStyle name="Normal 93 42" xfId="14514" xr:uid="{00000000-0005-0000-0000-0000616C0000}"/>
    <cellStyle name="Normal 93 42 2" xfId="26733" xr:uid="{00000000-0005-0000-0000-0000626C0000}"/>
    <cellStyle name="Normal 93 43" xfId="14515" xr:uid="{00000000-0005-0000-0000-0000636C0000}"/>
    <cellStyle name="Normal 93 43 2" xfId="26734" xr:uid="{00000000-0005-0000-0000-0000646C0000}"/>
    <cellStyle name="Normal 93 44" xfId="14516" xr:uid="{00000000-0005-0000-0000-0000656C0000}"/>
    <cellStyle name="Normal 93 44 2" xfId="26735" xr:uid="{00000000-0005-0000-0000-0000666C0000}"/>
    <cellStyle name="Normal 93 45" xfId="14517" xr:uid="{00000000-0005-0000-0000-0000676C0000}"/>
    <cellStyle name="Normal 93 45 2" xfId="26736" xr:uid="{00000000-0005-0000-0000-0000686C0000}"/>
    <cellStyle name="Normal 93 46" xfId="14518" xr:uid="{00000000-0005-0000-0000-0000696C0000}"/>
    <cellStyle name="Normal 93 46 2" xfId="26737" xr:uid="{00000000-0005-0000-0000-00006A6C0000}"/>
    <cellStyle name="Normal 93 47" xfId="14519" xr:uid="{00000000-0005-0000-0000-00006B6C0000}"/>
    <cellStyle name="Normal 93 47 2" xfId="26738" xr:uid="{00000000-0005-0000-0000-00006C6C0000}"/>
    <cellStyle name="Normal 93 48" xfId="14520" xr:uid="{00000000-0005-0000-0000-00006D6C0000}"/>
    <cellStyle name="Normal 93 48 2" xfId="26739" xr:uid="{00000000-0005-0000-0000-00006E6C0000}"/>
    <cellStyle name="Normal 93 49" xfId="14521" xr:uid="{00000000-0005-0000-0000-00006F6C0000}"/>
    <cellStyle name="Normal 93 49 2" xfId="26740" xr:uid="{00000000-0005-0000-0000-0000706C0000}"/>
    <cellStyle name="Normal 93 5" xfId="14522" xr:uid="{00000000-0005-0000-0000-0000716C0000}"/>
    <cellStyle name="Normal 93 5 2" xfId="26741" xr:uid="{00000000-0005-0000-0000-0000726C0000}"/>
    <cellStyle name="Normal 93 50" xfId="14523" xr:uid="{00000000-0005-0000-0000-0000736C0000}"/>
    <cellStyle name="Normal 93 50 2" xfId="26742" xr:uid="{00000000-0005-0000-0000-0000746C0000}"/>
    <cellStyle name="Normal 93 51" xfId="14524" xr:uid="{00000000-0005-0000-0000-0000756C0000}"/>
    <cellStyle name="Normal 93 51 2" xfId="26743" xr:uid="{00000000-0005-0000-0000-0000766C0000}"/>
    <cellStyle name="Normal 93 52" xfId="14525" xr:uid="{00000000-0005-0000-0000-0000776C0000}"/>
    <cellStyle name="Normal 93 52 2" xfId="26744" xr:uid="{00000000-0005-0000-0000-0000786C0000}"/>
    <cellStyle name="Normal 93 53" xfId="14526" xr:uid="{00000000-0005-0000-0000-0000796C0000}"/>
    <cellStyle name="Normal 93 53 2" xfId="26745" xr:uid="{00000000-0005-0000-0000-00007A6C0000}"/>
    <cellStyle name="Normal 93 54" xfId="14527" xr:uid="{00000000-0005-0000-0000-00007B6C0000}"/>
    <cellStyle name="Normal 93 54 2" xfId="26746" xr:uid="{00000000-0005-0000-0000-00007C6C0000}"/>
    <cellStyle name="Normal 93 55" xfId="14528" xr:uid="{00000000-0005-0000-0000-00007D6C0000}"/>
    <cellStyle name="Normal 93 55 2" xfId="26747" xr:uid="{00000000-0005-0000-0000-00007E6C0000}"/>
    <cellStyle name="Normal 93 56" xfId="14529" xr:uid="{00000000-0005-0000-0000-00007F6C0000}"/>
    <cellStyle name="Normal 93 56 2" xfId="26748" xr:uid="{00000000-0005-0000-0000-0000806C0000}"/>
    <cellStyle name="Normal 93 57" xfId="14530" xr:uid="{00000000-0005-0000-0000-0000816C0000}"/>
    <cellStyle name="Normal 93 57 2" xfId="26749" xr:uid="{00000000-0005-0000-0000-0000826C0000}"/>
    <cellStyle name="Normal 93 58" xfId="14531" xr:uid="{00000000-0005-0000-0000-0000836C0000}"/>
    <cellStyle name="Normal 93 58 2" xfId="26750" xr:uid="{00000000-0005-0000-0000-0000846C0000}"/>
    <cellStyle name="Normal 93 59" xfId="14532" xr:uid="{00000000-0005-0000-0000-0000856C0000}"/>
    <cellStyle name="Normal 93 59 2" xfId="26751" xr:uid="{00000000-0005-0000-0000-0000866C0000}"/>
    <cellStyle name="Normal 93 6" xfId="14533" xr:uid="{00000000-0005-0000-0000-0000876C0000}"/>
    <cellStyle name="Normal 93 6 2" xfId="26752" xr:uid="{00000000-0005-0000-0000-0000886C0000}"/>
    <cellStyle name="Normal 93 60" xfId="14534" xr:uid="{00000000-0005-0000-0000-0000896C0000}"/>
    <cellStyle name="Normal 93 60 2" xfId="26753" xr:uid="{00000000-0005-0000-0000-00008A6C0000}"/>
    <cellStyle name="Normal 93 61" xfId="14535" xr:uid="{00000000-0005-0000-0000-00008B6C0000}"/>
    <cellStyle name="Normal 93 61 2" xfId="26754" xr:uid="{00000000-0005-0000-0000-00008C6C0000}"/>
    <cellStyle name="Normal 93 62" xfId="14536" xr:uid="{00000000-0005-0000-0000-00008D6C0000}"/>
    <cellStyle name="Normal 93 62 2" xfId="26755" xr:uid="{00000000-0005-0000-0000-00008E6C0000}"/>
    <cellStyle name="Normal 93 63" xfId="14537" xr:uid="{00000000-0005-0000-0000-00008F6C0000}"/>
    <cellStyle name="Normal 93 63 2" xfId="26756" xr:uid="{00000000-0005-0000-0000-0000906C0000}"/>
    <cellStyle name="Normal 93 64" xfId="14538" xr:uid="{00000000-0005-0000-0000-0000916C0000}"/>
    <cellStyle name="Normal 93 64 2" xfId="26757" xr:uid="{00000000-0005-0000-0000-0000926C0000}"/>
    <cellStyle name="Normal 93 65" xfId="14539" xr:uid="{00000000-0005-0000-0000-0000936C0000}"/>
    <cellStyle name="Normal 93 65 2" xfId="26758" xr:uid="{00000000-0005-0000-0000-0000946C0000}"/>
    <cellStyle name="Normal 93 66" xfId="14540" xr:uid="{00000000-0005-0000-0000-0000956C0000}"/>
    <cellStyle name="Normal 93 66 2" xfId="26759" xr:uid="{00000000-0005-0000-0000-0000966C0000}"/>
    <cellStyle name="Normal 93 67" xfId="14541" xr:uid="{00000000-0005-0000-0000-0000976C0000}"/>
    <cellStyle name="Normal 93 67 2" xfId="26760" xr:uid="{00000000-0005-0000-0000-0000986C0000}"/>
    <cellStyle name="Normal 93 68" xfId="14542" xr:uid="{00000000-0005-0000-0000-0000996C0000}"/>
    <cellStyle name="Normal 93 68 2" xfId="26761" xr:uid="{00000000-0005-0000-0000-00009A6C0000}"/>
    <cellStyle name="Normal 93 69" xfId="14543" xr:uid="{00000000-0005-0000-0000-00009B6C0000}"/>
    <cellStyle name="Normal 93 69 2" xfId="26762" xr:uid="{00000000-0005-0000-0000-00009C6C0000}"/>
    <cellStyle name="Normal 93 7" xfId="14544" xr:uid="{00000000-0005-0000-0000-00009D6C0000}"/>
    <cellStyle name="Normal 93 7 2" xfId="26763" xr:uid="{00000000-0005-0000-0000-00009E6C0000}"/>
    <cellStyle name="Normal 93 70" xfId="14545" xr:uid="{00000000-0005-0000-0000-00009F6C0000}"/>
    <cellStyle name="Normal 93 70 2" xfId="26764" xr:uid="{00000000-0005-0000-0000-0000A06C0000}"/>
    <cellStyle name="Normal 93 71" xfId="14546" xr:uid="{00000000-0005-0000-0000-0000A16C0000}"/>
    <cellStyle name="Normal 93 71 2" xfId="26765" xr:uid="{00000000-0005-0000-0000-0000A26C0000}"/>
    <cellStyle name="Normal 93 72" xfId="14547" xr:uid="{00000000-0005-0000-0000-0000A36C0000}"/>
    <cellStyle name="Normal 93 72 2" xfId="26766" xr:uid="{00000000-0005-0000-0000-0000A46C0000}"/>
    <cellStyle name="Normal 93 73" xfId="14548" xr:uid="{00000000-0005-0000-0000-0000A56C0000}"/>
    <cellStyle name="Normal 93 73 2" xfId="26767" xr:uid="{00000000-0005-0000-0000-0000A66C0000}"/>
    <cellStyle name="Normal 93 74" xfId="14549" xr:uid="{00000000-0005-0000-0000-0000A76C0000}"/>
    <cellStyle name="Normal 93 74 2" xfId="26768" xr:uid="{00000000-0005-0000-0000-0000A86C0000}"/>
    <cellStyle name="Normal 93 75" xfId="14550" xr:uid="{00000000-0005-0000-0000-0000A96C0000}"/>
    <cellStyle name="Normal 93 75 2" xfId="26769" xr:uid="{00000000-0005-0000-0000-0000AA6C0000}"/>
    <cellStyle name="Normal 93 76" xfId="14551" xr:uid="{00000000-0005-0000-0000-0000AB6C0000}"/>
    <cellStyle name="Normal 93 76 2" xfId="26770" xr:uid="{00000000-0005-0000-0000-0000AC6C0000}"/>
    <cellStyle name="Normal 93 77" xfId="14552" xr:uid="{00000000-0005-0000-0000-0000AD6C0000}"/>
    <cellStyle name="Normal 93 77 2" xfId="26771" xr:uid="{00000000-0005-0000-0000-0000AE6C0000}"/>
    <cellStyle name="Normal 93 78" xfId="14553" xr:uid="{00000000-0005-0000-0000-0000AF6C0000}"/>
    <cellStyle name="Normal 93 78 2" xfId="26772" xr:uid="{00000000-0005-0000-0000-0000B06C0000}"/>
    <cellStyle name="Normal 93 79" xfId="14554" xr:uid="{00000000-0005-0000-0000-0000B16C0000}"/>
    <cellStyle name="Normal 93 79 2" xfId="26773" xr:uid="{00000000-0005-0000-0000-0000B26C0000}"/>
    <cellStyle name="Normal 93 8" xfId="14555" xr:uid="{00000000-0005-0000-0000-0000B36C0000}"/>
    <cellStyle name="Normal 93 8 2" xfId="26774" xr:uid="{00000000-0005-0000-0000-0000B46C0000}"/>
    <cellStyle name="Normal 93 80" xfId="26697" xr:uid="{00000000-0005-0000-0000-0000B56C0000}"/>
    <cellStyle name="Normal 93 9" xfId="14556" xr:uid="{00000000-0005-0000-0000-0000B66C0000}"/>
    <cellStyle name="Normal 93 9 2" xfId="26775" xr:uid="{00000000-0005-0000-0000-0000B76C0000}"/>
    <cellStyle name="Normal 94" xfId="220" xr:uid="{00000000-0005-0000-0000-0000B86C0000}"/>
    <cellStyle name="Normal 94 10" xfId="14557" xr:uid="{00000000-0005-0000-0000-0000B96C0000}"/>
    <cellStyle name="Normal 94 10 2" xfId="26777" xr:uid="{00000000-0005-0000-0000-0000BA6C0000}"/>
    <cellStyle name="Normal 94 11" xfId="14558" xr:uid="{00000000-0005-0000-0000-0000BB6C0000}"/>
    <cellStyle name="Normal 94 11 2" xfId="26778" xr:uid="{00000000-0005-0000-0000-0000BC6C0000}"/>
    <cellStyle name="Normal 94 12" xfId="14559" xr:uid="{00000000-0005-0000-0000-0000BD6C0000}"/>
    <cellStyle name="Normal 94 12 2" xfId="26779" xr:uid="{00000000-0005-0000-0000-0000BE6C0000}"/>
    <cellStyle name="Normal 94 13" xfId="14560" xr:uid="{00000000-0005-0000-0000-0000BF6C0000}"/>
    <cellStyle name="Normal 94 13 2" xfId="26780" xr:uid="{00000000-0005-0000-0000-0000C06C0000}"/>
    <cellStyle name="Normal 94 14" xfId="14561" xr:uid="{00000000-0005-0000-0000-0000C16C0000}"/>
    <cellStyle name="Normal 94 14 2" xfId="26781" xr:uid="{00000000-0005-0000-0000-0000C26C0000}"/>
    <cellStyle name="Normal 94 15" xfId="14562" xr:uid="{00000000-0005-0000-0000-0000C36C0000}"/>
    <cellStyle name="Normal 94 15 2" xfId="26782" xr:uid="{00000000-0005-0000-0000-0000C46C0000}"/>
    <cellStyle name="Normal 94 16" xfId="14563" xr:uid="{00000000-0005-0000-0000-0000C56C0000}"/>
    <cellStyle name="Normal 94 16 2" xfId="26783" xr:uid="{00000000-0005-0000-0000-0000C66C0000}"/>
    <cellStyle name="Normal 94 17" xfId="14564" xr:uid="{00000000-0005-0000-0000-0000C76C0000}"/>
    <cellStyle name="Normal 94 17 2" xfId="26784" xr:uid="{00000000-0005-0000-0000-0000C86C0000}"/>
    <cellStyle name="Normal 94 18" xfId="14565" xr:uid="{00000000-0005-0000-0000-0000C96C0000}"/>
    <cellStyle name="Normal 94 18 2" xfId="26785" xr:uid="{00000000-0005-0000-0000-0000CA6C0000}"/>
    <cellStyle name="Normal 94 19" xfId="14566" xr:uid="{00000000-0005-0000-0000-0000CB6C0000}"/>
    <cellStyle name="Normal 94 19 2" xfId="26786" xr:uid="{00000000-0005-0000-0000-0000CC6C0000}"/>
    <cellStyle name="Normal 94 2" xfId="274" xr:uid="{00000000-0005-0000-0000-0000CD6C0000}"/>
    <cellStyle name="Normal 94 2 2" xfId="26787" xr:uid="{00000000-0005-0000-0000-0000CE6C0000}"/>
    <cellStyle name="Normal 94 2 3" xfId="14567" xr:uid="{00000000-0005-0000-0000-0000CF6C0000}"/>
    <cellStyle name="Normal 94 20" xfId="14568" xr:uid="{00000000-0005-0000-0000-0000D06C0000}"/>
    <cellStyle name="Normal 94 20 2" xfId="26788" xr:uid="{00000000-0005-0000-0000-0000D16C0000}"/>
    <cellStyle name="Normal 94 21" xfId="14569" xr:uid="{00000000-0005-0000-0000-0000D26C0000}"/>
    <cellStyle name="Normal 94 21 2" xfId="26789" xr:uid="{00000000-0005-0000-0000-0000D36C0000}"/>
    <cellStyle name="Normal 94 22" xfId="14570" xr:uid="{00000000-0005-0000-0000-0000D46C0000}"/>
    <cellStyle name="Normal 94 22 2" xfId="26790" xr:uid="{00000000-0005-0000-0000-0000D56C0000}"/>
    <cellStyle name="Normal 94 23" xfId="14571" xr:uid="{00000000-0005-0000-0000-0000D66C0000}"/>
    <cellStyle name="Normal 94 23 2" xfId="26791" xr:uid="{00000000-0005-0000-0000-0000D76C0000}"/>
    <cellStyle name="Normal 94 24" xfId="14572" xr:uid="{00000000-0005-0000-0000-0000D86C0000}"/>
    <cellStyle name="Normal 94 24 2" xfId="26792" xr:uid="{00000000-0005-0000-0000-0000D96C0000}"/>
    <cellStyle name="Normal 94 25" xfId="14573" xr:uid="{00000000-0005-0000-0000-0000DA6C0000}"/>
    <cellStyle name="Normal 94 25 2" xfId="26793" xr:uid="{00000000-0005-0000-0000-0000DB6C0000}"/>
    <cellStyle name="Normal 94 26" xfId="14574" xr:uid="{00000000-0005-0000-0000-0000DC6C0000}"/>
    <cellStyle name="Normal 94 26 2" xfId="26794" xr:uid="{00000000-0005-0000-0000-0000DD6C0000}"/>
    <cellStyle name="Normal 94 27" xfId="14575" xr:uid="{00000000-0005-0000-0000-0000DE6C0000}"/>
    <cellStyle name="Normal 94 27 2" xfId="26795" xr:uid="{00000000-0005-0000-0000-0000DF6C0000}"/>
    <cellStyle name="Normal 94 28" xfId="14576" xr:uid="{00000000-0005-0000-0000-0000E06C0000}"/>
    <cellStyle name="Normal 94 28 2" xfId="26796" xr:uid="{00000000-0005-0000-0000-0000E16C0000}"/>
    <cellStyle name="Normal 94 29" xfId="14577" xr:uid="{00000000-0005-0000-0000-0000E26C0000}"/>
    <cellStyle name="Normal 94 29 2" xfId="26797" xr:uid="{00000000-0005-0000-0000-0000E36C0000}"/>
    <cellStyle name="Normal 94 3" xfId="435" xr:uid="{00000000-0005-0000-0000-0000E46C0000}"/>
    <cellStyle name="Normal 94 3 2" xfId="26798" xr:uid="{00000000-0005-0000-0000-0000E56C0000}"/>
    <cellStyle name="Normal 94 30" xfId="14578" xr:uid="{00000000-0005-0000-0000-0000E66C0000}"/>
    <cellStyle name="Normal 94 30 2" xfId="26799" xr:uid="{00000000-0005-0000-0000-0000E76C0000}"/>
    <cellStyle name="Normal 94 31" xfId="14579" xr:uid="{00000000-0005-0000-0000-0000E86C0000}"/>
    <cellStyle name="Normal 94 31 2" xfId="26800" xr:uid="{00000000-0005-0000-0000-0000E96C0000}"/>
    <cellStyle name="Normal 94 32" xfId="14580" xr:uid="{00000000-0005-0000-0000-0000EA6C0000}"/>
    <cellStyle name="Normal 94 32 2" xfId="26801" xr:uid="{00000000-0005-0000-0000-0000EB6C0000}"/>
    <cellStyle name="Normal 94 33" xfId="14581" xr:uid="{00000000-0005-0000-0000-0000EC6C0000}"/>
    <cellStyle name="Normal 94 33 2" xfId="26802" xr:uid="{00000000-0005-0000-0000-0000ED6C0000}"/>
    <cellStyle name="Normal 94 34" xfId="14582" xr:uid="{00000000-0005-0000-0000-0000EE6C0000}"/>
    <cellStyle name="Normal 94 34 2" xfId="26803" xr:uid="{00000000-0005-0000-0000-0000EF6C0000}"/>
    <cellStyle name="Normal 94 35" xfId="14583" xr:uid="{00000000-0005-0000-0000-0000F06C0000}"/>
    <cellStyle name="Normal 94 35 2" xfId="26804" xr:uid="{00000000-0005-0000-0000-0000F16C0000}"/>
    <cellStyle name="Normal 94 36" xfId="14584" xr:uid="{00000000-0005-0000-0000-0000F26C0000}"/>
    <cellStyle name="Normal 94 36 2" xfId="26805" xr:uid="{00000000-0005-0000-0000-0000F36C0000}"/>
    <cellStyle name="Normal 94 37" xfId="14585" xr:uid="{00000000-0005-0000-0000-0000F46C0000}"/>
    <cellStyle name="Normal 94 37 2" xfId="26806" xr:uid="{00000000-0005-0000-0000-0000F56C0000}"/>
    <cellStyle name="Normal 94 38" xfId="14586" xr:uid="{00000000-0005-0000-0000-0000F66C0000}"/>
    <cellStyle name="Normal 94 38 2" xfId="26807" xr:uid="{00000000-0005-0000-0000-0000F76C0000}"/>
    <cellStyle name="Normal 94 39" xfId="14587" xr:uid="{00000000-0005-0000-0000-0000F86C0000}"/>
    <cellStyle name="Normal 94 39 2" xfId="26808" xr:uid="{00000000-0005-0000-0000-0000F96C0000}"/>
    <cellStyle name="Normal 94 4" xfId="14588" xr:uid="{00000000-0005-0000-0000-0000FA6C0000}"/>
    <cellStyle name="Normal 94 4 2" xfId="26809" xr:uid="{00000000-0005-0000-0000-0000FB6C0000}"/>
    <cellStyle name="Normal 94 40" xfId="14589" xr:uid="{00000000-0005-0000-0000-0000FC6C0000}"/>
    <cellStyle name="Normal 94 40 2" xfId="26810" xr:uid="{00000000-0005-0000-0000-0000FD6C0000}"/>
    <cellStyle name="Normal 94 41" xfId="14590" xr:uid="{00000000-0005-0000-0000-0000FE6C0000}"/>
    <cellStyle name="Normal 94 41 2" xfId="26811" xr:uid="{00000000-0005-0000-0000-0000FF6C0000}"/>
    <cellStyle name="Normal 94 42" xfId="14591" xr:uid="{00000000-0005-0000-0000-0000006D0000}"/>
    <cellStyle name="Normal 94 42 2" xfId="26812" xr:uid="{00000000-0005-0000-0000-0000016D0000}"/>
    <cellStyle name="Normal 94 43" xfId="14592" xr:uid="{00000000-0005-0000-0000-0000026D0000}"/>
    <cellStyle name="Normal 94 43 2" xfId="26813" xr:uid="{00000000-0005-0000-0000-0000036D0000}"/>
    <cellStyle name="Normal 94 44" xfId="14593" xr:uid="{00000000-0005-0000-0000-0000046D0000}"/>
    <cellStyle name="Normal 94 44 2" xfId="26814" xr:uid="{00000000-0005-0000-0000-0000056D0000}"/>
    <cellStyle name="Normal 94 45" xfId="14594" xr:uid="{00000000-0005-0000-0000-0000066D0000}"/>
    <cellStyle name="Normal 94 45 2" xfId="26815" xr:uid="{00000000-0005-0000-0000-0000076D0000}"/>
    <cellStyle name="Normal 94 46" xfId="14595" xr:uid="{00000000-0005-0000-0000-0000086D0000}"/>
    <cellStyle name="Normal 94 46 2" xfId="26816" xr:uid="{00000000-0005-0000-0000-0000096D0000}"/>
    <cellStyle name="Normal 94 47" xfId="14596" xr:uid="{00000000-0005-0000-0000-00000A6D0000}"/>
    <cellStyle name="Normal 94 47 2" xfId="26817" xr:uid="{00000000-0005-0000-0000-00000B6D0000}"/>
    <cellStyle name="Normal 94 48" xfId="14597" xr:uid="{00000000-0005-0000-0000-00000C6D0000}"/>
    <cellStyle name="Normal 94 48 2" xfId="26818" xr:uid="{00000000-0005-0000-0000-00000D6D0000}"/>
    <cellStyle name="Normal 94 49" xfId="14598" xr:uid="{00000000-0005-0000-0000-00000E6D0000}"/>
    <cellStyle name="Normal 94 49 2" xfId="26819" xr:uid="{00000000-0005-0000-0000-00000F6D0000}"/>
    <cellStyle name="Normal 94 5" xfId="14599" xr:uid="{00000000-0005-0000-0000-0000106D0000}"/>
    <cellStyle name="Normal 94 5 2" xfId="26820" xr:uid="{00000000-0005-0000-0000-0000116D0000}"/>
    <cellStyle name="Normal 94 50" xfId="14600" xr:uid="{00000000-0005-0000-0000-0000126D0000}"/>
    <cellStyle name="Normal 94 50 2" xfId="26821" xr:uid="{00000000-0005-0000-0000-0000136D0000}"/>
    <cellStyle name="Normal 94 51" xfId="14601" xr:uid="{00000000-0005-0000-0000-0000146D0000}"/>
    <cellStyle name="Normal 94 51 2" xfId="26822" xr:uid="{00000000-0005-0000-0000-0000156D0000}"/>
    <cellStyle name="Normal 94 52" xfId="14602" xr:uid="{00000000-0005-0000-0000-0000166D0000}"/>
    <cellStyle name="Normal 94 52 2" xfId="26823" xr:uid="{00000000-0005-0000-0000-0000176D0000}"/>
    <cellStyle name="Normal 94 53" xfId="14603" xr:uid="{00000000-0005-0000-0000-0000186D0000}"/>
    <cellStyle name="Normal 94 53 2" xfId="26824" xr:uid="{00000000-0005-0000-0000-0000196D0000}"/>
    <cellStyle name="Normal 94 54" xfId="14604" xr:uid="{00000000-0005-0000-0000-00001A6D0000}"/>
    <cellStyle name="Normal 94 54 2" xfId="26825" xr:uid="{00000000-0005-0000-0000-00001B6D0000}"/>
    <cellStyle name="Normal 94 55" xfId="14605" xr:uid="{00000000-0005-0000-0000-00001C6D0000}"/>
    <cellStyle name="Normal 94 55 2" xfId="26826" xr:uid="{00000000-0005-0000-0000-00001D6D0000}"/>
    <cellStyle name="Normal 94 56" xfId="14606" xr:uid="{00000000-0005-0000-0000-00001E6D0000}"/>
    <cellStyle name="Normal 94 56 2" xfId="26827" xr:uid="{00000000-0005-0000-0000-00001F6D0000}"/>
    <cellStyle name="Normal 94 57" xfId="14607" xr:uid="{00000000-0005-0000-0000-0000206D0000}"/>
    <cellStyle name="Normal 94 57 2" xfId="26828" xr:uid="{00000000-0005-0000-0000-0000216D0000}"/>
    <cellStyle name="Normal 94 58" xfId="14608" xr:uid="{00000000-0005-0000-0000-0000226D0000}"/>
    <cellStyle name="Normal 94 58 2" xfId="26829" xr:uid="{00000000-0005-0000-0000-0000236D0000}"/>
    <cellStyle name="Normal 94 59" xfId="14609" xr:uid="{00000000-0005-0000-0000-0000246D0000}"/>
    <cellStyle name="Normal 94 59 2" xfId="26830" xr:uid="{00000000-0005-0000-0000-0000256D0000}"/>
    <cellStyle name="Normal 94 6" xfId="14610" xr:uid="{00000000-0005-0000-0000-0000266D0000}"/>
    <cellStyle name="Normal 94 6 2" xfId="26831" xr:uid="{00000000-0005-0000-0000-0000276D0000}"/>
    <cellStyle name="Normal 94 60" xfId="14611" xr:uid="{00000000-0005-0000-0000-0000286D0000}"/>
    <cellStyle name="Normal 94 60 2" xfId="26832" xr:uid="{00000000-0005-0000-0000-0000296D0000}"/>
    <cellStyle name="Normal 94 61" xfId="14612" xr:uid="{00000000-0005-0000-0000-00002A6D0000}"/>
    <cellStyle name="Normal 94 61 2" xfId="26833" xr:uid="{00000000-0005-0000-0000-00002B6D0000}"/>
    <cellStyle name="Normal 94 62" xfId="14613" xr:uid="{00000000-0005-0000-0000-00002C6D0000}"/>
    <cellStyle name="Normal 94 62 2" xfId="26834" xr:uid="{00000000-0005-0000-0000-00002D6D0000}"/>
    <cellStyle name="Normal 94 63" xfId="14614" xr:uid="{00000000-0005-0000-0000-00002E6D0000}"/>
    <cellStyle name="Normal 94 63 2" xfId="26835" xr:uid="{00000000-0005-0000-0000-00002F6D0000}"/>
    <cellStyle name="Normal 94 64" xfId="14615" xr:uid="{00000000-0005-0000-0000-0000306D0000}"/>
    <cellStyle name="Normal 94 64 2" xfId="26836" xr:uid="{00000000-0005-0000-0000-0000316D0000}"/>
    <cellStyle name="Normal 94 65" xfId="14616" xr:uid="{00000000-0005-0000-0000-0000326D0000}"/>
    <cellStyle name="Normal 94 65 2" xfId="26837" xr:uid="{00000000-0005-0000-0000-0000336D0000}"/>
    <cellStyle name="Normal 94 66" xfId="14617" xr:uid="{00000000-0005-0000-0000-0000346D0000}"/>
    <cellStyle name="Normal 94 66 2" xfId="26838" xr:uid="{00000000-0005-0000-0000-0000356D0000}"/>
    <cellStyle name="Normal 94 67" xfId="14618" xr:uid="{00000000-0005-0000-0000-0000366D0000}"/>
    <cellStyle name="Normal 94 67 2" xfId="26839" xr:uid="{00000000-0005-0000-0000-0000376D0000}"/>
    <cellStyle name="Normal 94 68" xfId="14619" xr:uid="{00000000-0005-0000-0000-0000386D0000}"/>
    <cellStyle name="Normal 94 68 2" xfId="26840" xr:uid="{00000000-0005-0000-0000-0000396D0000}"/>
    <cellStyle name="Normal 94 69" xfId="14620" xr:uid="{00000000-0005-0000-0000-00003A6D0000}"/>
    <cellStyle name="Normal 94 69 2" xfId="26841" xr:uid="{00000000-0005-0000-0000-00003B6D0000}"/>
    <cellStyle name="Normal 94 7" xfId="14621" xr:uid="{00000000-0005-0000-0000-00003C6D0000}"/>
    <cellStyle name="Normal 94 7 2" xfId="26842" xr:uid="{00000000-0005-0000-0000-00003D6D0000}"/>
    <cellStyle name="Normal 94 70" xfId="14622" xr:uid="{00000000-0005-0000-0000-00003E6D0000}"/>
    <cellStyle name="Normal 94 70 2" xfId="26843" xr:uid="{00000000-0005-0000-0000-00003F6D0000}"/>
    <cellStyle name="Normal 94 71" xfId="14623" xr:uid="{00000000-0005-0000-0000-0000406D0000}"/>
    <cellStyle name="Normal 94 71 2" xfId="26844" xr:uid="{00000000-0005-0000-0000-0000416D0000}"/>
    <cellStyle name="Normal 94 72" xfId="14624" xr:uid="{00000000-0005-0000-0000-0000426D0000}"/>
    <cellStyle name="Normal 94 72 2" xfId="26845" xr:uid="{00000000-0005-0000-0000-0000436D0000}"/>
    <cellStyle name="Normal 94 73" xfId="14625" xr:uid="{00000000-0005-0000-0000-0000446D0000}"/>
    <cellStyle name="Normal 94 73 2" xfId="26846" xr:uid="{00000000-0005-0000-0000-0000456D0000}"/>
    <cellStyle name="Normal 94 74" xfId="14626" xr:uid="{00000000-0005-0000-0000-0000466D0000}"/>
    <cellStyle name="Normal 94 74 2" xfId="26847" xr:uid="{00000000-0005-0000-0000-0000476D0000}"/>
    <cellStyle name="Normal 94 75" xfId="14627" xr:uid="{00000000-0005-0000-0000-0000486D0000}"/>
    <cellStyle name="Normal 94 75 2" xfId="26848" xr:uid="{00000000-0005-0000-0000-0000496D0000}"/>
    <cellStyle name="Normal 94 76" xfId="14628" xr:uid="{00000000-0005-0000-0000-00004A6D0000}"/>
    <cellStyle name="Normal 94 76 2" xfId="26849" xr:uid="{00000000-0005-0000-0000-00004B6D0000}"/>
    <cellStyle name="Normal 94 77" xfId="14629" xr:uid="{00000000-0005-0000-0000-00004C6D0000}"/>
    <cellStyle name="Normal 94 77 2" xfId="26850" xr:uid="{00000000-0005-0000-0000-00004D6D0000}"/>
    <cellStyle name="Normal 94 78" xfId="14630" xr:uid="{00000000-0005-0000-0000-00004E6D0000}"/>
    <cellStyle name="Normal 94 78 2" xfId="26851" xr:uid="{00000000-0005-0000-0000-00004F6D0000}"/>
    <cellStyle name="Normal 94 79" xfId="14631" xr:uid="{00000000-0005-0000-0000-0000506D0000}"/>
    <cellStyle name="Normal 94 79 2" xfId="26852" xr:uid="{00000000-0005-0000-0000-0000516D0000}"/>
    <cellStyle name="Normal 94 8" xfId="14632" xr:uid="{00000000-0005-0000-0000-0000526D0000}"/>
    <cellStyle name="Normal 94 8 2" xfId="26853" xr:uid="{00000000-0005-0000-0000-0000536D0000}"/>
    <cellStyle name="Normal 94 80" xfId="26776" xr:uid="{00000000-0005-0000-0000-0000546D0000}"/>
    <cellStyle name="Normal 94 9" xfId="14633" xr:uid="{00000000-0005-0000-0000-0000556D0000}"/>
    <cellStyle name="Normal 94 9 2" xfId="26854" xr:uid="{00000000-0005-0000-0000-0000566D0000}"/>
    <cellStyle name="Normal 95" xfId="221" xr:uid="{00000000-0005-0000-0000-0000576D0000}"/>
    <cellStyle name="Normal 95 10" xfId="14634" xr:uid="{00000000-0005-0000-0000-0000586D0000}"/>
    <cellStyle name="Normal 95 10 2" xfId="26856" xr:uid="{00000000-0005-0000-0000-0000596D0000}"/>
    <cellStyle name="Normal 95 11" xfId="14635" xr:uid="{00000000-0005-0000-0000-00005A6D0000}"/>
    <cellStyle name="Normal 95 11 2" xfId="26857" xr:uid="{00000000-0005-0000-0000-00005B6D0000}"/>
    <cellStyle name="Normal 95 12" xfId="14636" xr:uid="{00000000-0005-0000-0000-00005C6D0000}"/>
    <cellStyle name="Normal 95 12 2" xfId="26858" xr:uid="{00000000-0005-0000-0000-00005D6D0000}"/>
    <cellStyle name="Normal 95 13" xfId="14637" xr:uid="{00000000-0005-0000-0000-00005E6D0000}"/>
    <cellStyle name="Normal 95 13 2" xfId="26859" xr:uid="{00000000-0005-0000-0000-00005F6D0000}"/>
    <cellStyle name="Normal 95 14" xfId="14638" xr:uid="{00000000-0005-0000-0000-0000606D0000}"/>
    <cellStyle name="Normal 95 14 2" xfId="26860" xr:uid="{00000000-0005-0000-0000-0000616D0000}"/>
    <cellStyle name="Normal 95 15" xfId="14639" xr:uid="{00000000-0005-0000-0000-0000626D0000}"/>
    <cellStyle name="Normal 95 15 2" xfId="26861" xr:uid="{00000000-0005-0000-0000-0000636D0000}"/>
    <cellStyle name="Normal 95 16" xfId="14640" xr:uid="{00000000-0005-0000-0000-0000646D0000}"/>
    <cellStyle name="Normal 95 16 2" xfId="26862" xr:uid="{00000000-0005-0000-0000-0000656D0000}"/>
    <cellStyle name="Normal 95 17" xfId="14641" xr:uid="{00000000-0005-0000-0000-0000666D0000}"/>
    <cellStyle name="Normal 95 17 2" xfId="26863" xr:uid="{00000000-0005-0000-0000-0000676D0000}"/>
    <cellStyle name="Normal 95 18" xfId="14642" xr:uid="{00000000-0005-0000-0000-0000686D0000}"/>
    <cellStyle name="Normal 95 18 2" xfId="26864" xr:uid="{00000000-0005-0000-0000-0000696D0000}"/>
    <cellStyle name="Normal 95 19" xfId="14643" xr:uid="{00000000-0005-0000-0000-00006A6D0000}"/>
    <cellStyle name="Normal 95 19 2" xfId="26865" xr:uid="{00000000-0005-0000-0000-00006B6D0000}"/>
    <cellStyle name="Normal 95 2" xfId="275" xr:uid="{00000000-0005-0000-0000-00006C6D0000}"/>
    <cellStyle name="Normal 95 2 2" xfId="1502" xr:uid="{00000000-0005-0000-0000-00006D6D0000}"/>
    <cellStyle name="Normal 95 2 2 2" xfId="1505" xr:uid="{00000000-0005-0000-0000-00006E6D0000}"/>
    <cellStyle name="Normal 95 2 3" xfId="809" xr:uid="{00000000-0005-0000-0000-00006F6D0000}"/>
    <cellStyle name="Normal 95 2 4" xfId="1520" xr:uid="{00000000-0005-0000-0000-0000706D0000}"/>
    <cellStyle name="Normal 95 20" xfId="14644" xr:uid="{00000000-0005-0000-0000-0000716D0000}"/>
    <cellStyle name="Normal 95 20 2" xfId="26866" xr:uid="{00000000-0005-0000-0000-0000726D0000}"/>
    <cellStyle name="Normal 95 21" xfId="14645" xr:uid="{00000000-0005-0000-0000-0000736D0000}"/>
    <cellStyle name="Normal 95 21 2" xfId="26867" xr:uid="{00000000-0005-0000-0000-0000746D0000}"/>
    <cellStyle name="Normal 95 22" xfId="14646" xr:uid="{00000000-0005-0000-0000-0000756D0000}"/>
    <cellStyle name="Normal 95 22 2" xfId="26868" xr:uid="{00000000-0005-0000-0000-0000766D0000}"/>
    <cellStyle name="Normal 95 23" xfId="14647" xr:uid="{00000000-0005-0000-0000-0000776D0000}"/>
    <cellStyle name="Normal 95 23 2" xfId="26869" xr:uid="{00000000-0005-0000-0000-0000786D0000}"/>
    <cellStyle name="Normal 95 24" xfId="14648" xr:uid="{00000000-0005-0000-0000-0000796D0000}"/>
    <cellStyle name="Normal 95 24 2" xfId="26870" xr:uid="{00000000-0005-0000-0000-00007A6D0000}"/>
    <cellStyle name="Normal 95 25" xfId="14649" xr:uid="{00000000-0005-0000-0000-00007B6D0000}"/>
    <cellStyle name="Normal 95 25 2" xfId="26871" xr:uid="{00000000-0005-0000-0000-00007C6D0000}"/>
    <cellStyle name="Normal 95 26" xfId="14650" xr:uid="{00000000-0005-0000-0000-00007D6D0000}"/>
    <cellStyle name="Normal 95 26 2" xfId="26872" xr:uid="{00000000-0005-0000-0000-00007E6D0000}"/>
    <cellStyle name="Normal 95 27" xfId="14651" xr:uid="{00000000-0005-0000-0000-00007F6D0000}"/>
    <cellStyle name="Normal 95 27 2" xfId="26873" xr:uid="{00000000-0005-0000-0000-0000806D0000}"/>
    <cellStyle name="Normal 95 28" xfId="14652" xr:uid="{00000000-0005-0000-0000-0000816D0000}"/>
    <cellStyle name="Normal 95 28 2" xfId="26874" xr:uid="{00000000-0005-0000-0000-0000826D0000}"/>
    <cellStyle name="Normal 95 29" xfId="14653" xr:uid="{00000000-0005-0000-0000-0000836D0000}"/>
    <cellStyle name="Normal 95 29 2" xfId="26875" xr:uid="{00000000-0005-0000-0000-0000846D0000}"/>
    <cellStyle name="Normal 95 3" xfId="781" xr:uid="{00000000-0005-0000-0000-0000856D0000}"/>
    <cellStyle name="Normal 95 3 2" xfId="26876" xr:uid="{00000000-0005-0000-0000-0000866D0000}"/>
    <cellStyle name="Normal 95 3 3" xfId="14654" xr:uid="{00000000-0005-0000-0000-0000876D0000}"/>
    <cellStyle name="Normal 95 30" xfId="14655" xr:uid="{00000000-0005-0000-0000-0000886D0000}"/>
    <cellStyle name="Normal 95 30 2" xfId="26877" xr:uid="{00000000-0005-0000-0000-0000896D0000}"/>
    <cellStyle name="Normal 95 31" xfId="14656" xr:uid="{00000000-0005-0000-0000-00008A6D0000}"/>
    <cellStyle name="Normal 95 31 2" xfId="26878" xr:uid="{00000000-0005-0000-0000-00008B6D0000}"/>
    <cellStyle name="Normal 95 32" xfId="14657" xr:uid="{00000000-0005-0000-0000-00008C6D0000}"/>
    <cellStyle name="Normal 95 32 2" xfId="26879" xr:uid="{00000000-0005-0000-0000-00008D6D0000}"/>
    <cellStyle name="Normal 95 33" xfId="14658" xr:uid="{00000000-0005-0000-0000-00008E6D0000}"/>
    <cellStyle name="Normal 95 33 2" xfId="26880" xr:uid="{00000000-0005-0000-0000-00008F6D0000}"/>
    <cellStyle name="Normal 95 34" xfId="14659" xr:uid="{00000000-0005-0000-0000-0000906D0000}"/>
    <cellStyle name="Normal 95 34 2" xfId="26881" xr:uid="{00000000-0005-0000-0000-0000916D0000}"/>
    <cellStyle name="Normal 95 35" xfId="14660" xr:uid="{00000000-0005-0000-0000-0000926D0000}"/>
    <cellStyle name="Normal 95 35 2" xfId="26882" xr:uid="{00000000-0005-0000-0000-0000936D0000}"/>
    <cellStyle name="Normal 95 36" xfId="14661" xr:uid="{00000000-0005-0000-0000-0000946D0000}"/>
    <cellStyle name="Normal 95 36 2" xfId="26883" xr:uid="{00000000-0005-0000-0000-0000956D0000}"/>
    <cellStyle name="Normal 95 37" xfId="14662" xr:uid="{00000000-0005-0000-0000-0000966D0000}"/>
    <cellStyle name="Normal 95 37 2" xfId="26884" xr:uid="{00000000-0005-0000-0000-0000976D0000}"/>
    <cellStyle name="Normal 95 38" xfId="14663" xr:uid="{00000000-0005-0000-0000-0000986D0000}"/>
    <cellStyle name="Normal 95 38 2" xfId="26885" xr:uid="{00000000-0005-0000-0000-0000996D0000}"/>
    <cellStyle name="Normal 95 39" xfId="14664" xr:uid="{00000000-0005-0000-0000-00009A6D0000}"/>
    <cellStyle name="Normal 95 39 2" xfId="26886" xr:uid="{00000000-0005-0000-0000-00009B6D0000}"/>
    <cellStyle name="Normal 95 4" xfId="436" xr:uid="{00000000-0005-0000-0000-00009C6D0000}"/>
    <cellStyle name="Normal 95 4 2" xfId="26887" xr:uid="{00000000-0005-0000-0000-00009D6D0000}"/>
    <cellStyle name="Normal 95 40" xfId="14665" xr:uid="{00000000-0005-0000-0000-00009E6D0000}"/>
    <cellStyle name="Normal 95 40 2" xfId="26888" xr:uid="{00000000-0005-0000-0000-00009F6D0000}"/>
    <cellStyle name="Normal 95 41" xfId="14666" xr:uid="{00000000-0005-0000-0000-0000A06D0000}"/>
    <cellStyle name="Normal 95 41 2" xfId="26889" xr:uid="{00000000-0005-0000-0000-0000A16D0000}"/>
    <cellStyle name="Normal 95 42" xfId="14667" xr:uid="{00000000-0005-0000-0000-0000A26D0000}"/>
    <cellStyle name="Normal 95 42 2" xfId="26890" xr:uid="{00000000-0005-0000-0000-0000A36D0000}"/>
    <cellStyle name="Normal 95 43" xfId="14668" xr:uid="{00000000-0005-0000-0000-0000A46D0000}"/>
    <cellStyle name="Normal 95 43 2" xfId="26891" xr:uid="{00000000-0005-0000-0000-0000A56D0000}"/>
    <cellStyle name="Normal 95 44" xfId="14669" xr:uid="{00000000-0005-0000-0000-0000A66D0000}"/>
    <cellStyle name="Normal 95 44 2" xfId="26892" xr:uid="{00000000-0005-0000-0000-0000A76D0000}"/>
    <cellStyle name="Normal 95 45" xfId="14670" xr:uid="{00000000-0005-0000-0000-0000A86D0000}"/>
    <cellStyle name="Normal 95 45 2" xfId="26893" xr:uid="{00000000-0005-0000-0000-0000A96D0000}"/>
    <cellStyle name="Normal 95 46" xfId="14671" xr:uid="{00000000-0005-0000-0000-0000AA6D0000}"/>
    <cellStyle name="Normal 95 46 2" xfId="26894" xr:uid="{00000000-0005-0000-0000-0000AB6D0000}"/>
    <cellStyle name="Normal 95 47" xfId="14672" xr:uid="{00000000-0005-0000-0000-0000AC6D0000}"/>
    <cellStyle name="Normal 95 47 2" xfId="26895" xr:uid="{00000000-0005-0000-0000-0000AD6D0000}"/>
    <cellStyle name="Normal 95 48" xfId="14673" xr:uid="{00000000-0005-0000-0000-0000AE6D0000}"/>
    <cellStyle name="Normal 95 48 2" xfId="26896" xr:uid="{00000000-0005-0000-0000-0000AF6D0000}"/>
    <cellStyle name="Normal 95 49" xfId="14674" xr:uid="{00000000-0005-0000-0000-0000B06D0000}"/>
    <cellStyle name="Normal 95 49 2" xfId="26897" xr:uid="{00000000-0005-0000-0000-0000B16D0000}"/>
    <cellStyle name="Normal 95 5" xfId="14675" xr:uid="{00000000-0005-0000-0000-0000B26D0000}"/>
    <cellStyle name="Normal 95 5 2" xfId="26898" xr:uid="{00000000-0005-0000-0000-0000B36D0000}"/>
    <cellStyle name="Normal 95 50" xfId="14676" xr:uid="{00000000-0005-0000-0000-0000B46D0000}"/>
    <cellStyle name="Normal 95 50 2" xfId="26899" xr:uid="{00000000-0005-0000-0000-0000B56D0000}"/>
    <cellStyle name="Normal 95 51" xfId="14677" xr:uid="{00000000-0005-0000-0000-0000B66D0000}"/>
    <cellStyle name="Normal 95 51 2" xfId="26900" xr:uid="{00000000-0005-0000-0000-0000B76D0000}"/>
    <cellStyle name="Normal 95 52" xfId="14678" xr:uid="{00000000-0005-0000-0000-0000B86D0000}"/>
    <cellStyle name="Normal 95 52 2" xfId="26901" xr:uid="{00000000-0005-0000-0000-0000B96D0000}"/>
    <cellStyle name="Normal 95 53" xfId="14679" xr:uid="{00000000-0005-0000-0000-0000BA6D0000}"/>
    <cellStyle name="Normal 95 53 2" xfId="26902" xr:uid="{00000000-0005-0000-0000-0000BB6D0000}"/>
    <cellStyle name="Normal 95 54" xfId="14680" xr:uid="{00000000-0005-0000-0000-0000BC6D0000}"/>
    <cellStyle name="Normal 95 54 2" xfId="26903" xr:uid="{00000000-0005-0000-0000-0000BD6D0000}"/>
    <cellStyle name="Normal 95 55" xfId="14681" xr:uid="{00000000-0005-0000-0000-0000BE6D0000}"/>
    <cellStyle name="Normal 95 55 2" xfId="26904" xr:uid="{00000000-0005-0000-0000-0000BF6D0000}"/>
    <cellStyle name="Normal 95 56" xfId="14682" xr:uid="{00000000-0005-0000-0000-0000C06D0000}"/>
    <cellStyle name="Normal 95 56 2" xfId="26905" xr:uid="{00000000-0005-0000-0000-0000C16D0000}"/>
    <cellStyle name="Normal 95 57" xfId="14683" xr:uid="{00000000-0005-0000-0000-0000C26D0000}"/>
    <cellStyle name="Normal 95 57 2" xfId="26906" xr:uid="{00000000-0005-0000-0000-0000C36D0000}"/>
    <cellStyle name="Normal 95 58" xfId="14684" xr:uid="{00000000-0005-0000-0000-0000C46D0000}"/>
    <cellStyle name="Normal 95 58 2" xfId="26907" xr:uid="{00000000-0005-0000-0000-0000C56D0000}"/>
    <cellStyle name="Normal 95 59" xfId="14685" xr:uid="{00000000-0005-0000-0000-0000C66D0000}"/>
    <cellStyle name="Normal 95 59 2" xfId="26908" xr:uid="{00000000-0005-0000-0000-0000C76D0000}"/>
    <cellStyle name="Normal 95 6" xfId="14686" xr:uid="{00000000-0005-0000-0000-0000C86D0000}"/>
    <cellStyle name="Normal 95 6 2" xfId="26909" xr:uid="{00000000-0005-0000-0000-0000C96D0000}"/>
    <cellStyle name="Normal 95 60" xfId="14687" xr:uid="{00000000-0005-0000-0000-0000CA6D0000}"/>
    <cellStyle name="Normal 95 60 2" xfId="26910" xr:uid="{00000000-0005-0000-0000-0000CB6D0000}"/>
    <cellStyle name="Normal 95 61" xfId="14688" xr:uid="{00000000-0005-0000-0000-0000CC6D0000}"/>
    <cellStyle name="Normal 95 61 2" xfId="26911" xr:uid="{00000000-0005-0000-0000-0000CD6D0000}"/>
    <cellStyle name="Normal 95 62" xfId="14689" xr:uid="{00000000-0005-0000-0000-0000CE6D0000}"/>
    <cellStyle name="Normal 95 62 2" xfId="26912" xr:uid="{00000000-0005-0000-0000-0000CF6D0000}"/>
    <cellStyle name="Normal 95 63" xfId="14690" xr:uid="{00000000-0005-0000-0000-0000D06D0000}"/>
    <cellStyle name="Normal 95 63 2" xfId="26913" xr:uid="{00000000-0005-0000-0000-0000D16D0000}"/>
    <cellStyle name="Normal 95 64" xfId="14691" xr:uid="{00000000-0005-0000-0000-0000D26D0000}"/>
    <cellStyle name="Normal 95 64 2" xfId="26914" xr:uid="{00000000-0005-0000-0000-0000D36D0000}"/>
    <cellStyle name="Normal 95 65" xfId="14692" xr:uid="{00000000-0005-0000-0000-0000D46D0000}"/>
    <cellStyle name="Normal 95 65 2" xfId="26915" xr:uid="{00000000-0005-0000-0000-0000D56D0000}"/>
    <cellStyle name="Normal 95 66" xfId="14693" xr:uid="{00000000-0005-0000-0000-0000D66D0000}"/>
    <cellStyle name="Normal 95 66 2" xfId="26916" xr:uid="{00000000-0005-0000-0000-0000D76D0000}"/>
    <cellStyle name="Normal 95 67" xfId="14694" xr:uid="{00000000-0005-0000-0000-0000D86D0000}"/>
    <cellStyle name="Normal 95 67 2" xfId="26917" xr:uid="{00000000-0005-0000-0000-0000D96D0000}"/>
    <cellStyle name="Normal 95 68" xfId="14695" xr:uid="{00000000-0005-0000-0000-0000DA6D0000}"/>
    <cellStyle name="Normal 95 68 2" xfId="26918" xr:uid="{00000000-0005-0000-0000-0000DB6D0000}"/>
    <cellStyle name="Normal 95 69" xfId="14696" xr:uid="{00000000-0005-0000-0000-0000DC6D0000}"/>
    <cellStyle name="Normal 95 69 2" xfId="26919" xr:uid="{00000000-0005-0000-0000-0000DD6D0000}"/>
    <cellStyle name="Normal 95 7" xfId="14697" xr:uid="{00000000-0005-0000-0000-0000DE6D0000}"/>
    <cellStyle name="Normal 95 7 2" xfId="26920" xr:uid="{00000000-0005-0000-0000-0000DF6D0000}"/>
    <cellStyle name="Normal 95 70" xfId="14698" xr:uid="{00000000-0005-0000-0000-0000E06D0000}"/>
    <cellStyle name="Normal 95 70 2" xfId="26921" xr:uid="{00000000-0005-0000-0000-0000E16D0000}"/>
    <cellStyle name="Normal 95 71" xfId="14699" xr:uid="{00000000-0005-0000-0000-0000E26D0000}"/>
    <cellStyle name="Normal 95 71 2" xfId="26922" xr:uid="{00000000-0005-0000-0000-0000E36D0000}"/>
    <cellStyle name="Normal 95 72" xfId="14700" xr:uid="{00000000-0005-0000-0000-0000E46D0000}"/>
    <cellStyle name="Normal 95 72 2" xfId="26923" xr:uid="{00000000-0005-0000-0000-0000E56D0000}"/>
    <cellStyle name="Normal 95 73" xfId="14701" xr:uid="{00000000-0005-0000-0000-0000E66D0000}"/>
    <cellStyle name="Normal 95 73 2" xfId="26924" xr:uid="{00000000-0005-0000-0000-0000E76D0000}"/>
    <cellStyle name="Normal 95 74" xfId="14702" xr:uid="{00000000-0005-0000-0000-0000E86D0000}"/>
    <cellStyle name="Normal 95 74 2" xfId="26925" xr:uid="{00000000-0005-0000-0000-0000E96D0000}"/>
    <cellStyle name="Normal 95 75" xfId="14703" xr:uid="{00000000-0005-0000-0000-0000EA6D0000}"/>
    <cellStyle name="Normal 95 75 2" xfId="26926" xr:uid="{00000000-0005-0000-0000-0000EB6D0000}"/>
    <cellStyle name="Normal 95 76" xfId="14704" xr:uid="{00000000-0005-0000-0000-0000EC6D0000}"/>
    <cellStyle name="Normal 95 76 2" xfId="26927" xr:uid="{00000000-0005-0000-0000-0000ED6D0000}"/>
    <cellStyle name="Normal 95 77" xfId="14705" xr:uid="{00000000-0005-0000-0000-0000EE6D0000}"/>
    <cellStyle name="Normal 95 77 2" xfId="26928" xr:uid="{00000000-0005-0000-0000-0000EF6D0000}"/>
    <cellStyle name="Normal 95 78" xfId="14706" xr:uid="{00000000-0005-0000-0000-0000F06D0000}"/>
    <cellStyle name="Normal 95 78 2" xfId="26929" xr:uid="{00000000-0005-0000-0000-0000F16D0000}"/>
    <cellStyle name="Normal 95 79" xfId="14707" xr:uid="{00000000-0005-0000-0000-0000F26D0000}"/>
    <cellStyle name="Normal 95 79 2" xfId="26930" xr:uid="{00000000-0005-0000-0000-0000F36D0000}"/>
    <cellStyle name="Normal 95 8" xfId="14708" xr:uid="{00000000-0005-0000-0000-0000F46D0000}"/>
    <cellStyle name="Normal 95 8 2" xfId="26931" xr:uid="{00000000-0005-0000-0000-0000F56D0000}"/>
    <cellStyle name="Normal 95 80" xfId="26855" xr:uid="{00000000-0005-0000-0000-0000F66D0000}"/>
    <cellStyle name="Normal 95 9" xfId="14709" xr:uid="{00000000-0005-0000-0000-0000F76D0000}"/>
    <cellStyle name="Normal 95 9 2" xfId="26932" xr:uid="{00000000-0005-0000-0000-0000F86D0000}"/>
    <cellStyle name="Normal 96" xfId="222" xr:uid="{00000000-0005-0000-0000-0000F96D0000}"/>
    <cellStyle name="Normal 96 10" xfId="14710" xr:uid="{00000000-0005-0000-0000-0000FA6D0000}"/>
    <cellStyle name="Normal 96 10 2" xfId="26934" xr:uid="{00000000-0005-0000-0000-0000FB6D0000}"/>
    <cellStyle name="Normal 96 11" xfId="14711" xr:uid="{00000000-0005-0000-0000-0000FC6D0000}"/>
    <cellStyle name="Normal 96 11 2" xfId="26935" xr:uid="{00000000-0005-0000-0000-0000FD6D0000}"/>
    <cellStyle name="Normal 96 12" xfId="14712" xr:uid="{00000000-0005-0000-0000-0000FE6D0000}"/>
    <cellStyle name="Normal 96 12 2" xfId="26936" xr:uid="{00000000-0005-0000-0000-0000FF6D0000}"/>
    <cellStyle name="Normal 96 13" xfId="14713" xr:uid="{00000000-0005-0000-0000-0000006E0000}"/>
    <cellStyle name="Normal 96 13 2" xfId="26937" xr:uid="{00000000-0005-0000-0000-0000016E0000}"/>
    <cellStyle name="Normal 96 14" xfId="14714" xr:uid="{00000000-0005-0000-0000-0000026E0000}"/>
    <cellStyle name="Normal 96 14 2" xfId="26938" xr:uid="{00000000-0005-0000-0000-0000036E0000}"/>
    <cellStyle name="Normal 96 15" xfId="14715" xr:uid="{00000000-0005-0000-0000-0000046E0000}"/>
    <cellStyle name="Normal 96 15 2" xfId="26939" xr:uid="{00000000-0005-0000-0000-0000056E0000}"/>
    <cellStyle name="Normal 96 16" xfId="14716" xr:uid="{00000000-0005-0000-0000-0000066E0000}"/>
    <cellStyle name="Normal 96 16 2" xfId="26940" xr:uid="{00000000-0005-0000-0000-0000076E0000}"/>
    <cellStyle name="Normal 96 17" xfId="14717" xr:uid="{00000000-0005-0000-0000-0000086E0000}"/>
    <cellStyle name="Normal 96 17 2" xfId="26941" xr:uid="{00000000-0005-0000-0000-0000096E0000}"/>
    <cellStyle name="Normal 96 18" xfId="14718" xr:uid="{00000000-0005-0000-0000-00000A6E0000}"/>
    <cellStyle name="Normal 96 18 2" xfId="26942" xr:uid="{00000000-0005-0000-0000-00000B6E0000}"/>
    <cellStyle name="Normal 96 19" xfId="14719" xr:uid="{00000000-0005-0000-0000-00000C6E0000}"/>
    <cellStyle name="Normal 96 19 2" xfId="26943" xr:uid="{00000000-0005-0000-0000-00000D6E0000}"/>
    <cellStyle name="Normal 96 2" xfId="276" xr:uid="{00000000-0005-0000-0000-00000E6E0000}"/>
    <cellStyle name="Normal 96 2 2" xfId="26944" xr:uid="{00000000-0005-0000-0000-00000F6E0000}"/>
    <cellStyle name="Normal 96 2 3" xfId="14720" xr:uid="{00000000-0005-0000-0000-0000106E0000}"/>
    <cellStyle name="Normal 96 20" xfId="14721" xr:uid="{00000000-0005-0000-0000-0000116E0000}"/>
    <cellStyle name="Normal 96 20 2" xfId="26945" xr:uid="{00000000-0005-0000-0000-0000126E0000}"/>
    <cellStyle name="Normal 96 21" xfId="14722" xr:uid="{00000000-0005-0000-0000-0000136E0000}"/>
    <cellStyle name="Normal 96 21 2" xfId="26946" xr:uid="{00000000-0005-0000-0000-0000146E0000}"/>
    <cellStyle name="Normal 96 22" xfId="14723" xr:uid="{00000000-0005-0000-0000-0000156E0000}"/>
    <cellStyle name="Normal 96 22 2" xfId="26947" xr:uid="{00000000-0005-0000-0000-0000166E0000}"/>
    <cellStyle name="Normal 96 23" xfId="14724" xr:uid="{00000000-0005-0000-0000-0000176E0000}"/>
    <cellStyle name="Normal 96 23 2" xfId="26948" xr:uid="{00000000-0005-0000-0000-0000186E0000}"/>
    <cellStyle name="Normal 96 24" xfId="14725" xr:uid="{00000000-0005-0000-0000-0000196E0000}"/>
    <cellStyle name="Normal 96 24 2" xfId="26949" xr:uid="{00000000-0005-0000-0000-00001A6E0000}"/>
    <cellStyle name="Normal 96 25" xfId="14726" xr:uid="{00000000-0005-0000-0000-00001B6E0000}"/>
    <cellStyle name="Normal 96 25 2" xfId="26950" xr:uid="{00000000-0005-0000-0000-00001C6E0000}"/>
    <cellStyle name="Normal 96 26" xfId="14727" xr:uid="{00000000-0005-0000-0000-00001D6E0000}"/>
    <cellStyle name="Normal 96 26 2" xfId="26951" xr:uid="{00000000-0005-0000-0000-00001E6E0000}"/>
    <cellStyle name="Normal 96 27" xfId="14728" xr:uid="{00000000-0005-0000-0000-00001F6E0000}"/>
    <cellStyle name="Normal 96 27 2" xfId="26952" xr:uid="{00000000-0005-0000-0000-0000206E0000}"/>
    <cellStyle name="Normal 96 28" xfId="14729" xr:uid="{00000000-0005-0000-0000-0000216E0000}"/>
    <cellStyle name="Normal 96 28 2" xfId="26953" xr:uid="{00000000-0005-0000-0000-0000226E0000}"/>
    <cellStyle name="Normal 96 29" xfId="14730" xr:uid="{00000000-0005-0000-0000-0000236E0000}"/>
    <cellStyle name="Normal 96 29 2" xfId="26954" xr:uid="{00000000-0005-0000-0000-0000246E0000}"/>
    <cellStyle name="Normal 96 3" xfId="437" xr:uid="{00000000-0005-0000-0000-0000256E0000}"/>
    <cellStyle name="Normal 96 3 2" xfId="26955" xr:uid="{00000000-0005-0000-0000-0000266E0000}"/>
    <cellStyle name="Normal 96 30" xfId="14731" xr:uid="{00000000-0005-0000-0000-0000276E0000}"/>
    <cellStyle name="Normal 96 30 2" xfId="26956" xr:uid="{00000000-0005-0000-0000-0000286E0000}"/>
    <cellStyle name="Normal 96 31" xfId="14732" xr:uid="{00000000-0005-0000-0000-0000296E0000}"/>
    <cellStyle name="Normal 96 31 2" xfId="26957" xr:uid="{00000000-0005-0000-0000-00002A6E0000}"/>
    <cellStyle name="Normal 96 32" xfId="14733" xr:uid="{00000000-0005-0000-0000-00002B6E0000}"/>
    <cellStyle name="Normal 96 32 2" xfId="26958" xr:uid="{00000000-0005-0000-0000-00002C6E0000}"/>
    <cellStyle name="Normal 96 33" xfId="14734" xr:uid="{00000000-0005-0000-0000-00002D6E0000}"/>
    <cellStyle name="Normal 96 33 2" xfId="26959" xr:uid="{00000000-0005-0000-0000-00002E6E0000}"/>
    <cellStyle name="Normal 96 34" xfId="14735" xr:uid="{00000000-0005-0000-0000-00002F6E0000}"/>
    <cellStyle name="Normal 96 34 2" xfId="26960" xr:uid="{00000000-0005-0000-0000-0000306E0000}"/>
    <cellStyle name="Normal 96 35" xfId="14736" xr:uid="{00000000-0005-0000-0000-0000316E0000}"/>
    <cellStyle name="Normal 96 35 2" xfId="26961" xr:uid="{00000000-0005-0000-0000-0000326E0000}"/>
    <cellStyle name="Normal 96 36" xfId="14737" xr:uid="{00000000-0005-0000-0000-0000336E0000}"/>
    <cellStyle name="Normal 96 36 2" xfId="26962" xr:uid="{00000000-0005-0000-0000-0000346E0000}"/>
    <cellStyle name="Normal 96 37" xfId="14738" xr:uid="{00000000-0005-0000-0000-0000356E0000}"/>
    <cellStyle name="Normal 96 37 2" xfId="26963" xr:uid="{00000000-0005-0000-0000-0000366E0000}"/>
    <cellStyle name="Normal 96 38" xfId="14739" xr:uid="{00000000-0005-0000-0000-0000376E0000}"/>
    <cellStyle name="Normal 96 38 2" xfId="26964" xr:uid="{00000000-0005-0000-0000-0000386E0000}"/>
    <cellStyle name="Normal 96 39" xfId="14740" xr:uid="{00000000-0005-0000-0000-0000396E0000}"/>
    <cellStyle name="Normal 96 39 2" xfId="26965" xr:uid="{00000000-0005-0000-0000-00003A6E0000}"/>
    <cellStyle name="Normal 96 4" xfId="14741" xr:uid="{00000000-0005-0000-0000-00003B6E0000}"/>
    <cellStyle name="Normal 96 4 2" xfId="26966" xr:uid="{00000000-0005-0000-0000-00003C6E0000}"/>
    <cellStyle name="Normal 96 40" xfId="14742" xr:uid="{00000000-0005-0000-0000-00003D6E0000}"/>
    <cellStyle name="Normal 96 40 2" xfId="26967" xr:uid="{00000000-0005-0000-0000-00003E6E0000}"/>
    <cellStyle name="Normal 96 41" xfId="14743" xr:uid="{00000000-0005-0000-0000-00003F6E0000}"/>
    <cellStyle name="Normal 96 41 2" xfId="26968" xr:uid="{00000000-0005-0000-0000-0000406E0000}"/>
    <cellStyle name="Normal 96 42" xfId="14744" xr:uid="{00000000-0005-0000-0000-0000416E0000}"/>
    <cellStyle name="Normal 96 42 2" xfId="26969" xr:uid="{00000000-0005-0000-0000-0000426E0000}"/>
    <cellStyle name="Normal 96 43" xfId="14745" xr:uid="{00000000-0005-0000-0000-0000436E0000}"/>
    <cellStyle name="Normal 96 43 2" xfId="26970" xr:uid="{00000000-0005-0000-0000-0000446E0000}"/>
    <cellStyle name="Normal 96 44" xfId="14746" xr:uid="{00000000-0005-0000-0000-0000456E0000}"/>
    <cellStyle name="Normal 96 44 2" xfId="26971" xr:uid="{00000000-0005-0000-0000-0000466E0000}"/>
    <cellStyle name="Normal 96 45" xfId="14747" xr:uid="{00000000-0005-0000-0000-0000476E0000}"/>
    <cellStyle name="Normal 96 45 2" xfId="26972" xr:uid="{00000000-0005-0000-0000-0000486E0000}"/>
    <cellStyle name="Normal 96 46" xfId="14748" xr:uid="{00000000-0005-0000-0000-0000496E0000}"/>
    <cellStyle name="Normal 96 46 2" xfId="26973" xr:uid="{00000000-0005-0000-0000-00004A6E0000}"/>
    <cellStyle name="Normal 96 47" xfId="14749" xr:uid="{00000000-0005-0000-0000-00004B6E0000}"/>
    <cellStyle name="Normal 96 47 2" xfId="26974" xr:uid="{00000000-0005-0000-0000-00004C6E0000}"/>
    <cellStyle name="Normal 96 48" xfId="14750" xr:uid="{00000000-0005-0000-0000-00004D6E0000}"/>
    <cellStyle name="Normal 96 48 2" xfId="26975" xr:uid="{00000000-0005-0000-0000-00004E6E0000}"/>
    <cellStyle name="Normal 96 49" xfId="14751" xr:uid="{00000000-0005-0000-0000-00004F6E0000}"/>
    <cellStyle name="Normal 96 49 2" xfId="26976" xr:uid="{00000000-0005-0000-0000-0000506E0000}"/>
    <cellStyle name="Normal 96 5" xfId="14752" xr:uid="{00000000-0005-0000-0000-0000516E0000}"/>
    <cellStyle name="Normal 96 5 2" xfId="26977" xr:uid="{00000000-0005-0000-0000-0000526E0000}"/>
    <cellStyle name="Normal 96 50" xfId="14753" xr:uid="{00000000-0005-0000-0000-0000536E0000}"/>
    <cellStyle name="Normal 96 50 2" xfId="26978" xr:uid="{00000000-0005-0000-0000-0000546E0000}"/>
    <cellStyle name="Normal 96 51" xfId="14754" xr:uid="{00000000-0005-0000-0000-0000556E0000}"/>
    <cellStyle name="Normal 96 51 2" xfId="26979" xr:uid="{00000000-0005-0000-0000-0000566E0000}"/>
    <cellStyle name="Normal 96 52" xfId="14755" xr:uid="{00000000-0005-0000-0000-0000576E0000}"/>
    <cellStyle name="Normal 96 52 2" xfId="26980" xr:uid="{00000000-0005-0000-0000-0000586E0000}"/>
    <cellStyle name="Normal 96 53" xfId="14756" xr:uid="{00000000-0005-0000-0000-0000596E0000}"/>
    <cellStyle name="Normal 96 53 2" xfId="26981" xr:uid="{00000000-0005-0000-0000-00005A6E0000}"/>
    <cellStyle name="Normal 96 54" xfId="14757" xr:uid="{00000000-0005-0000-0000-00005B6E0000}"/>
    <cellStyle name="Normal 96 54 2" xfId="26982" xr:uid="{00000000-0005-0000-0000-00005C6E0000}"/>
    <cellStyle name="Normal 96 55" xfId="14758" xr:uid="{00000000-0005-0000-0000-00005D6E0000}"/>
    <cellStyle name="Normal 96 55 2" xfId="26983" xr:uid="{00000000-0005-0000-0000-00005E6E0000}"/>
    <cellStyle name="Normal 96 56" xfId="14759" xr:uid="{00000000-0005-0000-0000-00005F6E0000}"/>
    <cellStyle name="Normal 96 56 2" xfId="26984" xr:uid="{00000000-0005-0000-0000-0000606E0000}"/>
    <cellStyle name="Normal 96 57" xfId="14760" xr:uid="{00000000-0005-0000-0000-0000616E0000}"/>
    <cellStyle name="Normal 96 57 2" xfId="26985" xr:uid="{00000000-0005-0000-0000-0000626E0000}"/>
    <cellStyle name="Normal 96 58" xfId="14761" xr:uid="{00000000-0005-0000-0000-0000636E0000}"/>
    <cellStyle name="Normal 96 58 2" xfId="26986" xr:uid="{00000000-0005-0000-0000-0000646E0000}"/>
    <cellStyle name="Normal 96 59" xfId="14762" xr:uid="{00000000-0005-0000-0000-0000656E0000}"/>
    <cellStyle name="Normal 96 59 2" xfId="26987" xr:uid="{00000000-0005-0000-0000-0000666E0000}"/>
    <cellStyle name="Normal 96 6" xfId="14763" xr:uid="{00000000-0005-0000-0000-0000676E0000}"/>
    <cellStyle name="Normal 96 6 2" xfId="26988" xr:uid="{00000000-0005-0000-0000-0000686E0000}"/>
    <cellStyle name="Normal 96 60" xfId="14764" xr:uid="{00000000-0005-0000-0000-0000696E0000}"/>
    <cellStyle name="Normal 96 60 2" xfId="26989" xr:uid="{00000000-0005-0000-0000-00006A6E0000}"/>
    <cellStyle name="Normal 96 61" xfId="14765" xr:uid="{00000000-0005-0000-0000-00006B6E0000}"/>
    <cellStyle name="Normal 96 61 2" xfId="26990" xr:uid="{00000000-0005-0000-0000-00006C6E0000}"/>
    <cellStyle name="Normal 96 62" xfId="14766" xr:uid="{00000000-0005-0000-0000-00006D6E0000}"/>
    <cellStyle name="Normal 96 62 2" xfId="26991" xr:uid="{00000000-0005-0000-0000-00006E6E0000}"/>
    <cellStyle name="Normal 96 63" xfId="14767" xr:uid="{00000000-0005-0000-0000-00006F6E0000}"/>
    <cellStyle name="Normal 96 63 2" xfId="26992" xr:uid="{00000000-0005-0000-0000-0000706E0000}"/>
    <cellStyle name="Normal 96 64" xfId="14768" xr:uid="{00000000-0005-0000-0000-0000716E0000}"/>
    <cellStyle name="Normal 96 64 2" xfId="26993" xr:uid="{00000000-0005-0000-0000-0000726E0000}"/>
    <cellStyle name="Normal 96 65" xfId="14769" xr:uid="{00000000-0005-0000-0000-0000736E0000}"/>
    <cellStyle name="Normal 96 65 2" xfId="26994" xr:uid="{00000000-0005-0000-0000-0000746E0000}"/>
    <cellStyle name="Normal 96 66" xfId="14770" xr:uid="{00000000-0005-0000-0000-0000756E0000}"/>
    <cellStyle name="Normal 96 66 2" xfId="26995" xr:uid="{00000000-0005-0000-0000-0000766E0000}"/>
    <cellStyle name="Normal 96 67" xfId="14771" xr:uid="{00000000-0005-0000-0000-0000776E0000}"/>
    <cellStyle name="Normal 96 67 2" xfId="26996" xr:uid="{00000000-0005-0000-0000-0000786E0000}"/>
    <cellStyle name="Normal 96 68" xfId="14772" xr:uid="{00000000-0005-0000-0000-0000796E0000}"/>
    <cellStyle name="Normal 96 68 2" xfId="26997" xr:uid="{00000000-0005-0000-0000-00007A6E0000}"/>
    <cellStyle name="Normal 96 69" xfId="14773" xr:uid="{00000000-0005-0000-0000-00007B6E0000}"/>
    <cellStyle name="Normal 96 69 2" xfId="26998" xr:uid="{00000000-0005-0000-0000-00007C6E0000}"/>
    <cellStyle name="Normal 96 7" xfId="14774" xr:uid="{00000000-0005-0000-0000-00007D6E0000}"/>
    <cellStyle name="Normal 96 7 2" xfId="26999" xr:uid="{00000000-0005-0000-0000-00007E6E0000}"/>
    <cellStyle name="Normal 96 70" xfId="14775" xr:uid="{00000000-0005-0000-0000-00007F6E0000}"/>
    <cellStyle name="Normal 96 70 2" xfId="27000" xr:uid="{00000000-0005-0000-0000-0000806E0000}"/>
    <cellStyle name="Normal 96 71" xfId="14776" xr:uid="{00000000-0005-0000-0000-0000816E0000}"/>
    <cellStyle name="Normal 96 71 2" xfId="27001" xr:uid="{00000000-0005-0000-0000-0000826E0000}"/>
    <cellStyle name="Normal 96 72" xfId="14777" xr:uid="{00000000-0005-0000-0000-0000836E0000}"/>
    <cellStyle name="Normal 96 72 2" xfId="27002" xr:uid="{00000000-0005-0000-0000-0000846E0000}"/>
    <cellStyle name="Normal 96 73" xfId="14778" xr:uid="{00000000-0005-0000-0000-0000856E0000}"/>
    <cellStyle name="Normal 96 73 2" xfId="27003" xr:uid="{00000000-0005-0000-0000-0000866E0000}"/>
    <cellStyle name="Normal 96 74" xfId="14779" xr:uid="{00000000-0005-0000-0000-0000876E0000}"/>
    <cellStyle name="Normal 96 74 2" xfId="27004" xr:uid="{00000000-0005-0000-0000-0000886E0000}"/>
    <cellStyle name="Normal 96 75" xfId="14780" xr:uid="{00000000-0005-0000-0000-0000896E0000}"/>
    <cellStyle name="Normal 96 75 2" xfId="27005" xr:uid="{00000000-0005-0000-0000-00008A6E0000}"/>
    <cellStyle name="Normal 96 76" xfId="14781" xr:uid="{00000000-0005-0000-0000-00008B6E0000}"/>
    <cellStyle name="Normal 96 76 2" xfId="27006" xr:uid="{00000000-0005-0000-0000-00008C6E0000}"/>
    <cellStyle name="Normal 96 77" xfId="14782" xr:uid="{00000000-0005-0000-0000-00008D6E0000}"/>
    <cellStyle name="Normal 96 77 2" xfId="27007" xr:uid="{00000000-0005-0000-0000-00008E6E0000}"/>
    <cellStyle name="Normal 96 78" xfId="14783" xr:uid="{00000000-0005-0000-0000-00008F6E0000}"/>
    <cellStyle name="Normal 96 78 2" xfId="27008" xr:uid="{00000000-0005-0000-0000-0000906E0000}"/>
    <cellStyle name="Normal 96 79" xfId="14784" xr:uid="{00000000-0005-0000-0000-0000916E0000}"/>
    <cellStyle name="Normal 96 79 2" xfId="27009" xr:uid="{00000000-0005-0000-0000-0000926E0000}"/>
    <cellStyle name="Normal 96 8" xfId="14785" xr:uid="{00000000-0005-0000-0000-0000936E0000}"/>
    <cellStyle name="Normal 96 8 2" xfId="27010" xr:uid="{00000000-0005-0000-0000-0000946E0000}"/>
    <cellStyle name="Normal 96 80" xfId="26933" xr:uid="{00000000-0005-0000-0000-0000956E0000}"/>
    <cellStyle name="Normal 96 9" xfId="14786" xr:uid="{00000000-0005-0000-0000-0000966E0000}"/>
    <cellStyle name="Normal 96 9 2" xfId="27011" xr:uid="{00000000-0005-0000-0000-0000976E0000}"/>
    <cellStyle name="Normal 97" xfId="223" xr:uid="{00000000-0005-0000-0000-0000986E0000}"/>
    <cellStyle name="Normal 97 10" xfId="14787" xr:uid="{00000000-0005-0000-0000-0000996E0000}"/>
    <cellStyle name="Normal 97 10 2" xfId="27013" xr:uid="{00000000-0005-0000-0000-00009A6E0000}"/>
    <cellStyle name="Normal 97 11" xfId="14788" xr:uid="{00000000-0005-0000-0000-00009B6E0000}"/>
    <cellStyle name="Normal 97 11 2" xfId="27014" xr:uid="{00000000-0005-0000-0000-00009C6E0000}"/>
    <cellStyle name="Normal 97 12" xfId="14789" xr:uid="{00000000-0005-0000-0000-00009D6E0000}"/>
    <cellStyle name="Normal 97 12 2" xfId="27015" xr:uid="{00000000-0005-0000-0000-00009E6E0000}"/>
    <cellStyle name="Normal 97 13" xfId="14790" xr:uid="{00000000-0005-0000-0000-00009F6E0000}"/>
    <cellStyle name="Normal 97 13 2" xfId="27016" xr:uid="{00000000-0005-0000-0000-0000A06E0000}"/>
    <cellStyle name="Normal 97 14" xfId="14791" xr:uid="{00000000-0005-0000-0000-0000A16E0000}"/>
    <cellStyle name="Normal 97 14 2" xfId="27017" xr:uid="{00000000-0005-0000-0000-0000A26E0000}"/>
    <cellStyle name="Normal 97 15" xfId="14792" xr:uid="{00000000-0005-0000-0000-0000A36E0000}"/>
    <cellStyle name="Normal 97 15 2" xfId="27018" xr:uid="{00000000-0005-0000-0000-0000A46E0000}"/>
    <cellStyle name="Normal 97 16" xfId="14793" xr:uid="{00000000-0005-0000-0000-0000A56E0000}"/>
    <cellStyle name="Normal 97 16 2" xfId="27019" xr:uid="{00000000-0005-0000-0000-0000A66E0000}"/>
    <cellStyle name="Normal 97 17" xfId="14794" xr:uid="{00000000-0005-0000-0000-0000A76E0000}"/>
    <cellStyle name="Normal 97 17 2" xfId="27020" xr:uid="{00000000-0005-0000-0000-0000A86E0000}"/>
    <cellStyle name="Normal 97 18" xfId="14795" xr:uid="{00000000-0005-0000-0000-0000A96E0000}"/>
    <cellStyle name="Normal 97 18 2" xfId="27021" xr:uid="{00000000-0005-0000-0000-0000AA6E0000}"/>
    <cellStyle name="Normal 97 19" xfId="14796" xr:uid="{00000000-0005-0000-0000-0000AB6E0000}"/>
    <cellStyle name="Normal 97 19 2" xfId="27022" xr:uid="{00000000-0005-0000-0000-0000AC6E0000}"/>
    <cellStyle name="Normal 97 2" xfId="277" xr:uid="{00000000-0005-0000-0000-0000AD6E0000}"/>
    <cellStyle name="Normal 97 2 2" xfId="27023" xr:uid="{00000000-0005-0000-0000-0000AE6E0000}"/>
    <cellStyle name="Normal 97 2 3" xfId="14797" xr:uid="{00000000-0005-0000-0000-0000AF6E0000}"/>
    <cellStyle name="Normal 97 20" xfId="14798" xr:uid="{00000000-0005-0000-0000-0000B06E0000}"/>
    <cellStyle name="Normal 97 20 2" xfId="27024" xr:uid="{00000000-0005-0000-0000-0000B16E0000}"/>
    <cellStyle name="Normal 97 21" xfId="14799" xr:uid="{00000000-0005-0000-0000-0000B26E0000}"/>
    <cellStyle name="Normal 97 21 2" xfId="27025" xr:uid="{00000000-0005-0000-0000-0000B36E0000}"/>
    <cellStyle name="Normal 97 22" xfId="14800" xr:uid="{00000000-0005-0000-0000-0000B46E0000}"/>
    <cellStyle name="Normal 97 22 2" xfId="27026" xr:uid="{00000000-0005-0000-0000-0000B56E0000}"/>
    <cellStyle name="Normal 97 23" xfId="14801" xr:uid="{00000000-0005-0000-0000-0000B66E0000}"/>
    <cellStyle name="Normal 97 23 2" xfId="27027" xr:uid="{00000000-0005-0000-0000-0000B76E0000}"/>
    <cellStyle name="Normal 97 24" xfId="14802" xr:uid="{00000000-0005-0000-0000-0000B86E0000}"/>
    <cellStyle name="Normal 97 24 2" xfId="27028" xr:uid="{00000000-0005-0000-0000-0000B96E0000}"/>
    <cellStyle name="Normal 97 25" xfId="14803" xr:uid="{00000000-0005-0000-0000-0000BA6E0000}"/>
    <cellStyle name="Normal 97 25 2" xfId="27029" xr:uid="{00000000-0005-0000-0000-0000BB6E0000}"/>
    <cellStyle name="Normal 97 26" xfId="14804" xr:uid="{00000000-0005-0000-0000-0000BC6E0000}"/>
    <cellStyle name="Normal 97 26 2" xfId="27030" xr:uid="{00000000-0005-0000-0000-0000BD6E0000}"/>
    <cellStyle name="Normal 97 27" xfId="14805" xr:uid="{00000000-0005-0000-0000-0000BE6E0000}"/>
    <cellStyle name="Normal 97 27 2" xfId="27031" xr:uid="{00000000-0005-0000-0000-0000BF6E0000}"/>
    <cellStyle name="Normal 97 28" xfId="14806" xr:uid="{00000000-0005-0000-0000-0000C06E0000}"/>
    <cellStyle name="Normal 97 28 2" xfId="27032" xr:uid="{00000000-0005-0000-0000-0000C16E0000}"/>
    <cellStyle name="Normal 97 29" xfId="14807" xr:uid="{00000000-0005-0000-0000-0000C26E0000}"/>
    <cellStyle name="Normal 97 29 2" xfId="27033" xr:uid="{00000000-0005-0000-0000-0000C36E0000}"/>
    <cellStyle name="Normal 97 3" xfId="438" xr:uid="{00000000-0005-0000-0000-0000C46E0000}"/>
    <cellStyle name="Normal 97 3 2" xfId="27034" xr:uid="{00000000-0005-0000-0000-0000C56E0000}"/>
    <cellStyle name="Normal 97 30" xfId="14808" xr:uid="{00000000-0005-0000-0000-0000C66E0000}"/>
    <cellStyle name="Normal 97 30 2" xfId="27035" xr:uid="{00000000-0005-0000-0000-0000C76E0000}"/>
    <cellStyle name="Normal 97 31" xfId="14809" xr:uid="{00000000-0005-0000-0000-0000C86E0000}"/>
    <cellStyle name="Normal 97 31 2" xfId="27036" xr:uid="{00000000-0005-0000-0000-0000C96E0000}"/>
    <cellStyle name="Normal 97 32" xfId="14810" xr:uid="{00000000-0005-0000-0000-0000CA6E0000}"/>
    <cellStyle name="Normal 97 32 2" xfId="27037" xr:uid="{00000000-0005-0000-0000-0000CB6E0000}"/>
    <cellStyle name="Normal 97 33" xfId="14811" xr:uid="{00000000-0005-0000-0000-0000CC6E0000}"/>
    <cellStyle name="Normal 97 33 2" xfId="27038" xr:uid="{00000000-0005-0000-0000-0000CD6E0000}"/>
    <cellStyle name="Normal 97 34" xfId="14812" xr:uid="{00000000-0005-0000-0000-0000CE6E0000}"/>
    <cellStyle name="Normal 97 34 2" xfId="27039" xr:uid="{00000000-0005-0000-0000-0000CF6E0000}"/>
    <cellStyle name="Normal 97 35" xfId="14813" xr:uid="{00000000-0005-0000-0000-0000D06E0000}"/>
    <cellStyle name="Normal 97 35 2" xfId="27040" xr:uid="{00000000-0005-0000-0000-0000D16E0000}"/>
    <cellStyle name="Normal 97 36" xfId="14814" xr:uid="{00000000-0005-0000-0000-0000D26E0000}"/>
    <cellStyle name="Normal 97 36 2" xfId="27041" xr:uid="{00000000-0005-0000-0000-0000D36E0000}"/>
    <cellStyle name="Normal 97 37" xfId="14815" xr:uid="{00000000-0005-0000-0000-0000D46E0000}"/>
    <cellStyle name="Normal 97 37 2" xfId="27042" xr:uid="{00000000-0005-0000-0000-0000D56E0000}"/>
    <cellStyle name="Normal 97 38" xfId="14816" xr:uid="{00000000-0005-0000-0000-0000D66E0000}"/>
    <cellStyle name="Normal 97 38 2" xfId="27043" xr:uid="{00000000-0005-0000-0000-0000D76E0000}"/>
    <cellStyle name="Normal 97 39" xfId="14817" xr:uid="{00000000-0005-0000-0000-0000D86E0000}"/>
    <cellStyle name="Normal 97 39 2" xfId="27044" xr:uid="{00000000-0005-0000-0000-0000D96E0000}"/>
    <cellStyle name="Normal 97 4" xfId="14818" xr:uid="{00000000-0005-0000-0000-0000DA6E0000}"/>
    <cellStyle name="Normal 97 4 2" xfId="27045" xr:uid="{00000000-0005-0000-0000-0000DB6E0000}"/>
    <cellStyle name="Normal 97 40" xfId="14819" xr:uid="{00000000-0005-0000-0000-0000DC6E0000}"/>
    <cellStyle name="Normal 97 40 2" xfId="27046" xr:uid="{00000000-0005-0000-0000-0000DD6E0000}"/>
    <cellStyle name="Normal 97 41" xfId="14820" xr:uid="{00000000-0005-0000-0000-0000DE6E0000}"/>
    <cellStyle name="Normal 97 41 2" xfId="27047" xr:uid="{00000000-0005-0000-0000-0000DF6E0000}"/>
    <cellStyle name="Normal 97 42" xfId="14821" xr:uid="{00000000-0005-0000-0000-0000E06E0000}"/>
    <cellStyle name="Normal 97 42 2" xfId="27048" xr:uid="{00000000-0005-0000-0000-0000E16E0000}"/>
    <cellStyle name="Normal 97 43" xfId="14822" xr:uid="{00000000-0005-0000-0000-0000E26E0000}"/>
    <cellStyle name="Normal 97 43 2" xfId="27049" xr:uid="{00000000-0005-0000-0000-0000E36E0000}"/>
    <cellStyle name="Normal 97 44" xfId="14823" xr:uid="{00000000-0005-0000-0000-0000E46E0000}"/>
    <cellStyle name="Normal 97 44 2" xfId="27050" xr:uid="{00000000-0005-0000-0000-0000E56E0000}"/>
    <cellStyle name="Normal 97 45" xfId="14824" xr:uid="{00000000-0005-0000-0000-0000E66E0000}"/>
    <cellStyle name="Normal 97 45 2" xfId="27051" xr:uid="{00000000-0005-0000-0000-0000E76E0000}"/>
    <cellStyle name="Normal 97 46" xfId="14825" xr:uid="{00000000-0005-0000-0000-0000E86E0000}"/>
    <cellStyle name="Normal 97 46 2" xfId="27052" xr:uid="{00000000-0005-0000-0000-0000E96E0000}"/>
    <cellStyle name="Normal 97 47" xfId="14826" xr:uid="{00000000-0005-0000-0000-0000EA6E0000}"/>
    <cellStyle name="Normal 97 47 2" xfId="27053" xr:uid="{00000000-0005-0000-0000-0000EB6E0000}"/>
    <cellStyle name="Normal 97 48" xfId="14827" xr:uid="{00000000-0005-0000-0000-0000EC6E0000}"/>
    <cellStyle name="Normal 97 48 2" xfId="27054" xr:uid="{00000000-0005-0000-0000-0000ED6E0000}"/>
    <cellStyle name="Normal 97 49" xfId="14828" xr:uid="{00000000-0005-0000-0000-0000EE6E0000}"/>
    <cellStyle name="Normal 97 49 2" xfId="27055" xr:uid="{00000000-0005-0000-0000-0000EF6E0000}"/>
    <cellStyle name="Normal 97 5" xfId="14829" xr:uid="{00000000-0005-0000-0000-0000F06E0000}"/>
    <cellStyle name="Normal 97 5 2" xfId="27056" xr:uid="{00000000-0005-0000-0000-0000F16E0000}"/>
    <cellStyle name="Normal 97 50" xfId="14830" xr:uid="{00000000-0005-0000-0000-0000F26E0000}"/>
    <cellStyle name="Normal 97 50 2" xfId="27057" xr:uid="{00000000-0005-0000-0000-0000F36E0000}"/>
    <cellStyle name="Normal 97 51" xfId="14831" xr:uid="{00000000-0005-0000-0000-0000F46E0000}"/>
    <cellStyle name="Normal 97 51 2" xfId="27058" xr:uid="{00000000-0005-0000-0000-0000F56E0000}"/>
    <cellStyle name="Normal 97 52" xfId="14832" xr:uid="{00000000-0005-0000-0000-0000F66E0000}"/>
    <cellStyle name="Normal 97 52 2" xfId="27059" xr:uid="{00000000-0005-0000-0000-0000F76E0000}"/>
    <cellStyle name="Normal 97 53" xfId="14833" xr:uid="{00000000-0005-0000-0000-0000F86E0000}"/>
    <cellStyle name="Normal 97 53 2" xfId="27060" xr:uid="{00000000-0005-0000-0000-0000F96E0000}"/>
    <cellStyle name="Normal 97 54" xfId="14834" xr:uid="{00000000-0005-0000-0000-0000FA6E0000}"/>
    <cellStyle name="Normal 97 54 2" xfId="27061" xr:uid="{00000000-0005-0000-0000-0000FB6E0000}"/>
    <cellStyle name="Normal 97 55" xfId="14835" xr:uid="{00000000-0005-0000-0000-0000FC6E0000}"/>
    <cellStyle name="Normal 97 55 2" xfId="27062" xr:uid="{00000000-0005-0000-0000-0000FD6E0000}"/>
    <cellStyle name="Normal 97 56" xfId="14836" xr:uid="{00000000-0005-0000-0000-0000FE6E0000}"/>
    <cellStyle name="Normal 97 56 2" xfId="27063" xr:uid="{00000000-0005-0000-0000-0000FF6E0000}"/>
    <cellStyle name="Normal 97 57" xfId="14837" xr:uid="{00000000-0005-0000-0000-0000006F0000}"/>
    <cellStyle name="Normal 97 57 2" xfId="27064" xr:uid="{00000000-0005-0000-0000-0000016F0000}"/>
    <cellStyle name="Normal 97 58" xfId="14838" xr:uid="{00000000-0005-0000-0000-0000026F0000}"/>
    <cellStyle name="Normal 97 58 2" xfId="27065" xr:uid="{00000000-0005-0000-0000-0000036F0000}"/>
    <cellStyle name="Normal 97 59" xfId="14839" xr:uid="{00000000-0005-0000-0000-0000046F0000}"/>
    <cellStyle name="Normal 97 59 2" xfId="27066" xr:uid="{00000000-0005-0000-0000-0000056F0000}"/>
    <cellStyle name="Normal 97 6" xfId="14840" xr:uid="{00000000-0005-0000-0000-0000066F0000}"/>
    <cellStyle name="Normal 97 6 2" xfId="27067" xr:uid="{00000000-0005-0000-0000-0000076F0000}"/>
    <cellStyle name="Normal 97 60" xfId="14841" xr:uid="{00000000-0005-0000-0000-0000086F0000}"/>
    <cellStyle name="Normal 97 60 2" xfId="27068" xr:uid="{00000000-0005-0000-0000-0000096F0000}"/>
    <cellStyle name="Normal 97 61" xfId="14842" xr:uid="{00000000-0005-0000-0000-00000A6F0000}"/>
    <cellStyle name="Normal 97 61 2" xfId="27069" xr:uid="{00000000-0005-0000-0000-00000B6F0000}"/>
    <cellStyle name="Normal 97 62" xfId="14843" xr:uid="{00000000-0005-0000-0000-00000C6F0000}"/>
    <cellStyle name="Normal 97 62 2" xfId="27070" xr:uid="{00000000-0005-0000-0000-00000D6F0000}"/>
    <cellStyle name="Normal 97 63" xfId="14844" xr:uid="{00000000-0005-0000-0000-00000E6F0000}"/>
    <cellStyle name="Normal 97 63 2" xfId="27071" xr:uid="{00000000-0005-0000-0000-00000F6F0000}"/>
    <cellStyle name="Normal 97 64" xfId="14845" xr:uid="{00000000-0005-0000-0000-0000106F0000}"/>
    <cellStyle name="Normal 97 64 2" xfId="27072" xr:uid="{00000000-0005-0000-0000-0000116F0000}"/>
    <cellStyle name="Normal 97 65" xfId="14846" xr:uid="{00000000-0005-0000-0000-0000126F0000}"/>
    <cellStyle name="Normal 97 65 2" xfId="27073" xr:uid="{00000000-0005-0000-0000-0000136F0000}"/>
    <cellStyle name="Normal 97 66" xfId="14847" xr:uid="{00000000-0005-0000-0000-0000146F0000}"/>
    <cellStyle name="Normal 97 66 2" xfId="27074" xr:uid="{00000000-0005-0000-0000-0000156F0000}"/>
    <cellStyle name="Normal 97 67" xfId="14848" xr:uid="{00000000-0005-0000-0000-0000166F0000}"/>
    <cellStyle name="Normal 97 67 2" xfId="27075" xr:uid="{00000000-0005-0000-0000-0000176F0000}"/>
    <cellStyle name="Normal 97 68" xfId="14849" xr:uid="{00000000-0005-0000-0000-0000186F0000}"/>
    <cellStyle name="Normal 97 68 2" xfId="27076" xr:uid="{00000000-0005-0000-0000-0000196F0000}"/>
    <cellStyle name="Normal 97 69" xfId="14850" xr:uid="{00000000-0005-0000-0000-00001A6F0000}"/>
    <cellStyle name="Normal 97 69 2" xfId="27077" xr:uid="{00000000-0005-0000-0000-00001B6F0000}"/>
    <cellStyle name="Normal 97 7" xfId="14851" xr:uid="{00000000-0005-0000-0000-00001C6F0000}"/>
    <cellStyle name="Normal 97 7 2" xfId="27078" xr:uid="{00000000-0005-0000-0000-00001D6F0000}"/>
    <cellStyle name="Normal 97 70" xfId="14852" xr:uid="{00000000-0005-0000-0000-00001E6F0000}"/>
    <cellStyle name="Normal 97 70 2" xfId="27079" xr:uid="{00000000-0005-0000-0000-00001F6F0000}"/>
    <cellStyle name="Normal 97 71" xfId="14853" xr:uid="{00000000-0005-0000-0000-0000206F0000}"/>
    <cellStyle name="Normal 97 71 2" xfId="27080" xr:uid="{00000000-0005-0000-0000-0000216F0000}"/>
    <cellStyle name="Normal 97 72" xfId="14854" xr:uid="{00000000-0005-0000-0000-0000226F0000}"/>
    <cellStyle name="Normal 97 72 2" xfId="27081" xr:uid="{00000000-0005-0000-0000-0000236F0000}"/>
    <cellStyle name="Normal 97 73" xfId="14855" xr:uid="{00000000-0005-0000-0000-0000246F0000}"/>
    <cellStyle name="Normal 97 73 2" xfId="27082" xr:uid="{00000000-0005-0000-0000-0000256F0000}"/>
    <cellStyle name="Normal 97 74" xfId="14856" xr:uid="{00000000-0005-0000-0000-0000266F0000}"/>
    <cellStyle name="Normal 97 74 2" xfId="27083" xr:uid="{00000000-0005-0000-0000-0000276F0000}"/>
    <cellStyle name="Normal 97 75" xfId="14857" xr:uid="{00000000-0005-0000-0000-0000286F0000}"/>
    <cellStyle name="Normal 97 75 2" xfId="27084" xr:uid="{00000000-0005-0000-0000-0000296F0000}"/>
    <cellStyle name="Normal 97 76" xfId="14858" xr:uid="{00000000-0005-0000-0000-00002A6F0000}"/>
    <cellStyle name="Normal 97 76 2" xfId="27085" xr:uid="{00000000-0005-0000-0000-00002B6F0000}"/>
    <cellStyle name="Normal 97 77" xfId="14859" xr:uid="{00000000-0005-0000-0000-00002C6F0000}"/>
    <cellStyle name="Normal 97 77 2" xfId="27086" xr:uid="{00000000-0005-0000-0000-00002D6F0000}"/>
    <cellStyle name="Normal 97 78" xfId="14860" xr:uid="{00000000-0005-0000-0000-00002E6F0000}"/>
    <cellStyle name="Normal 97 78 2" xfId="27087" xr:uid="{00000000-0005-0000-0000-00002F6F0000}"/>
    <cellStyle name="Normal 97 79" xfId="14861" xr:uid="{00000000-0005-0000-0000-0000306F0000}"/>
    <cellStyle name="Normal 97 79 2" xfId="27088" xr:uid="{00000000-0005-0000-0000-0000316F0000}"/>
    <cellStyle name="Normal 97 8" xfId="14862" xr:uid="{00000000-0005-0000-0000-0000326F0000}"/>
    <cellStyle name="Normal 97 8 2" xfId="27089" xr:uid="{00000000-0005-0000-0000-0000336F0000}"/>
    <cellStyle name="Normal 97 80" xfId="27012" xr:uid="{00000000-0005-0000-0000-0000346F0000}"/>
    <cellStyle name="Normal 97 9" xfId="14863" xr:uid="{00000000-0005-0000-0000-0000356F0000}"/>
    <cellStyle name="Normal 97 9 2" xfId="27090" xr:uid="{00000000-0005-0000-0000-0000366F0000}"/>
    <cellStyle name="Normal 98" xfId="224" xr:uid="{00000000-0005-0000-0000-0000376F0000}"/>
    <cellStyle name="Normal 98 10" xfId="14864" xr:uid="{00000000-0005-0000-0000-0000386F0000}"/>
    <cellStyle name="Normal 98 10 2" xfId="27092" xr:uid="{00000000-0005-0000-0000-0000396F0000}"/>
    <cellStyle name="Normal 98 11" xfId="14865" xr:uid="{00000000-0005-0000-0000-00003A6F0000}"/>
    <cellStyle name="Normal 98 11 2" xfId="27093" xr:uid="{00000000-0005-0000-0000-00003B6F0000}"/>
    <cellStyle name="Normal 98 12" xfId="14866" xr:uid="{00000000-0005-0000-0000-00003C6F0000}"/>
    <cellStyle name="Normal 98 12 2" xfId="27094" xr:uid="{00000000-0005-0000-0000-00003D6F0000}"/>
    <cellStyle name="Normal 98 13" xfId="14867" xr:uid="{00000000-0005-0000-0000-00003E6F0000}"/>
    <cellStyle name="Normal 98 13 2" xfId="27095" xr:uid="{00000000-0005-0000-0000-00003F6F0000}"/>
    <cellStyle name="Normal 98 14" xfId="14868" xr:uid="{00000000-0005-0000-0000-0000406F0000}"/>
    <cellStyle name="Normal 98 14 2" xfId="27096" xr:uid="{00000000-0005-0000-0000-0000416F0000}"/>
    <cellStyle name="Normal 98 15" xfId="14869" xr:uid="{00000000-0005-0000-0000-0000426F0000}"/>
    <cellStyle name="Normal 98 15 2" xfId="27097" xr:uid="{00000000-0005-0000-0000-0000436F0000}"/>
    <cellStyle name="Normal 98 16" xfId="14870" xr:uid="{00000000-0005-0000-0000-0000446F0000}"/>
    <cellStyle name="Normal 98 16 2" xfId="27098" xr:uid="{00000000-0005-0000-0000-0000456F0000}"/>
    <cellStyle name="Normal 98 17" xfId="14871" xr:uid="{00000000-0005-0000-0000-0000466F0000}"/>
    <cellStyle name="Normal 98 17 2" xfId="27099" xr:uid="{00000000-0005-0000-0000-0000476F0000}"/>
    <cellStyle name="Normal 98 18" xfId="14872" xr:uid="{00000000-0005-0000-0000-0000486F0000}"/>
    <cellStyle name="Normal 98 18 2" xfId="27100" xr:uid="{00000000-0005-0000-0000-0000496F0000}"/>
    <cellStyle name="Normal 98 19" xfId="14873" xr:uid="{00000000-0005-0000-0000-00004A6F0000}"/>
    <cellStyle name="Normal 98 19 2" xfId="27101" xr:uid="{00000000-0005-0000-0000-00004B6F0000}"/>
    <cellStyle name="Normal 98 2" xfId="278" xr:uid="{00000000-0005-0000-0000-00004C6F0000}"/>
    <cellStyle name="Normal 98 2 2" xfId="27102" xr:uid="{00000000-0005-0000-0000-00004D6F0000}"/>
    <cellStyle name="Normal 98 2 3" xfId="14874" xr:uid="{00000000-0005-0000-0000-00004E6F0000}"/>
    <cellStyle name="Normal 98 20" xfId="14875" xr:uid="{00000000-0005-0000-0000-00004F6F0000}"/>
    <cellStyle name="Normal 98 20 2" xfId="27103" xr:uid="{00000000-0005-0000-0000-0000506F0000}"/>
    <cellStyle name="Normal 98 21" xfId="14876" xr:uid="{00000000-0005-0000-0000-0000516F0000}"/>
    <cellStyle name="Normal 98 21 2" xfId="27104" xr:uid="{00000000-0005-0000-0000-0000526F0000}"/>
    <cellStyle name="Normal 98 22" xfId="14877" xr:uid="{00000000-0005-0000-0000-0000536F0000}"/>
    <cellStyle name="Normal 98 22 2" xfId="27105" xr:uid="{00000000-0005-0000-0000-0000546F0000}"/>
    <cellStyle name="Normal 98 23" xfId="14878" xr:uid="{00000000-0005-0000-0000-0000556F0000}"/>
    <cellStyle name="Normal 98 23 2" xfId="27106" xr:uid="{00000000-0005-0000-0000-0000566F0000}"/>
    <cellStyle name="Normal 98 24" xfId="14879" xr:uid="{00000000-0005-0000-0000-0000576F0000}"/>
    <cellStyle name="Normal 98 24 2" xfId="27107" xr:uid="{00000000-0005-0000-0000-0000586F0000}"/>
    <cellStyle name="Normal 98 25" xfId="14880" xr:uid="{00000000-0005-0000-0000-0000596F0000}"/>
    <cellStyle name="Normal 98 25 2" xfId="27108" xr:uid="{00000000-0005-0000-0000-00005A6F0000}"/>
    <cellStyle name="Normal 98 26" xfId="14881" xr:uid="{00000000-0005-0000-0000-00005B6F0000}"/>
    <cellStyle name="Normal 98 26 2" xfId="27109" xr:uid="{00000000-0005-0000-0000-00005C6F0000}"/>
    <cellStyle name="Normal 98 27" xfId="14882" xr:uid="{00000000-0005-0000-0000-00005D6F0000}"/>
    <cellStyle name="Normal 98 27 2" xfId="27110" xr:uid="{00000000-0005-0000-0000-00005E6F0000}"/>
    <cellStyle name="Normal 98 28" xfId="14883" xr:uid="{00000000-0005-0000-0000-00005F6F0000}"/>
    <cellStyle name="Normal 98 28 2" xfId="27111" xr:uid="{00000000-0005-0000-0000-0000606F0000}"/>
    <cellStyle name="Normal 98 29" xfId="14884" xr:uid="{00000000-0005-0000-0000-0000616F0000}"/>
    <cellStyle name="Normal 98 29 2" xfId="27112" xr:uid="{00000000-0005-0000-0000-0000626F0000}"/>
    <cellStyle name="Normal 98 3" xfId="439" xr:uid="{00000000-0005-0000-0000-0000636F0000}"/>
    <cellStyle name="Normal 98 3 2" xfId="27113" xr:uid="{00000000-0005-0000-0000-0000646F0000}"/>
    <cellStyle name="Normal 98 30" xfId="14885" xr:uid="{00000000-0005-0000-0000-0000656F0000}"/>
    <cellStyle name="Normal 98 30 2" xfId="27114" xr:uid="{00000000-0005-0000-0000-0000666F0000}"/>
    <cellStyle name="Normal 98 31" xfId="14886" xr:uid="{00000000-0005-0000-0000-0000676F0000}"/>
    <cellStyle name="Normal 98 31 2" xfId="27115" xr:uid="{00000000-0005-0000-0000-0000686F0000}"/>
    <cellStyle name="Normal 98 32" xfId="14887" xr:uid="{00000000-0005-0000-0000-0000696F0000}"/>
    <cellStyle name="Normal 98 32 2" xfId="27116" xr:uid="{00000000-0005-0000-0000-00006A6F0000}"/>
    <cellStyle name="Normal 98 33" xfId="14888" xr:uid="{00000000-0005-0000-0000-00006B6F0000}"/>
    <cellStyle name="Normal 98 33 2" xfId="27117" xr:uid="{00000000-0005-0000-0000-00006C6F0000}"/>
    <cellStyle name="Normal 98 34" xfId="14889" xr:uid="{00000000-0005-0000-0000-00006D6F0000}"/>
    <cellStyle name="Normal 98 34 2" xfId="27118" xr:uid="{00000000-0005-0000-0000-00006E6F0000}"/>
    <cellStyle name="Normal 98 35" xfId="14890" xr:uid="{00000000-0005-0000-0000-00006F6F0000}"/>
    <cellStyle name="Normal 98 35 2" xfId="27119" xr:uid="{00000000-0005-0000-0000-0000706F0000}"/>
    <cellStyle name="Normal 98 36" xfId="14891" xr:uid="{00000000-0005-0000-0000-0000716F0000}"/>
    <cellStyle name="Normal 98 36 2" xfId="27120" xr:uid="{00000000-0005-0000-0000-0000726F0000}"/>
    <cellStyle name="Normal 98 37" xfId="14892" xr:uid="{00000000-0005-0000-0000-0000736F0000}"/>
    <cellStyle name="Normal 98 37 2" xfId="27121" xr:uid="{00000000-0005-0000-0000-0000746F0000}"/>
    <cellStyle name="Normal 98 38" xfId="14893" xr:uid="{00000000-0005-0000-0000-0000756F0000}"/>
    <cellStyle name="Normal 98 38 2" xfId="27122" xr:uid="{00000000-0005-0000-0000-0000766F0000}"/>
    <cellStyle name="Normal 98 39" xfId="14894" xr:uid="{00000000-0005-0000-0000-0000776F0000}"/>
    <cellStyle name="Normal 98 39 2" xfId="27123" xr:uid="{00000000-0005-0000-0000-0000786F0000}"/>
    <cellStyle name="Normal 98 4" xfId="14895" xr:uid="{00000000-0005-0000-0000-0000796F0000}"/>
    <cellStyle name="Normal 98 4 2" xfId="27124" xr:uid="{00000000-0005-0000-0000-00007A6F0000}"/>
    <cellStyle name="Normal 98 40" xfId="14896" xr:uid="{00000000-0005-0000-0000-00007B6F0000}"/>
    <cellStyle name="Normal 98 40 2" xfId="27125" xr:uid="{00000000-0005-0000-0000-00007C6F0000}"/>
    <cellStyle name="Normal 98 41" xfId="14897" xr:uid="{00000000-0005-0000-0000-00007D6F0000}"/>
    <cellStyle name="Normal 98 41 2" xfId="27126" xr:uid="{00000000-0005-0000-0000-00007E6F0000}"/>
    <cellStyle name="Normal 98 42" xfId="14898" xr:uid="{00000000-0005-0000-0000-00007F6F0000}"/>
    <cellStyle name="Normal 98 42 2" xfId="27127" xr:uid="{00000000-0005-0000-0000-0000806F0000}"/>
    <cellStyle name="Normal 98 43" xfId="14899" xr:uid="{00000000-0005-0000-0000-0000816F0000}"/>
    <cellStyle name="Normal 98 43 2" xfId="27128" xr:uid="{00000000-0005-0000-0000-0000826F0000}"/>
    <cellStyle name="Normal 98 44" xfId="14900" xr:uid="{00000000-0005-0000-0000-0000836F0000}"/>
    <cellStyle name="Normal 98 44 2" xfId="27129" xr:uid="{00000000-0005-0000-0000-0000846F0000}"/>
    <cellStyle name="Normal 98 45" xfId="14901" xr:uid="{00000000-0005-0000-0000-0000856F0000}"/>
    <cellStyle name="Normal 98 45 2" xfId="27130" xr:uid="{00000000-0005-0000-0000-0000866F0000}"/>
    <cellStyle name="Normal 98 46" xfId="14902" xr:uid="{00000000-0005-0000-0000-0000876F0000}"/>
    <cellStyle name="Normal 98 46 2" xfId="27131" xr:uid="{00000000-0005-0000-0000-0000886F0000}"/>
    <cellStyle name="Normal 98 47" xfId="14903" xr:uid="{00000000-0005-0000-0000-0000896F0000}"/>
    <cellStyle name="Normal 98 47 2" xfId="27132" xr:uid="{00000000-0005-0000-0000-00008A6F0000}"/>
    <cellStyle name="Normal 98 48" xfId="14904" xr:uid="{00000000-0005-0000-0000-00008B6F0000}"/>
    <cellStyle name="Normal 98 48 2" xfId="27133" xr:uid="{00000000-0005-0000-0000-00008C6F0000}"/>
    <cellStyle name="Normal 98 49" xfId="14905" xr:uid="{00000000-0005-0000-0000-00008D6F0000}"/>
    <cellStyle name="Normal 98 49 2" xfId="27134" xr:uid="{00000000-0005-0000-0000-00008E6F0000}"/>
    <cellStyle name="Normal 98 5" xfId="14906" xr:uid="{00000000-0005-0000-0000-00008F6F0000}"/>
    <cellStyle name="Normal 98 5 2" xfId="27135" xr:uid="{00000000-0005-0000-0000-0000906F0000}"/>
    <cellStyle name="Normal 98 50" xfId="14907" xr:uid="{00000000-0005-0000-0000-0000916F0000}"/>
    <cellStyle name="Normal 98 50 2" xfId="27136" xr:uid="{00000000-0005-0000-0000-0000926F0000}"/>
    <cellStyle name="Normal 98 51" xfId="14908" xr:uid="{00000000-0005-0000-0000-0000936F0000}"/>
    <cellStyle name="Normal 98 51 2" xfId="27137" xr:uid="{00000000-0005-0000-0000-0000946F0000}"/>
    <cellStyle name="Normal 98 52" xfId="14909" xr:uid="{00000000-0005-0000-0000-0000956F0000}"/>
    <cellStyle name="Normal 98 52 2" xfId="27138" xr:uid="{00000000-0005-0000-0000-0000966F0000}"/>
    <cellStyle name="Normal 98 53" xfId="14910" xr:uid="{00000000-0005-0000-0000-0000976F0000}"/>
    <cellStyle name="Normal 98 53 2" xfId="27139" xr:uid="{00000000-0005-0000-0000-0000986F0000}"/>
    <cellStyle name="Normal 98 54" xfId="14911" xr:uid="{00000000-0005-0000-0000-0000996F0000}"/>
    <cellStyle name="Normal 98 54 2" xfId="27140" xr:uid="{00000000-0005-0000-0000-00009A6F0000}"/>
    <cellStyle name="Normal 98 55" xfId="14912" xr:uid="{00000000-0005-0000-0000-00009B6F0000}"/>
    <cellStyle name="Normal 98 55 2" xfId="27141" xr:uid="{00000000-0005-0000-0000-00009C6F0000}"/>
    <cellStyle name="Normal 98 56" xfId="14913" xr:uid="{00000000-0005-0000-0000-00009D6F0000}"/>
    <cellStyle name="Normal 98 56 2" xfId="27142" xr:uid="{00000000-0005-0000-0000-00009E6F0000}"/>
    <cellStyle name="Normal 98 57" xfId="14914" xr:uid="{00000000-0005-0000-0000-00009F6F0000}"/>
    <cellStyle name="Normal 98 57 2" xfId="27143" xr:uid="{00000000-0005-0000-0000-0000A06F0000}"/>
    <cellStyle name="Normal 98 58" xfId="14915" xr:uid="{00000000-0005-0000-0000-0000A16F0000}"/>
    <cellStyle name="Normal 98 58 2" xfId="27144" xr:uid="{00000000-0005-0000-0000-0000A26F0000}"/>
    <cellStyle name="Normal 98 59" xfId="14916" xr:uid="{00000000-0005-0000-0000-0000A36F0000}"/>
    <cellStyle name="Normal 98 59 2" xfId="27145" xr:uid="{00000000-0005-0000-0000-0000A46F0000}"/>
    <cellStyle name="Normal 98 6" xfId="14917" xr:uid="{00000000-0005-0000-0000-0000A56F0000}"/>
    <cellStyle name="Normal 98 6 2" xfId="27146" xr:uid="{00000000-0005-0000-0000-0000A66F0000}"/>
    <cellStyle name="Normal 98 60" xfId="14918" xr:uid="{00000000-0005-0000-0000-0000A76F0000}"/>
    <cellStyle name="Normal 98 60 2" xfId="27147" xr:uid="{00000000-0005-0000-0000-0000A86F0000}"/>
    <cellStyle name="Normal 98 61" xfId="14919" xr:uid="{00000000-0005-0000-0000-0000A96F0000}"/>
    <cellStyle name="Normal 98 61 2" xfId="27148" xr:uid="{00000000-0005-0000-0000-0000AA6F0000}"/>
    <cellStyle name="Normal 98 62" xfId="14920" xr:uid="{00000000-0005-0000-0000-0000AB6F0000}"/>
    <cellStyle name="Normal 98 62 2" xfId="27149" xr:uid="{00000000-0005-0000-0000-0000AC6F0000}"/>
    <cellStyle name="Normal 98 63" xfId="14921" xr:uid="{00000000-0005-0000-0000-0000AD6F0000}"/>
    <cellStyle name="Normal 98 63 2" xfId="27150" xr:uid="{00000000-0005-0000-0000-0000AE6F0000}"/>
    <cellStyle name="Normal 98 64" xfId="14922" xr:uid="{00000000-0005-0000-0000-0000AF6F0000}"/>
    <cellStyle name="Normal 98 64 2" xfId="27151" xr:uid="{00000000-0005-0000-0000-0000B06F0000}"/>
    <cellStyle name="Normal 98 65" xfId="14923" xr:uid="{00000000-0005-0000-0000-0000B16F0000}"/>
    <cellStyle name="Normal 98 65 2" xfId="27152" xr:uid="{00000000-0005-0000-0000-0000B26F0000}"/>
    <cellStyle name="Normal 98 66" xfId="14924" xr:uid="{00000000-0005-0000-0000-0000B36F0000}"/>
    <cellStyle name="Normal 98 66 2" xfId="27153" xr:uid="{00000000-0005-0000-0000-0000B46F0000}"/>
    <cellStyle name="Normal 98 67" xfId="14925" xr:uid="{00000000-0005-0000-0000-0000B56F0000}"/>
    <cellStyle name="Normal 98 67 2" xfId="27154" xr:uid="{00000000-0005-0000-0000-0000B66F0000}"/>
    <cellStyle name="Normal 98 68" xfId="14926" xr:uid="{00000000-0005-0000-0000-0000B76F0000}"/>
    <cellStyle name="Normal 98 68 2" xfId="27155" xr:uid="{00000000-0005-0000-0000-0000B86F0000}"/>
    <cellStyle name="Normal 98 69" xfId="14927" xr:uid="{00000000-0005-0000-0000-0000B96F0000}"/>
    <cellStyle name="Normal 98 69 2" xfId="27156" xr:uid="{00000000-0005-0000-0000-0000BA6F0000}"/>
    <cellStyle name="Normal 98 7" xfId="14928" xr:uid="{00000000-0005-0000-0000-0000BB6F0000}"/>
    <cellStyle name="Normal 98 7 2" xfId="27157" xr:uid="{00000000-0005-0000-0000-0000BC6F0000}"/>
    <cellStyle name="Normal 98 70" xfId="14929" xr:uid="{00000000-0005-0000-0000-0000BD6F0000}"/>
    <cellStyle name="Normal 98 70 2" xfId="27158" xr:uid="{00000000-0005-0000-0000-0000BE6F0000}"/>
    <cellStyle name="Normal 98 71" xfId="14930" xr:uid="{00000000-0005-0000-0000-0000BF6F0000}"/>
    <cellStyle name="Normal 98 71 2" xfId="27159" xr:uid="{00000000-0005-0000-0000-0000C06F0000}"/>
    <cellStyle name="Normal 98 72" xfId="14931" xr:uid="{00000000-0005-0000-0000-0000C16F0000}"/>
    <cellStyle name="Normal 98 72 2" xfId="27160" xr:uid="{00000000-0005-0000-0000-0000C26F0000}"/>
    <cellStyle name="Normal 98 73" xfId="14932" xr:uid="{00000000-0005-0000-0000-0000C36F0000}"/>
    <cellStyle name="Normal 98 73 2" xfId="27161" xr:uid="{00000000-0005-0000-0000-0000C46F0000}"/>
    <cellStyle name="Normal 98 74" xfId="14933" xr:uid="{00000000-0005-0000-0000-0000C56F0000}"/>
    <cellStyle name="Normal 98 74 2" xfId="27162" xr:uid="{00000000-0005-0000-0000-0000C66F0000}"/>
    <cellStyle name="Normal 98 75" xfId="14934" xr:uid="{00000000-0005-0000-0000-0000C76F0000}"/>
    <cellStyle name="Normal 98 75 2" xfId="27163" xr:uid="{00000000-0005-0000-0000-0000C86F0000}"/>
    <cellStyle name="Normal 98 76" xfId="14935" xr:uid="{00000000-0005-0000-0000-0000C96F0000}"/>
    <cellStyle name="Normal 98 76 2" xfId="27164" xr:uid="{00000000-0005-0000-0000-0000CA6F0000}"/>
    <cellStyle name="Normal 98 77" xfId="14936" xr:uid="{00000000-0005-0000-0000-0000CB6F0000}"/>
    <cellStyle name="Normal 98 77 2" xfId="27165" xr:uid="{00000000-0005-0000-0000-0000CC6F0000}"/>
    <cellStyle name="Normal 98 78" xfId="14937" xr:uid="{00000000-0005-0000-0000-0000CD6F0000}"/>
    <cellStyle name="Normal 98 78 2" xfId="27166" xr:uid="{00000000-0005-0000-0000-0000CE6F0000}"/>
    <cellStyle name="Normal 98 79" xfId="14938" xr:uid="{00000000-0005-0000-0000-0000CF6F0000}"/>
    <cellStyle name="Normal 98 79 2" xfId="27167" xr:uid="{00000000-0005-0000-0000-0000D06F0000}"/>
    <cellStyle name="Normal 98 8" xfId="14939" xr:uid="{00000000-0005-0000-0000-0000D16F0000}"/>
    <cellStyle name="Normal 98 8 2" xfId="27168" xr:uid="{00000000-0005-0000-0000-0000D26F0000}"/>
    <cellStyle name="Normal 98 80" xfId="27091" xr:uid="{00000000-0005-0000-0000-0000D36F0000}"/>
    <cellStyle name="Normal 98 9" xfId="14940" xr:uid="{00000000-0005-0000-0000-0000D46F0000}"/>
    <cellStyle name="Normal 98 9 2" xfId="27169" xr:uid="{00000000-0005-0000-0000-0000D56F0000}"/>
    <cellStyle name="Normal 99" xfId="225" xr:uid="{00000000-0005-0000-0000-0000D66F0000}"/>
    <cellStyle name="Normal 99 2" xfId="279" xr:uid="{00000000-0005-0000-0000-0000D76F0000}"/>
    <cellStyle name="Normal 99 3" xfId="440" xr:uid="{00000000-0005-0000-0000-0000D86F0000}"/>
    <cellStyle name="Note" xfId="20" builtinId="10" customBuiltin="1"/>
    <cellStyle name="Note 10" xfId="3186" xr:uid="{00000000-0005-0000-0000-0000DC6F0000}"/>
    <cellStyle name="Note 11" xfId="3187" xr:uid="{00000000-0005-0000-0000-0000DD6F0000}"/>
    <cellStyle name="Note 12" xfId="3188" xr:uid="{00000000-0005-0000-0000-0000DE6F0000}"/>
    <cellStyle name="Note 12 2" xfId="27348" xr:uid="{00000000-0005-0000-0000-0000DF6F0000}"/>
    <cellStyle name="Note 13" xfId="3189" xr:uid="{00000000-0005-0000-0000-0000E06F0000}"/>
    <cellStyle name="Note 13 2" xfId="27349" xr:uid="{00000000-0005-0000-0000-0000E16F0000}"/>
    <cellStyle name="Note 14" xfId="3190" xr:uid="{00000000-0005-0000-0000-0000E26F0000}"/>
    <cellStyle name="Note 14 2" xfId="27350" xr:uid="{00000000-0005-0000-0000-0000E36F0000}"/>
    <cellStyle name="Note 15" xfId="3191" xr:uid="{00000000-0005-0000-0000-0000E46F0000}"/>
    <cellStyle name="Note 15 2" xfId="27351" xr:uid="{00000000-0005-0000-0000-0000E56F0000}"/>
    <cellStyle name="Note 16" xfId="3192" xr:uid="{00000000-0005-0000-0000-0000E66F0000}"/>
    <cellStyle name="Note 16 2" xfId="27352" xr:uid="{00000000-0005-0000-0000-0000E76F0000}"/>
    <cellStyle name="Note 17" xfId="3193" xr:uid="{00000000-0005-0000-0000-0000E86F0000}"/>
    <cellStyle name="Note 17 2" xfId="27353" xr:uid="{00000000-0005-0000-0000-0000E96F0000}"/>
    <cellStyle name="Note 18" xfId="3194" xr:uid="{00000000-0005-0000-0000-0000EA6F0000}"/>
    <cellStyle name="Note 18 2" xfId="27354" xr:uid="{00000000-0005-0000-0000-0000EB6F0000}"/>
    <cellStyle name="Note 19" xfId="3195" xr:uid="{00000000-0005-0000-0000-0000EC6F0000}"/>
    <cellStyle name="Note 19 2" xfId="27355" xr:uid="{00000000-0005-0000-0000-0000ED6F0000}"/>
    <cellStyle name="Note 2" xfId="1620" xr:uid="{00000000-0005-0000-0000-0000EE6F0000}"/>
    <cellStyle name="Note 2 10" xfId="3196" xr:uid="{00000000-0005-0000-0000-0000EF6F0000}"/>
    <cellStyle name="Note 2 11" xfId="3197" xr:uid="{00000000-0005-0000-0000-0000F06F0000}"/>
    <cellStyle name="Note 2 12" xfId="3198" xr:uid="{00000000-0005-0000-0000-0000F16F0000}"/>
    <cellStyle name="Note 2 13" xfId="3199" xr:uid="{00000000-0005-0000-0000-0000F26F0000}"/>
    <cellStyle name="Note 2 14" xfId="3200" xr:uid="{00000000-0005-0000-0000-0000F36F0000}"/>
    <cellStyle name="Note 2 15" xfId="3201" xr:uid="{00000000-0005-0000-0000-0000F46F0000}"/>
    <cellStyle name="Note 2 16" xfId="14963" xr:uid="{00000000-0005-0000-0000-0000F56F0000}"/>
    <cellStyle name="Note 2 16 10" xfId="31273" xr:uid="{00000000-0005-0000-0000-0000F66F0000}"/>
    <cellStyle name="Note 2 16 2" xfId="15007" xr:uid="{00000000-0005-0000-0000-0000F76F0000}"/>
    <cellStyle name="Note 2 16 2 2" xfId="27392" xr:uid="{00000000-0005-0000-0000-0000F86F0000}"/>
    <cellStyle name="Note 2 16 2 2 2" xfId="27503" xr:uid="{00000000-0005-0000-0000-0000F96F0000}"/>
    <cellStyle name="Note 2 16 2 2 2 2" xfId="27969" xr:uid="{00000000-0005-0000-0000-0000FA6F0000}"/>
    <cellStyle name="Note 2 16 2 2 2 2 2" xfId="28956" xr:uid="{00000000-0005-0000-0000-0000FB6F0000}"/>
    <cellStyle name="Note 2 16 2 2 2 2 2 2" xfId="30916" xr:uid="{00000000-0005-0000-0000-0000FC6F0000}"/>
    <cellStyle name="Note 2 16 2 2 2 2 3" xfId="29936" xr:uid="{00000000-0005-0000-0000-0000FD6F0000}"/>
    <cellStyle name="Note 2 16 2 2 2 3" xfId="28491" xr:uid="{00000000-0005-0000-0000-0000FE6F0000}"/>
    <cellStyle name="Note 2 16 2 2 2 3 2" xfId="30451" xr:uid="{00000000-0005-0000-0000-0000FF6F0000}"/>
    <cellStyle name="Note 2 16 2 2 2 4" xfId="29471" xr:uid="{00000000-0005-0000-0000-000000700000}"/>
    <cellStyle name="Note 2 16 2 2 3" xfId="27601" xr:uid="{00000000-0005-0000-0000-000001700000}"/>
    <cellStyle name="Note 2 16 2 2 3 2" xfId="28067" xr:uid="{00000000-0005-0000-0000-000002700000}"/>
    <cellStyle name="Note 2 16 2 2 3 2 2" xfId="29054" xr:uid="{00000000-0005-0000-0000-000003700000}"/>
    <cellStyle name="Note 2 16 2 2 3 2 2 2" xfId="31014" xr:uid="{00000000-0005-0000-0000-000004700000}"/>
    <cellStyle name="Note 2 16 2 2 3 2 3" xfId="30034" xr:uid="{00000000-0005-0000-0000-000005700000}"/>
    <cellStyle name="Note 2 16 2 2 3 3" xfId="27757" xr:uid="{00000000-0005-0000-0000-000006700000}"/>
    <cellStyle name="Note 2 16 2 2 3 3 2" xfId="28745" xr:uid="{00000000-0005-0000-0000-000007700000}"/>
    <cellStyle name="Note 2 16 2 2 3 3 2 2" xfId="30705" xr:uid="{00000000-0005-0000-0000-000008700000}"/>
    <cellStyle name="Note 2 16 2 2 3 3 3" xfId="29725" xr:uid="{00000000-0005-0000-0000-000009700000}"/>
    <cellStyle name="Note 2 16 2 2 3 4" xfId="28589" xr:uid="{00000000-0005-0000-0000-00000A700000}"/>
    <cellStyle name="Note 2 16 2 2 3 4 2" xfId="30549" xr:uid="{00000000-0005-0000-0000-00000B700000}"/>
    <cellStyle name="Note 2 16 2 2 3 5" xfId="29569" xr:uid="{00000000-0005-0000-0000-00000C700000}"/>
    <cellStyle name="Note 2 16 2 2 4" xfId="27699" xr:uid="{00000000-0005-0000-0000-00000D700000}"/>
    <cellStyle name="Note 2 16 2 2 4 2" xfId="28165" xr:uid="{00000000-0005-0000-0000-00000E700000}"/>
    <cellStyle name="Note 2 16 2 2 4 2 2" xfId="29152" xr:uid="{00000000-0005-0000-0000-00000F700000}"/>
    <cellStyle name="Note 2 16 2 2 4 2 2 2" xfId="31112" xr:uid="{00000000-0005-0000-0000-000010700000}"/>
    <cellStyle name="Note 2 16 2 2 4 2 3" xfId="30132" xr:uid="{00000000-0005-0000-0000-000011700000}"/>
    <cellStyle name="Note 2 16 2 2 4 3" xfId="28292" xr:uid="{00000000-0005-0000-0000-000012700000}"/>
    <cellStyle name="Note 2 16 2 2 4 3 2" xfId="29279" xr:uid="{00000000-0005-0000-0000-000013700000}"/>
    <cellStyle name="Note 2 16 2 2 4 3 2 2" xfId="31239" xr:uid="{00000000-0005-0000-0000-000014700000}"/>
    <cellStyle name="Note 2 16 2 2 4 3 3" xfId="30259" xr:uid="{00000000-0005-0000-0000-000015700000}"/>
    <cellStyle name="Note 2 16 2 2 4 4" xfId="28687" xr:uid="{00000000-0005-0000-0000-000016700000}"/>
    <cellStyle name="Note 2 16 2 2 4 4 2" xfId="30647" xr:uid="{00000000-0005-0000-0000-000017700000}"/>
    <cellStyle name="Note 2 16 2 2 4 5" xfId="29667" xr:uid="{00000000-0005-0000-0000-000018700000}"/>
    <cellStyle name="Note 2 16 2 2 5" xfId="27871" xr:uid="{00000000-0005-0000-0000-000019700000}"/>
    <cellStyle name="Note 2 16 2 2 5 2" xfId="28858" xr:uid="{00000000-0005-0000-0000-00001A700000}"/>
    <cellStyle name="Note 2 16 2 2 5 2 2" xfId="30818" xr:uid="{00000000-0005-0000-0000-00001B700000}"/>
    <cellStyle name="Note 2 16 2 2 5 3" xfId="29838" xr:uid="{00000000-0005-0000-0000-00001C700000}"/>
    <cellStyle name="Note 2 16 2 2 6" xfId="28393" xr:uid="{00000000-0005-0000-0000-00001D700000}"/>
    <cellStyle name="Note 2 16 2 2 6 2" xfId="30353" xr:uid="{00000000-0005-0000-0000-00001E700000}"/>
    <cellStyle name="Note 2 16 2 2 7" xfId="29373" xr:uid="{00000000-0005-0000-0000-00001F700000}"/>
    <cellStyle name="Note 2 16 2 2 8" xfId="31333" xr:uid="{00000000-0005-0000-0000-000020700000}"/>
    <cellStyle name="Note 2 16 2 3" xfId="27459" xr:uid="{00000000-0005-0000-0000-000021700000}"/>
    <cellStyle name="Note 2 16 2 3 2" xfId="27925" xr:uid="{00000000-0005-0000-0000-000022700000}"/>
    <cellStyle name="Note 2 16 2 3 2 2" xfId="28912" xr:uid="{00000000-0005-0000-0000-000023700000}"/>
    <cellStyle name="Note 2 16 2 3 2 2 2" xfId="30872" xr:uid="{00000000-0005-0000-0000-000024700000}"/>
    <cellStyle name="Note 2 16 2 3 2 3" xfId="29892" xr:uid="{00000000-0005-0000-0000-000025700000}"/>
    <cellStyle name="Note 2 16 2 3 3" xfId="28447" xr:uid="{00000000-0005-0000-0000-000026700000}"/>
    <cellStyle name="Note 2 16 2 3 3 2" xfId="30407" xr:uid="{00000000-0005-0000-0000-000027700000}"/>
    <cellStyle name="Note 2 16 2 3 4" xfId="29427" xr:uid="{00000000-0005-0000-0000-000028700000}"/>
    <cellStyle name="Note 2 16 2 4" xfId="27557" xr:uid="{00000000-0005-0000-0000-000029700000}"/>
    <cellStyle name="Note 2 16 2 4 2" xfId="28023" xr:uid="{00000000-0005-0000-0000-00002A700000}"/>
    <cellStyle name="Note 2 16 2 4 2 2" xfId="29010" xr:uid="{00000000-0005-0000-0000-00002B700000}"/>
    <cellStyle name="Note 2 16 2 4 2 2 2" xfId="30970" xr:uid="{00000000-0005-0000-0000-00002C700000}"/>
    <cellStyle name="Note 2 16 2 4 2 3" xfId="29990" xr:uid="{00000000-0005-0000-0000-00002D700000}"/>
    <cellStyle name="Note 2 16 2 4 3" xfId="27748" xr:uid="{00000000-0005-0000-0000-00002E700000}"/>
    <cellStyle name="Note 2 16 2 4 3 2" xfId="28736" xr:uid="{00000000-0005-0000-0000-00002F700000}"/>
    <cellStyle name="Note 2 16 2 4 3 2 2" xfId="30696" xr:uid="{00000000-0005-0000-0000-000030700000}"/>
    <cellStyle name="Note 2 16 2 4 3 3" xfId="29716" xr:uid="{00000000-0005-0000-0000-000031700000}"/>
    <cellStyle name="Note 2 16 2 4 4" xfId="28545" xr:uid="{00000000-0005-0000-0000-000032700000}"/>
    <cellStyle name="Note 2 16 2 4 4 2" xfId="30505" xr:uid="{00000000-0005-0000-0000-000033700000}"/>
    <cellStyle name="Note 2 16 2 4 5" xfId="29525" xr:uid="{00000000-0005-0000-0000-000034700000}"/>
    <cellStyle name="Note 2 16 2 5" xfId="27655" xr:uid="{00000000-0005-0000-0000-000035700000}"/>
    <cellStyle name="Note 2 16 2 5 2" xfId="28121" xr:uid="{00000000-0005-0000-0000-000036700000}"/>
    <cellStyle name="Note 2 16 2 5 2 2" xfId="29108" xr:uid="{00000000-0005-0000-0000-000037700000}"/>
    <cellStyle name="Note 2 16 2 5 2 2 2" xfId="31068" xr:uid="{00000000-0005-0000-0000-000038700000}"/>
    <cellStyle name="Note 2 16 2 5 2 3" xfId="30088" xr:uid="{00000000-0005-0000-0000-000039700000}"/>
    <cellStyle name="Note 2 16 2 5 3" xfId="28264" xr:uid="{00000000-0005-0000-0000-00003A700000}"/>
    <cellStyle name="Note 2 16 2 5 3 2" xfId="29251" xr:uid="{00000000-0005-0000-0000-00003B700000}"/>
    <cellStyle name="Note 2 16 2 5 3 2 2" xfId="31211" xr:uid="{00000000-0005-0000-0000-00003C700000}"/>
    <cellStyle name="Note 2 16 2 5 3 3" xfId="30231" xr:uid="{00000000-0005-0000-0000-00003D700000}"/>
    <cellStyle name="Note 2 16 2 5 4" xfId="28643" xr:uid="{00000000-0005-0000-0000-00003E700000}"/>
    <cellStyle name="Note 2 16 2 5 4 2" xfId="30603" xr:uid="{00000000-0005-0000-0000-00003F700000}"/>
    <cellStyle name="Note 2 16 2 5 5" xfId="29623" xr:uid="{00000000-0005-0000-0000-000040700000}"/>
    <cellStyle name="Note 2 16 2 6" xfId="27795" xr:uid="{00000000-0005-0000-0000-000041700000}"/>
    <cellStyle name="Note 2 16 2 6 2" xfId="28783" xr:uid="{00000000-0005-0000-0000-000042700000}"/>
    <cellStyle name="Note 2 16 2 6 2 2" xfId="30743" xr:uid="{00000000-0005-0000-0000-000043700000}"/>
    <cellStyle name="Note 2 16 2 6 3" xfId="29763" xr:uid="{00000000-0005-0000-0000-000044700000}"/>
    <cellStyle name="Note 2 16 2 7" xfId="28349" xr:uid="{00000000-0005-0000-0000-000045700000}"/>
    <cellStyle name="Note 2 16 2 7 2" xfId="30309" xr:uid="{00000000-0005-0000-0000-000046700000}"/>
    <cellStyle name="Note 2 16 2 8" xfId="29329" xr:uid="{00000000-0005-0000-0000-000047700000}"/>
    <cellStyle name="Note 2 16 2 9" xfId="31289" xr:uid="{00000000-0005-0000-0000-000048700000}"/>
    <cellStyle name="Note 2 16 3" xfId="27376" xr:uid="{00000000-0005-0000-0000-000049700000}"/>
    <cellStyle name="Note 2 16 3 2" xfId="27487" xr:uid="{00000000-0005-0000-0000-00004A700000}"/>
    <cellStyle name="Note 2 16 3 2 2" xfId="27953" xr:uid="{00000000-0005-0000-0000-00004B700000}"/>
    <cellStyle name="Note 2 16 3 2 2 2" xfId="28940" xr:uid="{00000000-0005-0000-0000-00004C700000}"/>
    <cellStyle name="Note 2 16 3 2 2 2 2" xfId="30900" xr:uid="{00000000-0005-0000-0000-00004D700000}"/>
    <cellStyle name="Note 2 16 3 2 2 3" xfId="29920" xr:uid="{00000000-0005-0000-0000-00004E700000}"/>
    <cellStyle name="Note 2 16 3 2 3" xfId="28475" xr:uid="{00000000-0005-0000-0000-00004F700000}"/>
    <cellStyle name="Note 2 16 3 2 3 2" xfId="30435" xr:uid="{00000000-0005-0000-0000-000050700000}"/>
    <cellStyle name="Note 2 16 3 2 4" xfId="29455" xr:uid="{00000000-0005-0000-0000-000051700000}"/>
    <cellStyle name="Note 2 16 3 3" xfId="27585" xr:uid="{00000000-0005-0000-0000-000052700000}"/>
    <cellStyle name="Note 2 16 3 3 2" xfId="28051" xr:uid="{00000000-0005-0000-0000-000053700000}"/>
    <cellStyle name="Note 2 16 3 3 2 2" xfId="29038" xr:uid="{00000000-0005-0000-0000-000054700000}"/>
    <cellStyle name="Note 2 16 3 3 2 2 2" xfId="30998" xr:uid="{00000000-0005-0000-0000-000055700000}"/>
    <cellStyle name="Note 2 16 3 3 2 3" xfId="30018" xr:uid="{00000000-0005-0000-0000-000056700000}"/>
    <cellStyle name="Note 2 16 3 3 3" xfId="27764" xr:uid="{00000000-0005-0000-0000-000057700000}"/>
    <cellStyle name="Note 2 16 3 3 3 2" xfId="28752" xr:uid="{00000000-0005-0000-0000-000058700000}"/>
    <cellStyle name="Note 2 16 3 3 3 2 2" xfId="30712" xr:uid="{00000000-0005-0000-0000-000059700000}"/>
    <cellStyle name="Note 2 16 3 3 3 3" xfId="29732" xr:uid="{00000000-0005-0000-0000-00005A700000}"/>
    <cellStyle name="Note 2 16 3 3 4" xfId="28573" xr:uid="{00000000-0005-0000-0000-00005B700000}"/>
    <cellStyle name="Note 2 16 3 3 4 2" xfId="30533" xr:uid="{00000000-0005-0000-0000-00005C700000}"/>
    <cellStyle name="Note 2 16 3 3 5" xfId="29553" xr:uid="{00000000-0005-0000-0000-00005D700000}"/>
    <cellStyle name="Note 2 16 3 4" xfId="27683" xr:uid="{00000000-0005-0000-0000-00005E700000}"/>
    <cellStyle name="Note 2 16 3 4 2" xfId="28149" xr:uid="{00000000-0005-0000-0000-00005F700000}"/>
    <cellStyle name="Note 2 16 3 4 2 2" xfId="29136" xr:uid="{00000000-0005-0000-0000-000060700000}"/>
    <cellStyle name="Note 2 16 3 4 2 2 2" xfId="31096" xr:uid="{00000000-0005-0000-0000-000061700000}"/>
    <cellStyle name="Note 2 16 3 4 2 3" xfId="30116" xr:uid="{00000000-0005-0000-0000-000062700000}"/>
    <cellStyle name="Note 2 16 3 4 3" xfId="28284" xr:uid="{00000000-0005-0000-0000-000063700000}"/>
    <cellStyle name="Note 2 16 3 4 3 2" xfId="29271" xr:uid="{00000000-0005-0000-0000-000064700000}"/>
    <cellStyle name="Note 2 16 3 4 3 2 2" xfId="31231" xr:uid="{00000000-0005-0000-0000-000065700000}"/>
    <cellStyle name="Note 2 16 3 4 3 3" xfId="30251" xr:uid="{00000000-0005-0000-0000-000066700000}"/>
    <cellStyle name="Note 2 16 3 4 4" xfId="28671" xr:uid="{00000000-0005-0000-0000-000067700000}"/>
    <cellStyle name="Note 2 16 3 4 4 2" xfId="30631" xr:uid="{00000000-0005-0000-0000-000068700000}"/>
    <cellStyle name="Note 2 16 3 4 5" xfId="29651" xr:uid="{00000000-0005-0000-0000-000069700000}"/>
    <cellStyle name="Note 2 16 3 5" xfId="27855" xr:uid="{00000000-0005-0000-0000-00006A700000}"/>
    <cellStyle name="Note 2 16 3 5 2" xfId="28842" xr:uid="{00000000-0005-0000-0000-00006B700000}"/>
    <cellStyle name="Note 2 16 3 5 2 2" xfId="30802" xr:uid="{00000000-0005-0000-0000-00006C700000}"/>
    <cellStyle name="Note 2 16 3 5 3" xfId="29822" xr:uid="{00000000-0005-0000-0000-00006D700000}"/>
    <cellStyle name="Note 2 16 3 6" xfId="28377" xr:uid="{00000000-0005-0000-0000-00006E700000}"/>
    <cellStyle name="Note 2 16 3 6 2" xfId="30337" xr:uid="{00000000-0005-0000-0000-00006F700000}"/>
    <cellStyle name="Note 2 16 3 7" xfId="29357" xr:uid="{00000000-0005-0000-0000-000070700000}"/>
    <cellStyle name="Note 2 16 3 8" xfId="31317" xr:uid="{00000000-0005-0000-0000-000071700000}"/>
    <cellStyle name="Note 2 16 4" xfId="27443" xr:uid="{00000000-0005-0000-0000-000072700000}"/>
    <cellStyle name="Note 2 16 4 2" xfId="27909" xr:uid="{00000000-0005-0000-0000-000073700000}"/>
    <cellStyle name="Note 2 16 4 2 2" xfId="28896" xr:uid="{00000000-0005-0000-0000-000074700000}"/>
    <cellStyle name="Note 2 16 4 2 2 2" xfId="30856" xr:uid="{00000000-0005-0000-0000-000075700000}"/>
    <cellStyle name="Note 2 16 4 2 3" xfId="29876" xr:uid="{00000000-0005-0000-0000-000076700000}"/>
    <cellStyle name="Note 2 16 4 3" xfId="28431" xr:uid="{00000000-0005-0000-0000-000077700000}"/>
    <cellStyle name="Note 2 16 4 3 2" xfId="30391" xr:uid="{00000000-0005-0000-0000-000078700000}"/>
    <cellStyle name="Note 2 16 4 4" xfId="29411" xr:uid="{00000000-0005-0000-0000-000079700000}"/>
    <cellStyle name="Note 2 16 5" xfId="27541" xr:uid="{00000000-0005-0000-0000-00007A700000}"/>
    <cellStyle name="Note 2 16 5 2" xfId="28007" xr:uid="{00000000-0005-0000-0000-00007B700000}"/>
    <cellStyle name="Note 2 16 5 2 2" xfId="28994" xr:uid="{00000000-0005-0000-0000-00007C700000}"/>
    <cellStyle name="Note 2 16 5 2 2 2" xfId="30954" xr:uid="{00000000-0005-0000-0000-00007D700000}"/>
    <cellStyle name="Note 2 16 5 2 3" xfId="29974" xr:uid="{00000000-0005-0000-0000-00007E700000}"/>
    <cellStyle name="Note 2 16 5 3" xfId="27835" xr:uid="{00000000-0005-0000-0000-00007F700000}"/>
    <cellStyle name="Note 2 16 5 3 2" xfId="28822" xr:uid="{00000000-0005-0000-0000-000080700000}"/>
    <cellStyle name="Note 2 16 5 3 2 2" xfId="30782" xr:uid="{00000000-0005-0000-0000-000081700000}"/>
    <cellStyle name="Note 2 16 5 3 3" xfId="29802" xr:uid="{00000000-0005-0000-0000-000082700000}"/>
    <cellStyle name="Note 2 16 5 4" xfId="28529" xr:uid="{00000000-0005-0000-0000-000083700000}"/>
    <cellStyle name="Note 2 16 5 4 2" xfId="30489" xr:uid="{00000000-0005-0000-0000-000084700000}"/>
    <cellStyle name="Note 2 16 5 5" xfId="29509" xr:uid="{00000000-0005-0000-0000-000085700000}"/>
    <cellStyle name="Note 2 16 6" xfId="27639" xr:uid="{00000000-0005-0000-0000-000086700000}"/>
    <cellStyle name="Note 2 16 6 2" xfId="28105" xr:uid="{00000000-0005-0000-0000-000087700000}"/>
    <cellStyle name="Note 2 16 6 2 2" xfId="29092" xr:uid="{00000000-0005-0000-0000-000088700000}"/>
    <cellStyle name="Note 2 16 6 2 2 2" xfId="31052" xr:uid="{00000000-0005-0000-0000-000089700000}"/>
    <cellStyle name="Note 2 16 6 2 3" xfId="30072" xr:uid="{00000000-0005-0000-0000-00008A700000}"/>
    <cellStyle name="Note 2 16 6 3" xfId="28256" xr:uid="{00000000-0005-0000-0000-00008B700000}"/>
    <cellStyle name="Note 2 16 6 3 2" xfId="29243" xr:uid="{00000000-0005-0000-0000-00008C700000}"/>
    <cellStyle name="Note 2 16 6 3 2 2" xfId="31203" xr:uid="{00000000-0005-0000-0000-00008D700000}"/>
    <cellStyle name="Note 2 16 6 3 3" xfId="30223" xr:uid="{00000000-0005-0000-0000-00008E700000}"/>
    <cellStyle name="Note 2 16 6 4" xfId="28627" xr:uid="{00000000-0005-0000-0000-00008F700000}"/>
    <cellStyle name="Note 2 16 6 4 2" xfId="30587" xr:uid="{00000000-0005-0000-0000-000090700000}"/>
    <cellStyle name="Note 2 16 6 5" xfId="29607" xr:uid="{00000000-0005-0000-0000-000091700000}"/>
    <cellStyle name="Note 2 16 7" xfId="27779" xr:uid="{00000000-0005-0000-0000-000092700000}"/>
    <cellStyle name="Note 2 16 7 2" xfId="28767" xr:uid="{00000000-0005-0000-0000-000093700000}"/>
    <cellStyle name="Note 2 16 7 2 2" xfId="30727" xr:uid="{00000000-0005-0000-0000-000094700000}"/>
    <cellStyle name="Note 2 16 7 3" xfId="29747" xr:uid="{00000000-0005-0000-0000-000095700000}"/>
    <cellStyle name="Note 2 16 8" xfId="28333" xr:uid="{00000000-0005-0000-0000-000096700000}"/>
    <cellStyle name="Note 2 16 8 2" xfId="30293" xr:uid="{00000000-0005-0000-0000-000097700000}"/>
    <cellStyle name="Note 2 16 9" xfId="29313" xr:uid="{00000000-0005-0000-0000-000098700000}"/>
    <cellStyle name="Note 2 17" xfId="15054" xr:uid="{00000000-0005-0000-0000-000099700000}"/>
    <cellStyle name="Note 2 17 10" xfId="31299" xr:uid="{00000000-0005-0000-0000-00009A700000}"/>
    <cellStyle name="Note 2 17 2" xfId="27170" xr:uid="{00000000-0005-0000-0000-00009B700000}"/>
    <cellStyle name="Note 2 17 2 2" xfId="27404" xr:uid="{00000000-0005-0000-0000-00009C700000}"/>
    <cellStyle name="Note 2 17 2 2 2" xfId="27515" xr:uid="{00000000-0005-0000-0000-00009D700000}"/>
    <cellStyle name="Note 2 17 2 2 2 2" xfId="27981" xr:uid="{00000000-0005-0000-0000-00009E700000}"/>
    <cellStyle name="Note 2 17 2 2 2 2 2" xfId="28968" xr:uid="{00000000-0005-0000-0000-00009F700000}"/>
    <cellStyle name="Note 2 17 2 2 2 2 2 2" xfId="30928" xr:uid="{00000000-0005-0000-0000-0000A0700000}"/>
    <cellStyle name="Note 2 17 2 2 2 2 3" xfId="29948" xr:uid="{00000000-0005-0000-0000-0000A1700000}"/>
    <cellStyle name="Note 2 17 2 2 2 3" xfId="28503" xr:uid="{00000000-0005-0000-0000-0000A2700000}"/>
    <cellStyle name="Note 2 17 2 2 2 3 2" xfId="30463" xr:uid="{00000000-0005-0000-0000-0000A3700000}"/>
    <cellStyle name="Note 2 17 2 2 2 4" xfId="29483" xr:uid="{00000000-0005-0000-0000-0000A4700000}"/>
    <cellStyle name="Note 2 17 2 2 3" xfId="27613" xr:uid="{00000000-0005-0000-0000-0000A5700000}"/>
    <cellStyle name="Note 2 17 2 2 3 2" xfId="28079" xr:uid="{00000000-0005-0000-0000-0000A6700000}"/>
    <cellStyle name="Note 2 17 2 2 3 2 2" xfId="29066" xr:uid="{00000000-0005-0000-0000-0000A7700000}"/>
    <cellStyle name="Note 2 17 2 2 3 2 2 2" xfId="31026" xr:uid="{00000000-0005-0000-0000-0000A8700000}"/>
    <cellStyle name="Note 2 17 2 2 3 2 3" xfId="30046" xr:uid="{00000000-0005-0000-0000-0000A9700000}"/>
    <cellStyle name="Note 2 17 2 2 3 3" xfId="27733" xr:uid="{00000000-0005-0000-0000-0000AA700000}"/>
    <cellStyle name="Note 2 17 2 2 3 3 2" xfId="28721" xr:uid="{00000000-0005-0000-0000-0000AB700000}"/>
    <cellStyle name="Note 2 17 2 2 3 3 2 2" xfId="30681" xr:uid="{00000000-0005-0000-0000-0000AC700000}"/>
    <cellStyle name="Note 2 17 2 2 3 3 3" xfId="29701" xr:uid="{00000000-0005-0000-0000-0000AD700000}"/>
    <cellStyle name="Note 2 17 2 2 3 4" xfId="28601" xr:uid="{00000000-0005-0000-0000-0000AE700000}"/>
    <cellStyle name="Note 2 17 2 2 3 4 2" xfId="30561" xr:uid="{00000000-0005-0000-0000-0000AF700000}"/>
    <cellStyle name="Note 2 17 2 2 3 5" xfId="29581" xr:uid="{00000000-0005-0000-0000-0000B0700000}"/>
    <cellStyle name="Note 2 17 2 2 4" xfId="27711" xr:uid="{00000000-0005-0000-0000-0000B1700000}"/>
    <cellStyle name="Note 2 17 2 2 4 2" xfId="28177" xr:uid="{00000000-0005-0000-0000-0000B2700000}"/>
    <cellStyle name="Note 2 17 2 2 4 2 2" xfId="29164" xr:uid="{00000000-0005-0000-0000-0000B3700000}"/>
    <cellStyle name="Note 2 17 2 2 4 2 2 2" xfId="31124" xr:uid="{00000000-0005-0000-0000-0000B4700000}"/>
    <cellStyle name="Note 2 17 2 2 4 2 3" xfId="30144" xr:uid="{00000000-0005-0000-0000-0000B5700000}"/>
    <cellStyle name="Note 2 17 2 2 4 3" xfId="28300" xr:uid="{00000000-0005-0000-0000-0000B6700000}"/>
    <cellStyle name="Note 2 17 2 2 4 3 2" xfId="29287" xr:uid="{00000000-0005-0000-0000-0000B7700000}"/>
    <cellStyle name="Note 2 17 2 2 4 3 2 2" xfId="31247" xr:uid="{00000000-0005-0000-0000-0000B8700000}"/>
    <cellStyle name="Note 2 17 2 2 4 3 3" xfId="30267" xr:uid="{00000000-0005-0000-0000-0000B9700000}"/>
    <cellStyle name="Note 2 17 2 2 4 4" xfId="28699" xr:uid="{00000000-0005-0000-0000-0000BA700000}"/>
    <cellStyle name="Note 2 17 2 2 4 4 2" xfId="30659" xr:uid="{00000000-0005-0000-0000-0000BB700000}"/>
    <cellStyle name="Note 2 17 2 2 4 5" xfId="29679" xr:uid="{00000000-0005-0000-0000-0000BC700000}"/>
    <cellStyle name="Note 2 17 2 2 5" xfId="27883" xr:uid="{00000000-0005-0000-0000-0000BD700000}"/>
    <cellStyle name="Note 2 17 2 2 5 2" xfId="28870" xr:uid="{00000000-0005-0000-0000-0000BE700000}"/>
    <cellStyle name="Note 2 17 2 2 5 2 2" xfId="30830" xr:uid="{00000000-0005-0000-0000-0000BF700000}"/>
    <cellStyle name="Note 2 17 2 2 5 3" xfId="29850" xr:uid="{00000000-0005-0000-0000-0000C0700000}"/>
    <cellStyle name="Note 2 17 2 2 6" xfId="28405" xr:uid="{00000000-0005-0000-0000-0000C1700000}"/>
    <cellStyle name="Note 2 17 2 2 6 2" xfId="30365" xr:uid="{00000000-0005-0000-0000-0000C2700000}"/>
    <cellStyle name="Note 2 17 2 2 7" xfId="29385" xr:uid="{00000000-0005-0000-0000-0000C3700000}"/>
    <cellStyle name="Note 2 17 2 2 8" xfId="31345" xr:uid="{00000000-0005-0000-0000-0000C4700000}"/>
    <cellStyle name="Note 2 17 2 3" xfId="27471" xr:uid="{00000000-0005-0000-0000-0000C5700000}"/>
    <cellStyle name="Note 2 17 2 3 2" xfId="27937" xr:uid="{00000000-0005-0000-0000-0000C6700000}"/>
    <cellStyle name="Note 2 17 2 3 2 2" xfId="28924" xr:uid="{00000000-0005-0000-0000-0000C7700000}"/>
    <cellStyle name="Note 2 17 2 3 2 2 2" xfId="30884" xr:uid="{00000000-0005-0000-0000-0000C8700000}"/>
    <cellStyle name="Note 2 17 2 3 2 3" xfId="29904" xr:uid="{00000000-0005-0000-0000-0000C9700000}"/>
    <cellStyle name="Note 2 17 2 3 3" xfId="28459" xr:uid="{00000000-0005-0000-0000-0000CA700000}"/>
    <cellStyle name="Note 2 17 2 3 3 2" xfId="30419" xr:uid="{00000000-0005-0000-0000-0000CB700000}"/>
    <cellStyle name="Note 2 17 2 3 4" xfId="29439" xr:uid="{00000000-0005-0000-0000-0000CC700000}"/>
    <cellStyle name="Note 2 17 2 4" xfId="27569" xr:uid="{00000000-0005-0000-0000-0000CD700000}"/>
    <cellStyle name="Note 2 17 2 4 2" xfId="28035" xr:uid="{00000000-0005-0000-0000-0000CE700000}"/>
    <cellStyle name="Note 2 17 2 4 2 2" xfId="29022" xr:uid="{00000000-0005-0000-0000-0000CF700000}"/>
    <cellStyle name="Note 2 17 2 4 2 2 2" xfId="30982" xr:uid="{00000000-0005-0000-0000-0000D0700000}"/>
    <cellStyle name="Note 2 17 2 4 2 3" xfId="30002" xr:uid="{00000000-0005-0000-0000-0000D1700000}"/>
    <cellStyle name="Note 2 17 2 4 3" xfId="27750" xr:uid="{00000000-0005-0000-0000-0000D2700000}"/>
    <cellStyle name="Note 2 17 2 4 3 2" xfId="28738" xr:uid="{00000000-0005-0000-0000-0000D3700000}"/>
    <cellStyle name="Note 2 17 2 4 3 2 2" xfId="30698" xr:uid="{00000000-0005-0000-0000-0000D4700000}"/>
    <cellStyle name="Note 2 17 2 4 3 3" xfId="29718" xr:uid="{00000000-0005-0000-0000-0000D5700000}"/>
    <cellStyle name="Note 2 17 2 4 4" xfId="28557" xr:uid="{00000000-0005-0000-0000-0000D6700000}"/>
    <cellStyle name="Note 2 17 2 4 4 2" xfId="30517" xr:uid="{00000000-0005-0000-0000-0000D7700000}"/>
    <cellStyle name="Note 2 17 2 4 5" xfId="29537" xr:uid="{00000000-0005-0000-0000-0000D8700000}"/>
    <cellStyle name="Note 2 17 2 5" xfId="27667" xr:uid="{00000000-0005-0000-0000-0000D9700000}"/>
    <cellStyle name="Note 2 17 2 5 2" xfId="28133" xr:uid="{00000000-0005-0000-0000-0000DA700000}"/>
    <cellStyle name="Note 2 17 2 5 2 2" xfId="29120" xr:uid="{00000000-0005-0000-0000-0000DB700000}"/>
    <cellStyle name="Note 2 17 2 5 2 2 2" xfId="31080" xr:uid="{00000000-0005-0000-0000-0000DC700000}"/>
    <cellStyle name="Note 2 17 2 5 2 3" xfId="30100" xr:uid="{00000000-0005-0000-0000-0000DD700000}"/>
    <cellStyle name="Note 2 17 2 5 3" xfId="28272" xr:uid="{00000000-0005-0000-0000-0000DE700000}"/>
    <cellStyle name="Note 2 17 2 5 3 2" xfId="29259" xr:uid="{00000000-0005-0000-0000-0000DF700000}"/>
    <cellStyle name="Note 2 17 2 5 3 2 2" xfId="31219" xr:uid="{00000000-0005-0000-0000-0000E0700000}"/>
    <cellStyle name="Note 2 17 2 5 3 3" xfId="30239" xr:uid="{00000000-0005-0000-0000-0000E1700000}"/>
    <cellStyle name="Note 2 17 2 5 4" xfId="28655" xr:uid="{00000000-0005-0000-0000-0000E2700000}"/>
    <cellStyle name="Note 2 17 2 5 4 2" xfId="30615" xr:uid="{00000000-0005-0000-0000-0000E3700000}"/>
    <cellStyle name="Note 2 17 2 5 5" xfId="29635" xr:uid="{00000000-0005-0000-0000-0000E4700000}"/>
    <cellStyle name="Note 2 17 2 6" xfId="27833" xr:uid="{00000000-0005-0000-0000-0000E5700000}"/>
    <cellStyle name="Note 2 17 2 6 2" xfId="28820" xr:uid="{00000000-0005-0000-0000-0000E6700000}"/>
    <cellStyle name="Note 2 17 2 6 2 2" xfId="30780" xr:uid="{00000000-0005-0000-0000-0000E7700000}"/>
    <cellStyle name="Note 2 17 2 6 3" xfId="29800" xr:uid="{00000000-0005-0000-0000-0000E8700000}"/>
    <cellStyle name="Note 2 17 2 7" xfId="28361" xr:uid="{00000000-0005-0000-0000-0000E9700000}"/>
    <cellStyle name="Note 2 17 2 7 2" xfId="30321" xr:uid="{00000000-0005-0000-0000-0000EA700000}"/>
    <cellStyle name="Note 2 17 2 8" xfId="29341" xr:uid="{00000000-0005-0000-0000-0000EB700000}"/>
    <cellStyle name="Note 2 17 2 9" xfId="31301" xr:uid="{00000000-0005-0000-0000-0000EC700000}"/>
    <cellStyle name="Note 2 17 3" xfId="27402" xr:uid="{00000000-0005-0000-0000-0000ED700000}"/>
    <cellStyle name="Note 2 17 3 2" xfId="27513" xr:uid="{00000000-0005-0000-0000-0000EE700000}"/>
    <cellStyle name="Note 2 17 3 2 2" xfId="27979" xr:uid="{00000000-0005-0000-0000-0000EF700000}"/>
    <cellStyle name="Note 2 17 3 2 2 2" xfId="28966" xr:uid="{00000000-0005-0000-0000-0000F0700000}"/>
    <cellStyle name="Note 2 17 3 2 2 2 2" xfId="30926" xr:uid="{00000000-0005-0000-0000-0000F1700000}"/>
    <cellStyle name="Note 2 17 3 2 2 3" xfId="29946" xr:uid="{00000000-0005-0000-0000-0000F2700000}"/>
    <cellStyle name="Note 2 17 3 2 3" xfId="28501" xr:uid="{00000000-0005-0000-0000-0000F3700000}"/>
    <cellStyle name="Note 2 17 3 2 3 2" xfId="30461" xr:uid="{00000000-0005-0000-0000-0000F4700000}"/>
    <cellStyle name="Note 2 17 3 2 4" xfId="29481" xr:uid="{00000000-0005-0000-0000-0000F5700000}"/>
    <cellStyle name="Note 2 17 3 3" xfId="27611" xr:uid="{00000000-0005-0000-0000-0000F6700000}"/>
    <cellStyle name="Note 2 17 3 3 2" xfId="28077" xr:uid="{00000000-0005-0000-0000-0000F7700000}"/>
    <cellStyle name="Note 2 17 3 3 2 2" xfId="29064" xr:uid="{00000000-0005-0000-0000-0000F8700000}"/>
    <cellStyle name="Note 2 17 3 3 2 2 2" xfId="31024" xr:uid="{00000000-0005-0000-0000-0000F9700000}"/>
    <cellStyle name="Note 2 17 3 3 2 3" xfId="30044" xr:uid="{00000000-0005-0000-0000-0000FA700000}"/>
    <cellStyle name="Note 2 17 3 3 3" xfId="27713" xr:uid="{00000000-0005-0000-0000-0000FB700000}"/>
    <cellStyle name="Note 2 17 3 3 3 2" xfId="28701" xr:uid="{00000000-0005-0000-0000-0000FC700000}"/>
    <cellStyle name="Note 2 17 3 3 3 2 2" xfId="30661" xr:uid="{00000000-0005-0000-0000-0000FD700000}"/>
    <cellStyle name="Note 2 17 3 3 3 3" xfId="29681" xr:uid="{00000000-0005-0000-0000-0000FE700000}"/>
    <cellStyle name="Note 2 17 3 3 4" xfId="28599" xr:uid="{00000000-0005-0000-0000-0000FF700000}"/>
    <cellStyle name="Note 2 17 3 3 4 2" xfId="30559" xr:uid="{00000000-0005-0000-0000-000000710000}"/>
    <cellStyle name="Note 2 17 3 3 5" xfId="29579" xr:uid="{00000000-0005-0000-0000-000001710000}"/>
    <cellStyle name="Note 2 17 3 4" xfId="27709" xr:uid="{00000000-0005-0000-0000-000002710000}"/>
    <cellStyle name="Note 2 17 3 4 2" xfId="28175" xr:uid="{00000000-0005-0000-0000-000003710000}"/>
    <cellStyle name="Note 2 17 3 4 2 2" xfId="29162" xr:uid="{00000000-0005-0000-0000-000004710000}"/>
    <cellStyle name="Note 2 17 3 4 2 2 2" xfId="31122" xr:uid="{00000000-0005-0000-0000-000005710000}"/>
    <cellStyle name="Note 2 17 3 4 2 3" xfId="30142" xr:uid="{00000000-0005-0000-0000-000006710000}"/>
    <cellStyle name="Note 2 17 3 4 3" xfId="28298" xr:uid="{00000000-0005-0000-0000-000007710000}"/>
    <cellStyle name="Note 2 17 3 4 3 2" xfId="29285" xr:uid="{00000000-0005-0000-0000-000008710000}"/>
    <cellStyle name="Note 2 17 3 4 3 2 2" xfId="31245" xr:uid="{00000000-0005-0000-0000-000009710000}"/>
    <cellStyle name="Note 2 17 3 4 3 3" xfId="30265" xr:uid="{00000000-0005-0000-0000-00000A710000}"/>
    <cellStyle name="Note 2 17 3 4 4" xfId="28697" xr:uid="{00000000-0005-0000-0000-00000B710000}"/>
    <cellStyle name="Note 2 17 3 4 4 2" xfId="30657" xr:uid="{00000000-0005-0000-0000-00000C710000}"/>
    <cellStyle name="Note 2 17 3 4 5" xfId="29677" xr:uid="{00000000-0005-0000-0000-00000D710000}"/>
    <cellStyle name="Note 2 17 3 5" xfId="27881" xr:uid="{00000000-0005-0000-0000-00000E710000}"/>
    <cellStyle name="Note 2 17 3 5 2" xfId="28868" xr:uid="{00000000-0005-0000-0000-00000F710000}"/>
    <cellStyle name="Note 2 17 3 5 2 2" xfId="30828" xr:uid="{00000000-0005-0000-0000-000010710000}"/>
    <cellStyle name="Note 2 17 3 5 3" xfId="29848" xr:uid="{00000000-0005-0000-0000-000011710000}"/>
    <cellStyle name="Note 2 17 3 6" xfId="28403" xr:uid="{00000000-0005-0000-0000-000012710000}"/>
    <cellStyle name="Note 2 17 3 6 2" xfId="30363" xr:uid="{00000000-0005-0000-0000-000013710000}"/>
    <cellStyle name="Note 2 17 3 7" xfId="29383" xr:uid="{00000000-0005-0000-0000-000014710000}"/>
    <cellStyle name="Note 2 17 3 8" xfId="31343" xr:uid="{00000000-0005-0000-0000-000015710000}"/>
    <cellStyle name="Note 2 17 4" xfId="27469" xr:uid="{00000000-0005-0000-0000-000016710000}"/>
    <cellStyle name="Note 2 17 4 2" xfId="27935" xr:uid="{00000000-0005-0000-0000-000017710000}"/>
    <cellStyle name="Note 2 17 4 2 2" xfId="28922" xr:uid="{00000000-0005-0000-0000-000018710000}"/>
    <cellStyle name="Note 2 17 4 2 2 2" xfId="30882" xr:uid="{00000000-0005-0000-0000-000019710000}"/>
    <cellStyle name="Note 2 17 4 2 3" xfId="29902" xr:uid="{00000000-0005-0000-0000-00001A710000}"/>
    <cellStyle name="Note 2 17 4 3" xfId="28457" xr:uid="{00000000-0005-0000-0000-00001B710000}"/>
    <cellStyle name="Note 2 17 4 3 2" xfId="30417" xr:uid="{00000000-0005-0000-0000-00001C710000}"/>
    <cellStyle name="Note 2 17 4 4" xfId="29437" xr:uid="{00000000-0005-0000-0000-00001D710000}"/>
    <cellStyle name="Note 2 17 5" xfId="27567" xr:uid="{00000000-0005-0000-0000-00001E710000}"/>
    <cellStyle name="Note 2 17 5 2" xfId="28033" xr:uid="{00000000-0005-0000-0000-00001F710000}"/>
    <cellStyle name="Note 2 17 5 2 2" xfId="29020" xr:uid="{00000000-0005-0000-0000-000020710000}"/>
    <cellStyle name="Note 2 17 5 2 2 2" xfId="30980" xr:uid="{00000000-0005-0000-0000-000021710000}"/>
    <cellStyle name="Note 2 17 5 2 3" xfId="30000" xr:uid="{00000000-0005-0000-0000-000022710000}"/>
    <cellStyle name="Note 2 17 5 3" xfId="27818" xr:uid="{00000000-0005-0000-0000-000023710000}"/>
    <cellStyle name="Note 2 17 5 3 2" xfId="28805" xr:uid="{00000000-0005-0000-0000-000024710000}"/>
    <cellStyle name="Note 2 17 5 3 2 2" xfId="30765" xr:uid="{00000000-0005-0000-0000-000025710000}"/>
    <cellStyle name="Note 2 17 5 3 3" xfId="29785" xr:uid="{00000000-0005-0000-0000-000026710000}"/>
    <cellStyle name="Note 2 17 5 4" xfId="28555" xr:uid="{00000000-0005-0000-0000-000027710000}"/>
    <cellStyle name="Note 2 17 5 4 2" xfId="30515" xr:uid="{00000000-0005-0000-0000-000028710000}"/>
    <cellStyle name="Note 2 17 5 5" xfId="29535" xr:uid="{00000000-0005-0000-0000-000029710000}"/>
    <cellStyle name="Note 2 17 6" xfId="27665" xr:uid="{00000000-0005-0000-0000-00002A710000}"/>
    <cellStyle name="Note 2 17 6 2" xfId="28131" xr:uid="{00000000-0005-0000-0000-00002B710000}"/>
    <cellStyle name="Note 2 17 6 2 2" xfId="29118" xr:uid="{00000000-0005-0000-0000-00002C710000}"/>
    <cellStyle name="Note 2 17 6 2 2 2" xfId="31078" xr:uid="{00000000-0005-0000-0000-00002D710000}"/>
    <cellStyle name="Note 2 17 6 2 3" xfId="30098" xr:uid="{00000000-0005-0000-0000-00002E710000}"/>
    <cellStyle name="Note 2 17 6 3" xfId="28270" xr:uid="{00000000-0005-0000-0000-00002F710000}"/>
    <cellStyle name="Note 2 17 6 3 2" xfId="29257" xr:uid="{00000000-0005-0000-0000-000030710000}"/>
    <cellStyle name="Note 2 17 6 3 2 2" xfId="31217" xr:uid="{00000000-0005-0000-0000-000031710000}"/>
    <cellStyle name="Note 2 17 6 3 3" xfId="30237" xr:uid="{00000000-0005-0000-0000-000032710000}"/>
    <cellStyle name="Note 2 17 6 4" xfId="28653" xr:uid="{00000000-0005-0000-0000-000033710000}"/>
    <cellStyle name="Note 2 17 6 4 2" xfId="30613" xr:uid="{00000000-0005-0000-0000-000034710000}"/>
    <cellStyle name="Note 2 17 6 5" xfId="29633" xr:uid="{00000000-0005-0000-0000-000035710000}"/>
    <cellStyle name="Note 2 17 7" xfId="27805" xr:uid="{00000000-0005-0000-0000-000036710000}"/>
    <cellStyle name="Note 2 17 7 2" xfId="28793" xr:uid="{00000000-0005-0000-0000-000037710000}"/>
    <cellStyle name="Note 2 17 7 2 2" xfId="30753" xr:uid="{00000000-0005-0000-0000-000038710000}"/>
    <cellStyle name="Note 2 17 7 3" xfId="29773" xr:uid="{00000000-0005-0000-0000-000039710000}"/>
    <cellStyle name="Note 2 17 8" xfId="28359" xr:uid="{00000000-0005-0000-0000-00003A710000}"/>
    <cellStyle name="Note 2 17 8 2" xfId="30319" xr:uid="{00000000-0005-0000-0000-00003B710000}"/>
    <cellStyle name="Note 2 17 9" xfId="29339" xr:uid="{00000000-0005-0000-0000-00003C710000}"/>
    <cellStyle name="Note 2 18" xfId="14946" xr:uid="{00000000-0005-0000-0000-00003D710000}"/>
    <cellStyle name="Note 2 18 2" xfId="27366" xr:uid="{00000000-0005-0000-0000-00003E710000}"/>
    <cellStyle name="Note 2 18 2 2" xfId="27477" xr:uid="{00000000-0005-0000-0000-00003F710000}"/>
    <cellStyle name="Note 2 18 2 2 2" xfId="27943" xr:uid="{00000000-0005-0000-0000-000040710000}"/>
    <cellStyle name="Note 2 18 2 2 2 2" xfId="28930" xr:uid="{00000000-0005-0000-0000-000041710000}"/>
    <cellStyle name="Note 2 18 2 2 2 2 2" xfId="30890" xr:uid="{00000000-0005-0000-0000-000042710000}"/>
    <cellStyle name="Note 2 18 2 2 2 3" xfId="29910" xr:uid="{00000000-0005-0000-0000-000043710000}"/>
    <cellStyle name="Note 2 18 2 2 3" xfId="28465" xr:uid="{00000000-0005-0000-0000-000044710000}"/>
    <cellStyle name="Note 2 18 2 2 3 2" xfId="30425" xr:uid="{00000000-0005-0000-0000-000045710000}"/>
    <cellStyle name="Note 2 18 2 2 4" xfId="29445" xr:uid="{00000000-0005-0000-0000-000046710000}"/>
    <cellStyle name="Note 2 18 2 3" xfId="27575" xr:uid="{00000000-0005-0000-0000-000047710000}"/>
    <cellStyle name="Note 2 18 2 3 2" xfId="28041" xr:uid="{00000000-0005-0000-0000-000048710000}"/>
    <cellStyle name="Note 2 18 2 3 2 2" xfId="29028" xr:uid="{00000000-0005-0000-0000-000049710000}"/>
    <cellStyle name="Note 2 18 2 3 2 2 2" xfId="30988" xr:uid="{00000000-0005-0000-0000-00004A710000}"/>
    <cellStyle name="Note 2 18 2 3 2 3" xfId="30008" xr:uid="{00000000-0005-0000-0000-00004B710000}"/>
    <cellStyle name="Note 2 18 2 3 3" xfId="27820" xr:uid="{00000000-0005-0000-0000-00004C710000}"/>
    <cellStyle name="Note 2 18 2 3 3 2" xfId="28807" xr:uid="{00000000-0005-0000-0000-00004D710000}"/>
    <cellStyle name="Note 2 18 2 3 3 2 2" xfId="30767" xr:uid="{00000000-0005-0000-0000-00004E710000}"/>
    <cellStyle name="Note 2 18 2 3 3 3" xfId="29787" xr:uid="{00000000-0005-0000-0000-00004F710000}"/>
    <cellStyle name="Note 2 18 2 3 4" xfId="28563" xr:uid="{00000000-0005-0000-0000-000050710000}"/>
    <cellStyle name="Note 2 18 2 3 4 2" xfId="30523" xr:uid="{00000000-0005-0000-0000-000051710000}"/>
    <cellStyle name="Note 2 18 2 3 5" xfId="29543" xr:uid="{00000000-0005-0000-0000-000052710000}"/>
    <cellStyle name="Note 2 18 2 4" xfId="27673" xr:uid="{00000000-0005-0000-0000-000053710000}"/>
    <cellStyle name="Note 2 18 2 4 2" xfId="28139" xr:uid="{00000000-0005-0000-0000-000054710000}"/>
    <cellStyle name="Note 2 18 2 4 2 2" xfId="29126" xr:uid="{00000000-0005-0000-0000-000055710000}"/>
    <cellStyle name="Note 2 18 2 4 2 2 2" xfId="31086" xr:uid="{00000000-0005-0000-0000-000056710000}"/>
    <cellStyle name="Note 2 18 2 4 2 3" xfId="30106" xr:uid="{00000000-0005-0000-0000-000057710000}"/>
    <cellStyle name="Note 2 18 2 4 3" xfId="28278" xr:uid="{00000000-0005-0000-0000-000058710000}"/>
    <cellStyle name="Note 2 18 2 4 3 2" xfId="29265" xr:uid="{00000000-0005-0000-0000-000059710000}"/>
    <cellStyle name="Note 2 18 2 4 3 2 2" xfId="31225" xr:uid="{00000000-0005-0000-0000-00005A710000}"/>
    <cellStyle name="Note 2 18 2 4 3 3" xfId="30245" xr:uid="{00000000-0005-0000-0000-00005B710000}"/>
    <cellStyle name="Note 2 18 2 4 4" xfId="28661" xr:uid="{00000000-0005-0000-0000-00005C710000}"/>
    <cellStyle name="Note 2 18 2 4 4 2" xfId="30621" xr:uid="{00000000-0005-0000-0000-00005D710000}"/>
    <cellStyle name="Note 2 18 2 4 5" xfId="29641" xr:uid="{00000000-0005-0000-0000-00005E710000}"/>
    <cellStyle name="Note 2 18 2 5" xfId="27845" xr:uid="{00000000-0005-0000-0000-00005F710000}"/>
    <cellStyle name="Note 2 18 2 5 2" xfId="28832" xr:uid="{00000000-0005-0000-0000-000060710000}"/>
    <cellStyle name="Note 2 18 2 5 2 2" xfId="30792" xr:uid="{00000000-0005-0000-0000-000061710000}"/>
    <cellStyle name="Note 2 18 2 5 3" xfId="29812" xr:uid="{00000000-0005-0000-0000-000062710000}"/>
    <cellStyle name="Note 2 18 2 6" xfId="28367" xr:uid="{00000000-0005-0000-0000-000063710000}"/>
    <cellStyle name="Note 2 18 2 6 2" xfId="30327" xr:uid="{00000000-0005-0000-0000-000064710000}"/>
    <cellStyle name="Note 2 18 2 7" xfId="29347" xr:uid="{00000000-0005-0000-0000-000065710000}"/>
    <cellStyle name="Note 2 18 2 8" xfId="31307" xr:uid="{00000000-0005-0000-0000-000066710000}"/>
    <cellStyle name="Note 2 18 3" xfId="27433" xr:uid="{00000000-0005-0000-0000-000067710000}"/>
    <cellStyle name="Note 2 18 3 2" xfId="27899" xr:uid="{00000000-0005-0000-0000-000068710000}"/>
    <cellStyle name="Note 2 18 3 2 2" xfId="28886" xr:uid="{00000000-0005-0000-0000-000069710000}"/>
    <cellStyle name="Note 2 18 3 2 2 2" xfId="30846" xr:uid="{00000000-0005-0000-0000-00006A710000}"/>
    <cellStyle name="Note 2 18 3 2 3" xfId="29866" xr:uid="{00000000-0005-0000-0000-00006B710000}"/>
    <cellStyle name="Note 2 18 3 3" xfId="28421" xr:uid="{00000000-0005-0000-0000-00006C710000}"/>
    <cellStyle name="Note 2 18 3 3 2" xfId="30381" xr:uid="{00000000-0005-0000-0000-00006D710000}"/>
    <cellStyle name="Note 2 18 3 4" xfId="29401" xr:uid="{00000000-0005-0000-0000-00006E710000}"/>
    <cellStyle name="Note 2 18 4" xfId="27531" xr:uid="{00000000-0005-0000-0000-00006F710000}"/>
    <cellStyle name="Note 2 18 4 2" xfId="27997" xr:uid="{00000000-0005-0000-0000-000070710000}"/>
    <cellStyle name="Note 2 18 4 2 2" xfId="28984" xr:uid="{00000000-0005-0000-0000-000071710000}"/>
    <cellStyle name="Note 2 18 4 2 2 2" xfId="30944" xr:uid="{00000000-0005-0000-0000-000072710000}"/>
    <cellStyle name="Note 2 18 4 2 3" xfId="29964" xr:uid="{00000000-0005-0000-0000-000073710000}"/>
    <cellStyle name="Note 2 18 4 3" xfId="27742" xr:uid="{00000000-0005-0000-0000-000074710000}"/>
    <cellStyle name="Note 2 18 4 3 2" xfId="28730" xr:uid="{00000000-0005-0000-0000-000075710000}"/>
    <cellStyle name="Note 2 18 4 3 2 2" xfId="30690" xr:uid="{00000000-0005-0000-0000-000076710000}"/>
    <cellStyle name="Note 2 18 4 3 3" xfId="29710" xr:uid="{00000000-0005-0000-0000-000077710000}"/>
    <cellStyle name="Note 2 18 4 4" xfId="28519" xr:uid="{00000000-0005-0000-0000-000078710000}"/>
    <cellStyle name="Note 2 18 4 4 2" xfId="30479" xr:uid="{00000000-0005-0000-0000-000079710000}"/>
    <cellStyle name="Note 2 18 4 5" xfId="29499" xr:uid="{00000000-0005-0000-0000-00007A710000}"/>
    <cellStyle name="Note 2 18 5" xfId="27629" xr:uid="{00000000-0005-0000-0000-00007B710000}"/>
    <cellStyle name="Note 2 18 5 2" xfId="28095" xr:uid="{00000000-0005-0000-0000-00007C710000}"/>
    <cellStyle name="Note 2 18 5 2 2" xfId="29082" xr:uid="{00000000-0005-0000-0000-00007D710000}"/>
    <cellStyle name="Note 2 18 5 2 2 2" xfId="31042" xr:uid="{00000000-0005-0000-0000-00007E710000}"/>
    <cellStyle name="Note 2 18 5 2 3" xfId="30062" xr:uid="{00000000-0005-0000-0000-00007F710000}"/>
    <cellStyle name="Note 2 18 5 3" xfId="27739" xr:uid="{00000000-0005-0000-0000-000080710000}"/>
    <cellStyle name="Note 2 18 5 3 2" xfId="28727" xr:uid="{00000000-0005-0000-0000-000081710000}"/>
    <cellStyle name="Note 2 18 5 3 2 2" xfId="30687" xr:uid="{00000000-0005-0000-0000-000082710000}"/>
    <cellStyle name="Note 2 18 5 3 3" xfId="29707" xr:uid="{00000000-0005-0000-0000-000083710000}"/>
    <cellStyle name="Note 2 18 5 4" xfId="28617" xr:uid="{00000000-0005-0000-0000-000084710000}"/>
    <cellStyle name="Note 2 18 5 4 2" xfId="30577" xr:uid="{00000000-0005-0000-0000-000085710000}"/>
    <cellStyle name="Note 2 18 5 5" xfId="29597" xr:uid="{00000000-0005-0000-0000-000086710000}"/>
    <cellStyle name="Note 2 18 6" xfId="27769" xr:uid="{00000000-0005-0000-0000-000087710000}"/>
    <cellStyle name="Note 2 18 6 2" xfId="28757" xr:uid="{00000000-0005-0000-0000-000088710000}"/>
    <cellStyle name="Note 2 18 6 2 2" xfId="30717" xr:uid="{00000000-0005-0000-0000-000089710000}"/>
    <cellStyle name="Note 2 18 6 3" xfId="29737" xr:uid="{00000000-0005-0000-0000-00008A710000}"/>
    <cellStyle name="Note 2 18 7" xfId="28323" xr:uid="{00000000-0005-0000-0000-00008B710000}"/>
    <cellStyle name="Note 2 18 7 2" xfId="30283" xr:uid="{00000000-0005-0000-0000-00008C710000}"/>
    <cellStyle name="Note 2 18 8" xfId="29303" xr:uid="{00000000-0005-0000-0000-00008D710000}"/>
    <cellStyle name="Note 2 18 9" xfId="31263" xr:uid="{00000000-0005-0000-0000-00008E710000}"/>
    <cellStyle name="Note 2 19" xfId="14997" xr:uid="{00000000-0005-0000-0000-00008F710000}"/>
    <cellStyle name="Note 2 19 2" xfId="27382" xr:uid="{00000000-0005-0000-0000-000090710000}"/>
    <cellStyle name="Note 2 19 2 2" xfId="27493" xr:uid="{00000000-0005-0000-0000-000091710000}"/>
    <cellStyle name="Note 2 19 2 2 2" xfId="27959" xr:uid="{00000000-0005-0000-0000-000092710000}"/>
    <cellStyle name="Note 2 19 2 2 2 2" xfId="28946" xr:uid="{00000000-0005-0000-0000-000093710000}"/>
    <cellStyle name="Note 2 19 2 2 2 2 2" xfId="30906" xr:uid="{00000000-0005-0000-0000-000094710000}"/>
    <cellStyle name="Note 2 19 2 2 2 3" xfId="29926" xr:uid="{00000000-0005-0000-0000-000095710000}"/>
    <cellStyle name="Note 2 19 2 2 3" xfId="28481" xr:uid="{00000000-0005-0000-0000-000096710000}"/>
    <cellStyle name="Note 2 19 2 2 3 2" xfId="30441" xr:uid="{00000000-0005-0000-0000-000097710000}"/>
    <cellStyle name="Note 2 19 2 2 4" xfId="29461" xr:uid="{00000000-0005-0000-0000-000098710000}"/>
    <cellStyle name="Note 2 19 2 3" xfId="27591" xr:uid="{00000000-0005-0000-0000-000099710000}"/>
    <cellStyle name="Note 2 19 2 3 2" xfId="28057" xr:uid="{00000000-0005-0000-0000-00009A710000}"/>
    <cellStyle name="Note 2 19 2 3 2 2" xfId="29044" xr:uid="{00000000-0005-0000-0000-00009B710000}"/>
    <cellStyle name="Note 2 19 2 3 2 2 2" xfId="31004" xr:uid="{00000000-0005-0000-0000-00009C710000}"/>
    <cellStyle name="Note 2 19 2 3 2 3" xfId="30024" xr:uid="{00000000-0005-0000-0000-00009D710000}"/>
    <cellStyle name="Note 2 19 2 3 3" xfId="27755" xr:uid="{00000000-0005-0000-0000-00009E710000}"/>
    <cellStyle name="Note 2 19 2 3 3 2" xfId="28743" xr:uid="{00000000-0005-0000-0000-00009F710000}"/>
    <cellStyle name="Note 2 19 2 3 3 2 2" xfId="30703" xr:uid="{00000000-0005-0000-0000-0000A0710000}"/>
    <cellStyle name="Note 2 19 2 3 3 3" xfId="29723" xr:uid="{00000000-0005-0000-0000-0000A1710000}"/>
    <cellStyle name="Note 2 19 2 3 4" xfId="28579" xr:uid="{00000000-0005-0000-0000-0000A2710000}"/>
    <cellStyle name="Note 2 19 2 3 4 2" xfId="30539" xr:uid="{00000000-0005-0000-0000-0000A3710000}"/>
    <cellStyle name="Note 2 19 2 3 5" xfId="29559" xr:uid="{00000000-0005-0000-0000-0000A4710000}"/>
    <cellStyle name="Note 2 19 2 4" xfId="27689" xr:uid="{00000000-0005-0000-0000-0000A5710000}"/>
    <cellStyle name="Note 2 19 2 4 2" xfId="28155" xr:uid="{00000000-0005-0000-0000-0000A6710000}"/>
    <cellStyle name="Note 2 19 2 4 2 2" xfId="29142" xr:uid="{00000000-0005-0000-0000-0000A7710000}"/>
    <cellStyle name="Note 2 19 2 4 2 2 2" xfId="31102" xr:uid="{00000000-0005-0000-0000-0000A8710000}"/>
    <cellStyle name="Note 2 19 2 4 2 3" xfId="30122" xr:uid="{00000000-0005-0000-0000-0000A9710000}"/>
    <cellStyle name="Note 2 19 2 4 3" xfId="28286" xr:uid="{00000000-0005-0000-0000-0000AA710000}"/>
    <cellStyle name="Note 2 19 2 4 3 2" xfId="29273" xr:uid="{00000000-0005-0000-0000-0000AB710000}"/>
    <cellStyle name="Note 2 19 2 4 3 2 2" xfId="31233" xr:uid="{00000000-0005-0000-0000-0000AC710000}"/>
    <cellStyle name="Note 2 19 2 4 3 3" xfId="30253" xr:uid="{00000000-0005-0000-0000-0000AD710000}"/>
    <cellStyle name="Note 2 19 2 4 4" xfId="28677" xr:uid="{00000000-0005-0000-0000-0000AE710000}"/>
    <cellStyle name="Note 2 19 2 4 4 2" xfId="30637" xr:uid="{00000000-0005-0000-0000-0000AF710000}"/>
    <cellStyle name="Note 2 19 2 4 5" xfId="29657" xr:uid="{00000000-0005-0000-0000-0000B0710000}"/>
    <cellStyle name="Note 2 19 2 5" xfId="27861" xr:uid="{00000000-0005-0000-0000-0000B1710000}"/>
    <cellStyle name="Note 2 19 2 5 2" xfId="28848" xr:uid="{00000000-0005-0000-0000-0000B2710000}"/>
    <cellStyle name="Note 2 19 2 5 2 2" xfId="30808" xr:uid="{00000000-0005-0000-0000-0000B3710000}"/>
    <cellStyle name="Note 2 19 2 5 3" xfId="29828" xr:uid="{00000000-0005-0000-0000-0000B4710000}"/>
    <cellStyle name="Note 2 19 2 6" xfId="28383" xr:uid="{00000000-0005-0000-0000-0000B5710000}"/>
    <cellStyle name="Note 2 19 2 6 2" xfId="30343" xr:uid="{00000000-0005-0000-0000-0000B6710000}"/>
    <cellStyle name="Note 2 19 2 7" xfId="29363" xr:uid="{00000000-0005-0000-0000-0000B7710000}"/>
    <cellStyle name="Note 2 19 2 8" xfId="31323" xr:uid="{00000000-0005-0000-0000-0000B8710000}"/>
    <cellStyle name="Note 2 19 3" xfId="27449" xr:uid="{00000000-0005-0000-0000-0000B9710000}"/>
    <cellStyle name="Note 2 19 3 2" xfId="27915" xr:uid="{00000000-0005-0000-0000-0000BA710000}"/>
    <cellStyle name="Note 2 19 3 2 2" xfId="28902" xr:uid="{00000000-0005-0000-0000-0000BB710000}"/>
    <cellStyle name="Note 2 19 3 2 2 2" xfId="30862" xr:uid="{00000000-0005-0000-0000-0000BC710000}"/>
    <cellStyle name="Note 2 19 3 2 3" xfId="29882" xr:uid="{00000000-0005-0000-0000-0000BD710000}"/>
    <cellStyle name="Note 2 19 3 3" xfId="28437" xr:uid="{00000000-0005-0000-0000-0000BE710000}"/>
    <cellStyle name="Note 2 19 3 3 2" xfId="30397" xr:uid="{00000000-0005-0000-0000-0000BF710000}"/>
    <cellStyle name="Note 2 19 3 4" xfId="29417" xr:uid="{00000000-0005-0000-0000-0000C0710000}"/>
    <cellStyle name="Note 2 19 4" xfId="27547" xr:uid="{00000000-0005-0000-0000-0000C1710000}"/>
    <cellStyle name="Note 2 19 4 2" xfId="28013" xr:uid="{00000000-0005-0000-0000-0000C2710000}"/>
    <cellStyle name="Note 2 19 4 2 2" xfId="29000" xr:uid="{00000000-0005-0000-0000-0000C3710000}"/>
    <cellStyle name="Note 2 19 4 2 2 2" xfId="30960" xr:uid="{00000000-0005-0000-0000-0000C4710000}"/>
    <cellStyle name="Note 2 19 4 2 3" xfId="29980" xr:uid="{00000000-0005-0000-0000-0000C5710000}"/>
    <cellStyle name="Note 2 19 4 3" xfId="27745" xr:uid="{00000000-0005-0000-0000-0000C6710000}"/>
    <cellStyle name="Note 2 19 4 3 2" xfId="28733" xr:uid="{00000000-0005-0000-0000-0000C7710000}"/>
    <cellStyle name="Note 2 19 4 3 2 2" xfId="30693" xr:uid="{00000000-0005-0000-0000-0000C8710000}"/>
    <cellStyle name="Note 2 19 4 3 3" xfId="29713" xr:uid="{00000000-0005-0000-0000-0000C9710000}"/>
    <cellStyle name="Note 2 19 4 4" xfId="28535" xr:uid="{00000000-0005-0000-0000-0000CA710000}"/>
    <cellStyle name="Note 2 19 4 4 2" xfId="30495" xr:uid="{00000000-0005-0000-0000-0000CB710000}"/>
    <cellStyle name="Note 2 19 4 5" xfId="29515" xr:uid="{00000000-0005-0000-0000-0000CC710000}"/>
    <cellStyle name="Note 2 19 5" xfId="27645" xr:uid="{00000000-0005-0000-0000-0000CD710000}"/>
    <cellStyle name="Note 2 19 5 2" xfId="28111" xr:uid="{00000000-0005-0000-0000-0000CE710000}"/>
    <cellStyle name="Note 2 19 5 2 2" xfId="29098" xr:uid="{00000000-0005-0000-0000-0000CF710000}"/>
    <cellStyle name="Note 2 19 5 2 2 2" xfId="31058" xr:uid="{00000000-0005-0000-0000-0000D0710000}"/>
    <cellStyle name="Note 2 19 5 2 3" xfId="30078" xr:uid="{00000000-0005-0000-0000-0000D1710000}"/>
    <cellStyle name="Note 2 19 5 3" xfId="28258" xr:uid="{00000000-0005-0000-0000-0000D2710000}"/>
    <cellStyle name="Note 2 19 5 3 2" xfId="29245" xr:uid="{00000000-0005-0000-0000-0000D3710000}"/>
    <cellStyle name="Note 2 19 5 3 2 2" xfId="31205" xr:uid="{00000000-0005-0000-0000-0000D4710000}"/>
    <cellStyle name="Note 2 19 5 3 3" xfId="30225" xr:uid="{00000000-0005-0000-0000-0000D5710000}"/>
    <cellStyle name="Note 2 19 5 4" xfId="28633" xr:uid="{00000000-0005-0000-0000-0000D6710000}"/>
    <cellStyle name="Note 2 19 5 4 2" xfId="30593" xr:uid="{00000000-0005-0000-0000-0000D7710000}"/>
    <cellStyle name="Note 2 19 5 5" xfId="29613" xr:uid="{00000000-0005-0000-0000-0000D8710000}"/>
    <cellStyle name="Note 2 19 6" xfId="27785" xr:uid="{00000000-0005-0000-0000-0000D9710000}"/>
    <cellStyle name="Note 2 19 6 2" xfId="28773" xr:uid="{00000000-0005-0000-0000-0000DA710000}"/>
    <cellStyle name="Note 2 19 6 2 2" xfId="30733" xr:uid="{00000000-0005-0000-0000-0000DB710000}"/>
    <cellStyle name="Note 2 19 6 3" xfId="29753" xr:uid="{00000000-0005-0000-0000-0000DC710000}"/>
    <cellStyle name="Note 2 19 7" xfId="28339" xr:uid="{00000000-0005-0000-0000-0000DD710000}"/>
    <cellStyle name="Note 2 19 7 2" xfId="30299" xr:uid="{00000000-0005-0000-0000-0000DE710000}"/>
    <cellStyle name="Note 2 19 8" xfId="29319" xr:uid="{00000000-0005-0000-0000-0000DF710000}"/>
    <cellStyle name="Note 2 19 9" xfId="31279" xr:uid="{00000000-0005-0000-0000-0000E0710000}"/>
    <cellStyle name="Note 2 2" xfId="1621" xr:uid="{00000000-0005-0000-0000-0000E1710000}"/>
    <cellStyle name="Note 2 2 2" xfId="27179" xr:uid="{00000000-0005-0000-0000-0000E2710000}"/>
    <cellStyle name="Note 2 20" xfId="27423" xr:uid="{00000000-0005-0000-0000-0000E3710000}"/>
    <cellStyle name="Note 2 20 2" xfId="27889" xr:uid="{00000000-0005-0000-0000-0000E4710000}"/>
    <cellStyle name="Note 2 20 2 2" xfId="28876" xr:uid="{00000000-0005-0000-0000-0000E5710000}"/>
    <cellStyle name="Note 2 20 2 2 2" xfId="30836" xr:uid="{00000000-0005-0000-0000-0000E6710000}"/>
    <cellStyle name="Note 2 20 2 3" xfId="29856" xr:uid="{00000000-0005-0000-0000-0000E7710000}"/>
    <cellStyle name="Note 2 20 3" xfId="28411" xr:uid="{00000000-0005-0000-0000-0000E8710000}"/>
    <cellStyle name="Note 2 20 3 2" xfId="30371" xr:uid="{00000000-0005-0000-0000-0000E9710000}"/>
    <cellStyle name="Note 2 20 4" xfId="29391" xr:uid="{00000000-0005-0000-0000-0000EA710000}"/>
    <cellStyle name="Note 2 21" xfId="27521" xr:uid="{00000000-0005-0000-0000-0000EB710000}"/>
    <cellStyle name="Note 2 21 2" xfId="27987" xr:uid="{00000000-0005-0000-0000-0000EC710000}"/>
    <cellStyle name="Note 2 21 2 2" xfId="28974" xr:uid="{00000000-0005-0000-0000-0000ED710000}"/>
    <cellStyle name="Note 2 21 2 2 2" xfId="30934" xr:uid="{00000000-0005-0000-0000-0000EE710000}"/>
    <cellStyle name="Note 2 21 2 3" xfId="29954" xr:uid="{00000000-0005-0000-0000-0000EF710000}"/>
    <cellStyle name="Note 2 21 3" xfId="27726" xr:uid="{00000000-0005-0000-0000-0000F0710000}"/>
    <cellStyle name="Note 2 21 3 2" xfId="28714" xr:uid="{00000000-0005-0000-0000-0000F1710000}"/>
    <cellStyle name="Note 2 21 3 2 2" xfId="30674" xr:uid="{00000000-0005-0000-0000-0000F2710000}"/>
    <cellStyle name="Note 2 21 3 3" xfId="29694" xr:uid="{00000000-0005-0000-0000-0000F3710000}"/>
    <cellStyle name="Note 2 21 4" xfId="28509" xr:uid="{00000000-0005-0000-0000-0000F4710000}"/>
    <cellStyle name="Note 2 21 4 2" xfId="30469" xr:uid="{00000000-0005-0000-0000-0000F5710000}"/>
    <cellStyle name="Note 2 21 5" xfId="29489" xr:uid="{00000000-0005-0000-0000-0000F6710000}"/>
    <cellStyle name="Note 2 22" xfId="27619" xr:uid="{00000000-0005-0000-0000-0000F7710000}"/>
    <cellStyle name="Note 2 22 2" xfId="28085" xr:uid="{00000000-0005-0000-0000-0000F8710000}"/>
    <cellStyle name="Note 2 22 2 2" xfId="29072" xr:uid="{00000000-0005-0000-0000-0000F9710000}"/>
    <cellStyle name="Note 2 22 2 2 2" xfId="31032" xr:uid="{00000000-0005-0000-0000-0000FA710000}"/>
    <cellStyle name="Note 2 22 2 3" xfId="30052" xr:uid="{00000000-0005-0000-0000-0000FB710000}"/>
    <cellStyle name="Note 2 22 3" xfId="27736" xr:uid="{00000000-0005-0000-0000-0000FC710000}"/>
    <cellStyle name="Note 2 22 3 2" xfId="28724" xr:uid="{00000000-0005-0000-0000-0000FD710000}"/>
    <cellStyle name="Note 2 22 3 2 2" xfId="30684" xr:uid="{00000000-0005-0000-0000-0000FE710000}"/>
    <cellStyle name="Note 2 22 3 3" xfId="29704" xr:uid="{00000000-0005-0000-0000-0000FF710000}"/>
    <cellStyle name="Note 2 22 4" xfId="28607" xr:uid="{00000000-0005-0000-0000-000000720000}"/>
    <cellStyle name="Note 2 22 4 2" xfId="30567" xr:uid="{00000000-0005-0000-0000-000001720000}"/>
    <cellStyle name="Note 2 22 5" xfId="29587" xr:uid="{00000000-0005-0000-0000-000002720000}"/>
    <cellStyle name="Note 2 23" xfId="27718" xr:uid="{00000000-0005-0000-0000-000003720000}"/>
    <cellStyle name="Note 2 23 2" xfId="28706" xr:uid="{00000000-0005-0000-0000-000004720000}"/>
    <cellStyle name="Note 2 23 2 2" xfId="30666" xr:uid="{00000000-0005-0000-0000-000005720000}"/>
    <cellStyle name="Note 2 23 3" xfId="29686" xr:uid="{00000000-0005-0000-0000-000006720000}"/>
    <cellStyle name="Note 2 24" xfId="28313" xr:uid="{00000000-0005-0000-0000-000007720000}"/>
    <cellStyle name="Note 2 24 2" xfId="30273" xr:uid="{00000000-0005-0000-0000-000008720000}"/>
    <cellStyle name="Note 2 25" xfId="29293" xr:uid="{00000000-0005-0000-0000-000009720000}"/>
    <cellStyle name="Note 2 26" xfId="31253" xr:uid="{00000000-0005-0000-0000-00000A720000}"/>
    <cellStyle name="Note 2 3" xfId="1622" xr:uid="{00000000-0005-0000-0000-00000B720000}"/>
    <cellStyle name="Note 2 3 2" xfId="27180" xr:uid="{00000000-0005-0000-0000-00000C720000}"/>
    <cellStyle name="Note 2 4" xfId="1623" xr:uid="{00000000-0005-0000-0000-00000D720000}"/>
    <cellStyle name="Note 2 4 2" xfId="27181" xr:uid="{00000000-0005-0000-0000-00000E720000}"/>
    <cellStyle name="Note 2 5" xfId="1624" xr:uid="{00000000-0005-0000-0000-00000F720000}"/>
    <cellStyle name="Note 2 5 2" xfId="27182" xr:uid="{00000000-0005-0000-0000-000010720000}"/>
    <cellStyle name="Note 2 6" xfId="1625" xr:uid="{00000000-0005-0000-0000-000011720000}"/>
    <cellStyle name="Note 2 6 2" xfId="27183" xr:uid="{00000000-0005-0000-0000-000012720000}"/>
    <cellStyle name="Note 2 7" xfId="1626" xr:uid="{00000000-0005-0000-0000-000013720000}"/>
    <cellStyle name="Note 2 7 2" xfId="27184" xr:uid="{00000000-0005-0000-0000-000014720000}"/>
    <cellStyle name="Note 2 8" xfId="3202" xr:uid="{00000000-0005-0000-0000-000015720000}"/>
    <cellStyle name="Note 2 9" xfId="3203" xr:uid="{00000000-0005-0000-0000-000016720000}"/>
    <cellStyle name="Note 20" xfId="3204" xr:uid="{00000000-0005-0000-0000-000017720000}"/>
    <cellStyle name="Note 20 2" xfId="27356" xr:uid="{00000000-0005-0000-0000-000018720000}"/>
    <cellStyle name="Note 21" xfId="3205" xr:uid="{00000000-0005-0000-0000-000019720000}"/>
    <cellStyle name="Note 21 2" xfId="27357" xr:uid="{00000000-0005-0000-0000-00001A720000}"/>
    <cellStyle name="Note 22" xfId="3206" xr:uid="{00000000-0005-0000-0000-00001B720000}"/>
    <cellStyle name="Note 22 2" xfId="27358" xr:uid="{00000000-0005-0000-0000-00001C720000}"/>
    <cellStyle name="Note 23" xfId="3207" xr:uid="{00000000-0005-0000-0000-00001D720000}"/>
    <cellStyle name="Note 23 2" xfId="27359" xr:uid="{00000000-0005-0000-0000-00001E720000}"/>
    <cellStyle name="Note 24" xfId="3208" xr:uid="{00000000-0005-0000-0000-00001F720000}"/>
    <cellStyle name="Note 24 2" xfId="27360" xr:uid="{00000000-0005-0000-0000-000020720000}"/>
    <cellStyle name="Note 25" xfId="27178" xr:uid="{00000000-0005-0000-0000-000021720000}"/>
    <cellStyle name="Note 26" xfId="28307" xr:uid="{00000000-0005-0000-0000-000022720000}"/>
    <cellStyle name="Note 3" xfId="1627" xr:uid="{00000000-0005-0000-0000-000023720000}"/>
    <cellStyle name="Note 3 10" xfId="14947" xr:uid="{00000000-0005-0000-0000-000024720000}"/>
    <cellStyle name="Note 3 10 2" xfId="27367" xr:uid="{00000000-0005-0000-0000-000025720000}"/>
    <cellStyle name="Note 3 10 2 2" xfId="27478" xr:uid="{00000000-0005-0000-0000-000026720000}"/>
    <cellStyle name="Note 3 10 2 2 2" xfId="27944" xr:uid="{00000000-0005-0000-0000-000027720000}"/>
    <cellStyle name="Note 3 10 2 2 2 2" xfId="28931" xr:uid="{00000000-0005-0000-0000-000028720000}"/>
    <cellStyle name="Note 3 10 2 2 2 2 2" xfId="30891" xr:uid="{00000000-0005-0000-0000-000029720000}"/>
    <cellStyle name="Note 3 10 2 2 2 3" xfId="29911" xr:uid="{00000000-0005-0000-0000-00002A720000}"/>
    <cellStyle name="Note 3 10 2 2 3" xfId="28466" xr:uid="{00000000-0005-0000-0000-00002B720000}"/>
    <cellStyle name="Note 3 10 2 2 3 2" xfId="30426" xr:uid="{00000000-0005-0000-0000-00002C720000}"/>
    <cellStyle name="Note 3 10 2 2 4" xfId="29446" xr:uid="{00000000-0005-0000-0000-00002D720000}"/>
    <cellStyle name="Note 3 10 2 3" xfId="27576" xr:uid="{00000000-0005-0000-0000-00002E720000}"/>
    <cellStyle name="Note 3 10 2 3 2" xfId="28042" xr:uid="{00000000-0005-0000-0000-00002F720000}"/>
    <cellStyle name="Note 3 10 2 3 2 2" xfId="29029" xr:uid="{00000000-0005-0000-0000-000030720000}"/>
    <cellStyle name="Note 3 10 2 3 2 2 2" xfId="30989" xr:uid="{00000000-0005-0000-0000-000031720000}"/>
    <cellStyle name="Note 3 10 2 3 2 3" xfId="30009" xr:uid="{00000000-0005-0000-0000-000032720000}"/>
    <cellStyle name="Note 3 10 2 3 3" xfId="27752" xr:uid="{00000000-0005-0000-0000-000033720000}"/>
    <cellStyle name="Note 3 10 2 3 3 2" xfId="28740" xr:uid="{00000000-0005-0000-0000-000034720000}"/>
    <cellStyle name="Note 3 10 2 3 3 2 2" xfId="30700" xr:uid="{00000000-0005-0000-0000-000035720000}"/>
    <cellStyle name="Note 3 10 2 3 3 3" xfId="29720" xr:uid="{00000000-0005-0000-0000-000036720000}"/>
    <cellStyle name="Note 3 10 2 3 4" xfId="28564" xr:uid="{00000000-0005-0000-0000-000037720000}"/>
    <cellStyle name="Note 3 10 2 3 4 2" xfId="30524" xr:uid="{00000000-0005-0000-0000-000038720000}"/>
    <cellStyle name="Note 3 10 2 3 5" xfId="29544" xr:uid="{00000000-0005-0000-0000-000039720000}"/>
    <cellStyle name="Note 3 10 2 4" xfId="27674" xr:uid="{00000000-0005-0000-0000-00003A720000}"/>
    <cellStyle name="Note 3 10 2 4 2" xfId="28140" xr:uid="{00000000-0005-0000-0000-00003B720000}"/>
    <cellStyle name="Note 3 10 2 4 2 2" xfId="29127" xr:uid="{00000000-0005-0000-0000-00003C720000}"/>
    <cellStyle name="Note 3 10 2 4 2 2 2" xfId="31087" xr:uid="{00000000-0005-0000-0000-00003D720000}"/>
    <cellStyle name="Note 3 10 2 4 2 3" xfId="30107" xr:uid="{00000000-0005-0000-0000-00003E720000}"/>
    <cellStyle name="Note 3 10 2 4 3" xfId="28279" xr:uid="{00000000-0005-0000-0000-00003F720000}"/>
    <cellStyle name="Note 3 10 2 4 3 2" xfId="29266" xr:uid="{00000000-0005-0000-0000-000040720000}"/>
    <cellStyle name="Note 3 10 2 4 3 2 2" xfId="31226" xr:uid="{00000000-0005-0000-0000-000041720000}"/>
    <cellStyle name="Note 3 10 2 4 3 3" xfId="30246" xr:uid="{00000000-0005-0000-0000-000042720000}"/>
    <cellStyle name="Note 3 10 2 4 4" xfId="28662" xr:uid="{00000000-0005-0000-0000-000043720000}"/>
    <cellStyle name="Note 3 10 2 4 4 2" xfId="30622" xr:uid="{00000000-0005-0000-0000-000044720000}"/>
    <cellStyle name="Note 3 10 2 4 5" xfId="29642" xr:uid="{00000000-0005-0000-0000-000045720000}"/>
    <cellStyle name="Note 3 10 2 5" xfId="27846" xr:uid="{00000000-0005-0000-0000-000046720000}"/>
    <cellStyle name="Note 3 10 2 5 2" xfId="28833" xr:uid="{00000000-0005-0000-0000-000047720000}"/>
    <cellStyle name="Note 3 10 2 5 2 2" xfId="30793" xr:uid="{00000000-0005-0000-0000-000048720000}"/>
    <cellStyle name="Note 3 10 2 5 3" xfId="29813" xr:uid="{00000000-0005-0000-0000-000049720000}"/>
    <cellStyle name="Note 3 10 2 6" xfId="28368" xr:uid="{00000000-0005-0000-0000-00004A720000}"/>
    <cellStyle name="Note 3 10 2 6 2" xfId="30328" xr:uid="{00000000-0005-0000-0000-00004B720000}"/>
    <cellStyle name="Note 3 10 2 7" xfId="29348" xr:uid="{00000000-0005-0000-0000-00004C720000}"/>
    <cellStyle name="Note 3 10 2 8" xfId="31308" xr:uid="{00000000-0005-0000-0000-00004D720000}"/>
    <cellStyle name="Note 3 10 3" xfId="27434" xr:uid="{00000000-0005-0000-0000-00004E720000}"/>
    <cellStyle name="Note 3 10 3 2" xfId="27900" xr:uid="{00000000-0005-0000-0000-00004F720000}"/>
    <cellStyle name="Note 3 10 3 2 2" xfId="28887" xr:uid="{00000000-0005-0000-0000-000050720000}"/>
    <cellStyle name="Note 3 10 3 2 2 2" xfId="30847" xr:uid="{00000000-0005-0000-0000-000051720000}"/>
    <cellStyle name="Note 3 10 3 2 3" xfId="29867" xr:uid="{00000000-0005-0000-0000-000052720000}"/>
    <cellStyle name="Note 3 10 3 3" xfId="28422" xr:uid="{00000000-0005-0000-0000-000053720000}"/>
    <cellStyle name="Note 3 10 3 3 2" xfId="30382" xr:uid="{00000000-0005-0000-0000-000054720000}"/>
    <cellStyle name="Note 3 10 3 4" xfId="29402" xr:uid="{00000000-0005-0000-0000-000055720000}"/>
    <cellStyle name="Note 3 10 4" xfId="27532" xr:uid="{00000000-0005-0000-0000-000056720000}"/>
    <cellStyle name="Note 3 10 4 2" xfId="27998" xr:uid="{00000000-0005-0000-0000-000057720000}"/>
    <cellStyle name="Note 3 10 4 2 2" xfId="28985" xr:uid="{00000000-0005-0000-0000-000058720000}"/>
    <cellStyle name="Note 3 10 4 2 2 2" xfId="30945" xr:uid="{00000000-0005-0000-0000-000059720000}"/>
    <cellStyle name="Note 3 10 4 2 3" xfId="29965" xr:uid="{00000000-0005-0000-0000-00005A720000}"/>
    <cellStyle name="Note 3 10 4 3" xfId="27812" xr:uid="{00000000-0005-0000-0000-00005B720000}"/>
    <cellStyle name="Note 3 10 4 3 2" xfId="28799" xr:uid="{00000000-0005-0000-0000-00005C720000}"/>
    <cellStyle name="Note 3 10 4 3 2 2" xfId="30759" xr:uid="{00000000-0005-0000-0000-00005D720000}"/>
    <cellStyle name="Note 3 10 4 3 3" xfId="29779" xr:uid="{00000000-0005-0000-0000-00005E720000}"/>
    <cellStyle name="Note 3 10 4 4" xfId="28520" xr:uid="{00000000-0005-0000-0000-00005F720000}"/>
    <cellStyle name="Note 3 10 4 4 2" xfId="30480" xr:uid="{00000000-0005-0000-0000-000060720000}"/>
    <cellStyle name="Note 3 10 4 5" xfId="29500" xr:uid="{00000000-0005-0000-0000-000061720000}"/>
    <cellStyle name="Note 3 10 5" xfId="27630" xr:uid="{00000000-0005-0000-0000-000062720000}"/>
    <cellStyle name="Note 3 10 5 2" xfId="28096" xr:uid="{00000000-0005-0000-0000-000063720000}"/>
    <cellStyle name="Note 3 10 5 2 2" xfId="29083" xr:uid="{00000000-0005-0000-0000-000064720000}"/>
    <cellStyle name="Note 3 10 5 2 2 2" xfId="31043" xr:uid="{00000000-0005-0000-0000-000065720000}"/>
    <cellStyle name="Note 3 10 5 2 3" xfId="30063" xr:uid="{00000000-0005-0000-0000-000066720000}"/>
    <cellStyle name="Note 3 10 5 3" xfId="28251" xr:uid="{00000000-0005-0000-0000-000067720000}"/>
    <cellStyle name="Note 3 10 5 3 2" xfId="29238" xr:uid="{00000000-0005-0000-0000-000068720000}"/>
    <cellStyle name="Note 3 10 5 3 2 2" xfId="31198" xr:uid="{00000000-0005-0000-0000-000069720000}"/>
    <cellStyle name="Note 3 10 5 3 3" xfId="30218" xr:uid="{00000000-0005-0000-0000-00006A720000}"/>
    <cellStyle name="Note 3 10 5 4" xfId="28618" xr:uid="{00000000-0005-0000-0000-00006B720000}"/>
    <cellStyle name="Note 3 10 5 4 2" xfId="30578" xr:uid="{00000000-0005-0000-0000-00006C720000}"/>
    <cellStyle name="Note 3 10 5 5" xfId="29598" xr:uid="{00000000-0005-0000-0000-00006D720000}"/>
    <cellStyle name="Note 3 10 6" xfId="27770" xr:uid="{00000000-0005-0000-0000-00006E720000}"/>
    <cellStyle name="Note 3 10 6 2" xfId="28758" xr:uid="{00000000-0005-0000-0000-00006F720000}"/>
    <cellStyle name="Note 3 10 6 2 2" xfId="30718" xr:uid="{00000000-0005-0000-0000-000070720000}"/>
    <cellStyle name="Note 3 10 6 3" xfId="29738" xr:uid="{00000000-0005-0000-0000-000071720000}"/>
    <cellStyle name="Note 3 10 7" xfId="28324" xr:uid="{00000000-0005-0000-0000-000072720000}"/>
    <cellStyle name="Note 3 10 7 2" xfId="30284" xr:uid="{00000000-0005-0000-0000-000073720000}"/>
    <cellStyle name="Note 3 10 8" xfId="29304" xr:uid="{00000000-0005-0000-0000-000074720000}"/>
    <cellStyle name="Note 3 10 9" xfId="31264" xr:uid="{00000000-0005-0000-0000-000075720000}"/>
    <cellStyle name="Note 3 11" xfId="15016" xr:uid="{00000000-0005-0000-0000-000076720000}"/>
    <cellStyle name="Note 3 11 2" xfId="27401" xr:uid="{00000000-0005-0000-0000-000077720000}"/>
    <cellStyle name="Note 3 11 2 2" xfId="27512" xr:uid="{00000000-0005-0000-0000-000078720000}"/>
    <cellStyle name="Note 3 11 2 2 2" xfId="27978" xr:uid="{00000000-0005-0000-0000-000079720000}"/>
    <cellStyle name="Note 3 11 2 2 2 2" xfId="28965" xr:uid="{00000000-0005-0000-0000-00007A720000}"/>
    <cellStyle name="Note 3 11 2 2 2 2 2" xfId="30925" xr:uid="{00000000-0005-0000-0000-00007B720000}"/>
    <cellStyle name="Note 3 11 2 2 2 3" xfId="29945" xr:uid="{00000000-0005-0000-0000-00007C720000}"/>
    <cellStyle name="Note 3 11 2 2 3" xfId="28500" xr:uid="{00000000-0005-0000-0000-00007D720000}"/>
    <cellStyle name="Note 3 11 2 2 3 2" xfId="30460" xr:uid="{00000000-0005-0000-0000-00007E720000}"/>
    <cellStyle name="Note 3 11 2 2 4" xfId="29480" xr:uid="{00000000-0005-0000-0000-00007F720000}"/>
    <cellStyle name="Note 3 11 2 3" xfId="27610" xr:uid="{00000000-0005-0000-0000-000080720000}"/>
    <cellStyle name="Note 3 11 2 3 2" xfId="28076" xr:uid="{00000000-0005-0000-0000-000081720000}"/>
    <cellStyle name="Note 3 11 2 3 2 2" xfId="29063" xr:uid="{00000000-0005-0000-0000-000082720000}"/>
    <cellStyle name="Note 3 11 2 3 2 2 2" xfId="31023" xr:uid="{00000000-0005-0000-0000-000083720000}"/>
    <cellStyle name="Note 3 11 2 3 2 3" xfId="30043" xr:uid="{00000000-0005-0000-0000-000084720000}"/>
    <cellStyle name="Note 3 11 2 3 3" xfId="27832" xr:uid="{00000000-0005-0000-0000-000085720000}"/>
    <cellStyle name="Note 3 11 2 3 3 2" xfId="28819" xr:uid="{00000000-0005-0000-0000-000086720000}"/>
    <cellStyle name="Note 3 11 2 3 3 2 2" xfId="30779" xr:uid="{00000000-0005-0000-0000-000087720000}"/>
    <cellStyle name="Note 3 11 2 3 3 3" xfId="29799" xr:uid="{00000000-0005-0000-0000-000088720000}"/>
    <cellStyle name="Note 3 11 2 3 4" xfId="28598" xr:uid="{00000000-0005-0000-0000-000089720000}"/>
    <cellStyle name="Note 3 11 2 3 4 2" xfId="30558" xr:uid="{00000000-0005-0000-0000-00008A720000}"/>
    <cellStyle name="Note 3 11 2 3 5" xfId="29578" xr:uid="{00000000-0005-0000-0000-00008B720000}"/>
    <cellStyle name="Note 3 11 2 4" xfId="27708" xr:uid="{00000000-0005-0000-0000-00008C720000}"/>
    <cellStyle name="Note 3 11 2 4 2" xfId="28174" xr:uid="{00000000-0005-0000-0000-00008D720000}"/>
    <cellStyle name="Note 3 11 2 4 2 2" xfId="29161" xr:uid="{00000000-0005-0000-0000-00008E720000}"/>
    <cellStyle name="Note 3 11 2 4 2 2 2" xfId="31121" xr:uid="{00000000-0005-0000-0000-00008F720000}"/>
    <cellStyle name="Note 3 11 2 4 2 3" xfId="30141" xr:uid="{00000000-0005-0000-0000-000090720000}"/>
    <cellStyle name="Note 3 11 2 4 3" xfId="28297" xr:uid="{00000000-0005-0000-0000-000091720000}"/>
    <cellStyle name="Note 3 11 2 4 3 2" xfId="29284" xr:uid="{00000000-0005-0000-0000-000092720000}"/>
    <cellStyle name="Note 3 11 2 4 3 2 2" xfId="31244" xr:uid="{00000000-0005-0000-0000-000093720000}"/>
    <cellStyle name="Note 3 11 2 4 3 3" xfId="30264" xr:uid="{00000000-0005-0000-0000-000094720000}"/>
    <cellStyle name="Note 3 11 2 4 4" xfId="28696" xr:uid="{00000000-0005-0000-0000-000095720000}"/>
    <cellStyle name="Note 3 11 2 4 4 2" xfId="30656" xr:uid="{00000000-0005-0000-0000-000096720000}"/>
    <cellStyle name="Note 3 11 2 4 5" xfId="29676" xr:uid="{00000000-0005-0000-0000-000097720000}"/>
    <cellStyle name="Note 3 11 2 5" xfId="27880" xr:uid="{00000000-0005-0000-0000-000098720000}"/>
    <cellStyle name="Note 3 11 2 5 2" xfId="28867" xr:uid="{00000000-0005-0000-0000-000099720000}"/>
    <cellStyle name="Note 3 11 2 5 2 2" xfId="30827" xr:uid="{00000000-0005-0000-0000-00009A720000}"/>
    <cellStyle name="Note 3 11 2 5 3" xfId="29847" xr:uid="{00000000-0005-0000-0000-00009B720000}"/>
    <cellStyle name="Note 3 11 2 6" xfId="28402" xr:uid="{00000000-0005-0000-0000-00009C720000}"/>
    <cellStyle name="Note 3 11 2 6 2" xfId="30362" xr:uid="{00000000-0005-0000-0000-00009D720000}"/>
    <cellStyle name="Note 3 11 2 7" xfId="29382" xr:uid="{00000000-0005-0000-0000-00009E720000}"/>
    <cellStyle name="Note 3 11 2 8" xfId="31342" xr:uid="{00000000-0005-0000-0000-00009F720000}"/>
    <cellStyle name="Note 3 11 3" xfId="27468" xr:uid="{00000000-0005-0000-0000-0000A0720000}"/>
    <cellStyle name="Note 3 11 3 2" xfId="27934" xr:uid="{00000000-0005-0000-0000-0000A1720000}"/>
    <cellStyle name="Note 3 11 3 2 2" xfId="28921" xr:uid="{00000000-0005-0000-0000-0000A2720000}"/>
    <cellStyle name="Note 3 11 3 2 2 2" xfId="30881" xr:uid="{00000000-0005-0000-0000-0000A3720000}"/>
    <cellStyle name="Note 3 11 3 2 3" xfId="29901" xr:uid="{00000000-0005-0000-0000-0000A4720000}"/>
    <cellStyle name="Note 3 11 3 3" xfId="28456" xr:uid="{00000000-0005-0000-0000-0000A5720000}"/>
    <cellStyle name="Note 3 11 3 3 2" xfId="30416" xr:uid="{00000000-0005-0000-0000-0000A6720000}"/>
    <cellStyle name="Note 3 11 3 4" xfId="29436" xr:uid="{00000000-0005-0000-0000-0000A7720000}"/>
    <cellStyle name="Note 3 11 4" xfId="27566" xr:uid="{00000000-0005-0000-0000-0000A8720000}"/>
    <cellStyle name="Note 3 11 4 2" xfId="28032" xr:uid="{00000000-0005-0000-0000-0000A9720000}"/>
    <cellStyle name="Note 3 11 4 2 2" xfId="29019" xr:uid="{00000000-0005-0000-0000-0000AA720000}"/>
    <cellStyle name="Note 3 11 4 2 2 2" xfId="30979" xr:uid="{00000000-0005-0000-0000-0000AB720000}"/>
    <cellStyle name="Note 3 11 4 2 3" xfId="29999" xr:uid="{00000000-0005-0000-0000-0000AC720000}"/>
    <cellStyle name="Note 3 11 4 3" xfId="27729" xr:uid="{00000000-0005-0000-0000-0000AD720000}"/>
    <cellStyle name="Note 3 11 4 3 2" xfId="28717" xr:uid="{00000000-0005-0000-0000-0000AE720000}"/>
    <cellStyle name="Note 3 11 4 3 2 2" xfId="30677" xr:uid="{00000000-0005-0000-0000-0000AF720000}"/>
    <cellStyle name="Note 3 11 4 3 3" xfId="29697" xr:uid="{00000000-0005-0000-0000-0000B0720000}"/>
    <cellStyle name="Note 3 11 4 4" xfId="28554" xr:uid="{00000000-0005-0000-0000-0000B1720000}"/>
    <cellStyle name="Note 3 11 4 4 2" xfId="30514" xr:uid="{00000000-0005-0000-0000-0000B2720000}"/>
    <cellStyle name="Note 3 11 4 5" xfId="29534" xr:uid="{00000000-0005-0000-0000-0000B3720000}"/>
    <cellStyle name="Note 3 11 5" xfId="27664" xr:uid="{00000000-0005-0000-0000-0000B4720000}"/>
    <cellStyle name="Note 3 11 5 2" xfId="28130" xr:uid="{00000000-0005-0000-0000-0000B5720000}"/>
    <cellStyle name="Note 3 11 5 2 2" xfId="29117" xr:uid="{00000000-0005-0000-0000-0000B6720000}"/>
    <cellStyle name="Note 3 11 5 2 2 2" xfId="31077" xr:uid="{00000000-0005-0000-0000-0000B7720000}"/>
    <cellStyle name="Note 3 11 5 2 3" xfId="30097" xr:uid="{00000000-0005-0000-0000-0000B8720000}"/>
    <cellStyle name="Note 3 11 5 3" xfId="28269" xr:uid="{00000000-0005-0000-0000-0000B9720000}"/>
    <cellStyle name="Note 3 11 5 3 2" xfId="29256" xr:uid="{00000000-0005-0000-0000-0000BA720000}"/>
    <cellStyle name="Note 3 11 5 3 2 2" xfId="31216" xr:uid="{00000000-0005-0000-0000-0000BB720000}"/>
    <cellStyle name="Note 3 11 5 3 3" xfId="30236" xr:uid="{00000000-0005-0000-0000-0000BC720000}"/>
    <cellStyle name="Note 3 11 5 4" xfId="28652" xr:uid="{00000000-0005-0000-0000-0000BD720000}"/>
    <cellStyle name="Note 3 11 5 4 2" xfId="30612" xr:uid="{00000000-0005-0000-0000-0000BE720000}"/>
    <cellStyle name="Note 3 11 5 5" xfId="29632" xr:uid="{00000000-0005-0000-0000-0000BF720000}"/>
    <cellStyle name="Note 3 11 6" xfId="27804" xr:uid="{00000000-0005-0000-0000-0000C0720000}"/>
    <cellStyle name="Note 3 11 6 2" xfId="28792" xr:uid="{00000000-0005-0000-0000-0000C1720000}"/>
    <cellStyle name="Note 3 11 6 2 2" xfId="30752" xr:uid="{00000000-0005-0000-0000-0000C2720000}"/>
    <cellStyle name="Note 3 11 6 3" xfId="29772" xr:uid="{00000000-0005-0000-0000-0000C3720000}"/>
    <cellStyle name="Note 3 11 7" xfId="28358" xr:uid="{00000000-0005-0000-0000-0000C4720000}"/>
    <cellStyle name="Note 3 11 7 2" xfId="30318" xr:uid="{00000000-0005-0000-0000-0000C5720000}"/>
    <cellStyle name="Note 3 11 8" xfId="29338" xr:uid="{00000000-0005-0000-0000-0000C6720000}"/>
    <cellStyle name="Note 3 11 9" xfId="31298" xr:uid="{00000000-0005-0000-0000-0000C7720000}"/>
    <cellStyle name="Note 3 12" xfId="27424" xr:uid="{00000000-0005-0000-0000-0000C8720000}"/>
    <cellStyle name="Note 3 12 2" xfId="27890" xr:uid="{00000000-0005-0000-0000-0000C9720000}"/>
    <cellStyle name="Note 3 12 2 2" xfId="28877" xr:uid="{00000000-0005-0000-0000-0000CA720000}"/>
    <cellStyle name="Note 3 12 2 2 2" xfId="30837" xr:uid="{00000000-0005-0000-0000-0000CB720000}"/>
    <cellStyle name="Note 3 12 2 3" xfId="29857" xr:uid="{00000000-0005-0000-0000-0000CC720000}"/>
    <cellStyle name="Note 3 12 3" xfId="28412" xr:uid="{00000000-0005-0000-0000-0000CD720000}"/>
    <cellStyle name="Note 3 12 3 2" xfId="30372" xr:uid="{00000000-0005-0000-0000-0000CE720000}"/>
    <cellStyle name="Note 3 12 4" xfId="29392" xr:uid="{00000000-0005-0000-0000-0000CF720000}"/>
    <cellStyle name="Note 3 13" xfId="27522" xr:uid="{00000000-0005-0000-0000-0000D0720000}"/>
    <cellStyle name="Note 3 13 2" xfId="27988" xr:uid="{00000000-0005-0000-0000-0000D1720000}"/>
    <cellStyle name="Note 3 13 2 2" xfId="28975" xr:uid="{00000000-0005-0000-0000-0000D2720000}"/>
    <cellStyle name="Note 3 13 2 2 2" xfId="30935" xr:uid="{00000000-0005-0000-0000-0000D3720000}"/>
    <cellStyle name="Note 3 13 2 3" xfId="29955" xr:uid="{00000000-0005-0000-0000-0000D4720000}"/>
    <cellStyle name="Note 3 13 3" xfId="27809" xr:uid="{00000000-0005-0000-0000-0000D5720000}"/>
    <cellStyle name="Note 3 13 3 2" xfId="28796" xr:uid="{00000000-0005-0000-0000-0000D6720000}"/>
    <cellStyle name="Note 3 13 3 2 2" xfId="30756" xr:uid="{00000000-0005-0000-0000-0000D7720000}"/>
    <cellStyle name="Note 3 13 3 3" xfId="29776" xr:uid="{00000000-0005-0000-0000-0000D8720000}"/>
    <cellStyle name="Note 3 13 4" xfId="28510" xr:uid="{00000000-0005-0000-0000-0000D9720000}"/>
    <cellStyle name="Note 3 13 4 2" xfId="30470" xr:uid="{00000000-0005-0000-0000-0000DA720000}"/>
    <cellStyle name="Note 3 13 5" xfId="29490" xr:uid="{00000000-0005-0000-0000-0000DB720000}"/>
    <cellStyle name="Note 3 14" xfId="27620" xr:uid="{00000000-0005-0000-0000-0000DC720000}"/>
    <cellStyle name="Note 3 14 2" xfId="28086" xr:uid="{00000000-0005-0000-0000-0000DD720000}"/>
    <cellStyle name="Note 3 14 2 2" xfId="29073" xr:uid="{00000000-0005-0000-0000-0000DE720000}"/>
    <cellStyle name="Note 3 14 2 2 2" xfId="31033" xr:uid="{00000000-0005-0000-0000-0000DF720000}"/>
    <cellStyle name="Note 3 14 2 3" xfId="30053" xr:uid="{00000000-0005-0000-0000-0000E0720000}"/>
    <cellStyle name="Note 3 14 3" xfId="27829" xr:uid="{00000000-0005-0000-0000-0000E1720000}"/>
    <cellStyle name="Note 3 14 3 2" xfId="28816" xr:uid="{00000000-0005-0000-0000-0000E2720000}"/>
    <cellStyle name="Note 3 14 3 2 2" xfId="30776" xr:uid="{00000000-0005-0000-0000-0000E3720000}"/>
    <cellStyle name="Note 3 14 3 3" xfId="29796" xr:uid="{00000000-0005-0000-0000-0000E4720000}"/>
    <cellStyle name="Note 3 14 4" xfId="28608" xr:uid="{00000000-0005-0000-0000-0000E5720000}"/>
    <cellStyle name="Note 3 14 4 2" xfId="30568" xr:uid="{00000000-0005-0000-0000-0000E6720000}"/>
    <cellStyle name="Note 3 14 5" xfId="29588" xr:uid="{00000000-0005-0000-0000-0000E7720000}"/>
    <cellStyle name="Note 3 15" xfId="27719" xr:uid="{00000000-0005-0000-0000-0000E8720000}"/>
    <cellStyle name="Note 3 15 2" xfId="28707" xr:uid="{00000000-0005-0000-0000-0000E9720000}"/>
    <cellStyle name="Note 3 15 2 2" xfId="30667" xr:uid="{00000000-0005-0000-0000-0000EA720000}"/>
    <cellStyle name="Note 3 15 3" xfId="29687" xr:uid="{00000000-0005-0000-0000-0000EB720000}"/>
    <cellStyle name="Note 3 16" xfId="28314" xr:uid="{00000000-0005-0000-0000-0000EC720000}"/>
    <cellStyle name="Note 3 16 2" xfId="30274" xr:uid="{00000000-0005-0000-0000-0000ED720000}"/>
    <cellStyle name="Note 3 17" xfId="29294" xr:uid="{00000000-0005-0000-0000-0000EE720000}"/>
    <cellStyle name="Note 3 18" xfId="31254" xr:uid="{00000000-0005-0000-0000-0000EF720000}"/>
    <cellStyle name="Note 3 2" xfId="1628" xr:uid="{00000000-0005-0000-0000-0000F0720000}"/>
    <cellStyle name="Note 3 2 2" xfId="27185" xr:uid="{00000000-0005-0000-0000-0000F1720000}"/>
    <cellStyle name="Note 3 3" xfId="1629" xr:uid="{00000000-0005-0000-0000-0000F2720000}"/>
    <cellStyle name="Note 3 3 2" xfId="27186" xr:uid="{00000000-0005-0000-0000-0000F3720000}"/>
    <cellStyle name="Note 3 4" xfId="1630" xr:uid="{00000000-0005-0000-0000-0000F4720000}"/>
    <cellStyle name="Note 3 4 2" xfId="27187" xr:uid="{00000000-0005-0000-0000-0000F5720000}"/>
    <cellStyle name="Note 3 5" xfId="1631" xr:uid="{00000000-0005-0000-0000-0000F6720000}"/>
    <cellStyle name="Note 3 5 2" xfId="27188" xr:uid="{00000000-0005-0000-0000-0000F7720000}"/>
    <cellStyle name="Note 3 6" xfId="1632" xr:uid="{00000000-0005-0000-0000-0000F8720000}"/>
    <cellStyle name="Note 3 6 2" xfId="27189" xr:uid="{00000000-0005-0000-0000-0000F9720000}"/>
    <cellStyle name="Note 3 7" xfId="1633" xr:uid="{00000000-0005-0000-0000-0000FA720000}"/>
    <cellStyle name="Note 3 7 2" xfId="27190" xr:uid="{00000000-0005-0000-0000-0000FB720000}"/>
    <cellStyle name="Note 3 8" xfId="14964" xr:uid="{00000000-0005-0000-0000-0000FC720000}"/>
    <cellStyle name="Note 3 8 10" xfId="31274" xr:uid="{00000000-0005-0000-0000-0000FD720000}"/>
    <cellStyle name="Note 3 8 2" xfId="15006" xr:uid="{00000000-0005-0000-0000-0000FE720000}"/>
    <cellStyle name="Note 3 8 2 2" xfId="27391" xr:uid="{00000000-0005-0000-0000-0000FF720000}"/>
    <cellStyle name="Note 3 8 2 2 2" xfId="27502" xr:uid="{00000000-0005-0000-0000-000000730000}"/>
    <cellStyle name="Note 3 8 2 2 2 2" xfId="27968" xr:uid="{00000000-0005-0000-0000-000001730000}"/>
    <cellStyle name="Note 3 8 2 2 2 2 2" xfId="28955" xr:uid="{00000000-0005-0000-0000-000002730000}"/>
    <cellStyle name="Note 3 8 2 2 2 2 2 2" xfId="30915" xr:uid="{00000000-0005-0000-0000-000003730000}"/>
    <cellStyle name="Note 3 8 2 2 2 2 3" xfId="29935" xr:uid="{00000000-0005-0000-0000-000004730000}"/>
    <cellStyle name="Note 3 8 2 2 2 3" xfId="28490" xr:uid="{00000000-0005-0000-0000-000005730000}"/>
    <cellStyle name="Note 3 8 2 2 2 3 2" xfId="30450" xr:uid="{00000000-0005-0000-0000-000006730000}"/>
    <cellStyle name="Note 3 8 2 2 2 4" xfId="29470" xr:uid="{00000000-0005-0000-0000-000007730000}"/>
    <cellStyle name="Note 3 8 2 2 3" xfId="27600" xr:uid="{00000000-0005-0000-0000-000008730000}"/>
    <cellStyle name="Note 3 8 2 2 3 2" xfId="28066" xr:uid="{00000000-0005-0000-0000-000009730000}"/>
    <cellStyle name="Note 3 8 2 2 3 2 2" xfId="29053" xr:uid="{00000000-0005-0000-0000-00000A730000}"/>
    <cellStyle name="Note 3 8 2 2 3 2 2 2" xfId="31013" xr:uid="{00000000-0005-0000-0000-00000B730000}"/>
    <cellStyle name="Note 3 8 2 2 3 2 3" xfId="30033" xr:uid="{00000000-0005-0000-0000-00000C730000}"/>
    <cellStyle name="Note 3 8 2 2 3 3" xfId="27824" xr:uid="{00000000-0005-0000-0000-00000D730000}"/>
    <cellStyle name="Note 3 8 2 2 3 3 2" xfId="28811" xr:uid="{00000000-0005-0000-0000-00000E730000}"/>
    <cellStyle name="Note 3 8 2 2 3 3 2 2" xfId="30771" xr:uid="{00000000-0005-0000-0000-00000F730000}"/>
    <cellStyle name="Note 3 8 2 2 3 3 3" xfId="29791" xr:uid="{00000000-0005-0000-0000-000010730000}"/>
    <cellStyle name="Note 3 8 2 2 3 4" xfId="28588" xr:uid="{00000000-0005-0000-0000-000011730000}"/>
    <cellStyle name="Note 3 8 2 2 3 4 2" xfId="30548" xr:uid="{00000000-0005-0000-0000-000012730000}"/>
    <cellStyle name="Note 3 8 2 2 3 5" xfId="29568" xr:uid="{00000000-0005-0000-0000-000013730000}"/>
    <cellStyle name="Note 3 8 2 2 4" xfId="27698" xr:uid="{00000000-0005-0000-0000-000014730000}"/>
    <cellStyle name="Note 3 8 2 2 4 2" xfId="28164" xr:uid="{00000000-0005-0000-0000-000015730000}"/>
    <cellStyle name="Note 3 8 2 2 4 2 2" xfId="29151" xr:uid="{00000000-0005-0000-0000-000016730000}"/>
    <cellStyle name="Note 3 8 2 2 4 2 2 2" xfId="31111" xr:uid="{00000000-0005-0000-0000-000017730000}"/>
    <cellStyle name="Note 3 8 2 2 4 2 3" xfId="30131" xr:uid="{00000000-0005-0000-0000-000018730000}"/>
    <cellStyle name="Note 3 8 2 2 4 3" xfId="28291" xr:uid="{00000000-0005-0000-0000-000019730000}"/>
    <cellStyle name="Note 3 8 2 2 4 3 2" xfId="29278" xr:uid="{00000000-0005-0000-0000-00001A730000}"/>
    <cellStyle name="Note 3 8 2 2 4 3 2 2" xfId="31238" xr:uid="{00000000-0005-0000-0000-00001B730000}"/>
    <cellStyle name="Note 3 8 2 2 4 3 3" xfId="30258" xr:uid="{00000000-0005-0000-0000-00001C730000}"/>
    <cellStyle name="Note 3 8 2 2 4 4" xfId="28686" xr:uid="{00000000-0005-0000-0000-00001D730000}"/>
    <cellStyle name="Note 3 8 2 2 4 4 2" xfId="30646" xr:uid="{00000000-0005-0000-0000-00001E730000}"/>
    <cellStyle name="Note 3 8 2 2 4 5" xfId="29666" xr:uid="{00000000-0005-0000-0000-00001F730000}"/>
    <cellStyle name="Note 3 8 2 2 5" xfId="27870" xr:uid="{00000000-0005-0000-0000-000020730000}"/>
    <cellStyle name="Note 3 8 2 2 5 2" xfId="28857" xr:uid="{00000000-0005-0000-0000-000021730000}"/>
    <cellStyle name="Note 3 8 2 2 5 2 2" xfId="30817" xr:uid="{00000000-0005-0000-0000-000022730000}"/>
    <cellStyle name="Note 3 8 2 2 5 3" xfId="29837" xr:uid="{00000000-0005-0000-0000-000023730000}"/>
    <cellStyle name="Note 3 8 2 2 6" xfId="28392" xr:uid="{00000000-0005-0000-0000-000024730000}"/>
    <cellStyle name="Note 3 8 2 2 6 2" xfId="30352" xr:uid="{00000000-0005-0000-0000-000025730000}"/>
    <cellStyle name="Note 3 8 2 2 7" xfId="29372" xr:uid="{00000000-0005-0000-0000-000026730000}"/>
    <cellStyle name="Note 3 8 2 2 8" xfId="31332" xr:uid="{00000000-0005-0000-0000-000027730000}"/>
    <cellStyle name="Note 3 8 2 3" xfId="27458" xr:uid="{00000000-0005-0000-0000-000028730000}"/>
    <cellStyle name="Note 3 8 2 3 2" xfId="27924" xr:uid="{00000000-0005-0000-0000-000029730000}"/>
    <cellStyle name="Note 3 8 2 3 2 2" xfId="28911" xr:uid="{00000000-0005-0000-0000-00002A730000}"/>
    <cellStyle name="Note 3 8 2 3 2 2 2" xfId="30871" xr:uid="{00000000-0005-0000-0000-00002B730000}"/>
    <cellStyle name="Note 3 8 2 3 2 3" xfId="29891" xr:uid="{00000000-0005-0000-0000-00002C730000}"/>
    <cellStyle name="Note 3 8 2 3 3" xfId="28446" xr:uid="{00000000-0005-0000-0000-00002D730000}"/>
    <cellStyle name="Note 3 8 2 3 3 2" xfId="30406" xr:uid="{00000000-0005-0000-0000-00002E730000}"/>
    <cellStyle name="Note 3 8 2 3 4" xfId="29426" xr:uid="{00000000-0005-0000-0000-00002F730000}"/>
    <cellStyle name="Note 3 8 2 4" xfId="27556" xr:uid="{00000000-0005-0000-0000-000030730000}"/>
    <cellStyle name="Note 3 8 2 4 2" xfId="28022" xr:uid="{00000000-0005-0000-0000-000031730000}"/>
    <cellStyle name="Note 3 8 2 4 2 2" xfId="29009" xr:uid="{00000000-0005-0000-0000-000032730000}"/>
    <cellStyle name="Note 3 8 2 4 2 2 2" xfId="30969" xr:uid="{00000000-0005-0000-0000-000033730000}"/>
    <cellStyle name="Note 3 8 2 4 2 3" xfId="29989" xr:uid="{00000000-0005-0000-0000-000034730000}"/>
    <cellStyle name="Note 3 8 2 4 3" xfId="27816" xr:uid="{00000000-0005-0000-0000-000035730000}"/>
    <cellStyle name="Note 3 8 2 4 3 2" xfId="28803" xr:uid="{00000000-0005-0000-0000-000036730000}"/>
    <cellStyle name="Note 3 8 2 4 3 2 2" xfId="30763" xr:uid="{00000000-0005-0000-0000-000037730000}"/>
    <cellStyle name="Note 3 8 2 4 3 3" xfId="29783" xr:uid="{00000000-0005-0000-0000-000038730000}"/>
    <cellStyle name="Note 3 8 2 4 4" xfId="28544" xr:uid="{00000000-0005-0000-0000-000039730000}"/>
    <cellStyle name="Note 3 8 2 4 4 2" xfId="30504" xr:uid="{00000000-0005-0000-0000-00003A730000}"/>
    <cellStyle name="Note 3 8 2 4 5" xfId="29524" xr:uid="{00000000-0005-0000-0000-00003B730000}"/>
    <cellStyle name="Note 3 8 2 5" xfId="27654" xr:uid="{00000000-0005-0000-0000-00003C730000}"/>
    <cellStyle name="Note 3 8 2 5 2" xfId="28120" xr:uid="{00000000-0005-0000-0000-00003D730000}"/>
    <cellStyle name="Note 3 8 2 5 2 2" xfId="29107" xr:uid="{00000000-0005-0000-0000-00003E730000}"/>
    <cellStyle name="Note 3 8 2 5 2 2 2" xfId="31067" xr:uid="{00000000-0005-0000-0000-00003F730000}"/>
    <cellStyle name="Note 3 8 2 5 2 3" xfId="30087" xr:uid="{00000000-0005-0000-0000-000040730000}"/>
    <cellStyle name="Note 3 8 2 5 3" xfId="28263" xr:uid="{00000000-0005-0000-0000-000041730000}"/>
    <cellStyle name="Note 3 8 2 5 3 2" xfId="29250" xr:uid="{00000000-0005-0000-0000-000042730000}"/>
    <cellStyle name="Note 3 8 2 5 3 2 2" xfId="31210" xr:uid="{00000000-0005-0000-0000-000043730000}"/>
    <cellStyle name="Note 3 8 2 5 3 3" xfId="30230" xr:uid="{00000000-0005-0000-0000-000044730000}"/>
    <cellStyle name="Note 3 8 2 5 4" xfId="28642" xr:uid="{00000000-0005-0000-0000-000045730000}"/>
    <cellStyle name="Note 3 8 2 5 4 2" xfId="30602" xr:uid="{00000000-0005-0000-0000-000046730000}"/>
    <cellStyle name="Note 3 8 2 5 5" xfId="29622" xr:uid="{00000000-0005-0000-0000-000047730000}"/>
    <cellStyle name="Note 3 8 2 6" xfId="27794" xr:uid="{00000000-0005-0000-0000-000048730000}"/>
    <cellStyle name="Note 3 8 2 6 2" xfId="28782" xr:uid="{00000000-0005-0000-0000-000049730000}"/>
    <cellStyle name="Note 3 8 2 6 2 2" xfId="30742" xr:uid="{00000000-0005-0000-0000-00004A730000}"/>
    <cellStyle name="Note 3 8 2 6 3" xfId="29762" xr:uid="{00000000-0005-0000-0000-00004B730000}"/>
    <cellStyle name="Note 3 8 2 7" xfId="28348" xr:uid="{00000000-0005-0000-0000-00004C730000}"/>
    <cellStyle name="Note 3 8 2 7 2" xfId="30308" xr:uid="{00000000-0005-0000-0000-00004D730000}"/>
    <cellStyle name="Note 3 8 2 8" xfId="29328" xr:uid="{00000000-0005-0000-0000-00004E730000}"/>
    <cellStyle name="Note 3 8 2 9" xfId="31288" xr:uid="{00000000-0005-0000-0000-00004F730000}"/>
    <cellStyle name="Note 3 8 3" xfId="27377" xr:uid="{00000000-0005-0000-0000-000050730000}"/>
    <cellStyle name="Note 3 8 3 2" xfId="27488" xr:uid="{00000000-0005-0000-0000-000051730000}"/>
    <cellStyle name="Note 3 8 3 2 2" xfId="27954" xr:uid="{00000000-0005-0000-0000-000052730000}"/>
    <cellStyle name="Note 3 8 3 2 2 2" xfId="28941" xr:uid="{00000000-0005-0000-0000-000053730000}"/>
    <cellStyle name="Note 3 8 3 2 2 2 2" xfId="30901" xr:uid="{00000000-0005-0000-0000-000054730000}"/>
    <cellStyle name="Note 3 8 3 2 2 3" xfId="29921" xr:uid="{00000000-0005-0000-0000-000055730000}"/>
    <cellStyle name="Note 3 8 3 2 3" xfId="28476" xr:uid="{00000000-0005-0000-0000-000056730000}"/>
    <cellStyle name="Note 3 8 3 2 3 2" xfId="30436" xr:uid="{00000000-0005-0000-0000-000057730000}"/>
    <cellStyle name="Note 3 8 3 2 4" xfId="29456" xr:uid="{00000000-0005-0000-0000-000058730000}"/>
    <cellStyle name="Note 3 8 3 3" xfId="27586" xr:uid="{00000000-0005-0000-0000-000059730000}"/>
    <cellStyle name="Note 3 8 3 3 2" xfId="28052" xr:uid="{00000000-0005-0000-0000-00005A730000}"/>
    <cellStyle name="Note 3 8 3 3 2 2" xfId="29039" xr:uid="{00000000-0005-0000-0000-00005B730000}"/>
    <cellStyle name="Note 3 8 3 3 2 2 2" xfId="30999" xr:uid="{00000000-0005-0000-0000-00005C730000}"/>
    <cellStyle name="Note 3 8 3 3 2 3" xfId="30019" xr:uid="{00000000-0005-0000-0000-00005D730000}"/>
    <cellStyle name="Note 3 8 3 3 3" xfId="27839" xr:uid="{00000000-0005-0000-0000-00005E730000}"/>
    <cellStyle name="Note 3 8 3 3 3 2" xfId="28826" xr:uid="{00000000-0005-0000-0000-00005F730000}"/>
    <cellStyle name="Note 3 8 3 3 3 2 2" xfId="30786" xr:uid="{00000000-0005-0000-0000-000060730000}"/>
    <cellStyle name="Note 3 8 3 3 3 3" xfId="29806" xr:uid="{00000000-0005-0000-0000-000061730000}"/>
    <cellStyle name="Note 3 8 3 3 4" xfId="28574" xr:uid="{00000000-0005-0000-0000-000062730000}"/>
    <cellStyle name="Note 3 8 3 3 4 2" xfId="30534" xr:uid="{00000000-0005-0000-0000-000063730000}"/>
    <cellStyle name="Note 3 8 3 3 5" xfId="29554" xr:uid="{00000000-0005-0000-0000-000064730000}"/>
    <cellStyle name="Note 3 8 3 4" xfId="27684" xr:uid="{00000000-0005-0000-0000-000065730000}"/>
    <cellStyle name="Note 3 8 3 4 2" xfId="28150" xr:uid="{00000000-0005-0000-0000-000066730000}"/>
    <cellStyle name="Note 3 8 3 4 2 2" xfId="29137" xr:uid="{00000000-0005-0000-0000-000067730000}"/>
    <cellStyle name="Note 3 8 3 4 2 2 2" xfId="31097" xr:uid="{00000000-0005-0000-0000-000068730000}"/>
    <cellStyle name="Note 3 8 3 4 2 3" xfId="30117" xr:uid="{00000000-0005-0000-0000-000069730000}"/>
    <cellStyle name="Note 3 8 3 4 3" xfId="28285" xr:uid="{00000000-0005-0000-0000-00006A730000}"/>
    <cellStyle name="Note 3 8 3 4 3 2" xfId="29272" xr:uid="{00000000-0005-0000-0000-00006B730000}"/>
    <cellStyle name="Note 3 8 3 4 3 2 2" xfId="31232" xr:uid="{00000000-0005-0000-0000-00006C730000}"/>
    <cellStyle name="Note 3 8 3 4 3 3" xfId="30252" xr:uid="{00000000-0005-0000-0000-00006D730000}"/>
    <cellStyle name="Note 3 8 3 4 4" xfId="28672" xr:uid="{00000000-0005-0000-0000-00006E730000}"/>
    <cellStyle name="Note 3 8 3 4 4 2" xfId="30632" xr:uid="{00000000-0005-0000-0000-00006F730000}"/>
    <cellStyle name="Note 3 8 3 4 5" xfId="29652" xr:uid="{00000000-0005-0000-0000-000070730000}"/>
    <cellStyle name="Note 3 8 3 5" xfId="27856" xr:uid="{00000000-0005-0000-0000-000071730000}"/>
    <cellStyle name="Note 3 8 3 5 2" xfId="28843" xr:uid="{00000000-0005-0000-0000-000072730000}"/>
    <cellStyle name="Note 3 8 3 5 2 2" xfId="30803" xr:uid="{00000000-0005-0000-0000-000073730000}"/>
    <cellStyle name="Note 3 8 3 5 3" xfId="29823" xr:uid="{00000000-0005-0000-0000-000074730000}"/>
    <cellStyle name="Note 3 8 3 6" xfId="28378" xr:uid="{00000000-0005-0000-0000-000075730000}"/>
    <cellStyle name="Note 3 8 3 6 2" xfId="30338" xr:uid="{00000000-0005-0000-0000-000076730000}"/>
    <cellStyle name="Note 3 8 3 7" xfId="29358" xr:uid="{00000000-0005-0000-0000-000077730000}"/>
    <cellStyle name="Note 3 8 3 8" xfId="31318" xr:uid="{00000000-0005-0000-0000-000078730000}"/>
    <cellStyle name="Note 3 8 4" xfId="27444" xr:uid="{00000000-0005-0000-0000-000079730000}"/>
    <cellStyle name="Note 3 8 4 2" xfId="27910" xr:uid="{00000000-0005-0000-0000-00007A730000}"/>
    <cellStyle name="Note 3 8 4 2 2" xfId="28897" xr:uid="{00000000-0005-0000-0000-00007B730000}"/>
    <cellStyle name="Note 3 8 4 2 2 2" xfId="30857" xr:uid="{00000000-0005-0000-0000-00007C730000}"/>
    <cellStyle name="Note 3 8 4 2 3" xfId="29877" xr:uid="{00000000-0005-0000-0000-00007D730000}"/>
    <cellStyle name="Note 3 8 4 3" xfId="28432" xr:uid="{00000000-0005-0000-0000-00007E730000}"/>
    <cellStyle name="Note 3 8 4 3 2" xfId="30392" xr:uid="{00000000-0005-0000-0000-00007F730000}"/>
    <cellStyle name="Note 3 8 4 4" xfId="29412" xr:uid="{00000000-0005-0000-0000-000080730000}"/>
    <cellStyle name="Note 3 8 5" xfId="27542" xr:uid="{00000000-0005-0000-0000-000081730000}"/>
    <cellStyle name="Note 3 8 5 2" xfId="28008" xr:uid="{00000000-0005-0000-0000-000082730000}"/>
    <cellStyle name="Note 3 8 5 2 2" xfId="28995" xr:uid="{00000000-0005-0000-0000-000083730000}"/>
    <cellStyle name="Note 3 8 5 2 2 2" xfId="30955" xr:uid="{00000000-0005-0000-0000-000084730000}"/>
    <cellStyle name="Note 3 8 5 2 3" xfId="29975" xr:uid="{00000000-0005-0000-0000-000085730000}"/>
    <cellStyle name="Note 3 8 5 3" xfId="27744" xr:uid="{00000000-0005-0000-0000-000086730000}"/>
    <cellStyle name="Note 3 8 5 3 2" xfId="28732" xr:uid="{00000000-0005-0000-0000-000087730000}"/>
    <cellStyle name="Note 3 8 5 3 2 2" xfId="30692" xr:uid="{00000000-0005-0000-0000-000088730000}"/>
    <cellStyle name="Note 3 8 5 3 3" xfId="29712" xr:uid="{00000000-0005-0000-0000-000089730000}"/>
    <cellStyle name="Note 3 8 5 4" xfId="28530" xr:uid="{00000000-0005-0000-0000-00008A730000}"/>
    <cellStyle name="Note 3 8 5 4 2" xfId="30490" xr:uid="{00000000-0005-0000-0000-00008B730000}"/>
    <cellStyle name="Note 3 8 5 5" xfId="29510" xr:uid="{00000000-0005-0000-0000-00008C730000}"/>
    <cellStyle name="Note 3 8 6" xfId="27640" xr:uid="{00000000-0005-0000-0000-00008D730000}"/>
    <cellStyle name="Note 3 8 6 2" xfId="28106" xr:uid="{00000000-0005-0000-0000-00008E730000}"/>
    <cellStyle name="Note 3 8 6 2 2" xfId="29093" xr:uid="{00000000-0005-0000-0000-00008F730000}"/>
    <cellStyle name="Note 3 8 6 2 2 2" xfId="31053" xr:uid="{00000000-0005-0000-0000-000090730000}"/>
    <cellStyle name="Note 3 8 6 2 3" xfId="30073" xr:uid="{00000000-0005-0000-0000-000091730000}"/>
    <cellStyle name="Note 3 8 6 3" xfId="28257" xr:uid="{00000000-0005-0000-0000-000092730000}"/>
    <cellStyle name="Note 3 8 6 3 2" xfId="29244" xr:uid="{00000000-0005-0000-0000-000093730000}"/>
    <cellStyle name="Note 3 8 6 3 2 2" xfId="31204" xr:uid="{00000000-0005-0000-0000-000094730000}"/>
    <cellStyle name="Note 3 8 6 3 3" xfId="30224" xr:uid="{00000000-0005-0000-0000-000095730000}"/>
    <cellStyle name="Note 3 8 6 4" xfId="28628" xr:uid="{00000000-0005-0000-0000-000096730000}"/>
    <cellStyle name="Note 3 8 6 4 2" xfId="30588" xr:uid="{00000000-0005-0000-0000-000097730000}"/>
    <cellStyle name="Note 3 8 6 5" xfId="29608" xr:uid="{00000000-0005-0000-0000-000098730000}"/>
    <cellStyle name="Note 3 8 7" xfId="27780" xr:uid="{00000000-0005-0000-0000-000099730000}"/>
    <cellStyle name="Note 3 8 7 2" xfId="28768" xr:uid="{00000000-0005-0000-0000-00009A730000}"/>
    <cellStyle name="Note 3 8 7 2 2" xfId="30728" xr:uid="{00000000-0005-0000-0000-00009B730000}"/>
    <cellStyle name="Note 3 8 7 3" xfId="29748" xr:uid="{00000000-0005-0000-0000-00009C730000}"/>
    <cellStyle name="Note 3 8 8" xfId="28334" xr:uid="{00000000-0005-0000-0000-00009D730000}"/>
    <cellStyle name="Note 3 8 8 2" xfId="30294" xr:uid="{00000000-0005-0000-0000-00009E730000}"/>
    <cellStyle name="Note 3 8 9" xfId="29314" xr:uid="{00000000-0005-0000-0000-00009F730000}"/>
    <cellStyle name="Note 3 9" xfId="15055" xr:uid="{00000000-0005-0000-0000-0000A0730000}"/>
    <cellStyle name="Note 3 9 10" xfId="31300" xr:uid="{00000000-0005-0000-0000-0000A1730000}"/>
    <cellStyle name="Note 3 9 2" xfId="27171" xr:uid="{00000000-0005-0000-0000-0000A2730000}"/>
    <cellStyle name="Note 3 9 2 2" xfId="27405" xr:uid="{00000000-0005-0000-0000-0000A3730000}"/>
    <cellStyle name="Note 3 9 2 2 2" xfId="27516" xr:uid="{00000000-0005-0000-0000-0000A4730000}"/>
    <cellStyle name="Note 3 9 2 2 2 2" xfId="27982" xr:uid="{00000000-0005-0000-0000-0000A5730000}"/>
    <cellStyle name="Note 3 9 2 2 2 2 2" xfId="28969" xr:uid="{00000000-0005-0000-0000-0000A6730000}"/>
    <cellStyle name="Note 3 9 2 2 2 2 2 2" xfId="30929" xr:uid="{00000000-0005-0000-0000-0000A7730000}"/>
    <cellStyle name="Note 3 9 2 2 2 2 3" xfId="29949" xr:uid="{00000000-0005-0000-0000-0000A8730000}"/>
    <cellStyle name="Note 3 9 2 2 2 3" xfId="28504" xr:uid="{00000000-0005-0000-0000-0000A9730000}"/>
    <cellStyle name="Note 3 9 2 2 2 3 2" xfId="30464" xr:uid="{00000000-0005-0000-0000-0000AA730000}"/>
    <cellStyle name="Note 3 9 2 2 2 4" xfId="29484" xr:uid="{00000000-0005-0000-0000-0000AB730000}"/>
    <cellStyle name="Note 3 9 2 2 3" xfId="27614" xr:uid="{00000000-0005-0000-0000-0000AC730000}"/>
    <cellStyle name="Note 3 9 2 2 3 2" xfId="28080" xr:uid="{00000000-0005-0000-0000-0000AD730000}"/>
    <cellStyle name="Note 3 9 2 2 3 2 2" xfId="29067" xr:uid="{00000000-0005-0000-0000-0000AE730000}"/>
    <cellStyle name="Note 3 9 2 2 3 2 2 2" xfId="31027" xr:uid="{00000000-0005-0000-0000-0000AF730000}"/>
    <cellStyle name="Note 3 9 2 2 3 2 3" xfId="30047" xr:uid="{00000000-0005-0000-0000-0000B0730000}"/>
    <cellStyle name="Note 3 9 2 2 3 3" xfId="27760" xr:uid="{00000000-0005-0000-0000-0000B1730000}"/>
    <cellStyle name="Note 3 9 2 2 3 3 2" xfId="28748" xr:uid="{00000000-0005-0000-0000-0000B2730000}"/>
    <cellStyle name="Note 3 9 2 2 3 3 2 2" xfId="30708" xr:uid="{00000000-0005-0000-0000-0000B3730000}"/>
    <cellStyle name="Note 3 9 2 2 3 3 3" xfId="29728" xr:uid="{00000000-0005-0000-0000-0000B4730000}"/>
    <cellStyle name="Note 3 9 2 2 3 4" xfId="28602" xr:uid="{00000000-0005-0000-0000-0000B5730000}"/>
    <cellStyle name="Note 3 9 2 2 3 4 2" xfId="30562" xr:uid="{00000000-0005-0000-0000-0000B6730000}"/>
    <cellStyle name="Note 3 9 2 2 3 5" xfId="29582" xr:uid="{00000000-0005-0000-0000-0000B7730000}"/>
    <cellStyle name="Note 3 9 2 2 4" xfId="27712" xr:uid="{00000000-0005-0000-0000-0000B8730000}"/>
    <cellStyle name="Note 3 9 2 2 4 2" xfId="28178" xr:uid="{00000000-0005-0000-0000-0000B9730000}"/>
    <cellStyle name="Note 3 9 2 2 4 2 2" xfId="29165" xr:uid="{00000000-0005-0000-0000-0000BA730000}"/>
    <cellStyle name="Note 3 9 2 2 4 2 2 2" xfId="31125" xr:uid="{00000000-0005-0000-0000-0000BB730000}"/>
    <cellStyle name="Note 3 9 2 2 4 2 3" xfId="30145" xr:uid="{00000000-0005-0000-0000-0000BC730000}"/>
    <cellStyle name="Note 3 9 2 2 4 3" xfId="28301" xr:uid="{00000000-0005-0000-0000-0000BD730000}"/>
    <cellStyle name="Note 3 9 2 2 4 3 2" xfId="29288" xr:uid="{00000000-0005-0000-0000-0000BE730000}"/>
    <cellStyle name="Note 3 9 2 2 4 3 2 2" xfId="31248" xr:uid="{00000000-0005-0000-0000-0000BF730000}"/>
    <cellStyle name="Note 3 9 2 2 4 3 3" xfId="30268" xr:uid="{00000000-0005-0000-0000-0000C0730000}"/>
    <cellStyle name="Note 3 9 2 2 4 4" xfId="28700" xr:uid="{00000000-0005-0000-0000-0000C1730000}"/>
    <cellStyle name="Note 3 9 2 2 4 4 2" xfId="30660" xr:uid="{00000000-0005-0000-0000-0000C2730000}"/>
    <cellStyle name="Note 3 9 2 2 4 5" xfId="29680" xr:uid="{00000000-0005-0000-0000-0000C3730000}"/>
    <cellStyle name="Note 3 9 2 2 5" xfId="27884" xr:uid="{00000000-0005-0000-0000-0000C4730000}"/>
    <cellStyle name="Note 3 9 2 2 5 2" xfId="28871" xr:uid="{00000000-0005-0000-0000-0000C5730000}"/>
    <cellStyle name="Note 3 9 2 2 5 2 2" xfId="30831" xr:uid="{00000000-0005-0000-0000-0000C6730000}"/>
    <cellStyle name="Note 3 9 2 2 5 3" xfId="29851" xr:uid="{00000000-0005-0000-0000-0000C7730000}"/>
    <cellStyle name="Note 3 9 2 2 6" xfId="28406" xr:uid="{00000000-0005-0000-0000-0000C8730000}"/>
    <cellStyle name="Note 3 9 2 2 6 2" xfId="30366" xr:uid="{00000000-0005-0000-0000-0000C9730000}"/>
    <cellStyle name="Note 3 9 2 2 7" xfId="29386" xr:uid="{00000000-0005-0000-0000-0000CA730000}"/>
    <cellStyle name="Note 3 9 2 2 8" xfId="31346" xr:uid="{00000000-0005-0000-0000-0000CB730000}"/>
    <cellStyle name="Note 3 9 2 3" xfId="27472" xr:uid="{00000000-0005-0000-0000-0000CC730000}"/>
    <cellStyle name="Note 3 9 2 3 2" xfId="27938" xr:uid="{00000000-0005-0000-0000-0000CD730000}"/>
    <cellStyle name="Note 3 9 2 3 2 2" xfId="28925" xr:uid="{00000000-0005-0000-0000-0000CE730000}"/>
    <cellStyle name="Note 3 9 2 3 2 2 2" xfId="30885" xr:uid="{00000000-0005-0000-0000-0000CF730000}"/>
    <cellStyle name="Note 3 9 2 3 2 3" xfId="29905" xr:uid="{00000000-0005-0000-0000-0000D0730000}"/>
    <cellStyle name="Note 3 9 2 3 3" xfId="28460" xr:uid="{00000000-0005-0000-0000-0000D1730000}"/>
    <cellStyle name="Note 3 9 2 3 3 2" xfId="30420" xr:uid="{00000000-0005-0000-0000-0000D2730000}"/>
    <cellStyle name="Note 3 9 2 3 4" xfId="29440" xr:uid="{00000000-0005-0000-0000-0000D3730000}"/>
    <cellStyle name="Note 3 9 2 4" xfId="27570" xr:uid="{00000000-0005-0000-0000-0000D4730000}"/>
    <cellStyle name="Note 3 9 2 4 2" xfId="28036" xr:uid="{00000000-0005-0000-0000-0000D5730000}"/>
    <cellStyle name="Note 3 9 2 4 2 2" xfId="29023" xr:uid="{00000000-0005-0000-0000-0000D6730000}"/>
    <cellStyle name="Note 3 9 2 4 2 2 2" xfId="30983" xr:uid="{00000000-0005-0000-0000-0000D7730000}"/>
    <cellStyle name="Note 3 9 2 4 2 3" xfId="30003" xr:uid="{00000000-0005-0000-0000-0000D8730000}"/>
    <cellStyle name="Note 3 9 2 4 3" xfId="27730" xr:uid="{00000000-0005-0000-0000-0000D9730000}"/>
    <cellStyle name="Note 3 9 2 4 3 2" xfId="28718" xr:uid="{00000000-0005-0000-0000-0000DA730000}"/>
    <cellStyle name="Note 3 9 2 4 3 2 2" xfId="30678" xr:uid="{00000000-0005-0000-0000-0000DB730000}"/>
    <cellStyle name="Note 3 9 2 4 3 3" xfId="29698" xr:uid="{00000000-0005-0000-0000-0000DC730000}"/>
    <cellStyle name="Note 3 9 2 4 4" xfId="28558" xr:uid="{00000000-0005-0000-0000-0000DD730000}"/>
    <cellStyle name="Note 3 9 2 4 4 2" xfId="30518" xr:uid="{00000000-0005-0000-0000-0000DE730000}"/>
    <cellStyle name="Note 3 9 2 4 5" xfId="29538" xr:uid="{00000000-0005-0000-0000-0000DF730000}"/>
    <cellStyle name="Note 3 9 2 5" xfId="27668" xr:uid="{00000000-0005-0000-0000-0000E0730000}"/>
    <cellStyle name="Note 3 9 2 5 2" xfId="28134" xr:uid="{00000000-0005-0000-0000-0000E1730000}"/>
    <cellStyle name="Note 3 9 2 5 2 2" xfId="29121" xr:uid="{00000000-0005-0000-0000-0000E2730000}"/>
    <cellStyle name="Note 3 9 2 5 2 2 2" xfId="31081" xr:uid="{00000000-0005-0000-0000-0000E3730000}"/>
    <cellStyle name="Note 3 9 2 5 2 3" xfId="30101" xr:uid="{00000000-0005-0000-0000-0000E4730000}"/>
    <cellStyle name="Note 3 9 2 5 3" xfId="28273" xr:uid="{00000000-0005-0000-0000-0000E5730000}"/>
    <cellStyle name="Note 3 9 2 5 3 2" xfId="29260" xr:uid="{00000000-0005-0000-0000-0000E6730000}"/>
    <cellStyle name="Note 3 9 2 5 3 2 2" xfId="31220" xr:uid="{00000000-0005-0000-0000-0000E7730000}"/>
    <cellStyle name="Note 3 9 2 5 3 3" xfId="30240" xr:uid="{00000000-0005-0000-0000-0000E8730000}"/>
    <cellStyle name="Note 3 9 2 5 4" xfId="28656" xr:uid="{00000000-0005-0000-0000-0000E9730000}"/>
    <cellStyle name="Note 3 9 2 5 4 2" xfId="30616" xr:uid="{00000000-0005-0000-0000-0000EA730000}"/>
    <cellStyle name="Note 3 9 2 5 5" xfId="29636" xr:uid="{00000000-0005-0000-0000-0000EB730000}"/>
    <cellStyle name="Note 3 9 2 6" xfId="27834" xr:uid="{00000000-0005-0000-0000-0000EC730000}"/>
    <cellStyle name="Note 3 9 2 6 2" xfId="28821" xr:uid="{00000000-0005-0000-0000-0000ED730000}"/>
    <cellStyle name="Note 3 9 2 6 2 2" xfId="30781" xr:uid="{00000000-0005-0000-0000-0000EE730000}"/>
    <cellStyle name="Note 3 9 2 6 3" xfId="29801" xr:uid="{00000000-0005-0000-0000-0000EF730000}"/>
    <cellStyle name="Note 3 9 2 7" xfId="28362" xr:uid="{00000000-0005-0000-0000-0000F0730000}"/>
    <cellStyle name="Note 3 9 2 7 2" xfId="30322" xr:uid="{00000000-0005-0000-0000-0000F1730000}"/>
    <cellStyle name="Note 3 9 2 8" xfId="29342" xr:uid="{00000000-0005-0000-0000-0000F2730000}"/>
    <cellStyle name="Note 3 9 2 9" xfId="31302" xr:uid="{00000000-0005-0000-0000-0000F3730000}"/>
    <cellStyle name="Note 3 9 3" xfId="27403" xr:uid="{00000000-0005-0000-0000-0000F4730000}"/>
    <cellStyle name="Note 3 9 3 2" xfId="27514" xr:uid="{00000000-0005-0000-0000-0000F5730000}"/>
    <cellStyle name="Note 3 9 3 2 2" xfId="27980" xr:uid="{00000000-0005-0000-0000-0000F6730000}"/>
    <cellStyle name="Note 3 9 3 2 2 2" xfId="28967" xr:uid="{00000000-0005-0000-0000-0000F7730000}"/>
    <cellStyle name="Note 3 9 3 2 2 2 2" xfId="30927" xr:uid="{00000000-0005-0000-0000-0000F8730000}"/>
    <cellStyle name="Note 3 9 3 2 2 3" xfId="29947" xr:uid="{00000000-0005-0000-0000-0000F9730000}"/>
    <cellStyle name="Note 3 9 3 2 3" xfId="28502" xr:uid="{00000000-0005-0000-0000-0000FA730000}"/>
    <cellStyle name="Note 3 9 3 2 3 2" xfId="30462" xr:uid="{00000000-0005-0000-0000-0000FB730000}"/>
    <cellStyle name="Note 3 9 3 2 4" xfId="29482" xr:uid="{00000000-0005-0000-0000-0000FC730000}"/>
    <cellStyle name="Note 3 9 3 3" xfId="27612" xr:uid="{00000000-0005-0000-0000-0000FD730000}"/>
    <cellStyle name="Note 3 9 3 3 2" xfId="28078" xr:uid="{00000000-0005-0000-0000-0000FE730000}"/>
    <cellStyle name="Note 3 9 3 3 2 2" xfId="29065" xr:uid="{00000000-0005-0000-0000-0000FF730000}"/>
    <cellStyle name="Note 3 9 3 3 2 2 2" xfId="31025" xr:uid="{00000000-0005-0000-0000-000000740000}"/>
    <cellStyle name="Note 3 9 3 3 2 3" xfId="30045" xr:uid="{00000000-0005-0000-0000-000001740000}"/>
    <cellStyle name="Note 3 9 3 3 3" xfId="27827" xr:uid="{00000000-0005-0000-0000-000002740000}"/>
    <cellStyle name="Note 3 9 3 3 3 2" xfId="28814" xr:uid="{00000000-0005-0000-0000-000003740000}"/>
    <cellStyle name="Note 3 9 3 3 3 2 2" xfId="30774" xr:uid="{00000000-0005-0000-0000-000004740000}"/>
    <cellStyle name="Note 3 9 3 3 3 3" xfId="29794" xr:uid="{00000000-0005-0000-0000-000005740000}"/>
    <cellStyle name="Note 3 9 3 3 4" xfId="28600" xr:uid="{00000000-0005-0000-0000-000006740000}"/>
    <cellStyle name="Note 3 9 3 3 4 2" xfId="30560" xr:uid="{00000000-0005-0000-0000-000007740000}"/>
    <cellStyle name="Note 3 9 3 3 5" xfId="29580" xr:uid="{00000000-0005-0000-0000-000008740000}"/>
    <cellStyle name="Note 3 9 3 4" xfId="27710" xr:uid="{00000000-0005-0000-0000-000009740000}"/>
    <cellStyle name="Note 3 9 3 4 2" xfId="28176" xr:uid="{00000000-0005-0000-0000-00000A740000}"/>
    <cellStyle name="Note 3 9 3 4 2 2" xfId="29163" xr:uid="{00000000-0005-0000-0000-00000B740000}"/>
    <cellStyle name="Note 3 9 3 4 2 2 2" xfId="31123" xr:uid="{00000000-0005-0000-0000-00000C740000}"/>
    <cellStyle name="Note 3 9 3 4 2 3" xfId="30143" xr:uid="{00000000-0005-0000-0000-00000D740000}"/>
    <cellStyle name="Note 3 9 3 4 3" xfId="28299" xr:uid="{00000000-0005-0000-0000-00000E740000}"/>
    <cellStyle name="Note 3 9 3 4 3 2" xfId="29286" xr:uid="{00000000-0005-0000-0000-00000F740000}"/>
    <cellStyle name="Note 3 9 3 4 3 2 2" xfId="31246" xr:uid="{00000000-0005-0000-0000-000010740000}"/>
    <cellStyle name="Note 3 9 3 4 3 3" xfId="30266" xr:uid="{00000000-0005-0000-0000-000011740000}"/>
    <cellStyle name="Note 3 9 3 4 4" xfId="28698" xr:uid="{00000000-0005-0000-0000-000012740000}"/>
    <cellStyle name="Note 3 9 3 4 4 2" xfId="30658" xr:uid="{00000000-0005-0000-0000-000013740000}"/>
    <cellStyle name="Note 3 9 3 4 5" xfId="29678" xr:uid="{00000000-0005-0000-0000-000014740000}"/>
    <cellStyle name="Note 3 9 3 5" xfId="27882" xr:uid="{00000000-0005-0000-0000-000015740000}"/>
    <cellStyle name="Note 3 9 3 5 2" xfId="28869" xr:uid="{00000000-0005-0000-0000-000016740000}"/>
    <cellStyle name="Note 3 9 3 5 2 2" xfId="30829" xr:uid="{00000000-0005-0000-0000-000017740000}"/>
    <cellStyle name="Note 3 9 3 5 3" xfId="29849" xr:uid="{00000000-0005-0000-0000-000018740000}"/>
    <cellStyle name="Note 3 9 3 6" xfId="28404" xr:uid="{00000000-0005-0000-0000-000019740000}"/>
    <cellStyle name="Note 3 9 3 6 2" xfId="30364" xr:uid="{00000000-0005-0000-0000-00001A740000}"/>
    <cellStyle name="Note 3 9 3 7" xfId="29384" xr:uid="{00000000-0005-0000-0000-00001B740000}"/>
    <cellStyle name="Note 3 9 3 8" xfId="31344" xr:uid="{00000000-0005-0000-0000-00001C740000}"/>
    <cellStyle name="Note 3 9 4" xfId="27470" xr:uid="{00000000-0005-0000-0000-00001D740000}"/>
    <cellStyle name="Note 3 9 4 2" xfId="27936" xr:uid="{00000000-0005-0000-0000-00001E740000}"/>
    <cellStyle name="Note 3 9 4 2 2" xfId="28923" xr:uid="{00000000-0005-0000-0000-00001F740000}"/>
    <cellStyle name="Note 3 9 4 2 2 2" xfId="30883" xr:uid="{00000000-0005-0000-0000-000020740000}"/>
    <cellStyle name="Note 3 9 4 2 3" xfId="29903" xr:uid="{00000000-0005-0000-0000-000021740000}"/>
    <cellStyle name="Note 3 9 4 3" xfId="28458" xr:uid="{00000000-0005-0000-0000-000022740000}"/>
    <cellStyle name="Note 3 9 4 3 2" xfId="30418" xr:uid="{00000000-0005-0000-0000-000023740000}"/>
    <cellStyle name="Note 3 9 4 4" xfId="29438" xr:uid="{00000000-0005-0000-0000-000024740000}"/>
    <cellStyle name="Note 3 9 5" xfId="27568" xr:uid="{00000000-0005-0000-0000-000025740000}"/>
    <cellStyle name="Note 3 9 5 2" xfId="28034" xr:uid="{00000000-0005-0000-0000-000026740000}"/>
    <cellStyle name="Note 3 9 5 2 2" xfId="29021" xr:uid="{00000000-0005-0000-0000-000027740000}"/>
    <cellStyle name="Note 3 9 5 2 2 2" xfId="30981" xr:uid="{00000000-0005-0000-0000-000028740000}"/>
    <cellStyle name="Note 3 9 5 2 3" xfId="30001" xr:uid="{00000000-0005-0000-0000-000029740000}"/>
    <cellStyle name="Note 3 9 5 3" xfId="27837" xr:uid="{00000000-0005-0000-0000-00002A740000}"/>
    <cellStyle name="Note 3 9 5 3 2" xfId="28824" xr:uid="{00000000-0005-0000-0000-00002B740000}"/>
    <cellStyle name="Note 3 9 5 3 2 2" xfId="30784" xr:uid="{00000000-0005-0000-0000-00002C740000}"/>
    <cellStyle name="Note 3 9 5 3 3" xfId="29804" xr:uid="{00000000-0005-0000-0000-00002D740000}"/>
    <cellStyle name="Note 3 9 5 4" xfId="28556" xr:uid="{00000000-0005-0000-0000-00002E740000}"/>
    <cellStyle name="Note 3 9 5 4 2" xfId="30516" xr:uid="{00000000-0005-0000-0000-00002F740000}"/>
    <cellStyle name="Note 3 9 5 5" xfId="29536" xr:uid="{00000000-0005-0000-0000-000030740000}"/>
    <cellStyle name="Note 3 9 6" xfId="27666" xr:uid="{00000000-0005-0000-0000-000031740000}"/>
    <cellStyle name="Note 3 9 6 2" xfId="28132" xr:uid="{00000000-0005-0000-0000-000032740000}"/>
    <cellStyle name="Note 3 9 6 2 2" xfId="29119" xr:uid="{00000000-0005-0000-0000-000033740000}"/>
    <cellStyle name="Note 3 9 6 2 2 2" xfId="31079" xr:uid="{00000000-0005-0000-0000-000034740000}"/>
    <cellStyle name="Note 3 9 6 2 3" xfId="30099" xr:uid="{00000000-0005-0000-0000-000035740000}"/>
    <cellStyle name="Note 3 9 6 3" xfId="28271" xr:uid="{00000000-0005-0000-0000-000036740000}"/>
    <cellStyle name="Note 3 9 6 3 2" xfId="29258" xr:uid="{00000000-0005-0000-0000-000037740000}"/>
    <cellStyle name="Note 3 9 6 3 2 2" xfId="31218" xr:uid="{00000000-0005-0000-0000-000038740000}"/>
    <cellStyle name="Note 3 9 6 3 3" xfId="30238" xr:uid="{00000000-0005-0000-0000-000039740000}"/>
    <cellStyle name="Note 3 9 6 4" xfId="28654" xr:uid="{00000000-0005-0000-0000-00003A740000}"/>
    <cellStyle name="Note 3 9 6 4 2" xfId="30614" xr:uid="{00000000-0005-0000-0000-00003B740000}"/>
    <cellStyle name="Note 3 9 6 5" xfId="29634" xr:uid="{00000000-0005-0000-0000-00003C740000}"/>
    <cellStyle name="Note 3 9 7" xfId="27806" xr:uid="{00000000-0005-0000-0000-00003D740000}"/>
    <cellStyle name="Note 3 9 7 2" xfId="28794" xr:uid="{00000000-0005-0000-0000-00003E740000}"/>
    <cellStyle name="Note 3 9 7 2 2" xfId="30754" xr:uid="{00000000-0005-0000-0000-00003F740000}"/>
    <cellStyle name="Note 3 9 7 3" xfId="29774" xr:uid="{00000000-0005-0000-0000-000040740000}"/>
    <cellStyle name="Note 3 9 8" xfId="28360" xr:uid="{00000000-0005-0000-0000-000041740000}"/>
    <cellStyle name="Note 3 9 8 2" xfId="30320" xr:uid="{00000000-0005-0000-0000-000042740000}"/>
    <cellStyle name="Note 3 9 9" xfId="29340" xr:uid="{00000000-0005-0000-0000-000043740000}"/>
    <cellStyle name="Note 4" xfId="1634" xr:uid="{00000000-0005-0000-0000-000044740000}"/>
    <cellStyle name="Note 4 2" xfId="27191" xr:uid="{00000000-0005-0000-0000-000045740000}"/>
    <cellStyle name="Note 5" xfId="3209" xr:uid="{00000000-0005-0000-0000-000046740000}"/>
    <cellStyle name="Note 6" xfId="3210" xr:uid="{00000000-0005-0000-0000-000047740000}"/>
    <cellStyle name="Note 7" xfId="3211" xr:uid="{00000000-0005-0000-0000-000048740000}"/>
    <cellStyle name="Note 8" xfId="3212" xr:uid="{00000000-0005-0000-0000-000049740000}"/>
    <cellStyle name="Note 9" xfId="3213" xr:uid="{00000000-0005-0000-0000-00004A740000}"/>
    <cellStyle name="Output" xfId="15" builtinId="21" customBuiltin="1"/>
    <cellStyle name="Output 10" xfId="3214" xr:uid="{00000000-0005-0000-0000-00004C740000}"/>
    <cellStyle name="Output 11" xfId="3215" xr:uid="{00000000-0005-0000-0000-00004D740000}"/>
    <cellStyle name="Output 12" xfId="3216" xr:uid="{00000000-0005-0000-0000-00004E740000}"/>
    <cellStyle name="Output 13" xfId="3217" xr:uid="{00000000-0005-0000-0000-00004F740000}"/>
    <cellStyle name="Output 14" xfId="3218" xr:uid="{00000000-0005-0000-0000-000050740000}"/>
    <cellStyle name="Output 15" xfId="3219" xr:uid="{00000000-0005-0000-0000-000051740000}"/>
    <cellStyle name="Output 16" xfId="3220" xr:uid="{00000000-0005-0000-0000-000052740000}"/>
    <cellStyle name="Output 17" xfId="3221" xr:uid="{00000000-0005-0000-0000-000053740000}"/>
    <cellStyle name="Output 18" xfId="3222" xr:uid="{00000000-0005-0000-0000-000054740000}"/>
    <cellStyle name="Output 19" xfId="3223" xr:uid="{00000000-0005-0000-0000-000055740000}"/>
    <cellStyle name="Output 2" xfId="1635" xr:uid="{00000000-0005-0000-0000-000056740000}"/>
    <cellStyle name="Output 2 10" xfId="3224" xr:uid="{00000000-0005-0000-0000-000057740000}"/>
    <cellStyle name="Output 2 11" xfId="3225" xr:uid="{00000000-0005-0000-0000-000058740000}"/>
    <cellStyle name="Output 2 12" xfId="3226" xr:uid="{00000000-0005-0000-0000-000059740000}"/>
    <cellStyle name="Output 2 13" xfId="3227" xr:uid="{00000000-0005-0000-0000-00005A740000}"/>
    <cellStyle name="Output 2 14" xfId="3228" xr:uid="{00000000-0005-0000-0000-00005B740000}"/>
    <cellStyle name="Output 2 15" xfId="3229" xr:uid="{00000000-0005-0000-0000-00005C740000}"/>
    <cellStyle name="Output 2 16" xfId="14965" xr:uid="{00000000-0005-0000-0000-00005D740000}"/>
    <cellStyle name="Output 2 16 10" xfId="31275" xr:uid="{00000000-0005-0000-0000-00005E740000}"/>
    <cellStyle name="Output 2 16 2" xfId="15005" xr:uid="{00000000-0005-0000-0000-00005F740000}"/>
    <cellStyle name="Output 2 16 2 2" xfId="27390" xr:uid="{00000000-0005-0000-0000-000060740000}"/>
    <cellStyle name="Output 2 16 2 2 2" xfId="27501" xr:uid="{00000000-0005-0000-0000-000061740000}"/>
    <cellStyle name="Output 2 16 2 2 2 2" xfId="27967" xr:uid="{00000000-0005-0000-0000-000062740000}"/>
    <cellStyle name="Output 2 16 2 2 2 2 2" xfId="28954" xr:uid="{00000000-0005-0000-0000-000063740000}"/>
    <cellStyle name="Output 2 16 2 2 2 2 2 2" xfId="30914" xr:uid="{00000000-0005-0000-0000-000064740000}"/>
    <cellStyle name="Output 2 16 2 2 2 2 3" xfId="29934" xr:uid="{00000000-0005-0000-0000-000065740000}"/>
    <cellStyle name="Output 2 16 2 2 2 3" xfId="28489" xr:uid="{00000000-0005-0000-0000-000066740000}"/>
    <cellStyle name="Output 2 16 2 2 2 3 2" xfId="30449" xr:uid="{00000000-0005-0000-0000-000067740000}"/>
    <cellStyle name="Output 2 16 2 2 2 4" xfId="29469" xr:uid="{00000000-0005-0000-0000-000068740000}"/>
    <cellStyle name="Output 2 16 2 2 3" xfId="27599" xr:uid="{00000000-0005-0000-0000-000069740000}"/>
    <cellStyle name="Output 2 16 2 2 3 2" xfId="28065" xr:uid="{00000000-0005-0000-0000-00006A740000}"/>
    <cellStyle name="Output 2 16 2 2 3 2 2" xfId="29052" xr:uid="{00000000-0005-0000-0000-00006B740000}"/>
    <cellStyle name="Output 2 16 2 2 3 2 2 2" xfId="31012" xr:uid="{00000000-0005-0000-0000-00006C740000}"/>
    <cellStyle name="Output 2 16 2 2 3 2 3" xfId="30032" xr:uid="{00000000-0005-0000-0000-00006D740000}"/>
    <cellStyle name="Output 2 16 2 2 3 3" xfId="28210" xr:uid="{00000000-0005-0000-0000-00006E740000}"/>
    <cellStyle name="Output 2 16 2 2 3 3 2" xfId="29197" xr:uid="{00000000-0005-0000-0000-00006F740000}"/>
    <cellStyle name="Output 2 16 2 2 3 3 2 2" xfId="31157" xr:uid="{00000000-0005-0000-0000-000070740000}"/>
    <cellStyle name="Output 2 16 2 2 3 3 3" xfId="30177" xr:uid="{00000000-0005-0000-0000-000071740000}"/>
    <cellStyle name="Output 2 16 2 2 3 4" xfId="28587" xr:uid="{00000000-0005-0000-0000-000072740000}"/>
    <cellStyle name="Output 2 16 2 2 3 4 2" xfId="30547" xr:uid="{00000000-0005-0000-0000-000073740000}"/>
    <cellStyle name="Output 2 16 2 2 3 5" xfId="29567" xr:uid="{00000000-0005-0000-0000-000074740000}"/>
    <cellStyle name="Output 2 16 2 2 4" xfId="27697" xr:uid="{00000000-0005-0000-0000-000075740000}"/>
    <cellStyle name="Output 2 16 2 2 4 2" xfId="28163" xr:uid="{00000000-0005-0000-0000-000076740000}"/>
    <cellStyle name="Output 2 16 2 2 4 2 2" xfId="29150" xr:uid="{00000000-0005-0000-0000-000077740000}"/>
    <cellStyle name="Output 2 16 2 2 4 2 2 2" xfId="31110" xr:uid="{00000000-0005-0000-0000-000078740000}"/>
    <cellStyle name="Output 2 16 2 2 4 2 3" xfId="30130" xr:uid="{00000000-0005-0000-0000-000079740000}"/>
    <cellStyle name="Output 2 16 2 2 4 3" xfId="28246" xr:uid="{00000000-0005-0000-0000-00007A740000}"/>
    <cellStyle name="Output 2 16 2 2 4 3 2" xfId="29233" xr:uid="{00000000-0005-0000-0000-00007B740000}"/>
    <cellStyle name="Output 2 16 2 2 4 3 2 2" xfId="31193" xr:uid="{00000000-0005-0000-0000-00007C740000}"/>
    <cellStyle name="Output 2 16 2 2 4 3 3" xfId="30213" xr:uid="{00000000-0005-0000-0000-00007D740000}"/>
    <cellStyle name="Output 2 16 2 2 4 4" xfId="28685" xr:uid="{00000000-0005-0000-0000-00007E740000}"/>
    <cellStyle name="Output 2 16 2 2 4 4 2" xfId="30645" xr:uid="{00000000-0005-0000-0000-00007F740000}"/>
    <cellStyle name="Output 2 16 2 2 4 5" xfId="29665" xr:uid="{00000000-0005-0000-0000-000080740000}"/>
    <cellStyle name="Output 2 16 2 2 5" xfId="27869" xr:uid="{00000000-0005-0000-0000-000081740000}"/>
    <cellStyle name="Output 2 16 2 2 5 2" xfId="28856" xr:uid="{00000000-0005-0000-0000-000082740000}"/>
    <cellStyle name="Output 2 16 2 2 5 2 2" xfId="30816" xr:uid="{00000000-0005-0000-0000-000083740000}"/>
    <cellStyle name="Output 2 16 2 2 5 3" xfId="29836" xr:uid="{00000000-0005-0000-0000-000084740000}"/>
    <cellStyle name="Output 2 16 2 2 6" xfId="28391" xr:uid="{00000000-0005-0000-0000-000085740000}"/>
    <cellStyle name="Output 2 16 2 2 6 2" xfId="30351" xr:uid="{00000000-0005-0000-0000-000086740000}"/>
    <cellStyle name="Output 2 16 2 2 7" xfId="29371" xr:uid="{00000000-0005-0000-0000-000087740000}"/>
    <cellStyle name="Output 2 16 2 2 8" xfId="31331" xr:uid="{00000000-0005-0000-0000-000088740000}"/>
    <cellStyle name="Output 2 16 2 3" xfId="27457" xr:uid="{00000000-0005-0000-0000-000089740000}"/>
    <cellStyle name="Output 2 16 2 3 2" xfId="27923" xr:uid="{00000000-0005-0000-0000-00008A740000}"/>
    <cellStyle name="Output 2 16 2 3 2 2" xfId="28910" xr:uid="{00000000-0005-0000-0000-00008B740000}"/>
    <cellStyle name="Output 2 16 2 3 2 2 2" xfId="30870" xr:uid="{00000000-0005-0000-0000-00008C740000}"/>
    <cellStyle name="Output 2 16 2 3 2 3" xfId="29890" xr:uid="{00000000-0005-0000-0000-00008D740000}"/>
    <cellStyle name="Output 2 16 2 3 3" xfId="28445" xr:uid="{00000000-0005-0000-0000-00008E740000}"/>
    <cellStyle name="Output 2 16 2 3 3 2" xfId="30405" xr:uid="{00000000-0005-0000-0000-00008F740000}"/>
    <cellStyle name="Output 2 16 2 3 4" xfId="29425" xr:uid="{00000000-0005-0000-0000-000090740000}"/>
    <cellStyle name="Output 2 16 2 4" xfId="27555" xr:uid="{00000000-0005-0000-0000-000091740000}"/>
    <cellStyle name="Output 2 16 2 4 2" xfId="28021" xr:uid="{00000000-0005-0000-0000-000092740000}"/>
    <cellStyle name="Output 2 16 2 4 2 2" xfId="29008" xr:uid="{00000000-0005-0000-0000-000093740000}"/>
    <cellStyle name="Output 2 16 2 4 2 2 2" xfId="30968" xr:uid="{00000000-0005-0000-0000-000094740000}"/>
    <cellStyle name="Output 2 16 2 4 2 3" xfId="29988" xr:uid="{00000000-0005-0000-0000-000095740000}"/>
    <cellStyle name="Output 2 16 2 4 3" xfId="28194" xr:uid="{00000000-0005-0000-0000-000096740000}"/>
    <cellStyle name="Output 2 16 2 4 3 2" xfId="29181" xr:uid="{00000000-0005-0000-0000-000097740000}"/>
    <cellStyle name="Output 2 16 2 4 3 2 2" xfId="31141" xr:uid="{00000000-0005-0000-0000-000098740000}"/>
    <cellStyle name="Output 2 16 2 4 3 3" xfId="30161" xr:uid="{00000000-0005-0000-0000-000099740000}"/>
    <cellStyle name="Output 2 16 2 4 4" xfId="28543" xr:uid="{00000000-0005-0000-0000-00009A740000}"/>
    <cellStyle name="Output 2 16 2 4 4 2" xfId="30503" xr:uid="{00000000-0005-0000-0000-00009B740000}"/>
    <cellStyle name="Output 2 16 2 4 5" xfId="29523" xr:uid="{00000000-0005-0000-0000-00009C740000}"/>
    <cellStyle name="Output 2 16 2 5" xfId="27653" xr:uid="{00000000-0005-0000-0000-00009D740000}"/>
    <cellStyle name="Output 2 16 2 5 2" xfId="28119" xr:uid="{00000000-0005-0000-0000-00009E740000}"/>
    <cellStyle name="Output 2 16 2 5 2 2" xfId="29106" xr:uid="{00000000-0005-0000-0000-00009F740000}"/>
    <cellStyle name="Output 2 16 2 5 2 2 2" xfId="31066" xr:uid="{00000000-0005-0000-0000-0000A0740000}"/>
    <cellStyle name="Output 2 16 2 5 2 3" xfId="30086" xr:uid="{00000000-0005-0000-0000-0000A1740000}"/>
    <cellStyle name="Output 2 16 2 5 3" xfId="28230" xr:uid="{00000000-0005-0000-0000-0000A2740000}"/>
    <cellStyle name="Output 2 16 2 5 3 2" xfId="29217" xr:uid="{00000000-0005-0000-0000-0000A3740000}"/>
    <cellStyle name="Output 2 16 2 5 3 2 2" xfId="31177" xr:uid="{00000000-0005-0000-0000-0000A4740000}"/>
    <cellStyle name="Output 2 16 2 5 3 3" xfId="30197" xr:uid="{00000000-0005-0000-0000-0000A5740000}"/>
    <cellStyle name="Output 2 16 2 5 4" xfId="28641" xr:uid="{00000000-0005-0000-0000-0000A6740000}"/>
    <cellStyle name="Output 2 16 2 5 4 2" xfId="30601" xr:uid="{00000000-0005-0000-0000-0000A7740000}"/>
    <cellStyle name="Output 2 16 2 5 5" xfId="29621" xr:uid="{00000000-0005-0000-0000-0000A8740000}"/>
    <cellStyle name="Output 2 16 2 6" xfId="27793" xr:uid="{00000000-0005-0000-0000-0000A9740000}"/>
    <cellStyle name="Output 2 16 2 6 2" xfId="28781" xr:uid="{00000000-0005-0000-0000-0000AA740000}"/>
    <cellStyle name="Output 2 16 2 6 2 2" xfId="30741" xr:uid="{00000000-0005-0000-0000-0000AB740000}"/>
    <cellStyle name="Output 2 16 2 6 3" xfId="29761" xr:uid="{00000000-0005-0000-0000-0000AC740000}"/>
    <cellStyle name="Output 2 16 2 7" xfId="28347" xr:uid="{00000000-0005-0000-0000-0000AD740000}"/>
    <cellStyle name="Output 2 16 2 7 2" xfId="30307" xr:uid="{00000000-0005-0000-0000-0000AE740000}"/>
    <cellStyle name="Output 2 16 2 8" xfId="29327" xr:uid="{00000000-0005-0000-0000-0000AF740000}"/>
    <cellStyle name="Output 2 16 2 9" xfId="31287" xr:uid="{00000000-0005-0000-0000-0000B0740000}"/>
    <cellStyle name="Output 2 16 3" xfId="27378" xr:uid="{00000000-0005-0000-0000-0000B1740000}"/>
    <cellStyle name="Output 2 16 3 2" xfId="27489" xr:uid="{00000000-0005-0000-0000-0000B2740000}"/>
    <cellStyle name="Output 2 16 3 2 2" xfId="27955" xr:uid="{00000000-0005-0000-0000-0000B3740000}"/>
    <cellStyle name="Output 2 16 3 2 2 2" xfId="28942" xr:uid="{00000000-0005-0000-0000-0000B4740000}"/>
    <cellStyle name="Output 2 16 3 2 2 2 2" xfId="30902" xr:uid="{00000000-0005-0000-0000-0000B5740000}"/>
    <cellStyle name="Output 2 16 3 2 2 3" xfId="29922" xr:uid="{00000000-0005-0000-0000-0000B6740000}"/>
    <cellStyle name="Output 2 16 3 2 3" xfId="28477" xr:uid="{00000000-0005-0000-0000-0000B7740000}"/>
    <cellStyle name="Output 2 16 3 2 3 2" xfId="30437" xr:uid="{00000000-0005-0000-0000-0000B8740000}"/>
    <cellStyle name="Output 2 16 3 2 4" xfId="29457" xr:uid="{00000000-0005-0000-0000-0000B9740000}"/>
    <cellStyle name="Output 2 16 3 3" xfId="27587" xr:uid="{00000000-0005-0000-0000-0000BA740000}"/>
    <cellStyle name="Output 2 16 3 3 2" xfId="28053" xr:uid="{00000000-0005-0000-0000-0000BB740000}"/>
    <cellStyle name="Output 2 16 3 3 2 2" xfId="29040" xr:uid="{00000000-0005-0000-0000-0000BC740000}"/>
    <cellStyle name="Output 2 16 3 3 2 2 2" xfId="31000" xr:uid="{00000000-0005-0000-0000-0000BD740000}"/>
    <cellStyle name="Output 2 16 3 3 2 3" xfId="30020" xr:uid="{00000000-0005-0000-0000-0000BE740000}"/>
    <cellStyle name="Output 2 16 3 3 3" xfId="28203" xr:uid="{00000000-0005-0000-0000-0000BF740000}"/>
    <cellStyle name="Output 2 16 3 3 3 2" xfId="29190" xr:uid="{00000000-0005-0000-0000-0000C0740000}"/>
    <cellStyle name="Output 2 16 3 3 3 2 2" xfId="31150" xr:uid="{00000000-0005-0000-0000-0000C1740000}"/>
    <cellStyle name="Output 2 16 3 3 3 3" xfId="30170" xr:uid="{00000000-0005-0000-0000-0000C2740000}"/>
    <cellStyle name="Output 2 16 3 3 4" xfId="28575" xr:uid="{00000000-0005-0000-0000-0000C3740000}"/>
    <cellStyle name="Output 2 16 3 3 4 2" xfId="30535" xr:uid="{00000000-0005-0000-0000-0000C4740000}"/>
    <cellStyle name="Output 2 16 3 3 5" xfId="29555" xr:uid="{00000000-0005-0000-0000-0000C5740000}"/>
    <cellStyle name="Output 2 16 3 4" xfId="27685" xr:uid="{00000000-0005-0000-0000-0000C6740000}"/>
    <cellStyle name="Output 2 16 3 4 2" xfId="28151" xr:uid="{00000000-0005-0000-0000-0000C7740000}"/>
    <cellStyle name="Output 2 16 3 4 2 2" xfId="29138" xr:uid="{00000000-0005-0000-0000-0000C8740000}"/>
    <cellStyle name="Output 2 16 3 4 2 2 2" xfId="31098" xr:uid="{00000000-0005-0000-0000-0000C9740000}"/>
    <cellStyle name="Output 2 16 3 4 2 3" xfId="30118" xr:uid="{00000000-0005-0000-0000-0000CA740000}"/>
    <cellStyle name="Output 2 16 3 4 3" xfId="28239" xr:uid="{00000000-0005-0000-0000-0000CB740000}"/>
    <cellStyle name="Output 2 16 3 4 3 2" xfId="29226" xr:uid="{00000000-0005-0000-0000-0000CC740000}"/>
    <cellStyle name="Output 2 16 3 4 3 2 2" xfId="31186" xr:uid="{00000000-0005-0000-0000-0000CD740000}"/>
    <cellStyle name="Output 2 16 3 4 3 3" xfId="30206" xr:uid="{00000000-0005-0000-0000-0000CE740000}"/>
    <cellStyle name="Output 2 16 3 4 4" xfId="28673" xr:uid="{00000000-0005-0000-0000-0000CF740000}"/>
    <cellStyle name="Output 2 16 3 4 4 2" xfId="30633" xr:uid="{00000000-0005-0000-0000-0000D0740000}"/>
    <cellStyle name="Output 2 16 3 4 5" xfId="29653" xr:uid="{00000000-0005-0000-0000-0000D1740000}"/>
    <cellStyle name="Output 2 16 3 5" xfId="27857" xr:uid="{00000000-0005-0000-0000-0000D2740000}"/>
    <cellStyle name="Output 2 16 3 5 2" xfId="28844" xr:uid="{00000000-0005-0000-0000-0000D3740000}"/>
    <cellStyle name="Output 2 16 3 5 2 2" xfId="30804" xr:uid="{00000000-0005-0000-0000-0000D4740000}"/>
    <cellStyle name="Output 2 16 3 5 3" xfId="29824" xr:uid="{00000000-0005-0000-0000-0000D5740000}"/>
    <cellStyle name="Output 2 16 3 6" xfId="28379" xr:uid="{00000000-0005-0000-0000-0000D6740000}"/>
    <cellStyle name="Output 2 16 3 6 2" xfId="30339" xr:uid="{00000000-0005-0000-0000-0000D7740000}"/>
    <cellStyle name="Output 2 16 3 7" xfId="29359" xr:uid="{00000000-0005-0000-0000-0000D8740000}"/>
    <cellStyle name="Output 2 16 3 8" xfId="31319" xr:uid="{00000000-0005-0000-0000-0000D9740000}"/>
    <cellStyle name="Output 2 16 4" xfId="27445" xr:uid="{00000000-0005-0000-0000-0000DA740000}"/>
    <cellStyle name="Output 2 16 4 2" xfId="27911" xr:uid="{00000000-0005-0000-0000-0000DB740000}"/>
    <cellStyle name="Output 2 16 4 2 2" xfId="28898" xr:uid="{00000000-0005-0000-0000-0000DC740000}"/>
    <cellStyle name="Output 2 16 4 2 2 2" xfId="30858" xr:uid="{00000000-0005-0000-0000-0000DD740000}"/>
    <cellStyle name="Output 2 16 4 2 3" xfId="29878" xr:uid="{00000000-0005-0000-0000-0000DE740000}"/>
    <cellStyle name="Output 2 16 4 3" xfId="28433" xr:uid="{00000000-0005-0000-0000-0000DF740000}"/>
    <cellStyle name="Output 2 16 4 3 2" xfId="30393" xr:uid="{00000000-0005-0000-0000-0000E0740000}"/>
    <cellStyle name="Output 2 16 4 4" xfId="29413" xr:uid="{00000000-0005-0000-0000-0000E1740000}"/>
    <cellStyle name="Output 2 16 5" xfId="27543" xr:uid="{00000000-0005-0000-0000-0000E2740000}"/>
    <cellStyle name="Output 2 16 5 2" xfId="28009" xr:uid="{00000000-0005-0000-0000-0000E3740000}"/>
    <cellStyle name="Output 2 16 5 2 2" xfId="28996" xr:uid="{00000000-0005-0000-0000-0000E4740000}"/>
    <cellStyle name="Output 2 16 5 2 2 2" xfId="30956" xr:uid="{00000000-0005-0000-0000-0000E5740000}"/>
    <cellStyle name="Output 2 16 5 2 3" xfId="29976" xr:uid="{00000000-0005-0000-0000-0000E6740000}"/>
    <cellStyle name="Output 2 16 5 3" xfId="28187" xr:uid="{00000000-0005-0000-0000-0000E7740000}"/>
    <cellStyle name="Output 2 16 5 3 2" xfId="29174" xr:uid="{00000000-0005-0000-0000-0000E8740000}"/>
    <cellStyle name="Output 2 16 5 3 2 2" xfId="31134" xr:uid="{00000000-0005-0000-0000-0000E9740000}"/>
    <cellStyle name="Output 2 16 5 3 3" xfId="30154" xr:uid="{00000000-0005-0000-0000-0000EA740000}"/>
    <cellStyle name="Output 2 16 5 4" xfId="28531" xr:uid="{00000000-0005-0000-0000-0000EB740000}"/>
    <cellStyle name="Output 2 16 5 4 2" xfId="30491" xr:uid="{00000000-0005-0000-0000-0000EC740000}"/>
    <cellStyle name="Output 2 16 5 5" xfId="29511" xr:uid="{00000000-0005-0000-0000-0000ED740000}"/>
    <cellStyle name="Output 2 16 6" xfId="27641" xr:uid="{00000000-0005-0000-0000-0000EE740000}"/>
    <cellStyle name="Output 2 16 6 2" xfId="28107" xr:uid="{00000000-0005-0000-0000-0000EF740000}"/>
    <cellStyle name="Output 2 16 6 2 2" xfId="29094" xr:uid="{00000000-0005-0000-0000-0000F0740000}"/>
    <cellStyle name="Output 2 16 6 2 2 2" xfId="31054" xr:uid="{00000000-0005-0000-0000-0000F1740000}"/>
    <cellStyle name="Output 2 16 6 2 3" xfId="30074" xr:uid="{00000000-0005-0000-0000-0000F2740000}"/>
    <cellStyle name="Output 2 16 6 3" xfId="28223" xr:uid="{00000000-0005-0000-0000-0000F3740000}"/>
    <cellStyle name="Output 2 16 6 3 2" xfId="29210" xr:uid="{00000000-0005-0000-0000-0000F4740000}"/>
    <cellStyle name="Output 2 16 6 3 2 2" xfId="31170" xr:uid="{00000000-0005-0000-0000-0000F5740000}"/>
    <cellStyle name="Output 2 16 6 3 3" xfId="30190" xr:uid="{00000000-0005-0000-0000-0000F6740000}"/>
    <cellStyle name="Output 2 16 6 4" xfId="28629" xr:uid="{00000000-0005-0000-0000-0000F7740000}"/>
    <cellStyle name="Output 2 16 6 4 2" xfId="30589" xr:uid="{00000000-0005-0000-0000-0000F8740000}"/>
    <cellStyle name="Output 2 16 6 5" xfId="29609" xr:uid="{00000000-0005-0000-0000-0000F9740000}"/>
    <cellStyle name="Output 2 16 7" xfId="27781" xr:uid="{00000000-0005-0000-0000-0000FA740000}"/>
    <cellStyle name="Output 2 16 7 2" xfId="28769" xr:uid="{00000000-0005-0000-0000-0000FB740000}"/>
    <cellStyle name="Output 2 16 7 2 2" xfId="30729" xr:uid="{00000000-0005-0000-0000-0000FC740000}"/>
    <cellStyle name="Output 2 16 7 3" xfId="29749" xr:uid="{00000000-0005-0000-0000-0000FD740000}"/>
    <cellStyle name="Output 2 16 8" xfId="28335" xr:uid="{00000000-0005-0000-0000-0000FE740000}"/>
    <cellStyle name="Output 2 16 8 2" xfId="30295" xr:uid="{00000000-0005-0000-0000-0000FF740000}"/>
    <cellStyle name="Output 2 16 9" xfId="29315" xr:uid="{00000000-0005-0000-0000-000000750000}"/>
    <cellStyle name="Output 2 17" xfId="14948" xr:uid="{00000000-0005-0000-0000-000001750000}"/>
    <cellStyle name="Output 2 17 2" xfId="27368" xr:uid="{00000000-0005-0000-0000-000002750000}"/>
    <cellStyle name="Output 2 17 2 2" xfId="27479" xr:uid="{00000000-0005-0000-0000-000003750000}"/>
    <cellStyle name="Output 2 17 2 2 2" xfId="27945" xr:uid="{00000000-0005-0000-0000-000004750000}"/>
    <cellStyle name="Output 2 17 2 2 2 2" xfId="28932" xr:uid="{00000000-0005-0000-0000-000005750000}"/>
    <cellStyle name="Output 2 17 2 2 2 2 2" xfId="30892" xr:uid="{00000000-0005-0000-0000-000006750000}"/>
    <cellStyle name="Output 2 17 2 2 2 3" xfId="29912" xr:uid="{00000000-0005-0000-0000-000007750000}"/>
    <cellStyle name="Output 2 17 2 2 3" xfId="28467" xr:uid="{00000000-0005-0000-0000-000008750000}"/>
    <cellStyle name="Output 2 17 2 2 3 2" xfId="30427" xr:uid="{00000000-0005-0000-0000-000009750000}"/>
    <cellStyle name="Output 2 17 2 2 4" xfId="29447" xr:uid="{00000000-0005-0000-0000-00000A750000}"/>
    <cellStyle name="Output 2 17 2 3" xfId="27577" xr:uid="{00000000-0005-0000-0000-00000B750000}"/>
    <cellStyle name="Output 2 17 2 3 2" xfId="28043" xr:uid="{00000000-0005-0000-0000-00000C750000}"/>
    <cellStyle name="Output 2 17 2 3 2 2" xfId="29030" xr:uid="{00000000-0005-0000-0000-00000D750000}"/>
    <cellStyle name="Output 2 17 2 3 2 2 2" xfId="30990" xr:uid="{00000000-0005-0000-0000-00000E750000}"/>
    <cellStyle name="Output 2 17 2 3 2 3" xfId="30010" xr:uid="{00000000-0005-0000-0000-00000F750000}"/>
    <cellStyle name="Output 2 17 2 3 3" xfId="28199" xr:uid="{00000000-0005-0000-0000-000010750000}"/>
    <cellStyle name="Output 2 17 2 3 3 2" xfId="29186" xr:uid="{00000000-0005-0000-0000-000011750000}"/>
    <cellStyle name="Output 2 17 2 3 3 2 2" xfId="31146" xr:uid="{00000000-0005-0000-0000-000012750000}"/>
    <cellStyle name="Output 2 17 2 3 3 3" xfId="30166" xr:uid="{00000000-0005-0000-0000-000013750000}"/>
    <cellStyle name="Output 2 17 2 3 4" xfId="28565" xr:uid="{00000000-0005-0000-0000-000014750000}"/>
    <cellStyle name="Output 2 17 2 3 4 2" xfId="30525" xr:uid="{00000000-0005-0000-0000-000015750000}"/>
    <cellStyle name="Output 2 17 2 3 5" xfId="29545" xr:uid="{00000000-0005-0000-0000-000016750000}"/>
    <cellStyle name="Output 2 17 2 4" xfId="27675" xr:uid="{00000000-0005-0000-0000-000017750000}"/>
    <cellStyle name="Output 2 17 2 4 2" xfId="28141" xr:uid="{00000000-0005-0000-0000-000018750000}"/>
    <cellStyle name="Output 2 17 2 4 2 2" xfId="29128" xr:uid="{00000000-0005-0000-0000-000019750000}"/>
    <cellStyle name="Output 2 17 2 4 2 2 2" xfId="31088" xr:uid="{00000000-0005-0000-0000-00001A750000}"/>
    <cellStyle name="Output 2 17 2 4 2 3" xfId="30108" xr:uid="{00000000-0005-0000-0000-00001B750000}"/>
    <cellStyle name="Output 2 17 2 4 3" xfId="28235" xr:uid="{00000000-0005-0000-0000-00001C750000}"/>
    <cellStyle name="Output 2 17 2 4 3 2" xfId="29222" xr:uid="{00000000-0005-0000-0000-00001D750000}"/>
    <cellStyle name="Output 2 17 2 4 3 2 2" xfId="31182" xr:uid="{00000000-0005-0000-0000-00001E750000}"/>
    <cellStyle name="Output 2 17 2 4 3 3" xfId="30202" xr:uid="{00000000-0005-0000-0000-00001F750000}"/>
    <cellStyle name="Output 2 17 2 4 4" xfId="28663" xr:uid="{00000000-0005-0000-0000-000020750000}"/>
    <cellStyle name="Output 2 17 2 4 4 2" xfId="30623" xr:uid="{00000000-0005-0000-0000-000021750000}"/>
    <cellStyle name="Output 2 17 2 4 5" xfId="29643" xr:uid="{00000000-0005-0000-0000-000022750000}"/>
    <cellStyle name="Output 2 17 2 5" xfId="27847" xr:uid="{00000000-0005-0000-0000-000023750000}"/>
    <cellStyle name="Output 2 17 2 5 2" xfId="28834" xr:uid="{00000000-0005-0000-0000-000024750000}"/>
    <cellStyle name="Output 2 17 2 5 2 2" xfId="30794" xr:uid="{00000000-0005-0000-0000-000025750000}"/>
    <cellStyle name="Output 2 17 2 5 3" xfId="29814" xr:uid="{00000000-0005-0000-0000-000026750000}"/>
    <cellStyle name="Output 2 17 2 6" xfId="28369" xr:uid="{00000000-0005-0000-0000-000027750000}"/>
    <cellStyle name="Output 2 17 2 6 2" xfId="30329" xr:uid="{00000000-0005-0000-0000-000028750000}"/>
    <cellStyle name="Output 2 17 2 7" xfId="29349" xr:uid="{00000000-0005-0000-0000-000029750000}"/>
    <cellStyle name="Output 2 17 2 8" xfId="31309" xr:uid="{00000000-0005-0000-0000-00002A750000}"/>
    <cellStyle name="Output 2 17 3" xfId="27435" xr:uid="{00000000-0005-0000-0000-00002B750000}"/>
    <cellStyle name="Output 2 17 3 2" xfId="27901" xr:uid="{00000000-0005-0000-0000-00002C750000}"/>
    <cellStyle name="Output 2 17 3 2 2" xfId="28888" xr:uid="{00000000-0005-0000-0000-00002D750000}"/>
    <cellStyle name="Output 2 17 3 2 2 2" xfId="30848" xr:uid="{00000000-0005-0000-0000-00002E750000}"/>
    <cellStyle name="Output 2 17 3 2 3" xfId="29868" xr:uid="{00000000-0005-0000-0000-00002F750000}"/>
    <cellStyle name="Output 2 17 3 3" xfId="28423" xr:uid="{00000000-0005-0000-0000-000030750000}"/>
    <cellStyle name="Output 2 17 3 3 2" xfId="30383" xr:uid="{00000000-0005-0000-0000-000031750000}"/>
    <cellStyle name="Output 2 17 3 4" xfId="29403" xr:uid="{00000000-0005-0000-0000-000032750000}"/>
    <cellStyle name="Output 2 17 4" xfId="27533" xr:uid="{00000000-0005-0000-0000-000033750000}"/>
    <cellStyle name="Output 2 17 4 2" xfId="27999" xr:uid="{00000000-0005-0000-0000-000034750000}"/>
    <cellStyle name="Output 2 17 4 2 2" xfId="28986" xr:uid="{00000000-0005-0000-0000-000035750000}"/>
    <cellStyle name="Output 2 17 4 2 2 2" xfId="30946" xr:uid="{00000000-0005-0000-0000-000036750000}"/>
    <cellStyle name="Output 2 17 4 2 3" xfId="29966" xr:uid="{00000000-0005-0000-0000-000037750000}"/>
    <cellStyle name="Output 2 17 4 3" xfId="28183" xr:uid="{00000000-0005-0000-0000-000038750000}"/>
    <cellStyle name="Output 2 17 4 3 2" xfId="29170" xr:uid="{00000000-0005-0000-0000-000039750000}"/>
    <cellStyle name="Output 2 17 4 3 2 2" xfId="31130" xr:uid="{00000000-0005-0000-0000-00003A750000}"/>
    <cellStyle name="Output 2 17 4 3 3" xfId="30150" xr:uid="{00000000-0005-0000-0000-00003B750000}"/>
    <cellStyle name="Output 2 17 4 4" xfId="28521" xr:uid="{00000000-0005-0000-0000-00003C750000}"/>
    <cellStyle name="Output 2 17 4 4 2" xfId="30481" xr:uid="{00000000-0005-0000-0000-00003D750000}"/>
    <cellStyle name="Output 2 17 4 5" xfId="29501" xr:uid="{00000000-0005-0000-0000-00003E750000}"/>
    <cellStyle name="Output 2 17 5" xfId="27631" xr:uid="{00000000-0005-0000-0000-00003F750000}"/>
    <cellStyle name="Output 2 17 5 2" xfId="28097" xr:uid="{00000000-0005-0000-0000-000040750000}"/>
    <cellStyle name="Output 2 17 5 2 2" xfId="29084" xr:uid="{00000000-0005-0000-0000-000041750000}"/>
    <cellStyle name="Output 2 17 5 2 2 2" xfId="31044" xr:uid="{00000000-0005-0000-0000-000042750000}"/>
    <cellStyle name="Output 2 17 5 2 3" xfId="30064" xr:uid="{00000000-0005-0000-0000-000043750000}"/>
    <cellStyle name="Output 2 17 5 3" xfId="28219" xr:uid="{00000000-0005-0000-0000-000044750000}"/>
    <cellStyle name="Output 2 17 5 3 2" xfId="29206" xr:uid="{00000000-0005-0000-0000-000045750000}"/>
    <cellStyle name="Output 2 17 5 3 2 2" xfId="31166" xr:uid="{00000000-0005-0000-0000-000046750000}"/>
    <cellStyle name="Output 2 17 5 3 3" xfId="30186" xr:uid="{00000000-0005-0000-0000-000047750000}"/>
    <cellStyle name="Output 2 17 5 4" xfId="28619" xr:uid="{00000000-0005-0000-0000-000048750000}"/>
    <cellStyle name="Output 2 17 5 4 2" xfId="30579" xr:uid="{00000000-0005-0000-0000-000049750000}"/>
    <cellStyle name="Output 2 17 5 5" xfId="29599" xr:uid="{00000000-0005-0000-0000-00004A750000}"/>
    <cellStyle name="Output 2 17 6" xfId="27771" xr:uid="{00000000-0005-0000-0000-00004B750000}"/>
    <cellStyle name="Output 2 17 6 2" xfId="28759" xr:uid="{00000000-0005-0000-0000-00004C750000}"/>
    <cellStyle name="Output 2 17 6 2 2" xfId="30719" xr:uid="{00000000-0005-0000-0000-00004D750000}"/>
    <cellStyle name="Output 2 17 6 3" xfId="29739" xr:uid="{00000000-0005-0000-0000-00004E750000}"/>
    <cellStyle name="Output 2 17 7" xfId="28325" xr:uid="{00000000-0005-0000-0000-00004F750000}"/>
    <cellStyle name="Output 2 17 7 2" xfId="30285" xr:uid="{00000000-0005-0000-0000-000050750000}"/>
    <cellStyle name="Output 2 17 8" xfId="29305" xr:uid="{00000000-0005-0000-0000-000051750000}"/>
    <cellStyle name="Output 2 17 9" xfId="31265" xr:uid="{00000000-0005-0000-0000-000052750000}"/>
    <cellStyle name="Output 2 18" xfId="15015" xr:uid="{00000000-0005-0000-0000-000053750000}"/>
    <cellStyle name="Output 2 18 2" xfId="27400" xr:uid="{00000000-0005-0000-0000-000054750000}"/>
    <cellStyle name="Output 2 18 2 2" xfId="27511" xr:uid="{00000000-0005-0000-0000-000055750000}"/>
    <cellStyle name="Output 2 18 2 2 2" xfId="27977" xr:uid="{00000000-0005-0000-0000-000056750000}"/>
    <cellStyle name="Output 2 18 2 2 2 2" xfId="28964" xr:uid="{00000000-0005-0000-0000-000057750000}"/>
    <cellStyle name="Output 2 18 2 2 2 2 2" xfId="30924" xr:uid="{00000000-0005-0000-0000-000058750000}"/>
    <cellStyle name="Output 2 18 2 2 2 3" xfId="29944" xr:uid="{00000000-0005-0000-0000-000059750000}"/>
    <cellStyle name="Output 2 18 2 2 3" xfId="28499" xr:uid="{00000000-0005-0000-0000-00005A750000}"/>
    <cellStyle name="Output 2 18 2 2 3 2" xfId="30459" xr:uid="{00000000-0005-0000-0000-00005B750000}"/>
    <cellStyle name="Output 2 18 2 2 4" xfId="29479" xr:uid="{00000000-0005-0000-0000-00005C750000}"/>
    <cellStyle name="Output 2 18 2 3" xfId="27609" xr:uid="{00000000-0005-0000-0000-00005D750000}"/>
    <cellStyle name="Output 2 18 2 3 2" xfId="28075" xr:uid="{00000000-0005-0000-0000-00005E750000}"/>
    <cellStyle name="Output 2 18 2 3 2 2" xfId="29062" xr:uid="{00000000-0005-0000-0000-00005F750000}"/>
    <cellStyle name="Output 2 18 2 3 2 2 2" xfId="31022" xr:uid="{00000000-0005-0000-0000-000060750000}"/>
    <cellStyle name="Output 2 18 2 3 2 3" xfId="30042" xr:uid="{00000000-0005-0000-0000-000061750000}"/>
    <cellStyle name="Output 2 18 2 3 3" xfId="28214" xr:uid="{00000000-0005-0000-0000-000062750000}"/>
    <cellStyle name="Output 2 18 2 3 3 2" xfId="29201" xr:uid="{00000000-0005-0000-0000-000063750000}"/>
    <cellStyle name="Output 2 18 2 3 3 2 2" xfId="31161" xr:uid="{00000000-0005-0000-0000-000064750000}"/>
    <cellStyle name="Output 2 18 2 3 3 3" xfId="30181" xr:uid="{00000000-0005-0000-0000-000065750000}"/>
    <cellStyle name="Output 2 18 2 3 4" xfId="28597" xr:uid="{00000000-0005-0000-0000-000066750000}"/>
    <cellStyle name="Output 2 18 2 3 4 2" xfId="30557" xr:uid="{00000000-0005-0000-0000-000067750000}"/>
    <cellStyle name="Output 2 18 2 3 5" xfId="29577" xr:uid="{00000000-0005-0000-0000-000068750000}"/>
    <cellStyle name="Output 2 18 2 4" xfId="27707" xr:uid="{00000000-0005-0000-0000-000069750000}"/>
    <cellStyle name="Output 2 18 2 4 2" xfId="28173" xr:uid="{00000000-0005-0000-0000-00006A750000}"/>
    <cellStyle name="Output 2 18 2 4 2 2" xfId="29160" xr:uid="{00000000-0005-0000-0000-00006B750000}"/>
    <cellStyle name="Output 2 18 2 4 2 2 2" xfId="31120" xr:uid="{00000000-0005-0000-0000-00006C750000}"/>
    <cellStyle name="Output 2 18 2 4 2 3" xfId="30140" xr:uid="{00000000-0005-0000-0000-00006D750000}"/>
    <cellStyle name="Output 2 18 2 4 3" xfId="28250" xr:uid="{00000000-0005-0000-0000-00006E750000}"/>
    <cellStyle name="Output 2 18 2 4 3 2" xfId="29237" xr:uid="{00000000-0005-0000-0000-00006F750000}"/>
    <cellStyle name="Output 2 18 2 4 3 2 2" xfId="31197" xr:uid="{00000000-0005-0000-0000-000070750000}"/>
    <cellStyle name="Output 2 18 2 4 3 3" xfId="30217" xr:uid="{00000000-0005-0000-0000-000071750000}"/>
    <cellStyle name="Output 2 18 2 4 4" xfId="28695" xr:uid="{00000000-0005-0000-0000-000072750000}"/>
    <cellStyle name="Output 2 18 2 4 4 2" xfId="30655" xr:uid="{00000000-0005-0000-0000-000073750000}"/>
    <cellStyle name="Output 2 18 2 4 5" xfId="29675" xr:uid="{00000000-0005-0000-0000-000074750000}"/>
    <cellStyle name="Output 2 18 2 5" xfId="27879" xr:uid="{00000000-0005-0000-0000-000075750000}"/>
    <cellStyle name="Output 2 18 2 5 2" xfId="28866" xr:uid="{00000000-0005-0000-0000-000076750000}"/>
    <cellStyle name="Output 2 18 2 5 2 2" xfId="30826" xr:uid="{00000000-0005-0000-0000-000077750000}"/>
    <cellStyle name="Output 2 18 2 5 3" xfId="29846" xr:uid="{00000000-0005-0000-0000-000078750000}"/>
    <cellStyle name="Output 2 18 2 6" xfId="28401" xr:uid="{00000000-0005-0000-0000-000079750000}"/>
    <cellStyle name="Output 2 18 2 6 2" xfId="30361" xr:uid="{00000000-0005-0000-0000-00007A750000}"/>
    <cellStyle name="Output 2 18 2 7" xfId="29381" xr:uid="{00000000-0005-0000-0000-00007B750000}"/>
    <cellStyle name="Output 2 18 2 8" xfId="31341" xr:uid="{00000000-0005-0000-0000-00007C750000}"/>
    <cellStyle name="Output 2 18 3" xfId="27467" xr:uid="{00000000-0005-0000-0000-00007D750000}"/>
    <cellStyle name="Output 2 18 3 2" xfId="27933" xr:uid="{00000000-0005-0000-0000-00007E750000}"/>
    <cellStyle name="Output 2 18 3 2 2" xfId="28920" xr:uid="{00000000-0005-0000-0000-00007F750000}"/>
    <cellStyle name="Output 2 18 3 2 2 2" xfId="30880" xr:uid="{00000000-0005-0000-0000-000080750000}"/>
    <cellStyle name="Output 2 18 3 2 3" xfId="29900" xr:uid="{00000000-0005-0000-0000-000081750000}"/>
    <cellStyle name="Output 2 18 3 3" xfId="28455" xr:uid="{00000000-0005-0000-0000-000082750000}"/>
    <cellStyle name="Output 2 18 3 3 2" xfId="30415" xr:uid="{00000000-0005-0000-0000-000083750000}"/>
    <cellStyle name="Output 2 18 3 4" xfId="29435" xr:uid="{00000000-0005-0000-0000-000084750000}"/>
    <cellStyle name="Output 2 18 4" xfId="27565" xr:uid="{00000000-0005-0000-0000-000085750000}"/>
    <cellStyle name="Output 2 18 4 2" xfId="28031" xr:uid="{00000000-0005-0000-0000-000086750000}"/>
    <cellStyle name="Output 2 18 4 2 2" xfId="29018" xr:uid="{00000000-0005-0000-0000-000087750000}"/>
    <cellStyle name="Output 2 18 4 2 2 2" xfId="30978" xr:uid="{00000000-0005-0000-0000-000088750000}"/>
    <cellStyle name="Output 2 18 4 2 3" xfId="29998" xr:uid="{00000000-0005-0000-0000-000089750000}"/>
    <cellStyle name="Output 2 18 4 3" xfId="28198" xr:uid="{00000000-0005-0000-0000-00008A750000}"/>
    <cellStyle name="Output 2 18 4 3 2" xfId="29185" xr:uid="{00000000-0005-0000-0000-00008B750000}"/>
    <cellStyle name="Output 2 18 4 3 2 2" xfId="31145" xr:uid="{00000000-0005-0000-0000-00008C750000}"/>
    <cellStyle name="Output 2 18 4 3 3" xfId="30165" xr:uid="{00000000-0005-0000-0000-00008D750000}"/>
    <cellStyle name="Output 2 18 4 4" xfId="28553" xr:uid="{00000000-0005-0000-0000-00008E750000}"/>
    <cellStyle name="Output 2 18 4 4 2" xfId="30513" xr:uid="{00000000-0005-0000-0000-00008F750000}"/>
    <cellStyle name="Output 2 18 4 5" xfId="29533" xr:uid="{00000000-0005-0000-0000-000090750000}"/>
    <cellStyle name="Output 2 18 5" xfId="27663" xr:uid="{00000000-0005-0000-0000-000091750000}"/>
    <cellStyle name="Output 2 18 5 2" xfId="28129" xr:uid="{00000000-0005-0000-0000-000092750000}"/>
    <cellStyle name="Output 2 18 5 2 2" xfId="29116" xr:uid="{00000000-0005-0000-0000-000093750000}"/>
    <cellStyle name="Output 2 18 5 2 2 2" xfId="31076" xr:uid="{00000000-0005-0000-0000-000094750000}"/>
    <cellStyle name="Output 2 18 5 2 3" xfId="30096" xr:uid="{00000000-0005-0000-0000-000095750000}"/>
    <cellStyle name="Output 2 18 5 3" xfId="28234" xr:uid="{00000000-0005-0000-0000-000096750000}"/>
    <cellStyle name="Output 2 18 5 3 2" xfId="29221" xr:uid="{00000000-0005-0000-0000-000097750000}"/>
    <cellStyle name="Output 2 18 5 3 2 2" xfId="31181" xr:uid="{00000000-0005-0000-0000-000098750000}"/>
    <cellStyle name="Output 2 18 5 3 3" xfId="30201" xr:uid="{00000000-0005-0000-0000-000099750000}"/>
    <cellStyle name="Output 2 18 5 4" xfId="28651" xr:uid="{00000000-0005-0000-0000-00009A750000}"/>
    <cellStyle name="Output 2 18 5 4 2" xfId="30611" xr:uid="{00000000-0005-0000-0000-00009B750000}"/>
    <cellStyle name="Output 2 18 5 5" xfId="29631" xr:uid="{00000000-0005-0000-0000-00009C750000}"/>
    <cellStyle name="Output 2 18 6" xfId="27803" xr:uid="{00000000-0005-0000-0000-00009D750000}"/>
    <cellStyle name="Output 2 18 6 2" xfId="28791" xr:uid="{00000000-0005-0000-0000-00009E750000}"/>
    <cellStyle name="Output 2 18 6 2 2" xfId="30751" xr:uid="{00000000-0005-0000-0000-00009F750000}"/>
    <cellStyle name="Output 2 18 6 3" xfId="29771" xr:uid="{00000000-0005-0000-0000-0000A0750000}"/>
    <cellStyle name="Output 2 18 7" xfId="28357" xr:uid="{00000000-0005-0000-0000-0000A1750000}"/>
    <cellStyle name="Output 2 18 7 2" xfId="30317" xr:uid="{00000000-0005-0000-0000-0000A2750000}"/>
    <cellStyle name="Output 2 18 8" xfId="29337" xr:uid="{00000000-0005-0000-0000-0000A3750000}"/>
    <cellStyle name="Output 2 18 9" xfId="31297" xr:uid="{00000000-0005-0000-0000-0000A4750000}"/>
    <cellStyle name="Output 2 19" xfId="27425" xr:uid="{00000000-0005-0000-0000-0000A5750000}"/>
    <cellStyle name="Output 2 19 2" xfId="27891" xr:uid="{00000000-0005-0000-0000-0000A6750000}"/>
    <cellStyle name="Output 2 19 2 2" xfId="28878" xr:uid="{00000000-0005-0000-0000-0000A7750000}"/>
    <cellStyle name="Output 2 19 2 2 2" xfId="30838" xr:uid="{00000000-0005-0000-0000-0000A8750000}"/>
    <cellStyle name="Output 2 19 2 3" xfId="29858" xr:uid="{00000000-0005-0000-0000-0000A9750000}"/>
    <cellStyle name="Output 2 19 3" xfId="28413" xr:uid="{00000000-0005-0000-0000-0000AA750000}"/>
    <cellStyle name="Output 2 19 3 2" xfId="30373" xr:uid="{00000000-0005-0000-0000-0000AB750000}"/>
    <cellStyle name="Output 2 19 4" xfId="29393" xr:uid="{00000000-0005-0000-0000-0000AC750000}"/>
    <cellStyle name="Output 2 2" xfId="3230" xr:uid="{00000000-0005-0000-0000-0000AD750000}"/>
    <cellStyle name="Output 2 20" xfId="27523" xr:uid="{00000000-0005-0000-0000-0000AE750000}"/>
    <cellStyle name="Output 2 20 2" xfId="27989" xr:uid="{00000000-0005-0000-0000-0000AF750000}"/>
    <cellStyle name="Output 2 20 2 2" xfId="28976" xr:uid="{00000000-0005-0000-0000-0000B0750000}"/>
    <cellStyle name="Output 2 20 2 2 2" xfId="30936" xr:uid="{00000000-0005-0000-0000-0000B1750000}"/>
    <cellStyle name="Output 2 20 2 3" xfId="29956" xr:uid="{00000000-0005-0000-0000-0000B2750000}"/>
    <cellStyle name="Output 2 20 3" xfId="28179" xr:uid="{00000000-0005-0000-0000-0000B3750000}"/>
    <cellStyle name="Output 2 20 3 2" xfId="29166" xr:uid="{00000000-0005-0000-0000-0000B4750000}"/>
    <cellStyle name="Output 2 20 3 2 2" xfId="31126" xr:uid="{00000000-0005-0000-0000-0000B5750000}"/>
    <cellStyle name="Output 2 20 3 3" xfId="30146" xr:uid="{00000000-0005-0000-0000-0000B6750000}"/>
    <cellStyle name="Output 2 20 4" xfId="28511" xr:uid="{00000000-0005-0000-0000-0000B7750000}"/>
    <cellStyle name="Output 2 20 4 2" xfId="30471" xr:uid="{00000000-0005-0000-0000-0000B8750000}"/>
    <cellStyle name="Output 2 20 5" xfId="29491" xr:uid="{00000000-0005-0000-0000-0000B9750000}"/>
    <cellStyle name="Output 2 21" xfId="27621" xr:uid="{00000000-0005-0000-0000-0000BA750000}"/>
    <cellStyle name="Output 2 21 2" xfId="28087" xr:uid="{00000000-0005-0000-0000-0000BB750000}"/>
    <cellStyle name="Output 2 21 2 2" xfId="29074" xr:uid="{00000000-0005-0000-0000-0000BC750000}"/>
    <cellStyle name="Output 2 21 2 2 2" xfId="31034" xr:uid="{00000000-0005-0000-0000-0000BD750000}"/>
    <cellStyle name="Output 2 21 2 3" xfId="30054" xr:uid="{00000000-0005-0000-0000-0000BE750000}"/>
    <cellStyle name="Output 2 21 3" xfId="28215" xr:uid="{00000000-0005-0000-0000-0000BF750000}"/>
    <cellStyle name="Output 2 21 3 2" xfId="29202" xr:uid="{00000000-0005-0000-0000-0000C0750000}"/>
    <cellStyle name="Output 2 21 3 2 2" xfId="31162" xr:uid="{00000000-0005-0000-0000-0000C1750000}"/>
    <cellStyle name="Output 2 21 3 3" xfId="30182" xr:uid="{00000000-0005-0000-0000-0000C2750000}"/>
    <cellStyle name="Output 2 21 4" xfId="28609" xr:uid="{00000000-0005-0000-0000-0000C3750000}"/>
    <cellStyle name="Output 2 21 4 2" xfId="30569" xr:uid="{00000000-0005-0000-0000-0000C4750000}"/>
    <cellStyle name="Output 2 21 5" xfId="29589" xr:uid="{00000000-0005-0000-0000-0000C5750000}"/>
    <cellStyle name="Output 2 22" xfId="27720" xr:uid="{00000000-0005-0000-0000-0000C6750000}"/>
    <cellStyle name="Output 2 22 2" xfId="28708" xr:uid="{00000000-0005-0000-0000-0000C7750000}"/>
    <cellStyle name="Output 2 22 2 2" xfId="30668" xr:uid="{00000000-0005-0000-0000-0000C8750000}"/>
    <cellStyle name="Output 2 22 3" xfId="29688" xr:uid="{00000000-0005-0000-0000-0000C9750000}"/>
    <cellStyle name="Output 2 23" xfId="28315" xr:uid="{00000000-0005-0000-0000-0000CA750000}"/>
    <cellStyle name="Output 2 23 2" xfId="30275" xr:uid="{00000000-0005-0000-0000-0000CB750000}"/>
    <cellStyle name="Output 2 24" xfId="29295" xr:uid="{00000000-0005-0000-0000-0000CC750000}"/>
    <cellStyle name="Output 2 25" xfId="31255" xr:uid="{00000000-0005-0000-0000-0000CD750000}"/>
    <cellStyle name="Output 2 3" xfId="3231" xr:uid="{00000000-0005-0000-0000-0000CE750000}"/>
    <cellStyle name="Output 2 4" xfId="3232" xr:uid="{00000000-0005-0000-0000-0000CF750000}"/>
    <cellStyle name="Output 2 5" xfId="3233" xr:uid="{00000000-0005-0000-0000-0000D0750000}"/>
    <cellStyle name="Output 2 6" xfId="3234" xr:uid="{00000000-0005-0000-0000-0000D1750000}"/>
    <cellStyle name="Output 2 7" xfId="3235" xr:uid="{00000000-0005-0000-0000-0000D2750000}"/>
    <cellStyle name="Output 2 8" xfId="3236" xr:uid="{00000000-0005-0000-0000-0000D3750000}"/>
    <cellStyle name="Output 2 9" xfId="3237" xr:uid="{00000000-0005-0000-0000-0000D4750000}"/>
    <cellStyle name="Output 20" xfId="3238" xr:uid="{00000000-0005-0000-0000-0000D5750000}"/>
    <cellStyle name="Output 21" xfId="3239" xr:uid="{00000000-0005-0000-0000-0000D6750000}"/>
    <cellStyle name="Output 22" xfId="3240" xr:uid="{00000000-0005-0000-0000-0000D7750000}"/>
    <cellStyle name="Output 23" xfId="3241" xr:uid="{00000000-0005-0000-0000-0000D8750000}"/>
    <cellStyle name="Output 24" xfId="3242" xr:uid="{00000000-0005-0000-0000-0000D9750000}"/>
    <cellStyle name="Output 3" xfId="1636" xr:uid="{00000000-0005-0000-0000-0000DA750000}"/>
    <cellStyle name="Output 3 10" xfId="29296" xr:uid="{00000000-0005-0000-0000-0000DB750000}"/>
    <cellStyle name="Output 3 11" xfId="31256" xr:uid="{00000000-0005-0000-0000-0000DC750000}"/>
    <cellStyle name="Output 3 2" xfId="14966" xr:uid="{00000000-0005-0000-0000-0000DD750000}"/>
    <cellStyle name="Output 3 2 10" xfId="31276" xr:uid="{00000000-0005-0000-0000-0000DE750000}"/>
    <cellStyle name="Output 3 2 2" xfId="15004" xr:uid="{00000000-0005-0000-0000-0000DF750000}"/>
    <cellStyle name="Output 3 2 2 2" xfId="27389" xr:uid="{00000000-0005-0000-0000-0000E0750000}"/>
    <cellStyle name="Output 3 2 2 2 2" xfId="27500" xr:uid="{00000000-0005-0000-0000-0000E1750000}"/>
    <cellStyle name="Output 3 2 2 2 2 2" xfId="27966" xr:uid="{00000000-0005-0000-0000-0000E2750000}"/>
    <cellStyle name="Output 3 2 2 2 2 2 2" xfId="28953" xr:uid="{00000000-0005-0000-0000-0000E3750000}"/>
    <cellStyle name="Output 3 2 2 2 2 2 2 2" xfId="30913" xr:uid="{00000000-0005-0000-0000-0000E4750000}"/>
    <cellStyle name="Output 3 2 2 2 2 2 3" xfId="29933" xr:uid="{00000000-0005-0000-0000-0000E5750000}"/>
    <cellStyle name="Output 3 2 2 2 2 3" xfId="28488" xr:uid="{00000000-0005-0000-0000-0000E6750000}"/>
    <cellStyle name="Output 3 2 2 2 2 3 2" xfId="30448" xr:uid="{00000000-0005-0000-0000-0000E7750000}"/>
    <cellStyle name="Output 3 2 2 2 2 4" xfId="29468" xr:uid="{00000000-0005-0000-0000-0000E8750000}"/>
    <cellStyle name="Output 3 2 2 2 3" xfId="27598" xr:uid="{00000000-0005-0000-0000-0000E9750000}"/>
    <cellStyle name="Output 3 2 2 2 3 2" xfId="28064" xr:uid="{00000000-0005-0000-0000-0000EA750000}"/>
    <cellStyle name="Output 3 2 2 2 3 2 2" xfId="29051" xr:uid="{00000000-0005-0000-0000-0000EB750000}"/>
    <cellStyle name="Output 3 2 2 2 3 2 2 2" xfId="31011" xr:uid="{00000000-0005-0000-0000-0000EC750000}"/>
    <cellStyle name="Output 3 2 2 2 3 2 3" xfId="30031" xr:uid="{00000000-0005-0000-0000-0000ED750000}"/>
    <cellStyle name="Output 3 2 2 2 3 3" xfId="28209" xr:uid="{00000000-0005-0000-0000-0000EE750000}"/>
    <cellStyle name="Output 3 2 2 2 3 3 2" xfId="29196" xr:uid="{00000000-0005-0000-0000-0000EF750000}"/>
    <cellStyle name="Output 3 2 2 2 3 3 2 2" xfId="31156" xr:uid="{00000000-0005-0000-0000-0000F0750000}"/>
    <cellStyle name="Output 3 2 2 2 3 3 3" xfId="30176" xr:uid="{00000000-0005-0000-0000-0000F1750000}"/>
    <cellStyle name="Output 3 2 2 2 3 4" xfId="28586" xr:uid="{00000000-0005-0000-0000-0000F2750000}"/>
    <cellStyle name="Output 3 2 2 2 3 4 2" xfId="30546" xr:uid="{00000000-0005-0000-0000-0000F3750000}"/>
    <cellStyle name="Output 3 2 2 2 3 5" xfId="29566" xr:uid="{00000000-0005-0000-0000-0000F4750000}"/>
    <cellStyle name="Output 3 2 2 2 4" xfId="27696" xr:uid="{00000000-0005-0000-0000-0000F5750000}"/>
    <cellStyle name="Output 3 2 2 2 4 2" xfId="28162" xr:uid="{00000000-0005-0000-0000-0000F6750000}"/>
    <cellStyle name="Output 3 2 2 2 4 2 2" xfId="29149" xr:uid="{00000000-0005-0000-0000-0000F7750000}"/>
    <cellStyle name="Output 3 2 2 2 4 2 2 2" xfId="31109" xr:uid="{00000000-0005-0000-0000-0000F8750000}"/>
    <cellStyle name="Output 3 2 2 2 4 2 3" xfId="30129" xr:uid="{00000000-0005-0000-0000-0000F9750000}"/>
    <cellStyle name="Output 3 2 2 2 4 3" xfId="28245" xr:uid="{00000000-0005-0000-0000-0000FA750000}"/>
    <cellStyle name="Output 3 2 2 2 4 3 2" xfId="29232" xr:uid="{00000000-0005-0000-0000-0000FB750000}"/>
    <cellStyle name="Output 3 2 2 2 4 3 2 2" xfId="31192" xr:uid="{00000000-0005-0000-0000-0000FC750000}"/>
    <cellStyle name="Output 3 2 2 2 4 3 3" xfId="30212" xr:uid="{00000000-0005-0000-0000-0000FD750000}"/>
    <cellStyle name="Output 3 2 2 2 4 4" xfId="28684" xr:uid="{00000000-0005-0000-0000-0000FE750000}"/>
    <cellStyle name="Output 3 2 2 2 4 4 2" xfId="30644" xr:uid="{00000000-0005-0000-0000-0000FF750000}"/>
    <cellStyle name="Output 3 2 2 2 4 5" xfId="29664" xr:uid="{00000000-0005-0000-0000-000000760000}"/>
    <cellStyle name="Output 3 2 2 2 5" xfId="27868" xr:uid="{00000000-0005-0000-0000-000001760000}"/>
    <cellStyle name="Output 3 2 2 2 5 2" xfId="28855" xr:uid="{00000000-0005-0000-0000-000002760000}"/>
    <cellStyle name="Output 3 2 2 2 5 2 2" xfId="30815" xr:uid="{00000000-0005-0000-0000-000003760000}"/>
    <cellStyle name="Output 3 2 2 2 5 3" xfId="29835" xr:uid="{00000000-0005-0000-0000-000004760000}"/>
    <cellStyle name="Output 3 2 2 2 6" xfId="28390" xr:uid="{00000000-0005-0000-0000-000005760000}"/>
    <cellStyle name="Output 3 2 2 2 6 2" xfId="30350" xr:uid="{00000000-0005-0000-0000-000006760000}"/>
    <cellStyle name="Output 3 2 2 2 7" xfId="29370" xr:uid="{00000000-0005-0000-0000-000007760000}"/>
    <cellStyle name="Output 3 2 2 2 8" xfId="31330" xr:uid="{00000000-0005-0000-0000-000008760000}"/>
    <cellStyle name="Output 3 2 2 3" xfId="27456" xr:uid="{00000000-0005-0000-0000-000009760000}"/>
    <cellStyle name="Output 3 2 2 3 2" xfId="27922" xr:uid="{00000000-0005-0000-0000-00000A760000}"/>
    <cellStyle name="Output 3 2 2 3 2 2" xfId="28909" xr:uid="{00000000-0005-0000-0000-00000B760000}"/>
    <cellStyle name="Output 3 2 2 3 2 2 2" xfId="30869" xr:uid="{00000000-0005-0000-0000-00000C760000}"/>
    <cellStyle name="Output 3 2 2 3 2 3" xfId="29889" xr:uid="{00000000-0005-0000-0000-00000D760000}"/>
    <cellStyle name="Output 3 2 2 3 3" xfId="28444" xr:uid="{00000000-0005-0000-0000-00000E760000}"/>
    <cellStyle name="Output 3 2 2 3 3 2" xfId="30404" xr:uid="{00000000-0005-0000-0000-00000F760000}"/>
    <cellStyle name="Output 3 2 2 3 4" xfId="29424" xr:uid="{00000000-0005-0000-0000-000010760000}"/>
    <cellStyle name="Output 3 2 2 4" xfId="27554" xr:uid="{00000000-0005-0000-0000-000011760000}"/>
    <cellStyle name="Output 3 2 2 4 2" xfId="28020" xr:uid="{00000000-0005-0000-0000-000012760000}"/>
    <cellStyle name="Output 3 2 2 4 2 2" xfId="29007" xr:uid="{00000000-0005-0000-0000-000013760000}"/>
    <cellStyle name="Output 3 2 2 4 2 2 2" xfId="30967" xr:uid="{00000000-0005-0000-0000-000014760000}"/>
    <cellStyle name="Output 3 2 2 4 2 3" xfId="29987" xr:uid="{00000000-0005-0000-0000-000015760000}"/>
    <cellStyle name="Output 3 2 2 4 3" xfId="28193" xr:uid="{00000000-0005-0000-0000-000016760000}"/>
    <cellStyle name="Output 3 2 2 4 3 2" xfId="29180" xr:uid="{00000000-0005-0000-0000-000017760000}"/>
    <cellStyle name="Output 3 2 2 4 3 2 2" xfId="31140" xr:uid="{00000000-0005-0000-0000-000018760000}"/>
    <cellStyle name="Output 3 2 2 4 3 3" xfId="30160" xr:uid="{00000000-0005-0000-0000-000019760000}"/>
    <cellStyle name="Output 3 2 2 4 4" xfId="28542" xr:uid="{00000000-0005-0000-0000-00001A760000}"/>
    <cellStyle name="Output 3 2 2 4 4 2" xfId="30502" xr:uid="{00000000-0005-0000-0000-00001B760000}"/>
    <cellStyle name="Output 3 2 2 4 5" xfId="29522" xr:uid="{00000000-0005-0000-0000-00001C760000}"/>
    <cellStyle name="Output 3 2 2 5" xfId="27652" xr:uid="{00000000-0005-0000-0000-00001D760000}"/>
    <cellStyle name="Output 3 2 2 5 2" xfId="28118" xr:uid="{00000000-0005-0000-0000-00001E760000}"/>
    <cellStyle name="Output 3 2 2 5 2 2" xfId="29105" xr:uid="{00000000-0005-0000-0000-00001F760000}"/>
    <cellStyle name="Output 3 2 2 5 2 2 2" xfId="31065" xr:uid="{00000000-0005-0000-0000-000020760000}"/>
    <cellStyle name="Output 3 2 2 5 2 3" xfId="30085" xr:uid="{00000000-0005-0000-0000-000021760000}"/>
    <cellStyle name="Output 3 2 2 5 3" xfId="28229" xr:uid="{00000000-0005-0000-0000-000022760000}"/>
    <cellStyle name="Output 3 2 2 5 3 2" xfId="29216" xr:uid="{00000000-0005-0000-0000-000023760000}"/>
    <cellStyle name="Output 3 2 2 5 3 2 2" xfId="31176" xr:uid="{00000000-0005-0000-0000-000024760000}"/>
    <cellStyle name="Output 3 2 2 5 3 3" xfId="30196" xr:uid="{00000000-0005-0000-0000-000025760000}"/>
    <cellStyle name="Output 3 2 2 5 4" xfId="28640" xr:uid="{00000000-0005-0000-0000-000026760000}"/>
    <cellStyle name="Output 3 2 2 5 4 2" xfId="30600" xr:uid="{00000000-0005-0000-0000-000027760000}"/>
    <cellStyle name="Output 3 2 2 5 5" xfId="29620" xr:uid="{00000000-0005-0000-0000-000028760000}"/>
    <cellStyle name="Output 3 2 2 6" xfId="27792" xr:uid="{00000000-0005-0000-0000-000029760000}"/>
    <cellStyle name="Output 3 2 2 6 2" xfId="28780" xr:uid="{00000000-0005-0000-0000-00002A760000}"/>
    <cellStyle name="Output 3 2 2 6 2 2" xfId="30740" xr:uid="{00000000-0005-0000-0000-00002B760000}"/>
    <cellStyle name="Output 3 2 2 6 3" xfId="29760" xr:uid="{00000000-0005-0000-0000-00002C760000}"/>
    <cellStyle name="Output 3 2 2 7" xfId="28346" xr:uid="{00000000-0005-0000-0000-00002D760000}"/>
    <cellStyle name="Output 3 2 2 7 2" xfId="30306" xr:uid="{00000000-0005-0000-0000-00002E760000}"/>
    <cellStyle name="Output 3 2 2 8" xfId="29326" xr:uid="{00000000-0005-0000-0000-00002F760000}"/>
    <cellStyle name="Output 3 2 2 9" xfId="31286" xr:uid="{00000000-0005-0000-0000-000030760000}"/>
    <cellStyle name="Output 3 2 3" xfId="27379" xr:uid="{00000000-0005-0000-0000-000031760000}"/>
    <cellStyle name="Output 3 2 3 2" xfId="27490" xr:uid="{00000000-0005-0000-0000-000032760000}"/>
    <cellStyle name="Output 3 2 3 2 2" xfId="27956" xr:uid="{00000000-0005-0000-0000-000033760000}"/>
    <cellStyle name="Output 3 2 3 2 2 2" xfId="28943" xr:uid="{00000000-0005-0000-0000-000034760000}"/>
    <cellStyle name="Output 3 2 3 2 2 2 2" xfId="30903" xr:uid="{00000000-0005-0000-0000-000035760000}"/>
    <cellStyle name="Output 3 2 3 2 2 3" xfId="29923" xr:uid="{00000000-0005-0000-0000-000036760000}"/>
    <cellStyle name="Output 3 2 3 2 3" xfId="28478" xr:uid="{00000000-0005-0000-0000-000037760000}"/>
    <cellStyle name="Output 3 2 3 2 3 2" xfId="30438" xr:uid="{00000000-0005-0000-0000-000038760000}"/>
    <cellStyle name="Output 3 2 3 2 4" xfId="29458" xr:uid="{00000000-0005-0000-0000-000039760000}"/>
    <cellStyle name="Output 3 2 3 3" xfId="27588" xr:uid="{00000000-0005-0000-0000-00003A760000}"/>
    <cellStyle name="Output 3 2 3 3 2" xfId="28054" xr:uid="{00000000-0005-0000-0000-00003B760000}"/>
    <cellStyle name="Output 3 2 3 3 2 2" xfId="29041" xr:uid="{00000000-0005-0000-0000-00003C760000}"/>
    <cellStyle name="Output 3 2 3 3 2 2 2" xfId="31001" xr:uid="{00000000-0005-0000-0000-00003D760000}"/>
    <cellStyle name="Output 3 2 3 3 2 3" xfId="30021" xr:uid="{00000000-0005-0000-0000-00003E760000}"/>
    <cellStyle name="Output 3 2 3 3 3" xfId="28204" xr:uid="{00000000-0005-0000-0000-00003F760000}"/>
    <cellStyle name="Output 3 2 3 3 3 2" xfId="29191" xr:uid="{00000000-0005-0000-0000-000040760000}"/>
    <cellStyle name="Output 3 2 3 3 3 2 2" xfId="31151" xr:uid="{00000000-0005-0000-0000-000041760000}"/>
    <cellStyle name="Output 3 2 3 3 3 3" xfId="30171" xr:uid="{00000000-0005-0000-0000-000042760000}"/>
    <cellStyle name="Output 3 2 3 3 4" xfId="28576" xr:uid="{00000000-0005-0000-0000-000043760000}"/>
    <cellStyle name="Output 3 2 3 3 4 2" xfId="30536" xr:uid="{00000000-0005-0000-0000-000044760000}"/>
    <cellStyle name="Output 3 2 3 3 5" xfId="29556" xr:uid="{00000000-0005-0000-0000-000045760000}"/>
    <cellStyle name="Output 3 2 3 4" xfId="27686" xr:uid="{00000000-0005-0000-0000-000046760000}"/>
    <cellStyle name="Output 3 2 3 4 2" xfId="28152" xr:uid="{00000000-0005-0000-0000-000047760000}"/>
    <cellStyle name="Output 3 2 3 4 2 2" xfId="29139" xr:uid="{00000000-0005-0000-0000-000048760000}"/>
    <cellStyle name="Output 3 2 3 4 2 2 2" xfId="31099" xr:uid="{00000000-0005-0000-0000-000049760000}"/>
    <cellStyle name="Output 3 2 3 4 2 3" xfId="30119" xr:uid="{00000000-0005-0000-0000-00004A760000}"/>
    <cellStyle name="Output 3 2 3 4 3" xfId="28240" xr:uid="{00000000-0005-0000-0000-00004B760000}"/>
    <cellStyle name="Output 3 2 3 4 3 2" xfId="29227" xr:uid="{00000000-0005-0000-0000-00004C760000}"/>
    <cellStyle name="Output 3 2 3 4 3 2 2" xfId="31187" xr:uid="{00000000-0005-0000-0000-00004D760000}"/>
    <cellStyle name="Output 3 2 3 4 3 3" xfId="30207" xr:uid="{00000000-0005-0000-0000-00004E760000}"/>
    <cellStyle name="Output 3 2 3 4 4" xfId="28674" xr:uid="{00000000-0005-0000-0000-00004F760000}"/>
    <cellStyle name="Output 3 2 3 4 4 2" xfId="30634" xr:uid="{00000000-0005-0000-0000-000050760000}"/>
    <cellStyle name="Output 3 2 3 4 5" xfId="29654" xr:uid="{00000000-0005-0000-0000-000051760000}"/>
    <cellStyle name="Output 3 2 3 5" xfId="27858" xr:uid="{00000000-0005-0000-0000-000052760000}"/>
    <cellStyle name="Output 3 2 3 5 2" xfId="28845" xr:uid="{00000000-0005-0000-0000-000053760000}"/>
    <cellStyle name="Output 3 2 3 5 2 2" xfId="30805" xr:uid="{00000000-0005-0000-0000-000054760000}"/>
    <cellStyle name="Output 3 2 3 5 3" xfId="29825" xr:uid="{00000000-0005-0000-0000-000055760000}"/>
    <cellStyle name="Output 3 2 3 6" xfId="28380" xr:uid="{00000000-0005-0000-0000-000056760000}"/>
    <cellStyle name="Output 3 2 3 6 2" xfId="30340" xr:uid="{00000000-0005-0000-0000-000057760000}"/>
    <cellStyle name="Output 3 2 3 7" xfId="29360" xr:uid="{00000000-0005-0000-0000-000058760000}"/>
    <cellStyle name="Output 3 2 3 8" xfId="31320" xr:uid="{00000000-0005-0000-0000-000059760000}"/>
    <cellStyle name="Output 3 2 4" xfId="27446" xr:uid="{00000000-0005-0000-0000-00005A760000}"/>
    <cellStyle name="Output 3 2 4 2" xfId="27912" xr:uid="{00000000-0005-0000-0000-00005B760000}"/>
    <cellStyle name="Output 3 2 4 2 2" xfId="28899" xr:uid="{00000000-0005-0000-0000-00005C760000}"/>
    <cellStyle name="Output 3 2 4 2 2 2" xfId="30859" xr:uid="{00000000-0005-0000-0000-00005D760000}"/>
    <cellStyle name="Output 3 2 4 2 3" xfId="29879" xr:uid="{00000000-0005-0000-0000-00005E760000}"/>
    <cellStyle name="Output 3 2 4 3" xfId="28434" xr:uid="{00000000-0005-0000-0000-00005F760000}"/>
    <cellStyle name="Output 3 2 4 3 2" xfId="30394" xr:uid="{00000000-0005-0000-0000-000060760000}"/>
    <cellStyle name="Output 3 2 4 4" xfId="29414" xr:uid="{00000000-0005-0000-0000-000061760000}"/>
    <cellStyle name="Output 3 2 5" xfId="27544" xr:uid="{00000000-0005-0000-0000-000062760000}"/>
    <cellStyle name="Output 3 2 5 2" xfId="28010" xr:uid="{00000000-0005-0000-0000-000063760000}"/>
    <cellStyle name="Output 3 2 5 2 2" xfId="28997" xr:uid="{00000000-0005-0000-0000-000064760000}"/>
    <cellStyle name="Output 3 2 5 2 2 2" xfId="30957" xr:uid="{00000000-0005-0000-0000-000065760000}"/>
    <cellStyle name="Output 3 2 5 2 3" xfId="29977" xr:uid="{00000000-0005-0000-0000-000066760000}"/>
    <cellStyle name="Output 3 2 5 3" xfId="28188" xr:uid="{00000000-0005-0000-0000-000067760000}"/>
    <cellStyle name="Output 3 2 5 3 2" xfId="29175" xr:uid="{00000000-0005-0000-0000-000068760000}"/>
    <cellStyle name="Output 3 2 5 3 2 2" xfId="31135" xr:uid="{00000000-0005-0000-0000-000069760000}"/>
    <cellStyle name="Output 3 2 5 3 3" xfId="30155" xr:uid="{00000000-0005-0000-0000-00006A760000}"/>
    <cellStyle name="Output 3 2 5 4" xfId="28532" xr:uid="{00000000-0005-0000-0000-00006B760000}"/>
    <cellStyle name="Output 3 2 5 4 2" xfId="30492" xr:uid="{00000000-0005-0000-0000-00006C760000}"/>
    <cellStyle name="Output 3 2 5 5" xfId="29512" xr:uid="{00000000-0005-0000-0000-00006D760000}"/>
    <cellStyle name="Output 3 2 6" xfId="27642" xr:uid="{00000000-0005-0000-0000-00006E760000}"/>
    <cellStyle name="Output 3 2 6 2" xfId="28108" xr:uid="{00000000-0005-0000-0000-00006F760000}"/>
    <cellStyle name="Output 3 2 6 2 2" xfId="29095" xr:uid="{00000000-0005-0000-0000-000070760000}"/>
    <cellStyle name="Output 3 2 6 2 2 2" xfId="31055" xr:uid="{00000000-0005-0000-0000-000071760000}"/>
    <cellStyle name="Output 3 2 6 2 3" xfId="30075" xr:uid="{00000000-0005-0000-0000-000072760000}"/>
    <cellStyle name="Output 3 2 6 3" xfId="28224" xr:uid="{00000000-0005-0000-0000-000073760000}"/>
    <cellStyle name="Output 3 2 6 3 2" xfId="29211" xr:uid="{00000000-0005-0000-0000-000074760000}"/>
    <cellStyle name="Output 3 2 6 3 2 2" xfId="31171" xr:uid="{00000000-0005-0000-0000-000075760000}"/>
    <cellStyle name="Output 3 2 6 3 3" xfId="30191" xr:uid="{00000000-0005-0000-0000-000076760000}"/>
    <cellStyle name="Output 3 2 6 4" xfId="28630" xr:uid="{00000000-0005-0000-0000-000077760000}"/>
    <cellStyle name="Output 3 2 6 4 2" xfId="30590" xr:uid="{00000000-0005-0000-0000-000078760000}"/>
    <cellStyle name="Output 3 2 6 5" xfId="29610" xr:uid="{00000000-0005-0000-0000-000079760000}"/>
    <cellStyle name="Output 3 2 7" xfId="27782" xr:uid="{00000000-0005-0000-0000-00007A760000}"/>
    <cellStyle name="Output 3 2 7 2" xfId="28770" xr:uid="{00000000-0005-0000-0000-00007B760000}"/>
    <cellStyle name="Output 3 2 7 2 2" xfId="30730" xr:uid="{00000000-0005-0000-0000-00007C760000}"/>
    <cellStyle name="Output 3 2 7 3" xfId="29750" xr:uid="{00000000-0005-0000-0000-00007D760000}"/>
    <cellStyle name="Output 3 2 8" xfId="28336" xr:uid="{00000000-0005-0000-0000-00007E760000}"/>
    <cellStyle name="Output 3 2 8 2" xfId="30296" xr:uid="{00000000-0005-0000-0000-00007F760000}"/>
    <cellStyle name="Output 3 2 9" xfId="29316" xr:uid="{00000000-0005-0000-0000-000080760000}"/>
    <cellStyle name="Output 3 3" xfId="14949" xr:uid="{00000000-0005-0000-0000-000081760000}"/>
    <cellStyle name="Output 3 3 2" xfId="27369" xr:uid="{00000000-0005-0000-0000-000082760000}"/>
    <cellStyle name="Output 3 3 2 2" xfId="27480" xr:uid="{00000000-0005-0000-0000-000083760000}"/>
    <cellStyle name="Output 3 3 2 2 2" xfId="27946" xr:uid="{00000000-0005-0000-0000-000084760000}"/>
    <cellStyle name="Output 3 3 2 2 2 2" xfId="28933" xr:uid="{00000000-0005-0000-0000-000085760000}"/>
    <cellStyle name="Output 3 3 2 2 2 2 2" xfId="30893" xr:uid="{00000000-0005-0000-0000-000086760000}"/>
    <cellStyle name="Output 3 3 2 2 2 3" xfId="29913" xr:uid="{00000000-0005-0000-0000-000087760000}"/>
    <cellStyle name="Output 3 3 2 2 3" xfId="28468" xr:uid="{00000000-0005-0000-0000-000088760000}"/>
    <cellStyle name="Output 3 3 2 2 3 2" xfId="30428" xr:uid="{00000000-0005-0000-0000-000089760000}"/>
    <cellStyle name="Output 3 3 2 2 4" xfId="29448" xr:uid="{00000000-0005-0000-0000-00008A760000}"/>
    <cellStyle name="Output 3 3 2 3" xfId="27578" xr:uid="{00000000-0005-0000-0000-00008B760000}"/>
    <cellStyle name="Output 3 3 2 3 2" xfId="28044" xr:uid="{00000000-0005-0000-0000-00008C760000}"/>
    <cellStyle name="Output 3 3 2 3 2 2" xfId="29031" xr:uid="{00000000-0005-0000-0000-00008D760000}"/>
    <cellStyle name="Output 3 3 2 3 2 2 2" xfId="30991" xr:uid="{00000000-0005-0000-0000-00008E760000}"/>
    <cellStyle name="Output 3 3 2 3 2 3" xfId="30011" xr:uid="{00000000-0005-0000-0000-00008F760000}"/>
    <cellStyle name="Output 3 3 2 3 3" xfId="28200" xr:uid="{00000000-0005-0000-0000-000090760000}"/>
    <cellStyle name="Output 3 3 2 3 3 2" xfId="29187" xr:uid="{00000000-0005-0000-0000-000091760000}"/>
    <cellStyle name="Output 3 3 2 3 3 2 2" xfId="31147" xr:uid="{00000000-0005-0000-0000-000092760000}"/>
    <cellStyle name="Output 3 3 2 3 3 3" xfId="30167" xr:uid="{00000000-0005-0000-0000-000093760000}"/>
    <cellStyle name="Output 3 3 2 3 4" xfId="28566" xr:uid="{00000000-0005-0000-0000-000094760000}"/>
    <cellStyle name="Output 3 3 2 3 4 2" xfId="30526" xr:uid="{00000000-0005-0000-0000-000095760000}"/>
    <cellStyle name="Output 3 3 2 3 5" xfId="29546" xr:uid="{00000000-0005-0000-0000-000096760000}"/>
    <cellStyle name="Output 3 3 2 4" xfId="27676" xr:uid="{00000000-0005-0000-0000-000097760000}"/>
    <cellStyle name="Output 3 3 2 4 2" xfId="28142" xr:uid="{00000000-0005-0000-0000-000098760000}"/>
    <cellStyle name="Output 3 3 2 4 2 2" xfId="29129" xr:uid="{00000000-0005-0000-0000-000099760000}"/>
    <cellStyle name="Output 3 3 2 4 2 2 2" xfId="31089" xr:uid="{00000000-0005-0000-0000-00009A760000}"/>
    <cellStyle name="Output 3 3 2 4 2 3" xfId="30109" xr:uid="{00000000-0005-0000-0000-00009B760000}"/>
    <cellStyle name="Output 3 3 2 4 3" xfId="28236" xr:uid="{00000000-0005-0000-0000-00009C760000}"/>
    <cellStyle name="Output 3 3 2 4 3 2" xfId="29223" xr:uid="{00000000-0005-0000-0000-00009D760000}"/>
    <cellStyle name="Output 3 3 2 4 3 2 2" xfId="31183" xr:uid="{00000000-0005-0000-0000-00009E760000}"/>
    <cellStyle name="Output 3 3 2 4 3 3" xfId="30203" xr:uid="{00000000-0005-0000-0000-00009F760000}"/>
    <cellStyle name="Output 3 3 2 4 4" xfId="28664" xr:uid="{00000000-0005-0000-0000-0000A0760000}"/>
    <cellStyle name="Output 3 3 2 4 4 2" xfId="30624" xr:uid="{00000000-0005-0000-0000-0000A1760000}"/>
    <cellStyle name="Output 3 3 2 4 5" xfId="29644" xr:uid="{00000000-0005-0000-0000-0000A2760000}"/>
    <cellStyle name="Output 3 3 2 5" xfId="27848" xr:uid="{00000000-0005-0000-0000-0000A3760000}"/>
    <cellStyle name="Output 3 3 2 5 2" xfId="28835" xr:uid="{00000000-0005-0000-0000-0000A4760000}"/>
    <cellStyle name="Output 3 3 2 5 2 2" xfId="30795" xr:uid="{00000000-0005-0000-0000-0000A5760000}"/>
    <cellStyle name="Output 3 3 2 5 3" xfId="29815" xr:uid="{00000000-0005-0000-0000-0000A6760000}"/>
    <cellStyle name="Output 3 3 2 6" xfId="28370" xr:uid="{00000000-0005-0000-0000-0000A7760000}"/>
    <cellStyle name="Output 3 3 2 6 2" xfId="30330" xr:uid="{00000000-0005-0000-0000-0000A8760000}"/>
    <cellStyle name="Output 3 3 2 7" xfId="29350" xr:uid="{00000000-0005-0000-0000-0000A9760000}"/>
    <cellStyle name="Output 3 3 2 8" xfId="31310" xr:uid="{00000000-0005-0000-0000-0000AA760000}"/>
    <cellStyle name="Output 3 3 3" xfId="27436" xr:uid="{00000000-0005-0000-0000-0000AB760000}"/>
    <cellStyle name="Output 3 3 3 2" xfId="27902" xr:uid="{00000000-0005-0000-0000-0000AC760000}"/>
    <cellStyle name="Output 3 3 3 2 2" xfId="28889" xr:uid="{00000000-0005-0000-0000-0000AD760000}"/>
    <cellStyle name="Output 3 3 3 2 2 2" xfId="30849" xr:uid="{00000000-0005-0000-0000-0000AE760000}"/>
    <cellStyle name="Output 3 3 3 2 3" xfId="29869" xr:uid="{00000000-0005-0000-0000-0000AF760000}"/>
    <cellStyle name="Output 3 3 3 3" xfId="28424" xr:uid="{00000000-0005-0000-0000-0000B0760000}"/>
    <cellStyle name="Output 3 3 3 3 2" xfId="30384" xr:uid="{00000000-0005-0000-0000-0000B1760000}"/>
    <cellStyle name="Output 3 3 3 4" xfId="29404" xr:uid="{00000000-0005-0000-0000-0000B2760000}"/>
    <cellStyle name="Output 3 3 4" xfId="27534" xr:uid="{00000000-0005-0000-0000-0000B3760000}"/>
    <cellStyle name="Output 3 3 4 2" xfId="28000" xr:uid="{00000000-0005-0000-0000-0000B4760000}"/>
    <cellStyle name="Output 3 3 4 2 2" xfId="28987" xr:uid="{00000000-0005-0000-0000-0000B5760000}"/>
    <cellStyle name="Output 3 3 4 2 2 2" xfId="30947" xr:uid="{00000000-0005-0000-0000-0000B6760000}"/>
    <cellStyle name="Output 3 3 4 2 3" xfId="29967" xr:uid="{00000000-0005-0000-0000-0000B7760000}"/>
    <cellStyle name="Output 3 3 4 3" xfId="28184" xr:uid="{00000000-0005-0000-0000-0000B8760000}"/>
    <cellStyle name="Output 3 3 4 3 2" xfId="29171" xr:uid="{00000000-0005-0000-0000-0000B9760000}"/>
    <cellStyle name="Output 3 3 4 3 2 2" xfId="31131" xr:uid="{00000000-0005-0000-0000-0000BA760000}"/>
    <cellStyle name="Output 3 3 4 3 3" xfId="30151" xr:uid="{00000000-0005-0000-0000-0000BB760000}"/>
    <cellStyle name="Output 3 3 4 4" xfId="28522" xr:uid="{00000000-0005-0000-0000-0000BC760000}"/>
    <cellStyle name="Output 3 3 4 4 2" xfId="30482" xr:uid="{00000000-0005-0000-0000-0000BD760000}"/>
    <cellStyle name="Output 3 3 4 5" xfId="29502" xr:uid="{00000000-0005-0000-0000-0000BE760000}"/>
    <cellStyle name="Output 3 3 5" xfId="27632" xr:uid="{00000000-0005-0000-0000-0000BF760000}"/>
    <cellStyle name="Output 3 3 5 2" xfId="28098" xr:uid="{00000000-0005-0000-0000-0000C0760000}"/>
    <cellStyle name="Output 3 3 5 2 2" xfId="29085" xr:uid="{00000000-0005-0000-0000-0000C1760000}"/>
    <cellStyle name="Output 3 3 5 2 2 2" xfId="31045" xr:uid="{00000000-0005-0000-0000-0000C2760000}"/>
    <cellStyle name="Output 3 3 5 2 3" xfId="30065" xr:uid="{00000000-0005-0000-0000-0000C3760000}"/>
    <cellStyle name="Output 3 3 5 3" xfId="28220" xr:uid="{00000000-0005-0000-0000-0000C4760000}"/>
    <cellStyle name="Output 3 3 5 3 2" xfId="29207" xr:uid="{00000000-0005-0000-0000-0000C5760000}"/>
    <cellStyle name="Output 3 3 5 3 2 2" xfId="31167" xr:uid="{00000000-0005-0000-0000-0000C6760000}"/>
    <cellStyle name="Output 3 3 5 3 3" xfId="30187" xr:uid="{00000000-0005-0000-0000-0000C7760000}"/>
    <cellStyle name="Output 3 3 5 4" xfId="28620" xr:uid="{00000000-0005-0000-0000-0000C8760000}"/>
    <cellStyle name="Output 3 3 5 4 2" xfId="30580" xr:uid="{00000000-0005-0000-0000-0000C9760000}"/>
    <cellStyle name="Output 3 3 5 5" xfId="29600" xr:uid="{00000000-0005-0000-0000-0000CA760000}"/>
    <cellStyle name="Output 3 3 6" xfId="27772" xr:uid="{00000000-0005-0000-0000-0000CB760000}"/>
    <cellStyle name="Output 3 3 6 2" xfId="28760" xr:uid="{00000000-0005-0000-0000-0000CC760000}"/>
    <cellStyle name="Output 3 3 6 2 2" xfId="30720" xr:uid="{00000000-0005-0000-0000-0000CD760000}"/>
    <cellStyle name="Output 3 3 6 3" xfId="29740" xr:uid="{00000000-0005-0000-0000-0000CE760000}"/>
    <cellStyle name="Output 3 3 7" xfId="28326" xr:uid="{00000000-0005-0000-0000-0000CF760000}"/>
    <cellStyle name="Output 3 3 7 2" xfId="30286" xr:uid="{00000000-0005-0000-0000-0000D0760000}"/>
    <cellStyle name="Output 3 3 8" xfId="29306" xr:uid="{00000000-0005-0000-0000-0000D1760000}"/>
    <cellStyle name="Output 3 3 9" xfId="31266" xr:uid="{00000000-0005-0000-0000-0000D2760000}"/>
    <cellStyle name="Output 3 4" xfId="15014" xr:uid="{00000000-0005-0000-0000-0000D3760000}"/>
    <cellStyle name="Output 3 4 2" xfId="27399" xr:uid="{00000000-0005-0000-0000-0000D4760000}"/>
    <cellStyle name="Output 3 4 2 2" xfId="27510" xr:uid="{00000000-0005-0000-0000-0000D5760000}"/>
    <cellStyle name="Output 3 4 2 2 2" xfId="27976" xr:uid="{00000000-0005-0000-0000-0000D6760000}"/>
    <cellStyle name="Output 3 4 2 2 2 2" xfId="28963" xr:uid="{00000000-0005-0000-0000-0000D7760000}"/>
    <cellStyle name="Output 3 4 2 2 2 2 2" xfId="30923" xr:uid="{00000000-0005-0000-0000-0000D8760000}"/>
    <cellStyle name="Output 3 4 2 2 2 3" xfId="29943" xr:uid="{00000000-0005-0000-0000-0000D9760000}"/>
    <cellStyle name="Output 3 4 2 2 3" xfId="28498" xr:uid="{00000000-0005-0000-0000-0000DA760000}"/>
    <cellStyle name="Output 3 4 2 2 3 2" xfId="30458" xr:uid="{00000000-0005-0000-0000-0000DB760000}"/>
    <cellStyle name="Output 3 4 2 2 4" xfId="29478" xr:uid="{00000000-0005-0000-0000-0000DC760000}"/>
    <cellStyle name="Output 3 4 2 3" xfId="27608" xr:uid="{00000000-0005-0000-0000-0000DD760000}"/>
    <cellStyle name="Output 3 4 2 3 2" xfId="28074" xr:uid="{00000000-0005-0000-0000-0000DE760000}"/>
    <cellStyle name="Output 3 4 2 3 2 2" xfId="29061" xr:uid="{00000000-0005-0000-0000-0000DF760000}"/>
    <cellStyle name="Output 3 4 2 3 2 2 2" xfId="31021" xr:uid="{00000000-0005-0000-0000-0000E0760000}"/>
    <cellStyle name="Output 3 4 2 3 2 3" xfId="30041" xr:uid="{00000000-0005-0000-0000-0000E1760000}"/>
    <cellStyle name="Output 3 4 2 3 3" xfId="28213" xr:uid="{00000000-0005-0000-0000-0000E2760000}"/>
    <cellStyle name="Output 3 4 2 3 3 2" xfId="29200" xr:uid="{00000000-0005-0000-0000-0000E3760000}"/>
    <cellStyle name="Output 3 4 2 3 3 2 2" xfId="31160" xr:uid="{00000000-0005-0000-0000-0000E4760000}"/>
    <cellStyle name="Output 3 4 2 3 3 3" xfId="30180" xr:uid="{00000000-0005-0000-0000-0000E5760000}"/>
    <cellStyle name="Output 3 4 2 3 4" xfId="28596" xr:uid="{00000000-0005-0000-0000-0000E6760000}"/>
    <cellStyle name="Output 3 4 2 3 4 2" xfId="30556" xr:uid="{00000000-0005-0000-0000-0000E7760000}"/>
    <cellStyle name="Output 3 4 2 3 5" xfId="29576" xr:uid="{00000000-0005-0000-0000-0000E8760000}"/>
    <cellStyle name="Output 3 4 2 4" xfId="27706" xr:uid="{00000000-0005-0000-0000-0000E9760000}"/>
    <cellStyle name="Output 3 4 2 4 2" xfId="28172" xr:uid="{00000000-0005-0000-0000-0000EA760000}"/>
    <cellStyle name="Output 3 4 2 4 2 2" xfId="29159" xr:uid="{00000000-0005-0000-0000-0000EB760000}"/>
    <cellStyle name="Output 3 4 2 4 2 2 2" xfId="31119" xr:uid="{00000000-0005-0000-0000-0000EC760000}"/>
    <cellStyle name="Output 3 4 2 4 2 3" xfId="30139" xr:uid="{00000000-0005-0000-0000-0000ED760000}"/>
    <cellStyle name="Output 3 4 2 4 3" xfId="28249" xr:uid="{00000000-0005-0000-0000-0000EE760000}"/>
    <cellStyle name="Output 3 4 2 4 3 2" xfId="29236" xr:uid="{00000000-0005-0000-0000-0000EF760000}"/>
    <cellStyle name="Output 3 4 2 4 3 2 2" xfId="31196" xr:uid="{00000000-0005-0000-0000-0000F0760000}"/>
    <cellStyle name="Output 3 4 2 4 3 3" xfId="30216" xr:uid="{00000000-0005-0000-0000-0000F1760000}"/>
    <cellStyle name="Output 3 4 2 4 4" xfId="28694" xr:uid="{00000000-0005-0000-0000-0000F2760000}"/>
    <cellStyle name="Output 3 4 2 4 4 2" xfId="30654" xr:uid="{00000000-0005-0000-0000-0000F3760000}"/>
    <cellStyle name="Output 3 4 2 4 5" xfId="29674" xr:uid="{00000000-0005-0000-0000-0000F4760000}"/>
    <cellStyle name="Output 3 4 2 5" xfId="27878" xr:uid="{00000000-0005-0000-0000-0000F5760000}"/>
    <cellStyle name="Output 3 4 2 5 2" xfId="28865" xr:uid="{00000000-0005-0000-0000-0000F6760000}"/>
    <cellStyle name="Output 3 4 2 5 2 2" xfId="30825" xr:uid="{00000000-0005-0000-0000-0000F7760000}"/>
    <cellStyle name="Output 3 4 2 5 3" xfId="29845" xr:uid="{00000000-0005-0000-0000-0000F8760000}"/>
    <cellStyle name="Output 3 4 2 6" xfId="28400" xr:uid="{00000000-0005-0000-0000-0000F9760000}"/>
    <cellStyle name="Output 3 4 2 6 2" xfId="30360" xr:uid="{00000000-0005-0000-0000-0000FA760000}"/>
    <cellStyle name="Output 3 4 2 7" xfId="29380" xr:uid="{00000000-0005-0000-0000-0000FB760000}"/>
    <cellStyle name="Output 3 4 2 8" xfId="31340" xr:uid="{00000000-0005-0000-0000-0000FC760000}"/>
    <cellStyle name="Output 3 4 3" xfId="27466" xr:uid="{00000000-0005-0000-0000-0000FD760000}"/>
    <cellStyle name="Output 3 4 3 2" xfId="27932" xr:uid="{00000000-0005-0000-0000-0000FE760000}"/>
    <cellStyle name="Output 3 4 3 2 2" xfId="28919" xr:uid="{00000000-0005-0000-0000-0000FF760000}"/>
    <cellStyle name="Output 3 4 3 2 2 2" xfId="30879" xr:uid="{00000000-0005-0000-0000-000000770000}"/>
    <cellStyle name="Output 3 4 3 2 3" xfId="29899" xr:uid="{00000000-0005-0000-0000-000001770000}"/>
    <cellStyle name="Output 3 4 3 3" xfId="28454" xr:uid="{00000000-0005-0000-0000-000002770000}"/>
    <cellStyle name="Output 3 4 3 3 2" xfId="30414" xr:uid="{00000000-0005-0000-0000-000003770000}"/>
    <cellStyle name="Output 3 4 3 4" xfId="29434" xr:uid="{00000000-0005-0000-0000-000004770000}"/>
    <cellStyle name="Output 3 4 4" xfId="27564" xr:uid="{00000000-0005-0000-0000-000005770000}"/>
    <cellStyle name="Output 3 4 4 2" xfId="28030" xr:uid="{00000000-0005-0000-0000-000006770000}"/>
    <cellStyle name="Output 3 4 4 2 2" xfId="29017" xr:uid="{00000000-0005-0000-0000-000007770000}"/>
    <cellStyle name="Output 3 4 4 2 2 2" xfId="30977" xr:uid="{00000000-0005-0000-0000-000008770000}"/>
    <cellStyle name="Output 3 4 4 2 3" xfId="29997" xr:uid="{00000000-0005-0000-0000-000009770000}"/>
    <cellStyle name="Output 3 4 4 3" xfId="28197" xr:uid="{00000000-0005-0000-0000-00000A770000}"/>
    <cellStyle name="Output 3 4 4 3 2" xfId="29184" xr:uid="{00000000-0005-0000-0000-00000B770000}"/>
    <cellStyle name="Output 3 4 4 3 2 2" xfId="31144" xr:uid="{00000000-0005-0000-0000-00000C770000}"/>
    <cellStyle name="Output 3 4 4 3 3" xfId="30164" xr:uid="{00000000-0005-0000-0000-00000D770000}"/>
    <cellStyle name="Output 3 4 4 4" xfId="28552" xr:uid="{00000000-0005-0000-0000-00000E770000}"/>
    <cellStyle name="Output 3 4 4 4 2" xfId="30512" xr:uid="{00000000-0005-0000-0000-00000F770000}"/>
    <cellStyle name="Output 3 4 4 5" xfId="29532" xr:uid="{00000000-0005-0000-0000-000010770000}"/>
    <cellStyle name="Output 3 4 5" xfId="27662" xr:uid="{00000000-0005-0000-0000-000011770000}"/>
    <cellStyle name="Output 3 4 5 2" xfId="28128" xr:uid="{00000000-0005-0000-0000-000012770000}"/>
    <cellStyle name="Output 3 4 5 2 2" xfId="29115" xr:uid="{00000000-0005-0000-0000-000013770000}"/>
    <cellStyle name="Output 3 4 5 2 2 2" xfId="31075" xr:uid="{00000000-0005-0000-0000-000014770000}"/>
    <cellStyle name="Output 3 4 5 2 3" xfId="30095" xr:uid="{00000000-0005-0000-0000-000015770000}"/>
    <cellStyle name="Output 3 4 5 3" xfId="28233" xr:uid="{00000000-0005-0000-0000-000016770000}"/>
    <cellStyle name="Output 3 4 5 3 2" xfId="29220" xr:uid="{00000000-0005-0000-0000-000017770000}"/>
    <cellStyle name="Output 3 4 5 3 2 2" xfId="31180" xr:uid="{00000000-0005-0000-0000-000018770000}"/>
    <cellStyle name="Output 3 4 5 3 3" xfId="30200" xr:uid="{00000000-0005-0000-0000-000019770000}"/>
    <cellStyle name="Output 3 4 5 4" xfId="28650" xr:uid="{00000000-0005-0000-0000-00001A770000}"/>
    <cellStyle name="Output 3 4 5 4 2" xfId="30610" xr:uid="{00000000-0005-0000-0000-00001B770000}"/>
    <cellStyle name="Output 3 4 5 5" xfId="29630" xr:uid="{00000000-0005-0000-0000-00001C770000}"/>
    <cellStyle name="Output 3 4 6" xfId="27802" xr:uid="{00000000-0005-0000-0000-00001D770000}"/>
    <cellStyle name="Output 3 4 6 2" xfId="28790" xr:uid="{00000000-0005-0000-0000-00001E770000}"/>
    <cellStyle name="Output 3 4 6 2 2" xfId="30750" xr:uid="{00000000-0005-0000-0000-00001F770000}"/>
    <cellStyle name="Output 3 4 6 3" xfId="29770" xr:uid="{00000000-0005-0000-0000-000020770000}"/>
    <cellStyle name="Output 3 4 7" xfId="28356" xr:uid="{00000000-0005-0000-0000-000021770000}"/>
    <cellStyle name="Output 3 4 7 2" xfId="30316" xr:uid="{00000000-0005-0000-0000-000022770000}"/>
    <cellStyle name="Output 3 4 8" xfId="29336" xr:uid="{00000000-0005-0000-0000-000023770000}"/>
    <cellStyle name="Output 3 4 9" xfId="31296" xr:uid="{00000000-0005-0000-0000-000024770000}"/>
    <cellStyle name="Output 3 5" xfId="27426" xr:uid="{00000000-0005-0000-0000-000025770000}"/>
    <cellStyle name="Output 3 5 2" xfId="27892" xr:uid="{00000000-0005-0000-0000-000026770000}"/>
    <cellStyle name="Output 3 5 2 2" xfId="28879" xr:uid="{00000000-0005-0000-0000-000027770000}"/>
    <cellStyle name="Output 3 5 2 2 2" xfId="30839" xr:uid="{00000000-0005-0000-0000-000028770000}"/>
    <cellStyle name="Output 3 5 2 3" xfId="29859" xr:uid="{00000000-0005-0000-0000-000029770000}"/>
    <cellStyle name="Output 3 5 3" xfId="28414" xr:uid="{00000000-0005-0000-0000-00002A770000}"/>
    <cellStyle name="Output 3 5 3 2" xfId="30374" xr:uid="{00000000-0005-0000-0000-00002B770000}"/>
    <cellStyle name="Output 3 5 4" xfId="29394" xr:uid="{00000000-0005-0000-0000-00002C770000}"/>
    <cellStyle name="Output 3 6" xfId="27524" xr:uid="{00000000-0005-0000-0000-00002D770000}"/>
    <cellStyle name="Output 3 6 2" xfId="27990" xr:uid="{00000000-0005-0000-0000-00002E770000}"/>
    <cellStyle name="Output 3 6 2 2" xfId="28977" xr:uid="{00000000-0005-0000-0000-00002F770000}"/>
    <cellStyle name="Output 3 6 2 2 2" xfId="30937" xr:uid="{00000000-0005-0000-0000-000030770000}"/>
    <cellStyle name="Output 3 6 2 3" xfId="29957" xr:uid="{00000000-0005-0000-0000-000031770000}"/>
    <cellStyle name="Output 3 6 3" xfId="28180" xr:uid="{00000000-0005-0000-0000-000032770000}"/>
    <cellStyle name="Output 3 6 3 2" xfId="29167" xr:uid="{00000000-0005-0000-0000-000033770000}"/>
    <cellStyle name="Output 3 6 3 2 2" xfId="31127" xr:uid="{00000000-0005-0000-0000-000034770000}"/>
    <cellStyle name="Output 3 6 3 3" xfId="30147" xr:uid="{00000000-0005-0000-0000-000035770000}"/>
    <cellStyle name="Output 3 6 4" xfId="28512" xr:uid="{00000000-0005-0000-0000-000036770000}"/>
    <cellStyle name="Output 3 6 4 2" xfId="30472" xr:uid="{00000000-0005-0000-0000-000037770000}"/>
    <cellStyle name="Output 3 6 5" xfId="29492" xr:uid="{00000000-0005-0000-0000-000038770000}"/>
    <cellStyle name="Output 3 7" xfId="27622" xr:uid="{00000000-0005-0000-0000-000039770000}"/>
    <cellStyle name="Output 3 7 2" xfId="28088" xr:uid="{00000000-0005-0000-0000-00003A770000}"/>
    <cellStyle name="Output 3 7 2 2" xfId="29075" xr:uid="{00000000-0005-0000-0000-00003B770000}"/>
    <cellStyle name="Output 3 7 2 2 2" xfId="31035" xr:uid="{00000000-0005-0000-0000-00003C770000}"/>
    <cellStyle name="Output 3 7 2 3" xfId="30055" xr:uid="{00000000-0005-0000-0000-00003D770000}"/>
    <cellStyle name="Output 3 7 3" xfId="28216" xr:uid="{00000000-0005-0000-0000-00003E770000}"/>
    <cellStyle name="Output 3 7 3 2" xfId="29203" xr:uid="{00000000-0005-0000-0000-00003F770000}"/>
    <cellStyle name="Output 3 7 3 2 2" xfId="31163" xr:uid="{00000000-0005-0000-0000-000040770000}"/>
    <cellStyle name="Output 3 7 3 3" xfId="30183" xr:uid="{00000000-0005-0000-0000-000041770000}"/>
    <cellStyle name="Output 3 7 4" xfId="28610" xr:uid="{00000000-0005-0000-0000-000042770000}"/>
    <cellStyle name="Output 3 7 4 2" xfId="30570" xr:uid="{00000000-0005-0000-0000-000043770000}"/>
    <cellStyle name="Output 3 7 5" xfId="29590" xr:uid="{00000000-0005-0000-0000-000044770000}"/>
    <cellStyle name="Output 3 8" xfId="27721" xr:uid="{00000000-0005-0000-0000-000045770000}"/>
    <cellStyle name="Output 3 8 2" xfId="28709" xr:uid="{00000000-0005-0000-0000-000046770000}"/>
    <cellStyle name="Output 3 8 2 2" xfId="30669" xr:uid="{00000000-0005-0000-0000-000047770000}"/>
    <cellStyle name="Output 3 8 3" xfId="29689" xr:uid="{00000000-0005-0000-0000-000048770000}"/>
    <cellStyle name="Output 3 9" xfId="28316" xr:uid="{00000000-0005-0000-0000-000049770000}"/>
    <cellStyle name="Output 3 9 2" xfId="30276" xr:uid="{00000000-0005-0000-0000-00004A770000}"/>
    <cellStyle name="Output 4" xfId="3243" xr:uid="{00000000-0005-0000-0000-00004B770000}"/>
    <cellStyle name="Output 5" xfId="3244" xr:uid="{00000000-0005-0000-0000-00004C770000}"/>
    <cellStyle name="Output 6" xfId="3245" xr:uid="{00000000-0005-0000-0000-00004D770000}"/>
    <cellStyle name="Output 7" xfId="3246" xr:uid="{00000000-0005-0000-0000-00004E770000}"/>
    <cellStyle name="Output 8" xfId="3247" xr:uid="{00000000-0005-0000-0000-00004F770000}"/>
    <cellStyle name="Output 9" xfId="3248" xr:uid="{00000000-0005-0000-0000-000050770000}"/>
    <cellStyle name="Percent" xfId="5" builtinId="5"/>
    <cellStyle name="Percent 2" xfId="52" xr:uid="{00000000-0005-0000-0000-000052770000}"/>
    <cellStyle name="Percent 2 2" xfId="1637" xr:uid="{00000000-0005-0000-0000-000053770000}"/>
    <cellStyle name="Percent 2 2 2" xfId="15057" xr:uid="{00000000-0005-0000-0000-000054770000}"/>
    <cellStyle name="Percent 2 3" xfId="1638" xr:uid="{00000000-0005-0000-0000-000055770000}"/>
    <cellStyle name="Percent 2 3 2" xfId="15058" xr:uid="{00000000-0005-0000-0000-000056770000}"/>
    <cellStyle name="Percent 2 4" xfId="1639" xr:uid="{00000000-0005-0000-0000-000057770000}"/>
    <cellStyle name="Percent 2 4 2" xfId="15059" xr:uid="{00000000-0005-0000-0000-000058770000}"/>
    <cellStyle name="Percent 2 5" xfId="1640" xr:uid="{00000000-0005-0000-0000-000059770000}"/>
    <cellStyle name="Percent 2 5 2" xfId="15060" xr:uid="{00000000-0005-0000-0000-00005A770000}"/>
    <cellStyle name="Percent 2 6" xfId="1641" xr:uid="{00000000-0005-0000-0000-00005B770000}"/>
    <cellStyle name="Percent 2 6 2" xfId="15061" xr:uid="{00000000-0005-0000-0000-00005C770000}"/>
    <cellStyle name="Percent 2 7" xfId="1642" xr:uid="{00000000-0005-0000-0000-00005D770000}"/>
    <cellStyle name="Percent 2 7 2" xfId="15062" xr:uid="{00000000-0005-0000-0000-00005E770000}"/>
    <cellStyle name="Percent 2 8" xfId="27414" xr:uid="{00000000-0005-0000-0000-00005F770000}"/>
    <cellStyle name="Percent 2 9" xfId="27410" xr:uid="{00000000-0005-0000-0000-000060770000}"/>
    <cellStyle name="Percent 3" xfId="27172" xr:uid="{00000000-0005-0000-0000-000061770000}"/>
    <cellStyle name="Percent 4" xfId="28306" xr:uid="{00000000-0005-0000-0000-000062770000}"/>
    <cellStyle name="Style 1" xfId="27807" xr:uid="{00000000-0005-0000-0000-000063770000}"/>
    <cellStyle name="Title" xfId="6" builtinId="15" customBuiltin="1"/>
    <cellStyle name="Title 2" xfId="1643" xr:uid="{00000000-0005-0000-0000-000065770000}"/>
    <cellStyle name="Title 3" xfId="1644" xr:uid="{00000000-0005-0000-0000-000066770000}"/>
    <cellStyle name="Total" xfId="22" builtinId="25" customBuiltin="1"/>
    <cellStyle name="Total 10" xfId="3249" xr:uid="{00000000-0005-0000-0000-000068770000}"/>
    <cellStyle name="Total 11" xfId="3250" xr:uid="{00000000-0005-0000-0000-000069770000}"/>
    <cellStyle name="Total 12" xfId="3251" xr:uid="{00000000-0005-0000-0000-00006A770000}"/>
    <cellStyle name="Total 13" xfId="3252" xr:uid="{00000000-0005-0000-0000-00006B770000}"/>
    <cellStyle name="Total 14" xfId="3253" xr:uid="{00000000-0005-0000-0000-00006C770000}"/>
    <cellStyle name="Total 15" xfId="3254" xr:uid="{00000000-0005-0000-0000-00006D770000}"/>
    <cellStyle name="Total 16" xfId="3255" xr:uid="{00000000-0005-0000-0000-00006E770000}"/>
    <cellStyle name="Total 17" xfId="3256" xr:uid="{00000000-0005-0000-0000-00006F770000}"/>
    <cellStyle name="Total 18" xfId="3257" xr:uid="{00000000-0005-0000-0000-000070770000}"/>
    <cellStyle name="Total 19" xfId="3258" xr:uid="{00000000-0005-0000-0000-000071770000}"/>
    <cellStyle name="Total 2" xfId="1645" xr:uid="{00000000-0005-0000-0000-000072770000}"/>
    <cellStyle name="Total 2 10" xfId="3259" xr:uid="{00000000-0005-0000-0000-000073770000}"/>
    <cellStyle name="Total 2 11" xfId="3260" xr:uid="{00000000-0005-0000-0000-000074770000}"/>
    <cellStyle name="Total 2 12" xfId="3261" xr:uid="{00000000-0005-0000-0000-000075770000}"/>
    <cellStyle name="Total 2 13" xfId="3262" xr:uid="{00000000-0005-0000-0000-000076770000}"/>
    <cellStyle name="Total 2 14" xfId="3263" xr:uid="{00000000-0005-0000-0000-000077770000}"/>
    <cellStyle name="Total 2 15" xfId="3264" xr:uid="{00000000-0005-0000-0000-000078770000}"/>
    <cellStyle name="Total 2 16" xfId="14967" xr:uid="{00000000-0005-0000-0000-000079770000}"/>
    <cellStyle name="Total 2 16 10" xfId="31277" xr:uid="{00000000-0005-0000-0000-00007A770000}"/>
    <cellStyle name="Total 2 16 2" xfId="15003" xr:uid="{00000000-0005-0000-0000-00007B770000}"/>
    <cellStyle name="Total 2 16 2 2" xfId="27388" xr:uid="{00000000-0005-0000-0000-00007C770000}"/>
    <cellStyle name="Total 2 16 2 2 2" xfId="27499" xr:uid="{00000000-0005-0000-0000-00007D770000}"/>
    <cellStyle name="Total 2 16 2 2 2 2" xfId="27965" xr:uid="{00000000-0005-0000-0000-00007E770000}"/>
    <cellStyle name="Total 2 16 2 2 2 2 2" xfId="28952" xr:uid="{00000000-0005-0000-0000-00007F770000}"/>
    <cellStyle name="Total 2 16 2 2 2 2 2 2" xfId="30912" xr:uid="{00000000-0005-0000-0000-000080770000}"/>
    <cellStyle name="Total 2 16 2 2 2 2 3" xfId="29932" xr:uid="{00000000-0005-0000-0000-000081770000}"/>
    <cellStyle name="Total 2 16 2 2 2 3" xfId="28487" xr:uid="{00000000-0005-0000-0000-000082770000}"/>
    <cellStyle name="Total 2 16 2 2 2 3 2" xfId="30447" xr:uid="{00000000-0005-0000-0000-000083770000}"/>
    <cellStyle name="Total 2 16 2 2 2 4" xfId="29467" xr:uid="{00000000-0005-0000-0000-000084770000}"/>
    <cellStyle name="Total 2 16 2 2 3" xfId="27597" xr:uid="{00000000-0005-0000-0000-000085770000}"/>
    <cellStyle name="Total 2 16 2 2 3 2" xfId="28063" xr:uid="{00000000-0005-0000-0000-000086770000}"/>
    <cellStyle name="Total 2 16 2 2 3 2 2" xfId="29050" xr:uid="{00000000-0005-0000-0000-000087770000}"/>
    <cellStyle name="Total 2 16 2 2 3 2 2 2" xfId="31010" xr:uid="{00000000-0005-0000-0000-000088770000}"/>
    <cellStyle name="Total 2 16 2 2 3 2 3" xfId="30030" xr:uid="{00000000-0005-0000-0000-000089770000}"/>
    <cellStyle name="Total 2 16 2 2 3 3" xfId="28208" xr:uid="{00000000-0005-0000-0000-00008A770000}"/>
    <cellStyle name="Total 2 16 2 2 3 3 2" xfId="29195" xr:uid="{00000000-0005-0000-0000-00008B770000}"/>
    <cellStyle name="Total 2 16 2 2 3 3 2 2" xfId="31155" xr:uid="{00000000-0005-0000-0000-00008C770000}"/>
    <cellStyle name="Total 2 16 2 2 3 3 3" xfId="30175" xr:uid="{00000000-0005-0000-0000-00008D770000}"/>
    <cellStyle name="Total 2 16 2 2 3 4" xfId="28585" xr:uid="{00000000-0005-0000-0000-00008E770000}"/>
    <cellStyle name="Total 2 16 2 2 3 4 2" xfId="30545" xr:uid="{00000000-0005-0000-0000-00008F770000}"/>
    <cellStyle name="Total 2 16 2 2 3 5" xfId="29565" xr:uid="{00000000-0005-0000-0000-000090770000}"/>
    <cellStyle name="Total 2 16 2 2 4" xfId="27695" xr:uid="{00000000-0005-0000-0000-000091770000}"/>
    <cellStyle name="Total 2 16 2 2 4 2" xfId="28161" xr:uid="{00000000-0005-0000-0000-000092770000}"/>
    <cellStyle name="Total 2 16 2 2 4 2 2" xfId="29148" xr:uid="{00000000-0005-0000-0000-000093770000}"/>
    <cellStyle name="Total 2 16 2 2 4 2 2 2" xfId="31108" xr:uid="{00000000-0005-0000-0000-000094770000}"/>
    <cellStyle name="Total 2 16 2 2 4 2 3" xfId="30128" xr:uid="{00000000-0005-0000-0000-000095770000}"/>
    <cellStyle name="Total 2 16 2 2 4 3" xfId="28244" xr:uid="{00000000-0005-0000-0000-000096770000}"/>
    <cellStyle name="Total 2 16 2 2 4 3 2" xfId="29231" xr:uid="{00000000-0005-0000-0000-000097770000}"/>
    <cellStyle name="Total 2 16 2 2 4 3 2 2" xfId="31191" xr:uid="{00000000-0005-0000-0000-000098770000}"/>
    <cellStyle name="Total 2 16 2 2 4 3 3" xfId="30211" xr:uid="{00000000-0005-0000-0000-000099770000}"/>
    <cellStyle name="Total 2 16 2 2 4 4" xfId="28683" xr:uid="{00000000-0005-0000-0000-00009A770000}"/>
    <cellStyle name="Total 2 16 2 2 4 4 2" xfId="30643" xr:uid="{00000000-0005-0000-0000-00009B770000}"/>
    <cellStyle name="Total 2 16 2 2 4 5" xfId="29663" xr:uid="{00000000-0005-0000-0000-00009C770000}"/>
    <cellStyle name="Total 2 16 2 2 5" xfId="27867" xr:uid="{00000000-0005-0000-0000-00009D770000}"/>
    <cellStyle name="Total 2 16 2 2 5 2" xfId="28854" xr:uid="{00000000-0005-0000-0000-00009E770000}"/>
    <cellStyle name="Total 2 16 2 2 5 2 2" xfId="30814" xr:uid="{00000000-0005-0000-0000-00009F770000}"/>
    <cellStyle name="Total 2 16 2 2 5 3" xfId="29834" xr:uid="{00000000-0005-0000-0000-0000A0770000}"/>
    <cellStyle name="Total 2 16 2 2 6" xfId="28389" xr:uid="{00000000-0005-0000-0000-0000A1770000}"/>
    <cellStyle name="Total 2 16 2 2 6 2" xfId="30349" xr:uid="{00000000-0005-0000-0000-0000A2770000}"/>
    <cellStyle name="Total 2 16 2 2 7" xfId="29369" xr:uid="{00000000-0005-0000-0000-0000A3770000}"/>
    <cellStyle name="Total 2 16 2 2 8" xfId="31329" xr:uid="{00000000-0005-0000-0000-0000A4770000}"/>
    <cellStyle name="Total 2 16 2 3" xfId="27455" xr:uid="{00000000-0005-0000-0000-0000A5770000}"/>
    <cellStyle name="Total 2 16 2 3 2" xfId="27921" xr:uid="{00000000-0005-0000-0000-0000A6770000}"/>
    <cellStyle name="Total 2 16 2 3 2 2" xfId="28908" xr:uid="{00000000-0005-0000-0000-0000A7770000}"/>
    <cellStyle name="Total 2 16 2 3 2 2 2" xfId="30868" xr:uid="{00000000-0005-0000-0000-0000A8770000}"/>
    <cellStyle name="Total 2 16 2 3 2 3" xfId="29888" xr:uid="{00000000-0005-0000-0000-0000A9770000}"/>
    <cellStyle name="Total 2 16 2 3 3" xfId="28443" xr:uid="{00000000-0005-0000-0000-0000AA770000}"/>
    <cellStyle name="Total 2 16 2 3 3 2" xfId="30403" xr:uid="{00000000-0005-0000-0000-0000AB770000}"/>
    <cellStyle name="Total 2 16 2 3 4" xfId="29423" xr:uid="{00000000-0005-0000-0000-0000AC770000}"/>
    <cellStyle name="Total 2 16 2 4" xfId="27553" xr:uid="{00000000-0005-0000-0000-0000AD770000}"/>
    <cellStyle name="Total 2 16 2 4 2" xfId="28019" xr:uid="{00000000-0005-0000-0000-0000AE770000}"/>
    <cellStyle name="Total 2 16 2 4 2 2" xfId="29006" xr:uid="{00000000-0005-0000-0000-0000AF770000}"/>
    <cellStyle name="Total 2 16 2 4 2 2 2" xfId="30966" xr:uid="{00000000-0005-0000-0000-0000B0770000}"/>
    <cellStyle name="Total 2 16 2 4 2 3" xfId="29986" xr:uid="{00000000-0005-0000-0000-0000B1770000}"/>
    <cellStyle name="Total 2 16 2 4 3" xfId="28192" xr:uid="{00000000-0005-0000-0000-0000B2770000}"/>
    <cellStyle name="Total 2 16 2 4 3 2" xfId="29179" xr:uid="{00000000-0005-0000-0000-0000B3770000}"/>
    <cellStyle name="Total 2 16 2 4 3 2 2" xfId="31139" xr:uid="{00000000-0005-0000-0000-0000B4770000}"/>
    <cellStyle name="Total 2 16 2 4 3 3" xfId="30159" xr:uid="{00000000-0005-0000-0000-0000B5770000}"/>
    <cellStyle name="Total 2 16 2 4 4" xfId="28541" xr:uid="{00000000-0005-0000-0000-0000B6770000}"/>
    <cellStyle name="Total 2 16 2 4 4 2" xfId="30501" xr:uid="{00000000-0005-0000-0000-0000B7770000}"/>
    <cellStyle name="Total 2 16 2 4 5" xfId="29521" xr:uid="{00000000-0005-0000-0000-0000B8770000}"/>
    <cellStyle name="Total 2 16 2 5" xfId="27651" xr:uid="{00000000-0005-0000-0000-0000B9770000}"/>
    <cellStyle name="Total 2 16 2 5 2" xfId="28117" xr:uid="{00000000-0005-0000-0000-0000BA770000}"/>
    <cellStyle name="Total 2 16 2 5 2 2" xfId="29104" xr:uid="{00000000-0005-0000-0000-0000BB770000}"/>
    <cellStyle name="Total 2 16 2 5 2 2 2" xfId="31064" xr:uid="{00000000-0005-0000-0000-0000BC770000}"/>
    <cellStyle name="Total 2 16 2 5 2 3" xfId="30084" xr:uid="{00000000-0005-0000-0000-0000BD770000}"/>
    <cellStyle name="Total 2 16 2 5 3" xfId="28228" xr:uid="{00000000-0005-0000-0000-0000BE770000}"/>
    <cellStyle name="Total 2 16 2 5 3 2" xfId="29215" xr:uid="{00000000-0005-0000-0000-0000BF770000}"/>
    <cellStyle name="Total 2 16 2 5 3 2 2" xfId="31175" xr:uid="{00000000-0005-0000-0000-0000C0770000}"/>
    <cellStyle name="Total 2 16 2 5 3 3" xfId="30195" xr:uid="{00000000-0005-0000-0000-0000C1770000}"/>
    <cellStyle name="Total 2 16 2 5 4" xfId="28639" xr:uid="{00000000-0005-0000-0000-0000C2770000}"/>
    <cellStyle name="Total 2 16 2 5 4 2" xfId="30599" xr:uid="{00000000-0005-0000-0000-0000C3770000}"/>
    <cellStyle name="Total 2 16 2 5 5" xfId="29619" xr:uid="{00000000-0005-0000-0000-0000C4770000}"/>
    <cellStyle name="Total 2 16 2 6" xfId="27791" xr:uid="{00000000-0005-0000-0000-0000C5770000}"/>
    <cellStyle name="Total 2 16 2 6 2" xfId="28779" xr:uid="{00000000-0005-0000-0000-0000C6770000}"/>
    <cellStyle name="Total 2 16 2 6 2 2" xfId="30739" xr:uid="{00000000-0005-0000-0000-0000C7770000}"/>
    <cellStyle name="Total 2 16 2 6 3" xfId="29759" xr:uid="{00000000-0005-0000-0000-0000C8770000}"/>
    <cellStyle name="Total 2 16 2 7" xfId="28345" xr:uid="{00000000-0005-0000-0000-0000C9770000}"/>
    <cellStyle name="Total 2 16 2 7 2" xfId="30305" xr:uid="{00000000-0005-0000-0000-0000CA770000}"/>
    <cellStyle name="Total 2 16 2 8" xfId="29325" xr:uid="{00000000-0005-0000-0000-0000CB770000}"/>
    <cellStyle name="Total 2 16 2 9" xfId="31285" xr:uid="{00000000-0005-0000-0000-0000CC770000}"/>
    <cellStyle name="Total 2 16 3" xfId="27380" xr:uid="{00000000-0005-0000-0000-0000CD770000}"/>
    <cellStyle name="Total 2 16 3 2" xfId="27491" xr:uid="{00000000-0005-0000-0000-0000CE770000}"/>
    <cellStyle name="Total 2 16 3 2 2" xfId="27957" xr:uid="{00000000-0005-0000-0000-0000CF770000}"/>
    <cellStyle name="Total 2 16 3 2 2 2" xfId="28944" xr:uid="{00000000-0005-0000-0000-0000D0770000}"/>
    <cellStyle name="Total 2 16 3 2 2 2 2" xfId="30904" xr:uid="{00000000-0005-0000-0000-0000D1770000}"/>
    <cellStyle name="Total 2 16 3 2 2 3" xfId="29924" xr:uid="{00000000-0005-0000-0000-0000D2770000}"/>
    <cellStyle name="Total 2 16 3 2 3" xfId="28479" xr:uid="{00000000-0005-0000-0000-0000D3770000}"/>
    <cellStyle name="Total 2 16 3 2 3 2" xfId="30439" xr:uid="{00000000-0005-0000-0000-0000D4770000}"/>
    <cellStyle name="Total 2 16 3 2 4" xfId="29459" xr:uid="{00000000-0005-0000-0000-0000D5770000}"/>
    <cellStyle name="Total 2 16 3 3" xfId="27589" xr:uid="{00000000-0005-0000-0000-0000D6770000}"/>
    <cellStyle name="Total 2 16 3 3 2" xfId="28055" xr:uid="{00000000-0005-0000-0000-0000D7770000}"/>
    <cellStyle name="Total 2 16 3 3 2 2" xfId="29042" xr:uid="{00000000-0005-0000-0000-0000D8770000}"/>
    <cellStyle name="Total 2 16 3 3 2 2 2" xfId="31002" xr:uid="{00000000-0005-0000-0000-0000D9770000}"/>
    <cellStyle name="Total 2 16 3 3 2 3" xfId="30022" xr:uid="{00000000-0005-0000-0000-0000DA770000}"/>
    <cellStyle name="Total 2 16 3 3 3" xfId="28205" xr:uid="{00000000-0005-0000-0000-0000DB770000}"/>
    <cellStyle name="Total 2 16 3 3 3 2" xfId="29192" xr:uid="{00000000-0005-0000-0000-0000DC770000}"/>
    <cellStyle name="Total 2 16 3 3 3 2 2" xfId="31152" xr:uid="{00000000-0005-0000-0000-0000DD770000}"/>
    <cellStyle name="Total 2 16 3 3 3 3" xfId="30172" xr:uid="{00000000-0005-0000-0000-0000DE770000}"/>
    <cellStyle name="Total 2 16 3 3 4" xfId="28577" xr:uid="{00000000-0005-0000-0000-0000DF770000}"/>
    <cellStyle name="Total 2 16 3 3 4 2" xfId="30537" xr:uid="{00000000-0005-0000-0000-0000E0770000}"/>
    <cellStyle name="Total 2 16 3 3 5" xfId="29557" xr:uid="{00000000-0005-0000-0000-0000E1770000}"/>
    <cellStyle name="Total 2 16 3 4" xfId="27687" xr:uid="{00000000-0005-0000-0000-0000E2770000}"/>
    <cellStyle name="Total 2 16 3 4 2" xfId="28153" xr:uid="{00000000-0005-0000-0000-0000E3770000}"/>
    <cellStyle name="Total 2 16 3 4 2 2" xfId="29140" xr:uid="{00000000-0005-0000-0000-0000E4770000}"/>
    <cellStyle name="Total 2 16 3 4 2 2 2" xfId="31100" xr:uid="{00000000-0005-0000-0000-0000E5770000}"/>
    <cellStyle name="Total 2 16 3 4 2 3" xfId="30120" xr:uid="{00000000-0005-0000-0000-0000E6770000}"/>
    <cellStyle name="Total 2 16 3 4 3" xfId="28241" xr:uid="{00000000-0005-0000-0000-0000E7770000}"/>
    <cellStyle name="Total 2 16 3 4 3 2" xfId="29228" xr:uid="{00000000-0005-0000-0000-0000E8770000}"/>
    <cellStyle name="Total 2 16 3 4 3 2 2" xfId="31188" xr:uid="{00000000-0005-0000-0000-0000E9770000}"/>
    <cellStyle name="Total 2 16 3 4 3 3" xfId="30208" xr:uid="{00000000-0005-0000-0000-0000EA770000}"/>
    <cellStyle name="Total 2 16 3 4 4" xfId="28675" xr:uid="{00000000-0005-0000-0000-0000EB770000}"/>
    <cellStyle name="Total 2 16 3 4 4 2" xfId="30635" xr:uid="{00000000-0005-0000-0000-0000EC770000}"/>
    <cellStyle name="Total 2 16 3 4 5" xfId="29655" xr:uid="{00000000-0005-0000-0000-0000ED770000}"/>
    <cellStyle name="Total 2 16 3 5" xfId="27859" xr:uid="{00000000-0005-0000-0000-0000EE770000}"/>
    <cellStyle name="Total 2 16 3 5 2" xfId="28846" xr:uid="{00000000-0005-0000-0000-0000EF770000}"/>
    <cellStyle name="Total 2 16 3 5 2 2" xfId="30806" xr:uid="{00000000-0005-0000-0000-0000F0770000}"/>
    <cellStyle name="Total 2 16 3 5 3" xfId="29826" xr:uid="{00000000-0005-0000-0000-0000F1770000}"/>
    <cellStyle name="Total 2 16 3 6" xfId="28381" xr:uid="{00000000-0005-0000-0000-0000F2770000}"/>
    <cellStyle name="Total 2 16 3 6 2" xfId="30341" xr:uid="{00000000-0005-0000-0000-0000F3770000}"/>
    <cellStyle name="Total 2 16 3 7" xfId="29361" xr:uid="{00000000-0005-0000-0000-0000F4770000}"/>
    <cellStyle name="Total 2 16 3 8" xfId="31321" xr:uid="{00000000-0005-0000-0000-0000F5770000}"/>
    <cellStyle name="Total 2 16 4" xfId="27447" xr:uid="{00000000-0005-0000-0000-0000F6770000}"/>
    <cellStyle name="Total 2 16 4 2" xfId="27913" xr:uid="{00000000-0005-0000-0000-0000F7770000}"/>
    <cellStyle name="Total 2 16 4 2 2" xfId="28900" xr:uid="{00000000-0005-0000-0000-0000F8770000}"/>
    <cellStyle name="Total 2 16 4 2 2 2" xfId="30860" xr:uid="{00000000-0005-0000-0000-0000F9770000}"/>
    <cellStyle name="Total 2 16 4 2 3" xfId="29880" xr:uid="{00000000-0005-0000-0000-0000FA770000}"/>
    <cellStyle name="Total 2 16 4 3" xfId="28435" xr:uid="{00000000-0005-0000-0000-0000FB770000}"/>
    <cellStyle name="Total 2 16 4 3 2" xfId="30395" xr:uid="{00000000-0005-0000-0000-0000FC770000}"/>
    <cellStyle name="Total 2 16 4 4" xfId="29415" xr:uid="{00000000-0005-0000-0000-0000FD770000}"/>
    <cellStyle name="Total 2 16 5" xfId="27545" xr:uid="{00000000-0005-0000-0000-0000FE770000}"/>
    <cellStyle name="Total 2 16 5 2" xfId="28011" xr:uid="{00000000-0005-0000-0000-0000FF770000}"/>
    <cellStyle name="Total 2 16 5 2 2" xfId="28998" xr:uid="{00000000-0005-0000-0000-000000780000}"/>
    <cellStyle name="Total 2 16 5 2 2 2" xfId="30958" xr:uid="{00000000-0005-0000-0000-000001780000}"/>
    <cellStyle name="Total 2 16 5 2 3" xfId="29978" xr:uid="{00000000-0005-0000-0000-000002780000}"/>
    <cellStyle name="Total 2 16 5 3" xfId="28189" xr:uid="{00000000-0005-0000-0000-000003780000}"/>
    <cellStyle name="Total 2 16 5 3 2" xfId="29176" xr:uid="{00000000-0005-0000-0000-000004780000}"/>
    <cellStyle name="Total 2 16 5 3 2 2" xfId="31136" xr:uid="{00000000-0005-0000-0000-000005780000}"/>
    <cellStyle name="Total 2 16 5 3 3" xfId="30156" xr:uid="{00000000-0005-0000-0000-000006780000}"/>
    <cellStyle name="Total 2 16 5 4" xfId="28533" xr:uid="{00000000-0005-0000-0000-000007780000}"/>
    <cellStyle name="Total 2 16 5 4 2" xfId="30493" xr:uid="{00000000-0005-0000-0000-000008780000}"/>
    <cellStyle name="Total 2 16 5 5" xfId="29513" xr:uid="{00000000-0005-0000-0000-000009780000}"/>
    <cellStyle name="Total 2 16 6" xfId="27643" xr:uid="{00000000-0005-0000-0000-00000A780000}"/>
    <cellStyle name="Total 2 16 6 2" xfId="28109" xr:uid="{00000000-0005-0000-0000-00000B780000}"/>
    <cellStyle name="Total 2 16 6 2 2" xfId="29096" xr:uid="{00000000-0005-0000-0000-00000C780000}"/>
    <cellStyle name="Total 2 16 6 2 2 2" xfId="31056" xr:uid="{00000000-0005-0000-0000-00000D780000}"/>
    <cellStyle name="Total 2 16 6 2 3" xfId="30076" xr:uid="{00000000-0005-0000-0000-00000E780000}"/>
    <cellStyle name="Total 2 16 6 3" xfId="28225" xr:uid="{00000000-0005-0000-0000-00000F780000}"/>
    <cellStyle name="Total 2 16 6 3 2" xfId="29212" xr:uid="{00000000-0005-0000-0000-000010780000}"/>
    <cellStyle name="Total 2 16 6 3 2 2" xfId="31172" xr:uid="{00000000-0005-0000-0000-000011780000}"/>
    <cellStyle name="Total 2 16 6 3 3" xfId="30192" xr:uid="{00000000-0005-0000-0000-000012780000}"/>
    <cellStyle name="Total 2 16 6 4" xfId="28631" xr:uid="{00000000-0005-0000-0000-000013780000}"/>
    <cellStyle name="Total 2 16 6 4 2" xfId="30591" xr:uid="{00000000-0005-0000-0000-000014780000}"/>
    <cellStyle name="Total 2 16 6 5" xfId="29611" xr:uid="{00000000-0005-0000-0000-000015780000}"/>
    <cellStyle name="Total 2 16 7" xfId="27783" xr:uid="{00000000-0005-0000-0000-000016780000}"/>
    <cellStyle name="Total 2 16 7 2" xfId="28771" xr:uid="{00000000-0005-0000-0000-000017780000}"/>
    <cellStyle name="Total 2 16 7 2 2" xfId="30731" xr:uid="{00000000-0005-0000-0000-000018780000}"/>
    <cellStyle name="Total 2 16 7 3" xfId="29751" xr:uid="{00000000-0005-0000-0000-000019780000}"/>
    <cellStyle name="Total 2 16 8" xfId="28337" xr:uid="{00000000-0005-0000-0000-00001A780000}"/>
    <cellStyle name="Total 2 16 8 2" xfId="30297" xr:uid="{00000000-0005-0000-0000-00001B780000}"/>
    <cellStyle name="Total 2 16 9" xfId="29317" xr:uid="{00000000-0005-0000-0000-00001C780000}"/>
    <cellStyle name="Total 2 17" xfId="14950" xr:uid="{00000000-0005-0000-0000-00001D780000}"/>
    <cellStyle name="Total 2 17 2" xfId="27370" xr:uid="{00000000-0005-0000-0000-00001E780000}"/>
    <cellStyle name="Total 2 17 2 2" xfId="27481" xr:uid="{00000000-0005-0000-0000-00001F780000}"/>
    <cellStyle name="Total 2 17 2 2 2" xfId="27947" xr:uid="{00000000-0005-0000-0000-000020780000}"/>
    <cellStyle name="Total 2 17 2 2 2 2" xfId="28934" xr:uid="{00000000-0005-0000-0000-000021780000}"/>
    <cellStyle name="Total 2 17 2 2 2 2 2" xfId="30894" xr:uid="{00000000-0005-0000-0000-000022780000}"/>
    <cellStyle name="Total 2 17 2 2 2 3" xfId="29914" xr:uid="{00000000-0005-0000-0000-000023780000}"/>
    <cellStyle name="Total 2 17 2 2 3" xfId="28469" xr:uid="{00000000-0005-0000-0000-000024780000}"/>
    <cellStyle name="Total 2 17 2 2 3 2" xfId="30429" xr:uid="{00000000-0005-0000-0000-000025780000}"/>
    <cellStyle name="Total 2 17 2 2 4" xfId="29449" xr:uid="{00000000-0005-0000-0000-000026780000}"/>
    <cellStyle name="Total 2 17 2 3" xfId="27579" xr:uid="{00000000-0005-0000-0000-000027780000}"/>
    <cellStyle name="Total 2 17 2 3 2" xfId="28045" xr:uid="{00000000-0005-0000-0000-000028780000}"/>
    <cellStyle name="Total 2 17 2 3 2 2" xfId="29032" xr:uid="{00000000-0005-0000-0000-000029780000}"/>
    <cellStyle name="Total 2 17 2 3 2 2 2" xfId="30992" xr:uid="{00000000-0005-0000-0000-00002A780000}"/>
    <cellStyle name="Total 2 17 2 3 2 3" xfId="30012" xr:uid="{00000000-0005-0000-0000-00002B780000}"/>
    <cellStyle name="Total 2 17 2 3 3" xfId="28201" xr:uid="{00000000-0005-0000-0000-00002C780000}"/>
    <cellStyle name="Total 2 17 2 3 3 2" xfId="29188" xr:uid="{00000000-0005-0000-0000-00002D780000}"/>
    <cellStyle name="Total 2 17 2 3 3 2 2" xfId="31148" xr:uid="{00000000-0005-0000-0000-00002E780000}"/>
    <cellStyle name="Total 2 17 2 3 3 3" xfId="30168" xr:uid="{00000000-0005-0000-0000-00002F780000}"/>
    <cellStyle name="Total 2 17 2 3 4" xfId="28567" xr:uid="{00000000-0005-0000-0000-000030780000}"/>
    <cellStyle name="Total 2 17 2 3 4 2" xfId="30527" xr:uid="{00000000-0005-0000-0000-000031780000}"/>
    <cellStyle name="Total 2 17 2 3 5" xfId="29547" xr:uid="{00000000-0005-0000-0000-000032780000}"/>
    <cellStyle name="Total 2 17 2 4" xfId="27677" xr:uid="{00000000-0005-0000-0000-000033780000}"/>
    <cellStyle name="Total 2 17 2 4 2" xfId="28143" xr:uid="{00000000-0005-0000-0000-000034780000}"/>
    <cellStyle name="Total 2 17 2 4 2 2" xfId="29130" xr:uid="{00000000-0005-0000-0000-000035780000}"/>
    <cellStyle name="Total 2 17 2 4 2 2 2" xfId="31090" xr:uid="{00000000-0005-0000-0000-000036780000}"/>
    <cellStyle name="Total 2 17 2 4 2 3" xfId="30110" xr:uid="{00000000-0005-0000-0000-000037780000}"/>
    <cellStyle name="Total 2 17 2 4 3" xfId="28237" xr:uid="{00000000-0005-0000-0000-000038780000}"/>
    <cellStyle name="Total 2 17 2 4 3 2" xfId="29224" xr:uid="{00000000-0005-0000-0000-000039780000}"/>
    <cellStyle name="Total 2 17 2 4 3 2 2" xfId="31184" xr:uid="{00000000-0005-0000-0000-00003A780000}"/>
    <cellStyle name="Total 2 17 2 4 3 3" xfId="30204" xr:uid="{00000000-0005-0000-0000-00003B780000}"/>
    <cellStyle name="Total 2 17 2 4 4" xfId="28665" xr:uid="{00000000-0005-0000-0000-00003C780000}"/>
    <cellStyle name="Total 2 17 2 4 4 2" xfId="30625" xr:uid="{00000000-0005-0000-0000-00003D780000}"/>
    <cellStyle name="Total 2 17 2 4 5" xfId="29645" xr:uid="{00000000-0005-0000-0000-00003E780000}"/>
    <cellStyle name="Total 2 17 2 5" xfId="27849" xr:uid="{00000000-0005-0000-0000-00003F780000}"/>
    <cellStyle name="Total 2 17 2 5 2" xfId="28836" xr:uid="{00000000-0005-0000-0000-000040780000}"/>
    <cellStyle name="Total 2 17 2 5 2 2" xfId="30796" xr:uid="{00000000-0005-0000-0000-000041780000}"/>
    <cellStyle name="Total 2 17 2 5 3" xfId="29816" xr:uid="{00000000-0005-0000-0000-000042780000}"/>
    <cellStyle name="Total 2 17 2 6" xfId="28371" xr:uid="{00000000-0005-0000-0000-000043780000}"/>
    <cellStyle name="Total 2 17 2 6 2" xfId="30331" xr:uid="{00000000-0005-0000-0000-000044780000}"/>
    <cellStyle name="Total 2 17 2 7" xfId="29351" xr:uid="{00000000-0005-0000-0000-000045780000}"/>
    <cellStyle name="Total 2 17 2 8" xfId="31311" xr:uid="{00000000-0005-0000-0000-000046780000}"/>
    <cellStyle name="Total 2 17 3" xfId="27437" xr:uid="{00000000-0005-0000-0000-000047780000}"/>
    <cellStyle name="Total 2 17 3 2" xfId="27903" xr:uid="{00000000-0005-0000-0000-000048780000}"/>
    <cellStyle name="Total 2 17 3 2 2" xfId="28890" xr:uid="{00000000-0005-0000-0000-000049780000}"/>
    <cellStyle name="Total 2 17 3 2 2 2" xfId="30850" xr:uid="{00000000-0005-0000-0000-00004A780000}"/>
    <cellStyle name="Total 2 17 3 2 3" xfId="29870" xr:uid="{00000000-0005-0000-0000-00004B780000}"/>
    <cellStyle name="Total 2 17 3 3" xfId="28425" xr:uid="{00000000-0005-0000-0000-00004C780000}"/>
    <cellStyle name="Total 2 17 3 3 2" xfId="30385" xr:uid="{00000000-0005-0000-0000-00004D780000}"/>
    <cellStyle name="Total 2 17 3 4" xfId="29405" xr:uid="{00000000-0005-0000-0000-00004E780000}"/>
    <cellStyle name="Total 2 17 4" xfId="27535" xr:uid="{00000000-0005-0000-0000-00004F780000}"/>
    <cellStyle name="Total 2 17 4 2" xfId="28001" xr:uid="{00000000-0005-0000-0000-000050780000}"/>
    <cellStyle name="Total 2 17 4 2 2" xfId="28988" xr:uid="{00000000-0005-0000-0000-000051780000}"/>
    <cellStyle name="Total 2 17 4 2 2 2" xfId="30948" xr:uid="{00000000-0005-0000-0000-000052780000}"/>
    <cellStyle name="Total 2 17 4 2 3" xfId="29968" xr:uid="{00000000-0005-0000-0000-000053780000}"/>
    <cellStyle name="Total 2 17 4 3" xfId="28185" xr:uid="{00000000-0005-0000-0000-000054780000}"/>
    <cellStyle name="Total 2 17 4 3 2" xfId="29172" xr:uid="{00000000-0005-0000-0000-000055780000}"/>
    <cellStyle name="Total 2 17 4 3 2 2" xfId="31132" xr:uid="{00000000-0005-0000-0000-000056780000}"/>
    <cellStyle name="Total 2 17 4 3 3" xfId="30152" xr:uid="{00000000-0005-0000-0000-000057780000}"/>
    <cellStyle name="Total 2 17 4 4" xfId="28523" xr:uid="{00000000-0005-0000-0000-000058780000}"/>
    <cellStyle name="Total 2 17 4 4 2" xfId="30483" xr:uid="{00000000-0005-0000-0000-000059780000}"/>
    <cellStyle name="Total 2 17 4 5" xfId="29503" xr:uid="{00000000-0005-0000-0000-00005A780000}"/>
    <cellStyle name="Total 2 17 5" xfId="27633" xr:uid="{00000000-0005-0000-0000-00005B780000}"/>
    <cellStyle name="Total 2 17 5 2" xfId="28099" xr:uid="{00000000-0005-0000-0000-00005C780000}"/>
    <cellStyle name="Total 2 17 5 2 2" xfId="29086" xr:uid="{00000000-0005-0000-0000-00005D780000}"/>
    <cellStyle name="Total 2 17 5 2 2 2" xfId="31046" xr:uid="{00000000-0005-0000-0000-00005E780000}"/>
    <cellStyle name="Total 2 17 5 2 3" xfId="30066" xr:uid="{00000000-0005-0000-0000-00005F780000}"/>
    <cellStyle name="Total 2 17 5 3" xfId="28221" xr:uid="{00000000-0005-0000-0000-000060780000}"/>
    <cellStyle name="Total 2 17 5 3 2" xfId="29208" xr:uid="{00000000-0005-0000-0000-000061780000}"/>
    <cellStyle name="Total 2 17 5 3 2 2" xfId="31168" xr:uid="{00000000-0005-0000-0000-000062780000}"/>
    <cellStyle name="Total 2 17 5 3 3" xfId="30188" xr:uid="{00000000-0005-0000-0000-000063780000}"/>
    <cellStyle name="Total 2 17 5 4" xfId="28621" xr:uid="{00000000-0005-0000-0000-000064780000}"/>
    <cellStyle name="Total 2 17 5 4 2" xfId="30581" xr:uid="{00000000-0005-0000-0000-000065780000}"/>
    <cellStyle name="Total 2 17 5 5" xfId="29601" xr:uid="{00000000-0005-0000-0000-000066780000}"/>
    <cellStyle name="Total 2 17 6" xfId="27773" xr:uid="{00000000-0005-0000-0000-000067780000}"/>
    <cellStyle name="Total 2 17 6 2" xfId="28761" xr:uid="{00000000-0005-0000-0000-000068780000}"/>
    <cellStyle name="Total 2 17 6 2 2" xfId="30721" xr:uid="{00000000-0005-0000-0000-000069780000}"/>
    <cellStyle name="Total 2 17 6 3" xfId="29741" xr:uid="{00000000-0005-0000-0000-00006A780000}"/>
    <cellStyle name="Total 2 17 7" xfId="28327" xr:uid="{00000000-0005-0000-0000-00006B780000}"/>
    <cellStyle name="Total 2 17 7 2" xfId="30287" xr:uid="{00000000-0005-0000-0000-00006C780000}"/>
    <cellStyle name="Total 2 17 8" xfId="29307" xr:uid="{00000000-0005-0000-0000-00006D780000}"/>
    <cellStyle name="Total 2 17 9" xfId="31267" xr:uid="{00000000-0005-0000-0000-00006E780000}"/>
    <cellStyle name="Total 2 18" xfId="15013" xr:uid="{00000000-0005-0000-0000-00006F780000}"/>
    <cellStyle name="Total 2 18 2" xfId="27398" xr:uid="{00000000-0005-0000-0000-000070780000}"/>
    <cellStyle name="Total 2 18 2 2" xfId="27509" xr:uid="{00000000-0005-0000-0000-000071780000}"/>
    <cellStyle name="Total 2 18 2 2 2" xfId="27975" xr:uid="{00000000-0005-0000-0000-000072780000}"/>
    <cellStyle name="Total 2 18 2 2 2 2" xfId="28962" xr:uid="{00000000-0005-0000-0000-000073780000}"/>
    <cellStyle name="Total 2 18 2 2 2 2 2" xfId="30922" xr:uid="{00000000-0005-0000-0000-000074780000}"/>
    <cellStyle name="Total 2 18 2 2 2 3" xfId="29942" xr:uid="{00000000-0005-0000-0000-000075780000}"/>
    <cellStyle name="Total 2 18 2 2 3" xfId="28497" xr:uid="{00000000-0005-0000-0000-000076780000}"/>
    <cellStyle name="Total 2 18 2 2 3 2" xfId="30457" xr:uid="{00000000-0005-0000-0000-000077780000}"/>
    <cellStyle name="Total 2 18 2 2 4" xfId="29477" xr:uid="{00000000-0005-0000-0000-000078780000}"/>
    <cellStyle name="Total 2 18 2 3" xfId="27607" xr:uid="{00000000-0005-0000-0000-000079780000}"/>
    <cellStyle name="Total 2 18 2 3 2" xfId="28073" xr:uid="{00000000-0005-0000-0000-00007A780000}"/>
    <cellStyle name="Total 2 18 2 3 2 2" xfId="29060" xr:uid="{00000000-0005-0000-0000-00007B780000}"/>
    <cellStyle name="Total 2 18 2 3 2 2 2" xfId="31020" xr:uid="{00000000-0005-0000-0000-00007C780000}"/>
    <cellStyle name="Total 2 18 2 3 2 3" xfId="30040" xr:uid="{00000000-0005-0000-0000-00007D780000}"/>
    <cellStyle name="Total 2 18 2 3 3" xfId="28212" xr:uid="{00000000-0005-0000-0000-00007E780000}"/>
    <cellStyle name="Total 2 18 2 3 3 2" xfId="29199" xr:uid="{00000000-0005-0000-0000-00007F780000}"/>
    <cellStyle name="Total 2 18 2 3 3 2 2" xfId="31159" xr:uid="{00000000-0005-0000-0000-000080780000}"/>
    <cellStyle name="Total 2 18 2 3 3 3" xfId="30179" xr:uid="{00000000-0005-0000-0000-000081780000}"/>
    <cellStyle name="Total 2 18 2 3 4" xfId="28595" xr:uid="{00000000-0005-0000-0000-000082780000}"/>
    <cellStyle name="Total 2 18 2 3 4 2" xfId="30555" xr:uid="{00000000-0005-0000-0000-000083780000}"/>
    <cellStyle name="Total 2 18 2 3 5" xfId="29575" xr:uid="{00000000-0005-0000-0000-000084780000}"/>
    <cellStyle name="Total 2 18 2 4" xfId="27705" xr:uid="{00000000-0005-0000-0000-000085780000}"/>
    <cellStyle name="Total 2 18 2 4 2" xfId="28171" xr:uid="{00000000-0005-0000-0000-000086780000}"/>
    <cellStyle name="Total 2 18 2 4 2 2" xfId="29158" xr:uid="{00000000-0005-0000-0000-000087780000}"/>
    <cellStyle name="Total 2 18 2 4 2 2 2" xfId="31118" xr:uid="{00000000-0005-0000-0000-000088780000}"/>
    <cellStyle name="Total 2 18 2 4 2 3" xfId="30138" xr:uid="{00000000-0005-0000-0000-000089780000}"/>
    <cellStyle name="Total 2 18 2 4 3" xfId="28248" xr:uid="{00000000-0005-0000-0000-00008A780000}"/>
    <cellStyle name="Total 2 18 2 4 3 2" xfId="29235" xr:uid="{00000000-0005-0000-0000-00008B780000}"/>
    <cellStyle name="Total 2 18 2 4 3 2 2" xfId="31195" xr:uid="{00000000-0005-0000-0000-00008C780000}"/>
    <cellStyle name="Total 2 18 2 4 3 3" xfId="30215" xr:uid="{00000000-0005-0000-0000-00008D780000}"/>
    <cellStyle name="Total 2 18 2 4 4" xfId="28693" xr:uid="{00000000-0005-0000-0000-00008E780000}"/>
    <cellStyle name="Total 2 18 2 4 4 2" xfId="30653" xr:uid="{00000000-0005-0000-0000-00008F780000}"/>
    <cellStyle name="Total 2 18 2 4 5" xfId="29673" xr:uid="{00000000-0005-0000-0000-000090780000}"/>
    <cellStyle name="Total 2 18 2 5" xfId="27877" xr:uid="{00000000-0005-0000-0000-000091780000}"/>
    <cellStyle name="Total 2 18 2 5 2" xfId="28864" xr:uid="{00000000-0005-0000-0000-000092780000}"/>
    <cellStyle name="Total 2 18 2 5 2 2" xfId="30824" xr:uid="{00000000-0005-0000-0000-000093780000}"/>
    <cellStyle name="Total 2 18 2 5 3" xfId="29844" xr:uid="{00000000-0005-0000-0000-000094780000}"/>
    <cellStyle name="Total 2 18 2 6" xfId="28399" xr:uid="{00000000-0005-0000-0000-000095780000}"/>
    <cellStyle name="Total 2 18 2 6 2" xfId="30359" xr:uid="{00000000-0005-0000-0000-000096780000}"/>
    <cellStyle name="Total 2 18 2 7" xfId="29379" xr:uid="{00000000-0005-0000-0000-000097780000}"/>
    <cellStyle name="Total 2 18 2 8" xfId="31339" xr:uid="{00000000-0005-0000-0000-000098780000}"/>
    <cellStyle name="Total 2 18 3" xfId="27465" xr:uid="{00000000-0005-0000-0000-000099780000}"/>
    <cellStyle name="Total 2 18 3 2" xfId="27931" xr:uid="{00000000-0005-0000-0000-00009A780000}"/>
    <cellStyle name="Total 2 18 3 2 2" xfId="28918" xr:uid="{00000000-0005-0000-0000-00009B780000}"/>
    <cellStyle name="Total 2 18 3 2 2 2" xfId="30878" xr:uid="{00000000-0005-0000-0000-00009C780000}"/>
    <cellStyle name="Total 2 18 3 2 3" xfId="29898" xr:uid="{00000000-0005-0000-0000-00009D780000}"/>
    <cellStyle name="Total 2 18 3 3" xfId="28453" xr:uid="{00000000-0005-0000-0000-00009E780000}"/>
    <cellStyle name="Total 2 18 3 3 2" xfId="30413" xr:uid="{00000000-0005-0000-0000-00009F780000}"/>
    <cellStyle name="Total 2 18 3 4" xfId="29433" xr:uid="{00000000-0005-0000-0000-0000A0780000}"/>
    <cellStyle name="Total 2 18 4" xfId="27563" xr:uid="{00000000-0005-0000-0000-0000A1780000}"/>
    <cellStyle name="Total 2 18 4 2" xfId="28029" xr:uid="{00000000-0005-0000-0000-0000A2780000}"/>
    <cellStyle name="Total 2 18 4 2 2" xfId="29016" xr:uid="{00000000-0005-0000-0000-0000A3780000}"/>
    <cellStyle name="Total 2 18 4 2 2 2" xfId="30976" xr:uid="{00000000-0005-0000-0000-0000A4780000}"/>
    <cellStyle name="Total 2 18 4 2 3" xfId="29996" xr:uid="{00000000-0005-0000-0000-0000A5780000}"/>
    <cellStyle name="Total 2 18 4 3" xfId="28196" xr:uid="{00000000-0005-0000-0000-0000A6780000}"/>
    <cellStyle name="Total 2 18 4 3 2" xfId="29183" xr:uid="{00000000-0005-0000-0000-0000A7780000}"/>
    <cellStyle name="Total 2 18 4 3 2 2" xfId="31143" xr:uid="{00000000-0005-0000-0000-0000A8780000}"/>
    <cellStyle name="Total 2 18 4 3 3" xfId="30163" xr:uid="{00000000-0005-0000-0000-0000A9780000}"/>
    <cellStyle name="Total 2 18 4 4" xfId="28551" xr:uid="{00000000-0005-0000-0000-0000AA780000}"/>
    <cellStyle name="Total 2 18 4 4 2" xfId="30511" xr:uid="{00000000-0005-0000-0000-0000AB780000}"/>
    <cellStyle name="Total 2 18 4 5" xfId="29531" xr:uid="{00000000-0005-0000-0000-0000AC780000}"/>
    <cellStyle name="Total 2 18 5" xfId="27661" xr:uid="{00000000-0005-0000-0000-0000AD780000}"/>
    <cellStyle name="Total 2 18 5 2" xfId="28127" xr:uid="{00000000-0005-0000-0000-0000AE780000}"/>
    <cellStyle name="Total 2 18 5 2 2" xfId="29114" xr:uid="{00000000-0005-0000-0000-0000AF780000}"/>
    <cellStyle name="Total 2 18 5 2 2 2" xfId="31074" xr:uid="{00000000-0005-0000-0000-0000B0780000}"/>
    <cellStyle name="Total 2 18 5 2 3" xfId="30094" xr:uid="{00000000-0005-0000-0000-0000B1780000}"/>
    <cellStyle name="Total 2 18 5 3" xfId="28232" xr:uid="{00000000-0005-0000-0000-0000B2780000}"/>
    <cellStyle name="Total 2 18 5 3 2" xfId="29219" xr:uid="{00000000-0005-0000-0000-0000B3780000}"/>
    <cellStyle name="Total 2 18 5 3 2 2" xfId="31179" xr:uid="{00000000-0005-0000-0000-0000B4780000}"/>
    <cellStyle name="Total 2 18 5 3 3" xfId="30199" xr:uid="{00000000-0005-0000-0000-0000B5780000}"/>
    <cellStyle name="Total 2 18 5 4" xfId="28649" xr:uid="{00000000-0005-0000-0000-0000B6780000}"/>
    <cellStyle name="Total 2 18 5 4 2" xfId="30609" xr:uid="{00000000-0005-0000-0000-0000B7780000}"/>
    <cellStyle name="Total 2 18 5 5" xfId="29629" xr:uid="{00000000-0005-0000-0000-0000B8780000}"/>
    <cellStyle name="Total 2 18 6" xfId="27801" xr:uid="{00000000-0005-0000-0000-0000B9780000}"/>
    <cellStyle name="Total 2 18 6 2" xfId="28789" xr:uid="{00000000-0005-0000-0000-0000BA780000}"/>
    <cellStyle name="Total 2 18 6 2 2" xfId="30749" xr:uid="{00000000-0005-0000-0000-0000BB780000}"/>
    <cellStyle name="Total 2 18 6 3" xfId="29769" xr:uid="{00000000-0005-0000-0000-0000BC780000}"/>
    <cellStyle name="Total 2 18 7" xfId="28355" xr:uid="{00000000-0005-0000-0000-0000BD780000}"/>
    <cellStyle name="Total 2 18 7 2" xfId="30315" xr:uid="{00000000-0005-0000-0000-0000BE780000}"/>
    <cellStyle name="Total 2 18 8" xfId="29335" xr:uid="{00000000-0005-0000-0000-0000BF780000}"/>
    <cellStyle name="Total 2 18 9" xfId="31295" xr:uid="{00000000-0005-0000-0000-0000C0780000}"/>
    <cellStyle name="Total 2 19" xfId="27427" xr:uid="{00000000-0005-0000-0000-0000C1780000}"/>
    <cellStyle name="Total 2 19 2" xfId="27893" xr:uid="{00000000-0005-0000-0000-0000C2780000}"/>
    <cellStyle name="Total 2 19 2 2" xfId="28880" xr:uid="{00000000-0005-0000-0000-0000C3780000}"/>
    <cellStyle name="Total 2 19 2 2 2" xfId="30840" xr:uid="{00000000-0005-0000-0000-0000C4780000}"/>
    <cellStyle name="Total 2 19 2 3" xfId="29860" xr:uid="{00000000-0005-0000-0000-0000C5780000}"/>
    <cellStyle name="Total 2 19 3" xfId="28415" xr:uid="{00000000-0005-0000-0000-0000C6780000}"/>
    <cellStyle name="Total 2 19 3 2" xfId="30375" xr:uid="{00000000-0005-0000-0000-0000C7780000}"/>
    <cellStyle name="Total 2 19 4" xfId="29395" xr:uid="{00000000-0005-0000-0000-0000C8780000}"/>
    <cellStyle name="Total 2 2" xfId="3265" xr:uid="{00000000-0005-0000-0000-0000C9780000}"/>
    <cellStyle name="Total 2 20" xfId="27525" xr:uid="{00000000-0005-0000-0000-0000CA780000}"/>
    <cellStyle name="Total 2 20 2" xfId="27991" xr:uid="{00000000-0005-0000-0000-0000CB780000}"/>
    <cellStyle name="Total 2 20 2 2" xfId="28978" xr:uid="{00000000-0005-0000-0000-0000CC780000}"/>
    <cellStyle name="Total 2 20 2 2 2" xfId="30938" xr:uid="{00000000-0005-0000-0000-0000CD780000}"/>
    <cellStyle name="Total 2 20 2 3" xfId="29958" xr:uid="{00000000-0005-0000-0000-0000CE780000}"/>
    <cellStyle name="Total 2 20 3" xfId="28181" xr:uid="{00000000-0005-0000-0000-0000CF780000}"/>
    <cellStyle name="Total 2 20 3 2" xfId="29168" xr:uid="{00000000-0005-0000-0000-0000D0780000}"/>
    <cellStyle name="Total 2 20 3 2 2" xfId="31128" xr:uid="{00000000-0005-0000-0000-0000D1780000}"/>
    <cellStyle name="Total 2 20 3 3" xfId="30148" xr:uid="{00000000-0005-0000-0000-0000D2780000}"/>
    <cellStyle name="Total 2 20 4" xfId="28513" xr:uid="{00000000-0005-0000-0000-0000D3780000}"/>
    <cellStyle name="Total 2 20 4 2" xfId="30473" xr:uid="{00000000-0005-0000-0000-0000D4780000}"/>
    <cellStyle name="Total 2 20 5" xfId="29493" xr:uid="{00000000-0005-0000-0000-0000D5780000}"/>
    <cellStyle name="Total 2 21" xfId="27623" xr:uid="{00000000-0005-0000-0000-0000D6780000}"/>
    <cellStyle name="Total 2 21 2" xfId="28089" xr:uid="{00000000-0005-0000-0000-0000D7780000}"/>
    <cellStyle name="Total 2 21 2 2" xfId="29076" xr:uid="{00000000-0005-0000-0000-0000D8780000}"/>
    <cellStyle name="Total 2 21 2 2 2" xfId="31036" xr:uid="{00000000-0005-0000-0000-0000D9780000}"/>
    <cellStyle name="Total 2 21 2 3" xfId="30056" xr:uid="{00000000-0005-0000-0000-0000DA780000}"/>
    <cellStyle name="Total 2 21 3" xfId="28217" xr:uid="{00000000-0005-0000-0000-0000DB780000}"/>
    <cellStyle name="Total 2 21 3 2" xfId="29204" xr:uid="{00000000-0005-0000-0000-0000DC780000}"/>
    <cellStyle name="Total 2 21 3 2 2" xfId="31164" xr:uid="{00000000-0005-0000-0000-0000DD780000}"/>
    <cellStyle name="Total 2 21 3 3" xfId="30184" xr:uid="{00000000-0005-0000-0000-0000DE780000}"/>
    <cellStyle name="Total 2 21 4" xfId="28611" xr:uid="{00000000-0005-0000-0000-0000DF780000}"/>
    <cellStyle name="Total 2 21 4 2" xfId="30571" xr:uid="{00000000-0005-0000-0000-0000E0780000}"/>
    <cellStyle name="Total 2 21 5" xfId="29591" xr:uid="{00000000-0005-0000-0000-0000E1780000}"/>
    <cellStyle name="Total 2 22" xfId="27722" xr:uid="{00000000-0005-0000-0000-0000E2780000}"/>
    <cellStyle name="Total 2 22 2" xfId="28710" xr:uid="{00000000-0005-0000-0000-0000E3780000}"/>
    <cellStyle name="Total 2 22 2 2" xfId="30670" xr:uid="{00000000-0005-0000-0000-0000E4780000}"/>
    <cellStyle name="Total 2 22 3" xfId="29690" xr:uid="{00000000-0005-0000-0000-0000E5780000}"/>
    <cellStyle name="Total 2 23" xfId="28317" xr:uid="{00000000-0005-0000-0000-0000E6780000}"/>
    <cellStyle name="Total 2 23 2" xfId="30277" xr:uid="{00000000-0005-0000-0000-0000E7780000}"/>
    <cellStyle name="Total 2 24" xfId="29297" xr:uid="{00000000-0005-0000-0000-0000E8780000}"/>
    <cellStyle name="Total 2 25" xfId="31257" xr:uid="{00000000-0005-0000-0000-0000E9780000}"/>
    <cellStyle name="Total 2 3" xfId="3266" xr:uid="{00000000-0005-0000-0000-0000EA780000}"/>
    <cellStyle name="Total 2 4" xfId="3267" xr:uid="{00000000-0005-0000-0000-0000EB780000}"/>
    <cellStyle name="Total 2 5" xfId="3268" xr:uid="{00000000-0005-0000-0000-0000EC780000}"/>
    <cellStyle name="Total 2 6" xfId="3269" xr:uid="{00000000-0005-0000-0000-0000ED780000}"/>
    <cellStyle name="Total 2 7" xfId="3270" xr:uid="{00000000-0005-0000-0000-0000EE780000}"/>
    <cellStyle name="Total 2 8" xfId="3271" xr:uid="{00000000-0005-0000-0000-0000EF780000}"/>
    <cellStyle name="Total 2 9" xfId="3272" xr:uid="{00000000-0005-0000-0000-0000F0780000}"/>
    <cellStyle name="Total 20" xfId="3273" xr:uid="{00000000-0005-0000-0000-0000F1780000}"/>
    <cellStyle name="Total 21" xfId="3274" xr:uid="{00000000-0005-0000-0000-0000F2780000}"/>
    <cellStyle name="Total 22" xfId="3275" xr:uid="{00000000-0005-0000-0000-0000F3780000}"/>
    <cellStyle name="Total 23" xfId="3276" xr:uid="{00000000-0005-0000-0000-0000F4780000}"/>
    <cellStyle name="Total 24" xfId="3277" xr:uid="{00000000-0005-0000-0000-0000F5780000}"/>
    <cellStyle name="Total 3" xfId="1646" xr:uid="{00000000-0005-0000-0000-0000F6780000}"/>
    <cellStyle name="Total 3 10" xfId="29298" xr:uid="{00000000-0005-0000-0000-0000F7780000}"/>
    <cellStyle name="Total 3 11" xfId="31258" xr:uid="{00000000-0005-0000-0000-0000F8780000}"/>
    <cellStyle name="Total 3 2" xfId="14968" xr:uid="{00000000-0005-0000-0000-0000F9780000}"/>
    <cellStyle name="Total 3 2 10" xfId="31278" xr:uid="{00000000-0005-0000-0000-0000FA780000}"/>
    <cellStyle name="Total 3 2 2" xfId="15002" xr:uid="{00000000-0005-0000-0000-0000FB780000}"/>
    <cellStyle name="Total 3 2 2 2" xfId="27387" xr:uid="{00000000-0005-0000-0000-0000FC780000}"/>
    <cellStyle name="Total 3 2 2 2 2" xfId="27498" xr:uid="{00000000-0005-0000-0000-0000FD780000}"/>
    <cellStyle name="Total 3 2 2 2 2 2" xfId="27964" xr:uid="{00000000-0005-0000-0000-0000FE780000}"/>
    <cellStyle name="Total 3 2 2 2 2 2 2" xfId="28951" xr:uid="{00000000-0005-0000-0000-0000FF780000}"/>
    <cellStyle name="Total 3 2 2 2 2 2 2 2" xfId="30911" xr:uid="{00000000-0005-0000-0000-000000790000}"/>
    <cellStyle name="Total 3 2 2 2 2 2 3" xfId="29931" xr:uid="{00000000-0005-0000-0000-000001790000}"/>
    <cellStyle name="Total 3 2 2 2 2 3" xfId="28486" xr:uid="{00000000-0005-0000-0000-000002790000}"/>
    <cellStyle name="Total 3 2 2 2 2 3 2" xfId="30446" xr:uid="{00000000-0005-0000-0000-000003790000}"/>
    <cellStyle name="Total 3 2 2 2 2 4" xfId="29466" xr:uid="{00000000-0005-0000-0000-000004790000}"/>
    <cellStyle name="Total 3 2 2 2 3" xfId="27596" xr:uid="{00000000-0005-0000-0000-000005790000}"/>
    <cellStyle name="Total 3 2 2 2 3 2" xfId="28062" xr:uid="{00000000-0005-0000-0000-000006790000}"/>
    <cellStyle name="Total 3 2 2 2 3 2 2" xfId="29049" xr:uid="{00000000-0005-0000-0000-000007790000}"/>
    <cellStyle name="Total 3 2 2 2 3 2 2 2" xfId="31009" xr:uid="{00000000-0005-0000-0000-000008790000}"/>
    <cellStyle name="Total 3 2 2 2 3 2 3" xfId="30029" xr:uid="{00000000-0005-0000-0000-000009790000}"/>
    <cellStyle name="Total 3 2 2 2 3 3" xfId="28207" xr:uid="{00000000-0005-0000-0000-00000A790000}"/>
    <cellStyle name="Total 3 2 2 2 3 3 2" xfId="29194" xr:uid="{00000000-0005-0000-0000-00000B790000}"/>
    <cellStyle name="Total 3 2 2 2 3 3 2 2" xfId="31154" xr:uid="{00000000-0005-0000-0000-00000C790000}"/>
    <cellStyle name="Total 3 2 2 2 3 3 3" xfId="30174" xr:uid="{00000000-0005-0000-0000-00000D790000}"/>
    <cellStyle name="Total 3 2 2 2 3 4" xfId="28584" xr:uid="{00000000-0005-0000-0000-00000E790000}"/>
    <cellStyle name="Total 3 2 2 2 3 4 2" xfId="30544" xr:uid="{00000000-0005-0000-0000-00000F790000}"/>
    <cellStyle name="Total 3 2 2 2 3 5" xfId="29564" xr:uid="{00000000-0005-0000-0000-000010790000}"/>
    <cellStyle name="Total 3 2 2 2 4" xfId="27694" xr:uid="{00000000-0005-0000-0000-000011790000}"/>
    <cellStyle name="Total 3 2 2 2 4 2" xfId="28160" xr:uid="{00000000-0005-0000-0000-000012790000}"/>
    <cellStyle name="Total 3 2 2 2 4 2 2" xfId="29147" xr:uid="{00000000-0005-0000-0000-000013790000}"/>
    <cellStyle name="Total 3 2 2 2 4 2 2 2" xfId="31107" xr:uid="{00000000-0005-0000-0000-000014790000}"/>
    <cellStyle name="Total 3 2 2 2 4 2 3" xfId="30127" xr:uid="{00000000-0005-0000-0000-000015790000}"/>
    <cellStyle name="Total 3 2 2 2 4 3" xfId="28243" xr:uid="{00000000-0005-0000-0000-000016790000}"/>
    <cellStyle name="Total 3 2 2 2 4 3 2" xfId="29230" xr:uid="{00000000-0005-0000-0000-000017790000}"/>
    <cellStyle name="Total 3 2 2 2 4 3 2 2" xfId="31190" xr:uid="{00000000-0005-0000-0000-000018790000}"/>
    <cellStyle name="Total 3 2 2 2 4 3 3" xfId="30210" xr:uid="{00000000-0005-0000-0000-000019790000}"/>
    <cellStyle name="Total 3 2 2 2 4 4" xfId="28682" xr:uid="{00000000-0005-0000-0000-00001A790000}"/>
    <cellStyle name="Total 3 2 2 2 4 4 2" xfId="30642" xr:uid="{00000000-0005-0000-0000-00001B790000}"/>
    <cellStyle name="Total 3 2 2 2 4 5" xfId="29662" xr:uid="{00000000-0005-0000-0000-00001C790000}"/>
    <cellStyle name="Total 3 2 2 2 5" xfId="27866" xr:uid="{00000000-0005-0000-0000-00001D790000}"/>
    <cellStyle name="Total 3 2 2 2 5 2" xfId="28853" xr:uid="{00000000-0005-0000-0000-00001E790000}"/>
    <cellStyle name="Total 3 2 2 2 5 2 2" xfId="30813" xr:uid="{00000000-0005-0000-0000-00001F790000}"/>
    <cellStyle name="Total 3 2 2 2 5 3" xfId="29833" xr:uid="{00000000-0005-0000-0000-000020790000}"/>
    <cellStyle name="Total 3 2 2 2 6" xfId="28388" xr:uid="{00000000-0005-0000-0000-000021790000}"/>
    <cellStyle name="Total 3 2 2 2 6 2" xfId="30348" xr:uid="{00000000-0005-0000-0000-000022790000}"/>
    <cellStyle name="Total 3 2 2 2 7" xfId="29368" xr:uid="{00000000-0005-0000-0000-000023790000}"/>
    <cellStyle name="Total 3 2 2 2 8" xfId="31328" xr:uid="{00000000-0005-0000-0000-000024790000}"/>
    <cellStyle name="Total 3 2 2 3" xfId="27454" xr:uid="{00000000-0005-0000-0000-000025790000}"/>
    <cellStyle name="Total 3 2 2 3 2" xfId="27920" xr:uid="{00000000-0005-0000-0000-000026790000}"/>
    <cellStyle name="Total 3 2 2 3 2 2" xfId="28907" xr:uid="{00000000-0005-0000-0000-000027790000}"/>
    <cellStyle name="Total 3 2 2 3 2 2 2" xfId="30867" xr:uid="{00000000-0005-0000-0000-000028790000}"/>
    <cellStyle name="Total 3 2 2 3 2 3" xfId="29887" xr:uid="{00000000-0005-0000-0000-000029790000}"/>
    <cellStyle name="Total 3 2 2 3 3" xfId="28442" xr:uid="{00000000-0005-0000-0000-00002A790000}"/>
    <cellStyle name="Total 3 2 2 3 3 2" xfId="30402" xr:uid="{00000000-0005-0000-0000-00002B790000}"/>
    <cellStyle name="Total 3 2 2 3 4" xfId="29422" xr:uid="{00000000-0005-0000-0000-00002C790000}"/>
    <cellStyle name="Total 3 2 2 4" xfId="27552" xr:uid="{00000000-0005-0000-0000-00002D790000}"/>
    <cellStyle name="Total 3 2 2 4 2" xfId="28018" xr:uid="{00000000-0005-0000-0000-00002E790000}"/>
    <cellStyle name="Total 3 2 2 4 2 2" xfId="29005" xr:uid="{00000000-0005-0000-0000-00002F790000}"/>
    <cellStyle name="Total 3 2 2 4 2 2 2" xfId="30965" xr:uid="{00000000-0005-0000-0000-000030790000}"/>
    <cellStyle name="Total 3 2 2 4 2 3" xfId="29985" xr:uid="{00000000-0005-0000-0000-000031790000}"/>
    <cellStyle name="Total 3 2 2 4 3" xfId="28191" xr:uid="{00000000-0005-0000-0000-000032790000}"/>
    <cellStyle name="Total 3 2 2 4 3 2" xfId="29178" xr:uid="{00000000-0005-0000-0000-000033790000}"/>
    <cellStyle name="Total 3 2 2 4 3 2 2" xfId="31138" xr:uid="{00000000-0005-0000-0000-000034790000}"/>
    <cellStyle name="Total 3 2 2 4 3 3" xfId="30158" xr:uid="{00000000-0005-0000-0000-000035790000}"/>
    <cellStyle name="Total 3 2 2 4 4" xfId="28540" xr:uid="{00000000-0005-0000-0000-000036790000}"/>
    <cellStyle name="Total 3 2 2 4 4 2" xfId="30500" xr:uid="{00000000-0005-0000-0000-000037790000}"/>
    <cellStyle name="Total 3 2 2 4 5" xfId="29520" xr:uid="{00000000-0005-0000-0000-000038790000}"/>
    <cellStyle name="Total 3 2 2 5" xfId="27650" xr:uid="{00000000-0005-0000-0000-000039790000}"/>
    <cellStyle name="Total 3 2 2 5 2" xfId="28116" xr:uid="{00000000-0005-0000-0000-00003A790000}"/>
    <cellStyle name="Total 3 2 2 5 2 2" xfId="29103" xr:uid="{00000000-0005-0000-0000-00003B790000}"/>
    <cellStyle name="Total 3 2 2 5 2 2 2" xfId="31063" xr:uid="{00000000-0005-0000-0000-00003C790000}"/>
    <cellStyle name="Total 3 2 2 5 2 3" xfId="30083" xr:uid="{00000000-0005-0000-0000-00003D790000}"/>
    <cellStyle name="Total 3 2 2 5 3" xfId="28227" xr:uid="{00000000-0005-0000-0000-00003E790000}"/>
    <cellStyle name="Total 3 2 2 5 3 2" xfId="29214" xr:uid="{00000000-0005-0000-0000-00003F790000}"/>
    <cellStyle name="Total 3 2 2 5 3 2 2" xfId="31174" xr:uid="{00000000-0005-0000-0000-000040790000}"/>
    <cellStyle name="Total 3 2 2 5 3 3" xfId="30194" xr:uid="{00000000-0005-0000-0000-000041790000}"/>
    <cellStyle name="Total 3 2 2 5 4" xfId="28638" xr:uid="{00000000-0005-0000-0000-000042790000}"/>
    <cellStyle name="Total 3 2 2 5 4 2" xfId="30598" xr:uid="{00000000-0005-0000-0000-000043790000}"/>
    <cellStyle name="Total 3 2 2 5 5" xfId="29618" xr:uid="{00000000-0005-0000-0000-000044790000}"/>
    <cellStyle name="Total 3 2 2 6" xfId="27790" xr:uid="{00000000-0005-0000-0000-000045790000}"/>
    <cellStyle name="Total 3 2 2 6 2" xfId="28778" xr:uid="{00000000-0005-0000-0000-000046790000}"/>
    <cellStyle name="Total 3 2 2 6 2 2" xfId="30738" xr:uid="{00000000-0005-0000-0000-000047790000}"/>
    <cellStyle name="Total 3 2 2 6 3" xfId="29758" xr:uid="{00000000-0005-0000-0000-000048790000}"/>
    <cellStyle name="Total 3 2 2 7" xfId="28344" xr:uid="{00000000-0005-0000-0000-000049790000}"/>
    <cellStyle name="Total 3 2 2 7 2" xfId="30304" xr:uid="{00000000-0005-0000-0000-00004A790000}"/>
    <cellStyle name="Total 3 2 2 8" xfId="29324" xr:uid="{00000000-0005-0000-0000-00004B790000}"/>
    <cellStyle name="Total 3 2 2 9" xfId="31284" xr:uid="{00000000-0005-0000-0000-00004C790000}"/>
    <cellStyle name="Total 3 2 3" xfId="27381" xr:uid="{00000000-0005-0000-0000-00004D790000}"/>
    <cellStyle name="Total 3 2 3 2" xfId="27492" xr:uid="{00000000-0005-0000-0000-00004E790000}"/>
    <cellStyle name="Total 3 2 3 2 2" xfId="27958" xr:uid="{00000000-0005-0000-0000-00004F790000}"/>
    <cellStyle name="Total 3 2 3 2 2 2" xfId="28945" xr:uid="{00000000-0005-0000-0000-000050790000}"/>
    <cellStyle name="Total 3 2 3 2 2 2 2" xfId="30905" xr:uid="{00000000-0005-0000-0000-000051790000}"/>
    <cellStyle name="Total 3 2 3 2 2 3" xfId="29925" xr:uid="{00000000-0005-0000-0000-000052790000}"/>
    <cellStyle name="Total 3 2 3 2 3" xfId="28480" xr:uid="{00000000-0005-0000-0000-000053790000}"/>
    <cellStyle name="Total 3 2 3 2 3 2" xfId="30440" xr:uid="{00000000-0005-0000-0000-000054790000}"/>
    <cellStyle name="Total 3 2 3 2 4" xfId="29460" xr:uid="{00000000-0005-0000-0000-000055790000}"/>
    <cellStyle name="Total 3 2 3 3" xfId="27590" xr:uid="{00000000-0005-0000-0000-000056790000}"/>
    <cellStyle name="Total 3 2 3 3 2" xfId="28056" xr:uid="{00000000-0005-0000-0000-000057790000}"/>
    <cellStyle name="Total 3 2 3 3 2 2" xfId="29043" xr:uid="{00000000-0005-0000-0000-000058790000}"/>
    <cellStyle name="Total 3 2 3 3 2 2 2" xfId="31003" xr:uid="{00000000-0005-0000-0000-000059790000}"/>
    <cellStyle name="Total 3 2 3 3 2 3" xfId="30023" xr:uid="{00000000-0005-0000-0000-00005A790000}"/>
    <cellStyle name="Total 3 2 3 3 3" xfId="28206" xr:uid="{00000000-0005-0000-0000-00005B790000}"/>
    <cellStyle name="Total 3 2 3 3 3 2" xfId="29193" xr:uid="{00000000-0005-0000-0000-00005C790000}"/>
    <cellStyle name="Total 3 2 3 3 3 2 2" xfId="31153" xr:uid="{00000000-0005-0000-0000-00005D790000}"/>
    <cellStyle name="Total 3 2 3 3 3 3" xfId="30173" xr:uid="{00000000-0005-0000-0000-00005E790000}"/>
    <cellStyle name="Total 3 2 3 3 4" xfId="28578" xr:uid="{00000000-0005-0000-0000-00005F790000}"/>
    <cellStyle name="Total 3 2 3 3 4 2" xfId="30538" xr:uid="{00000000-0005-0000-0000-000060790000}"/>
    <cellStyle name="Total 3 2 3 3 5" xfId="29558" xr:uid="{00000000-0005-0000-0000-000061790000}"/>
    <cellStyle name="Total 3 2 3 4" xfId="27688" xr:uid="{00000000-0005-0000-0000-000062790000}"/>
    <cellStyle name="Total 3 2 3 4 2" xfId="28154" xr:uid="{00000000-0005-0000-0000-000063790000}"/>
    <cellStyle name="Total 3 2 3 4 2 2" xfId="29141" xr:uid="{00000000-0005-0000-0000-000064790000}"/>
    <cellStyle name="Total 3 2 3 4 2 2 2" xfId="31101" xr:uid="{00000000-0005-0000-0000-000065790000}"/>
    <cellStyle name="Total 3 2 3 4 2 3" xfId="30121" xr:uid="{00000000-0005-0000-0000-000066790000}"/>
    <cellStyle name="Total 3 2 3 4 3" xfId="28242" xr:uid="{00000000-0005-0000-0000-000067790000}"/>
    <cellStyle name="Total 3 2 3 4 3 2" xfId="29229" xr:uid="{00000000-0005-0000-0000-000068790000}"/>
    <cellStyle name="Total 3 2 3 4 3 2 2" xfId="31189" xr:uid="{00000000-0005-0000-0000-000069790000}"/>
    <cellStyle name="Total 3 2 3 4 3 3" xfId="30209" xr:uid="{00000000-0005-0000-0000-00006A790000}"/>
    <cellStyle name="Total 3 2 3 4 4" xfId="28676" xr:uid="{00000000-0005-0000-0000-00006B790000}"/>
    <cellStyle name="Total 3 2 3 4 4 2" xfId="30636" xr:uid="{00000000-0005-0000-0000-00006C790000}"/>
    <cellStyle name="Total 3 2 3 4 5" xfId="29656" xr:uid="{00000000-0005-0000-0000-00006D790000}"/>
    <cellStyle name="Total 3 2 3 5" xfId="27860" xr:uid="{00000000-0005-0000-0000-00006E790000}"/>
    <cellStyle name="Total 3 2 3 5 2" xfId="28847" xr:uid="{00000000-0005-0000-0000-00006F790000}"/>
    <cellStyle name="Total 3 2 3 5 2 2" xfId="30807" xr:uid="{00000000-0005-0000-0000-000070790000}"/>
    <cellStyle name="Total 3 2 3 5 3" xfId="29827" xr:uid="{00000000-0005-0000-0000-000071790000}"/>
    <cellStyle name="Total 3 2 3 6" xfId="28382" xr:uid="{00000000-0005-0000-0000-000072790000}"/>
    <cellStyle name="Total 3 2 3 6 2" xfId="30342" xr:uid="{00000000-0005-0000-0000-000073790000}"/>
    <cellStyle name="Total 3 2 3 7" xfId="29362" xr:uid="{00000000-0005-0000-0000-000074790000}"/>
    <cellStyle name="Total 3 2 3 8" xfId="31322" xr:uid="{00000000-0005-0000-0000-000075790000}"/>
    <cellStyle name="Total 3 2 4" xfId="27448" xr:uid="{00000000-0005-0000-0000-000076790000}"/>
    <cellStyle name="Total 3 2 4 2" xfId="27914" xr:uid="{00000000-0005-0000-0000-000077790000}"/>
    <cellStyle name="Total 3 2 4 2 2" xfId="28901" xr:uid="{00000000-0005-0000-0000-000078790000}"/>
    <cellStyle name="Total 3 2 4 2 2 2" xfId="30861" xr:uid="{00000000-0005-0000-0000-000079790000}"/>
    <cellStyle name="Total 3 2 4 2 3" xfId="29881" xr:uid="{00000000-0005-0000-0000-00007A790000}"/>
    <cellStyle name="Total 3 2 4 3" xfId="28436" xr:uid="{00000000-0005-0000-0000-00007B790000}"/>
    <cellStyle name="Total 3 2 4 3 2" xfId="30396" xr:uid="{00000000-0005-0000-0000-00007C790000}"/>
    <cellStyle name="Total 3 2 4 4" xfId="29416" xr:uid="{00000000-0005-0000-0000-00007D790000}"/>
    <cellStyle name="Total 3 2 5" xfId="27546" xr:uid="{00000000-0005-0000-0000-00007E790000}"/>
    <cellStyle name="Total 3 2 5 2" xfId="28012" xr:uid="{00000000-0005-0000-0000-00007F790000}"/>
    <cellStyle name="Total 3 2 5 2 2" xfId="28999" xr:uid="{00000000-0005-0000-0000-000080790000}"/>
    <cellStyle name="Total 3 2 5 2 2 2" xfId="30959" xr:uid="{00000000-0005-0000-0000-000081790000}"/>
    <cellStyle name="Total 3 2 5 2 3" xfId="29979" xr:uid="{00000000-0005-0000-0000-000082790000}"/>
    <cellStyle name="Total 3 2 5 3" xfId="28190" xr:uid="{00000000-0005-0000-0000-000083790000}"/>
    <cellStyle name="Total 3 2 5 3 2" xfId="29177" xr:uid="{00000000-0005-0000-0000-000084790000}"/>
    <cellStyle name="Total 3 2 5 3 2 2" xfId="31137" xr:uid="{00000000-0005-0000-0000-000085790000}"/>
    <cellStyle name="Total 3 2 5 3 3" xfId="30157" xr:uid="{00000000-0005-0000-0000-000086790000}"/>
    <cellStyle name="Total 3 2 5 4" xfId="28534" xr:uid="{00000000-0005-0000-0000-000087790000}"/>
    <cellStyle name="Total 3 2 5 4 2" xfId="30494" xr:uid="{00000000-0005-0000-0000-000088790000}"/>
    <cellStyle name="Total 3 2 5 5" xfId="29514" xr:uid="{00000000-0005-0000-0000-000089790000}"/>
    <cellStyle name="Total 3 2 6" xfId="27644" xr:uid="{00000000-0005-0000-0000-00008A790000}"/>
    <cellStyle name="Total 3 2 6 2" xfId="28110" xr:uid="{00000000-0005-0000-0000-00008B790000}"/>
    <cellStyle name="Total 3 2 6 2 2" xfId="29097" xr:uid="{00000000-0005-0000-0000-00008C790000}"/>
    <cellStyle name="Total 3 2 6 2 2 2" xfId="31057" xr:uid="{00000000-0005-0000-0000-00008D790000}"/>
    <cellStyle name="Total 3 2 6 2 3" xfId="30077" xr:uid="{00000000-0005-0000-0000-00008E790000}"/>
    <cellStyle name="Total 3 2 6 3" xfId="28226" xr:uid="{00000000-0005-0000-0000-00008F790000}"/>
    <cellStyle name="Total 3 2 6 3 2" xfId="29213" xr:uid="{00000000-0005-0000-0000-000090790000}"/>
    <cellStyle name="Total 3 2 6 3 2 2" xfId="31173" xr:uid="{00000000-0005-0000-0000-000091790000}"/>
    <cellStyle name="Total 3 2 6 3 3" xfId="30193" xr:uid="{00000000-0005-0000-0000-000092790000}"/>
    <cellStyle name="Total 3 2 6 4" xfId="28632" xr:uid="{00000000-0005-0000-0000-000093790000}"/>
    <cellStyle name="Total 3 2 6 4 2" xfId="30592" xr:uid="{00000000-0005-0000-0000-000094790000}"/>
    <cellStyle name="Total 3 2 6 5" xfId="29612" xr:uid="{00000000-0005-0000-0000-000095790000}"/>
    <cellStyle name="Total 3 2 7" xfId="27784" xr:uid="{00000000-0005-0000-0000-000096790000}"/>
    <cellStyle name="Total 3 2 7 2" xfId="28772" xr:uid="{00000000-0005-0000-0000-000097790000}"/>
    <cellStyle name="Total 3 2 7 2 2" xfId="30732" xr:uid="{00000000-0005-0000-0000-000098790000}"/>
    <cellStyle name="Total 3 2 7 3" xfId="29752" xr:uid="{00000000-0005-0000-0000-000099790000}"/>
    <cellStyle name="Total 3 2 8" xfId="28338" xr:uid="{00000000-0005-0000-0000-00009A790000}"/>
    <cellStyle name="Total 3 2 8 2" xfId="30298" xr:uid="{00000000-0005-0000-0000-00009B790000}"/>
    <cellStyle name="Total 3 2 9" xfId="29318" xr:uid="{00000000-0005-0000-0000-00009C790000}"/>
    <cellStyle name="Total 3 3" xfId="14951" xr:uid="{00000000-0005-0000-0000-00009D790000}"/>
    <cellStyle name="Total 3 3 2" xfId="27371" xr:uid="{00000000-0005-0000-0000-00009E790000}"/>
    <cellStyle name="Total 3 3 2 2" xfId="27482" xr:uid="{00000000-0005-0000-0000-00009F790000}"/>
    <cellStyle name="Total 3 3 2 2 2" xfId="27948" xr:uid="{00000000-0005-0000-0000-0000A0790000}"/>
    <cellStyle name="Total 3 3 2 2 2 2" xfId="28935" xr:uid="{00000000-0005-0000-0000-0000A1790000}"/>
    <cellStyle name="Total 3 3 2 2 2 2 2" xfId="30895" xr:uid="{00000000-0005-0000-0000-0000A2790000}"/>
    <cellStyle name="Total 3 3 2 2 2 3" xfId="29915" xr:uid="{00000000-0005-0000-0000-0000A3790000}"/>
    <cellStyle name="Total 3 3 2 2 3" xfId="28470" xr:uid="{00000000-0005-0000-0000-0000A4790000}"/>
    <cellStyle name="Total 3 3 2 2 3 2" xfId="30430" xr:uid="{00000000-0005-0000-0000-0000A5790000}"/>
    <cellStyle name="Total 3 3 2 2 4" xfId="29450" xr:uid="{00000000-0005-0000-0000-0000A6790000}"/>
    <cellStyle name="Total 3 3 2 3" xfId="27580" xr:uid="{00000000-0005-0000-0000-0000A7790000}"/>
    <cellStyle name="Total 3 3 2 3 2" xfId="28046" xr:uid="{00000000-0005-0000-0000-0000A8790000}"/>
    <cellStyle name="Total 3 3 2 3 2 2" xfId="29033" xr:uid="{00000000-0005-0000-0000-0000A9790000}"/>
    <cellStyle name="Total 3 3 2 3 2 2 2" xfId="30993" xr:uid="{00000000-0005-0000-0000-0000AA790000}"/>
    <cellStyle name="Total 3 3 2 3 2 3" xfId="30013" xr:uid="{00000000-0005-0000-0000-0000AB790000}"/>
    <cellStyle name="Total 3 3 2 3 3" xfId="28202" xr:uid="{00000000-0005-0000-0000-0000AC790000}"/>
    <cellStyle name="Total 3 3 2 3 3 2" xfId="29189" xr:uid="{00000000-0005-0000-0000-0000AD790000}"/>
    <cellStyle name="Total 3 3 2 3 3 2 2" xfId="31149" xr:uid="{00000000-0005-0000-0000-0000AE790000}"/>
    <cellStyle name="Total 3 3 2 3 3 3" xfId="30169" xr:uid="{00000000-0005-0000-0000-0000AF790000}"/>
    <cellStyle name="Total 3 3 2 3 4" xfId="28568" xr:uid="{00000000-0005-0000-0000-0000B0790000}"/>
    <cellStyle name="Total 3 3 2 3 4 2" xfId="30528" xr:uid="{00000000-0005-0000-0000-0000B1790000}"/>
    <cellStyle name="Total 3 3 2 3 5" xfId="29548" xr:uid="{00000000-0005-0000-0000-0000B2790000}"/>
    <cellStyle name="Total 3 3 2 4" xfId="27678" xr:uid="{00000000-0005-0000-0000-0000B3790000}"/>
    <cellStyle name="Total 3 3 2 4 2" xfId="28144" xr:uid="{00000000-0005-0000-0000-0000B4790000}"/>
    <cellStyle name="Total 3 3 2 4 2 2" xfId="29131" xr:uid="{00000000-0005-0000-0000-0000B5790000}"/>
    <cellStyle name="Total 3 3 2 4 2 2 2" xfId="31091" xr:uid="{00000000-0005-0000-0000-0000B6790000}"/>
    <cellStyle name="Total 3 3 2 4 2 3" xfId="30111" xr:uid="{00000000-0005-0000-0000-0000B7790000}"/>
    <cellStyle name="Total 3 3 2 4 3" xfId="28238" xr:uid="{00000000-0005-0000-0000-0000B8790000}"/>
    <cellStyle name="Total 3 3 2 4 3 2" xfId="29225" xr:uid="{00000000-0005-0000-0000-0000B9790000}"/>
    <cellStyle name="Total 3 3 2 4 3 2 2" xfId="31185" xr:uid="{00000000-0005-0000-0000-0000BA790000}"/>
    <cellStyle name="Total 3 3 2 4 3 3" xfId="30205" xr:uid="{00000000-0005-0000-0000-0000BB790000}"/>
    <cellStyle name="Total 3 3 2 4 4" xfId="28666" xr:uid="{00000000-0005-0000-0000-0000BC790000}"/>
    <cellStyle name="Total 3 3 2 4 4 2" xfId="30626" xr:uid="{00000000-0005-0000-0000-0000BD790000}"/>
    <cellStyle name="Total 3 3 2 4 5" xfId="29646" xr:uid="{00000000-0005-0000-0000-0000BE790000}"/>
    <cellStyle name="Total 3 3 2 5" xfId="27850" xr:uid="{00000000-0005-0000-0000-0000BF790000}"/>
    <cellStyle name="Total 3 3 2 5 2" xfId="28837" xr:uid="{00000000-0005-0000-0000-0000C0790000}"/>
    <cellStyle name="Total 3 3 2 5 2 2" xfId="30797" xr:uid="{00000000-0005-0000-0000-0000C1790000}"/>
    <cellStyle name="Total 3 3 2 5 3" xfId="29817" xr:uid="{00000000-0005-0000-0000-0000C2790000}"/>
    <cellStyle name="Total 3 3 2 6" xfId="28372" xr:uid="{00000000-0005-0000-0000-0000C3790000}"/>
    <cellStyle name="Total 3 3 2 6 2" xfId="30332" xr:uid="{00000000-0005-0000-0000-0000C4790000}"/>
    <cellStyle name="Total 3 3 2 7" xfId="29352" xr:uid="{00000000-0005-0000-0000-0000C5790000}"/>
    <cellStyle name="Total 3 3 2 8" xfId="31312" xr:uid="{00000000-0005-0000-0000-0000C6790000}"/>
    <cellStyle name="Total 3 3 3" xfId="27438" xr:uid="{00000000-0005-0000-0000-0000C7790000}"/>
    <cellStyle name="Total 3 3 3 2" xfId="27904" xr:uid="{00000000-0005-0000-0000-0000C8790000}"/>
    <cellStyle name="Total 3 3 3 2 2" xfId="28891" xr:uid="{00000000-0005-0000-0000-0000C9790000}"/>
    <cellStyle name="Total 3 3 3 2 2 2" xfId="30851" xr:uid="{00000000-0005-0000-0000-0000CA790000}"/>
    <cellStyle name="Total 3 3 3 2 3" xfId="29871" xr:uid="{00000000-0005-0000-0000-0000CB790000}"/>
    <cellStyle name="Total 3 3 3 3" xfId="28426" xr:uid="{00000000-0005-0000-0000-0000CC790000}"/>
    <cellStyle name="Total 3 3 3 3 2" xfId="30386" xr:uid="{00000000-0005-0000-0000-0000CD790000}"/>
    <cellStyle name="Total 3 3 3 4" xfId="29406" xr:uid="{00000000-0005-0000-0000-0000CE790000}"/>
    <cellStyle name="Total 3 3 4" xfId="27536" xr:uid="{00000000-0005-0000-0000-0000CF790000}"/>
    <cellStyle name="Total 3 3 4 2" xfId="28002" xr:uid="{00000000-0005-0000-0000-0000D0790000}"/>
    <cellStyle name="Total 3 3 4 2 2" xfId="28989" xr:uid="{00000000-0005-0000-0000-0000D1790000}"/>
    <cellStyle name="Total 3 3 4 2 2 2" xfId="30949" xr:uid="{00000000-0005-0000-0000-0000D2790000}"/>
    <cellStyle name="Total 3 3 4 2 3" xfId="29969" xr:uid="{00000000-0005-0000-0000-0000D3790000}"/>
    <cellStyle name="Total 3 3 4 3" xfId="28186" xr:uid="{00000000-0005-0000-0000-0000D4790000}"/>
    <cellStyle name="Total 3 3 4 3 2" xfId="29173" xr:uid="{00000000-0005-0000-0000-0000D5790000}"/>
    <cellStyle name="Total 3 3 4 3 2 2" xfId="31133" xr:uid="{00000000-0005-0000-0000-0000D6790000}"/>
    <cellStyle name="Total 3 3 4 3 3" xfId="30153" xr:uid="{00000000-0005-0000-0000-0000D7790000}"/>
    <cellStyle name="Total 3 3 4 4" xfId="28524" xr:uid="{00000000-0005-0000-0000-0000D8790000}"/>
    <cellStyle name="Total 3 3 4 4 2" xfId="30484" xr:uid="{00000000-0005-0000-0000-0000D9790000}"/>
    <cellStyle name="Total 3 3 4 5" xfId="29504" xr:uid="{00000000-0005-0000-0000-0000DA790000}"/>
    <cellStyle name="Total 3 3 5" xfId="27634" xr:uid="{00000000-0005-0000-0000-0000DB790000}"/>
    <cellStyle name="Total 3 3 5 2" xfId="28100" xr:uid="{00000000-0005-0000-0000-0000DC790000}"/>
    <cellStyle name="Total 3 3 5 2 2" xfId="29087" xr:uid="{00000000-0005-0000-0000-0000DD790000}"/>
    <cellStyle name="Total 3 3 5 2 2 2" xfId="31047" xr:uid="{00000000-0005-0000-0000-0000DE790000}"/>
    <cellStyle name="Total 3 3 5 2 3" xfId="30067" xr:uid="{00000000-0005-0000-0000-0000DF790000}"/>
    <cellStyle name="Total 3 3 5 3" xfId="28222" xr:uid="{00000000-0005-0000-0000-0000E0790000}"/>
    <cellStyle name="Total 3 3 5 3 2" xfId="29209" xr:uid="{00000000-0005-0000-0000-0000E1790000}"/>
    <cellStyle name="Total 3 3 5 3 2 2" xfId="31169" xr:uid="{00000000-0005-0000-0000-0000E2790000}"/>
    <cellStyle name="Total 3 3 5 3 3" xfId="30189" xr:uid="{00000000-0005-0000-0000-0000E3790000}"/>
    <cellStyle name="Total 3 3 5 4" xfId="28622" xr:uid="{00000000-0005-0000-0000-0000E4790000}"/>
    <cellStyle name="Total 3 3 5 4 2" xfId="30582" xr:uid="{00000000-0005-0000-0000-0000E5790000}"/>
    <cellStyle name="Total 3 3 5 5" xfId="29602" xr:uid="{00000000-0005-0000-0000-0000E6790000}"/>
    <cellStyle name="Total 3 3 6" xfId="27774" xr:uid="{00000000-0005-0000-0000-0000E7790000}"/>
    <cellStyle name="Total 3 3 6 2" xfId="28762" xr:uid="{00000000-0005-0000-0000-0000E8790000}"/>
    <cellStyle name="Total 3 3 6 2 2" xfId="30722" xr:uid="{00000000-0005-0000-0000-0000E9790000}"/>
    <cellStyle name="Total 3 3 6 3" xfId="29742" xr:uid="{00000000-0005-0000-0000-0000EA790000}"/>
    <cellStyle name="Total 3 3 7" xfId="28328" xr:uid="{00000000-0005-0000-0000-0000EB790000}"/>
    <cellStyle name="Total 3 3 7 2" xfId="30288" xr:uid="{00000000-0005-0000-0000-0000EC790000}"/>
    <cellStyle name="Total 3 3 8" xfId="29308" xr:uid="{00000000-0005-0000-0000-0000ED790000}"/>
    <cellStyle name="Total 3 3 9" xfId="31268" xr:uid="{00000000-0005-0000-0000-0000EE790000}"/>
    <cellStyle name="Total 3 4" xfId="15012" xr:uid="{00000000-0005-0000-0000-0000EF790000}"/>
    <cellStyle name="Total 3 4 2" xfId="27397" xr:uid="{00000000-0005-0000-0000-0000F0790000}"/>
    <cellStyle name="Total 3 4 2 2" xfId="27508" xr:uid="{00000000-0005-0000-0000-0000F1790000}"/>
    <cellStyle name="Total 3 4 2 2 2" xfId="27974" xr:uid="{00000000-0005-0000-0000-0000F2790000}"/>
    <cellStyle name="Total 3 4 2 2 2 2" xfId="28961" xr:uid="{00000000-0005-0000-0000-0000F3790000}"/>
    <cellStyle name="Total 3 4 2 2 2 2 2" xfId="30921" xr:uid="{00000000-0005-0000-0000-0000F4790000}"/>
    <cellStyle name="Total 3 4 2 2 2 3" xfId="29941" xr:uid="{00000000-0005-0000-0000-0000F5790000}"/>
    <cellStyle name="Total 3 4 2 2 3" xfId="28496" xr:uid="{00000000-0005-0000-0000-0000F6790000}"/>
    <cellStyle name="Total 3 4 2 2 3 2" xfId="30456" xr:uid="{00000000-0005-0000-0000-0000F7790000}"/>
    <cellStyle name="Total 3 4 2 2 4" xfId="29476" xr:uid="{00000000-0005-0000-0000-0000F8790000}"/>
    <cellStyle name="Total 3 4 2 3" xfId="27606" xr:uid="{00000000-0005-0000-0000-0000F9790000}"/>
    <cellStyle name="Total 3 4 2 3 2" xfId="28072" xr:uid="{00000000-0005-0000-0000-0000FA790000}"/>
    <cellStyle name="Total 3 4 2 3 2 2" xfId="29059" xr:uid="{00000000-0005-0000-0000-0000FB790000}"/>
    <cellStyle name="Total 3 4 2 3 2 2 2" xfId="31019" xr:uid="{00000000-0005-0000-0000-0000FC790000}"/>
    <cellStyle name="Total 3 4 2 3 2 3" xfId="30039" xr:uid="{00000000-0005-0000-0000-0000FD790000}"/>
    <cellStyle name="Total 3 4 2 3 3" xfId="28211" xr:uid="{00000000-0005-0000-0000-0000FE790000}"/>
    <cellStyle name="Total 3 4 2 3 3 2" xfId="29198" xr:uid="{00000000-0005-0000-0000-0000FF790000}"/>
    <cellStyle name="Total 3 4 2 3 3 2 2" xfId="31158" xr:uid="{00000000-0005-0000-0000-0000007A0000}"/>
    <cellStyle name="Total 3 4 2 3 3 3" xfId="30178" xr:uid="{00000000-0005-0000-0000-0000017A0000}"/>
    <cellStyle name="Total 3 4 2 3 4" xfId="28594" xr:uid="{00000000-0005-0000-0000-0000027A0000}"/>
    <cellStyle name="Total 3 4 2 3 4 2" xfId="30554" xr:uid="{00000000-0005-0000-0000-0000037A0000}"/>
    <cellStyle name="Total 3 4 2 3 5" xfId="29574" xr:uid="{00000000-0005-0000-0000-0000047A0000}"/>
    <cellStyle name="Total 3 4 2 4" xfId="27704" xr:uid="{00000000-0005-0000-0000-0000057A0000}"/>
    <cellStyle name="Total 3 4 2 4 2" xfId="28170" xr:uid="{00000000-0005-0000-0000-0000067A0000}"/>
    <cellStyle name="Total 3 4 2 4 2 2" xfId="29157" xr:uid="{00000000-0005-0000-0000-0000077A0000}"/>
    <cellStyle name="Total 3 4 2 4 2 2 2" xfId="31117" xr:uid="{00000000-0005-0000-0000-0000087A0000}"/>
    <cellStyle name="Total 3 4 2 4 2 3" xfId="30137" xr:uid="{00000000-0005-0000-0000-0000097A0000}"/>
    <cellStyle name="Total 3 4 2 4 3" xfId="28247" xr:uid="{00000000-0005-0000-0000-00000A7A0000}"/>
    <cellStyle name="Total 3 4 2 4 3 2" xfId="29234" xr:uid="{00000000-0005-0000-0000-00000B7A0000}"/>
    <cellStyle name="Total 3 4 2 4 3 2 2" xfId="31194" xr:uid="{00000000-0005-0000-0000-00000C7A0000}"/>
    <cellStyle name="Total 3 4 2 4 3 3" xfId="30214" xr:uid="{00000000-0005-0000-0000-00000D7A0000}"/>
    <cellStyle name="Total 3 4 2 4 4" xfId="28692" xr:uid="{00000000-0005-0000-0000-00000E7A0000}"/>
    <cellStyle name="Total 3 4 2 4 4 2" xfId="30652" xr:uid="{00000000-0005-0000-0000-00000F7A0000}"/>
    <cellStyle name="Total 3 4 2 4 5" xfId="29672" xr:uid="{00000000-0005-0000-0000-0000107A0000}"/>
    <cellStyle name="Total 3 4 2 5" xfId="27876" xr:uid="{00000000-0005-0000-0000-0000117A0000}"/>
    <cellStyle name="Total 3 4 2 5 2" xfId="28863" xr:uid="{00000000-0005-0000-0000-0000127A0000}"/>
    <cellStyle name="Total 3 4 2 5 2 2" xfId="30823" xr:uid="{00000000-0005-0000-0000-0000137A0000}"/>
    <cellStyle name="Total 3 4 2 5 3" xfId="29843" xr:uid="{00000000-0005-0000-0000-0000147A0000}"/>
    <cellStyle name="Total 3 4 2 6" xfId="28398" xr:uid="{00000000-0005-0000-0000-0000157A0000}"/>
    <cellStyle name="Total 3 4 2 6 2" xfId="30358" xr:uid="{00000000-0005-0000-0000-0000167A0000}"/>
    <cellStyle name="Total 3 4 2 7" xfId="29378" xr:uid="{00000000-0005-0000-0000-0000177A0000}"/>
    <cellStyle name="Total 3 4 2 8" xfId="31338" xr:uid="{00000000-0005-0000-0000-0000187A0000}"/>
    <cellStyle name="Total 3 4 3" xfId="27464" xr:uid="{00000000-0005-0000-0000-0000197A0000}"/>
    <cellStyle name="Total 3 4 3 2" xfId="27930" xr:uid="{00000000-0005-0000-0000-00001A7A0000}"/>
    <cellStyle name="Total 3 4 3 2 2" xfId="28917" xr:uid="{00000000-0005-0000-0000-00001B7A0000}"/>
    <cellStyle name="Total 3 4 3 2 2 2" xfId="30877" xr:uid="{00000000-0005-0000-0000-00001C7A0000}"/>
    <cellStyle name="Total 3 4 3 2 3" xfId="29897" xr:uid="{00000000-0005-0000-0000-00001D7A0000}"/>
    <cellStyle name="Total 3 4 3 3" xfId="28452" xr:uid="{00000000-0005-0000-0000-00001E7A0000}"/>
    <cellStyle name="Total 3 4 3 3 2" xfId="30412" xr:uid="{00000000-0005-0000-0000-00001F7A0000}"/>
    <cellStyle name="Total 3 4 3 4" xfId="29432" xr:uid="{00000000-0005-0000-0000-0000207A0000}"/>
    <cellStyle name="Total 3 4 4" xfId="27562" xr:uid="{00000000-0005-0000-0000-0000217A0000}"/>
    <cellStyle name="Total 3 4 4 2" xfId="28028" xr:uid="{00000000-0005-0000-0000-0000227A0000}"/>
    <cellStyle name="Total 3 4 4 2 2" xfId="29015" xr:uid="{00000000-0005-0000-0000-0000237A0000}"/>
    <cellStyle name="Total 3 4 4 2 2 2" xfId="30975" xr:uid="{00000000-0005-0000-0000-0000247A0000}"/>
    <cellStyle name="Total 3 4 4 2 3" xfId="29995" xr:uid="{00000000-0005-0000-0000-0000257A0000}"/>
    <cellStyle name="Total 3 4 4 3" xfId="28195" xr:uid="{00000000-0005-0000-0000-0000267A0000}"/>
    <cellStyle name="Total 3 4 4 3 2" xfId="29182" xr:uid="{00000000-0005-0000-0000-0000277A0000}"/>
    <cellStyle name="Total 3 4 4 3 2 2" xfId="31142" xr:uid="{00000000-0005-0000-0000-0000287A0000}"/>
    <cellStyle name="Total 3 4 4 3 3" xfId="30162" xr:uid="{00000000-0005-0000-0000-0000297A0000}"/>
    <cellStyle name="Total 3 4 4 4" xfId="28550" xr:uid="{00000000-0005-0000-0000-00002A7A0000}"/>
    <cellStyle name="Total 3 4 4 4 2" xfId="30510" xr:uid="{00000000-0005-0000-0000-00002B7A0000}"/>
    <cellStyle name="Total 3 4 4 5" xfId="29530" xr:uid="{00000000-0005-0000-0000-00002C7A0000}"/>
    <cellStyle name="Total 3 4 5" xfId="27660" xr:uid="{00000000-0005-0000-0000-00002D7A0000}"/>
    <cellStyle name="Total 3 4 5 2" xfId="28126" xr:uid="{00000000-0005-0000-0000-00002E7A0000}"/>
    <cellStyle name="Total 3 4 5 2 2" xfId="29113" xr:uid="{00000000-0005-0000-0000-00002F7A0000}"/>
    <cellStyle name="Total 3 4 5 2 2 2" xfId="31073" xr:uid="{00000000-0005-0000-0000-0000307A0000}"/>
    <cellStyle name="Total 3 4 5 2 3" xfId="30093" xr:uid="{00000000-0005-0000-0000-0000317A0000}"/>
    <cellStyle name="Total 3 4 5 3" xfId="28231" xr:uid="{00000000-0005-0000-0000-0000327A0000}"/>
    <cellStyle name="Total 3 4 5 3 2" xfId="29218" xr:uid="{00000000-0005-0000-0000-0000337A0000}"/>
    <cellStyle name="Total 3 4 5 3 2 2" xfId="31178" xr:uid="{00000000-0005-0000-0000-0000347A0000}"/>
    <cellStyle name="Total 3 4 5 3 3" xfId="30198" xr:uid="{00000000-0005-0000-0000-0000357A0000}"/>
    <cellStyle name="Total 3 4 5 4" xfId="28648" xr:uid="{00000000-0005-0000-0000-0000367A0000}"/>
    <cellStyle name="Total 3 4 5 4 2" xfId="30608" xr:uid="{00000000-0005-0000-0000-0000377A0000}"/>
    <cellStyle name="Total 3 4 5 5" xfId="29628" xr:uid="{00000000-0005-0000-0000-0000387A0000}"/>
    <cellStyle name="Total 3 4 6" xfId="27800" xr:uid="{00000000-0005-0000-0000-0000397A0000}"/>
    <cellStyle name="Total 3 4 6 2" xfId="28788" xr:uid="{00000000-0005-0000-0000-00003A7A0000}"/>
    <cellStyle name="Total 3 4 6 2 2" xfId="30748" xr:uid="{00000000-0005-0000-0000-00003B7A0000}"/>
    <cellStyle name="Total 3 4 6 3" xfId="29768" xr:uid="{00000000-0005-0000-0000-00003C7A0000}"/>
    <cellStyle name="Total 3 4 7" xfId="28354" xr:uid="{00000000-0005-0000-0000-00003D7A0000}"/>
    <cellStyle name="Total 3 4 7 2" xfId="30314" xr:uid="{00000000-0005-0000-0000-00003E7A0000}"/>
    <cellStyle name="Total 3 4 8" xfId="29334" xr:uid="{00000000-0005-0000-0000-00003F7A0000}"/>
    <cellStyle name="Total 3 4 9" xfId="31294" xr:uid="{00000000-0005-0000-0000-0000407A0000}"/>
    <cellStyle name="Total 3 5" xfId="27428" xr:uid="{00000000-0005-0000-0000-0000417A0000}"/>
    <cellStyle name="Total 3 5 2" xfId="27894" xr:uid="{00000000-0005-0000-0000-0000427A0000}"/>
    <cellStyle name="Total 3 5 2 2" xfId="28881" xr:uid="{00000000-0005-0000-0000-0000437A0000}"/>
    <cellStyle name="Total 3 5 2 2 2" xfId="30841" xr:uid="{00000000-0005-0000-0000-0000447A0000}"/>
    <cellStyle name="Total 3 5 2 3" xfId="29861" xr:uid="{00000000-0005-0000-0000-0000457A0000}"/>
    <cellStyle name="Total 3 5 3" xfId="28416" xr:uid="{00000000-0005-0000-0000-0000467A0000}"/>
    <cellStyle name="Total 3 5 3 2" xfId="30376" xr:uid="{00000000-0005-0000-0000-0000477A0000}"/>
    <cellStyle name="Total 3 5 4" xfId="29396" xr:uid="{00000000-0005-0000-0000-0000487A0000}"/>
    <cellStyle name="Total 3 6" xfId="27526" xr:uid="{00000000-0005-0000-0000-0000497A0000}"/>
    <cellStyle name="Total 3 6 2" xfId="27992" xr:uid="{00000000-0005-0000-0000-00004A7A0000}"/>
    <cellStyle name="Total 3 6 2 2" xfId="28979" xr:uid="{00000000-0005-0000-0000-00004B7A0000}"/>
    <cellStyle name="Total 3 6 2 2 2" xfId="30939" xr:uid="{00000000-0005-0000-0000-00004C7A0000}"/>
    <cellStyle name="Total 3 6 2 3" xfId="29959" xr:uid="{00000000-0005-0000-0000-00004D7A0000}"/>
    <cellStyle name="Total 3 6 3" xfId="28182" xr:uid="{00000000-0005-0000-0000-00004E7A0000}"/>
    <cellStyle name="Total 3 6 3 2" xfId="29169" xr:uid="{00000000-0005-0000-0000-00004F7A0000}"/>
    <cellStyle name="Total 3 6 3 2 2" xfId="31129" xr:uid="{00000000-0005-0000-0000-0000507A0000}"/>
    <cellStyle name="Total 3 6 3 3" xfId="30149" xr:uid="{00000000-0005-0000-0000-0000517A0000}"/>
    <cellStyle name="Total 3 6 4" xfId="28514" xr:uid="{00000000-0005-0000-0000-0000527A0000}"/>
    <cellStyle name="Total 3 6 4 2" xfId="30474" xr:uid="{00000000-0005-0000-0000-0000537A0000}"/>
    <cellStyle name="Total 3 6 5" xfId="29494" xr:uid="{00000000-0005-0000-0000-0000547A0000}"/>
    <cellStyle name="Total 3 7" xfId="27624" xr:uid="{00000000-0005-0000-0000-0000557A0000}"/>
    <cellStyle name="Total 3 7 2" xfId="28090" xr:uid="{00000000-0005-0000-0000-0000567A0000}"/>
    <cellStyle name="Total 3 7 2 2" xfId="29077" xr:uid="{00000000-0005-0000-0000-0000577A0000}"/>
    <cellStyle name="Total 3 7 2 2 2" xfId="31037" xr:uid="{00000000-0005-0000-0000-0000587A0000}"/>
    <cellStyle name="Total 3 7 2 3" xfId="30057" xr:uid="{00000000-0005-0000-0000-0000597A0000}"/>
    <cellStyle name="Total 3 7 3" xfId="28218" xr:uid="{00000000-0005-0000-0000-00005A7A0000}"/>
    <cellStyle name="Total 3 7 3 2" xfId="29205" xr:uid="{00000000-0005-0000-0000-00005B7A0000}"/>
    <cellStyle name="Total 3 7 3 2 2" xfId="31165" xr:uid="{00000000-0005-0000-0000-00005C7A0000}"/>
    <cellStyle name="Total 3 7 3 3" xfId="30185" xr:uid="{00000000-0005-0000-0000-00005D7A0000}"/>
    <cellStyle name="Total 3 7 4" xfId="28612" xr:uid="{00000000-0005-0000-0000-00005E7A0000}"/>
    <cellStyle name="Total 3 7 4 2" xfId="30572" xr:uid="{00000000-0005-0000-0000-00005F7A0000}"/>
    <cellStyle name="Total 3 7 5" xfId="29592" xr:uid="{00000000-0005-0000-0000-0000607A0000}"/>
    <cellStyle name="Total 3 8" xfId="27723" xr:uid="{00000000-0005-0000-0000-0000617A0000}"/>
    <cellStyle name="Total 3 8 2" xfId="28711" xr:uid="{00000000-0005-0000-0000-0000627A0000}"/>
    <cellStyle name="Total 3 8 2 2" xfId="30671" xr:uid="{00000000-0005-0000-0000-0000637A0000}"/>
    <cellStyle name="Total 3 8 3" xfId="29691" xr:uid="{00000000-0005-0000-0000-0000647A0000}"/>
    <cellStyle name="Total 3 9" xfId="28318" xr:uid="{00000000-0005-0000-0000-0000657A0000}"/>
    <cellStyle name="Total 3 9 2" xfId="30278" xr:uid="{00000000-0005-0000-0000-0000667A0000}"/>
    <cellStyle name="Total 4" xfId="3278" xr:uid="{00000000-0005-0000-0000-0000677A0000}"/>
    <cellStyle name="Total 5" xfId="3279" xr:uid="{00000000-0005-0000-0000-0000687A0000}"/>
    <cellStyle name="Total 6" xfId="3280" xr:uid="{00000000-0005-0000-0000-0000697A0000}"/>
    <cellStyle name="Total 7" xfId="3281" xr:uid="{00000000-0005-0000-0000-00006A7A0000}"/>
    <cellStyle name="Total 8" xfId="3282" xr:uid="{00000000-0005-0000-0000-00006B7A0000}"/>
    <cellStyle name="Total 9" xfId="3283" xr:uid="{00000000-0005-0000-0000-00006C7A0000}"/>
    <cellStyle name="Warning Text" xfId="19" builtinId="11" customBuiltin="1"/>
    <cellStyle name="Warning Text 10" xfId="3284" xr:uid="{00000000-0005-0000-0000-00006E7A0000}"/>
    <cellStyle name="Warning Text 11" xfId="3285" xr:uid="{00000000-0005-0000-0000-00006F7A0000}"/>
    <cellStyle name="Warning Text 12" xfId="3286" xr:uid="{00000000-0005-0000-0000-0000707A0000}"/>
    <cellStyle name="Warning Text 13" xfId="3287" xr:uid="{00000000-0005-0000-0000-0000717A0000}"/>
    <cellStyle name="Warning Text 14" xfId="3288" xr:uid="{00000000-0005-0000-0000-0000727A0000}"/>
    <cellStyle name="Warning Text 15" xfId="3289" xr:uid="{00000000-0005-0000-0000-0000737A0000}"/>
    <cellStyle name="Warning Text 16" xfId="3290" xr:uid="{00000000-0005-0000-0000-0000747A0000}"/>
    <cellStyle name="Warning Text 17" xfId="3291" xr:uid="{00000000-0005-0000-0000-0000757A0000}"/>
    <cellStyle name="Warning Text 18" xfId="3292" xr:uid="{00000000-0005-0000-0000-0000767A0000}"/>
    <cellStyle name="Warning Text 19" xfId="3293" xr:uid="{00000000-0005-0000-0000-0000777A0000}"/>
    <cellStyle name="Warning Text 2" xfId="1647" xr:uid="{00000000-0005-0000-0000-0000787A0000}"/>
    <cellStyle name="Warning Text 2 10" xfId="3294" xr:uid="{00000000-0005-0000-0000-0000797A0000}"/>
    <cellStyle name="Warning Text 2 11" xfId="3295" xr:uid="{00000000-0005-0000-0000-00007A7A0000}"/>
    <cellStyle name="Warning Text 2 12" xfId="3296" xr:uid="{00000000-0005-0000-0000-00007B7A0000}"/>
    <cellStyle name="Warning Text 2 13" xfId="3297" xr:uid="{00000000-0005-0000-0000-00007C7A0000}"/>
    <cellStyle name="Warning Text 2 14" xfId="3298" xr:uid="{00000000-0005-0000-0000-00007D7A0000}"/>
    <cellStyle name="Warning Text 2 15" xfId="3299" xr:uid="{00000000-0005-0000-0000-00007E7A0000}"/>
    <cellStyle name="Warning Text 2 2" xfId="3300" xr:uid="{00000000-0005-0000-0000-00007F7A0000}"/>
    <cellStyle name="Warning Text 2 3" xfId="3301" xr:uid="{00000000-0005-0000-0000-0000807A0000}"/>
    <cellStyle name="Warning Text 2 4" xfId="3302" xr:uid="{00000000-0005-0000-0000-0000817A0000}"/>
    <cellStyle name="Warning Text 2 5" xfId="3303" xr:uid="{00000000-0005-0000-0000-0000827A0000}"/>
    <cellStyle name="Warning Text 2 6" xfId="3304" xr:uid="{00000000-0005-0000-0000-0000837A0000}"/>
    <cellStyle name="Warning Text 2 7" xfId="3305" xr:uid="{00000000-0005-0000-0000-0000847A0000}"/>
    <cellStyle name="Warning Text 2 8" xfId="3306" xr:uid="{00000000-0005-0000-0000-0000857A0000}"/>
    <cellStyle name="Warning Text 2 9" xfId="3307" xr:uid="{00000000-0005-0000-0000-0000867A0000}"/>
    <cellStyle name="Warning Text 20" xfId="3308" xr:uid="{00000000-0005-0000-0000-0000877A0000}"/>
    <cellStyle name="Warning Text 21" xfId="3309" xr:uid="{00000000-0005-0000-0000-0000887A0000}"/>
    <cellStyle name="Warning Text 22" xfId="3310" xr:uid="{00000000-0005-0000-0000-0000897A0000}"/>
    <cellStyle name="Warning Text 23" xfId="3311" xr:uid="{00000000-0005-0000-0000-00008A7A0000}"/>
    <cellStyle name="Warning Text 24" xfId="3312" xr:uid="{00000000-0005-0000-0000-00008B7A0000}"/>
    <cellStyle name="Warning Text 3" xfId="1648" xr:uid="{00000000-0005-0000-0000-00008C7A0000}"/>
    <cellStyle name="Warning Text 4" xfId="3313" xr:uid="{00000000-0005-0000-0000-00008D7A0000}"/>
    <cellStyle name="Warning Text 5" xfId="3314" xr:uid="{00000000-0005-0000-0000-00008E7A0000}"/>
    <cellStyle name="Warning Text 6" xfId="3315" xr:uid="{00000000-0005-0000-0000-00008F7A0000}"/>
    <cellStyle name="Warning Text 7" xfId="3316" xr:uid="{00000000-0005-0000-0000-0000907A0000}"/>
    <cellStyle name="Warning Text 8" xfId="3317" xr:uid="{00000000-0005-0000-0000-0000917A0000}"/>
    <cellStyle name="Warning Text 9" xfId="3318" xr:uid="{00000000-0005-0000-0000-0000927A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4"/>
  <sheetViews>
    <sheetView workbookViewId="0">
      <pane xSplit="1" topLeftCell="B1" activePane="topRight" state="frozen"/>
      <selection pane="topRight" activeCell="J18" sqref="J18"/>
    </sheetView>
  </sheetViews>
  <sheetFormatPr defaultColWidth="9.140625" defaultRowHeight="12.75"/>
  <cols>
    <col min="1" max="2" width="14" style="1" customWidth="1"/>
    <col min="3" max="3" width="10.7109375" style="2" customWidth="1"/>
    <col min="4" max="4" width="12" style="2" customWidth="1"/>
    <col min="5" max="5" width="11.7109375" style="2" customWidth="1"/>
    <col min="6" max="7" width="10.7109375" style="2" customWidth="1"/>
    <col min="8" max="8" width="11.140625" style="2" customWidth="1"/>
    <col min="9" max="9" width="11.28515625" style="2" customWidth="1"/>
    <col min="10" max="10" width="10.5703125" style="1" customWidth="1"/>
    <col min="11" max="11" width="10.85546875" style="1" customWidth="1"/>
    <col min="12" max="12" width="10.5703125" style="1" customWidth="1"/>
    <col min="13" max="13" width="11.42578125" style="1" customWidth="1"/>
    <col min="14" max="14" width="12" style="1" customWidth="1"/>
    <col min="15" max="15" width="11" style="1" customWidth="1"/>
    <col min="16" max="16" width="10.85546875" style="1" customWidth="1"/>
    <col min="17" max="17" width="11.7109375" style="1" customWidth="1"/>
    <col min="18" max="18" width="10.5703125" style="1" customWidth="1"/>
    <col min="19" max="19" width="12.140625" style="1" customWidth="1"/>
    <col min="20" max="20" width="10.7109375" style="1" customWidth="1"/>
    <col min="21" max="21" width="11.5703125" style="1" customWidth="1"/>
    <col min="22" max="23" width="10.85546875" style="1" customWidth="1"/>
    <col min="24" max="24" width="11.28515625" style="1" customWidth="1"/>
    <col min="25" max="25" width="11.140625" style="1" customWidth="1"/>
    <col min="26" max="28" width="10.5703125" style="1" customWidth="1"/>
    <col min="29" max="29" width="11.42578125" style="1" customWidth="1"/>
    <col min="30" max="32" width="10.5703125" style="1" customWidth="1"/>
    <col min="33" max="33" width="11.42578125" style="1" customWidth="1"/>
    <col min="34" max="34" width="11.85546875" style="1" customWidth="1"/>
    <col min="35" max="35" width="10.85546875" style="1" customWidth="1"/>
    <col min="36" max="36" width="11.140625" style="1" customWidth="1"/>
    <col min="37" max="37" width="11.28515625" style="1" customWidth="1"/>
    <col min="38" max="38" width="10.5703125" style="1" customWidth="1"/>
    <col min="39" max="39" width="9.140625" style="1"/>
    <col min="40" max="40" width="11.42578125" style="1" hidden="1" customWidth="1"/>
    <col min="41" max="41" width="15.42578125" style="1" hidden="1" customWidth="1"/>
    <col min="42" max="42" width="0" style="1" hidden="1" customWidth="1"/>
    <col min="43" max="43" width="11.5703125" style="1" hidden="1" customWidth="1"/>
    <col min="44" max="44" width="11.85546875" style="1" hidden="1" customWidth="1"/>
    <col min="45" max="45" width="17.28515625" style="1" hidden="1" customWidth="1"/>
    <col min="46" max="16384" width="9.140625" style="1"/>
  </cols>
  <sheetData>
    <row r="1" spans="1:45" ht="13.5" thickBot="1">
      <c r="A1" s="71" t="s">
        <v>0</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row>
    <row r="2" spans="1:45" ht="79.5" customHeight="1">
      <c r="A2" s="3181" t="s">
        <v>1</v>
      </c>
      <c r="B2" s="3183" t="s">
        <v>2</v>
      </c>
      <c r="C2" s="70" t="s">
        <v>3</v>
      </c>
      <c r="D2" s="70" t="s">
        <v>4</v>
      </c>
      <c r="E2" s="68" t="s">
        <v>5</v>
      </c>
      <c r="F2" s="68" t="s">
        <v>6</v>
      </c>
      <c r="G2" s="3014" t="s">
        <v>7</v>
      </c>
      <c r="H2" s="70" t="s">
        <v>3</v>
      </c>
      <c r="I2" s="70" t="s">
        <v>4</v>
      </c>
      <c r="J2" s="68" t="s">
        <v>5</v>
      </c>
      <c r="K2" s="68" t="s">
        <v>6</v>
      </c>
      <c r="L2" s="3014" t="s">
        <v>7</v>
      </c>
      <c r="M2" s="69" t="s">
        <v>3</v>
      </c>
      <c r="N2" s="70" t="s">
        <v>4</v>
      </c>
      <c r="O2" s="68" t="s">
        <v>5</v>
      </c>
      <c r="P2" s="68" t="s">
        <v>6</v>
      </c>
      <c r="Q2" s="3014" t="s">
        <v>7</v>
      </c>
      <c r="R2" s="69" t="s">
        <v>3</v>
      </c>
      <c r="S2" s="70" t="s">
        <v>4</v>
      </c>
      <c r="T2" s="68" t="s">
        <v>5</v>
      </c>
      <c r="U2" s="68" t="s">
        <v>6</v>
      </c>
      <c r="V2" s="3014" t="s">
        <v>7</v>
      </c>
      <c r="W2" s="69" t="s">
        <v>3</v>
      </c>
      <c r="X2" s="70" t="s">
        <v>4</v>
      </c>
      <c r="Y2" s="68" t="s">
        <v>5</v>
      </c>
      <c r="Z2" s="68" t="s">
        <v>6</v>
      </c>
      <c r="AA2" s="3014" t="s">
        <v>7</v>
      </c>
      <c r="AB2" s="69" t="s">
        <v>3</v>
      </c>
      <c r="AC2" s="70" t="s">
        <v>4</v>
      </c>
      <c r="AD2" s="68" t="s">
        <v>5</v>
      </c>
      <c r="AE2" s="68" t="s">
        <v>6</v>
      </c>
      <c r="AF2" s="3014" t="s">
        <v>7</v>
      </c>
      <c r="AG2" s="69" t="s">
        <v>3</v>
      </c>
      <c r="AH2" s="70" t="s">
        <v>4</v>
      </c>
      <c r="AI2" s="68" t="s">
        <v>5</v>
      </c>
      <c r="AJ2" s="68" t="s">
        <v>6</v>
      </c>
      <c r="AK2" s="3014" t="s">
        <v>7</v>
      </c>
      <c r="AL2" s="3192" t="s">
        <v>8</v>
      </c>
      <c r="AN2" s="3194" t="s">
        <v>9</v>
      </c>
      <c r="AO2" s="3196" t="s">
        <v>10</v>
      </c>
      <c r="AQ2" s="3198" t="s">
        <v>11</v>
      </c>
      <c r="AR2" s="3194" t="s">
        <v>12</v>
      </c>
      <c r="AS2" s="3200" t="s">
        <v>13</v>
      </c>
    </row>
    <row r="3" spans="1:45" ht="15.75" customHeight="1">
      <c r="A3" s="3182"/>
      <c r="B3" s="3184"/>
      <c r="C3" s="3185">
        <v>2015</v>
      </c>
      <c r="D3" s="3186"/>
      <c r="E3" s="3186"/>
      <c r="F3" s="3186"/>
      <c r="G3" s="3187"/>
      <c r="H3" s="3185">
        <v>2020</v>
      </c>
      <c r="I3" s="3186"/>
      <c r="J3" s="3186"/>
      <c r="K3" s="3186"/>
      <c r="L3" s="3187"/>
      <c r="M3" s="3185">
        <v>2025</v>
      </c>
      <c r="N3" s="3186"/>
      <c r="O3" s="3186"/>
      <c r="P3" s="3186"/>
      <c r="Q3" s="3187"/>
      <c r="R3" s="3185">
        <v>2030</v>
      </c>
      <c r="S3" s="3186"/>
      <c r="T3" s="3186"/>
      <c r="U3" s="3186"/>
      <c r="V3" s="3187"/>
      <c r="W3" s="3185">
        <v>2035</v>
      </c>
      <c r="X3" s="3186"/>
      <c r="Y3" s="3186"/>
      <c r="Z3" s="3186"/>
      <c r="AA3" s="3187"/>
      <c r="AB3" s="3185">
        <v>2040</v>
      </c>
      <c r="AC3" s="3186"/>
      <c r="AD3" s="3186"/>
      <c r="AE3" s="3186"/>
      <c r="AF3" s="3187"/>
      <c r="AG3" s="3185">
        <v>2045</v>
      </c>
      <c r="AH3" s="3186"/>
      <c r="AI3" s="3186"/>
      <c r="AJ3" s="3186"/>
      <c r="AK3" s="3187"/>
      <c r="AL3" s="3193"/>
      <c r="AN3" s="3195"/>
      <c r="AO3" s="3197"/>
      <c r="AQ3" s="3199"/>
      <c r="AR3" s="3195"/>
      <c r="AS3" s="3201"/>
    </row>
    <row r="4" spans="1:45" s="2" customFormat="1">
      <c r="A4" s="295" t="s">
        <v>14</v>
      </c>
      <c r="B4" s="730" t="s">
        <v>15</v>
      </c>
      <c r="C4" s="1542" t="s">
        <v>16</v>
      </c>
      <c r="D4" s="1542" t="s">
        <v>16</v>
      </c>
      <c r="E4" s="337">
        <f>F4+G4</f>
        <v>197466</v>
      </c>
      <c r="F4" s="343">
        <f>'Table 4'!C5</f>
        <v>187980</v>
      </c>
      <c r="G4" s="349">
        <f>'Table 6'!C5</f>
        <v>9486</v>
      </c>
      <c r="H4" s="338" t="s">
        <v>16</v>
      </c>
      <c r="I4" s="1542" t="s">
        <v>16</v>
      </c>
      <c r="J4" s="343">
        <f>K4+L4</f>
        <v>203981</v>
      </c>
      <c r="K4" s="343">
        <f>'Table 4'!D5</f>
        <v>194225</v>
      </c>
      <c r="L4" s="349">
        <f>'Table 6'!D5</f>
        <v>9756</v>
      </c>
      <c r="M4" s="338" t="s">
        <v>16</v>
      </c>
      <c r="N4" s="1542" t="s">
        <v>16</v>
      </c>
      <c r="O4" s="343">
        <f>P4+Q4</f>
        <v>208575</v>
      </c>
      <c r="P4" s="343">
        <f>'Table 4'!E5</f>
        <v>198455</v>
      </c>
      <c r="Q4" s="723">
        <f>'Table 6'!E5</f>
        <v>10120</v>
      </c>
      <c r="R4" s="338" t="s">
        <v>16</v>
      </c>
      <c r="S4" s="1542" t="s">
        <v>16</v>
      </c>
      <c r="T4" s="343">
        <f>U4+V4</f>
        <v>212384</v>
      </c>
      <c r="U4" s="343">
        <f>'Table 4'!F5</f>
        <v>200386</v>
      </c>
      <c r="V4" s="349">
        <f>'Table 6'!F5</f>
        <v>11998</v>
      </c>
      <c r="W4" s="338" t="s">
        <v>16</v>
      </c>
      <c r="X4" s="1542" t="s">
        <v>16</v>
      </c>
      <c r="Y4" s="343">
        <f>Z4+AA4</f>
        <v>212473</v>
      </c>
      <c r="Z4" s="343">
        <f>'Table 4'!G5</f>
        <v>200475</v>
      </c>
      <c r="AA4" s="723">
        <f>'Table 6'!G5</f>
        <v>11998</v>
      </c>
      <c r="AB4" s="338" t="s">
        <v>16</v>
      </c>
      <c r="AC4" s="1542" t="s">
        <v>16</v>
      </c>
      <c r="AD4" s="343">
        <f>AE4+AF4</f>
        <v>214246</v>
      </c>
      <c r="AE4" s="343">
        <f>'Table 4'!H5</f>
        <v>201157</v>
      </c>
      <c r="AF4" s="723">
        <f>'Table 6'!H5</f>
        <v>13089</v>
      </c>
      <c r="AG4" s="338" t="s">
        <v>16</v>
      </c>
      <c r="AH4" s="1542" t="s">
        <v>16</v>
      </c>
      <c r="AI4" s="343">
        <f>AJ4+AK4</f>
        <v>215828</v>
      </c>
      <c r="AJ4" s="343">
        <f>'Table 4'!I5</f>
        <v>201310</v>
      </c>
      <c r="AK4" s="723">
        <f>'Table 6'!I5</f>
        <v>14518</v>
      </c>
      <c r="AL4" s="43">
        <f t="shared" ref="AL4:AL26" si="0">(AI4-E4)/E4</f>
        <v>0.09</v>
      </c>
      <c r="AN4" s="201">
        <f t="shared" ref="AN4:AO7" si="1">(AJ4-F4)/F4</f>
        <v>7.0000000000000007E-2</v>
      </c>
      <c r="AO4" s="43">
        <f t="shared" si="1"/>
        <v>0.53</v>
      </c>
      <c r="AP4" s="212"/>
      <c r="AQ4" s="1566">
        <f t="shared" ref="AQ4:AQ26" si="2">AI4-E4</f>
        <v>18362</v>
      </c>
      <c r="AR4" s="1559">
        <f t="shared" ref="AR4:AR26" si="3">AJ4-F4</f>
        <v>13330</v>
      </c>
      <c r="AS4" s="1554">
        <f t="shared" ref="AS4:AS26" si="4">AK4-G4</f>
        <v>5032</v>
      </c>
    </row>
    <row r="5" spans="1:45" s="2" customFormat="1">
      <c r="A5" s="1827" t="s">
        <v>14</v>
      </c>
      <c r="B5" s="734" t="s">
        <v>17</v>
      </c>
      <c r="C5" s="1540" t="s">
        <v>16</v>
      </c>
      <c r="D5" s="1540" t="s">
        <v>16</v>
      </c>
      <c r="E5" s="896">
        <f>F5+G5</f>
        <v>55728</v>
      </c>
      <c r="F5" s="896">
        <f>'Table 4'!C6</f>
        <v>21820</v>
      </c>
      <c r="G5" s="897">
        <f>'Table 6'!C6</f>
        <v>33908</v>
      </c>
      <c r="H5" s="1084" t="s">
        <v>16</v>
      </c>
      <c r="I5" s="1540" t="s">
        <v>16</v>
      </c>
      <c r="J5" s="896">
        <f>K5+L5</f>
        <v>65450</v>
      </c>
      <c r="K5" s="896">
        <f>'Table 4'!D6</f>
        <v>23504</v>
      </c>
      <c r="L5" s="897">
        <f>'Table 6'!D6</f>
        <v>41946</v>
      </c>
      <c r="M5" s="1084" t="s">
        <v>16</v>
      </c>
      <c r="N5" s="1540" t="s">
        <v>16</v>
      </c>
      <c r="O5" s="896">
        <f>P5+Q5</f>
        <v>72431</v>
      </c>
      <c r="P5" s="896">
        <f>'Table 4'!E6</f>
        <v>23749</v>
      </c>
      <c r="Q5" s="887">
        <f>'Table 6'!E6</f>
        <v>48682</v>
      </c>
      <c r="R5" s="1084" t="s">
        <v>16</v>
      </c>
      <c r="S5" s="1540" t="s">
        <v>16</v>
      </c>
      <c r="T5" s="896">
        <f>U5+V5</f>
        <v>78722</v>
      </c>
      <c r="U5" s="896">
        <f>'Table 4'!F6</f>
        <v>25325</v>
      </c>
      <c r="V5" s="887">
        <f>'Table 6'!F6</f>
        <v>53397</v>
      </c>
      <c r="W5" s="1084" t="s">
        <v>16</v>
      </c>
      <c r="X5" s="1540" t="s">
        <v>16</v>
      </c>
      <c r="Y5" s="896">
        <f>Z5+AA5</f>
        <v>87233</v>
      </c>
      <c r="Z5" s="896">
        <f>'Table 4'!G6</f>
        <v>26758</v>
      </c>
      <c r="AA5" s="887">
        <f>'Table 6'!G6</f>
        <v>60475</v>
      </c>
      <c r="AB5" s="1084" t="s">
        <v>16</v>
      </c>
      <c r="AC5" s="1540" t="s">
        <v>16</v>
      </c>
      <c r="AD5" s="896">
        <f>AE5+AF5</f>
        <v>92660</v>
      </c>
      <c r="AE5" s="896">
        <f>'Table 4'!H6</f>
        <v>27250</v>
      </c>
      <c r="AF5" s="887">
        <f>'Table 6'!H6</f>
        <v>65410</v>
      </c>
      <c r="AG5" s="1084" t="s">
        <v>16</v>
      </c>
      <c r="AH5" s="1540" t="s">
        <v>16</v>
      </c>
      <c r="AI5" s="1088">
        <f>AJ5+AK5</f>
        <v>96978</v>
      </c>
      <c r="AJ5" s="1088">
        <f>'Table 4'!I6</f>
        <v>27562</v>
      </c>
      <c r="AK5" s="887">
        <f>'Table 6'!I6</f>
        <v>69416</v>
      </c>
      <c r="AL5" s="720">
        <f t="shared" si="0"/>
        <v>0.74</v>
      </c>
      <c r="AN5" s="194">
        <f t="shared" si="1"/>
        <v>0.26</v>
      </c>
      <c r="AO5" s="720">
        <f t="shared" si="1"/>
        <v>1.05</v>
      </c>
      <c r="AP5" s="212"/>
      <c r="AQ5" s="1828">
        <f t="shared" si="2"/>
        <v>41250</v>
      </c>
      <c r="AR5" s="1829">
        <f t="shared" si="3"/>
        <v>5742</v>
      </c>
      <c r="AS5" s="1555">
        <f t="shared" si="4"/>
        <v>35508</v>
      </c>
    </row>
    <row r="6" spans="1:45" s="2" customFormat="1" ht="14.25" thickTop="1" thickBot="1">
      <c r="A6" s="341" t="s">
        <v>14</v>
      </c>
      <c r="B6" s="733" t="s">
        <v>18</v>
      </c>
      <c r="C6" s="888">
        <v>254893</v>
      </c>
      <c r="D6" s="888">
        <v>253603</v>
      </c>
      <c r="E6" s="340">
        <f>SUM(E4:E5)</f>
        <v>253194</v>
      </c>
      <c r="F6" s="340">
        <f>SUM(F4:F5)</f>
        <v>209800</v>
      </c>
      <c r="G6" s="284">
        <f>SUM(G4:G5)</f>
        <v>43394</v>
      </c>
      <c r="H6" s="277">
        <v>269800</v>
      </c>
      <c r="I6" s="888">
        <v>269800</v>
      </c>
      <c r="J6" s="340">
        <f>SUM(J4:J5)</f>
        <v>269431</v>
      </c>
      <c r="K6" s="340">
        <f>SUM(K4:K5)</f>
        <v>217729</v>
      </c>
      <c r="L6" s="284">
        <f>SUM(L4:L5)</f>
        <v>51702</v>
      </c>
      <c r="M6" s="277">
        <v>281500</v>
      </c>
      <c r="N6" s="888">
        <f>O6</f>
        <v>281006</v>
      </c>
      <c r="O6" s="340">
        <f>SUM(O4:O5)</f>
        <v>281006</v>
      </c>
      <c r="P6" s="340">
        <f>SUM(P4:P5)</f>
        <v>222204</v>
      </c>
      <c r="Q6" s="724">
        <f>SUM(Q4:Q5)</f>
        <v>58802</v>
      </c>
      <c r="R6" s="277">
        <v>291600</v>
      </c>
      <c r="S6" s="888">
        <f>T6</f>
        <v>291106</v>
      </c>
      <c r="T6" s="340">
        <f>SUM(T4:T5)</f>
        <v>291106</v>
      </c>
      <c r="U6" s="340">
        <f>SUM(U4:U5)</f>
        <v>225711</v>
      </c>
      <c r="V6" s="724">
        <f>SUM(V4:V5)</f>
        <v>65395</v>
      </c>
      <c r="W6" s="277">
        <v>300200</v>
      </c>
      <c r="X6" s="888">
        <f>Y6</f>
        <v>299706</v>
      </c>
      <c r="Y6" s="340">
        <f>SUM(Y4:Y5)</f>
        <v>299706</v>
      </c>
      <c r="Z6" s="340">
        <f>SUM(Z4:Z5)</f>
        <v>227233</v>
      </c>
      <c r="AA6" s="724">
        <f>SUM(AA4:AA5)</f>
        <v>72473</v>
      </c>
      <c r="AB6" s="277">
        <v>307400</v>
      </c>
      <c r="AC6" s="888">
        <f>AD6</f>
        <v>306906</v>
      </c>
      <c r="AD6" s="340">
        <f>SUM(AD4:AD5)</f>
        <v>306906</v>
      </c>
      <c r="AE6" s="340">
        <f>SUM(AE4:AE5)</f>
        <v>228407</v>
      </c>
      <c r="AF6" s="724">
        <f>SUM(AF4:AF5)</f>
        <v>78499</v>
      </c>
      <c r="AG6" s="1089">
        <v>313300</v>
      </c>
      <c r="AH6" s="1928">
        <f>AI6</f>
        <v>312806</v>
      </c>
      <c r="AI6" s="1090">
        <f>SUM(AI4:AI5)</f>
        <v>312806</v>
      </c>
      <c r="AJ6" s="1090">
        <f>SUM(AJ4:AJ5)</f>
        <v>228872</v>
      </c>
      <c r="AK6" s="724">
        <f>SUM(AK4:AK5)</f>
        <v>83934</v>
      </c>
      <c r="AL6" s="44">
        <f t="shared" si="0"/>
        <v>0.24</v>
      </c>
      <c r="AN6" s="195">
        <f t="shared" si="1"/>
        <v>0.09</v>
      </c>
      <c r="AO6" s="44">
        <f t="shared" si="1"/>
        <v>0.93</v>
      </c>
      <c r="AP6" s="212"/>
      <c r="AQ6" s="1567">
        <f t="shared" si="2"/>
        <v>59612</v>
      </c>
      <c r="AR6" s="1560">
        <f t="shared" si="3"/>
        <v>19072</v>
      </c>
      <c r="AS6" s="1556">
        <f t="shared" si="4"/>
        <v>40540</v>
      </c>
    </row>
    <row r="7" spans="1:45" s="2" customFormat="1">
      <c r="A7" s="292" t="s">
        <v>19</v>
      </c>
      <c r="B7" s="267" t="s">
        <v>15</v>
      </c>
      <c r="C7" s="1541" t="s">
        <v>16</v>
      </c>
      <c r="D7" s="1541" t="s">
        <v>16</v>
      </c>
      <c r="E7" s="347">
        <f t="shared" ref="E7:E23" si="5">F7+G7</f>
        <v>26556</v>
      </c>
      <c r="F7" s="347">
        <f>'Table 4'!C8</f>
        <v>6865</v>
      </c>
      <c r="G7" s="350">
        <f>'Table 6'!C8</f>
        <v>19691</v>
      </c>
      <c r="H7" s="346" t="s">
        <v>16</v>
      </c>
      <c r="I7" s="1541" t="s">
        <v>16</v>
      </c>
      <c r="J7" s="347">
        <f t="shared" ref="J7:J8" si="6">K7+L7</f>
        <v>27440</v>
      </c>
      <c r="K7" s="347">
        <f>'Table 4'!D8</f>
        <v>7045</v>
      </c>
      <c r="L7" s="350">
        <f>'Table 6'!D8</f>
        <v>20395</v>
      </c>
      <c r="M7" s="346" t="s">
        <v>16</v>
      </c>
      <c r="N7" s="1541" t="s">
        <v>16</v>
      </c>
      <c r="O7" s="347">
        <f t="shared" ref="O7:O8" si="7">P7+Q7</f>
        <v>28838</v>
      </c>
      <c r="P7" s="347">
        <f>'Table 4'!E8</f>
        <v>7309</v>
      </c>
      <c r="Q7" s="725">
        <f>'Table 6'!E8</f>
        <v>21529</v>
      </c>
      <c r="R7" s="346" t="s">
        <v>16</v>
      </c>
      <c r="S7" s="1541" t="s">
        <v>16</v>
      </c>
      <c r="T7" s="347">
        <f t="shared" ref="T7:T8" si="8">U7+V7</f>
        <v>30026</v>
      </c>
      <c r="U7" s="347">
        <f>'Table 4'!F8</f>
        <v>7833</v>
      </c>
      <c r="V7" s="725">
        <f>'Table 6'!F8</f>
        <v>22193</v>
      </c>
      <c r="W7" s="346" t="s">
        <v>16</v>
      </c>
      <c r="X7" s="1541" t="s">
        <v>16</v>
      </c>
      <c r="Y7" s="347">
        <f t="shared" ref="Y7:Y8" si="9">Z7+AA7</f>
        <v>30922</v>
      </c>
      <c r="Z7" s="347">
        <f>'Table 4'!G8</f>
        <v>7998</v>
      </c>
      <c r="AA7" s="725">
        <f>'Table 6'!G8</f>
        <v>22924</v>
      </c>
      <c r="AB7" s="346" t="s">
        <v>16</v>
      </c>
      <c r="AC7" s="1541" t="s">
        <v>16</v>
      </c>
      <c r="AD7" s="347">
        <f t="shared" ref="AD7:AD8" si="10">AE7+AF7</f>
        <v>31667</v>
      </c>
      <c r="AE7" s="347">
        <f>'Table 4'!H8</f>
        <v>8030</v>
      </c>
      <c r="AF7" s="725">
        <f>'Table 6'!H8</f>
        <v>23637</v>
      </c>
      <c r="AG7" s="346" t="s">
        <v>16</v>
      </c>
      <c r="AH7" s="1541" t="s">
        <v>16</v>
      </c>
      <c r="AI7" s="1091">
        <f t="shared" ref="AI7:AI8" si="11">AJ7+AK7</f>
        <v>32394</v>
      </c>
      <c r="AJ7" s="1091">
        <f>'Table 4'!I8</f>
        <v>8030</v>
      </c>
      <c r="AK7" s="725">
        <f>'Table 6'!I8</f>
        <v>24364</v>
      </c>
      <c r="AL7" s="153">
        <f t="shared" si="0"/>
        <v>0.22</v>
      </c>
      <c r="AN7" s="193">
        <f t="shared" si="1"/>
        <v>0.17</v>
      </c>
      <c r="AO7" s="153">
        <f t="shared" si="1"/>
        <v>0.24</v>
      </c>
      <c r="AP7" s="212"/>
      <c r="AQ7" s="1568">
        <f t="shared" si="2"/>
        <v>5838</v>
      </c>
      <c r="AR7" s="1561">
        <f t="shared" si="3"/>
        <v>1165</v>
      </c>
      <c r="AS7" s="1557">
        <f t="shared" si="4"/>
        <v>4673</v>
      </c>
    </row>
    <row r="8" spans="1:45" s="2" customFormat="1" ht="13.5" thickBot="1">
      <c r="A8" s="1037" t="s">
        <v>19</v>
      </c>
      <c r="B8" s="1545" t="s">
        <v>17</v>
      </c>
      <c r="C8" s="1540" t="s">
        <v>16</v>
      </c>
      <c r="D8" s="1925" t="s">
        <v>16</v>
      </c>
      <c r="E8" s="348">
        <f t="shared" si="5"/>
        <v>503</v>
      </c>
      <c r="F8" s="896">
        <f>'Table 4'!C9</f>
        <v>0</v>
      </c>
      <c r="G8" s="897">
        <f>'Table 6'!C9</f>
        <v>503</v>
      </c>
      <c r="H8" s="1084" t="s">
        <v>16</v>
      </c>
      <c r="I8" s="1925" t="s">
        <v>16</v>
      </c>
      <c r="J8" s="348">
        <f t="shared" si="6"/>
        <v>521</v>
      </c>
      <c r="K8" s="348">
        <f>'Table 4'!D9</f>
        <v>0</v>
      </c>
      <c r="L8" s="897">
        <f>'Table 6'!D9</f>
        <v>521</v>
      </c>
      <c r="M8" s="1084" t="s">
        <v>16</v>
      </c>
      <c r="N8" s="1925" t="s">
        <v>16</v>
      </c>
      <c r="O8" s="348">
        <f t="shared" si="7"/>
        <v>549</v>
      </c>
      <c r="P8" s="348">
        <f>'Table 4'!E9</f>
        <v>0</v>
      </c>
      <c r="Q8" s="887">
        <f>'Table 6'!E9</f>
        <v>549</v>
      </c>
      <c r="R8" s="1084" t="s">
        <v>16</v>
      </c>
      <c r="S8" s="1925" t="s">
        <v>16</v>
      </c>
      <c r="T8" s="348">
        <f t="shared" si="8"/>
        <v>573</v>
      </c>
      <c r="U8" s="348">
        <f>'Table 4'!F9</f>
        <v>0</v>
      </c>
      <c r="V8" s="887">
        <f>'Table 6'!F9</f>
        <v>573</v>
      </c>
      <c r="W8" s="1084" t="s">
        <v>16</v>
      </c>
      <c r="X8" s="1925" t="s">
        <v>16</v>
      </c>
      <c r="Y8" s="348">
        <f t="shared" si="9"/>
        <v>591</v>
      </c>
      <c r="Z8" s="348">
        <f>'Table 4'!G9</f>
        <v>0</v>
      </c>
      <c r="AA8" s="887">
        <f>'Table 6'!G9</f>
        <v>591</v>
      </c>
      <c r="AB8" s="1084" t="s">
        <v>16</v>
      </c>
      <c r="AC8" s="1925" t="s">
        <v>16</v>
      </c>
      <c r="AD8" s="348">
        <f t="shared" si="10"/>
        <v>609</v>
      </c>
      <c r="AE8" s="348">
        <f>'Table 4'!H9</f>
        <v>0</v>
      </c>
      <c r="AF8" s="887">
        <f>'Table 6'!H9</f>
        <v>609</v>
      </c>
      <c r="AG8" s="1084" t="s">
        <v>16</v>
      </c>
      <c r="AH8" s="1540" t="s">
        <v>16</v>
      </c>
      <c r="AI8" s="1088">
        <f t="shared" si="11"/>
        <v>623</v>
      </c>
      <c r="AJ8" s="1088">
        <f>'Table 4'!I9</f>
        <v>0</v>
      </c>
      <c r="AK8" s="887">
        <f>'Table 6'!I9</f>
        <v>623</v>
      </c>
      <c r="AL8" s="720">
        <f t="shared" si="0"/>
        <v>0.24</v>
      </c>
      <c r="AN8" s="234" t="s">
        <v>16</v>
      </c>
      <c r="AO8" s="720">
        <f t="shared" ref="AO8:AO26" si="12">(AK8-G8)/G8</f>
        <v>0.24</v>
      </c>
      <c r="AP8" s="212"/>
      <c r="AQ8" s="1828">
        <f t="shared" si="2"/>
        <v>120</v>
      </c>
      <c r="AR8" s="1829">
        <f t="shared" si="3"/>
        <v>0</v>
      </c>
      <c r="AS8" s="1555">
        <f t="shared" si="4"/>
        <v>120</v>
      </c>
    </row>
    <row r="9" spans="1:45" s="2" customFormat="1" ht="14.25" thickTop="1" thickBot="1">
      <c r="A9" s="339" t="s">
        <v>19</v>
      </c>
      <c r="B9" s="731" t="s">
        <v>18</v>
      </c>
      <c r="C9" s="888">
        <v>27017</v>
      </c>
      <c r="D9" s="888">
        <v>24919</v>
      </c>
      <c r="E9" s="340">
        <f>SUM(E7:E8)</f>
        <v>27059</v>
      </c>
      <c r="F9" s="340">
        <f>SUM(F7:F8)</f>
        <v>6865</v>
      </c>
      <c r="G9" s="284">
        <f>SUM(G7:G8)</f>
        <v>20194</v>
      </c>
      <c r="H9" s="277">
        <v>28500</v>
      </c>
      <c r="I9" s="888">
        <f>H9-1839</f>
        <v>26661</v>
      </c>
      <c r="J9" s="340">
        <f>SUM(J7:J8)</f>
        <v>27961</v>
      </c>
      <c r="K9" s="340">
        <f>SUM(K7:K8)</f>
        <v>7045</v>
      </c>
      <c r="L9" s="284">
        <f>SUM(L7:L8)</f>
        <v>20916</v>
      </c>
      <c r="M9" s="277">
        <v>29900</v>
      </c>
      <c r="N9" s="888">
        <f>M9-1839</f>
        <v>28061</v>
      </c>
      <c r="O9" s="340">
        <f>SUM(O7:O8)</f>
        <v>29387</v>
      </c>
      <c r="P9" s="340">
        <f>SUM(P7:P8)</f>
        <v>7309</v>
      </c>
      <c r="Q9" s="724">
        <f>SUM(Q7:Q8)</f>
        <v>22078</v>
      </c>
      <c r="R9" s="277">
        <v>31100</v>
      </c>
      <c r="S9" s="888">
        <f>R9-1839</f>
        <v>29261</v>
      </c>
      <c r="T9" s="340">
        <f>SUM(T7:T8)</f>
        <v>30599</v>
      </c>
      <c r="U9" s="340">
        <f>SUM(U7:U8)</f>
        <v>7833</v>
      </c>
      <c r="V9" s="724">
        <f>SUM(V7:V8)</f>
        <v>22766</v>
      </c>
      <c r="W9" s="277">
        <v>32000</v>
      </c>
      <c r="X9" s="888">
        <f>W9-1839</f>
        <v>30161</v>
      </c>
      <c r="Y9" s="340">
        <f>SUM(Y7:Y8)</f>
        <v>31513</v>
      </c>
      <c r="Z9" s="340">
        <f>SUM(Z7:Z8)</f>
        <v>7998</v>
      </c>
      <c r="AA9" s="724">
        <f>SUM(AA7:AA8)</f>
        <v>23515</v>
      </c>
      <c r="AB9" s="277">
        <v>32900</v>
      </c>
      <c r="AC9" s="888">
        <f>AB9-1839</f>
        <v>31061</v>
      </c>
      <c r="AD9" s="1083">
        <f>SUM(AD7:AD8)</f>
        <v>32276</v>
      </c>
      <c r="AE9" s="340">
        <f>SUM(AE7:AE8)</f>
        <v>8030</v>
      </c>
      <c r="AF9" s="724">
        <f>SUM(AF7:AF8)</f>
        <v>24246</v>
      </c>
      <c r="AG9" s="1089">
        <v>33600</v>
      </c>
      <c r="AH9" s="888">
        <f>AG9-1839</f>
        <v>31761</v>
      </c>
      <c r="AI9" s="1090">
        <f>SUM(AI7:AI8)</f>
        <v>33017</v>
      </c>
      <c r="AJ9" s="1090">
        <f>SUM(AJ7:AJ8)</f>
        <v>8030</v>
      </c>
      <c r="AK9" s="724">
        <f>SUM(AK7:AK8)</f>
        <v>24987</v>
      </c>
      <c r="AL9" s="44">
        <f t="shared" si="0"/>
        <v>0.22</v>
      </c>
      <c r="AN9" s="195">
        <f t="shared" ref="AN9:AN26" si="13">(AJ9-F9)/F9</f>
        <v>0.17</v>
      </c>
      <c r="AO9" s="44">
        <f t="shared" si="12"/>
        <v>0.24</v>
      </c>
      <c r="AP9" s="212"/>
      <c r="AQ9" s="1567">
        <f t="shared" si="2"/>
        <v>5958</v>
      </c>
      <c r="AR9" s="1560">
        <f t="shared" si="3"/>
        <v>1165</v>
      </c>
      <c r="AS9" s="1556">
        <f t="shared" si="4"/>
        <v>4793</v>
      </c>
    </row>
    <row r="10" spans="1:45" s="2" customFormat="1">
      <c r="A10" s="295" t="s">
        <v>20</v>
      </c>
      <c r="B10" s="730" t="s">
        <v>15</v>
      </c>
      <c r="C10" s="1542" t="s">
        <v>16</v>
      </c>
      <c r="D10" s="1542" t="s">
        <v>16</v>
      </c>
      <c r="E10" s="343">
        <f t="shared" si="5"/>
        <v>2289</v>
      </c>
      <c r="F10" s="343">
        <f>'Table 4'!C11</f>
        <v>115</v>
      </c>
      <c r="G10" s="349">
        <f>'Table 6'!C11</f>
        <v>2174</v>
      </c>
      <c r="H10" s="338" t="s">
        <v>16</v>
      </c>
      <c r="I10" s="1542" t="s">
        <v>16</v>
      </c>
      <c r="J10" s="343">
        <f t="shared" ref="J10:J11" si="14">K10+L10</f>
        <v>2475</v>
      </c>
      <c r="K10" s="347">
        <f>'Table 4'!D11</f>
        <v>122</v>
      </c>
      <c r="L10" s="349">
        <f>'Table 6'!D11</f>
        <v>2353</v>
      </c>
      <c r="M10" s="338" t="s">
        <v>16</v>
      </c>
      <c r="N10" s="1542" t="s">
        <v>16</v>
      </c>
      <c r="O10" s="343">
        <f t="shared" ref="O10:O11" si="15">P10+Q10</f>
        <v>2872</v>
      </c>
      <c r="P10" s="347">
        <f>'Table 4'!E11</f>
        <v>145</v>
      </c>
      <c r="Q10" s="723">
        <f>'Table 6'!E11</f>
        <v>2727</v>
      </c>
      <c r="R10" s="338" t="s">
        <v>16</v>
      </c>
      <c r="S10" s="1542" t="s">
        <v>16</v>
      </c>
      <c r="T10" s="343">
        <f t="shared" ref="T10:T11" si="16">U10+V10</f>
        <v>3069</v>
      </c>
      <c r="U10" s="347">
        <f>'Table 4'!F11</f>
        <v>155</v>
      </c>
      <c r="V10" s="723">
        <f>'Table 6'!F11</f>
        <v>2914</v>
      </c>
      <c r="W10" s="338" t="s">
        <v>16</v>
      </c>
      <c r="X10" s="1542" t="s">
        <v>16</v>
      </c>
      <c r="Y10" s="343">
        <f t="shared" ref="Y10:Y11" si="17">Z10+AA10</f>
        <v>3069</v>
      </c>
      <c r="Z10" s="347">
        <f>'Table 4'!G11</f>
        <v>155</v>
      </c>
      <c r="AA10" s="723">
        <f>'Table 6'!G11</f>
        <v>2914</v>
      </c>
      <c r="AB10" s="338" t="s">
        <v>16</v>
      </c>
      <c r="AC10" s="1542" t="s">
        <v>16</v>
      </c>
      <c r="AD10" s="343">
        <f t="shared" ref="AD10:AD11" si="18">AE10+AF10</f>
        <v>3234</v>
      </c>
      <c r="AE10" s="347">
        <f>'Table 4'!H11</f>
        <v>155</v>
      </c>
      <c r="AF10" s="723">
        <f>'Table 6'!H11</f>
        <v>3079</v>
      </c>
      <c r="AG10" s="338" t="s">
        <v>16</v>
      </c>
      <c r="AH10" s="1542" t="s">
        <v>16</v>
      </c>
      <c r="AI10" s="1092">
        <f t="shared" ref="AI10:AI11" si="19">AJ10+AK10</f>
        <v>3418</v>
      </c>
      <c r="AJ10" s="1092">
        <f>'Table 4'!I11</f>
        <v>155</v>
      </c>
      <c r="AK10" s="723">
        <f>'Table 6'!I11</f>
        <v>3263</v>
      </c>
      <c r="AL10" s="43">
        <f t="shared" si="0"/>
        <v>0.49</v>
      </c>
      <c r="AN10" s="201">
        <f t="shared" si="13"/>
        <v>0.35</v>
      </c>
      <c r="AO10" s="43">
        <f t="shared" si="12"/>
        <v>0.5</v>
      </c>
      <c r="AP10" s="212"/>
      <c r="AQ10" s="1569">
        <f t="shared" si="2"/>
        <v>1129</v>
      </c>
      <c r="AR10" s="1562">
        <f t="shared" si="3"/>
        <v>40</v>
      </c>
      <c r="AS10" s="1554">
        <f t="shared" si="4"/>
        <v>1089</v>
      </c>
    </row>
    <row r="11" spans="1:45" s="2" customFormat="1" ht="13.5" thickBot="1">
      <c r="A11" s="1037" t="s">
        <v>20</v>
      </c>
      <c r="B11" s="268" t="s">
        <v>17</v>
      </c>
      <c r="C11" s="1540" t="s">
        <v>16</v>
      </c>
      <c r="D11" s="1540" t="s">
        <v>16</v>
      </c>
      <c r="E11" s="896">
        <f t="shared" si="5"/>
        <v>20712</v>
      </c>
      <c r="F11" s="896">
        <f>'Table 4'!C12</f>
        <v>7462</v>
      </c>
      <c r="G11" s="897">
        <f>'Table 6'!C12</f>
        <v>13250</v>
      </c>
      <c r="H11" s="1084" t="s">
        <v>16</v>
      </c>
      <c r="I11" s="1540" t="s">
        <v>16</v>
      </c>
      <c r="J11" s="896">
        <f t="shared" si="14"/>
        <v>21080</v>
      </c>
      <c r="K11" s="896">
        <f>'Table 4'!D12</f>
        <v>8843</v>
      </c>
      <c r="L11" s="897">
        <f>'Table 6'!D12</f>
        <v>12237</v>
      </c>
      <c r="M11" s="1084" t="s">
        <v>16</v>
      </c>
      <c r="N11" s="1540" t="s">
        <v>16</v>
      </c>
      <c r="O11" s="896">
        <f t="shared" si="15"/>
        <v>21083</v>
      </c>
      <c r="P11" s="348">
        <f>'Table 4'!E12</f>
        <v>9029</v>
      </c>
      <c r="Q11" s="887">
        <f>'Table 6'!E12</f>
        <v>12054</v>
      </c>
      <c r="R11" s="1084" t="s">
        <v>16</v>
      </c>
      <c r="S11" s="1540" t="s">
        <v>16</v>
      </c>
      <c r="T11" s="896">
        <f t="shared" si="16"/>
        <v>21094</v>
      </c>
      <c r="U11" s="896">
        <f>'Table 4'!F12</f>
        <v>9181</v>
      </c>
      <c r="V11" s="887">
        <f>'Table 6'!F12</f>
        <v>11913</v>
      </c>
      <c r="W11" s="1084" t="s">
        <v>16</v>
      </c>
      <c r="X11" s="1540" t="s">
        <v>16</v>
      </c>
      <c r="Y11" s="896">
        <f t="shared" si="17"/>
        <v>21168</v>
      </c>
      <c r="Z11" s="896">
        <f>'Table 4'!G12</f>
        <v>9301</v>
      </c>
      <c r="AA11" s="887">
        <f>'Table 6'!G12</f>
        <v>11867</v>
      </c>
      <c r="AB11" s="1084" t="s">
        <v>16</v>
      </c>
      <c r="AC11" s="1540" t="s">
        <v>16</v>
      </c>
      <c r="AD11" s="896">
        <f t="shared" si="18"/>
        <v>21088</v>
      </c>
      <c r="AE11" s="348">
        <f>'Table 4'!H12</f>
        <v>9398</v>
      </c>
      <c r="AF11" s="887">
        <f>'Table 6'!H12</f>
        <v>11690</v>
      </c>
      <c r="AG11" s="1084" t="s">
        <v>16</v>
      </c>
      <c r="AH11" s="1540" t="s">
        <v>16</v>
      </c>
      <c r="AI11" s="1088">
        <f t="shared" si="19"/>
        <v>20956</v>
      </c>
      <c r="AJ11" s="1088">
        <f>'Table 4'!I12</f>
        <v>9542</v>
      </c>
      <c r="AK11" s="887">
        <f>'Table 6'!I12</f>
        <v>11414</v>
      </c>
      <c r="AL11" s="1930">
        <f t="shared" si="0"/>
        <v>0.01</v>
      </c>
      <c r="AN11" s="197">
        <f t="shared" si="13"/>
        <v>0.28000000000000003</v>
      </c>
      <c r="AO11" s="1930">
        <f t="shared" si="12"/>
        <v>-0.14000000000000001</v>
      </c>
      <c r="AP11" s="212"/>
      <c r="AQ11" s="1828">
        <f t="shared" si="2"/>
        <v>244</v>
      </c>
      <c r="AR11" s="1829">
        <f t="shared" si="3"/>
        <v>2080</v>
      </c>
      <c r="AS11" s="1555">
        <f t="shared" si="4"/>
        <v>-1836</v>
      </c>
    </row>
    <row r="12" spans="1:45" s="2" customFormat="1" ht="14.25" thickTop="1" thickBot="1">
      <c r="A12" s="339" t="s">
        <v>20</v>
      </c>
      <c r="B12" s="731" t="s">
        <v>18</v>
      </c>
      <c r="C12" s="1923">
        <v>27310</v>
      </c>
      <c r="D12" s="888">
        <v>24384</v>
      </c>
      <c r="E12" s="1923">
        <f>SUM(E10:E11)</f>
        <v>23001</v>
      </c>
      <c r="F12" s="340">
        <f>SUM(F10:F11)</f>
        <v>7577</v>
      </c>
      <c r="G12" s="284">
        <f>SUM(G10:G11)</f>
        <v>15424</v>
      </c>
      <c r="H12" s="345">
        <v>28800</v>
      </c>
      <c r="I12" s="888">
        <f>H12-1922</f>
        <v>26878</v>
      </c>
      <c r="J12" s="340">
        <f>SUM(J10:J11)</f>
        <v>23555</v>
      </c>
      <c r="K12" s="340">
        <f>SUM(K10:K11)</f>
        <v>8965</v>
      </c>
      <c r="L12" s="284">
        <f>SUM(L10:L11)</f>
        <v>14590</v>
      </c>
      <c r="M12" s="345">
        <v>29200</v>
      </c>
      <c r="N12" s="888">
        <f>M12-1922</f>
        <v>27278</v>
      </c>
      <c r="O12" s="340">
        <f>SUM(O10:O11)</f>
        <v>23955</v>
      </c>
      <c r="P12" s="340">
        <f>SUM(P10:P11)</f>
        <v>9174</v>
      </c>
      <c r="Q12" s="724">
        <f>SUM(Q10:Q11)</f>
        <v>14781</v>
      </c>
      <c r="R12" s="345">
        <v>29500</v>
      </c>
      <c r="S12" s="1923">
        <f>R12-1922</f>
        <v>27578</v>
      </c>
      <c r="T12" s="340">
        <f>SUM(T10:T11)</f>
        <v>24163</v>
      </c>
      <c r="U12" s="340">
        <f>SUM(U10:U11)</f>
        <v>9336</v>
      </c>
      <c r="V12" s="724">
        <f>SUM(V10:V11)</f>
        <v>14827</v>
      </c>
      <c r="W12" s="345">
        <v>29800</v>
      </c>
      <c r="X12" s="1923">
        <f>W12-1922</f>
        <v>27878</v>
      </c>
      <c r="Y12" s="340">
        <f>SUM(Y10:Y11)</f>
        <v>24237</v>
      </c>
      <c r="Z12" s="340">
        <f>SUM(Z10:Z11)</f>
        <v>9456</v>
      </c>
      <c r="AA12" s="724">
        <f>SUM(AA10:AA11)</f>
        <v>14781</v>
      </c>
      <c r="AB12" s="345">
        <v>30000</v>
      </c>
      <c r="AC12" s="1923">
        <f>AB12-1922</f>
        <v>28078</v>
      </c>
      <c r="AD12" s="340">
        <f>SUM(AD10:AD11)</f>
        <v>24322</v>
      </c>
      <c r="AE12" s="340">
        <f>SUM(AE10:AE11)</f>
        <v>9553</v>
      </c>
      <c r="AF12" s="724">
        <f>SUM(AF10:AF11)</f>
        <v>14769</v>
      </c>
      <c r="AG12" s="1089">
        <v>30300</v>
      </c>
      <c r="AH12" s="1923">
        <f>AG12-1922</f>
        <v>28378</v>
      </c>
      <c r="AI12" s="1090">
        <f>SUM(AI10:AI11)</f>
        <v>24374</v>
      </c>
      <c r="AJ12" s="1090">
        <f>SUM(AJ10:AJ11)</f>
        <v>9697</v>
      </c>
      <c r="AK12" s="724">
        <f>SUM(AK10:AK11)</f>
        <v>14677</v>
      </c>
      <c r="AL12" s="44">
        <f t="shared" si="0"/>
        <v>0.06</v>
      </c>
      <c r="AN12" s="195">
        <f t="shared" si="13"/>
        <v>0.28000000000000003</v>
      </c>
      <c r="AO12" s="44">
        <f t="shared" si="12"/>
        <v>-0.05</v>
      </c>
      <c r="AP12" s="212"/>
      <c r="AQ12" s="1567">
        <f t="shared" si="2"/>
        <v>1373</v>
      </c>
      <c r="AR12" s="1560">
        <f t="shared" si="3"/>
        <v>2120</v>
      </c>
      <c r="AS12" s="1556">
        <f t="shared" si="4"/>
        <v>-747</v>
      </c>
    </row>
    <row r="13" spans="1:45" s="2" customFormat="1">
      <c r="A13" s="364" t="s">
        <v>21</v>
      </c>
      <c r="B13" s="730" t="s">
        <v>15</v>
      </c>
      <c r="C13" s="892">
        <v>201277</v>
      </c>
      <c r="D13" s="1542">
        <f>C13</f>
        <v>201277</v>
      </c>
      <c r="E13" s="343">
        <f t="shared" si="5"/>
        <v>202600</v>
      </c>
      <c r="F13" s="890">
        <f>'Table 4'!C14</f>
        <v>137842</v>
      </c>
      <c r="G13" s="891">
        <f>'Table 6'!C14</f>
        <v>64758</v>
      </c>
      <c r="H13" s="892">
        <v>219000</v>
      </c>
      <c r="I13" s="1542">
        <f>H13</f>
        <v>219000</v>
      </c>
      <c r="J13" s="343">
        <f t="shared" ref="J13:J23" si="20">K13+L13</f>
        <v>217009</v>
      </c>
      <c r="K13" s="890">
        <f>'Table 4'!D14</f>
        <v>147628</v>
      </c>
      <c r="L13" s="891">
        <f>'Table 6'!D14</f>
        <v>69381</v>
      </c>
      <c r="M13" s="889">
        <v>236800</v>
      </c>
      <c r="N13" s="1542">
        <f>M13</f>
        <v>236800</v>
      </c>
      <c r="O13" s="343">
        <f t="shared" ref="O13:O23" si="21">P13+Q13</f>
        <v>234658</v>
      </c>
      <c r="P13" s="890">
        <f>'Table 4'!E14</f>
        <v>158325</v>
      </c>
      <c r="Q13" s="893">
        <f>'Table 6'!E14</f>
        <v>76333</v>
      </c>
      <c r="R13" s="889">
        <v>252500</v>
      </c>
      <c r="S13" s="1542">
        <f>R13</f>
        <v>252500</v>
      </c>
      <c r="T13" s="343">
        <f t="shared" ref="T13:T23" si="22">U13+V13</f>
        <v>247691</v>
      </c>
      <c r="U13" s="890">
        <f>'Table 4'!F14</f>
        <v>161667</v>
      </c>
      <c r="V13" s="893">
        <f>'Table 6'!F14</f>
        <v>86024</v>
      </c>
      <c r="W13" s="889">
        <v>265000</v>
      </c>
      <c r="X13" s="337">
        <f>W13</f>
        <v>265000</v>
      </c>
      <c r="Y13" s="343">
        <f t="shared" ref="Y13:Y23" si="23">Z13+AA13</f>
        <v>262835</v>
      </c>
      <c r="Z13" s="890">
        <f>'Table 4'!G14</f>
        <v>173617</v>
      </c>
      <c r="AA13" s="893">
        <f>'Table 6'!G14</f>
        <v>89218</v>
      </c>
      <c r="AB13" s="889">
        <v>275600</v>
      </c>
      <c r="AC13" s="1542">
        <f>AB13</f>
        <v>275600</v>
      </c>
      <c r="AD13" s="343">
        <f t="shared" ref="AD13:AD23" si="24">AE13+AF13</f>
        <v>272476</v>
      </c>
      <c r="AE13" s="890">
        <f>'Table 4'!H14</f>
        <v>180477</v>
      </c>
      <c r="AF13" s="893">
        <f>'Table 6'!H14</f>
        <v>91999</v>
      </c>
      <c r="AG13" s="1093">
        <v>285100</v>
      </c>
      <c r="AH13" s="1949">
        <f>AG13</f>
        <v>285100</v>
      </c>
      <c r="AI13" s="1094">
        <f t="shared" ref="AI13:AI23" si="25">AJ13+AK13</f>
        <v>282960</v>
      </c>
      <c r="AJ13" s="1094">
        <f>'Table 4'!I14</f>
        <v>188935</v>
      </c>
      <c r="AK13" s="893">
        <f>'Table 6'!I14</f>
        <v>94025</v>
      </c>
      <c r="AL13" s="319">
        <f t="shared" si="0"/>
        <v>0.4</v>
      </c>
      <c r="AN13" s="319">
        <f t="shared" si="13"/>
        <v>0.37</v>
      </c>
      <c r="AO13" s="319">
        <f t="shared" si="12"/>
        <v>0.45</v>
      </c>
      <c r="AP13" s="212"/>
      <c r="AQ13" s="1570">
        <f t="shared" si="2"/>
        <v>80360</v>
      </c>
      <c r="AR13" s="1563">
        <f t="shared" si="3"/>
        <v>51093</v>
      </c>
      <c r="AS13" s="1558">
        <f t="shared" si="4"/>
        <v>29267</v>
      </c>
    </row>
    <row r="14" spans="1:45" s="2" customFormat="1">
      <c r="A14" s="364" t="s">
        <v>22</v>
      </c>
      <c r="B14" s="730" t="s">
        <v>17</v>
      </c>
      <c r="C14" s="892">
        <v>68163</v>
      </c>
      <c r="D14" s="1542">
        <v>64037</v>
      </c>
      <c r="E14" s="343">
        <f>F14+G14</f>
        <v>64037</v>
      </c>
      <c r="F14" s="890">
        <f>'Table 4'!C15</f>
        <v>18767</v>
      </c>
      <c r="G14" s="891">
        <f>'Table 6'!C15</f>
        <v>45270</v>
      </c>
      <c r="H14" s="892">
        <v>70500</v>
      </c>
      <c r="I14" s="1542">
        <f>H14-4177</f>
        <v>66323</v>
      </c>
      <c r="J14" s="343">
        <f t="shared" si="20"/>
        <v>66323</v>
      </c>
      <c r="K14" s="890">
        <f>'Table 4'!D15</f>
        <v>19425</v>
      </c>
      <c r="L14" s="891">
        <f>'Table 6'!D15</f>
        <v>46898</v>
      </c>
      <c r="M14" s="889">
        <v>73500</v>
      </c>
      <c r="N14" s="1542">
        <f>M14-4177</f>
        <v>69323</v>
      </c>
      <c r="O14" s="343">
        <f t="shared" si="21"/>
        <v>69323</v>
      </c>
      <c r="P14" s="890">
        <f>'Table 4'!E15</f>
        <v>19986</v>
      </c>
      <c r="Q14" s="893">
        <f>'Table 6'!E15</f>
        <v>49337</v>
      </c>
      <c r="R14" s="889">
        <v>76000</v>
      </c>
      <c r="S14" s="1542">
        <f>R14-4177</f>
        <v>71823</v>
      </c>
      <c r="T14" s="343">
        <f t="shared" si="22"/>
        <v>71823</v>
      </c>
      <c r="U14" s="890">
        <f>'Table 4'!F15</f>
        <v>20551</v>
      </c>
      <c r="V14" s="893">
        <f>'Table 6'!F15</f>
        <v>51272</v>
      </c>
      <c r="W14" s="889">
        <v>78000</v>
      </c>
      <c r="X14" s="337">
        <f>W14-4177</f>
        <v>73823</v>
      </c>
      <c r="Y14" s="343">
        <f t="shared" si="23"/>
        <v>73823</v>
      </c>
      <c r="Z14" s="890">
        <f>'Table 4'!G15</f>
        <v>21134</v>
      </c>
      <c r="AA14" s="893">
        <f>'Table 6'!G15</f>
        <v>52689</v>
      </c>
      <c r="AB14" s="889">
        <v>79700</v>
      </c>
      <c r="AC14" s="1542">
        <f>AB14-4177</f>
        <v>75523</v>
      </c>
      <c r="AD14" s="343">
        <f t="shared" si="24"/>
        <v>75523</v>
      </c>
      <c r="AE14" s="890">
        <f>'Table 4'!H15</f>
        <v>21730</v>
      </c>
      <c r="AF14" s="893">
        <f>'Table 6'!H15</f>
        <v>53793</v>
      </c>
      <c r="AG14" s="1093">
        <v>81200</v>
      </c>
      <c r="AH14" s="1542">
        <f>AG14-4177</f>
        <v>77023</v>
      </c>
      <c r="AI14" s="1094">
        <f t="shared" si="25"/>
        <v>77023</v>
      </c>
      <c r="AJ14" s="1094">
        <f>'Table 4'!I15</f>
        <v>22346</v>
      </c>
      <c r="AK14" s="893">
        <f>'Table 6'!I15</f>
        <v>54677</v>
      </c>
      <c r="AL14" s="319">
        <f t="shared" si="0"/>
        <v>0.2</v>
      </c>
      <c r="AN14" s="319">
        <f t="shared" si="13"/>
        <v>0.19</v>
      </c>
      <c r="AO14" s="319">
        <f t="shared" si="12"/>
        <v>0.21</v>
      </c>
      <c r="AP14" s="212"/>
      <c r="AQ14" s="1570">
        <f t="shared" si="2"/>
        <v>12986</v>
      </c>
      <c r="AR14" s="1563">
        <f t="shared" si="3"/>
        <v>3579</v>
      </c>
      <c r="AS14" s="1558">
        <f t="shared" si="4"/>
        <v>9407</v>
      </c>
    </row>
    <row r="15" spans="1:45" s="2" customFormat="1">
      <c r="A15" s="364" t="s">
        <v>23</v>
      </c>
      <c r="B15" s="730" t="s">
        <v>15</v>
      </c>
      <c r="C15" s="892">
        <v>905574</v>
      </c>
      <c r="D15" s="1542">
        <f>C15</f>
        <v>905574</v>
      </c>
      <c r="E15" s="343">
        <f t="shared" si="5"/>
        <v>904905</v>
      </c>
      <c r="F15" s="890">
        <f>'Table 4'!C16</f>
        <v>693374</v>
      </c>
      <c r="G15" s="891">
        <f>'Table 6'!C16</f>
        <v>211531</v>
      </c>
      <c r="H15" s="892">
        <v>985500</v>
      </c>
      <c r="I15" s="1542">
        <f>H15</f>
        <v>985500</v>
      </c>
      <c r="J15" s="343">
        <f t="shared" si="20"/>
        <v>968706</v>
      </c>
      <c r="K15" s="890">
        <f>'Table 4'!D16</f>
        <v>740217</v>
      </c>
      <c r="L15" s="891">
        <f>'Table 6'!D16</f>
        <v>228489</v>
      </c>
      <c r="M15" s="889">
        <v>1051900</v>
      </c>
      <c r="N15" s="1542">
        <f>M15</f>
        <v>1051900</v>
      </c>
      <c r="O15" s="343">
        <f t="shared" si="21"/>
        <v>1035102</v>
      </c>
      <c r="P15" s="890">
        <f>'Table 4'!E16</f>
        <v>789686</v>
      </c>
      <c r="Q15" s="893">
        <f>'Table 6'!E16</f>
        <v>245416</v>
      </c>
      <c r="R15" s="889">
        <v>1104300</v>
      </c>
      <c r="S15" s="1542">
        <f>R15</f>
        <v>1104300</v>
      </c>
      <c r="T15" s="343">
        <f t="shared" si="22"/>
        <v>1086502</v>
      </c>
      <c r="U15" s="890">
        <f>'Table 4'!F16</f>
        <v>828005</v>
      </c>
      <c r="V15" s="893">
        <f>'Table 6'!F16</f>
        <v>258497</v>
      </c>
      <c r="W15" s="889">
        <v>1148700</v>
      </c>
      <c r="X15" s="337">
        <f>W15</f>
        <v>1148700</v>
      </c>
      <c r="Y15" s="343">
        <f t="shared" si="23"/>
        <v>1131472</v>
      </c>
      <c r="Z15" s="890">
        <f>'Table 4'!G16</f>
        <v>861521</v>
      </c>
      <c r="AA15" s="893">
        <f>'Table 6'!G16</f>
        <v>269951</v>
      </c>
      <c r="AB15" s="889">
        <v>1185300</v>
      </c>
      <c r="AC15" s="1542">
        <f>AB15</f>
        <v>1185300</v>
      </c>
      <c r="AD15" s="343">
        <f t="shared" si="24"/>
        <v>1167975</v>
      </c>
      <c r="AE15" s="890">
        <f>'Table 4'!H16</f>
        <v>888845</v>
      </c>
      <c r="AF15" s="893">
        <f>'Table 6'!H16</f>
        <v>279130</v>
      </c>
      <c r="AG15" s="1093">
        <v>1216200</v>
      </c>
      <c r="AH15" s="1542">
        <f>AG15</f>
        <v>1216200</v>
      </c>
      <c r="AI15" s="1094">
        <f t="shared" si="25"/>
        <v>1199413</v>
      </c>
      <c r="AJ15" s="1094">
        <f>'Table 4'!I16</f>
        <v>912276</v>
      </c>
      <c r="AK15" s="893">
        <f>'Table 6'!I16</f>
        <v>287137</v>
      </c>
      <c r="AL15" s="319">
        <f t="shared" si="0"/>
        <v>0.33</v>
      </c>
      <c r="AN15" s="319">
        <f t="shared" si="13"/>
        <v>0.32</v>
      </c>
      <c r="AO15" s="319">
        <f t="shared" si="12"/>
        <v>0.36</v>
      </c>
      <c r="AP15" s="212"/>
      <c r="AQ15" s="1570">
        <f t="shared" si="2"/>
        <v>294508</v>
      </c>
      <c r="AR15" s="1563">
        <f t="shared" si="3"/>
        <v>218902</v>
      </c>
      <c r="AS15" s="1558">
        <f t="shared" si="4"/>
        <v>75606</v>
      </c>
    </row>
    <row r="16" spans="1:45" s="2" customFormat="1">
      <c r="A16" s="364" t="s">
        <v>24</v>
      </c>
      <c r="B16" s="730" t="s">
        <v>15</v>
      </c>
      <c r="C16" s="892">
        <v>101353</v>
      </c>
      <c r="D16" s="1542">
        <f>C16</f>
        <v>101353</v>
      </c>
      <c r="E16" s="343">
        <f t="shared" si="5"/>
        <v>99769</v>
      </c>
      <c r="F16" s="890">
        <f>'Table 4'!C17</f>
        <v>94805</v>
      </c>
      <c r="G16" s="891">
        <f>'Table 6'!C17</f>
        <v>4964</v>
      </c>
      <c r="H16" s="892">
        <v>113400</v>
      </c>
      <c r="I16" s="1542">
        <f>H16</f>
        <v>113400</v>
      </c>
      <c r="J16" s="343">
        <f t="shared" si="20"/>
        <v>113387</v>
      </c>
      <c r="K16" s="890">
        <f>'Table 4'!D17</f>
        <v>107845</v>
      </c>
      <c r="L16" s="891">
        <f>'Table 6'!D17</f>
        <v>5542</v>
      </c>
      <c r="M16" s="889">
        <v>126500</v>
      </c>
      <c r="N16" s="1542">
        <f>M16</f>
        <v>126500</v>
      </c>
      <c r="O16" s="343">
        <f t="shared" si="21"/>
        <v>126488</v>
      </c>
      <c r="P16" s="890">
        <f>'Table 4'!E17</f>
        <v>120892</v>
      </c>
      <c r="Q16" s="893">
        <f>'Table 6'!E17</f>
        <v>5596</v>
      </c>
      <c r="R16" s="889">
        <v>138300</v>
      </c>
      <c r="S16" s="1542">
        <f>R16</f>
        <v>138300</v>
      </c>
      <c r="T16" s="343">
        <f t="shared" si="22"/>
        <v>137761</v>
      </c>
      <c r="U16" s="890">
        <f>'Table 4'!F17</f>
        <v>130769</v>
      </c>
      <c r="V16" s="893">
        <f>'Table 6'!F17</f>
        <v>6992</v>
      </c>
      <c r="W16" s="889">
        <v>148400</v>
      </c>
      <c r="X16" s="337">
        <f>W16</f>
        <v>148400</v>
      </c>
      <c r="Y16" s="343">
        <f t="shared" si="23"/>
        <v>146696</v>
      </c>
      <c r="Z16" s="890">
        <f>'Table 4'!G17</f>
        <v>139582</v>
      </c>
      <c r="AA16" s="893">
        <f>'Table 6'!G17</f>
        <v>7114</v>
      </c>
      <c r="AB16" s="889">
        <v>157300</v>
      </c>
      <c r="AC16" s="1542">
        <f>AB16</f>
        <v>157300</v>
      </c>
      <c r="AD16" s="343">
        <f t="shared" si="24"/>
        <v>152470</v>
      </c>
      <c r="AE16" s="890">
        <f>'Table 4'!H17</f>
        <v>145212</v>
      </c>
      <c r="AF16" s="893">
        <f>'Table 6'!H17</f>
        <v>7258</v>
      </c>
      <c r="AG16" s="1093">
        <v>165200</v>
      </c>
      <c r="AH16" s="1542">
        <f>AG16</f>
        <v>165200</v>
      </c>
      <c r="AI16" s="1094">
        <f t="shared" si="25"/>
        <v>157026</v>
      </c>
      <c r="AJ16" s="1094">
        <f>'Table 4'!I17</f>
        <v>149355</v>
      </c>
      <c r="AK16" s="893">
        <f>'Table 6'!I17</f>
        <v>7671</v>
      </c>
      <c r="AL16" s="319">
        <f t="shared" si="0"/>
        <v>0.56999999999999995</v>
      </c>
      <c r="AN16" s="319">
        <f t="shared" si="13"/>
        <v>0.57999999999999996</v>
      </c>
      <c r="AO16" s="319">
        <f t="shared" si="12"/>
        <v>0.55000000000000004</v>
      </c>
      <c r="AP16" s="212"/>
      <c r="AQ16" s="1570">
        <f t="shared" si="2"/>
        <v>57257</v>
      </c>
      <c r="AR16" s="1563">
        <f t="shared" si="3"/>
        <v>54550</v>
      </c>
      <c r="AS16" s="1558">
        <f t="shared" si="4"/>
        <v>2707</v>
      </c>
    </row>
    <row r="17" spans="1:46" s="2" customFormat="1">
      <c r="A17" s="364" t="s">
        <v>25</v>
      </c>
      <c r="B17" s="730" t="s">
        <v>17</v>
      </c>
      <c r="C17" s="1543">
        <v>16839</v>
      </c>
      <c r="D17" s="1946">
        <v>16158</v>
      </c>
      <c r="E17" s="344">
        <f t="shared" si="5"/>
        <v>16158</v>
      </c>
      <c r="F17" s="1085">
        <f>'Table 4'!C18</f>
        <v>2125</v>
      </c>
      <c r="G17" s="1830">
        <f>'Table 6'!C18</f>
        <v>14033</v>
      </c>
      <c r="H17" s="1543">
        <v>18000</v>
      </c>
      <c r="I17" s="1946">
        <f>H17-786</f>
        <v>17214</v>
      </c>
      <c r="J17" s="344">
        <f t="shared" si="20"/>
        <v>17214</v>
      </c>
      <c r="K17" s="1085">
        <f>'Table 4'!D18</f>
        <v>2220</v>
      </c>
      <c r="L17" s="1830">
        <f>'Table 6'!D18</f>
        <v>14994</v>
      </c>
      <c r="M17" s="895">
        <v>18900</v>
      </c>
      <c r="N17" s="1946">
        <f>M17-786</f>
        <v>18114</v>
      </c>
      <c r="O17" s="344">
        <f t="shared" si="21"/>
        <v>18114</v>
      </c>
      <c r="P17" s="1085">
        <f>'Table 4'!E18</f>
        <v>2486</v>
      </c>
      <c r="Q17" s="1086">
        <f>'Table 6'!E18</f>
        <v>15628</v>
      </c>
      <c r="R17" s="895">
        <v>19700</v>
      </c>
      <c r="S17" s="1946">
        <f>R17-786</f>
        <v>18914</v>
      </c>
      <c r="T17" s="344">
        <f t="shared" si="22"/>
        <v>18914</v>
      </c>
      <c r="U17" s="1085">
        <f>'Table 4'!F18</f>
        <v>2710</v>
      </c>
      <c r="V17" s="1086">
        <f>'Table 6'!F18</f>
        <v>16204</v>
      </c>
      <c r="W17" s="895">
        <v>20400</v>
      </c>
      <c r="X17" s="1926">
        <f>W17-786</f>
        <v>19614</v>
      </c>
      <c r="Y17" s="344">
        <f t="shared" si="23"/>
        <v>19614</v>
      </c>
      <c r="Z17" s="1085">
        <f>'Table 4'!G18</f>
        <v>2863</v>
      </c>
      <c r="AA17" s="1086">
        <f>'Table 6'!G18</f>
        <v>16751</v>
      </c>
      <c r="AB17" s="895">
        <v>20900</v>
      </c>
      <c r="AC17" s="1946">
        <f>AB17-786</f>
        <v>20114</v>
      </c>
      <c r="AD17" s="344">
        <f t="shared" si="24"/>
        <v>20114</v>
      </c>
      <c r="AE17" s="1085">
        <f>'Table 4'!H18</f>
        <v>2880</v>
      </c>
      <c r="AF17" s="1086">
        <f>'Table 6'!H18</f>
        <v>17234</v>
      </c>
      <c r="AG17" s="1095">
        <v>21400</v>
      </c>
      <c r="AH17" s="1946">
        <f>AG17-786</f>
        <v>20614</v>
      </c>
      <c r="AI17" s="1096">
        <f t="shared" si="25"/>
        <v>20614</v>
      </c>
      <c r="AJ17" s="1096">
        <f>'Table 4'!I18</f>
        <v>2880</v>
      </c>
      <c r="AK17" s="1086">
        <f>'Table 6'!I18</f>
        <v>17734</v>
      </c>
      <c r="AL17" s="319">
        <f t="shared" si="0"/>
        <v>0.28000000000000003</v>
      </c>
      <c r="AN17" s="319">
        <f t="shared" si="13"/>
        <v>0.36</v>
      </c>
      <c r="AO17" s="319">
        <f t="shared" si="12"/>
        <v>0.26</v>
      </c>
      <c r="AP17" s="212"/>
      <c r="AQ17" s="1831">
        <f t="shared" si="2"/>
        <v>4456</v>
      </c>
      <c r="AR17" s="1564">
        <f t="shared" si="3"/>
        <v>755</v>
      </c>
      <c r="AS17" s="1832">
        <f t="shared" si="4"/>
        <v>3701</v>
      </c>
    </row>
    <row r="18" spans="1:46" s="2" customFormat="1">
      <c r="A18" s="364" t="s">
        <v>26</v>
      </c>
      <c r="B18" s="729" t="s">
        <v>17</v>
      </c>
      <c r="C18" s="892">
        <v>14630</v>
      </c>
      <c r="D18" s="1947">
        <v>12141</v>
      </c>
      <c r="E18" s="890">
        <f t="shared" si="5"/>
        <v>12141</v>
      </c>
      <c r="F18" s="890">
        <f>'Table 4'!C19</f>
        <v>5076</v>
      </c>
      <c r="G18" s="891">
        <f>'Table 6'!C19</f>
        <v>7065</v>
      </c>
      <c r="H18" s="892">
        <v>14600</v>
      </c>
      <c r="I18" s="1949">
        <f>H18-2519</f>
        <v>12081</v>
      </c>
      <c r="J18" s="890">
        <f t="shared" si="20"/>
        <v>12081</v>
      </c>
      <c r="K18" s="890">
        <f>'Table 4'!D19</f>
        <v>5212</v>
      </c>
      <c r="L18" s="891">
        <f>'Table 6'!D19</f>
        <v>6869</v>
      </c>
      <c r="M18" s="889">
        <v>14800</v>
      </c>
      <c r="N18" s="1947">
        <f>M18-2519</f>
        <v>12281</v>
      </c>
      <c r="O18" s="890">
        <f t="shared" si="21"/>
        <v>12281</v>
      </c>
      <c r="P18" s="890">
        <f>'Table 4'!E19</f>
        <v>5255</v>
      </c>
      <c r="Q18" s="893">
        <f>'Table 6'!E19</f>
        <v>7026</v>
      </c>
      <c r="R18" s="889">
        <v>14900</v>
      </c>
      <c r="S18" s="1947">
        <f>R18-2519</f>
        <v>12381</v>
      </c>
      <c r="T18" s="890">
        <f t="shared" si="22"/>
        <v>12381</v>
      </c>
      <c r="U18" s="890">
        <f>'Table 4'!F19</f>
        <v>5278</v>
      </c>
      <c r="V18" s="893">
        <f>'Table 6'!F19</f>
        <v>7103</v>
      </c>
      <c r="W18" s="889">
        <v>14900</v>
      </c>
      <c r="X18" s="892">
        <f>W18-2519</f>
        <v>12381</v>
      </c>
      <c r="Y18" s="890">
        <f t="shared" si="23"/>
        <v>12381</v>
      </c>
      <c r="Z18" s="890">
        <f>'Table 4'!G19</f>
        <v>5278</v>
      </c>
      <c r="AA18" s="893">
        <f>'Table 6'!G19</f>
        <v>7103</v>
      </c>
      <c r="AB18" s="889">
        <v>14900</v>
      </c>
      <c r="AC18" s="1947">
        <f>AB18-2519</f>
        <v>12381</v>
      </c>
      <c r="AD18" s="890">
        <f t="shared" si="24"/>
        <v>12381</v>
      </c>
      <c r="AE18" s="890">
        <f>'Table 4'!H19</f>
        <v>5278</v>
      </c>
      <c r="AF18" s="893">
        <f>'Table 6'!H19</f>
        <v>7103</v>
      </c>
      <c r="AG18" s="1093">
        <v>15000</v>
      </c>
      <c r="AH18" s="1947">
        <f>AG18-2519</f>
        <v>12481</v>
      </c>
      <c r="AI18" s="1094">
        <f t="shared" si="25"/>
        <v>12481</v>
      </c>
      <c r="AJ18" s="1094">
        <f>'Table 4'!I19</f>
        <v>5312</v>
      </c>
      <c r="AK18" s="893">
        <f>'Table 6'!I19</f>
        <v>7169</v>
      </c>
      <c r="AL18" s="319">
        <f t="shared" si="0"/>
        <v>0.03</v>
      </c>
      <c r="AM18" s="1098"/>
      <c r="AN18" s="319">
        <f t="shared" si="13"/>
        <v>0.05</v>
      </c>
      <c r="AO18" s="319">
        <f t="shared" si="12"/>
        <v>0.01</v>
      </c>
      <c r="AP18" s="212"/>
      <c r="AQ18" s="1570">
        <f t="shared" si="2"/>
        <v>340</v>
      </c>
      <c r="AR18" s="1563">
        <f t="shared" si="3"/>
        <v>236</v>
      </c>
      <c r="AS18" s="1558">
        <f t="shared" si="4"/>
        <v>104</v>
      </c>
    </row>
    <row r="19" spans="1:46" s="2" customFormat="1">
      <c r="A19" s="364" t="s">
        <v>27</v>
      </c>
      <c r="B19" s="730" t="s">
        <v>15</v>
      </c>
      <c r="C19" s="892">
        <v>76536</v>
      </c>
      <c r="D19" s="1542">
        <f>C19</f>
        <v>76536</v>
      </c>
      <c r="E19" s="343">
        <f t="shared" si="5"/>
        <v>77817</v>
      </c>
      <c r="F19" s="890">
        <f>'Table 4'!C20</f>
        <v>69384</v>
      </c>
      <c r="G19" s="891">
        <f>'Table 6'!C20</f>
        <v>8433</v>
      </c>
      <c r="H19" s="892">
        <v>86900</v>
      </c>
      <c r="I19" s="1542">
        <f>H19</f>
        <v>86900</v>
      </c>
      <c r="J19" s="343">
        <f t="shared" si="20"/>
        <v>85974</v>
      </c>
      <c r="K19" s="890">
        <f>'Table 4'!D20</f>
        <v>76436</v>
      </c>
      <c r="L19" s="893">
        <f>'Table 6'!D20</f>
        <v>9538</v>
      </c>
      <c r="M19" s="889">
        <v>95800</v>
      </c>
      <c r="N19" s="1542">
        <f>M19</f>
        <v>95800</v>
      </c>
      <c r="O19" s="343">
        <f t="shared" si="21"/>
        <v>95334</v>
      </c>
      <c r="P19" s="890">
        <f>'Table 4'!E20</f>
        <v>83818</v>
      </c>
      <c r="Q19" s="893">
        <f>'Table 6'!E20</f>
        <v>11516</v>
      </c>
      <c r="R19" s="889">
        <v>103100</v>
      </c>
      <c r="S19" s="1542">
        <f>R19</f>
        <v>103100</v>
      </c>
      <c r="T19" s="343">
        <f t="shared" si="22"/>
        <v>102440</v>
      </c>
      <c r="U19" s="890">
        <f>'Table 4'!F20</f>
        <v>90085</v>
      </c>
      <c r="V19" s="893">
        <f>'Table 6'!F20</f>
        <v>12355</v>
      </c>
      <c r="W19" s="889">
        <v>109100</v>
      </c>
      <c r="X19" s="337">
        <f>W19</f>
        <v>109100</v>
      </c>
      <c r="Y19" s="343">
        <f t="shared" si="23"/>
        <v>108633</v>
      </c>
      <c r="Z19" s="890">
        <f>'Table 4'!G20</f>
        <v>95197</v>
      </c>
      <c r="AA19" s="893">
        <f>'Table 6'!G20</f>
        <v>13436</v>
      </c>
      <c r="AB19" s="889">
        <v>114300</v>
      </c>
      <c r="AC19" s="1542">
        <f>AB19</f>
        <v>114300</v>
      </c>
      <c r="AD19" s="343">
        <f t="shared" si="24"/>
        <v>113803</v>
      </c>
      <c r="AE19" s="890">
        <f>'Table 4'!H20</f>
        <v>99492</v>
      </c>
      <c r="AF19" s="893">
        <f>'Table 6'!H20</f>
        <v>14311</v>
      </c>
      <c r="AG19" s="1093">
        <v>118900</v>
      </c>
      <c r="AH19" s="1542">
        <f>AG19</f>
        <v>118900</v>
      </c>
      <c r="AI19" s="1094">
        <f t="shared" si="25"/>
        <v>118436</v>
      </c>
      <c r="AJ19" s="1094">
        <f>'Table 4'!I20</f>
        <v>103316</v>
      </c>
      <c r="AK19" s="893">
        <f>'Table 6'!I20</f>
        <v>15120</v>
      </c>
      <c r="AL19" s="319">
        <f t="shared" si="0"/>
        <v>0.52</v>
      </c>
      <c r="AN19" s="319">
        <f t="shared" si="13"/>
        <v>0.49</v>
      </c>
      <c r="AO19" s="319">
        <f t="shared" si="12"/>
        <v>0.79</v>
      </c>
      <c r="AP19" s="212"/>
      <c r="AQ19" s="1570">
        <f t="shared" si="2"/>
        <v>40619</v>
      </c>
      <c r="AR19" s="1563">
        <f t="shared" si="3"/>
        <v>33932</v>
      </c>
      <c r="AS19" s="1558">
        <f t="shared" si="4"/>
        <v>6687</v>
      </c>
    </row>
    <row r="20" spans="1:46" s="2" customFormat="1">
      <c r="A20" s="364" t="s">
        <v>28</v>
      </c>
      <c r="B20" s="730" t="s">
        <v>15</v>
      </c>
      <c r="C20" s="892">
        <v>72756</v>
      </c>
      <c r="D20" s="1542">
        <f>C20</f>
        <v>72756</v>
      </c>
      <c r="E20" s="343">
        <f t="shared" si="5"/>
        <v>76784</v>
      </c>
      <c r="F20" s="890">
        <f>'Table 4'!C21</f>
        <v>20386</v>
      </c>
      <c r="G20" s="891">
        <f>'Table 6'!C21</f>
        <v>56398</v>
      </c>
      <c r="H20" s="892">
        <v>73300</v>
      </c>
      <c r="I20" s="1542">
        <f>H20</f>
        <v>73300</v>
      </c>
      <c r="J20" s="343">
        <f t="shared" si="20"/>
        <v>77241</v>
      </c>
      <c r="K20" s="890">
        <f>'Table 4'!D21</f>
        <v>20946</v>
      </c>
      <c r="L20" s="893">
        <f>'Table 6'!D21</f>
        <v>56295</v>
      </c>
      <c r="M20" s="889">
        <v>73600</v>
      </c>
      <c r="N20" s="1542">
        <f>M20</f>
        <v>73600</v>
      </c>
      <c r="O20" s="343">
        <f t="shared" si="21"/>
        <v>77513</v>
      </c>
      <c r="P20" s="890">
        <f>'Table 4'!E21</f>
        <v>21213</v>
      </c>
      <c r="Q20" s="893">
        <f>'Table 6'!E21</f>
        <v>56300</v>
      </c>
      <c r="R20" s="889">
        <v>73700</v>
      </c>
      <c r="S20" s="1542">
        <f>R20</f>
        <v>73700</v>
      </c>
      <c r="T20" s="343">
        <f t="shared" si="22"/>
        <v>77598</v>
      </c>
      <c r="U20" s="890">
        <f>'Table 4'!F21</f>
        <v>21294</v>
      </c>
      <c r="V20" s="893">
        <f>'Table 6'!F21</f>
        <v>56304</v>
      </c>
      <c r="W20" s="889">
        <v>73900</v>
      </c>
      <c r="X20" s="337">
        <f>W20</f>
        <v>73900</v>
      </c>
      <c r="Y20" s="343">
        <f t="shared" si="23"/>
        <v>77772</v>
      </c>
      <c r="Z20" s="890">
        <f>'Table 4'!G21</f>
        <v>21462</v>
      </c>
      <c r="AA20" s="893">
        <f>'Table 6'!G21</f>
        <v>56310</v>
      </c>
      <c r="AB20" s="889">
        <v>74100</v>
      </c>
      <c r="AC20" s="1542">
        <f>AB20</f>
        <v>74100</v>
      </c>
      <c r="AD20" s="343">
        <f t="shared" si="24"/>
        <v>77933</v>
      </c>
      <c r="AE20" s="890">
        <f>'Table 4'!H21</f>
        <v>21616</v>
      </c>
      <c r="AF20" s="893">
        <f>'Table 6'!H21</f>
        <v>56317</v>
      </c>
      <c r="AG20" s="1093">
        <v>74300</v>
      </c>
      <c r="AH20" s="1542">
        <f>AG20</f>
        <v>74300</v>
      </c>
      <c r="AI20" s="1094">
        <f t="shared" si="25"/>
        <v>78117</v>
      </c>
      <c r="AJ20" s="1094">
        <f>'Table 4'!I21</f>
        <v>21793</v>
      </c>
      <c r="AK20" s="893">
        <f>'Table 6'!I21</f>
        <v>56324</v>
      </c>
      <c r="AL20" s="319">
        <f t="shared" si="0"/>
        <v>0.02</v>
      </c>
      <c r="AN20" s="319">
        <f t="shared" si="13"/>
        <v>7.0000000000000007E-2</v>
      </c>
      <c r="AO20" s="319">
        <f t="shared" si="12"/>
        <v>0</v>
      </c>
      <c r="AP20" s="212"/>
      <c r="AQ20" s="1570">
        <f t="shared" si="2"/>
        <v>1333</v>
      </c>
      <c r="AR20" s="1563">
        <f t="shared" si="3"/>
        <v>1407</v>
      </c>
      <c r="AS20" s="1558">
        <f t="shared" si="4"/>
        <v>-74</v>
      </c>
    </row>
    <row r="21" spans="1:46" s="2" customFormat="1">
      <c r="A21" s="364" t="s">
        <v>29</v>
      </c>
      <c r="B21" s="729" t="s">
        <v>15</v>
      </c>
      <c r="C21" s="892">
        <v>213566</v>
      </c>
      <c r="D21" s="1947">
        <f>C21</f>
        <v>213566</v>
      </c>
      <c r="E21" s="890">
        <f t="shared" si="5"/>
        <v>216513</v>
      </c>
      <c r="F21" s="890">
        <f>'Table 4'!C22</f>
        <v>173216</v>
      </c>
      <c r="G21" s="891">
        <f>'Table 6'!C22</f>
        <v>43297</v>
      </c>
      <c r="H21" s="892">
        <v>263900</v>
      </c>
      <c r="I21" s="1947">
        <f>H21</f>
        <v>263900</v>
      </c>
      <c r="J21" s="890">
        <f t="shared" si="20"/>
        <v>254045</v>
      </c>
      <c r="K21" s="890">
        <f>'Table 4'!D22</f>
        <v>201587</v>
      </c>
      <c r="L21" s="893">
        <f>'Table 6'!D22</f>
        <v>52458</v>
      </c>
      <c r="M21" s="889">
        <v>309300</v>
      </c>
      <c r="N21" s="1947">
        <f>M21</f>
        <v>309300</v>
      </c>
      <c r="O21" s="890">
        <f t="shared" si="21"/>
        <v>299210</v>
      </c>
      <c r="P21" s="890">
        <f>'Table 4'!E22</f>
        <v>237813</v>
      </c>
      <c r="Q21" s="893">
        <f>'Table 6'!E22</f>
        <v>61397</v>
      </c>
      <c r="R21" s="889">
        <v>347600</v>
      </c>
      <c r="S21" s="1947">
        <f>R21</f>
        <v>347600</v>
      </c>
      <c r="T21" s="890">
        <f t="shared" si="22"/>
        <v>337685</v>
      </c>
      <c r="U21" s="890">
        <f>'Table 4'!F22</f>
        <v>266965</v>
      </c>
      <c r="V21" s="893">
        <f>'Table 6'!F22</f>
        <v>70720</v>
      </c>
      <c r="W21" s="889">
        <v>379400</v>
      </c>
      <c r="X21" s="892">
        <f>W21</f>
        <v>379400</v>
      </c>
      <c r="Y21" s="890">
        <f t="shared" si="23"/>
        <v>369057</v>
      </c>
      <c r="Z21" s="890">
        <f>'Table 4'!G22</f>
        <v>290751</v>
      </c>
      <c r="AA21" s="893">
        <f>'Table 6'!G22</f>
        <v>78306</v>
      </c>
      <c r="AB21" s="889">
        <v>408100</v>
      </c>
      <c r="AC21" s="1947">
        <f>AB21</f>
        <v>408100</v>
      </c>
      <c r="AD21" s="890">
        <f t="shared" si="24"/>
        <v>397902</v>
      </c>
      <c r="AE21" s="890">
        <f>'Table 4'!H22</f>
        <v>311582</v>
      </c>
      <c r="AF21" s="893">
        <f>'Table 6'!H22</f>
        <v>86320</v>
      </c>
      <c r="AG21" s="1093">
        <v>434900</v>
      </c>
      <c r="AH21" s="1947">
        <f>AG21</f>
        <v>434900</v>
      </c>
      <c r="AI21" s="1094">
        <f t="shared" si="25"/>
        <v>424994</v>
      </c>
      <c r="AJ21" s="1094">
        <f>'Table 4'!I22</f>
        <v>331245</v>
      </c>
      <c r="AK21" s="893">
        <f>'Table 6'!I22</f>
        <v>93749</v>
      </c>
      <c r="AL21" s="319">
        <f t="shared" si="0"/>
        <v>0.96</v>
      </c>
      <c r="AN21" s="319">
        <f t="shared" si="13"/>
        <v>0.91</v>
      </c>
      <c r="AO21" s="319">
        <f t="shared" si="12"/>
        <v>1.17</v>
      </c>
      <c r="AP21" s="212"/>
      <c r="AQ21" s="1570">
        <f t="shared" si="2"/>
        <v>208481</v>
      </c>
      <c r="AR21" s="1563">
        <f t="shared" si="3"/>
        <v>158029</v>
      </c>
      <c r="AS21" s="1558">
        <f t="shared" si="4"/>
        <v>50452</v>
      </c>
    </row>
    <row r="22" spans="1:46" s="2" customFormat="1">
      <c r="A22" s="908" t="s">
        <v>30</v>
      </c>
      <c r="B22" s="730" t="s">
        <v>17</v>
      </c>
      <c r="C22" s="1543">
        <v>44452</v>
      </c>
      <c r="D22" s="1948">
        <v>41532</v>
      </c>
      <c r="E22" s="1085">
        <f t="shared" si="5"/>
        <v>41532</v>
      </c>
      <c r="F22" s="1085">
        <f>'Table 4'!C23</f>
        <v>7491</v>
      </c>
      <c r="G22" s="1830">
        <f>'Table 6'!C23</f>
        <v>34041</v>
      </c>
      <c r="H22" s="1543">
        <v>45900</v>
      </c>
      <c r="I22" s="1948">
        <f>H22-2001</f>
        <v>43899</v>
      </c>
      <c r="J22" s="1085">
        <f t="shared" si="20"/>
        <v>43899</v>
      </c>
      <c r="K22" s="1085">
        <f>'Table 4'!D23</f>
        <v>8125</v>
      </c>
      <c r="L22" s="1086">
        <f>'Table 6'!D23</f>
        <v>35774</v>
      </c>
      <c r="M22" s="895">
        <v>48300</v>
      </c>
      <c r="N22" s="1948">
        <f>M22-2001</f>
        <v>46299</v>
      </c>
      <c r="O22" s="1085">
        <f t="shared" si="21"/>
        <v>46299</v>
      </c>
      <c r="P22" s="1085">
        <f>'Table 4'!E23</f>
        <v>8961</v>
      </c>
      <c r="Q22" s="1086">
        <f>'Table 6'!E23</f>
        <v>37338</v>
      </c>
      <c r="R22" s="895">
        <v>50400</v>
      </c>
      <c r="S22" s="1948">
        <f>R22-2001</f>
        <v>48399</v>
      </c>
      <c r="T22" s="1085">
        <f t="shared" si="22"/>
        <v>48399</v>
      </c>
      <c r="U22" s="1085">
        <f>'Table 4'!F23</f>
        <v>9527</v>
      </c>
      <c r="V22" s="1086">
        <f>'Table 6'!F23</f>
        <v>38872</v>
      </c>
      <c r="W22" s="895">
        <v>52100</v>
      </c>
      <c r="X22" s="1543">
        <f>W22-2001</f>
        <v>50099</v>
      </c>
      <c r="Y22" s="1085">
        <f t="shared" si="23"/>
        <v>50099</v>
      </c>
      <c r="Z22" s="1085">
        <f>'Table 4'!G23</f>
        <v>10012</v>
      </c>
      <c r="AA22" s="1086">
        <f>'Table 6'!G23</f>
        <v>40087</v>
      </c>
      <c r="AB22" s="895">
        <v>53500</v>
      </c>
      <c r="AC22" s="1948">
        <f>AB22-2001</f>
        <v>51499</v>
      </c>
      <c r="AD22" s="1085">
        <f t="shared" si="24"/>
        <v>51499</v>
      </c>
      <c r="AE22" s="1085">
        <f>'Table 4'!H23</f>
        <v>10265</v>
      </c>
      <c r="AF22" s="1086">
        <f>'Table 6'!H23</f>
        <v>41234</v>
      </c>
      <c r="AG22" s="1095">
        <v>54700</v>
      </c>
      <c r="AH22" s="1948">
        <f>AG22-2001</f>
        <v>52699</v>
      </c>
      <c r="AI22" s="1096">
        <f t="shared" si="25"/>
        <v>52699</v>
      </c>
      <c r="AJ22" s="1096">
        <f>'Table 4'!I23</f>
        <v>10438</v>
      </c>
      <c r="AK22" s="1086">
        <f>'Table 6'!I23</f>
        <v>42261</v>
      </c>
      <c r="AL22" s="319">
        <f t="shared" si="0"/>
        <v>0.27</v>
      </c>
      <c r="AN22" s="319">
        <f t="shared" si="13"/>
        <v>0.39</v>
      </c>
      <c r="AO22" s="319">
        <f t="shared" si="12"/>
        <v>0.24</v>
      </c>
      <c r="AP22" s="212"/>
      <c r="AQ22" s="1831">
        <f t="shared" si="2"/>
        <v>11167</v>
      </c>
      <c r="AR22" s="1564">
        <f t="shared" si="3"/>
        <v>2947</v>
      </c>
      <c r="AS22" s="1832">
        <f t="shared" si="4"/>
        <v>8220</v>
      </c>
    </row>
    <row r="23" spans="1:46" s="2" customFormat="1" ht="13.5" thickBot="1">
      <c r="A23" s="1037" t="s">
        <v>31</v>
      </c>
      <c r="B23" s="1545" t="s">
        <v>17</v>
      </c>
      <c r="C23" s="898">
        <v>15918</v>
      </c>
      <c r="D23" s="1540">
        <v>11015</v>
      </c>
      <c r="E23" s="896">
        <f t="shared" si="5"/>
        <v>11015</v>
      </c>
      <c r="F23" s="896">
        <f>'Table 4'!C24</f>
        <v>1742</v>
      </c>
      <c r="G23" s="897">
        <f>'Table 6'!C24</f>
        <v>9273</v>
      </c>
      <c r="H23" s="898">
        <v>15500</v>
      </c>
      <c r="I23" s="1950">
        <f>H23-4876</f>
        <v>10624</v>
      </c>
      <c r="J23" s="896">
        <f t="shared" si="20"/>
        <v>10767</v>
      </c>
      <c r="K23" s="896">
        <f>'Table 4'!D24</f>
        <v>1850</v>
      </c>
      <c r="L23" s="887">
        <f>'Table 6'!D24</f>
        <v>8917</v>
      </c>
      <c r="M23" s="1087">
        <v>15600</v>
      </c>
      <c r="N23" s="1540">
        <f>M23-4876</f>
        <v>10724</v>
      </c>
      <c r="O23" s="896">
        <f t="shared" si="21"/>
        <v>10867</v>
      </c>
      <c r="P23" s="896">
        <f>'Table 4'!E24</f>
        <v>1885</v>
      </c>
      <c r="Q23" s="887">
        <f>'Table 6'!E24</f>
        <v>8982</v>
      </c>
      <c r="R23" s="1087">
        <v>15600</v>
      </c>
      <c r="S23" s="1540">
        <f>R23-4876</f>
        <v>10724</v>
      </c>
      <c r="T23" s="896">
        <f t="shared" si="22"/>
        <v>10867</v>
      </c>
      <c r="U23" s="896">
        <f>'Table 4'!F24</f>
        <v>1885</v>
      </c>
      <c r="V23" s="887">
        <f>'Table 6'!F24</f>
        <v>8982</v>
      </c>
      <c r="W23" s="1087">
        <v>15700</v>
      </c>
      <c r="X23" s="898">
        <f>W23-4876</f>
        <v>10824</v>
      </c>
      <c r="Y23" s="896">
        <f t="shared" si="23"/>
        <v>10967</v>
      </c>
      <c r="Z23" s="896">
        <f>'Table 4'!G24</f>
        <v>1905</v>
      </c>
      <c r="AA23" s="887">
        <f>'Table 6'!G24</f>
        <v>9062</v>
      </c>
      <c r="AB23" s="1087">
        <v>15700</v>
      </c>
      <c r="AC23" s="1540">
        <f>AB23-4876</f>
        <v>10824</v>
      </c>
      <c r="AD23" s="896">
        <f t="shared" si="24"/>
        <v>10967</v>
      </c>
      <c r="AE23" s="896">
        <f>'Table 4'!H24</f>
        <v>1905</v>
      </c>
      <c r="AF23" s="887">
        <f>'Table 6'!H24</f>
        <v>9062</v>
      </c>
      <c r="AG23" s="1097">
        <v>15700</v>
      </c>
      <c r="AH23" s="1540">
        <f>AG23-4876</f>
        <v>10824</v>
      </c>
      <c r="AI23" s="1088">
        <f t="shared" si="25"/>
        <v>10967</v>
      </c>
      <c r="AJ23" s="1088">
        <f>'Table 4'!I24</f>
        <v>1905</v>
      </c>
      <c r="AK23" s="887">
        <f>'Table 6'!I24</f>
        <v>9062</v>
      </c>
      <c r="AL23" s="194">
        <f t="shared" si="0"/>
        <v>0</v>
      </c>
      <c r="AN23" s="194">
        <f t="shared" si="13"/>
        <v>0.09</v>
      </c>
      <c r="AO23" s="194">
        <f t="shared" si="12"/>
        <v>-0.02</v>
      </c>
      <c r="AP23" s="212"/>
      <c r="AQ23" s="1828">
        <f t="shared" si="2"/>
        <v>-48</v>
      </c>
      <c r="AR23" s="1829">
        <f t="shared" si="3"/>
        <v>163</v>
      </c>
      <c r="AS23" s="1555">
        <f t="shared" si="4"/>
        <v>-211</v>
      </c>
    </row>
    <row r="24" spans="1:46" s="2" customFormat="1" ht="14.25" thickTop="1" thickBot="1">
      <c r="A24" s="3190" t="s">
        <v>32</v>
      </c>
      <c r="B24" s="3191"/>
      <c r="C24" s="888" t="s">
        <v>16</v>
      </c>
      <c r="D24" s="888" t="s">
        <v>16</v>
      </c>
      <c r="E24" s="340">
        <f>E4+E7+E10+E13+E15+E16+E20+E21+E19</f>
        <v>1804699</v>
      </c>
      <c r="F24" s="340">
        <f t="shared" ref="F24:G24" si="26">F4+F7+F10+F13+F15+F16+F20+F21+F19</f>
        <v>1383967</v>
      </c>
      <c r="G24" s="284">
        <f t="shared" si="26"/>
        <v>420732</v>
      </c>
      <c r="H24" s="888" t="s">
        <v>16</v>
      </c>
      <c r="I24" s="888" t="s">
        <v>16</v>
      </c>
      <c r="J24" s="261">
        <f>J4+J7+J10+J13+J15+J16+J20+J21+J19</f>
        <v>1950258</v>
      </c>
      <c r="K24" s="261">
        <f t="shared" ref="K24:L24" si="27">K4+K7+K10+K13+K15+K16+K20+K21+K19</f>
        <v>1496051</v>
      </c>
      <c r="L24" s="272">
        <f t="shared" si="27"/>
        <v>454207</v>
      </c>
      <c r="M24" s="277" t="s">
        <v>16</v>
      </c>
      <c r="N24" s="888" t="s">
        <v>16</v>
      </c>
      <c r="O24" s="261">
        <f>O4+O7+O10+O13+O15+O16+O20+O21+O19</f>
        <v>2108590</v>
      </c>
      <c r="P24" s="261">
        <f t="shared" ref="P24:Q24" si="28">P4+P7+P10+P13+P15+P16+P20+P21+P19</f>
        <v>1617656</v>
      </c>
      <c r="Q24" s="726">
        <f t="shared" si="28"/>
        <v>490934</v>
      </c>
      <c r="R24" s="277" t="s">
        <v>16</v>
      </c>
      <c r="S24" s="888" t="s">
        <v>16</v>
      </c>
      <c r="T24" s="261">
        <f>T4+T7+T10+T13+T15+T16+T20+T21+T19</f>
        <v>2235156</v>
      </c>
      <c r="U24" s="261">
        <f t="shared" ref="U24:V24" si="29">U4+U7+U10+U13+U15+U16+U20+U21+U19</f>
        <v>1707159</v>
      </c>
      <c r="V24" s="726">
        <f t="shared" si="29"/>
        <v>527997</v>
      </c>
      <c r="W24" s="277" t="s">
        <v>16</v>
      </c>
      <c r="X24" s="888" t="s">
        <v>16</v>
      </c>
      <c r="Y24" s="261">
        <f>Y4+Y7+Y10+Y13+Y15+Y16+Y20+Y21+Y19</f>
        <v>2342929</v>
      </c>
      <c r="Z24" s="261">
        <f t="shared" ref="Z24:AA24" si="30">Z4+Z7+Z10+Z13+Z15+Z16+Z20+Z21+Z19</f>
        <v>1790758</v>
      </c>
      <c r="AA24" s="726">
        <f t="shared" si="30"/>
        <v>552171</v>
      </c>
      <c r="AB24" s="277" t="s">
        <v>16</v>
      </c>
      <c r="AC24" s="888" t="s">
        <v>16</v>
      </c>
      <c r="AD24" s="261">
        <f>AD4+AD7+AD10+AD13+AD15+AD16+AD20+AD21+AD19</f>
        <v>2431706</v>
      </c>
      <c r="AE24" s="261">
        <f t="shared" ref="AE24:AF24" si="31">AE4+AE7+AE10+AE13+AE15+AE16+AE20+AE21+AE19</f>
        <v>1856566</v>
      </c>
      <c r="AF24" s="724">
        <f t="shared" si="31"/>
        <v>575140</v>
      </c>
      <c r="AG24" s="277" t="s">
        <v>16</v>
      </c>
      <c r="AH24" s="888" t="s">
        <v>16</v>
      </c>
      <c r="AI24" s="1090">
        <f>AI4+AI7+AI10+AI13+AI15+AI16+AI20+AI21+AI19</f>
        <v>2512586</v>
      </c>
      <c r="AJ24" s="1090">
        <f t="shared" ref="AJ24:AK24" si="32">AJ4+AJ7+AJ10+AJ13+AJ15+AJ16+AJ20+AJ21+AJ19</f>
        <v>1916415</v>
      </c>
      <c r="AK24" s="724">
        <f t="shared" si="32"/>
        <v>596171</v>
      </c>
      <c r="AL24" s="195">
        <f t="shared" si="0"/>
        <v>0.39</v>
      </c>
      <c r="AN24" s="195">
        <f t="shared" si="13"/>
        <v>0.38</v>
      </c>
      <c r="AO24" s="195">
        <f t="shared" si="12"/>
        <v>0.42</v>
      </c>
      <c r="AP24" s="212"/>
      <c r="AQ24" s="1567">
        <f t="shared" si="2"/>
        <v>707887</v>
      </c>
      <c r="AR24" s="1560">
        <f t="shared" si="3"/>
        <v>532448</v>
      </c>
      <c r="AS24" s="1556">
        <f t="shared" si="4"/>
        <v>175439</v>
      </c>
    </row>
    <row r="25" spans="1:46" s="2" customFormat="1" ht="13.5" thickBot="1">
      <c r="A25" s="3188" t="s">
        <v>33</v>
      </c>
      <c r="B25" s="3189"/>
      <c r="C25" s="266" t="s">
        <v>16</v>
      </c>
      <c r="D25" s="266" t="s">
        <v>16</v>
      </c>
      <c r="E25" s="273">
        <f>E5+E8+E11+E14+E17+E18+E22+E23</f>
        <v>221826</v>
      </c>
      <c r="F25" s="273">
        <f t="shared" ref="F25:G25" si="33">F5+F8+F11+F14+F17+F18+F22+F23</f>
        <v>64483</v>
      </c>
      <c r="G25" s="285">
        <f t="shared" si="33"/>
        <v>157343</v>
      </c>
      <c r="H25" s="266" t="s">
        <v>16</v>
      </c>
      <c r="I25" s="266" t="s">
        <v>16</v>
      </c>
      <c r="J25" s="260">
        <f>J5+J8+J11+J14+J17+J18+J22+J23</f>
        <v>237335</v>
      </c>
      <c r="K25" s="260">
        <f t="shared" ref="K25:L25" si="34">K5+K8+K11+K14+K17+K18+K22+K23</f>
        <v>69179</v>
      </c>
      <c r="L25" s="276">
        <f t="shared" si="34"/>
        <v>168156</v>
      </c>
      <c r="M25" s="264" t="s">
        <v>16</v>
      </c>
      <c r="N25" s="266" t="s">
        <v>16</v>
      </c>
      <c r="O25" s="260">
        <f>O5+O8+O11+O14+O17+O18+O22+O23</f>
        <v>250947</v>
      </c>
      <c r="P25" s="260">
        <f t="shared" ref="P25:Q25" si="35">P5+P8+P11+P14+P17+P18+P22+P23</f>
        <v>71351</v>
      </c>
      <c r="Q25" s="271">
        <f t="shared" si="35"/>
        <v>179596</v>
      </c>
      <c r="R25" s="264" t="s">
        <v>16</v>
      </c>
      <c r="S25" s="266" t="s">
        <v>16</v>
      </c>
      <c r="T25" s="260">
        <f>T5+T8+T11+T14+T17+T18+T22+T23</f>
        <v>262773</v>
      </c>
      <c r="U25" s="260">
        <f t="shared" ref="U25:V25" si="36">U5+U8+U11+U14+U17+U18+U22+U23</f>
        <v>74457</v>
      </c>
      <c r="V25" s="271">
        <f t="shared" si="36"/>
        <v>188316</v>
      </c>
      <c r="W25" s="264" t="s">
        <v>16</v>
      </c>
      <c r="X25" s="266" t="s">
        <v>16</v>
      </c>
      <c r="Y25" s="260">
        <f>Y5+Y8+Y11+Y14+Y17+Y18+Y22+Y23</f>
        <v>275876</v>
      </c>
      <c r="Z25" s="260">
        <f t="shared" ref="Z25:AA25" si="37">Z5+Z8+Z11+Z14+Z17+Z18+Z22+Z23</f>
        <v>77251</v>
      </c>
      <c r="AA25" s="271">
        <f t="shared" si="37"/>
        <v>198625</v>
      </c>
      <c r="AB25" s="264" t="s">
        <v>16</v>
      </c>
      <c r="AC25" s="266" t="s">
        <v>16</v>
      </c>
      <c r="AD25" s="260">
        <f>AD5+AD8+AD11+AD14+AD17+AD18+AD22+AD23</f>
        <v>284841</v>
      </c>
      <c r="AE25" s="260">
        <f t="shared" ref="AE25:AF25" si="38">AE5+AE8+AE11+AE14+AE17+AE18+AE22+AE23</f>
        <v>78706</v>
      </c>
      <c r="AF25" s="265">
        <f t="shared" si="38"/>
        <v>206135</v>
      </c>
      <c r="AG25" s="264" t="s">
        <v>16</v>
      </c>
      <c r="AH25" s="888" t="s">
        <v>16</v>
      </c>
      <c r="AI25" s="1090">
        <f>AI5+AI8+AI11+AI14+AI17+AI18+AI22+AI23</f>
        <v>292341</v>
      </c>
      <c r="AJ25" s="1090">
        <f t="shared" ref="AJ25:AK25" si="39">AJ5+AJ8+AJ11+AJ14+AJ17+AJ18+AJ22+AJ23</f>
        <v>79985</v>
      </c>
      <c r="AK25" s="724">
        <f t="shared" si="39"/>
        <v>212356</v>
      </c>
      <c r="AL25" s="195">
        <f t="shared" si="0"/>
        <v>0.32</v>
      </c>
      <c r="AN25" s="195">
        <f t="shared" si="13"/>
        <v>0.24</v>
      </c>
      <c r="AO25" s="195">
        <f t="shared" si="12"/>
        <v>0.35</v>
      </c>
      <c r="AP25" s="212"/>
      <c r="AQ25" s="1567">
        <f t="shared" si="2"/>
        <v>70515</v>
      </c>
      <c r="AR25" s="1560">
        <f t="shared" si="3"/>
        <v>15502</v>
      </c>
      <c r="AS25" s="1556">
        <f t="shared" si="4"/>
        <v>55013</v>
      </c>
    </row>
    <row r="26" spans="1:46" s="67" customFormat="1">
      <c r="A26" s="3188" t="s">
        <v>34</v>
      </c>
      <c r="B26" s="3189"/>
      <c r="C26" s="1544">
        <f>C6+C9+C12+C13+C14+C15+C16+C17+C18+C19+C20+C21+C22+C23</f>
        <v>2040284</v>
      </c>
      <c r="D26" s="1544">
        <f>D6+D9+D12+D13+D14+D15+D16+D17+D18+D19+D20+D21+D22+D23</f>
        <v>2018851</v>
      </c>
      <c r="E26" s="286">
        <f>E25+E24</f>
        <v>2026525</v>
      </c>
      <c r="F26" s="286">
        <f>F25+F24</f>
        <v>1448450</v>
      </c>
      <c r="G26" s="265">
        <f>G25+G24</f>
        <v>578075</v>
      </c>
      <c r="H26" s="281">
        <f>H6+H9+H12+H13+H14+H15+H16+H17+H18+H19+H20+H21+H22+H23</f>
        <v>2233600</v>
      </c>
      <c r="I26" s="281">
        <f>I6+I9+I12+I13+I14+I15+I16+I17+I18+I19+I20+I21+I22+I23</f>
        <v>2215480</v>
      </c>
      <c r="J26" s="273">
        <f>J25+J24</f>
        <v>2187593</v>
      </c>
      <c r="K26" s="273">
        <f>K25+K24</f>
        <v>1565230</v>
      </c>
      <c r="L26" s="278">
        <f>L25+L24</f>
        <v>622363</v>
      </c>
      <c r="M26" s="263">
        <f>M6+M9+M12+M13+M14+M15+M16+M17+M18+M19+M20+M21+M22+M23</f>
        <v>2405600</v>
      </c>
      <c r="N26" s="281">
        <f>N6+N9+N12+N13+N14+N15+N16+N17+N18+N19+N20+N21+N22+N23</f>
        <v>2386986</v>
      </c>
      <c r="O26" s="273">
        <f>O25+O24</f>
        <v>2359537</v>
      </c>
      <c r="P26" s="273">
        <f>P25+P24</f>
        <v>1689007</v>
      </c>
      <c r="Q26" s="285">
        <f>Q25+Q24</f>
        <v>670530</v>
      </c>
      <c r="R26" s="263">
        <f>R6+R9+R12+R13+R14+R15+R16+R17+R18+R19+R20+R21+R22+R23</f>
        <v>2548300</v>
      </c>
      <c r="S26" s="281">
        <f>S6+S9+S12+S13+S14+S15+S16+S17+S18+S19+S20+S21+S22+S23</f>
        <v>2529686</v>
      </c>
      <c r="T26" s="273">
        <f>T25+T24</f>
        <v>2497929</v>
      </c>
      <c r="U26" s="273">
        <f>U25+U24</f>
        <v>1781616</v>
      </c>
      <c r="V26" s="285">
        <f>V25+V24</f>
        <v>716313</v>
      </c>
      <c r="W26" s="263">
        <f>W6+W9+W12+W13+W14+W15+W16+W17+W18+W19+W20+W21+W22+W23</f>
        <v>2667600</v>
      </c>
      <c r="X26" s="281">
        <f>X6+X9+X12+X13+X14+X15+X16+X17+X18+X19+X20+X21+X22+X23</f>
        <v>2648986</v>
      </c>
      <c r="Y26" s="273">
        <f>Y25+Y24</f>
        <v>2618805</v>
      </c>
      <c r="Z26" s="273">
        <f>Z25+Z24</f>
        <v>1868009</v>
      </c>
      <c r="AA26" s="285">
        <f>AA25+AA24</f>
        <v>750796</v>
      </c>
      <c r="AB26" s="263">
        <f>AB6+AB9+AB12+AB13+AB14+AB15+AB16+AB17+AB18+AB19+AB20+AB21+AB22+AB23</f>
        <v>2769700</v>
      </c>
      <c r="AC26" s="281">
        <f>AC6+AC9+AC12+AC13+AC14+AC15+AC16+AC17+AC18+AC19+AC20+AC21+AC22+AC23</f>
        <v>2751086</v>
      </c>
      <c r="AD26" s="273">
        <f>AD25+AD24</f>
        <v>2716547</v>
      </c>
      <c r="AE26" s="273">
        <f>AE25+AE24</f>
        <v>1935272</v>
      </c>
      <c r="AF26" s="285">
        <f>AF25+AF24</f>
        <v>781275</v>
      </c>
      <c r="AG26" s="263">
        <f>AG6+AG9+AG12+AG13+AG14+AG15+AG16+AG17+AG18+AG19+AG20+AG21+AG22+AG23</f>
        <v>2859800</v>
      </c>
      <c r="AH26" s="281">
        <f>AH6+AH9+AH12+AH13+AH14+AH15+AH16+AH17+AH18+AH19+AH20+AH21+AH22+AH23</f>
        <v>2841186</v>
      </c>
      <c r="AI26" s="273">
        <f>AI25+AI24</f>
        <v>2804927</v>
      </c>
      <c r="AJ26" s="273">
        <f>AJ25+AJ24</f>
        <v>1996400</v>
      </c>
      <c r="AK26" s="285">
        <f>AK25+AK24</f>
        <v>808527</v>
      </c>
      <c r="AL26" s="237">
        <f t="shared" si="0"/>
        <v>0.38</v>
      </c>
      <c r="AM26" s="293"/>
      <c r="AN26" s="237">
        <f t="shared" si="13"/>
        <v>0.38</v>
      </c>
      <c r="AO26" s="237">
        <f t="shared" si="12"/>
        <v>0.4</v>
      </c>
      <c r="AP26" s="212"/>
      <c r="AQ26" s="1571">
        <f t="shared" si="2"/>
        <v>778402</v>
      </c>
      <c r="AR26" s="1565">
        <f t="shared" si="3"/>
        <v>547950</v>
      </c>
      <c r="AS26" s="278">
        <f t="shared" si="4"/>
        <v>230452</v>
      </c>
      <c r="AT26" s="2"/>
    </row>
    <row r="27" spans="1:46">
      <c r="A27" s="89" t="s">
        <v>35</v>
      </c>
      <c r="D27" s="212"/>
      <c r="F27" s="212" t="s">
        <v>36</v>
      </c>
      <c r="G27" s="212"/>
      <c r="U27" s="89"/>
      <c r="Z27" s="55"/>
      <c r="AA27" s="55"/>
      <c r="AB27" s="55"/>
      <c r="AC27" s="55"/>
      <c r="AD27" s="55"/>
      <c r="AE27" s="55"/>
    </row>
    <row r="28" spans="1:46">
      <c r="A28" s="1" t="s">
        <v>37</v>
      </c>
      <c r="I28" s="2" t="s">
        <v>36</v>
      </c>
    </row>
    <row r="29" spans="1:46">
      <c r="A29" s="174" t="s">
        <v>38</v>
      </c>
    </row>
    <row r="30" spans="1:46">
      <c r="A30" s="174" t="s">
        <v>39</v>
      </c>
      <c r="U30" s="174"/>
    </row>
    <row r="31" spans="1:46">
      <c r="A31" s="1" t="s">
        <v>40</v>
      </c>
    </row>
    <row r="32" spans="1:46" ht="24.75" customHeight="1">
      <c r="A32" s="3178" t="s">
        <v>41</v>
      </c>
      <c r="B32" s="3178"/>
      <c r="C32" s="3178"/>
      <c r="D32" s="3178"/>
      <c r="E32" s="3178"/>
      <c r="F32" s="3178"/>
      <c r="G32" s="3178"/>
      <c r="H32" s="3178"/>
      <c r="I32" s="3178"/>
      <c r="J32" s="3178"/>
      <c r="K32" s="3178"/>
      <c r="L32" s="3178"/>
      <c r="M32" s="3178"/>
      <c r="N32" s="3178"/>
      <c r="O32" s="3178"/>
      <c r="P32" s="3178"/>
      <c r="Q32" s="3178"/>
      <c r="R32" s="3178"/>
      <c r="S32" s="3178"/>
      <c r="T32" s="3178"/>
      <c r="U32" s="3178"/>
      <c r="V32" s="3178"/>
      <c r="W32" s="3178"/>
      <c r="X32" s="3178"/>
      <c r="Y32" s="3178"/>
      <c r="Z32" s="3178"/>
      <c r="AA32" s="3178"/>
      <c r="AB32" s="3178"/>
      <c r="AC32" s="3178"/>
      <c r="AD32" s="3178"/>
      <c r="AE32" s="3178"/>
      <c r="AF32" s="3178"/>
      <c r="AG32" s="3178"/>
      <c r="AH32" s="3178"/>
      <c r="AI32" s="3178"/>
      <c r="AJ32" s="3178"/>
      <c r="AK32" s="3178"/>
      <c r="AL32" s="3178"/>
    </row>
    <row r="33" spans="1:46">
      <c r="A33" s="1924" t="s">
        <v>42</v>
      </c>
      <c r="B33" s="3015"/>
      <c r="C33" s="3015"/>
      <c r="D33" s="3015"/>
      <c r="E33" s="3015"/>
      <c r="F33" s="3015"/>
      <c r="G33" s="3015"/>
      <c r="H33" s="3015"/>
      <c r="I33" s="3015"/>
      <c r="J33" s="3015"/>
      <c r="K33" s="3015"/>
      <c r="L33" s="3015"/>
      <c r="M33" s="3015"/>
      <c r="N33" s="3015"/>
      <c r="O33" s="3015"/>
      <c r="P33" s="3015"/>
      <c r="Q33" s="3015"/>
      <c r="R33" s="3015"/>
      <c r="S33" s="3015"/>
      <c r="T33" s="3015"/>
      <c r="U33" s="3015"/>
      <c r="V33" s="3015"/>
      <c r="W33" s="3015"/>
      <c r="X33" s="3015"/>
      <c r="Y33" s="3015"/>
      <c r="Z33" s="3015"/>
      <c r="AA33" s="3015"/>
      <c r="AB33" s="3015"/>
      <c r="AC33" s="3015"/>
      <c r="AD33" s="3015"/>
      <c r="AE33" s="3015"/>
      <c r="AF33" s="78"/>
    </row>
    <row r="34" spans="1:46">
      <c r="A34" s="1924" t="s">
        <v>43</v>
      </c>
      <c r="B34" s="3015"/>
      <c r="C34" s="3015"/>
      <c r="D34" s="3015"/>
      <c r="E34" s="3015"/>
      <c r="F34" s="3015"/>
      <c r="G34" s="3015"/>
      <c r="H34" s="3015"/>
      <c r="I34" s="3015"/>
      <c r="J34" s="3015"/>
      <c r="K34" s="3015"/>
      <c r="L34" s="3015"/>
      <c r="M34" s="3015"/>
      <c r="N34" s="3015"/>
      <c r="O34" s="3015"/>
      <c r="P34" s="3015"/>
      <c r="Q34" s="3015"/>
      <c r="R34" s="3015"/>
      <c r="S34" s="3015"/>
      <c r="T34" s="3015"/>
      <c r="U34" s="3015"/>
      <c r="V34" s="3015"/>
      <c r="W34" s="3015"/>
      <c r="X34" s="3015"/>
      <c r="Y34" s="3015"/>
      <c r="Z34" s="3015"/>
      <c r="AA34" s="3015"/>
      <c r="AB34" s="3015"/>
      <c r="AC34" s="3015"/>
      <c r="AD34" s="3015"/>
      <c r="AE34" s="3015"/>
      <c r="AF34" s="78"/>
    </row>
    <row r="35" spans="1:46">
      <c r="A35" s="1924" t="s">
        <v>44</v>
      </c>
      <c r="B35" s="3015"/>
      <c r="C35" s="3015"/>
      <c r="D35" s="3015"/>
      <c r="E35" s="3015"/>
      <c r="F35" s="3015"/>
      <c r="G35" s="3015"/>
      <c r="H35" s="3015"/>
      <c r="I35" s="3015"/>
      <c r="J35" s="3015"/>
      <c r="K35" s="3015"/>
      <c r="L35" s="3015"/>
      <c r="M35" s="3015"/>
      <c r="N35" s="3015"/>
      <c r="O35" s="3015"/>
      <c r="P35" s="3015"/>
      <c r="Q35" s="3015"/>
      <c r="R35" s="3015"/>
      <c r="S35" s="3015"/>
      <c r="T35" s="3015"/>
      <c r="U35" s="3015"/>
      <c r="V35" s="3015"/>
      <c r="W35" s="3015"/>
      <c r="X35" s="3015"/>
      <c r="Y35" s="3015"/>
      <c r="Z35" s="3015"/>
      <c r="AA35" s="3015"/>
      <c r="AB35" s="3015"/>
      <c r="AC35" s="3015"/>
      <c r="AD35" s="3015"/>
      <c r="AE35" s="3015"/>
      <c r="AF35" s="78"/>
    </row>
    <row r="36" spans="1:46">
      <c r="B36" s="55"/>
      <c r="C36" s="212"/>
      <c r="D36" s="212"/>
      <c r="E36" s="212"/>
      <c r="F36" s="212"/>
      <c r="G36" s="212"/>
      <c r="H36" s="212"/>
    </row>
    <row r="37" spans="1:46" ht="13.5" thickBot="1">
      <c r="A37" s="71" t="s">
        <v>45</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row>
    <row r="38" spans="1:46" ht="79.5" customHeight="1">
      <c r="A38" s="3181" t="s">
        <v>1</v>
      </c>
      <c r="B38" s="3183" t="s">
        <v>2</v>
      </c>
      <c r="C38" s="69" t="s">
        <v>3</v>
      </c>
      <c r="D38" s="70" t="s">
        <v>4</v>
      </c>
      <c r="E38" s="68" t="s">
        <v>5</v>
      </c>
      <c r="F38" s="68" t="s">
        <v>6</v>
      </c>
      <c r="G38" s="3014" t="s">
        <v>7</v>
      </c>
      <c r="H38" s="69" t="s">
        <v>3</v>
      </c>
      <c r="I38" s="70" t="s">
        <v>4</v>
      </c>
      <c r="J38" s="68" t="s">
        <v>5</v>
      </c>
      <c r="K38" s="68" t="s">
        <v>6</v>
      </c>
      <c r="L38" s="3014" t="s">
        <v>7</v>
      </c>
      <c r="M38" s="69" t="s">
        <v>3</v>
      </c>
      <c r="N38" s="70" t="s">
        <v>4</v>
      </c>
      <c r="O38" s="68" t="s">
        <v>5</v>
      </c>
      <c r="P38" s="68" t="s">
        <v>6</v>
      </c>
      <c r="Q38" s="3014" t="s">
        <v>7</v>
      </c>
      <c r="R38" s="69" t="s">
        <v>3</v>
      </c>
      <c r="S38" s="70" t="s">
        <v>4</v>
      </c>
      <c r="T38" s="68" t="s">
        <v>5</v>
      </c>
      <c r="U38" s="68" t="s">
        <v>6</v>
      </c>
      <c r="V38" s="3014" t="s">
        <v>7</v>
      </c>
      <c r="W38" s="69" t="s">
        <v>3</v>
      </c>
      <c r="X38" s="70" t="s">
        <v>4</v>
      </c>
      <c r="Y38" s="68" t="s">
        <v>5</v>
      </c>
      <c r="Z38" s="68" t="s">
        <v>6</v>
      </c>
      <c r="AA38" s="3014" t="s">
        <v>7</v>
      </c>
      <c r="AB38" s="69" t="s">
        <v>3</v>
      </c>
      <c r="AC38" s="70" t="s">
        <v>4</v>
      </c>
      <c r="AD38" s="68" t="s">
        <v>5</v>
      </c>
      <c r="AE38" s="68" t="s">
        <v>6</v>
      </c>
      <c r="AF38" s="3014" t="s">
        <v>7</v>
      </c>
      <c r="AG38" s="69" t="s">
        <v>3</v>
      </c>
      <c r="AH38" s="70" t="s">
        <v>4</v>
      </c>
      <c r="AI38" s="68" t="s">
        <v>5</v>
      </c>
      <c r="AJ38" s="68" t="s">
        <v>6</v>
      </c>
      <c r="AK38" s="3014" t="s">
        <v>7</v>
      </c>
      <c r="AL38" s="3192" t="s">
        <v>8</v>
      </c>
      <c r="AN38" s="3194" t="s">
        <v>9</v>
      </c>
      <c r="AO38" s="3196" t="s">
        <v>10</v>
      </c>
      <c r="AQ38" s="3198" t="s">
        <v>11</v>
      </c>
      <c r="AR38" s="3194" t="s">
        <v>12</v>
      </c>
      <c r="AS38" s="3200" t="s">
        <v>13</v>
      </c>
    </row>
    <row r="39" spans="1:46" ht="13.5" customHeight="1">
      <c r="A39" s="3182"/>
      <c r="B39" s="3184"/>
      <c r="C39" s="3185">
        <v>2015</v>
      </c>
      <c r="D39" s="3186"/>
      <c r="E39" s="3186"/>
      <c r="F39" s="3186"/>
      <c r="G39" s="3187"/>
      <c r="H39" s="3185">
        <v>2020</v>
      </c>
      <c r="I39" s="3186"/>
      <c r="J39" s="3186"/>
      <c r="K39" s="3186"/>
      <c r="L39" s="3187"/>
      <c r="M39" s="3185">
        <v>2025</v>
      </c>
      <c r="N39" s="3186"/>
      <c r="O39" s="3186"/>
      <c r="P39" s="3186"/>
      <c r="Q39" s="3187"/>
      <c r="R39" s="3185">
        <v>2030</v>
      </c>
      <c r="S39" s="3186"/>
      <c r="T39" s="3186"/>
      <c r="U39" s="3186"/>
      <c r="V39" s="3187"/>
      <c r="W39" s="3185">
        <v>2035</v>
      </c>
      <c r="X39" s="3186"/>
      <c r="Y39" s="3186"/>
      <c r="Z39" s="3186"/>
      <c r="AA39" s="3187"/>
      <c r="AB39" s="3185">
        <v>2040</v>
      </c>
      <c r="AC39" s="3186"/>
      <c r="AD39" s="3186"/>
      <c r="AE39" s="3186"/>
      <c r="AF39" s="3187"/>
      <c r="AG39" s="3185">
        <v>2045</v>
      </c>
      <c r="AH39" s="3186"/>
      <c r="AI39" s="3186"/>
      <c r="AJ39" s="3186"/>
      <c r="AK39" s="3187"/>
      <c r="AL39" s="3193"/>
      <c r="AN39" s="3195"/>
      <c r="AO39" s="3197"/>
      <c r="AQ39" s="3199"/>
      <c r="AR39" s="3195"/>
      <c r="AS39" s="3201"/>
    </row>
    <row r="40" spans="1:46" s="2" customFormat="1">
      <c r="A40" s="295" t="s">
        <v>46</v>
      </c>
      <c r="B40" s="296" t="s">
        <v>17</v>
      </c>
      <c r="C40" s="336">
        <v>16468</v>
      </c>
      <c r="D40" s="337">
        <v>14932</v>
      </c>
      <c r="E40" s="343">
        <f t="shared" ref="E40" si="40">F40+G40</f>
        <v>14932</v>
      </c>
      <c r="F40" s="343">
        <f>'Table 4'!C37</f>
        <v>2491</v>
      </c>
      <c r="G40" s="349">
        <f>'Table 6'!C38</f>
        <v>12441</v>
      </c>
      <c r="H40" s="337">
        <v>16700</v>
      </c>
      <c r="I40" s="337">
        <f>H40-1658</f>
        <v>15042</v>
      </c>
      <c r="J40" s="343">
        <f>K40+L40</f>
        <v>15042</v>
      </c>
      <c r="K40" s="343">
        <f>'Table 4'!D37</f>
        <v>2952</v>
      </c>
      <c r="L40" s="349">
        <f>'Table 6'!D38</f>
        <v>12090</v>
      </c>
      <c r="M40" s="336">
        <v>16900</v>
      </c>
      <c r="N40" s="337">
        <f>M40-1658</f>
        <v>15242</v>
      </c>
      <c r="O40" s="343">
        <f t="shared" ref="O40" si="41">P40+Q40</f>
        <v>15242</v>
      </c>
      <c r="P40" s="343">
        <f>'Table 4'!E37</f>
        <v>3077</v>
      </c>
      <c r="Q40" s="723">
        <f>'Table 6'!E38</f>
        <v>12165</v>
      </c>
      <c r="R40" s="336">
        <v>17000</v>
      </c>
      <c r="S40" s="337">
        <f>R40-1658</f>
        <v>15342</v>
      </c>
      <c r="T40" s="343">
        <f t="shared" ref="T40" si="42">U40+V40</f>
        <v>15342</v>
      </c>
      <c r="U40" s="343">
        <f>'Table 4'!F37</f>
        <v>3141</v>
      </c>
      <c r="V40" s="723">
        <f>'Table 6'!F38</f>
        <v>12201</v>
      </c>
      <c r="W40" s="336">
        <v>17100</v>
      </c>
      <c r="X40" s="337">
        <f>W40-1658</f>
        <v>15442</v>
      </c>
      <c r="Y40" s="343">
        <f t="shared" ref="Y40" si="43">Z40+AA40</f>
        <v>15442</v>
      </c>
      <c r="Z40" s="343">
        <f>'Table 4'!G37</f>
        <v>3161</v>
      </c>
      <c r="AA40" s="723">
        <f>'Table 6'!G38</f>
        <v>12281</v>
      </c>
      <c r="AB40" s="336">
        <v>17100</v>
      </c>
      <c r="AC40" s="337">
        <f>AB40-1658</f>
        <v>15442</v>
      </c>
      <c r="AD40" s="343">
        <f t="shared" ref="AD40" si="44">AE40+AF40</f>
        <v>15442</v>
      </c>
      <c r="AE40" s="343">
        <f>'Table 4'!H37</f>
        <v>3161</v>
      </c>
      <c r="AF40" s="727">
        <f>'Table 6'!H38</f>
        <v>12281</v>
      </c>
      <c r="AG40" s="336">
        <v>17100</v>
      </c>
      <c r="AH40" s="337">
        <f>AG40-1658</f>
        <v>15442</v>
      </c>
      <c r="AI40" s="343">
        <f t="shared" ref="AI40" si="45">AJ40+AK40</f>
        <v>15442</v>
      </c>
      <c r="AJ40" s="343">
        <f>'Table 4'!I37</f>
        <v>3161</v>
      </c>
      <c r="AK40" s="727">
        <f>'Table 6'!I38</f>
        <v>12281</v>
      </c>
      <c r="AL40" s="201">
        <f t="shared" ref="AL40:AL46" si="46">(AI40-E40)/E40</f>
        <v>0.03</v>
      </c>
      <c r="AN40" s="201">
        <f t="shared" ref="AN40:AO46" si="47">(AJ40-F40)/F40</f>
        <v>0.27</v>
      </c>
      <c r="AO40" s="201">
        <f t="shared" si="47"/>
        <v>-0.01</v>
      </c>
      <c r="AP40" s="212"/>
      <c r="AQ40" s="1566">
        <f t="shared" ref="AQ40:AS46" si="48">AI40-E40</f>
        <v>510</v>
      </c>
      <c r="AR40" s="1559">
        <f t="shared" si="48"/>
        <v>670</v>
      </c>
      <c r="AS40" s="1554">
        <f t="shared" si="48"/>
        <v>-160</v>
      </c>
    </row>
    <row r="41" spans="1:46" s="2" customFormat="1">
      <c r="A41" s="364" t="s">
        <v>47</v>
      </c>
      <c r="B41" s="907" t="s">
        <v>17</v>
      </c>
      <c r="C41" s="889">
        <v>14519</v>
      </c>
      <c r="D41" s="892">
        <v>3557</v>
      </c>
      <c r="E41" s="1094">
        <f t="shared" ref="E41:E45" si="49">F41+G41</f>
        <v>3557</v>
      </c>
      <c r="F41" s="890">
        <f>'Table 4'!C38</f>
        <v>553</v>
      </c>
      <c r="G41" s="891">
        <f>'Table 6'!C39</f>
        <v>3004</v>
      </c>
      <c r="H41" s="889">
        <v>14800</v>
      </c>
      <c r="I41" s="892">
        <v>3621</v>
      </c>
      <c r="J41" s="890">
        <f>K41+L41</f>
        <v>3621</v>
      </c>
      <c r="K41" s="890">
        <f>'Table 4'!D38</f>
        <v>606</v>
      </c>
      <c r="L41" s="891">
        <f>'Table 6'!D39</f>
        <v>3015</v>
      </c>
      <c r="M41" s="889">
        <v>15100</v>
      </c>
      <c r="N41" s="892">
        <v>3701</v>
      </c>
      <c r="O41" s="890">
        <f t="shared" ref="O41:O45" si="50">P41+Q41</f>
        <v>3701</v>
      </c>
      <c r="P41" s="890">
        <f>'Table 4'!E38</f>
        <v>618</v>
      </c>
      <c r="Q41" s="893">
        <f>'Table 6'!E39</f>
        <v>3083</v>
      </c>
      <c r="R41" s="889">
        <v>15300</v>
      </c>
      <c r="S41" s="892">
        <v>3753</v>
      </c>
      <c r="T41" s="890">
        <f t="shared" ref="T41:T45" si="51">U41+V41</f>
        <v>3753</v>
      </c>
      <c r="U41" s="890">
        <f>'Table 4'!F38</f>
        <v>626</v>
      </c>
      <c r="V41" s="893">
        <f>'Table 6'!F39</f>
        <v>3127</v>
      </c>
      <c r="W41" s="889">
        <v>15400</v>
      </c>
      <c r="X41" s="892">
        <v>3780</v>
      </c>
      <c r="Y41" s="890">
        <f t="shared" ref="Y41:Y45" si="52">Z41+AA41</f>
        <v>3780</v>
      </c>
      <c r="Z41" s="890">
        <f>'Table 4'!G38</f>
        <v>629</v>
      </c>
      <c r="AA41" s="893">
        <f>'Table 6'!G39</f>
        <v>3151</v>
      </c>
      <c r="AB41" s="889">
        <v>15600</v>
      </c>
      <c r="AC41" s="892">
        <v>3833</v>
      </c>
      <c r="AD41" s="890">
        <f t="shared" ref="AD41:AD45" si="53">AE41+AF41</f>
        <v>3833</v>
      </c>
      <c r="AE41" s="890">
        <f>'Table 4'!H38</f>
        <v>639</v>
      </c>
      <c r="AF41" s="894">
        <f>'Table 6'!H39</f>
        <v>3194</v>
      </c>
      <c r="AG41" s="889">
        <v>15700</v>
      </c>
      <c r="AH41" s="892">
        <v>3859</v>
      </c>
      <c r="AI41" s="890">
        <f t="shared" ref="AI41:AI45" si="54">AJ41+AK41</f>
        <v>3859</v>
      </c>
      <c r="AJ41" s="890">
        <f>'Table 4'!I38</f>
        <v>644</v>
      </c>
      <c r="AK41" s="894">
        <f>'Table 6'!I39</f>
        <v>3215</v>
      </c>
      <c r="AL41" s="319">
        <f t="shared" si="46"/>
        <v>0.08</v>
      </c>
      <c r="AM41" s="1098"/>
      <c r="AN41" s="319">
        <f t="shared" si="47"/>
        <v>0.16</v>
      </c>
      <c r="AO41" s="319">
        <f t="shared" si="47"/>
        <v>7.0000000000000007E-2</v>
      </c>
      <c r="AP41" s="212"/>
      <c r="AQ41" s="1572">
        <f t="shared" si="48"/>
        <v>302</v>
      </c>
      <c r="AR41" s="1575">
        <f t="shared" si="48"/>
        <v>91</v>
      </c>
      <c r="AS41" s="1558">
        <f t="shared" si="48"/>
        <v>211</v>
      </c>
    </row>
    <row r="42" spans="1:46" s="2" customFormat="1">
      <c r="A42" s="364" t="s">
        <v>48</v>
      </c>
      <c r="B42" s="296" t="s">
        <v>17</v>
      </c>
      <c r="C42" s="336">
        <v>8664</v>
      </c>
      <c r="D42" s="337">
        <v>7017</v>
      </c>
      <c r="E42" s="1092">
        <f t="shared" si="49"/>
        <v>7017</v>
      </c>
      <c r="F42" s="343">
        <f>'Table 4'!C39</f>
        <v>1188</v>
      </c>
      <c r="G42" s="349">
        <f>'Table 6'!C40</f>
        <v>5829</v>
      </c>
      <c r="H42" s="336">
        <v>8700</v>
      </c>
      <c r="I42" s="337">
        <f>H42-1191</f>
        <v>7509</v>
      </c>
      <c r="J42" s="890">
        <f>K42+L42</f>
        <v>7509</v>
      </c>
      <c r="K42" s="343">
        <f>'Table 4'!D39</f>
        <v>1208</v>
      </c>
      <c r="L42" s="349">
        <f>'Table 6'!D40</f>
        <v>6301</v>
      </c>
      <c r="M42" s="336">
        <v>9100</v>
      </c>
      <c r="N42" s="337">
        <f>M42-1191</f>
        <v>7909</v>
      </c>
      <c r="O42" s="343">
        <f>P42+Q42</f>
        <v>7909</v>
      </c>
      <c r="P42" s="343">
        <f>'Table 4'!E39</f>
        <v>1208</v>
      </c>
      <c r="Q42" s="723">
        <f>'Table 6'!E40</f>
        <v>6701</v>
      </c>
      <c r="R42" s="336">
        <v>9400</v>
      </c>
      <c r="S42" s="337">
        <f>R42-1191</f>
        <v>8209</v>
      </c>
      <c r="T42" s="343">
        <f t="shared" si="51"/>
        <v>8209</v>
      </c>
      <c r="U42" s="343">
        <f>'Table 4'!F39</f>
        <v>1208</v>
      </c>
      <c r="V42" s="723">
        <f>'Table 6'!F40</f>
        <v>7001</v>
      </c>
      <c r="W42" s="336">
        <v>9700</v>
      </c>
      <c r="X42" s="337">
        <f>W42-1191</f>
        <v>8509</v>
      </c>
      <c r="Y42" s="343">
        <f t="shared" si="52"/>
        <v>8509</v>
      </c>
      <c r="Z42" s="343">
        <f>'Table 4'!G39</f>
        <v>1208</v>
      </c>
      <c r="AA42" s="723">
        <f>'Table 6'!G40</f>
        <v>7301</v>
      </c>
      <c r="AB42" s="336">
        <v>9900</v>
      </c>
      <c r="AC42" s="337">
        <f>AB42-1191</f>
        <v>8709</v>
      </c>
      <c r="AD42" s="343">
        <f t="shared" si="53"/>
        <v>8709</v>
      </c>
      <c r="AE42" s="343">
        <f>'Table 4'!H39</f>
        <v>1208</v>
      </c>
      <c r="AF42" s="727">
        <f>'Table 6'!H40</f>
        <v>7501</v>
      </c>
      <c r="AG42" s="336">
        <v>10100</v>
      </c>
      <c r="AH42" s="337">
        <f>AG42-1191</f>
        <v>8909</v>
      </c>
      <c r="AI42" s="343">
        <f t="shared" si="54"/>
        <v>8909</v>
      </c>
      <c r="AJ42" s="343">
        <f>'Table 4'!I39</f>
        <v>1214</v>
      </c>
      <c r="AK42" s="727">
        <f>'Table 6'!I40</f>
        <v>7695</v>
      </c>
      <c r="AL42" s="319">
        <f t="shared" si="46"/>
        <v>0.27</v>
      </c>
      <c r="AM42" s="1098"/>
      <c r="AN42" s="319">
        <f t="shared" si="47"/>
        <v>0.02</v>
      </c>
      <c r="AO42" s="319">
        <f t="shared" si="47"/>
        <v>0.32</v>
      </c>
      <c r="AP42" s="212" t="s">
        <v>36</v>
      </c>
      <c r="AQ42" s="1566">
        <f t="shared" si="48"/>
        <v>1892</v>
      </c>
      <c r="AR42" s="1559">
        <f t="shared" si="48"/>
        <v>26</v>
      </c>
      <c r="AS42" s="1554">
        <f t="shared" si="48"/>
        <v>1866</v>
      </c>
    </row>
    <row r="43" spans="1:46" s="67" customFormat="1">
      <c r="A43" s="295" t="s">
        <v>49</v>
      </c>
      <c r="B43" s="296" t="s">
        <v>17</v>
      </c>
      <c r="C43" s="336">
        <v>40448</v>
      </c>
      <c r="D43" s="337">
        <v>18287</v>
      </c>
      <c r="E43" s="1092">
        <f>F43+G43</f>
        <v>18287</v>
      </c>
      <c r="F43" s="343">
        <f>'Table 4'!C40</f>
        <v>5674</v>
      </c>
      <c r="G43" s="349">
        <f>'Table 6'!C41</f>
        <v>12613</v>
      </c>
      <c r="H43" s="337">
        <v>41600</v>
      </c>
      <c r="I43" s="337">
        <v>18581</v>
      </c>
      <c r="J43" s="343">
        <f>K43+L43</f>
        <v>18581</v>
      </c>
      <c r="K43" s="343">
        <f>'Table 4'!D40</f>
        <v>5931</v>
      </c>
      <c r="L43" s="723">
        <f>'Table 6'!D41</f>
        <v>12650</v>
      </c>
      <c r="M43" s="336">
        <v>42700</v>
      </c>
      <c r="N43" s="343">
        <v>19072</v>
      </c>
      <c r="O43" s="343">
        <f t="shared" si="50"/>
        <v>19072</v>
      </c>
      <c r="P43" s="343">
        <f>'Table 4'!E40</f>
        <v>6016</v>
      </c>
      <c r="Q43" s="723">
        <f>'Table 6'!E41</f>
        <v>13056</v>
      </c>
      <c r="R43" s="336">
        <v>43600</v>
      </c>
      <c r="S43" s="337">
        <v>19474</v>
      </c>
      <c r="T43" s="343">
        <f t="shared" si="51"/>
        <v>19474</v>
      </c>
      <c r="U43" s="343">
        <f>'Table 4'!F40</f>
        <v>6103</v>
      </c>
      <c r="V43" s="723">
        <f>'Table 6'!F41</f>
        <v>13371</v>
      </c>
      <c r="W43" s="336">
        <v>44300</v>
      </c>
      <c r="X43" s="337">
        <v>19787</v>
      </c>
      <c r="Y43" s="343">
        <f t="shared" si="52"/>
        <v>19787</v>
      </c>
      <c r="Z43" s="343">
        <f>'Table 4'!G40</f>
        <v>6146</v>
      </c>
      <c r="AA43" s="723">
        <f>'Table 6'!G41</f>
        <v>13641</v>
      </c>
      <c r="AB43" s="336">
        <v>44900</v>
      </c>
      <c r="AC43" s="337">
        <v>20055</v>
      </c>
      <c r="AD43" s="343">
        <f t="shared" si="53"/>
        <v>20055</v>
      </c>
      <c r="AE43" s="343">
        <f>'Table 4'!H40</f>
        <v>6200</v>
      </c>
      <c r="AF43" s="727">
        <f>'Table 6'!H41</f>
        <v>13855</v>
      </c>
      <c r="AG43" s="336">
        <v>45500</v>
      </c>
      <c r="AH43" s="337">
        <v>20323</v>
      </c>
      <c r="AI43" s="343">
        <f t="shared" si="54"/>
        <v>20323</v>
      </c>
      <c r="AJ43" s="343">
        <f>'Table 4'!I40</f>
        <v>6265</v>
      </c>
      <c r="AK43" s="727">
        <f>'Table 6'!I41</f>
        <v>14058</v>
      </c>
      <c r="AL43" s="201">
        <f t="shared" si="46"/>
        <v>0.11</v>
      </c>
      <c r="AM43" s="1099"/>
      <c r="AN43" s="201">
        <f t="shared" si="47"/>
        <v>0.1</v>
      </c>
      <c r="AO43" s="201">
        <f t="shared" si="47"/>
        <v>0.11</v>
      </c>
      <c r="AP43" s="212"/>
      <c r="AQ43" s="1566">
        <f t="shared" si="48"/>
        <v>2036</v>
      </c>
      <c r="AR43" s="1559">
        <f t="shared" si="48"/>
        <v>591</v>
      </c>
      <c r="AS43" s="1554">
        <f t="shared" si="48"/>
        <v>1445</v>
      </c>
      <c r="AT43" s="2"/>
    </row>
    <row r="44" spans="1:46" s="67" customFormat="1">
      <c r="A44" s="364" t="s">
        <v>50</v>
      </c>
      <c r="B44" s="907" t="s">
        <v>17</v>
      </c>
      <c r="C44" s="1093">
        <v>19200</v>
      </c>
      <c r="D44" s="1929">
        <v>17615</v>
      </c>
      <c r="E44" s="1094">
        <f t="shared" si="49"/>
        <v>17615</v>
      </c>
      <c r="F44" s="1094">
        <f>'Table 4'!C41</f>
        <v>5504</v>
      </c>
      <c r="G44" s="893">
        <f>'Table 6'!C42</f>
        <v>12111</v>
      </c>
      <c r="H44" s="1929">
        <v>19200</v>
      </c>
      <c r="I44" s="1929">
        <f>H44-1610</f>
        <v>17590</v>
      </c>
      <c r="J44" s="1094">
        <f t="shared" ref="J44" si="55">K44+L44</f>
        <v>17812</v>
      </c>
      <c r="K44" s="1094">
        <f>'Table 4'!D41</f>
        <v>5763</v>
      </c>
      <c r="L44" s="893">
        <f>'Table 6'!D42</f>
        <v>12049</v>
      </c>
      <c r="M44" s="1093">
        <v>19500</v>
      </c>
      <c r="N44" s="1929">
        <f>M44-1610</f>
        <v>17890</v>
      </c>
      <c r="O44" s="1094">
        <f t="shared" si="50"/>
        <v>18112</v>
      </c>
      <c r="P44" s="1094">
        <f>'Table 4'!E41</f>
        <v>5832</v>
      </c>
      <c r="Q44" s="893">
        <f>'Table 6'!E42</f>
        <v>12280</v>
      </c>
      <c r="R44" s="1093">
        <v>19700</v>
      </c>
      <c r="S44" s="1929">
        <f>R44-1610</f>
        <v>18090</v>
      </c>
      <c r="T44" s="1094">
        <f t="shared" si="51"/>
        <v>18312</v>
      </c>
      <c r="U44" s="1094">
        <f>'Table 4'!F41</f>
        <v>5886</v>
      </c>
      <c r="V44" s="893">
        <f>'Table 6'!F42</f>
        <v>12426</v>
      </c>
      <c r="W44" s="1093">
        <v>19800</v>
      </c>
      <c r="X44" s="1929">
        <f>W44-1610</f>
        <v>18190</v>
      </c>
      <c r="Y44" s="1094">
        <f t="shared" si="52"/>
        <v>18412</v>
      </c>
      <c r="Z44" s="1094">
        <f>'Table 4'!G41</f>
        <v>5907</v>
      </c>
      <c r="AA44" s="893">
        <f>'Table 6'!G42</f>
        <v>12505</v>
      </c>
      <c r="AB44" s="1093">
        <v>20000</v>
      </c>
      <c r="AC44" s="1929">
        <f>AB44-1610</f>
        <v>18390</v>
      </c>
      <c r="AD44" s="1094">
        <f t="shared" si="53"/>
        <v>18612</v>
      </c>
      <c r="AE44" s="1094">
        <f>'Table 4'!H41</f>
        <v>5958</v>
      </c>
      <c r="AF44" s="894">
        <f>'Table 6'!H42</f>
        <v>12654</v>
      </c>
      <c r="AG44" s="1093">
        <v>20100</v>
      </c>
      <c r="AH44" s="1929">
        <f>AG44-1610</f>
        <v>18490</v>
      </c>
      <c r="AI44" s="1094">
        <f t="shared" si="54"/>
        <v>18712</v>
      </c>
      <c r="AJ44" s="1094">
        <f>'Table 4'!I41</f>
        <v>6006</v>
      </c>
      <c r="AK44" s="894">
        <f>'Table 6'!I42</f>
        <v>12706</v>
      </c>
      <c r="AL44" s="1233">
        <f t="shared" si="46"/>
        <v>0.06</v>
      </c>
      <c r="AM44" s="1099"/>
      <c r="AN44" s="1233">
        <f t="shared" si="47"/>
        <v>0.09</v>
      </c>
      <c r="AO44" s="1233">
        <f t="shared" si="47"/>
        <v>0.05</v>
      </c>
      <c r="AP44" s="212"/>
      <c r="AQ44" s="1570">
        <f t="shared" si="48"/>
        <v>1097</v>
      </c>
      <c r="AR44" s="1563">
        <f t="shared" si="48"/>
        <v>502</v>
      </c>
      <c r="AS44" s="1558">
        <f t="shared" si="48"/>
        <v>595</v>
      </c>
      <c r="AT44" s="2"/>
    </row>
    <row r="45" spans="1:46" s="2" customFormat="1">
      <c r="A45" s="1037" t="s">
        <v>51</v>
      </c>
      <c r="B45" s="275" t="s">
        <v>17</v>
      </c>
      <c r="C45" s="1087">
        <v>22824</v>
      </c>
      <c r="D45" s="898">
        <v>19766</v>
      </c>
      <c r="E45" s="896">
        <f t="shared" si="49"/>
        <v>19766</v>
      </c>
      <c r="F45" s="896">
        <f>'Table 4'!C42</f>
        <v>11191</v>
      </c>
      <c r="G45" s="897">
        <f>'Table 6'!C43</f>
        <v>8575</v>
      </c>
      <c r="H45" s="898">
        <v>22600</v>
      </c>
      <c r="I45" s="898">
        <f>H45-2222</f>
        <v>20378</v>
      </c>
      <c r="J45" s="896">
        <f>K45+L45</f>
        <v>20378</v>
      </c>
      <c r="K45" s="896">
        <f>'Table 4'!D42</f>
        <v>11661</v>
      </c>
      <c r="L45" s="887">
        <f>'Table 6'!D43</f>
        <v>8717</v>
      </c>
      <c r="M45" s="1087">
        <v>23200</v>
      </c>
      <c r="N45" s="898">
        <f>M45-2222</f>
        <v>20978</v>
      </c>
      <c r="O45" s="896">
        <f t="shared" si="50"/>
        <v>20978</v>
      </c>
      <c r="P45" s="896">
        <f>'Table 4'!E42</f>
        <v>12269</v>
      </c>
      <c r="Q45" s="887">
        <f>'Table 6'!E43</f>
        <v>8709</v>
      </c>
      <c r="R45" s="1087">
        <v>23600</v>
      </c>
      <c r="S45" s="898">
        <f>R45-2222</f>
        <v>21378</v>
      </c>
      <c r="T45" s="896">
        <f t="shared" si="51"/>
        <v>21378</v>
      </c>
      <c r="U45" s="896">
        <f>'Table 4'!F42</f>
        <v>12696</v>
      </c>
      <c r="V45" s="887">
        <f>'Table 6'!F43</f>
        <v>8682</v>
      </c>
      <c r="W45" s="1087">
        <v>24000</v>
      </c>
      <c r="X45" s="898">
        <f>W45-2222</f>
        <v>21778</v>
      </c>
      <c r="Y45" s="896">
        <f t="shared" si="52"/>
        <v>21778</v>
      </c>
      <c r="Z45" s="896">
        <f>'Table 4'!G42</f>
        <v>13126</v>
      </c>
      <c r="AA45" s="887">
        <f>'Table 6'!G43</f>
        <v>8652</v>
      </c>
      <c r="AB45" s="1087">
        <v>24300</v>
      </c>
      <c r="AC45" s="898">
        <f>AB45-2222</f>
        <v>22078</v>
      </c>
      <c r="AD45" s="896">
        <f t="shared" si="53"/>
        <v>22078</v>
      </c>
      <c r="AE45" s="896">
        <f>'Table 4'!H42</f>
        <v>13465</v>
      </c>
      <c r="AF45" s="899">
        <f>'Table 6'!H43</f>
        <v>8613</v>
      </c>
      <c r="AG45" s="1087">
        <v>24700</v>
      </c>
      <c r="AH45" s="898">
        <f>AG45-2222</f>
        <v>22478</v>
      </c>
      <c r="AI45" s="896">
        <f t="shared" si="54"/>
        <v>22478</v>
      </c>
      <c r="AJ45" s="896">
        <f>'Table 4'!I42</f>
        <v>13831</v>
      </c>
      <c r="AK45" s="899">
        <f>'Table 6'!I43</f>
        <v>8647</v>
      </c>
      <c r="AL45" s="194">
        <f t="shared" si="46"/>
        <v>0.14000000000000001</v>
      </c>
      <c r="AN45" s="194">
        <f t="shared" si="47"/>
        <v>0.24</v>
      </c>
      <c r="AO45" s="194">
        <f t="shared" si="47"/>
        <v>0.01</v>
      </c>
      <c r="AP45" s="212"/>
      <c r="AQ45" s="1833">
        <f t="shared" si="48"/>
        <v>2712</v>
      </c>
      <c r="AR45" s="1834">
        <f t="shared" si="48"/>
        <v>2640</v>
      </c>
      <c r="AS45" s="1555">
        <f t="shared" si="48"/>
        <v>72</v>
      </c>
    </row>
    <row r="46" spans="1:46" ht="27.75" customHeight="1">
      <c r="A46" s="3179" t="s">
        <v>52</v>
      </c>
      <c r="B46" s="3180"/>
      <c r="C46" s="1573">
        <f>SUM(C40:C45)</f>
        <v>122123</v>
      </c>
      <c r="D46" s="1927">
        <f>SUM(D40:D45)</f>
        <v>81174</v>
      </c>
      <c r="E46" s="901">
        <f>SUM(E40:E45)</f>
        <v>81174</v>
      </c>
      <c r="F46" s="901">
        <f t="shared" ref="F46:AK46" si="56">SUM(F40:F45)</f>
        <v>26601</v>
      </c>
      <c r="G46" s="902">
        <f t="shared" si="56"/>
        <v>54573</v>
      </c>
      <c r="H46" s="903">
        <f>SUM(H40:H45)</f>
        <v>123600</v>
      </c>
      <c r="I46" s="901">
        <f>SUM(I40:I45)</f>
        <v>82721</v>
      </c>
      <c r="J46" s="901">
        <f t="shared" si="56"/>
        <v>82943</v>
      </c>
      <c r="K46" s="901">
        <f t="shared" si="56"/>
        <v>28121</v>
      </c>
      <c r="L46" s="904">
        <f t="shared" si="56"/>
        <v>54822</v>
      </c>
      <c r="M46" s="900">
        <f t="shared" si="56"/>
        <v>126500</v>
      </c>
      <c r="N46" s="901">
        <f t="shared" si="56"/>
        <v>84792</v>
      </c>
      <c r="O46" s="901">
        <f t="shared" si="56"/>
        <v>85014</v>
      </c>
      <c r="P46" s="901">
        <f t="shared" si="56"/>
        <v>29020</v>
      </c>
      <c r="Q46" s="904">
        <f t="shared" si="56"/>
        <v>55994</v>
      </c>
      <c r="R46" s="900">
        <f>SUM(R40:R45)</f>
        <v>128600</v>
      </c>
      <c r="S46" s="901">
        <f t="shared" si="56"/>
        <v>86246</v>
      </c>
      <c r="T46" s="901">
        <f t="shared" si="56"/>
        <v>86468</v>
      </c>
      <c r="U46" s="901">
        <f t="shared" si="56"/>
        <v>29660</v>
      </c>
      <c r="V46" s="904">
        <f t="shared" si="56"/>
        <v>56808</v>
      </c>
      <c r="W46" s="900">
        <f t="shared" si="56"/>
        <v>130300</v>
      </c>
      <c r="X46" s="901">
        <f t="shared" si="56"/>
        <v>87486</v>
      </c>
      <c r="Y46" s="901">
        <f t="shared" si="56"/>
        <v>87708</v>
      </c>
      <c r="Z46" s="901">
        <f t="shared" si="56"/>
        <v>30177</v>
      </c>
      <c r="AA46" s="904">
        <f t="shared" si="56"/>
        <v>57531</v>
      </c>
      <c r="AB46" s="900">
        <f t="shared" si="56"/>
        <v>131800</v>
      </c>
      <c r="AC46" s="901">
        <f t="shared" si="56"/>
        <v>88507</v>
      </c>
      <c r="AD46" s="901">
        <f t="shared" si="56"/>
        <v>88729</v>
      </c>
      <c r="AE46" s="901">
        <f t="shared" si="56"/>
        <v>30631</v>
      </c>
      <c r="AF46" s="905">
        <f t="shared" si="56"/>
        <v>58098</v>
      </c>
      <c r="AG46" s="900">
        <f t="shared" si="56"/>
        <v>133200</v>
      </c>
      <c r="AH46" s="901">
        <f t="shared" si="56"/>
        <v>89501</v>
      </c>
      <c r="AI46" s="901">
        <f t="shared" si="56"/>
        <v>89723</v>
      </c>
      <c r="AJ46" s="901">
        <f t="shared" si="56"/>
        <v>31121</v>
      </c>
      <c r="AK46" s="905">
        <f t="shared" si="56"/>
        <v>58602</v>
      </c>
      <c r="AL46" s="906">
        <f t="shared" si="46"/>
        <v>0.11</v>
      </c>
      <c r="AN46" s="906">
        <f t="shared" si="47"/>
        <v>0.17</v>
      </c>
      <c r="AO46" s="906">
        <f t="shared" si="47"/>
        <v>7.0000000000000007E-2</v>
      </c>
      <c r="AQ46" s="1573">
        <f t="shared" si="48"/>
        <v>8549</v>
      </c>
      <c r="AR46" s="1576">
        <f t="shared" si="48"/>
        <v>4520</v>
      </c>
      <c r="AS46" s="1574">
        <f t="shared" si="48"/>
        <v>4029</v>
      </c>
    </row>
    <row r="47" spans="1:46">
      <c r="A47" s="89" t="s">
        <v>35</v>
      </c>
      <c r="D47" s="212"/>
      <c r="F47" s="212" t="s">
        <v>36</v>
      </c>
      <c r="G47" s="212"/>
      <c r="U47" s="89"/>
      <c r="Z47" s="55"/>
      <c r="AA47" s="55"/>
      <c r="AB47" s="55"/>
      <c r="AC47" s="55"/>
      <c r="AD47" s="55"/>
      <c r="AE47" s="55"/>
    </row>
    <row r="48" spans="1:46">
      <c r="A48" s="1" t="s">
        <v>37</v>
      </c>
      <c r="I48" s="2" t="s">
        <v>36</v>
      </c>
    </row>
    <row r="49" spans="1:38">
      <c r="A49" s="174" t="s">
        <v>38</v>
      </c>
    </row>
    <row r="50" spans="1:38">
      <c r="A50" s="174" t="s">
        <v>39</v>
      </c>
      <c r="U50" s="174"/>
    </row>
    <row r="51" spans="1:38">
      <c r="A51" s="1" t="s">
        <v>40</v>
      </c>
    </row>
    <row r="52" spans="1:38" ht="24" customHeight="1">
      <c r="A52" s="3178" t="s">
        <v>41</v>
      </c>
      <c r="B52" s="3178"/>
      <c r="C52" s="3178"/>
      <c r="D52" s="3178"/>
      <c r="E52" s="3178"/>
      <c r="F52" s="3178"/>
      <c r="G52" s="3178"/>
      <c r="H52" s="3178"/>
      <c r="I52" s="3178"/>
      <c r="J52" s="3178"/>
      <c r="K52" s="3178"/>
      <c r="L52" s="3178"/>
      <c r="M52" s="3178"/>
      <c r="N52" s="3178"/>
      <c r="O52" s="3178"/>
      <c r="P52" s="3178"/>
      <c r="Q52" s="3178"/>
      <c r="R52" s="3178"/>
      <c r="S52" s="3178"/>
      <c r="T52" s="3178"/>
      <c r="U52" s="3178"/>
      <c r="V52" s="3178"/>
      <c r="W52" s="3178"/>
      <c r="X52" s="3178"/>
      <c r="Y52" s="3178"/>
      <c r="Z52" s="3178"/>
      <c r="AA52" s="3178"/>
      <c r="AB52" s="3178"/>
      <c r="AC52" s="3178"/>
      <c r="AD52" s="3178"/>
      <c r="AE52" s="3178"/>
      <c r="AF52" s="3178"/>
      <c r="AG52" s="3178"/>
      <c r="AH52" s="3178"/>
      <c r="AI52" s="3178"/>
      <c r="AJ52" s="3178"/>
      <c r="AK52" s="3178"/>
      <c r="AL52" s="3178"/>
    </row>
    <row r="53" spans="1:38">
      <c r="A53" s="1924" t="s">
        <v>42</v>
      </c>
      <c r="B53" s="3015"/>
      <c r="C53" s="3015"/>
      <c r="D53" s="3015"/>
      <c r="E53" s="3015"/>
      <c r="F53" s="3015"/>
      <c r="G53" s="3015"/>
      <c r="H53" s="3015"/>
      <c r="I53" s="3015"/>
      <c r="J53" s="3015"/>
      <c r="K53" s="3015"/>
      <c r="L53" s="3015"/>
      <c r="M53" s="3015"/>
      <c r="N53" s="3015"/>
      <c r="O53" s="3015"/>
      <c r="P53" s="3015"/>
      <c r="Q53" s="3015"/>
      <c r="R53" s="3015"/>
      <c r="S53" s="3015"/>
      <c r="T53" s="3015"/>
      <c r="U53" s="3015"/>
      <c r="V53" s="3015"/>
      <c r="W53" s="3015"/>
      <c r="X53" s="3015"/>
      <c r="Y53" s="3015"/>
      <c r="Z53" s="3015"/>
      <c r="AA53" s="3015"/>
      <c r="AB53" s="3015"/>
      <c r="AC53" s="3015"/>
      <c r="AD53" s="3015"/>
      <c r="AE53" s="3015"/>
      <c r="AF53" s="78"/>
    </row>
    <row r="54" spans="1:38">
      <c r="A54" s="1924" t="s">
        <v>43</v>
      </c>
      <c r="B54" s="3015"/>
      <c r="C54" s="3015"/>
      <c r="D54" s="3015"/>
      <c r="E54" s="3015"/>
      <c r="F54" s="3015"/>
      <c r="G54" s="3015"/>
      <c r="H54" s="3015"/>
      <c r="I54" s="3015"/>
      <c r="J54" s="3015"/>
      <c r="K54" s="3015"/>
      <c r="L54" s="3015"/>
      <c r="M54" s="3015"/>
      <c r="N54" s="3015"/>
      <c r="O54" s="3015"/>
      <c r="P54" s="3015"/>
      <c r="Q54" s="3015"/>
      <c r="R54" s="3015"/>
      <c r="S54" s="3015"/>
      <c r="T54" s="3015"/>
      <c r="U54" s="3015"/>
      <c r="V54" s="3015"/>
      <c r="W54" s="3015"/>
      <c r="X54" s="3015"/>
      <c r="Y54" s="3015"/>
      <c r="Z54" s="3015"/>
      <c r="AA54" s="3015"/>
      <c r="AB54" s="3015"/>
      <c r="AC54" s="3015"/>
      <c r="AD54" s="3015"/>
      <c r="AE54" s="3015"/>
      <c r="AF54" s="78"/>
    </row>
  </sheetData>
  <mergeCells count="36">
    <mergeCell ref="AR2:AR3"/>
    <mergeCell ref="AS2:AS3"/>
    <mergeCell ref="AQ38:AQ39"/>
    <mergeCell ref="AR38:AR39"/>
    <mergeCell ref="AS38:AS39"/>
    <mergeCell ref="AN2:AN3"/>
    <mergeCell ref="AO2:AO3"/>
    <mergeCell ref="AN38:AN39"/>
    <mergeCell ref="AO38:AO39"/>
    <mergeCell ref="AQ2:AQ3"/>
    <mergeCell ref="AL38:AL39"/>
    <mergeCell ref="AL2:AL3"/>
    <mergeCell ref="R3:V3"/>
    <mergeCell ref="R39:V39"/>
    <mergeCell ref="W3:AA3"/>
    <mergeCell ref="W39:AA39"/>
    <mergeCell ref="AB3:AF3"/>
    <mergeCell ref="AB39:AF39"/>
    <mergeCell ref="AG3:AK3"/>
    <mergeCell ref="AG39:AK39"/>
    <mergeCell ref="A52:AL52"/>
    <mergeCell ref="A46:B46"/>
    <mergeCell ref="A38:A39"/>
    <mergeCell ref="B38:B39"/>
    <mergeCell ref="C3:G3"/>
    <mergeCell ref="C39:G39"/>
    <mergeCell ref="B2:B3"/>
    <mergeCell ref="A26:B26"/>
    <mergeCell ref="A24:B24"/>
    <mergeCell ref="A25:B25"/>
    <mergeCell ref="A2:A3"/>
    <mergeCell ref="A32:AL32"/>
    <mergeCell ref="H3:L3"/>
    <mergeCell ref="H39:L39"/>
    <mergeCell ref="M3:Q3"/>
    <mergeCell ref="M39:Q39"/>
  </mergeCells>
  <pageMargins left="0.7" right="0.7" top="0.75" bottom="0.75" header="0.3" footer="0.3"/>
  <pageSetup paperSize="3" scale="45" fitToHeight="0"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20"/>
  <sheetViews>
    <sheetView tabSelected="1" zoomScale="90" zoomScaleNormal="90" workbookViewId="0">
      <pane xSplit="1" ySplit="2" topLeftCell="B63" activePane="bottomRight" state="frozen"/>
      <selection pane="bottomRight" activeCell="G73" sqref="G73:O73"/>
      <selection pane="bottomLeft" activeCell="A3" sqref="A3"/>
      <selection pane="topRight" activeCell="B1" sqref="B1"/>
    </sheetView>
  </sheetViews>
  <sheetFormatPr defaultColWidth="9.140625" defaultRowHeight="12.75"/>
  <cols>
    <col min="1" max="1" width="10.140625" style="1" bestFit="1" customWidth="1"/>
    <col min="2" max="2" width="36.85546875" style="1" customWidth="1"/>
    <col min="3" max="3" width="46.42578125" style="1" customWidth="1"/>
    <col min="4" max="4" width="51.5703125" style="1" customWidth="1"/>
    <col min="5" max="5" width="10.42578125" style="255" customWidth="1"/>
    <col min="6" max="10" width="9.140625" style="1"/>
    <col min="11" max="15" width="11" style="1" customWidth="1"/>
    <col min="16" max="16" width="10.85546875" style="1" customWidth="1"/>
    <col min="17" max="17" width="25.42578125" style="1" customWidth="1"/>
    <col min="18" max="16384" width="9.140625" style="1"/>
  </cols>
  <sheetData>
    <row r="1" spans="1:17" ht="25.5" customHeight="1" thickBot="1">
      <c r="A1" s="3402" t="s">
        <v>456</v>
      </c>
      <c r="B1" s="3402"/>
      <c r="C1" s="3402"/>
      <c r="D1" s="3402"/>
      <c r="E1" s="3402"/>
      <c r="F1" s="3402"/>
      <c r="G1" s="3402"/>
      <c r="H1" s="3402"/>
      <c r="I1" s="3402"/>
      <c r="J1" s="3402"/>
      <c r="K1" s="3402"/>
      <c r="L1" s="3402"/>
      <c r="M1" s="3402"/>
      <c r="N1" s="3402"/>
      <c r="O1" s="3402"/>
      <c r="P1" s="3402"/>
      <c r="Q1" s="3402"/>
    </row>
    <row r="2" spans="1:17" ht="26.25" thickBot="1">
      <c r="A2" s="2800" t="s">
        <v>272</v>
      </c>
      <c r="B2" s="994" t="s">
        <v>273</v>
      </c>
      <c r="C2" s="994" t="s">
        <v>86</v>
      </c>
      <c r="D2" s="2801" t="s">
        <v>274</v>
      </c>
      <c r="E2" s="2802" t="s">
        <v>85</v>
      </c>
      <c r="F2" s="2803" t="s">
        <v>457</v>
      </c>
      <c r="G2" s="2803" t="s">
        <v>458</v>
      </c>
      <c r="H2" s="2804" t="s">
        <v>459</v>
      </c>
      <c r="I2" s="2804" t="s">
        <v>460</v>
      </c>
      <c r="J2" s="2804" t="s">
        <v>461</v>
      </c>
      <c r="K2" s="2805" t="s">
        <v>462</v>
      </c>
      <c r="L2" s="2806" t="s">
        <v>463</v>
      </c>
      <c r="M2" s="2807" t="s">
        <v>464</v>
      </c>
      <c r="N2" s="2806" t="s">
        <v>465</v>
      </c>
      <c r="O2" s="3034" t="s">
        <v>466</v>
      </c>
      <c r="P2" s="2808" t="s">
        <v>467</v>
      </c>
      <c r="Q2" s="235" t="s">
        <v>277</v>
      </c>
    </row>
    <row r="3" spans="1:17">
      <c r="A3" s="2809">
        <v>216014</v>
      </c>
      <c r="B3" s="2810" t="s">
        <v>385</v>
      </c>
      <c r="C3" s="2810" t="s">
        <v>385</v>
      </c>
      <c r="D3" s="2811"/>
      <c r="E3" s="2812" t="s">
        <v>278</v>
      </c>
      <c r="F3" s="2813">
        <v>0.01</v>
      </c>
      <c r="G3" s="2814">
        <v>0.01</v>
      </c>
      <c r="H3" s="2501">
        <v>0.01</v>
      </c>
      <c r="I3" s="2815">
        <v>0.01</v>
      </c>
      <c r="J3" s="2816">
        <v>0.01</v>
      </c>
      <c r="K3" s="2339">
        <v>48</v>
      </c>
      <c r="L3" s="2817">
        <v>48</v>
      </c>
      <c r="M3" s="2817">
        <v>48</v>
      </c>
      <c r="N3" s="2818">
        <v>48</v>
      </c>
      <c r="O3" s="2819">
        <v>48</v>
      </c>
      <c r="P3" s="2820">
        <f t="shared" ref="P3:P4" si="0">(F3+G3+H3+I3+J3)/(K3+L3+M3+N3+O3)*1000000</f>
        <v>208</v>
      </c>
      <c r="Q3" s="2574"/>
    </row>
    <row r="4" spans="1:17">
      <c r="A4" s="2821">
        <v>219158</v>
      </c>
      <c r="B4" s="2822" t="s">
        <v>386</v>
      </c>
      <c r="C4" s="2822" t="s">
        <v>386</v>
      </c>
      <c r="D4" s="2823"/>
      <c r="E4" s="2824" t="s">
        <v>278</v>
      </c>
      <c r="F4" s="1004">
        <v>3.0000000000000001E-3</v>
      </c>
      <c r="G4" s="2825">
        <v>3.0000000000000001E-3</v>
      </c>
      <c r="H4" s="1005">
        <v>3.0000000000000001E-3</v>
      </c>
      <c r="I4" s="2826">
        <v>3.0000000000000001E-3</v>
      </c>
      <c r="J4" s="2827">
        <v>3.0000000000000001E-3</v>
      </c>
      <c r="K4" s="2468">
        <v>21</v>
      </c>
      <c r="L4" s="2828">
        <v>21</v>
      </c>
      <c r="M4" s="2828">
        <v>21</v>
      </c>
      <c r="N4" s="2829">
        <v>21</v>
      </c>
      <c r="O4" s="2729">
        <v>21</v>
      </c>
      <c r="P4" s="2054">
        <f t="shared" si="0"/>
        <v>143</v>
      </c>
      <c r="Q4" s="2830"/>
    </row>
    <row r="5" spans="1:17" ht="13.5" thickBot="1">
      <c r="A5" s="2831">
        <v>220503</v>
      </c>
      <c r="B5" s="2832" t="s">
        <v>468</v>
      </c>
      <c r="C5" s="2832" t="s">
        <v>468</v>
      </c>
      <c r="D5" s="2833" t="s">
        <v>469</v>
      </c>
      <c r="E5" s="2834" t="s">
        <v>278</v>
      </c>
      <c r="F5" s="2835">
        <v>8.9999999999999993E-3</v>
      </c>
      <c r="G5" s="2836">
        <v>0.01</v>
      </c>
      <c r="H5" s="2837">
        <v>8.9999999999999993E-3</v>
      </c>
      <c r="I5" s="2838">
        <v>0.01</v>
      </c>
      <c r="J5" s="2839">
        <v>0.01</v>
      </c>
      <c r="K5" s="2419">
        <v>192</v>
      </c>
      <c r="L5" s="2840">
        <v>196</v>
      </c>
      <c r="M5" s="2840">
        <v>200</v>
      </c>
      <c r="N5" s="2841">
        <v>200</v>
      </c>
      <c r="O5" s="2842">
        <v>200</v>
      </c>
      <c r="P5" s="2843">
        <f>(F5+G5+H5+I5+J5)/(K5+L5+M5+N5+O5)*1000000</f>
        <v>49</v>
      </c>
      <c r="Q5" s="2834"/>
    </row>
    <row r="6" spans="1:17" ht="14.25" thickTop="1" thickBot="1">
      <c r="A6" s="3369" t="s">
        <v>293</v>
      </c>
      <c r="B6" s="3405"/>
      <c r="C6" s="3405"/>
      <c r="D6" s="3405"/>
      <c r="E6" s="3370"/>
      <c r="F6" s="2844">
        <f>SUM(F3:F5)</f>
        <v>2.1999999999999999E-2</v>
      </c>
      <c r="G6" s="2845">
        <f t="shared" ref="G6:O6" si="1">SUM(G3:G5)</f>
        <v>2.3E-2</v>
      </c>
      <c r="H6" s="2845">
        <f t="shared" si="1"/>
        <v>2.1999999999999999E-2</v>
      </c>
      <c r="I6" s="2846">
        <f t="shared" si="1"/>
        <v>2.3E-2</v>
      </c>
      <c r="J6" s="2847">
        <f t="shared" si="1"/>
        <v>2.3E-2</v>
      </c>
      <c r="K6" s="1463">
        <f t="shared" si="1"/>
        <v>261</v>
      </c>
      <c r="L6" s="1171">
        <f t="shared" si="1"/>
        <v>265</v>
      </c>
      <c r="M6" s="1465">
        <f t="shared" si="1"/>
        <v>269</v>
      </c>
      <c r="N6" s="1171">
        <f t="shared" si="1"/>
        <v>269</v>
      </c>
      <c r="O6" s="1477">
        <f t="shared" si="1"/>
        <v>269</v>
      </c>
      <c r="P6" s="2848">
        <f t="shared" ref="P6:P39" si="2">(F6+G6+H6+I6+J6)/(K6+L6+M6+N6+O6)*1000000</f>
        <v>85</v>
      </c>
      <c r="Q6" s="2574"/>
    </row>
    <row r="7" spans="1:17">
      <c r="A7" s="2849">
        <v>216644</v>
      </c>
      <c r="B7" s="2850" t="s">
        <v>388</v>
      </c>
      <c r="C7" s="2850" t="s">
        <v>388</v>
      </c>
      <c r="D7" s="2851" t="s">
        <v>470</v>
      </c>
      <c r="E7" s="2812" t="s">
        <v>297</v>
      </c>
      <c r="F7" s="2501">
        <v>4.1000000000000002E-2</v>
      </c>
      <c r="G7" s="2814">
        <v>3.7999999999999999E-2</v>
      </c>
      <c r="H7" s="2501">
        <v>4.4999999999999998E-2</v>
      </c>
      <c r="I7" s="2815">
        <v>0.04</v>
      </c>
      <c r="J7" s="2814">
        <v>3.5999999999999997E-2</v>
      </c>
      <c r="K7" s="2339">
        <v>305</v>
      </c>
      <c r="L7" s="2817">
        <v>307</v>
      </c>
      <c r="M7" s="2817">
        <v>311</v>
      </c>
      <c r="N7" s="2818">
        <v>311</v>
      </c>
      <c r="O7" s="2852">
        <v>322</v>
      </c>
      <c r="P7" s="2820">
        <f t="shared" ref="P7:P8" si="3">(F7+G7+H7+I7+J7)/(K7+L7+M7+N7+O7)*1000000</f>
        <v>129</v>
      </c>
      <c r="Q7" s="2853"/>
    </row>
    <row r="8" spans="1:17">
      <c r="A8" s="2809">
        <v>217909</v>
      </c>
      <c r="B8" s="2810" t="s">
        <v>389</v>
      </c>
      <c r="C8" s="2810" t="s">
        <v>389</v>
      </c>
      <c r="D8" s="2854"/>
      <c r="E8" s="2855" t="s">
        <v>297</v>
      </c>
      <c r="F8" s="2856">
        <v>4.0000000000000001E-3</v>
      </c>
      <c r="G8" s="2857">
        <v>4.0000000000000001E-3</v>
      </c>
      <c r="H8" s="2856">
        <v>4.0000000000000001E-3</v>
      </c>
      <c r="I8" s="2858">
        <v>4.0000000000000001E-3</v>
      </c>
      <c r="J8" s="2857">
        <v>4.0000000000000001E-3</v>
      </c>
      <c r="K8" s="2859">
        <v>15</v>
      </c>
      <c r="L8" s="2860">
        <v>15</v>
      </c>
      <c r="M8" s="2860">
        <v>15</v>
      </c>
      <c r="N8" s="2861">
        <v>15</v>
      </c>
      <c r="O8" s="2862">
        <v>15</v>
      </c>
      <c r="P8" s="2843">
        <f t="shared" si="3"/>
        <v>267</v>
      </c>
      <c r="Q8" s="2574"/>
    </row>
    <row r="9" spans="1:17" ht="13.5" thickBot="1">
      <c r="A9" s="2863">
        <v>220481</v>
      </c>
      <c r="B9" s="2362" t="s">
        <v>390</v>
      </c>
      <c r="C9" s="2362" t="s">
        <v>390</v>
      </c>
      <c r="D9" s="2864" t="s">
        <v>471</v>
      </c>
      <c r="E9" s="2865" t="s">
        <v>297</v>
      </c>
      <c r="F9" s="867">
        <v>4.2000000000000003E-2</v>
      </c>
      <c r="G9" s="867">
        <v>4.5999999999999999E-2</v>
      </c>
      <c r="H9" s="867">
        <v>6.0999999999999999E-2</v>
      </c>
      <c r="I9" s="2866">
        <v>3.3000000000000002E-2</v>
      </c>
      <c r="J9" s="2867">
        <v>4.3999999999999997E-2</v>
      </c>
      <c r="K9" s="2361">
        <v>465</v>
      </c>
      <c r="L9" s="2868">
        <v>465</v>
      </c>
      <c r="M9" s="2868">
        <v>463</v>
      </c>
      <c r="N9" s="2869">
        <v>463</v>
      </c>
      <c r="O9" s="2870">
        <v>477</v>
      </c>
      <c r="P9" s="1010">
        <f t="shared" si="2"/>
        <v>97</v>
      </c>
      <c r="Q9" s="2871"/>
    </row>
    <row r="10" spans="1:17" ht="14.25" thickTop="1" thickBot="1">
      <c r="A10" s="3406" t="s">
        <v>119</v>
      </c>
      <c r="B10" s="3407"/>
      <c r="C10" s="3407"/>
      <c r="D10" s="3407"/>
      <c r="E10" s="3408"/>
      <c r="F10" s="2872">
        <f>SUM(F7:F9)</f>
        <v>8.6999999999999994E-2</v>
      </c>
      <c r="G10" s="2872">
        <f t="shared" ref="G10:O10" si="4">SUM(G7:G9)</f>
        <v>8.7999999999999995E-2</v>
      </c>
      <c r="H10" s="2872">
        <f t="shared" si="4"/>
        <v>0.11</v>
      </c>
      <c r="I10" s="2873">
        <f t="shared" si="4"/>
        <v>7.6999999999999999E-2</v>
      </c>
      <c r="J10" s="2874">
        <f t="shared" si="4"/>
        <v>8.4000000000000005E-2</v>
      </c>
      <c r="K10" s="2875">
        <f t="shared" si="4"/>
        <v>785</v>
      </c>
      <c r="L10" s="2876">
        <f t="shared" si="4"/>
        <v>787</v>
      </c>
      <c r="M10" s="2877">
        <f t="shared" si="4"/>
        <v>789</v>
      </c>
      <c r="N10" s="2876">
        <f t="shared" si="4"/>
        <v>789</v>
      </c>
      <c r="O10" s="2878">
        <f t="shared" si="4"/>
        <v>814</v>
      </c>
      <c r="P10" s="2879">
        <f t="shared" si="2"/>
        <v>113</v>
      </c>
      <c r="Q10" s="2285"/>
    </row>
    <row r="11" spans="1:17">
      <c r="A11" s="2749">
        <v>497</v>
      </c>
      <c r="B11" s="2880" t="s">
        <v>391</v>
      </c>
      <c r="C11" s="2880" t="s">
        <v>391</v>
      </c>
      <c r="D11" s="2881" t="s">
        <v>472</v>
      </c>
      <c r="E11" s="2882" t="s">
        <v>302</v>
      </c>
      <c r="F11" s="83">
        <v>4.2500000000000003E-2</v>
      </c>
      <c r="G11" s="2417">
        <v>4.5999999999999999E-2</v>
      </c>
      <c r="H11" s="83">
        <v>3.5999999999999997E-2</v>
      </c>
      <c r="I11" s="289">
        <v>3.5000000000000003E-2</v>
      </c>
      <c r="J11" s="2417">
        <v>2.7E-2</v>
      </c>
      <c r="K11" s="131">
        <v>202</v>
      </c>
      <c r="L11" s="2883">
        <v>202</v>
      </c>
      <c r="M11" s="2883">
        <v>202</v>
      </c>
      <c r="N11" s="130">
        <v>202</v>
      </c>
      <c r="O11" s="2884">
        <v>202</v>
      </c>
      <c r="P11" s="2047">
        <f t="shared" si="2"/>
        <v>185</v>
      </c>
      <c r="Q11" s="2885"/>
    </row>
    <row r="12" spans="1:17">
      <c r="A12" s="2679">
        <v>509</v>
      </c>
      <c r="B12" s="2346" t="s">
        <v>392</v>
      </c>
      <c r="C12" s="2346" t="s">
        <v>392</v>
      </c>
      <c r="D12" s="2886" t="s">
        <v>473</v>
      </c>
      <c r="E12" s="2824" t="s">
        <v>302</v>
      </c>
      <c r="F12" s="819">
        <v>3.4000000000000002E-2</v>
      </c>
      <c r="G12" s="2406">
        <v>2.7E-2</v>
      </c>
      <c r="H12" s="819">
        <v>2.9000000000000001E-2</v>
      </c>
      <c r="I12" s="817">
        <v>3.1E-2</v>
      </c>
      <c r="J12" s="2406">
        <v>2.7E-2</v>
      </c>
      <c r="K12" s="824">
        <v>495</v>
      </c>
      <c r="L12" s="807">
        <v>495</v>
      </c>
      <c r="M12" s="807">
        <v>495</v>
      </c>
      <c r="N12" s="814">
        <v>497</v>
      </c>
      <c r="O12" s="2442">
        <v>497</v>
      </c>
      <c r="P12" s="1953">
        <f t="shared" si="2"/>
        <v>60</v>
      </c>
      <c r="Q12" s="365"/>
    </row>
    <row r="13" spans="1:17" ht="13.5" thickBot="1">
      <c r="A13" s="2682">
        <v>527</v>
      </c>
      <c r="B13" s="2436" t="s">
        <v>393</v>
      </c>
      <c r="C13" s="2436" t="s">
        <v>393</v>
      </c>
      <c r="D13" s="2887" t="s">
        <v>474</v>
      </c>
      <c r="E13" s="2865" t="s">
        <v>302</v>
      </c>
      <c r="F13" s="746">
        <v>8.2000000000000003E-2</v>
      </c>
      <c r="G13" s="2407">
        <v>7.3999999999999996E-2</v>
      </c>
      <c r="H13" s="746">
        <v>8.7999999999999995E-2</v>
      </c>
      <c r="I13" s="869">
        <v>9.5000000000000001E-2</v>
      </c>
      <c r="J13" s="2407">
        <v>0.09</v>
      </c>
      <c r="K13" s="2408">
        <v>1000</v>
      </c>
      <c r="L13" s="2034">
        <v>1000</v>
      </c>
      <c r="M13" s="2034">
        <v>1000</v>
      </c>
      <c r="N13" s="2033">
        <v>1000</v>
      </c>
      <c r="O13" s="2409">
        <v>1000</v>
      </c>
      <c r="P13" s="2031">
        <f t="shared" si="2"/>
        <v>86</v>
      </c>
      <c r="Q13" s="133"/>
    </row>
    <row r="14" spans="1:17" ht="14.25" thickTop="1" thickBot="1">
      <c r="A14" s="3406" t="s">
        <v>475</v>
      </c>
      <c r="B14" s="3407"/>
      <c r="C14" s="3407"/>
      <c r="D14" s="3407"/>
      <c r="E14" s="3408"/>
      <c r="F14" s="2389">
        <f t="shared" ref="F14:N14" si="5">SUM(F11:F13)</f>
        <v>0.159</v>
      </c>
      <c r="G14" s="2389">
        <f t="shared" si="5"/>
        <v>0.14699999999999999</v>
      </c>
      <c r="H14" s="2369">
        <f t="shared" si="5"/>
        <v>0.153</v>
      </c>
      <c r="I14" s="2370">
        <f t="shared" si="5"/>
        <v>0.161</v>
      </c>
      <c r="J14" s="2410">
        <f>SUM(J11:J13)</f>
        <v>0.14399999999999999</v>
      </c>
      <c r="K14" s="2411">
        <f t="shared" si="5"/>
        <v>1697</v>
      </c>
      <c r="L14" s="1980">
        <f t="shared" si="5"/>
        <v>1697</v>
      </c>
      <c r="M14" s="1981">
        <f t="shared" si="5"/>
        <v>1697</v>
      </c>
      <c r="N14" s="1980">
        <f t="shared" si="5"/>
        <v>1699</v>
      </c>
      <c r="O14" s="2412">
        <f>SUM(O11:O13)</f>
        <v>1699</v>
      </c>
      <c r="P14" s="1978">
        <f t="shared" si="2"/>
        <v>90</v>
      </c>
      <c r="Q14" s="2888"/>
    </row>
    <row r="15" spans="1:17">
      <c r="A15" s="2684">
        <v>216402</v>
      </c>
      <c r="B15" s="2889" t="s">
        <v>394</v>
      </c>
      <c r="C15" s="2354" t="s">
        <v>394</v>
      </c>
      <c r="D15" s="3040"/>
      <c r="E15" s="2890" t="s">
        <v>22</v>
      </c>
      <c r="F15" s="2891">
        <v>8.0000000000000002E-3</v>
      </c>
      <c r="G15" s="24">
        <v>8.0000000000000002E-3</v>
      </c>
      <c r="H15" s="2892">
        <v>8.0000000000000002E-3</v>
      </c>
      <c r="I15" s="24">
        <v>8.0000000000000002E-3</v>
      </c>
      <c r="J15" s="2893">
        <v>8.0000000000000002E-3</v>
      </c>
      <c r="K15" s="2602">
        <v>52</v>
      </c>
      <c r="L15" s="2894">
        <v>52</v>
      </c>
      <c r="M15" s="2894">
        <v>52</v>
      </c>
      <c r="N15" s="2603">
        <v>52</v>
      </c>
      <c r="O15" s="2604">
        <v>52</v>
      </c>
      <c r="P15" s="2601">
        <f t="shared" si="2"/>
        <v>154</v>
      </c>
      <c r="Q15" s="134"/>
    </row>
    <row r="16" spans="1:17">
      <c r="A16" s="2679">
        <v>216937</v>
      </c>
      <c r="B16" s="2708" t="s">
        <v>395</v>
      </c>
      <c r="C16" s="2346" t="s">
        <v>395</v>
      </c>
      <c r="D16" s="2895"/>
      <c r="E16" s="2824" t="s">
        <v>22</v>
      </c>
      <c r="F16" s="2489">
        <v>7.0000000000000001E-3</v>
      </c>
      <c r="G16" s="2349">
        <v>7.0000000000000001E-3</v>
      </c>
      <c r="H16" s="2348">
        <v>7.0000000000000001E-3</v>
      </c>
      <c r="I16" s="2349">
        <v>7.0000000000000001E-3</v>
      </c>
      <c r="J16" s="2434">
        <v>7.0000000000000001E-3</v>
      </c>
      <c r="K16" s="824">
        <v>48</v>
      </c>
      <c r="L16" s="807">
        <v>48</v>
      </c>
      <c r="M16" s="807">
        <v>48</v>
      </c>
      <c r="N16" s="814">
        <v>48</v>
      </c>
      <c r="O16" s="2442">
        <v>48</v>
      </c>
      <c r="P16" s="1953">
        <f t="shared" si="2"/>
        <v>146</v>
      </c>
      <c r="Q16" s="365"/>
    </row>
    <row r="17" spans="1:17">
      <c r="A17" s="2679">
        <v>217171</v>
      </c>
      <c r="B17" s="2708" t="s">
        <v>396</v>
      </c>
      <c r="C17" s="2346" t="s">
        <v>396</v>
      </c>
      <c r="D17" s="2895"/>
      <c r="E17" s="2824" t="s">
        <v>22</v>
      </c>
      <c r="F17" s="2489">
        <v>0.02</v>
      </c>
      <c r="G17" s="2349">
        <v>0.02</v>
      </c>
      <c r="H17" s="2348">
        <v>0.02</v>
      </c>
      <c r="I17" s="2349">
        <v>0.02</v>
      </c>
      <c r="J17" s="2434">
        <v>0.02</v>
      </c>
      <c r="K17" s="824">
        <v>136</v>
      </c>
      <c r="L17" s="807">
        <v>136</v>
      </c>
      <c r="M17" s="807">
        <v>136</v>
      </c>
      <c r="N17" s="814">
        <v>136</v>
      </c>
      <c r="O17" s="2442">
        <v>136</v>
      </c>
      <c r="P17" s="1953">
        <f t="shared" si="2"/>
        <v>147</v>
      </c>
      <c r="Q17" s="365"/>
    </row>
    <row r="18" spans="1:17">
      <c r="A18" s="2821">
        <v>218347</v>
      </c>
      <c r="B18" s="2896" t="s">
        <v>397</v>
      </c>
      <c r="C18" s="2896" t="s">
        <v>397</v>
      </c>
      <c r="D18" s="2897" t="s">
        <v>476</v>
      </c>
      <c r="E18" s="2824" t="s">
        <v>22</v>
      </c>
      <c r="F18" s="2489">
        <v>8.6999999999999994E-2</v>
      </c>
      <c r="G18" s="2349">
        <v>0.10100000000000001</v>
      </c>
      <c r="H18" s="2348">
        <v>8.5999999999999993E-2</v>
      </c>
      <c r="I18" s="2349">
        <v>6.0999999999999999E-2</v>
      </c>
      <c r="J18" s="2434">
        <v>6.2E-2</v>
      </c>
      <c r="K18" s="824">
        <v>494</v>
      </c>
      <c r="L18" s="807">
        <v>490</v>
      </c>
      <c r="M18" s="807">
        <v>488</v>
      </c>
      <c r="N18" s="814">
        <v>490</v>
      </c>
      <c r="O18" s="2442">
        <v>506</v>
      </c>
      <c r="P18" s="391">
        <f t="shared" si="2"/>
        <v>161</v>
      </c>
      <c r="Q18" s="365"/>
    </row>
    <row r="19" spans="1:17">
      <c r="A19" s="2679">
        <v>218667</v>
      </c>
      <c r="B19" s="2708" t="s">
        <v>398</v>
      </c>
      <c r="C19" s="2346" t="s">
        <v>398</v>
      </c>
      <c r="D19" s="2895"/>
      <c r="E19" s="2824" t="s">
        <v>22</v>
      </c>
      <c r="F19" s="2489">
        <v>2E-3</v>
      </c>
      <c r="G19" s="2349">
        <v>2E-3</v>
      </c>
      <c r="H19" s="2348">
        <v>2E-3</v>
      </c>
      <c r="I19" s="2349">
        <v>2E-3</v>
      </c>
      <c r="J19" s="2434">
        <v>2E-3</v>
      </c>
      <c r="K19" s="824">
        <v>12</v>
      </c>
      <c r="L19" s="807">
        <v>12</v>
      </c>
      <c r="M19" s="807">
        <v>12</v>
      </c>
      <c r="N19" s="814">
        <v>12</v>
      </c>
      <c r="O19" s="2442">
        <v>12</v>
      </c>
      <c r="P19" s="391">
        <f t="shared" si="2"/>
        <v>167</v>
      </c>
      <c r="Q19" s="365"/>
    </row>
    <row r="20" spans="1:17">
      <c r="A20" s="2886">
        <v>219114</v>
      </c>
      <c r="B20" s="2346" t="s">
        <v>399</v>
      </c>
      <c r="C20" s="2346" t="s">
        <v>399</v>
      </c>
      <c r="D20" s="2895"/>
      <c r="E20" s="2824" t="s">
        <v>22</v>
      </c>
      <c r="F20" s="2489">
        <v>1.4E-2</v>
      </c>
      <c r="G20" s="2349">
        <v>1.2999999999999999E-2</v>
      </c>
      <c r="H20" s="2348">
        <v>1.4999999999999999E-2</v>
      </c>
      <c r="I20" s="2349">
        <v>1.7000000000000001E-2</v>
      </c>
      <c r="J20" s="2434">
        <v>1.4999999999999999E-2</v>
      </c>
      <c r="K20" s="1959">
        <v>250</v>
      </c>
      <c r="L20" s="807">
        <v>250</v>
      </c>
      <c r="M20" s="814">
        <v>250</v>
      </c>
      <c r="N20" s="814">
        <v>250</v>
      </c>
      <c r="O20" s="1954">
        <v>250</v>
      </c>
      <c r="P20" s="391">
        <f t="shared" si="2"/>
        <v>59</v>
      </c>
      <c r="Q20" s="365"/>
    </row>
    <row r="21" spans="1:17">
      <c r="A21" s="2708">
        <v>219122</v>
      </c>
      <c r="B21" s="2708" t="s">
        <v>400</v>
      </c>
      <c r="C21" s="2708" t="s">
        <v>400</v>
      </c>
      <c r="D21" s="2895"/>
      <c r="E21" s="2824" t="s">
        <v>22</v>
      </c>
      <c r="F21" s="2489">
        <v>8.0000000000000002E-3</v>
      </c>
      <c r="G21" s="2349">
        <v>1.2999999999999999E-2</v>
      </c>
      <c r="H21" s="2348">
        <v>1.0999999999999999E-2</v>
      </c>
      <c r="I21" s="2349">
        <v>1.4E-2</v>
      </c>
      <c r="J21" s="2434">
        <v>1.4E-2</v>
      </c>
      <c r="K21" s="824">
        <v>300</v>
      </c>
      <c r="L21" s="814">
        <v>300</v>
      </c>
      <c r="M21" s="2476">
        <v>300</v>
      </c>
      <c r="N21" s="814">
        <v>300</v>
      </c>
      <c r="O21" s="2476">
        <v>300</v>
      </c>
      <c r="P21" s="391">
        <f t="shared" si="2"/>
        <v>40</v>
      </c>
      <c r="Q21" s="365"/>
    </row>
    <row r="22" spans="1:17">
      <c r="A22" s="2679">
        <v>219126</v>
      </c>
      <c r="B22" s="2708" t="s">
        <v>401</v>
      </c>
      <c r="C22" s="2346" t="s">
        <v>401</v>
      </c>
      <c r="D22" s="2895"/>
      <c r="E22" s="2824" t="s">
        <v>22</v>
      </c>
      <c r="F22" s="2489">
        <v>1.4E-2</v>
      </c>
      <c r="G22" s="2349">
        <v>1.4E-2</v>
      </c>
      <c r="H22" s="2348">
        <v>1.4E-2</v>
      </c>
      <c r="I22" s="2349">
        <v>1.4E-2</v>
      </c>
      <c r="J22" s="2434">
        <v>1.4E-2</v>
      </c>
      <c r="K22" s="824">
        <v>96</v>
      </c>
      <c r="L22" s="807">
        <v>96</v>
      </c>
      <c r="M22" s="807">
        <v>96</v>
      </c>
      <c r="N22" s="814">
        <v>96</v>
      </c>
      <c r="O22" s="2442">
        <v>96</v>
      </c>
      <c r="P22" s="391">
        <f t="shared" si="2"/>
        <v>146</v>
      </c>
      <c r="Q22" s="365"/>
    </row>
    <row r="23" spans="1:17">
      <c r="A23" s="2679">
        <v>219141</v>
      </c>
      <c r="B23" s="2708" t="s">
        <v>402</v>
      </c>
      <c r="C23" s="2346" t="s">
        <v>402</v>
      </c>
      <c r="D23" s="2895"/>
      <c r="E23" s="2824" t="s">
        <v>22</v>
      </c>
      <c r="F23" s="2489">
        <v>3.0000000000000001E-3</v>
      </c>
      <c r="G23" s="2349">
        <v>3.0000000000000001E-3</v>
      </c>
      <c r="H23" s="2348">
        <v>3.0000000000000001E-3</v>
      </c>
      <c r="I23" s="2349">
        <v>3.0000000000000001E-3</v>
      </c>
      <c r="J23" s="2434">
        <v>3.0000000000000001E-3</v>
      </c>
      <c r="K23" s="824">
        <v>22</v>
      </c>
      <c r="L23" s="807">
        <v>22</v>
      </c>
      <c r="M23" s="807">
        <v>22</v>
      </c>
      <c r="N23" s="814">
        <v>22</v>
      </c>
      <c r="O23" s="2442">
        <v>22</v>
      </c>
      <c r="P23" s="391">
        <f t="shared" si="2"/>
        <v>136</v>
      </c>
      <c r="Q23" s="365"/>
    </row>
    <row r="24" spans="1:17" ht="25.5">
      <c r="A24" s="2679">
        <v>219146</v>
      </c>
      <c r="B24" s="2707" t="s">
        <v>477</v>
      </c>
      <c r="C24" s="2898" t="s">
        <v>477</v>
      </c>
      <c r="D24" s="2895"/>
      <c r="E24" s="2824" t="s">
        <v>22</v>
      </c>
      <c r="F24" s="2489">
        <v>6.0000000000000001E-3</v>
      </c>
      <c r="G24" s="2349">
        <v>6.0000000000000001E-3</v>
      </c>
      <c r="H24" s="2348">
        <v>6.0000000000000001E-3</v>
      </c>
      <c r="I24" s="2349">
        <v>6.0000000000000001E-3</v>
      </c>
      <c r="J24" s="2434">
        <v>6.0000000000000001E-3</v>
      </c>
      <c r="K24" s="824">
        <v>40</v>
      </c>
      <c r="L24" s="807">
        <v>40</v>
      </c>
      <c r="M24" s="807">
        <v>40</v>
      </c>
      <c r="N24" s="814">
        <v>40</v>
      </c>
      <c r="O24" s="2442">
        <v>40</v>
      </c>
      <c r="P24" s="391">
        <f t="shared" si="2"/>
        <v>150</v>
      </c>
      <c r="Q24" s="365"/>
    </row>
    <row r="25" spans="1:17">
      <c r="A25" s="2679">
        <v>219152</v>
      </c>
      <c r="B25" s="2708" t="s">
        <v>404</v>
      </c>
      <c r="C25" s="2346" t="s">
        <v>404</v>
      </c>
      <c r="D25" s="2895"/>
      <c r="E25" s="2824" t="s">
        <v>22</v>
      </c>
      <c r="F25" s="2489">
        <v>0.01</v>
      </c>
      <c r="G25" s="2349">
        <v>0.01</v>
      </c>
      <c r="H25" s="2348">
        <v>0.01</v>
      </c>
      <c r="I25" s="2349">
        <v>0.01</v>
      </c>
      <c r="J25" s="2434">
        <v>0.01</v>
      </c>
      <c r="K25" s="824">
        <v>66</v>
      </c>
      <c r="L25" s="807">
        <v>66</v>
      </c>
      <c r="M25" s="807">
        <v>66</v>
      </c>
      <c r="N25" s="814">
        <v>66</v>
      </c>
      <c r="O25" s="2442">
        <v>66</v>
      </c>
      <c r="P25" s="391">
        <f t="shared" si="2"/>
        <v>152</v>
      </c>
      <c r="Q25" s="365"/>
    </row>
    <row r="26" spans="1:17">
      <c r="A26" s="2346">
        <v>219195</v>
      </c>
      <c r="B26" s="2679" t="s">
        <v>405</v>
      </c>
      <c r="C26" s="2708" t="s">
        <v>405</v>
      </c>
      <c r="D26" s="2895"/>
      <c r="E26" s="2824" t="s">
        <v>22</v>
      </c>
      <c r="F26" s="2489">
        <v>4.0000000000000001E-3</v>
      </c>
      <c r="G26" s="2349">
        <v>4.0000000000000001E-3</v>
      </c>
      <c r="H26" s="2348">
        <v>4.0000000000000001E-3</v>
      </c>
      <c r="I26" s="2349">
        <v>4.0000000000000001E-3</v>
      </c>
      <c r="J26" s="2434">
        <v>4.0000000000000001E-3</v>
      </c>
      <c r="K26" s="824">
        <v>310</v>
      </c>
      <c r="L26" s="807">
        <v>310</v>
      </c>
      <c r="M26" s="807">
        <v>310</v>
      </c>
      <c r="N26" s="807">
        <v>310</v>
      </c>
      <c r="O26" s="807">
        <v>310</v>
      </c>
      <c r="P26" s="391">
        <f t="shared" si="2"/>
        <v>13</v>
      </c>
      <c r="Q26" s="365"/>
    </row>
    <row r="27" spans="1:17">
      <c r="A27" s="2679">
        <v>219755</v>
      </c>
      <c r="B27" s="2708" t="s">
        <v>406</v>
      </c>
      <c r="C27" s="2346" t="s">
        <v>406</v>
      </c>
      <c r="D27" s="2895"/>
      <c r="E27" s="2824" t="s">
        <v>22</v>
      </c>
      <c r="F27" s="2489">
        <v>6.0000000000000001E-3</v>
      </c>
      <c r="G27" s="2349">
        <v>6.0000000000000001E-3</v>
      </c>
      <c r="H27" s="2348">
        <v>6.0000000000000001E-3</v>
      </c>
      <c r="I27" s="2349">
        <v>6.0000000000000001E-3</v>
      </c>
      <c r="J27" s="2434">
        <v>6.0000000000000001E-3</v>
      </c>
      <c r="K27" s="824">
        <v>20</v>
      </c>
      <c r="L27" s="807">
        <v>20</v>
      </c>
      <c r="M27" s="807">
        <v>20</v>
      </c>
      <c r="N27" s="814">
        <v>20</v>
      </c>
      <c r="O27" s="2442">
        <v>20</v>
      </c>
      <c r="P27" s="391">
        <f t="shared" si="2"/>
        <v>300</v>
      </c>
      <c r="Q27" s="365"/>
    </row>
    <row r="28" spans="1:17">
      <c r="A28" s="2679">
        <v>219757</v>
      </c>
      <c r="B28" s="2708" t="s">
        <v>407</v>
      </c>
      <c r="C28" s="2346" t="s">
        <v>407</v>
      </c>
      <c r="D28" s="2895"/>
      <c r="E28" s="2824" t="s">
        <v>22</v>
      </c>
      <c r="F28" s="2489">
        <v>4.0000000000000001E-3</v>
      </c>
      <c r="G28" s="2349">
        <v>4.0000000000000001E-3</v>
      </c>
      <c r="H28" s="2348">
        <v>4.0000000000000001E-3</v>
      </c>
      <c r="I28" s="2349">
        <v>4.0000000000000001E-3</v>
      </c>
      <c r="J28" s="2434">
        <v>4.0000000000000001E-3</v>
      </c>
      <c r="K28" s="824">
        <v>30</v>
      </c>
      <c r="L28" s="807">
        <v>30</v>
      </c>
      <c r="M28" s="807">
        <v>30</v>
      </c>
      <c r="N28" s="814">
        <v>30</v>
      </c>
      <c r="O28" s="2442">
        <v>30</v>
      </c>
      <c r="P28" s="391">
        <f t="shared" si="2"/>
        <v>133</v>
      </c>
      <c r="Q28" s="365"/>
    </row>
    <row r="29" spans="1:17">
      <c r="A29" s="2679">
        <v>219905</v>
      </c>
      <c r="B29" s="2708" t="s">
        <v>408</v>
      </c>
      <c r="C29" s="2346" t="s">
        <v>408</v>
      </c>
      <c r="D29" s="2895"/>
      <c r="E29" s="2824" t="s">
        <v>22</v>
      </c>
      <c r="F29" s="2489">
        <v>2E-3</v>
      </c>
      <c r="G29" s="2349">
        <v>2E-3</v>
      </c>
      <c r="H29" s="2348">
        <v>2E-3</v>
      </c>
      <c r="I29" s="2349">
        <v>2E-3</v>
      </c>
      <c r="J29" s="2434">
        <v>2E-3</v>
      </c>
      <c r="K29" s="824">
        <v>16</v>
      </c>
      <c r="L29" s="807">
        <v>16</v>
      </c>
      <c r="M29" s="807">
        <v>16</v>
      </c>
      <c r="N29" s="814">
        <v>16</v>
      </c>
      <c r="O29" s="2442">
        <v>16</v>
      </c>
      <c r="P29" s="391">
        <f t="shared" si="2"/>
        <v>125</v>
      </c>
      <c r="Q29" s="365"/>
    </row>
    <row r="30" spans="1:17">
      <c r="A30" s="2679">
        <v>220164</v>
      </c>
      <c r="B30" s="2708" t="s">
        <v>409</v>
      </c>
      <c r="C30" s="2346" t="s">
        <v>409</v>
      </c>
      <c r="D30" s="2895"/>
      <c r="E30" s="2824" t="s">
        <v>22</v>
      </c>
      <c r="F30" s="2489">
        <v>2E-3</v>
      </c>
      <c r="G30" s="2349">
        <v>2E-3</v>
      </c>
      <c r="H30" s="2348">
        <v>2E-3</v>
      </c>
      <c r="I30" s="2349">
        <v>2E-3</v>
      </c>
      <c r="J30" s="2434">
        <v>2E-3</v>
      </c>
      <c r="K30" s="824">
        <v>16</v>
      </c>
      <c r="L30" s="807">
        <v>16</v>
      </c>
      <c r="M30" s="807">
        <v>16</v>
      </c>
      <c r="N30" s="814">
        <v>16</v>
      </c>
      <c r="O30" s="2442">
        <v>16</v>
      </c>
      <c r="P30" s="391">
        <f t="shared" si="2"/>
        <v>125</v>
      </c>
      <c r="Q30" s="365"/>
    </row>
    <row r="31" spans="1:17">
      <c r="A31" s="3055">
        <v>220582</v>
      </c>
      <c r="B31" s="3056" t="s">
        <v>410</v>
      </c>
      <c r="C31" s="2346" t="s">
        <v>410</v>
      </c>
      <c r="D31" s="3057"/>
      <c r="E31" s="2824" t="s">
        <v>22</v>
      </c>
      <c r="F31" s="3058">
        <v>3.9E-2</v>
      </c>
      <c r="G31" s="3011">
        <v>0.04</v>
      </c>
      <c r="H31" s="3012">
        <v>3.9E-2</v>
      </c>
      <c r="I31" s="3011">
        <v>4.2999999999999997E-2</v>
      </c>
      <c r="J31" s="3013">
        <v>0.08</v>
      </c>
      <c r="K31" s="2560">
        <v>348</v>
      </c>
      <c r="L31" s="2018">
        <v>348</v>
      </c>
      <c r="M31" s="2018">
        <v>348</v>
      </c>
      <c r="N31" s="2017">
        <v>348</v>
      </c>
      <c r="O31" s="2561">
        <v>348</v>
      </c>
      <c r="P31" s="391">
        <f t="shared" si="2"/>
        <v>139</v>
      </c>
      <c r="Q31" s="357"/>
    </row>
    <row r="32" spans="1:17" ht="13.5" thickBot="1">
      <c r="A32" s="2988">
        <v>220689</v>
      </c>
      <c r="B32" s="1873" t="s">
        <v>411</v>
      </c>
      <c r="C32" s="2436" t="s">
        <v>411</v>
      </c>
      <c r="D32" s="3002"/>
      <c r="E32" s="2865" t="s">
        <v>22</v>
      </c>
      <c r="F32" s="2365">
        <v>0</v>
      </c>
      <c r="G32" s="2364">
        <v>0</v>
      </c>
      <c r="H32" s="2364">
        <v>7.0000000000000001E-3</v>
      </c>
      <c r="I32" s="2365">
        <v>4.0000000000000001E-3</v>
      </c>
      <c r="J32" s="2438">
        <v>1.2999999999999999E-2</v>
      </c>
      <c r="K32" s="2408">
        <v>60</v>
      </c>
      <c r="L32" s="2034">
        <v>60</v>
      </c>
      <c r="M32" s="2034">
        <v>60</v>
      </c>
      <c r="N32" s="2033">
        <v>60</v>
      </c>
      <c r="O32" s="2409">
        <v>60</v>
      </c>
      <c r="P32" s="1010">
        <f t="shared" si="2"/>
        <v>80</v>
      </c>
      <c r="Q32" s="133"/>
    </row>
    <row r="33" spans="1:17" ht="14.25" thickTop="1" thickBot="1">
      <c r="A33" s="3409" t="s">
        <v>478</v>
      </c>
      <c r="B33" s="3410"/>
      <c r="C33" s="3410"/>
      <c r="D33" s="3410"/>
      <c r="E33" s="3411"/>
      <c r="F33" s="2998">
        <f t="shared" ref="F33:O33" si="6">SUM(F$15:F$32)</f>
        <v>0.23599999999999999</v>
      </c>
      <c r="G33" s="2998">
        <f t="shared" si="6"/>
        <v>0.255</v>
      </c>
      <c r="H33" s="2998">
        <f t="shared" si="6"/>
        <v>0.246</v>
      </c>
      <c r="I33" s="2998">
        <f t="shared" si="6"/>
        <v>0.22700000000000001</v>
      </c>
      <c r="J33" s="2999">
        <f t="shared" si="6"/>
        <v>0.27200000000000002</v>
      </c>
      <c r="K33" s="2993">
        <f t="shared" si="6"/>
        <v>2316</v>
      </c>
      <c r="L33" s="3000">
        <f t="shared" si="6"/>
        <v>2312</v>
      </c>
      <c r="M33" s="3000">
        <f t="shared" si="6"/>
        <v>2310</v>
      </c>
      <c r="N33" s="3000">
        <f t="shared" si="6"/>
        <v>2312</v>
      </c>
      <c r="O33" s="3000">
        <f t="shared" si="6"/>
        <v>2328</v>
      </c>
      <c r="P33" s="3001">
        <f t="shared" si="2"/>
        <v>107</v>
      </c>
      <c r="Q33" s="2959"/>
    </row>
    <row r="34" spans="1:17" ht="13.5" thickBot="1">
      <c r="A34" s="2899">
        <v>1979</v>
      </c>
      <c r="B34" s="1388" t="s">
        <v>412</v>
      </c>
      <c r="C34" s="1388" t="s">
        <v>412</v>
      </c>
      <c r="D34" s="2900" t="s">
        <v>479</v>
      </c>
      <c r="E34" s="2901" t="s">
        <v>309</v>
      </c>
      <c r="F34" s="86">
        <v>0.01</v>
      </c>
      <c r="G34" s="2485">
        <v>0.01</v>
      </c>
      <c r="H34" s="86">
        <v>1.2E-2</v>
      </c>
      <c r="I34" s="2484">
        <v>0.01</v>
      </c>
      <c r="J34" s="2485">
        <v>0.01</v>
      </c>
      <c r="K34" s="2902">
        <v>380</v>
      </c>
      <c r="L34" s="1996">
        <v>380</v>
      </c>
      <c r="M34" s="1996">
        <v>380</v>
      </c>
      <c r="N34" s="1995">
        <v>380</v>
      </c>
      <c r="O34" s="2903">
        <v>380</v>
      </c>
      <c r="P34" s="1989">
        <f t="shared" si="2"/>
        <v>27</v>
      </c>
      <c r="Q34" s="2904"/>
    </row>
    <row r="35" spans="1:17" ht="14.25" thickTop="1" thickBot="1">
      <c r="A35" s="3369" t="s">
        <v>480</v>
      </c>
      <c r="B35" s="3405"/>
      <c r="C35" s="3405"/>
      <c r="D35" s="3405"/>
      <c r="E35" s="3370"/>
      <c r="F35" s="2332">
        <f t="shared" ref="F35:N35" si="7">SUM(F34)</f>
        <v>0.01</v>
      </c>
      <c r="G35" s="2332">
        <f t="shared" si="7"/>
        <v>0.01</v>
      </c>
      <c r="H35" s="2333">
        <f t="shared" si="7"/>
        <v>1.2E-2</v>
      </c>
      <c r="I35" s="2414">
        <f t="shared" si="7"/>
        <v>0.01</v>
      </c>
      <c r="J35" s="2415">
        <f>J34</f>
        <v>0.01</v>
      </c>
      <c r="K35" s="2544">
        <f t="shared" si="7"/>
        <v>380</v>
      </c>
      <c r="L35" s="2179">
        <f t="shared" si="7"/>
        <v>380</v>
      </c>
      <c r="M35" s="2180">
        <f t="shared" si="7"/>
        <v>380</v>
      </c>
      <c r="N35" s="2179">
        <f t="shared" si="7"/>
        <v>380</v>
      </c>
      <c r="O35" s="2545">
        <f>O34</f>
        <v>380</v>
      </c>
      <c r="P35" s="2601">
        <f t="shared" si="2"/>
        <v>27</v>
      </c>
      <c r="Q35" s="134"/>
    </row>
    <row r="36" spans="1:17">
      <c r="A36" s="131">
        <v>215891</v>
      </c>
      <c r="B36" s="130" t="s">
        <v>481</v>
      </c>
      <c r="C36" s="130" t="s">
        <v>481</v>
      </c>
      <c r="D36" s="2905"/>
      <c r="E36" s="2812" t="s">
        <v>26</v>
      </c>
      <c r="F36" s="2493">
        <v>0.01</v>
      </c>
      <c r="G36" s="2386">
        <v>0.01</v>
      </c>
      <c r="H36" s="82">
        <v>0.01</v>
      </c>
      <c r="I36" s="2386">
        <v>7.0000000000000001E-3</v>
      </c>
      <c r="J36" s="2431">
        <v>3.0000000000000001E-3</v>
      </c>
      <c r="K36" s="2444">
        <v>60</v>
      </c>
      <c r="L36" s="2169">
        <v>60</v>
      </c>
      <c r="M36" s="2169">
        <v>60</v>
      </c>
      <c r="N36" s="2168">
        <v>60</v>
      </c>
      <c r="O36" s="2445">
        <v>60</v>
      </c>
      <c r="P36" s="2820">
        <f t="shared" si="2"/>
        <v>133</v>
      </c>
      <c r="Q36" s="2885"/>
    </row>
    <row r="37" spans="1:17" ht="25.5">
      <c r="A37" s="2679">
        <v>219148</v>
      </c>
      <c r="B37" s="2898" t="s">
        <v>482</v>
      </c>
      <c r="C37" s="2898" t="s">
        <v>482</v>
      </c>
      <c r="D37" s="2895"/>
      <c r="E37" s="2824" t="s">
        <v>26</v>
      </c>
      <c r="F37" s="2489">
        <v>3.0000000000000001E-3</v>
      </c>
      <c r="G37" s="2489">
        <v>3.0000000000000001E-3</v>
      </c>
      <c r="H37" s="2489">
        <v>3.0000000000000001E-3</v>
      </c>
      <c r="I37" s="2489">
        <v>3.0000000000000001E-3</v>
      </c>
      <c r="J37" s="2489">
        <v>3.0000000000000001E-3</v>
      </c>
      <c r="K37" s="824">
        <v>21</v>
      </c>
      <c r="L37" s="807">
        <v>21</v>
      </c>
      <c r="M37" s="807">
        <v>21</v>
      </c>
      <c r="N37" s="814">
        <v>21</v>
      </c>
      <c r="O37" s="2442">
        <v>21</v>
      </c>
      <c r="P37" s="391">
        <f t="shared" si="2"/>
        <v>143</v>
      </c>
      <c r="Q37" s="365"/>
    </row>
    <row r="38" spans="1:17" ht="13.5" thickBot="1">
      <c r="A38" s="2682">
        <v>221284</v>
      </c>
      <c r="B38" s="2436" t="s">
        <v>415</v>
      </c>
      <c r="C38" s="2436" t="s">
        <v>415</v>
      </c>
      <c r="D38" s="1009"/>
      <c r="E38" s="2865" t="s">
        <v>26</v>
      </c>
      <c r="F38" s="2492">
        <v>7.3999999999999996E-2</v>
      </c>
      <c r="G38" s="2365">
        <v>6.7000000000000004E-2</v>
      </c>
      <c r="H38" s="2364">
        <v>4.7E-2</v>
      </c>
      <c r="I38" s="2365">
        <v>5.1999999999999998E-2</v>
      </c>
      <c r="J38" s="2438">
        <v>0.06</v>
      </c>
      <c r="K38" s="2408">
        <v>350</v>
      </c>
      <c r="L38" s="2034">
        <v>350</v>
      </c>
      <c r="M38" s="2034">
        <v>350</v>
      </c>
      <c r="N38" s="2033">
        <v>350</v>
      </c>
      <c r="O38" s="2409">
        <v>350</v>
      </c>
      <c r="P38" s="1010">
        <f t="shared" si="2"/>
        <v>171</v>
      </c>
      <c r="Q38" s="133"/>
    </row>
    <row r="39" spans="1:17" ht="14.25" thickTop="1" thickBot="1">
      <c r="A39" s="3406" t="s">
        <v>483</v>
      </c>
      <c r="B39" s="3407"/>
      <c r="C39" s="3407"/>
      <c r="D39" s="3407"/>
      <c r="E39" s="3408"/>
      <c r="F39" s="2389">
        <f>SUM(F36:F38)</f>
        <v>8.6999999999999994E-2</v>
      </c>
      <c r="G39" s="2389">
        <f t="shared" ref="G39:O39" si="8">SUM(G36:G38)</f>
        <v>0.08</v>
      </c>
      <c r="H39" s="2410">
        <f t="shared" si="8"/>
        <v>0.06</v>
      </c>
      <c r="I39" s="2370">
        <f t="shared" si="8"/>
        <v>6.2E-2</v>
      </c>
      <c r="J39" s="2410">
        <f t="shared" si="8"/>
        <v>6.6000000000000003E-2</v>
      </c>
      <c r="K39" s="2411">
        <f t="shared" si="8"/>
        <v>431</v>
      </c>
      <c r="L39" s="1980">
        <f t="shared" si="8"/>
        <v>431</v>
      </c>
      <c r="M39" s="1981">
        <f t="shared" si="8"/>
        <v>431</v>
      </c>
      <c r="N39" s="1980">
        <f t="shared" si="8"/>
        <v>431</v>
      </c>
      <c r="O39" s="2412">
        <f t="shared" si="8"/>
        <v>431</v>
      </c>
      <c r="P39" s="2906">
        <f t="shared" si="2"/>
        <v>165</v>
      </c>
      <c r="Q39" s="2888"/>
    </row>
    <row r="40" spans="1:17">
      <c r="A40" s="2907">
        <v>925</v>
      </c>
      <c r="B40" s="750" t="s">
        <v>416</v>
      </c>
      <c r="C40" s="750" t="s">
        <v>416</v>
      </c>
      <c r="D40" s="2908" t="s">
        <v>484</v>
      </c>
      <c r="E40" s="2400" t="s">
        <v>322</v>
      </c>
      <c r="F40" s="3061">
        <v>8.9999999999999993E-3</v>
      </c>
      <c r="G40" s="83">
        <v>8.9999999999999993E-3</v>
      </c>
      <c r="H40" s="2417">
        <v>8.9999999999999993E-3</v>
      </c>
      <c r="I40" s="2417">
        <v>8.9999999999999993E-3</v>
      </c>
      <c r="J40" s="2417">
        <v>8.9999999999999993E-3</v>
      </c>
      <c r="K40" s="2444">
        <v>114</v>
      </c>
      <c r="L40" s="2168">
        <v>114</v>
      </c>
      <c r="M40" s="2169">
        <v>114</v>
      </c>
      <c r="N40" s="2168">
        <v>114</v>
      </c>
      <c r="O40" s="2445">
        <v>116</v>
      </c>
      <c r="P40" s="2377">
        <f t="shared" ref="P40:P42" si="9">(F40+G40+H40+I40+J40)/(K40+L40+M40+N40+O40)*1000000</f>
        <v>79</v>
      </c>
      <c r="Q40" s="2885"/>
    </row>
    <row r="41" spans="1:17" ht="13.5" thickBot="1">
      <c r="A41" s="1167">
        <v>945</v>
      </c>
      <c r="B41" s="3062" t="s">
        <v>417</v>
      </c>
      <c r="C41" s="3065" t="s">
        <v>417</v>
      </c>
      <c r="D41" s="3066"/>
      <c r="E41" s="2421" t="s">
        <v>322</v>
      </c>
      <c r="F41" s="3063">
        <v>6.0000000000000001E-3</v>
      </c>
      <c r="G41" s="990">
        <v>3.0000000000000001E-3</v>
      </c>
      <c r="H41" s="992">
        <v>1.7999999999999999E-2</v>
      </c>
      <c r="I41" s="2506">
        <v>1.7000000000000001E-2</v>
      </c>
      <c r="J41" s="2506">
        <v>6.0000000000000001E-3</v>
      </c>
      <c r="K41" s="2930">
        <v>0</v>
      </c>
      <c r="L41" s="1965">
        <v>0</v>
      </c>
      <c r="M41" s="1966">
        <v>0</v>
      </c>
      <c r="N41" s="1964">
        <v>0</v>
      </c>
      <c r="O41" s="3064">
        <v>0</v>
      </c>
      <c r="P41" s="2954" t="s">
        <v>16</v>
      </c>
      <c r="Q41" s="1040"/>
    </row>
    <row r="42" spans="1:17" ht="14.25" thickTop="1" thickBot="1">
      <c r="A42" s="3202" t="s">
        <v>485</v>
      </c>
      <c r="B42" s="3401"/>
      <c r="C42" s="3401"/>
      <c r="D42" s="3401"/>
      <c r="E42" s="3203"/>
      <c r="F42" s="84">
        <f>SUM(F40:F41)</f>
        <v>1.4999999999999999E-2</v>
      </c>
      <c r="G42" s="84">
        <f t="shared" ref="G42:J42" si="10">SUM(G40:G41)</f>
        <v>1.2E-2</v>
      </c>
      <c r="H42" s="84">
        <f t="shared" si="10"/>
        <v>2.7E-2</v>
      </c>
      <c r="I42" s="84">
        <f t="shared" si="10"/>
        <v>2.5999999999999999E-2</v>
      </c>
      <c r="J42" s="84">
        <f t="shared" si="10"/>
        <v>1.4999999999999999E-2</v>
      </c>
      <c r="K42" s="2411">
        <f>SUM(K40:K41)</f>
        <v>114</v>
      </c>
      <c r="L42" s="2411">
        <f t="shared" ref="L42:O42" si="11">SUM(L40:L41)</f>
        <v>114</v>
      </c>
      <c r="M42" s="2411">
        <f t="shared" si="11"/>
        <v>114</v>
      </c>
      <c r="N42" s="2411">
        <f t="shared" si="11"/>
        <v>114</v>
      </c>
      <c r="O42" s="1986">
        <f t="shared" si="11"/>
        <v>116</v>
      </c>
      <c r="P42" s="2382">
        <f t="shared" si="9"/>
        <v>166</v>
      </c>
      <c r="Q42" s="2888"/>
    </row>
    <row r="43" spans="1:17">
      <c r="A43" s="2907">
        <v>7982</v>
      </c>
      <c r="B43" s="750" t="s">
        <v>486</v>
      </c>
      <c r="C43" s="750" t="s">
        <v>486</v>
      </c>
      <c r="D43" s="2908" t="s">
        <v>487</v>
      </c>
      <c r="E43" s="2400" t="s">
        <v>326</v>
      </c>
      <c r="F43" s="87">
        <v>0.01</v>
      </c>
      <c r="G43" s="2417">
        <v>0.01</v>
      </c>
      <c r="H43" s="83">
        <v>0.01</v>
      </c>
      <c r="I43" s="289">
        <v>0.01</v>
      </c>
      <c r="J43" s="2417">
        <v>0.01</v>
      </c>
      <c r="K43" s="2444">
        <v>219</v>
      </c>
      <c r="L43" s="2169">
        <v>219</v>
      </c>
      <c r="M43" s="2168">
        <v>219</v>
      </c>
      <c r="N43" s="2167">
        <v>219</v>
      </c>
      <c r="O43" s="2445">
        <v>219</v>
      </c>
      <c r="P43" s="2377">
        <f t="shared" ref="P43:P49" si="12">(F43+G43+H43+I43+J43)/(K43+L43+M43+N43+O43)*1000000</f>
        <v>46</v>
      </c>
      <c r="Q43" s="2885"/>
    </row>
    <row r="44" spans="1:17">
      <c r="A44" s="2203">
        <v>7986</v>
      </c>
      <c r="B44" s="810" t="s">
        <v>486</v>
      </c>
      <c r="C44" s="810" t="s">
        <v>486</v>
      </c>
      <c r="D44" s="2909" t="s">
        <v>488</v>
      </c>
      <c r="E44" s="2403" t="s">
        <v>326</v>
      </c>
      <c r="F44" s="2441">
        <v>0.03</v>
      </c>
      <c r="G44" s="2406">
        <v>0.03</v>
      </c>
      <c r="H44" s="819">
        <v>3.1E-2</v>
      </c>
      <c r="I44" s="817">
        <v>3.2000000000000001E-2</v>
      </c>
      <c r="J44" s="2406">
        <v>3.3000000000000002E-2</v>
      </c>
      <c r="K44" s="824">
        <v>622</v>
      </c>
      <c r="L44" s="807">
        <v>622</v>
      </c>
      <c r="M44" s="814">
        <v>622</v>
      </c>
      <c r="N44" s="1954">
        <v>622</v>
      </c>
      <c r="O44" s="2442">
        <v>622</v>
      </c>
      <c r="P44" s="2476">
        <f t="shared" si="12"/>
        <v>50</v>
      </c>
      <c r="Q44" s="365"/>
    </row>
    <row r="45" spans="1:17">
      <c r="A45" s="2203">
        <v>8071</v>
      </c>
      <c r="B45" s="810" t="s">
        <v>489</v>
      </c>
      <c r="C45" s="810" t="s">
        <v>420</v>
      </c>
      <c r="D45" s="2909"/>
      <c r="E45" s="2403" t="s">
        <v>326</v>
      </c>
      <c r="F45" s="2441">
        <v>8.9999999999999993E-3</v>
      </c>
      <c r="G45" s="819">
        <v>8.9999999999999993E-3</v>
      </c>
      <c r="H45" s="819">
        <v>0.01</v>
      </c>
      <c r="I45" s="817">
        <v>1.4E-2</v>
      </c>
      <c r="J45" s="2406">
        <v>1.2999999999999999E-2</v>
      </c>
      <c r="K45" s="824">
        <v>45</v>
      </c>
      <c r="L45" s="807">
        <v>45</v>
      </c>
      <c r="M45" s="814">
        <v>45</v>
      </c>
      <c r="N45" s="1954">
        <v>45</v>
      </c>
      <c r="O45" s="2442">
        <v>45</v>
      </c>
      <c r="P45" s="2476">
        <f t="shared" si="12"/>
        <v>244</v>
      </c>
      <c r="Q45" s="365"/>
    </row>
    <row r="46" spans="1:17">
      <c r="A46" s="2203">
        <v>8072</v>
      </c>
      <c r="B46" s="810" t="s">
        <v>490</v>
      </c>
      <c r="C46" s="810" t="s">
        <v>490</v>
      </c>
      <c r="D46" s="2909" t="s">
        <v>491</v>
      </c>
      <c r="E46" s="2403" t="s">
        <v>326</v>
      </c>
      <c r="F46" s="2441">
        <v>2.7E-2</v>
      </c>
      <c r="G46" s="819">
        <v>2.7E-2</v>
      </c>
      <c r="H46" s="819">
        <v>0.03</v>
      </c>
      <c r="I46" s="817">
        <v>0.03</v>
      </c>
      <c r="J46" s="2406">
        <v>0.03</v>
      </c>
      <c r="K46" s="824">
        <v>450</v>
      </c>
      <c r="L46" s="807">
        <v>450</v>
      </c>
      <c r="M46" s="814">
        <v>450</v>
      </c>
      <c r="N46" s="1954">
        <v>450</v>
      </c>
      <c r="O46" s="2442">
        <v>453</v>
      </c>
      <c r="P46" s="2476">
        <f t="shared" si="12"/>
        <v>64</v>
      </c>
      <c r="Q46" s="365"/>
    </row>
    <row r="47" spans="1:17">
      <c r="A47" s="2203">
        <v>8124</v>
      </c>
      <c r="B47" s="810" t="s">
        <v>422</v>
      </c>
      <c r="C47" s="810" t="s">
        <v>422</v>
      </c>
      <c r="D47" s="2909" t="s">
        <v>492</v>
      </c>
      <c r="E47" s="2403" t="s">
        <v>326</v>
      </c>
      <c r="F47" s="2441">
        <v>0.01</v>
      </c>
      <c r="G47" s="819">
        <v>0.01</v>
      </c>
      <c r="H47" s="819">
        <v>0.01</v>
      </c>
      <c r="I47" s="817">
        <v>0.01</v>
      </c>
      <c r="J47" s="2406">
        <v>0.01</v>
      </c>
      <c r="K47" s="824">
        <v>138</v>
      </c>
      <c r="L47" s="814">
        <v>138</v>
      </c>
      <c r="M47" s="814">
        <v>138</v>
      </c>
      <c r="N47" s="1954">
        <v>138</v>
      </c>
      <c r="O47" s="2442">
        <v>138</v>
      </c>
      <c r="P47" s="2476">
        <f t="shared" si="12"/>
        <v>72</v>
      </c>
      <c r="Q47" s="365"/>
    </row>
    <row r="48" spans="1:17">
      <c r="A48" s="2203">
        <v>8127</v>
      </c>
      <c r="B48" s="810" t="s">
        <v>486</v>
      </c>
      <c r="C48" s="810" t="s">
        <v>486</v>
      </c>
      <c r="D48" s="2909" t="s">
        <v>493</v>
      </c>
      <c r="E48" s="2403" t="s">
        <v>326</v>
      </c>
      <c r="F48" s="2441">
        <v>0.01</v>
      </c>
      <c r="G48" s="819">
        <v>1.0999999999999999E-2</v>
      </c>
      <c r="H48" s="819">
        <v>8.9999999999999993E-3</v>
      </c>
      <c r="I48" s="817">
        <v>1.2E-2</v>
      </c>
      <c r="J48" s="2406">
        <v>1.0999999999999999E-2</v>
      </c>
      <c r="K48" s="824">
        <v>218</v>
      </c>
      <c r="L48" s="814">
        <v>218</v>
      </c>
      <c r="M48" s="814">
        <v>218</v>
      </c>
      <c r="N48" s="1954">
        <v>218</v>
      </c>
      <c r="O48" s="2442">
        <v>218</v>
      </c>
      <c r="P48" s="2476">
        <f t="shared" si="12"/>
        <v>49</v>
      </c>
      <c r="Q48" s="365"/>
    </row>
    <row r="49" spans="1:17" ht="25.5">
      <c r="A49" s="2203">
        <v>90227</v>
      </c>
      <c r="B49" s="810" t="s">
        <v>423</v>
      </c>
      <c r="C49" s="810" t="s">
        <v>423</v>
      </c>
      <c r="D49" s="2323" t="s">
        <v>494</v>
      </c>
      <c r="E49" s="2910" t="s">
        <v>326</v>
      </c>
      <c r="F49" s="2441">
        <v>2.1999999999999999E-2</v>
      </c>
      <c r="G49" s="819">
        <v>2.1999999999999999E-2</v>
      </c>
      <c r="H49" s="819">
        <v>2.1999999999999999E-2</v>
      </c>
      <c r="I49" s="817">
        <v>2.3E-2</v>
      </c>
      <c r="J49" s="2406">
        <v>2.7E-2</v>
      </c>
      <c r="K49" s="824">
        <v>365</v>
      </c>
      <c r="L49" s="814">
        <v>365</v>
      </c>
      <c r="M49" s="814">
        <v>365</v>
      </c>
      <c r="N49" s="1954">
        <v>367</v>
      </c>
      <c r="O49" s="2442">
        <v>369</v>
      </c>
      <c r="P49" s="2476">
        <f t="shared" si="12"/>
        <v>63</v>
      </c>
      <c r="Q49" s="365"/>
    </row>
    <row r="50" spans="1:17" ht="63.75">
      <c r="A50" s="2724"/>
      <c r="B50" s="74" t="s">
        <v>486</v>
      </c>
      <c r="C50" s="74" t="s">
        <v>495</v>
      </c>
      <c r="D50" s="2318" t="s">
        <v>496</v>
      </c>
      <c r="E50" s="2911" t="s">
        <v>326</v>
      </c>
      <c r="F50" s="2440">
        <v>1.6E-2</v>
      </c>
      <c r="G50" s="75">
        <v>1.6E-2</v>
      </c>
      <c r="H50" s="269">
        <v>1.6E-2</v>
      </c>
      <c r="I50" s="2404">
        <v>1.6E-2</v>
      </c>
      <c r="J50" s="2404">
        <v>1.6E-2</v>
      </c>
      <c r="K50" s="72">
        <v>203</v>
      </c>
      <c r="L50" s="76">
        <v>203</v>
      </c>
      <c r="M50" s="2255">
        <v>203</v>
      </c>
      <c r="N50" s="2255">
        <v>203</v>
      </c>
      <c r="O50" s="2405">
        <v>203</v>
      </c>
      <c r="P50" s="2319">
        <f t="shared" ref="P50:P74" si="13">(F50+G50+H50+I50+J50)/(K50+L50+M50+N50+O50)*1000000</f>
        <v>79</v>
      </c>
      <c r="Q50" s="993"/>
    </row>
    <row r="51" spans="1:17">
      <c r="A51" s="2724"/>
      <c r="B51" s="74" t="s">
        <v>486</v>
      </c>
      <c r="C51" s="74" t="s">
        <v>497</v>
      </c>
      <c r="D51" s="2318" t="s">
        <v>498</v>
      </c>
      <c r="E51" s="2911" t="s">
        <v>326</v>
      </c>
      <c r="F51" s="2440">
        <v>2.3E-2</v>
      </c>
      <c r="G51" s="75">
        <v>2.3E-2</v>
      </c>
      <c r="H51" s="269">
        <v>2.3E-2</v>
      </c>
      <c r="I51" s="2404">
        <v>2.3E-2</v>
      </c>
      <c r="J51" s="2404">
        <v>2.3E-2</v>
      </c>
      <c r="K51" s="72">
        <v>465</v>
      </c>
      <c r="L51" s="76">
        <v>465</v>
      </c>
      <c r="M51" s="2255">
        <v>465</v>
      </c>
      <c r="N51" s="2255">
        <v>465</v>
      </c>
      <c r="O51" s="2405">
        <v>465</v>
      </c>
      <c r="P51" s="2319">
        <f t="shared" si="13"/>
        <v>49</v>
      </c>
      <c r="Q51" s="2912"/>
    </row>
    <row r="52" spans="1:17" ht="63.75">
      <c r="A52" s="2203"/>
      <c r="B52" s="810" t="s">
        <v>486</v>
      </c>
      <c r="C52" s="810" t="s">
        <v>499</v>
      </c>
      <c r="D52" s="2323" t="s">
        <v>500</v>
      </c>
      <c r="E52" s="2910" t="s">
        <v>326</v>
      </c>
      <c r="F52" s="2441">
        <v>0.04</v>
      </c>
      <c r="G52" s="819">
        <v>0.04</v>
      </c>
      <c r="H52" s="817">
        <v>0.04</v>
      </c>
      <c r="I52" s="2406">
        <v>0.04</v>
      </c>
      <c r="J52" s="2406">
        <v>0.04</v>
      </c>
      <c r="K52" s="824">
        <v>211</v>
      </c>
      <c r="L52" s="814">
        <v>211</v>
      </c>
      <c r="M52" s="1954">
        <v>211</v>
      </c>
      <c r="N52" s="1954">
        <v>211</v>
      </c>
      <c r="O52" s="2442">
        <v>211</v>
      </c>
      <c r="P52" s="2476">
        <f t="shared" si="13"/>
        <v>190</v>
      </c>
      <c r="Q52" s="365"/>
    </row>
    <row r="53" spans="1:17" ht="13.5" thickBot="1">
      <c r="A53" s="2283"/>
      <c r="B53" s="749" t="s">
        <v>501</v>
      </c>
      <c r="C53" s="749" t="s">
        <v>502</v>
      </c>
      <c r="D53" s="2328" t="s">
        <v>503</v>
      </c>
      <c r="E53" s="2913" t="s">
        <v>326</v>
      </c>
      <c r="F53" s="866">
        <v>5.0000000000000001E-3</v>
      </c>
      <c r="G53" s="746">
        <v>5.0000000000000001E-3</v>
      </c>
      <c r="H53" s="869">
        <v>5.0000000000000001E-3</v>
      </c>
      <c r="I53" s="2407">
        <v>5.0000000000000001E-3</v>
      </c>
      <c r="J53" s="2407">
        <v>5.0000000000000001E-3</v>
      </c>
      <c r="K53" s="2408">
        <v>60</v>
      </c>
      <c r="L53" s="2033">
        <v>60</v>
      </c>
      <c r="M53" s="2032">
        <v>60</v>
      </c>
      <c r="N53" s="2032">
        <v>60</v>
      </c>
      <c r="O53" s="2409">
        <v>60</v>
      </c>
      <c r="P53" s="2380">
        <f t="shared" si="13"/>
        <v>83</v>
      </c>
      <c r="Q53" s="133"/>
    </row>
    <row r="54" spans="1:17" ht="14.25" thickTop="1" thickBot="1">
      <c r="A54" s="3231" t="s">
        <v>204</v>
      </c>
      <c r="B54" s="3412"/>
      <c r="C54" s="3412"/>
      <c r="D54" s="3412"/>
      <c r="E54" s="3232"/>
      <c r="F54" s="84">
        <f>SUM(F43:F53)</f>
        <v>0.20200000000000001</v>
      </c>
      <c r="G54" s="84">
        <f>SUM(G43:G53)</f>
        <v>0.20300000000000001</v>
      </c>
      <c r="H54" s="280">
        <f>SUM(H43:H53)</f>
        <v>0.20599999999999999</v>
      </c>
      <c r="I54" s="85">
        <f t="shared" ref="I54:O54" si="14">I43+I44+I45+I46+I47+I48+I49+I50+I51+I52+I53</f>
        <v>0.215</v>
      </c>
      <c r="J54" s="2503">
        <f t="shared" si="14"/>
        <v>0.218</v>
      </c>
      <c r="K54" s="2544">
        <f t="shared" si="14"/>
        <v>2996</v>
      </c>
      <c r="L54" s="2179">
        <f t="shared" si="14"/>
        <v>2996</v>
      </c>
      <c r="M54" s="2179">
        <f t="shared" si="14"/>
        <v>2996</v>
      </c>
      <c r="N54" s="2178">
        <f t="shared" si="14"/>
        <v>2998</v>
      </c>
      <c r="O54" s="2545">
        <f t="shared" si="14"/>
        <v>3003</v>
      </c>
      <c r="P54" s="2914">
        <f t="shared" si="13"/>
        <v>70</v>
      </c>
      <c r="Q54" s="134"/>
    </row>
    <row r="55" spans="1:17">
      <c r="A55" s="2907">
        <v>1190</v>
      </c>
      <c r="B55" s="2374" t="s">
        <v>428</v>
      </c>
      <c r="C55" s="2374" t="s">
        <v>428</v>
      </c>
      <c r="D55" s="2908" t="s">
        <v>504</v>
      </c>
      <c r="E55" s="2400" t="s">
        <v>330</v>
      </c>
      <c r="F55" s="87">
        <v>0.01</v>
      </c>
      <c r="G55" s="83">
        <v>0.01</v>
      </c>
      <c r="H55" s="289">
        <v>0.01</v>
      </c>
      <c r="I55" s="2417">
        <v>0.01</v>
      </c>
      <c r="J55" s="2417">
        <v>0.01</v>
      </c>
      <c r="K55" s="2444">
        <v>345</v>
      </c>
      <c r="L55" s="2168">
        <v>345</v>
      </c>
      <c r="M55" s="2167">
        <v>345</v>
      </c>
      <c r="N55" s="2167">
        <v>345</v>
      </c>
      <c r="O55" s="2445">
        <v>345</v>
      </c>
      <c r="P55" s="2377">
        <f t="shared" si="13"/>
        <v>29</v>
      </c>
      <c r="Q55" s="2885"/>
    </row>
    <row r="56" spans="1:17">
      <c r="A56" s="2203">
        <v>1381</v>
      </c>
      <c r="B56" s="810" t="s">
        <v>429</v>
      </c>
      <c r="C56" s="810" t="s">
        <v>429</v>
      </c>
      <c r="D56" s="2323"/>
      <c r="E56" s="2403" t="s">
        <v>330</v>
      </c>
      <c r="F56" s="2441">
        <v>2.3E-2</v>
      </c>
      <c r="G56" s="819">
        <v>2.1000000000000001E-2</v>
      </c>
      <c r="H56" s="817">
        <v>2.1999999999999999E-2</v>
      </c>
      <c r="I56" s="2406">
        <v>2.5000000000000001E-2</v>
      </c>
      <c r="J56" s="2406">
        <v>2.4E-2</v>
      </c>
      <c r="K56" s="824">
        <v>378</v>
      </c>
      <c r="L56" s="814">
        <v>378</v>
      </c>
      <c r="M56" s="1954">
        <v>411</v>
      </c>
      <c r="N56" s="1954">
        <v>411</v>
      </c>
      <c r="O56" s="2442">
        <v>411</v>
      </c>
      <c r="P56" s="2476">
        <f t="shared" si="13"/>
        <v>58</v>
      </c>
      <c r="Q56" s="365"/>
    </row>
    <row r="57" spans="1:17">
      <c r="A57" s="2203">
        <v>1386</v>
      </c>
      <c r="B57" s="810" t="s">
        <v>430</v>
      </c>
      <c r="C57" s="810" t="s">
        <v>430</v>
      </c>
      <c r="D57" s="2323" t="s">
        <v>505</v>
      </c>
      <c r="E57" s="2403" t="s">
        <v>330</v>
      </c>
      <c r="F57" s="2441">
        <v>4.1000000000000002E-2</v>
      </c>
      <c r="G57" s="819">
        <v>3.5000000000000003E-2</v>
      </c>
      <c r="H57" s="817">
        <v>4.8000000000000001E-2</v>
      </c>
      <c r="I57" s="2406">
        <v>5.1999999999999998E-2</v>
      </c>
      <c r="J57" s="2406">
        <v>3.3000000000000002E-2</v>
      </c>
      <c r="K57" s="824">
        <v>237</v>
      </c>
      <c r="L57" s="814">
        <v>237</v>
      </c>
      <c r="M57" s="1954">
        <v>237</v>
      </c>
      <c r="N57" s="1954">
        <v>237</v>
      </c>
      <c r="O57" s="2442">
        <v>237</v>
      </c>
      <c r="P57" s="2476">
        <f t="shared" si="13"/>
        <v>176</v>
      </c>
      <c r="Q57" s="365"/>
    </row>
    <row r="58" spans="1:17" ht="26.25" thickBot="1">
      <c r="A58" s="2283">
        <v>1423</v>
      </c>
      <c r="B58" s="2326" t="s">
        <v>506</v>
      </c>
      <c r="C58" s="749" t="s">
        <v>431</v>
      </c>
      <c r="D58" s="2328" t="s">
        <v>507</v>
      </c>
      <c r="E58" s="2437" t="s">
        <v>330</v>
      </c>
      <c r="F58" s="866">
        <v>4.2000000000000003E-2</v>
      </c>
      <c r="G58" s="746">
        <v>4.3999999999999997E-2</v>
      </c>
      <c r="H58" s="869">
        <v>4.2999999999999997E-2</v>
      </c>
      <c r="I58" s="2407">
        <v>4.2999999999999997E-2</v>
      </c>
      <c r="J58" s="2407">
        <v>4.2999999999999997E-2</v>
      </c>
      <c r="K58" s="2408">
        <v>369</v>
      </c>
      <c r="L58" s="2033">
        <v>369</v>
      </c>
      <c r="M58" s="2032">
        <v>369</v>
      </c>
      <c r="N58" s="2032">
        <v>369</v>
      </c>
      <c r="O58" s="2409">
        <v>369</v>
      </c>
      <c r="P58" s="2380">
        <f t="shared" si="13"/>
        <v>117</v>
      </c>
      <c r="Q58" s="133"/>
    </row>
    <row r="59" spans="1:17" ht="14.25" thickTop="1" thickBot="1">
      <c r="A59" s="3413" t="s">
        <v>212</v>
      </c>
      <c r="B59" s="3414"/>
      <c r="C59" s="3414"/>
      <c r="D59" s="3414"/>
      <c r="E59" s="3415"/>
      <c r="F59" s="1169">
        <f t="shared" ref="F59:N59" si="15">SUM(F55:F58)</f>
        <v>0.11600000000000001</v>
      </c>
      <c r="G59" s="1169">
        <f t="shared" si="15"/>
        <v>0.11</v>
      </c>
      <c r="H59" s="2488">
        <f t="shared" si="15"/>
        <v>0.123</v>
      </c>
      <c r="I59" s="2488">
        <f t="shared" si="15"/>
        <v>0.13</v>
      </c>
      <c r="J59" s="2488">
        <f>SUM(J55:J58)</f>
        <v>0.11</v>
      </c>
      <c r="K59" s="2416">
        <f t="shared" si="15"/>
        <v>1329</v>
      </c>
      <c r="L59" s="2271">
        <f t="shared" si="15"/>
        <v>1329</v>
      </c>
      <c r="M59" s="2271">
        <f t="shared" si="15"/>
        <v>1362</v>
      </c>
      <c r="N59" s="2270">
        <f t="shared" si="15"/>
        <v>1362</v>
      </c>
      <c r="O59" s="2958">
        <f>SUM(O55:O58)</f>
        <v>1362</v>
      </c>
      <c r="P59" s="2397">
        <f t="shared" si="13"/>
        <v>87</v>
      </c>
      <c r="Q59" s="2959"/>
    </row>
    <row r="60" spans="1:17" ht="28.5" customHeight="1" thickBot="1">
      <c r="A60" s="3402" t="s">
        <v>508</v>
      </c>
      <c r="B60" s="3402"/>
      <c r="C60" s="3402"/>
      <c r="D60" s="3402"/>
      <c r="E60" s="3402"/>
      <c r="F60" s="3402"/>
      <c r="G60" s="3402"/>
      <c r="H60" s="3402"/>
      <c r="I60" s="3402"/>
      <c r="J60" s="3402"/>
      <c r="K60" s="3402"/>
      <c r="L60" s="3402"/>
      <c r="M60" s="3402"/>
      <c r="N60" s="3402"/>
      <c r="O60" s="3402"/>
      <c r="P60" s="3402"/>
      <c r="Q60" s="3402"/>
    </row>
    <row r="61" spans="1:17" ht="26.25" thickBot="1">
      <c r="A61" s="2800" t="s">
        <v>272</v>
      </c>
      <c r="B61" s="994" t="s">
        <v>273</v>
      </c>
      <c r="C61" s="994" t="s">
        <v>86</v>
      </c>
      <c r="D61" s="2801" t="s">
        <v>274</v>
      </c>
      <c r="E61" s="2802" t="s">
        <v>85</v>
      </c>
      <c r="F61" s="2803" t="s">
        <v>457</v>
      </c>
      <c r="G61" s="2803" t="s">
        <v>458</v>
      </c>
      <c r="H61" s="2804" t="s">
        <v>459</v>
      </c>
      <c r="I61" s="2804" t="s">
        <v>460</v>
      </c>
      <c r="J61" s="2804" t="s">
        <v>461</v>
      </c>
      <c r="K61" s="2805" t="s">
        <v>462</v>
      </c>
      <c r="L61" s="2806" t="s">
        <v>463</v>
      </c>
      <c r="M61" s="2807" t="s">
        <v>464</v>
      </c>
      <c r="N61" s="2806" t="s">
        <v>465</v>
      </c>
      <c r="O61" s="3034" t="s">
        <v>466</v>
      </c>
      <c r="P61" s="2808" t="s">
        <v>467</v>
      </c>
      <c r="Q61" s="235" t="s">
        <v>277</v>
      </c>
    </row>
    <row r="62" spans="1:17">
      <c r="A62" s="131">
        <v>217345</v>
      </c>
      <c r="B62" s="130" t="s">
        <v>432</v>
      </c>
      <c r="C62" s="130" t="s">
        <v>432</v>
      </c>
      <c r="D62" s="2915" t="s">
        <v>509</v>
      </c>
      <c r="E62" s="2400" t="s">
        <v>30</v>
      </c>
      <c r="F62" s="1018">
        <v>2.5999999999999999E-2</v>
      </c>
      <c r="G62" s="83">
        <v>0.02</v>
      </c>
      <c r="H62" s="83">
        <v>1.4999999999999999E-2</v>
      </c>
      <c r="I62" s="83">
        <v>1.2999999999999999E-2</v>
      </c>
      <c r="J62" s="132">
        <v>3.6999999999999998E-2</v>
      </c>
      <c r="K62" s="131">
        <v>320</v>
      </c>
      <c r="L62" s="130">
        <v>320</v>
      </c>
      <c r="M62" s="130">
        <v>320</v>
      </c>
      <c r="N62" s="130">
        <v>320</v>
      </c>
      <c r="O62" s="2883">
        <v>320</v>
      </c>
      <c r="P62" s="2047">
        <f t="shared" si="13"/>
        <v>69</v>
      </c>
      <c r="Q62" s="2884"/>
    </row>
    <row r="63" spans="1:17">
      <c r="A63" s="2679">
        <v>216536</v>
      </c>
      <c r="B63" s="2346" t="s">
        <v>433</v>
      </c>
      <c r="C63" s="2346" t="s">
        <v>433</v>
      </c>
      <c r="D63" s="2916"/>
      <c r="E63" s="2403" t="s">
        <v>30</v>
      </c>
      <c r="F63" s="809">
        <v>3.0000000000000001E-3</v>
      </c>
      <c r="G63" s="819">
        <v>3.0000000000000001E-3</v>
      </c>
      <c r="H63" s="819">
        <v>3.0000000000000001E-3</v>
      </c>
      <c r="I63" s="819">
        <v>3.0000000000000001E-3</v>
      </c>
      <c r="J63" s="818">
        <v>3.0000000000000001E-3</v>
      </c>
      <c r="K63" s="2679">
        <v>21</v>
      </c>
      <c r="L63" s="2346">
        <v>21</v>
      </c>
      <c r="M63" s="2346">
        <v>21</v>
      </c>
      <c r="N63" s="2346">
        <v>21</v>
      </c>
      <c r="O63" s="2886">
        <v>21</v>
      </c>
      <c r="P63" s="1953">
        <f t="shared" si="13"/>
        <v>143</v>
      </c>
      <c r="Q63" s="868"/>
    </row>
    <row r="64" spans="1:17">
      <c r="A64" s="2679">
        <v>219144</v>
      </c>
      <c r="B64" s="2346" t="s">
        <v>434</v>
      </c>
      <c r="C64" s="2346" t="s">
        <v>434</v>
      </c>
      <c r="D64" s="2916"/>
      <c r="E64" s="2403" t="s">
        <v>30</v>
      </c>
      <c r="F64" s="809">
        <v>6.0000000000000001E-3</v>
      </c>
      <c r="G64" s="819">
        <v>6.0000000000000001E-3</v>
      </c>
      <c r="H64" s="819">
        <v>6.0000000000000001E-3</v>
      </c>
      <c r="I64" s="819">
        <v>6.0000000000000001E-3</v>
      </c>
      <c r="J64" s="818">
        <v>6.0000000000000001E-3</v>
      </c>
      <c r="K64" s="2679">
        <v>39</v>
      </c>
      <c r="L64" s="2346">
        <v>39</v>
      </c>
      <c r="M64" s="2346">
        <v>39</v>
      </c>
      <c r="N64" s="2346">
        <v>39</v>
      </c>
      <c r="O64" s="2886">
        <v>39</v>
      </c>
      <c r="P64" s="1953">
        <f t="shared" si="13"/>
        <v>154</v>
      </c>
      <c r="Q64" s="868"/>
    </row>
    <row r="65" spans="1:17" ht="13.5" thickBot="1">
      <c r="A65" s="2682">
        <v>219174</v>
      </c>
      <c r="B65" s="2436" t="s">
        <v>435</v>
      </c>
      <c r="C65" s="2436" t="s">
        <v>435</v>
      </c>
      <c r="D65" s="2917"/>
      <c r="E65" s="2437" t="s">
        <v>30</v>
      </c>
      <c r="F65" s="1874">
        <v>8.9999999999999993E-3</v>
      </c>
      <c r="G65" s="746">
        <v>8.9999999999999993E-3</v>
      </c>
      <c r="H65" s="746">
        <v>8.9999999999999993E-3</v>
      </c>
      <c r="I65" s="746">
        <v>8.9999999999999993E-3</v>
      </c>
      <c r="J65" s="747">
        <v>8.9999999999999993E-3</v>
      </c>
      <c r="K65" s="2682">
        <v>57</v>
      </c>
      <c r="L65" s="2436">
        <v>57</v>
      </c>
      <c r="M65" s="2436">
        <v>57</v>
      </c>
      <c r="N65" s="2436">
        <v>57</v>
      </c>
      <c r="O65" s="2887">
        <v>57</v>
      </c>
      <c r="P65" s="2031">
        <f t="shared" si="13"/>
        <v>158</v>
      </c>
      <c r="Q65" s="1016"/>
    </row>
    <row r="66" spans="1:17" ht="14.25" thickTop="1" thickBot="1">
      <c r="A66" s="3202" t="s">
        <v>218</v>
      </c>
      <c r="B66" s="3401"/>
      <c r="C66" s="3401"/>
      <c r="D66" s="3401"/>
      <c r="E66" s="3203"/>
      <c r="F66" s="2513">
        <f>SUM(F62:F65)</f>
        <v>4.3999999999999997E-2</v>
      </c>
      <c r="G66" s="84">
        <f t="shared" ref="G66:J66" si="16">SUM(G62:G65)</f>
        <v>3.7999999999999999E-2</v>
      </c>
      <c r="H66" s="287">
        <f t="shared" si="16"/>
        <v>3.3000000000000002E-2</v>
      </c>
      <c r="I66" s="287">
        <f t="shared" si="16"/>
        <v>3.1E-2</v>
      </c>
      <c r="J66" s="2381">
        <f t="shared" si="16"/>
        <v>5.5E-2</v>
      </c>
      <c r="K66" s="2416">
        <f>SUM(K62:K65)</f>
        <v>437</v>
      </c>
      <c r="L66" s="2271">
        <f t="shared" ref="L66:O66" si="17">SUM(L62:L65)</f>
        <v>437</v>
      </c>
      <c r="M66" s="2271">
        <f t="shared" si="17"/>
        <v>437</v>
      </c>
      <c r="N66" s="2271">
        <f t="shared" si="17"/>
        <v>437</v>
      </c>
      <c r="O66" s="2371">
        <f t="shared" si="17"/>
        <v>437</v>
      </c>
      <c r="P66" s="1978">
        <f t="shared" si="13"/>
        <v>92</v>
      </c>
      <c r="Q66" s="2918"/>
    </row>
    <row r="67" spans="1:17">
      <c r="A67" s="131">
        <v>215835</v>
      </c>
      <c r="B67" s="130" t="s">
        <v>510</v>
      </c>
      <c r="C67" s="130" t="s">
        <v>436</v>
      </c>
      <c r="D67" s="2919"/>
      <c r="E67" s="2400" t="s">
        <v>31</v>
      </c>
      <c r="F67" s="1018">
        <v>2E-3</v>
      </c>
      <c r="G67" s="83">
        <v>2E-3</v>
      </c>
      <c r="H67" s="83">
        <v>2E-3</v>
      </c>
      <c r="I67" s="83">
        <v>2E-3</v>
      </c>
      <c r="J67" s="132">
        <v>2E-3</v>
      </c>
      <c r="K67" s="131">
        <v>12</v>
      </c>
      <c r="L67" s="130">
        <v>12</v>
      </c>
      <c r="M67" s="130">
        <v>12</v>
      </c>
      <c r="N67" s="130">
        <v>12</v>
      </c>
      <c r="O67" s="2883">
        <v>12</v>
      </c>
      <c r="P67" s="2047">
        <f t="shared" si="13"/>
        <v>167</v>
      </c>
      <c r="Q67" s="2884"/>
    </row>
    <row r="68" spans="1:17">
      <c r="A68" s="2679">
        <v>218586</v>
      </c>
      <c r="B68" s="2346" t="s">
        <v>437</v>
      </c>
      <c r="C68" s="2346" t="s">
        <v>437</v>
      </c>
      <c r="D68" s="2916"/>
      <c r="E68" s="2403" t="s">
        <v>31</v>
      </c>
      <c r="F68" s="809">
        <v>8.0000000000000002E-3</v>
      </c>
      <c r="G68" s="819">
        <v>8.0000000000000002E-3</v>
      </c>
      <c r="H68" s="819">
        <v>8.0000000000000002E-3</v>
      </c>
      <c r="I68" s="819">
        <v>8.0000000000000002E-3</v>
      </c>
      <c r="J68" s="818">
        <v>8.0000000000000002E-3</v>
      </c>
      <c r="K68" s="2679">
        <v>42</v>
      </c>
      <c r="L68" s="2346">
        <v>42</v>
      </c>
      <c r="M68" s="2346">
        <v>42</v>
      </c>
      <c r="N68" s="2346">
        <v>42</v>
      </c>
      <c r="O68" s="2886">
        <v>42</v>
      </c>
      <c r="P68" s="1953">
        <f t="shared" si="13"/>
        <v>190</v>
      </c>
      <c r="Q68" s="868"/>
    </row>
    <row r="69" spans="1:17">
      <c r="A69" s="2679">
        <v>221370</v>
      </c>
      <c r="B69" s="2346" t="s">
        <v>438</v>
      </c>
      <c r="C69" s="2346" t="s">
        <v>438</v>
      </c>
      <c r="D69" s="2916"/>
      <c r="E69" s="2403" t="s">
        <v>31</v>
      </c>
      <c r="F69" s="809">
        <v>3.0000000000000001E-3</v>
      </c>
      <c r="G69" s="819">
        <v>3.0000000000000001E-3</v>
      </c>
      <c r="H69" s="819">
        <v>3.0000000000000001E-3</v>
      </c>
      <c r="I69" s="819">
        <v>3.0000000000000001E-3</v>
      </c>
      <c r="J69" s="818">
        <v>3.0000000000000001E-3</v>
      </c>
      <c r="K69" s="2679">
        <v>18</v>
      </c>
      <c r="L69" s="2346">
        <v>18</v>
      </c>
      <c r="M69" s="2346">
        <v>18</v>
      </c>
      <c r="N69" s="2346">
        <v>18</v>
      </c>
      <c r="O69" s="2886">
        <v>18</v>
      </c>
      <c r="P69" s="1953">
        <f t="shared" si="13"/>
        <v>167</v>
      </c>
      <c r="Q69" s="868"/>
    </row>
    <row r="70" spans="1:17" ht="13.5" thickBot="1">
      <c r="A70" s="2682">
        <v>221567</v>
      </c>
      <c r="B70" s="2436" t="s">
        <v>439</v>
      </c>
      <c r="C70" s="2436" t="s">
        <v>439</v>
      </c>
      <c r="D70" s="2917"/>
      <c r="E70" s="2437" t="s">
        <v>31</v>
      </c>
      <c r="F70" s="1874">
        <v>3.0000000000000001E-3</v>
      </c>
      <c r="G70" s="746">
        <v>3.0000000000000001E-3</v>
      </c>
      <c r="H70" s="746">
        <v>3.0000000000000001E-3</v>
      </c>
      <c r="I70" s="746">
        <v>3.0000000000000001E-3</v>
      </c>
      <c r="J70" s="747">
        <v>3.0000000000000001E-3</v>
      </c>
      <c r="K70" s="2682">
        <v>21</v>
      </c>
      <c r="L70" s="2436">
        <v>21</v>
      </c>
      <c r="M70" s="2436">
        <v>21</v>
      </c>
      <c r="N70" s="2436">
        <v>21</v>
      </c>
      <c r="O70" s="2887">
        <v>21</v>
      </c>
      <c r="P70" s="2031">
        <f t="shared" si="13"/>
        <v>143</v>
      </c>
      <c r="Q70" s="1016"/>
    </row>
    <row r="71" spans="1:17" ht="14.25" thickTop="1" thickBot="1">
      <c r="A71" s="3202" t="s">
        <v>221</v>
      </c>
      <c r="B71" s="3401"/>
      <c r="C71" s="3401"/>
      <c r="D71" s="3401"/>
      <c r="E71" s="3401"/>
      <c r="F71" s="2513">
        <f>SUM(F67:F70)</f>
        <v>1.6E-2</v>
      </c>
      <c r="G71" s="84">
        <f t="shared" ref="G71:J71" si="18">SUM(G67:G70)</f>
        <v>1.6E-2</v>
      </c>
      <c r="H71" s="287">
        <f t="shared" si="18"/>
        <v>1.6E-2</v>
      </c>
      <c r="I71" s="287">
        <f t="shared" si="18"/>
        <v>1.6E-2</v>
      </c>
      <c r="J71" s="2381">
        <f t="shared" si="18"/>
        <v>1.6E-2</v>
      </c>
      <c r="K71" s="2416">
        <f>SUM(K67:K70)</f>
        <v>93</v>
      </c>
      <c r="L71" s="2271">
        <f t="shared" ref="L71:O71" si="19">SUM(L67:L70)</f>
        <v>93</v>
      </c>
      <c r="M71" s="2271">
        <f t="shared" si="19"/>
        <v>93</v>
      </c>
      <c r="N71" s="2271">
        <f t="shared" si="19"/>
        <v>93</v>
      </c>
      <c r="O71" s="2371">
        <f t="shared" si="19"/>
        <v>93</v>
      </c>
      <c r="P71" s="1978">
        <f t="shared" si="13"/>
        <v>172</v>
      </c>
      <c r="Q71" s="2918"/>
    </row>
    <row r="72" spans="1:17" ht="13.5" thickBot="1">
      <c r="A72" s="3271" t="s">
        <v>511</v>
      </c>
      <c r="B72" s="3272"/>
      <c r="C72" s="3272"/>
      <c r="D72" s="3272"/>
      <c r="E72" s="3403"/>
      <c r="F72" s="2920">
        <f t="shared" ref="F72:O72" si="20">F14+F35+F42+F54+F59</f>
        <v>0.502</v>
      </c>
      <c r="G72" s="2921">
        <f t="shared" si="20"/>
        <v>0.48199999999999998</v>
      </c>
      <c r="H72" s="2922">
        <f t="shared" si="20"/>
        <v>0.52100000000000002</v>
      </c>
      <c r="I72" s="2922">
        <f t="shared" si="20"/>
        <v>0.54200000000000004</v>
      </c>
      <c r="J72" s="2922">
        <f t="shared" si="20"/>
        <v>0.497</v>
      </c>
      <c r="K72" s="2923">
        <f t="shared" si="20"/>
        <v>6516</v>
      </c>
      <c r="L72" s="2924">
        <f t="shared" si="20"/>
        <v>6516</v>
      </c>
      <c r="M72" s="2924">
        <f t="shared" si="20"/>
        <v>6549</v>
      </c>
      <c r="N72" s="2925">
        <f t="shared" si="20"/>
        <v>6553</v>
      </c>
      <c r="O72" s="2926">
        <f t="shared" si="20"/>
        <v>6560</v>
      </c>
      <c r="P72" s="2466">
        <f t="shared" si="13"/>
        <v>78</v>
      </c>
      <c r="Q72" s="2927"/>
    </row>
    <row r="73" spans="1:17" ht="13.5" thickBot="1">
      <c r="A73" s="3271" t="s">
        <v>512</v>
      </c>
      <c r="B73" s="3272"/>
      <c r="C73" s="3272"/>
      <c r="D73" s="3272"/>
      <c r="E73" s="3403"/>
      <c r="F73" s="2928">
        <f>F6+F10+F33+F39+F66+F71</f>
        <v>0.49199999999999999</v>
      </c>
      <c r="G73" s="2928">
        <f t="shared" ref="G73:O73" si="21">G6+G10+G33+G39+G66+G71</f>
        <v>0.5</v>
      </c>
      <c r="H73" s="2928">
        <f t="shared" si="21"/>
        <v>0.48699999999999999</v>
      </c>
      <c r="I73" s="2928">
        <f t="shared" si="21"/>
        <v>0.436</v>
      </c>
      <c r="J73" s="2928">
        <f t="shared" si="21"/>
        <v>0.51600000000000001</v>
      </c>
      <c r="K73" s="997">
        <f t="shared" si="21"/>
        <v>4323</v>
      </c>
      <c r="L73" s="997">
        <f t="shared" si="21"/>
        <v>4325</v>
      </c>
      <c r="M73" s="997">
        <f t="shared" si="21"/>
        <v>4329</v>
      </c>
      <c r="N73" s="997">
        <f t="shared" si="21"/>
        <v>4331</v>
      </c>
      <c r="O73" s="997">
        <f t="shared" si="21"/>
        <v>4372</v>
      </c>
      <c r="P73" s="308">
        <f t="shared" si="13"/>
        <v>112</v>
      </c>
      <c r="Q73" s="2929"/>
    </row>
    <row r="74" spans="1:17" ht="13.5" thickBot="1">
      <c r="A74" s="3271" t="s">
        <v>513</v>
      </c>
      <c r="B74" s="3272"/>
      <c r="C74" s="3272"/>
      <c r="D74" s="3272"/>
      <c r="E74" s="3403"/>
      <c r="F74" s="2389">
        <f t="shared" ref="F74" si="22">F72+F73</f>
        <v>0.99399999999999999</v>
      </c>
      <c r="G74" s="2369">
        <f t="shared" ref="G74:O74" si="23">G72+G73</f>
        <v>0.98199999999999998</v>
      </c>
      <c r="H74" s="2369">
        <f t="shared" si="23"/>
        <v>1.008</v>
      </c>
      <c r="I74" s="2410">
        <f t="shared" si="23"/>
        <v>0.97799999999999998</v>
      </c>
      <c r="J74" s="2410">
        <f t="shared" si="23"/>
        <v>1.0129999999999999</v>
      </c>
      <c r="K74" s="857">
        <f t="shared" si="23"/>
        <v>10839</v>
      </c>
      <c r="L74" s="251">
        <f t="shared" si="23"/>
        <v>10841</v>
      </c>
      <c r="M74" s="251">
        <f t="shared" si="23"/>
        <v>10878</v>
      </c>
      <c r="N74" s="251">
        <f t="shared" si="23"/>
        <v>10884</v>
      </c>
      <c r="O74" s="97">
        <f t="shared" si="23"/>
        <v>10932</v>
      </c>
      <c r="P74" s="2466">
        <f t="shared" si="13"/>
        <v>91</v>
      </c>
      <c r="Q74" s="2929"/>
    </row>
    <row r="75" spans="1:17">
      <c r="A75" s="89" t="s">
        <v>35</v>
      </c>
    </row>
    <row r="76" spans="1:17">
      <c r="A76" s="1" t="s">
        <v>68</v>
      </c>
      <c r="O76" s="1" t="s">
        <v>36</v>
      </c>
    </row>
    <row r="77" spans="1:17">
      <c r="A77" s="1" t="s">
        <v>69</v>
      </c>
    </row>
    <row r="78" spans="1:17" s="2" customFormat="1">
      <c r="A78" s="1" t="s">
        <v>514</v>
      </c>
      <c r="B78" s="78"/>
      <c r="C78" s="78"/>
      <c r="D78" s="78"/>
      <c r="E78" s="78"/>
      <c r="F78" s="2467"/>
      <c r="G78" s="2467"/>
      <c r="H78" s="2467"/>
      <c r="I78" s="2467"/>
      <c r="J78" s="2467"/>
      <c r="Q78" s="78"/>
    </row>
    <row r="79" spans="1:17" s="2" customFormat="1">
      <c r="A79" s="2" t="s">
        <v>343</v>
      </c>
      <c r="B79" s="78"/>
      <c r="C79" s="78"/>
      <c r="D79" s="78"/>
      <c r="E79" s="78"/>
      <c r="F79" s="2467"/>
      <c r="G79" s="2467"/>
      <c r="H79" s="2467"/>
      <c r="I79" s="2467"/>
      <c r="J79" s="2467"/>
      <c r="Q79" s="78"/>
    </row>
    <row r="81" spans="1:17" ht="13.5" thickBot="1">
      <c r="A81" s="800" t="s">
        <v>515</v>
      </c>
      <c r="B81" s="800"/>
      <c r="C81" s="800"/>
      <c r="D81" s="800"/>
      <c r="E81" s="2608"/>
      <c r="F81" s="800"/>
      <c r="G81" s="800"/>
      <c r="H81" s="800"/>
      <c r="I81" s="800"/>
      <c r="J81" s="800"/>
      <c r="K81" s="800"/>
      <c r="L81" s="800"/>
      <c r="M81" s="800"/>
      <c r="N81" s="800"/>
      <c r="O81" s="800"/>
      <c r="P81" s="800"/>
      <c r="Q81" s="800"/>
    </row>
    <row r="82" spans="1:17" ht="26.25" thickBot="1">
      <c r="A82" s="2800" t="s">
        <v>272</v>
      </c>
      <c r="B82" s="994" t="s">
        <v>273</v>
      </c>
      <c r="C82" s="994" t="s">
        <v>86</v>
      </c>
      <c r="D82" s="2801" t="s">
        <v>274</v>
      </c>
      <c r="E82" s="2802" t="s">
        <v>85</v>
      </c>
      <c r="F82" s="2803" t="s">
        <v>457</v>
      </c>
      <c r="G82" s="2803" t="s">
        <v>458</v>
      </c>
      <c r="H82" s="2804" t="s">
        <v>459</v>
      </c>
      <c r="I82" s="2804" t="s">
        <v>460</v>
      </c>
      <c r="J82" s="2804" t="s">
        <v>461</v>
      </c>
      <c r="K82" s="2805" t="s">
        <v>462</v>
      </c>
      <c r="L82" s="2806" t="s">
        <v>463</v>
      </c>
      <c r="M82" s="2807" t="s">
        <v>464</v>
      </c>
      <c r="N82" s="2806" t="s">
        <v>465</v>
      </c>
      <c r="O82" s="3033" t="s">
        <v>466</v>
      </c>
      <c r="P82" s="2808" t="s">
        <v>467</v>
      </c>
      <c r="Q82" s="235" t="s">
        <v>277</v>
      </c>
    </row>
    <row r="83" spans="1:17">
      <c r="A83" s="131">
        <v>218620</v>
      </c>
      <c r="B83" s="130" t="s">
        <v>441</v>
      </c>
      <c r="C83" s="130" t="s">
        <v>441</v>
      </c>
      <c r="D83" s="2905"/>
      <c r="E83" s="2812" t="s">
        <v>46</v>
      </c>
      <c r="F83" s="2493">
        <v>8.0000000000000002E-3</v>
      </c>
      <c r="G83" s="2386">
        <v>8.0000000000000002E-3</v>
      </c>
      <c r="H83" s="82">
        <v>8.0000000000000002E-3</v>
      </c>
      <c r="I83" s="2386">
        <v>8.0000000000000002E-3</v>
      </c>
      <c r="J83" s="2431">
        <v>8.0000000000000002E-3</v>
      </c>
      <c r="K83" s="2444">
        <v>42</v>
      </c>
      <c r="L83" s="2169">
        <v>42</v>
      </c>
      <c r="M83" s="2169">
        <v>42</v>
      </c>
      <c r="N83" s="2168">
        <v>42</v>
      </c>
      <c r="O83" s="2377">
        <v>42</v>
      </c>
      <c r="P83" s="2820">
        <f>(F83+G83+H83+I83+J83)/(K83+L83+M83+N83+O83)*1000000</f>
        <v>190</v>
      </c>
      <c r="Q83" s="2885"/>
    </row>
    <row r="84" spans="1:17">
      <c r="A84" s="2679">
        <v>218836</v>
      </c>
      <c r="B84" s="2346" t="s">
        <v>442</v>
      </c>
      <c r="C84" s="2346" t="s">
        <v>442</v>
      </c>
      <c r="D84" s="2895"/>
      <c r="E84" s="2824" t="s">
        <v>46</v>
      </c>
      <c r="F84" s="2489">
        <v>0.01</v>
      </c>
      <c r="G84" s="2349">
        <v>0.01</v>
      </c>
      <c r="H84" s="2348">
        <v>0.01</v>
      </c>
      <c r="I84" s="2349">
        <v>0.01</v>
      </c>
      <c r="J84" s="2434">
        <v>0.01</v>
      </c>
      <c r="K84" s="824">
        <v>5</v>
      </c>
      <c r="L84" s="807">
        <v>5</v>
      </c>
      <c r="M84" s="807">
        <v>5</v>
      </c>
      <c r="N84" s="814">
        <v>5</v>
      </c>
      <c r="O84" s="2476">
        <v>5</v>
      </c>
      <c r="P84" s="391">
        <f>(F84+G84+H84+I84+J84)/(K84+L84+M84+N84+O84)*1000000</f>
        <v>2000</v>
      </c>
      <c r="Q84" s="365"/>
    </row>
    <row r="85" spans="1:17">
      <c r="A85" s="3006">
        <v>218866</v>
      </c>
      <c r="B85" s="2354" t="s">
        <v>443</v>
      </c>
      <c r="C85" s="2354" t="s">
        <v>443</v>
      </c>
      <c r="D85" s="3009"/>
      <c r="E85" s="2989" t="s">
        <v>46</v>
      </c>
      <c r="F85" s="3010">
        <v>8.0000000000000002E-3</v>
      </c>
      <c r="G85" s="3011">
        <v>8.0000000000000002E-3</v>
      </c>
      <c r="H85" s="3012">
        <v>8.0000000000000002E-3</v>
      </c>
      <c r="I85" s="3011">
        <v>8.0000000000000002E-3</v>
      </c>
      <c r="J85" s="3013">
        <v>8.0000000000000002E-3</v>
      </c>
      <c r="K85" s="2560">
        <v>56</v>
      </c>
      <c r="L85" s="2018">
        <v>56</v>
      </c>
      <c r="M85" s="2018">
        <v>56</v>
      </c>
      <c r="N85" s="2017">
        <v>56</v>
      </c>
      <c r="O85" s="2330">
        <v>56</v>
      </c>
      <c r="P85" s="391">
        <f>(F85+G85+H85+I85+J85)/(K85+L85+M85+N85+O85)*1000000</f>
        <v>143</v>
      </c>
      <c r="Q85" s="357"/>
    </row>
    <row r="86" spans="1:17" ht="13.5" thickBot="1">
      <c r="A86" s="2682">
        <v>218929</v>
      </c>
      <c r="B86" s="2436" t="s">
        <v>444</v>
      </c>
      <c r="C86" s="2436" t="s">
        <v>444</v>
      </c>
      <c r="D86" s="1009"/>
      <c r="E86" s="2865" t="s">
        <v>46</v>
      </c>
      <c r="F86" s="2492">
        <v>7.0000000000000001E-3</v>
      </c>
      <c r="G86" s="2365">
        <v>7.0000000000000001E-3</v>
      </c>
      <c r="H86" s="2364">
        <v>7.0000000000000001E-3</v>
      </c>
      <c r="I86" s="2365">
        <v>7.0000000000000001E-3</v>
      </c>
      <c r="J86" s="2438">
        <v>7.0000000000000001E-3</v>
      </c>
      <c r="K86" s="2408">
        <v>30</v>
      </c>
      <c r="L86" s="2034">
        <v>30</v>
      </c>
      <c r="M86" s="2034">
        <v>30</v>
      </c>
      <c r="N86" s="2033">
        <v>30</v>
      </c>
      <c r="O86" s="2380">
        <v>30</v>
      </c>
      <c r="P86" s="1010">
        <f>(F86+G86+H86+I86+J86)/(K86+L86+M86+N86+O86)*1000000</f>
        <v>233</v>
      </c>
      <c r="Q86" s="133"/>
    </row>
    <row r="87" spans="1:17" ht="14.25" thickTop="1" thickBot="1">
      <c r="A87" s="3406" t="s">
        <v>516</v>
      </c>
      <c r="B87" s="3407"/>
      <c r="C87" s="3407"/>
      <c r="D87" s="3407"/>
      <c r="E87" s="3408"/>
      <c r="F87" s="2389">
        <f>SUM(F83:F86)</f>
        <v>3.3000000000000002E-2</v>
      </c>
      <c r="G87" s="2370">
        <f t="shared" ref="G87:O87" si="24">SUM(G83:G86)</f>
        <v>3.3000000000000002E-2</v>
      </c>
      <c r="H87" s="2369">
        <f t="shared" si="24"/>
        <v>3.3000000000000002E-2</v>
      </c>
      <c r="I87" s="2370">
        <f t="shared" si="24"/>
        <v>3.3000000000000002E-2</v>
      </c>
      <c r="J87" s="2410">
        <f t="shared" si="24"/>
        <v>3.3000000000000002E-2</v>
      </c>
      <c r="K87" s="2411">
        <f t="shared" si="24"/>
        <v>133</v>
      </c>
      <c r="L87" s="1981">
        <f t="shared" si="24"/>
        <v>133</v>
      </c>
      <c r="M87" s="1981">
        <f t="shared" si="24"/>
        <v>133</v>
      </c>
      <c r="N87" s="1980">
        <f t="shared" si="24"/>
        <v>133</v>
      </c>
      <c r="O87" s="2371">
        <f t="shared" si="24"/>
        <v>133</v>
      </c>
      <c r="P87" s="304">
        <f>(F87+G87+H87+I87+J87)/(K87+L87+M87+N87+O87)*1000000</f>
        <v>248</v>
      </c>
      <c r="Q87" s="2888"/>
    </row>
    <row r="88" spans="1:17" s="2" customFormat="1" ht="26.25" thickBot="1">
      <c r="A88" s="2361">
        <v>218662</v>
      </c>
      <c r="B88" s="2956" t="s">
        <v>445</v>
      </c>
      <c r="C88" s="2956" t="s">
        <v>445</v>
      </c>
      <c r="D88" s="2452" t="s">
        <v>517</v>
      </c>
      <c r="E88" s="2421" t="s">
        <v>47</v>
      </c>
      <c r="F88" s="990">
        <v>2.1999999999999999E-2</v>
      </c>
      <c r="G88" s="990">
        <v>0.02</v>
      </c>
      <c r="H88" s="991">
        <v>2.5999999999999999E-2</v>
      </c>
      <c r="I88" s="992">
        <v>3.1E-2</v>
      </c>
      <c r="J88" s="2506">
        <v>3.5000000000000003E-2</v>
      </c>
      <c r="K88" s="2930">
        <v>179</v>
      </c>
      <c r="L88" s="1965">
        <v>179</v>
      </c>
      <c r="M88" s="1965">
        <v>179</v>
      </c>
      <c r="N88" s="1965">
        <v>179</v>
      </c>
      <c r="O88" s="2954">
        <v>179</v>
      </c>
      <c r="P88" s="799">
        <f>SUM(F88:J88)/SUM(K88:O88)*1000000</f>
        <v>150</v>
      </c>
      <c r="Q88" s="79"/>
    </row>
    <row r="89" spans="1:17" s="22" customFormat="1" ht="14.25" thickTop="1" thickBot="1">
      <c r="A89" s="3202" t="s">
        <v>518</v>
      </c>
      <c r="B89" s="3401"/>
      <c r="C89" s="3401"/>
      <c r="D89" s="3401"/>
      <c r="E89" s="3203"/>
      <c r="F89" s="2369">
        <f>SUM(F88)</f>
        <v>2.1999999999999999E-2</v>
      </c>
      <c r="G89" s="2369">
        <f t="shared" ref="G89:O89" si="25">SUM(G88)</f>
        <v>0.02</v>
      </c>
      <c r="H89" s="2369">
        <f t="shared" si="25"/>
        <v>2.5999999999999999E-2</v>
      </c>
      <c r="I89" s="2369">
        <f t="shared" si="25"/>
        <v>3.1E-2</v>
      </c>
      <c r="J89" s="2369">
        <f t="shared" si="25"/>
        <v>3.5000000000000003E-2</v>
      </c>
      <c r="K89" s="1986">
        <f t="shared" si="25"/>
        <v>179</v>
      </c>
      <c r="L89" s="2272">
        <f t="shared" si="25"/>
        <v>179</v>
      </c>
      <c r="M89" s="2272">
        <f t="shared" si="25"/>
        <v>179</v>
      </c>
      <c r="N89" s="2272">
        <f t="shared" si="25"/>
        <v>179</v>
      </c>
      <c r="O89" s="2957">
        <f t="shared" si="25"/>
        <v>179</v>
      </c>
      <c r="P89" s="304">
        <f>(F89+G89+H89+I89+J89)/(K89+L89+M89+N89+O89)*1000000</f>
        <v>150</v>
      </c>
      <c r="Q89" s="2931"/>
    </row>
    <row r="90" spans="1:17">
      <c r="A90" s="2932">
        <v>215920</v>
      </c>
      <c r="B90" s="2699" t="s">
        <v>519</v>
      </c>
      <c r="C90" s="2933" t="s">
        <v>519</v>
      </c>
      <c r="D90" s="2934"/>
      <c r="E90" s="2890" t="s">
        <v>49</v>
      </c>
      <c r="F90" s="2935">
        <v>6.0000000000000001E-3</v>
      </c>
      <c r="G90" s="2936">
        <v>6.0000000000000001E-3</v>
      </c>
      <c r="H90" s="2937">
        <v>6.0000000000000001E-3</v>
      </c>
      <c r="I90" s="2936">
        <v>6.0000000000000001E-3</v>
      </c>
      <c r="J90" s="2937">
        <v>6.0000000000000001E-3</v>
      </c>
      <c r="K90" s="2938">
        <v>42</v>
      </c>
      <c r="L90" s="2214">
        <v>42</v>
      </c>
      <c r="M90" s="2214">
        <v>42</v>
      </c>
      <c r="N90" s="2212">
        <v>42</v>
      </c>
      <c r="O90" s="2955">
        <v>42</v>
      </c>
      <c r="P90" s="2166">
        <f t="shared" ref="P90:P102" si="26">(F90+G90+H90+I90+J90)/(K90+L90+M90+N90+O90)*1000000</f>
        <v>143</v>
      </c>
      <c r="Q90" s="2939"/>
    </row>
    <row r="91" spans="1:17" s="22" customFormat="1">
      <c r="A91" s="2940">
        <v>216642</v>
      </c>
      <c r="B91" s="2432" t="s">
        <v>447</v>
      </c>
      <c r="C91" s="2941" t="s">
        <v>447</v>
      </c>
      <c r="D91" s="2433" t="s">
        <v>520</v>
      </c>
      <c r="E91" s="2403" t="s">
        <v>49</v>
      </c>
      <c r="F91" s="2348">
        <v>0.01</v>
      </c>
      <c r="G91" s="2348">
        <v>1.2E-2</v>
      </c>
      <c r="H91" s="2434">
        <v>1.2E-2</v>
      </c>
      <c r="I91" s="2434">
        <v>1.2999999999999999E-2</v>
      </c>
      <c r="J91" s="2434">
        <v>1.0999999999999999E-2</v>
      </c>
      <c r="K91" s="824">
        <v>363</v>
      </c>
      <c r="L91" s="807">
        <v>361</v>
      </c>
      <c r="M91" s="814">
        <v>361</v>
      </c>
      <c r="N91" s="1954">
        <v>363</v>
      </c>
      <c r="O91" s="807">
        <v>366</v>
      </c>
      <c r="P91" s="391">
        <f t="shared" si="26"/>
        <v>32</v>
      </c>
      <c r="Q91" s="2942"/>
    </row>
    <row r="92" spans="1:17" s="22" customFormat="1">
      <c r="A92" s="2943">
        <v>220497</v>
      </c>
      <c r="B92" s="2469" t="s">
        <v>448</v>
      </c>
      <c r="C92" s="2469" t="s">
        <v>448</v>
      </c>
      <c r="D92" s="2944"/>
      <c r="E92" s="2403" t="s">
        <v>49</v>
      </c>
      <c r="F92" s="2472">
        <v>6.3E-2</v>
      </c>
      <c r="G92" s="2472">
        <v>0.13</v>
      </c>
      <c r="H92" s="2491">
        <v>6.0999999999999999E-2</v>
      </c>
      <c r="I92" s="2491">
        <v>8.4000000000000005E-2</v>
      </c>
      <c r="J92" s="2491">
        <v>6.4000000000000001E-2</v>
      </c>
      <c r="K92" s="72">
        <v>291</v>
      </c>
      <c r="L92" s="2256">
        <v>289</v>
      </c>
      <c r="M92" s="76">
        <v>288</v>
      </c>
      <c r="N92" s="2255">
        <v>291</v>
      </c>
      <c r="O92" s="2319">
        <v>293</v>
      </c>
      <c r="P92" s="391">
        <f t="shared" si="26"/>
        <v>277</v>
      </c>
      <c r="Q92" s="2945"/>
    </row>
    <row r="93" spans="1:17" s="22" customFormat="1">
      <c r="A93" s="2943">
        <v>217177</v>
      </c>
      <c r="B93" s="2469" t="s">
        <v>449</v>
      </c>
      <c r="C93" s="2469" t="s">
        <v>449</v>
      </c>
      <c r="D93" s="2944"/>
      <c r="E93" s="2403" t="s">
        <v>49</v>
      </c>
      <c r="F93" s="2472">
        <v>2.1999999999999999E-2</v>
      </c>
      <c r="G93" s="2472">
        <v>2.3E-2</v>
      </c>
      <c r="H93" s="2491">
        <v>2.3E-2</v>
      </c>
      <c r="I93" s="2491">
        <v>2.3E-2</v>
      </c>
      <c r="J93" s="2491">
        <v>2.3E-2</v>
      </c>
      <c r="K93" s="72">
        <v>157</v>
      </c>
      <c r="L93" s="2256">
        <v>156</v>
      </c>
      <c r="M93" s="76">
        <v>155</v>
      </c>
      <c r="N93" s="2255">
        <v>155</v>
      </c>
      <c r="O93" s="2319">
        <v>155</v>
      </c>
      <c r="P93" s="2054">
        <f t="shared" si="26"/>
        <v>147</v>
      </c>
      <c r="Q93" s="2945"/>
    </row>
    <row r="94" spans="1:17" s="22" customFormat="1">
      <c r="A94" s="2943">
        <v>216656</v>
      </c>
      <c r="B94" s="2469" t="s">
        <v>450</v>
      </c>
      <c r="C94" s="2946" t="s">
        <v>450</v>
      </c>
      <c r="D94" s="2944" t="s">
        <v>521</v>
      </c>
      <c r="E94" s="2471" t="s">
        <v>49</v>
      </c>
      <c r="F94" s="2472">
        <v>8.0000000000000002E-3</v>
      </c>
      <c r="G94" s="2472">
        <v>0.01</v>
      </c>
      <c r="H94" s="2491">
        <v>1.0999999999999999E-2</v>
      </c>
      <c r="I94" s="2491">
        <v>0.01</v>
      </c>
      <c r="J94" s="2491">
        <v>0.01</v>
      </c>
      <c r="K94" s="72">
        <v>179</v>
      </c>
      <c r="L94" s="2256">
        <v>179</v>
      </c>
      <c r="M94" s="76">
        <v>174</v>
      </c>
      <c r="N94" s="2255">
        <v>171</v>
      </c>
      <c r="O94" s="2319">
        <v>173</v>
      </c>
      <c r="P94" s="2054">
        <f t="shared" si="26"/>
        <v>56</v>
      </c>
      <c r="Q94" s="2945"/>
    </row>
    <row r="95" spans="1:17" s="22" customFormat="1" ht="13.5" thickBot="1">
      <c r="A95" s="2947">
        <v>220881</v>
      </c>
      <c r="B95" s="2712" t="s">
        <v>522</v>
      </c>
      <c r="C95" s="2948" t="s">
        <v>522</v>
      </c>
      <c r="D95" s="2949"/>
      <c r="E95" s="2421" t="s">
        <v>49</v>
      </c>
      <c r="F95" s="2422">
        <v>4.4999999999999998E-2</v>
      </c>
      <c r="G95" s="2422">
        <v>4.4999999999999998E-2</v>
      </c>
      <c r="H95" s="2423">
        <v>4.4999999999999998E-2</v>
      </c>
      <c r="I95" s="2423">
        <v>4.4999999999999998E-2</v>
      </c>
      <c r="J95" s="2423">
        <v>4.4999999999999998E-2</v>
      </c>
      <c r="K95" s="2930">
        <v>300</v>
      </c>
      <c r="L95" s="1966">
        <v>300</v>
      </c>
      <c r="M95" s="1965">
        <v>300</v>
      </c>
      <c r="N95" s="1964">
        <v>300</v>
      </c>
      <c r="O95" s="2954">
        <v>300</v>
      </c>
      <c r="P95" s="799">
        <f t="shared" si="26"/>
        <v>150</v>
      </c>
      <c r="Q95" s="2950"/>
    </row>
    <row r="96" spans="1:17" s="22" customFormat="1" ht="14.25" thickTop="1" thickBot="1">
      <c r="A96" s="3202" t="s">
        <v>523</v>
      </c>
      <c r="B96" s="3401"/>
      <c r="C96" s="3401"/>
      <c r="D96" s="3401"/>
      <c r="E96" s="3203"/>
      <c r="F96" s="2369">
        <f>SUM(F90:F95)</f>
        <v>0.154</v>
      </c>
      <c r="G96" s="2369">
        <f t="shared" ref="G96:O96" si="27">SUM(G90:G95)</f>
        <v>0.22600000000000001</v>
      </c>
      <c r="H96" s="2369">
        <f t="shared" si="27"/>
        <v>0.158</v>
      </c>
      <c r="I96" s="2410">
        <f t="shared" si="27"/>
        <v>0.18099999999999999</v>
      </c>
      <c r="J96" s="2410">
        <f t="shared" si="27"/>
        <v>0.159</v>
      </c>
      <c r="K96" s="2411">
        <f t="shared" si="27"/>
        <v>1332</v>
      </c>
      <c r="L96" s="1980">
        <f t="shared" si="27"/>
        <v>1327</v>
      </c>
      <c r="M96" s="1980">
        <f t="shared" si="27"/>
        <v>1320</v>
      </c>
      <c r="N96" s="1979">
        <f t="shared" si="27"/>
        <v>1322</v>
      </c>
      <c r="O96" s="2371">
        <f t="shared" si="27"/>
        <v>1329</v>
      </c>
      <c r="P96" s="304">
        <f t="shared" si="26"/>
        <v>132</v>
      </c>
      <c r="Q96" s="2931"/>
    </row>
    <row r="97" spans="1:17" s="22" customFormat="1">
      <c r="A97" s="2951">
        <v>215614</v>
      </c>
      <c r="B97" s="130" t="s">
        <v>452</v>
      </c>
      <c r="C97" s="130" t="s">
        <v>452</v>
      </c>
      <c r="D97" s="2919"/>
      <c r="E97" s="2400" t="s">
        <v>50</v>
      </c>
      <c r="F97" s="82">
        <v>6.0000000000000001E-3</v>
      </c>
      <c r="G97" s="82">
        <v>6.0000000000000001E-3</v>
      </c>
      <c r="H97" s="2431">
        <v>6.0000000000000001E-3</v>
      </c>
      <c r="I97" s="2431">
        <v>6.0000000000000001E-3</v>
      </c>
      <c r="J97" s="2431">
        <v>6.0000000000000001E-3</v>
      </c>
      <c r="K97" s="2444">
        <v>30</v>
      </c>
      <c r="L97" s="2169">
        <v>30</v>
      </c>
      <c r="M97" s="2168">
        <v>30</v>
      </c>
      <c r="N97" s="2167">
        <v>30</v>
      </c>
      <c r="O97" s="2377">
        <v>30</v>
      </c>
      <c r="P97" s="2820">
        <f t="shared" si="26"/>
        <v>200</v>
      </c>
      <c r="Q97" s="2952"/>
    </row>
    <row r="98" spans="1:17" s="22" customFormat="1" ht="13.5" thickBot="1">
      <c r="A98" s="2953">
        <v>217482</v>
      </c>
      <c r="B98" s="752" t="s">
        <v>453</v>
      </c>
      <c r="C98" s="752" t="s">
        <v>453</v>
      </c>
      <c r="D98" s="2949"/>
      <c r="E98" s="2421" t="s">
        <v>50</v>
      </c>
      <c r="F98" s="2422">
        <v>3.0000000000000001E-3</v>
      </c>
      <c r="G98" s="2422">
        <v>3.0000000000000001E-3</v>
      </c>
      <c r="H98" s="2423">
        <v>3.0000000000000001E-3</v>
      </c>
      <c r="I98" s="2423">
        <v>3.0000000000000001E-3</v>
      </c>
      <c r="J98" s="2423">
        <v>3.0000000000000001E-3</v>
      </c>
      <c r="K98" s="2930">
        <v>18</v>
      </c>
      <c r="L98" s="1966">
        <v>18</v>
      </c>
      <c r="M98" s="1965">
        <v>18</v>
      </c>
      <c r="N98" s="1964">
        <v>18</v>
      </c>
      <c r="O98" s="2954">
        <v>18</v>
      </c>
      <c r="P98" s="799">
        <f t="shared" si="26"/>
        <v>167</v>
      </c>
      <c r="Q98" s="2950"/>
    </row>
    <row r="99" spans="1:17" s="22" customFormat="1" ht="14.25" thickTop="1" thickBot="1">
      <c r="A99" s="3202" t="s">
        <v>524</v>
      </c>
      <c r="B99" s="3401"/>
      <c r="C99" s="3401"/>
      <c r="D99" s="3401"/>
      <c r="E99" s="3203"/>
      <c r="F99" s="2369">
        <f>F97+F98</f>
        <v>8.9999999999999993E-3</v>
      </c>
      <c r="G99" s="2369">
        <f t="shared" ref="G99:O99" si="28">G97+G98</f>
        <v>8.9999999999999993E-3</v>
      </c>
      <c r="H99" s="2369">
        <f t="shared" si="28"/>
        <v>8.9999999999999993E-3</v>
      </c>
      <c r="I99" s="2410">
        <f t="shared" si="28"/>
        <v>8.9999999999999993E-3</v>
      </c>
      <c r="J99" s="2410">
        <f t="shared" si="28"/>
        <v>8.9999999999999993E-3</v>
      </c>
      <c r="K99" s="2411">
        <f t="shared" si="28"/>
        <v>48</v>
      </c>
      <c r="L99" s="1980">
        <f t="shared" si="28"/>
        <v>48</v>
      </c>
      <c r="M99" s="1980">
        <f t="shared" si="28"/>
        <v>48</v>
      </c>
      <c r="N99" s="1979">
        <f t="shared" si="28"/>
        <v>48</v>
      </c>
      <c r="O99" s="2371">
        <f t="shared" si="28"/>
        <v>48</v>
      </c>
      <c r="P99" s="304">
        <f t="shared" si="26"/>
        <v>188</v>
      </c>
      <c r="Q99" s="2931"/>
    </row>
    <row r="100" spans="1:17" s="22" customFormat="1">
      <c r="A100" s="2951">
        <v>221616</v>
      </c>
      <c r="B100" s="130" t="s">
        <v>454</v>
      </c>
      <c r="C100" s="130" t="s">
        <v>454</v>
      </c>
      <c r="D100" s="2919"/>
      <c r="E100" s="2400" t="s">
        <v>51</v>
      </c>
      <c r="F100" s="82">
        <v>5.0000000000000001E-3</v>
      </c>
      <c r="G100" s="82">
        <v>2E-3</v>
      </c>
      <c r="H100" s="2431">
        <v>2E-3</v>
      </c>
      <c r="I100" s="2431">
        <v>3.0000000000000001E-3</v>
      </c>
      <c r="J100" s="2431">
        <v>3.0000000000000001E-3</v>
      </c>
      <c r="K100" s="2444">
        <v>50</v>
      </c>
      <c r="L100" s="2169">
        <v>41</v>
      </c>
      <c r="M100" s="2168">
        <v>41</v>
      </c>
      <c r="N100" s="2167">
        <v>45</v>
      </c>
      <c r="O100" s="2377">
        <v>48</v>
      </c>
      <c r="P100" s="2820">
        <f t="shared" si="26"/>
        <v>67</v>
      </c>
      <c r="Q100" s="2952"/>
    </row>
    <row r="101" spans="1:17" s="22" customFormat="1" ht="13.5" thickBot="1">
      <c r="A101" s="2953">
        <v>215763</v>
      </c>
      <c r="B101" s="752" t="s">
        <v>455</v>
      </c>
      <c r="C101" s="752" t="s">
        <v>455</v>
      </c>
      <c r="D101" s="2949"/>
      <c r="E101" s="2421" t="s">
        <v>51</v>
      </c>
      <c r="F101" s="2422">
        <v>7.0000000000000001E-3</v>
      </c>
      <c r="G101" s="2422">
        <v>7.0000000000000001E-3</v>
      </c>
      <c r="H101" s="2423">
        <v>7.0000000000000001E-3</v>
      </c>
      <c r="I101" s="2423">
        <v>7.0000000000000001E-3</v>
      </c>
      <c r="J101" s="2423">
        <v>7.0000000000000001E-3</v>
      </c>
      <c r="K101" s="2930">
        <v>48</v>
      </c>
      <c r="L101" s="1966">
        <v>48</v>
      </c>
      <c r="M101" s="1965">
        <v>48</v>
      </c>
      <c r="N101" s="1964">
        <v>48</v>
      </c>
      <c r="O101" s="2954">
        <v>48</v>
      </c>
      <c r="P101" s="799">
        <f t="shared" si="26"/>
        <v>146</v>
      </c>
      <c r="Q101" s="2950"/>
    </row>
    <row r="102" spans="1:17" s="22" customFormat="1" ht="14.25" thickTop="1" thickBot="1">
      <c r="A102" s="3202" t="s">
        <v>525</v>
      </c>
      <c r="B102" s="3401"/>
      <c r="C102" s="3401"/>
      <c r="D102" s="3401"/>
      <c r="E102" s="3203"/>
      <c r="F102" s="2369">
        <f>SUM(F100:F101)</f>
        <v>1.2E-2</v>
      </c>
      <c r="G102" s="2369">
        <f t="shared" ref="G102:O102" si="29">SUM(G100:G101)</f>
        <v>8.9999999999999993E-3</v>
      </c>
      <c r="H102" s="2369">
        <f t="shared" si="29"/>
        <v>8.9999999999999993E-3</v>
      </c>
      <c r="I102" s="2410">
        <f t="shared" si="29"/>
        <v>0.01</v>
      </c>
      <c r="J102" s="2410">
        <f t="shared" si="29"/>
        <v>0.01</v>
      </c>
      <c r="K102" s="2411">
        <f t="shared" si="29"/>
        <v>98</v>
      </c>
      <c r="L102" s="1980">
        <f t="shared" si="29"/>
        <v>89</v>
      </c>
      <c r="M102" s="1980">
        <f t="shared" si="29"/>
        <v>89</v>
      </c>
      <c r="N102" s="1979">
        <f t="shared" si="29"/>
        <v>93</v>
      </c>
      <c r="O102" s="2371">
        <f t="shared" si="29"/>
        <v>96</v>
      </c>
      <c r="P102" s="304">
        <f t="shared" si="26"/>
        <v>108</v>
      </c>
      <c r="Q102" s="2931"/>
    </row>
    <row r="103" spans="1:17" ht="13.5" thickBot="1">
      <c r="A103" s="3307" t="s">
        <v>526</v>
      </c>
      <c r="B103" s="3308"/>
      <c r="C103" s="3308"/>
      <c r="D103" s="3308"/>
      <c r="E103" s="3404"/>
      <c r="F103" s="2369">
        <f>F96+F89+F87+F99+F102</f>
        <v>0.23</v>
      </c>
      <c r="G103" s="2369">
        <f t="shared" ref="G103:J103" si="30">G96+G89+G87+G99+G102</f>
        <v>0.29699999999999999</v>
      </c>
      <c r="H103" s="2369">
        <f t="shared" si="30"/>
        <v>0.23499999999999999</v>
      </c>
      <c r="I103" s="2369">
        <f t="shared" si="30"/>
        <v>0.26400000000000001</v>
      </c>
      <c r="J103" s="2369">
        <f t="shared" si="30"/>
        <v>0.246</v>
      </c>
      <c r="K103" s="1986">
        <f>K96+K89+K87+K99+K102</f>
        <v>1790</v>
      </c>
      <c r="L103" s="2537">
        <f t="shared" ref="L103:O103" si="31">L96+L89+L87+L99+L102</f>
        <v>1776</v>
      </c>
      <c r="M103" s="2537">
        <f t="shared" si="31"/>
        <v>1769</v>
      </c>
      <c r="N103" s="2537">
        <f t="shared" si="31"/>
        <v>1775</v>
      </c>
      <c r="O103" s="2537">
        <f t="shared" si="31"/>
        <v>1785</v>
      </c>
      <c r="P103" s="304">
        <f>(F103+G103+H103+I103+J103)/(K103+L103+M103+N103+O103)*1000000</f>
        <v>143</v>
      </c>
      <c r="Q103" s="2931"/>
    </row>
    <row r="104" spans="1:17">
      <c r="A104" s="89" t="s">
        <v>35</v>
      </c>
    </row>
    <row r="105" spans="1:17">
      <c r="A105" s="1" t="s">
        <v>68</v>
      </c>
    </row>
    <row r="106" spans="1:17">
      <c r="A106" s="1" t="s">
        <v>69</v>
      </c>
    </row>
    <row r="107" spans="1:17">
      <c r="A107" s="1" t="s">
        <v>514</v>
      </c>
      <c r="M107" s="1" t="s">
        <v>36</v>
      </c>
    </row>
    <row r="108" spans="1:17">
      <c r="A108" s="2" t="s">
        <v>343</v>
      </c>
    </row>
    <row r="120" spans="2:2">
      <c r="B120" s="1" t="s">
        <v>36</v>
      </c>
    </row>
  </sheetData>
  <mergeCells count="22">
    <mergeCell ref="A1:Q1"/>
    <mergeCell ref="A72:E72"/>
    <mergeCell ref="A73:E73"/>
    <mergeCell ref="A74:E74"/>
    <mergeCell ref="A103:E103"/>
    <mergeCell ref="A6:E6"/>
    <mergeCell ref="A10:E10"/>
    <mergeCell ref="A33:E33"/>
    <mergeCell ref="A96:E96"/>
    <mergeCell ref="A14:E14"/>
    <mergeCell ref="A35:E35"/>
    <mergeCell ref="A42:E42"/>
    <mergeCell ref="A54:E54"/>
    <mergeCell ref="A59:E59"/>
    <mergeCell ref="A87:E87"/>
    <mergeCell ref="A39:E39"/>
    <mergeCell ref="A99:E99"/>
    <mergeCell ref="A66:E66"/>
    <mergeCell ref="A71:E71"/>
    <mergeCell ref="A102:E102"/>
    <mergeCell ref="A60:Q60"/>
    <mergeCell ref="A89:E89"/>
  </mergeCells>
  <phoneticPr fontId="71" type="noConversion"/>
  <pageMargins left="0.7" right="0.7" top="0.75" bottom="0.75" header="0.3" footer="0.3"/>
  <pageSetup paperSize="3" scale="73" fitToHeight="0" pageOrder="overThenDown" orientation="landscape"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Y53"/>
  <sheetViews>
    <sheetView workbookViewId="0">
      <pane xSplit="1" topLeftCell="B1" activePane="topRight" state="frozen"/>
      <selection pane="topRight" activeCell="C46" sqref="C46"/>
    </sheetView>
  </sheetViews>
  <sheetFormatPr defaultColWidth="9.140625" defaultRowHeight="12.75"/>
  <cols>
    <col min="1" max="1" width="12" style="1" customWidth="1"/>
    <col min="2" max="2" width="11.140625" style="1" customWidth="1"/>
    <col min="3" max="15" width="9.7109375" style="1" customWidth="1"/>
    <col min="16" max="19" width="9.7109375" style="2" customWidth="1"/>
    <col min="20" max="23" width="9.7109375" style="1" customWidth="1"/>
    <col min="24" max="24" width="13" style="1" customWidth="1"/>
    <col min="25" max="25" width="9.7109375" style="2" customWidth="1"/>
    <col min="26" max="31" width="10.42578125" style="1" customWidth="1"/>
    <col min="32" max="33" width="9.85546875" style="1" customWidth="1"/>
    <col min="34" max="35" width="9.28515625" style="1" customWidth="1"/>
    <col min="36" max="36" width="10" style="1" customWidth="1"/>
    <col min="37" max="38" width="9.85546875" style="1" hidden="1" customWidth="1"/>
    <col min="39" max="40" width="9.85546875" style="1" customWidth="1"/>
    <col min="41" max="43" width="9.28515625" style="1" customWidth="1"/>
    <col min="44" max="46" width="9" style="1" customWidth="1"/>
    <col min="47" max="47" width="9.140625" style="1"/>
    <col min="48" max="51" width="10.42578125" style="1" hidden="1" customWidth="1"/>
    <col min="52" max="16384" width="9.140625" style="1"/>
  </cols>
  <sheetData>
    <row r="1" spans="1:51" ht="30" customHeight="1" thickBot="1">
      <c r="A1" s="3224" t="s">
        <v>527</v>
      </c>
      <c r="B1" s="3224"/>
      <c r="C1" s="3224"/>
      <c r="D1" s="3224"/>
      <c r="E1" s="3224"/>
      <c r="F1" s="3224"/>
      <c r="G1" s="3224"/>
      <c r="H1" s="3224"/>
      <c r="I1" s="3224"/>
      <c r="J1" s="3224"/>
      <c r="K1" s="3224"/>
      <c r="L1" s="3224"/>
      <c r="M1" s="3224"/>
      <c r="N1" s="3224"/>
      <c r="O1" s="3224"/>
      <c r="P1" s="3224"/>
      <c r="Q1" s="3224"/>
      <c r="R1" s="3224"/>
      <c r="S1" s="3224"/>
      <c r="T1" s="3224"/>
      <c r="U1" s="3224"/>
      <c r="V1" s="3224"/>
      <c r="W1" s="3224"/>
      <c r="X1" s="3224"/>
      <c r="Y1" s="3224"/>
      <c r="Z1" s="3224"/>
      <c r="AA1" s="3224"/>
      <c r="AB1" s="3224"/>
      <c r="AC1" s="3224"/>
      <c r="AD1" s="3224"/>
      <c r="AE1" s="3224"/>
      <c r="AF1" s="3224"/>
      <c r="AG1" s="3224"/>
      <c r="AH1" s="3224"/>
      <c r="AI1" s="3224"/>
      <c r="AJ1" s="570"/>
      <c r="AK1" s="570"/>
      <c r="AL1" s="570"/>
      <c r="AM1" s="570"/>
      <c r="AN1" s="570"/>
      <c r="AO1" s="570"/>
      <c r="AP1" s="570"/>
      <c r="AQ1" s="570"/>
      <c r="AR1" s="570"/>
      <c r="AS1" s="570"/>
      <c r="AT1" s="570"/>
      <c r="AV1" s="3416" t="s">
        <v>528</v>
      </c>
      <c r="AW1" s="3416"/>
      <c r="AX1" s="3416" t="s">
        <v>529</v>
      </c>
      <c r="AY1" s="3416"/>
    </row>
    <row r="2" spans="1:51" ht="15.75" customHeight="1" thickBot="1">
      <c r="A2" s="3204" t="s">
        <v>1</v>
      </c>
      <c r="B2" s="3206" t="s">
        <v>2</v>
      </c>
      <c r="C2" s="3222" t="s">
        <v>55</v>
      </c>
      <c r="D2" s="3222"/>
      <c r="E2" s="3223"/>
      <c r="F2" s="3221" t="s">
        <v>56</v>
      </c>
      <c r="G2" s="3222"/>
      <c r="H2" s="3222"/>
      <c r="I2" s="3222"/>
      <c r="J2" s="3222"/>
      <c r="K2" s="3222"/>
      <c r="L2" s="3222"/>
      <c r="M2" s="3222"/>
      <c r="N2" s="3222"/>
      <c r="O2" s="3222"/>
      <c r="P2" s="3222"/>
      <c r="Q2" s="3222"/>
      <c r="R2" s="3222"/>
      <c r="S2" s="3222"/>
      <c r="T2" s="3222"/>
      <c r="U2" s="3222"/>
      <c r="V2" s="3222"/>
      <c r="W2" s="3223"/>
      <c r="X2" s="3300" t="s">
        <v>57</v>
      </c>
      <c r="Y2" s="3238" t="s">
        <v>530</v>
      </c>
      <c r="Z2" s="3265" t="s">
        <v>531</v>
      </c>
      <c r="AA2" s="3266"/>
      <c r="AB2" s="3266"/>
      <c r="AC2" s="3266"/>
      <c r="AD2" s="3266"/>
      <c r="AE2" s="3267"/>
      <c r="AF2" s="3350" t="s">
        <v>57</v>
      </c>
      <c r="AG2" s="3261" t="s">
        <v>58</v>
      </c>
      <c r="AH2" s="3262"/>
      <c r="AI2" s="3263"/>
      <c r="AK2" s="3255" t="s">
        <v>80</v>
      </c>
      <c r="AL2" s="3255" t="s">
        <v>532</v>
      </c>
    </row>
    <row r="3" spans="1:51" ht="15" customHeight="1">
      <c r="A3" s="3205"/>
      <c r="B3" s="3207"/>
      <c r="C3" s="3417">
        <v>2015</v>
      </c>
      <c r="D3" s="3418"/>
      <c r="E3" s="3419"/>
      <c r="F3" s="3423">
        <v>2020</v>
      </c>
      <c r="G3" s="3418"/>
      <c r="H3" s="3426"/>
      <c r="I3" s="3417">
        <v>2025</v>
      </c>
      <c r="J3" s="3418"/>
      <c r="K3" s="3419"/>
      <c r="L3" s="3248">
        <v>2030</v>
      </c>
      <c r="M3" s="3249"/>
      <c r="N3" s="3250"/>
      <c r="O3" s="3417">
        <v>2035</v>
      </c>
      <c r="P3" s="3418"/>
      <c r="Q3" s="3419"/>
      <c r="R3" s="3423">
        <v>2040</v>
      </c>
      <c r="S3" s="3418"/>
      <c r="T3" s="3419"/>
      <c r="U3" s="3212">
        <v>2045</v>
      </c>
      <c r="V3" s="3213"/>
      <c r="W3" s="3215"/>
      <c r="X3" s="3301"/>
      <c r="Y3" s="3422"/>
      <c r="Z3" s="3356"/>
      <c r="AA3" s="3357"/>
      <c r="AB3" s="3357"/>
      <c r="AC3" s="3357"/>
      <c r="AD3" s="3357"/>
      <c r="AE3" s="3358"/>
      <c r="AF3" s="3420"/>
      <c r="AG3" s="3356">
        <v>2045</v>
      </c>
      <c r="AH3" s="3357"/>
      <c r="AI3" s="3358"/>
      <c r="AK3" s="3256"/>
      <c r="AL3" s="3256"/>
    </row>
    <row r="4" spans="1:51" ht="15.75" customHeight="1" thickBot="1">
      <c r="A4" s="3485"/>
      <c r="B4" s="3208"/>
      <c r="C4" s="1669" t="s">
        <v>60</v>
      </c>
      <c r="D4" s="1017" t="s">
        <v>61</v>
      </c>
      <c r="E4" s="1656" t="s">
        <v>18</v>
      </c>
      <c r="F4" s="1655" t="s">
        <v>60</v>
      </c>
      <c r="G4" s="1657" t="s">
        <v>61</v>
      </c>
      <c r="H4" s="1658" t="s">
        <v>18</v>
      </c>
      <c r="I4" s="1669" t="s">
        <v>60</v>
      </c>
      <c r="J4" s="1017" t="s">
        <v>61</v>
      </c>
      <c r="K4" s="1656" t="s">
        <v>18</v>
      </c>
      <c r="L4" s="1655" t="s">
        <v>60</v>
      </c>
      <c r="M4" s="1657" t="s">
        <v>61</v>
      </c>
      <c r="N4" s="1658" t="s">
        <v>18</v>
      </c>
      <c r="O4" s="1669" t="s">
        <v>60</v>
      </c>
      <c r="P4" s="1017" t="s">
        <v>61</v>
      </c>
      <c r="Q4" s="1656" t="s">
        <v>18</v>
      </c>
      <c r="R4" s="1655" t="s">
        <v>60</v>
      </c>
      <c r="S4" s="1657" t="s">
        <v>61</v>
      </c>
      <c r="T4" s="1661" t="s">
        <v>18</v>
      </c>
      <c r="U4" s="1655" t="s">
        <v>60</v>
      </c>
      <c r="V4" s="1660" t="s">
        <v>61</v>
      </c>
      <c r="W4" s="1658" t="s">
        <v>18</v>
      </c>
      <c r="X4" s="3302"/>
      <c r="Y4" s="3016">
        <v>2015</v>
      </c>
      <c r="Z4" s="1687">
        <v>2020</v>
      </c>
      <c r="AA4" s="1688">
        <v>2025</v>
      </c>
      <c r="AB4" s="1688">
        <v>2030</v>
      </c>
      <c r="AC4" s="1688">
        <v>2035</v>
      </c>
      <c r="AD4" s="1688">
        <v>2040</v>
      </c>
      <c r="AE4" s="3021">
        <v>2045</v>
      </c>
      <c r="AF4" s="3421"/>
      <c r="AG4" s="1133" t="s">
        <v>60</v>
      </c>
      <c r="AH4" s="1134" t="s">
        <v>61</v>
      </c>
      <c r="AI4" s="1135" t="s">
        <v>18</v>
      </c>
      <c r="AK4" s="3257"/>
      <c r="AL4" s="3257"/>
    </row>
    <row r="5" spans="1:51">
      <c r="A5" s="443" t="s">
        <v>14</v>
      </c>
      <c r="B5" s="443" t="s">
        <v>15</v>
      </c>
      <c r="C5" s="6">
        <v>2.99</v>
      </c>
      <c r="D5" s="7">
        <v>0</v>
      </c>
      <c r="E5" s="179">
        <f>SUM(C5:D5)</f>
        <v>2.99</v>
      </c>
      <c r="F5" s="9">
        <f>($C$5/$E$5)*H5</f>
        <v>3.13</v>
      </c>
      <c r="G5" s="10">
        <f>H5-F5</f>
        <v>0</v>
      </c>
      <c r="H5" s="11">
        <f>'Table 7a '!F14</f>
        <v>3.13</v>
      </c>
      <c r="I5" s="6">
        <f>($C$5/$E$5)*K5</f>
        <v>3.18</v>
      </c>
      <c r="J5" s="7">
        <f>K5-I5</f>
        <v>0</v>
      </c>
      <c r="K5" s="8">
        <f>'Table 7a '!H14</f>
        <v>3.18</v>
      </c>
      <c r="L5" s="9">
        <f>($C$5/$E$5)*N5</f>
        <v>3.27</v>
      </c>
      <c r="M5" s="10">
        <f>N5-L5</f>
        <v>0</v>
      </c>
      <c r="N5" s="11">
        <f>'Table 7a '!J14</f>
        <v>3.27</v>
      </c>
      <c r="O5" s="584">
        <f>($C$5/$E$5)*Q5</f>
        <v>3.39</v>
      </c>
      <c r="P5" s="445">
        <f>Q5-O5</f>
        <v>0</v>
      </c>
      <c r="Q5" s="449">
        <f>'Table 7a '!L14</f>
        <v>3.39</v>
      </c>
      <c r="R5" s="444">
        <f>($C$5/$E$5)*T5</f>
        <v>3.52</v>
      </c>
      <c r="S5" s="585">
        <f>T5-R5</f>
        <v>0</v>
      </c>
      <c r="T5" s="803">
        <f>'Table 7a '!$N$14</f>
        <v>3.52</v>
      </c>
      <c r="U5" s="957">
        <f>($C$5/$E$5)*W5</f>
        <v>3.56</v>
      </c>
      <c r="V5" s="958">
        <f>W5-U5</f>
        <v>0</v>
      </c>
      <c r="W5" s="941">
        <f>'Table 7a '!$P$14</f>
        <v>3.56</v>
      </c>
      <c r="X5" s="203">
        <f>(W5-E5)/E5</f>
        <v>0.19</v>
      </c>
      <c r="Y5" s="372">
        <f>'Table 7a '!C14</f>
        <v>1911</v>
      </c>
      <c r="Z5" s="45">
        <f>'Table 7a '!E14</f>
        <v>1820</v>
      </c>
      <c r="AA5" s="12">
        <f>'Table 7a '!G14</f>
        <v>1829</v>
      </c>
      <c r="AB5" s="12">
        <f>'Table 7a '!I14</f>
        <v>1951</v>
      </c>
      <c r="AC5" s="12">
        <f>'Table 7a '!K14</f>
        <v>2006</v>
      </c>
      <c r="AD5" s="12">
        <f>'Table 7a '!M14</f>
        <v>2078</v>
      </c>
      <c r="AE5" s="962">
        <f>'Table 7a '!O14</f>
        <v>2098</v>
      </c>
      <c r="AF5" s="13">
        <f>(AE5-Y5)/Y5</f>
        <v>0.1</v>
      </c>
      <c r="AG5" s="47">
        <f>($C$5/$E$5)*AI5</f>
        <v>5.44</v>
      </c>
      <c r="AH5" s="14">
        <f>AI5-AG5</f>
        <v>0</v>
      </c>
      <c r="AI5" s="811">
        <f>'Table 7a '!S14</f>
        <v>5.44</v>
      </c>
      <c r="AK5" s="1626">
        <f>W5-E5</f>
        <v>0.56999999999999995</v>
      </c>
      <c r="AL5" s="1639">
        <f>AE5-Y5</f>
        <v>187</v>
      </c>
    </row>
    <row r="6" spans="1:51" ht="13.5" thickBot="1">
      <c r="A6" s="579" t="s">
        <v>14</v>
      </c>
      <c r="B6" s="579" t="s">
        <v>17</v>
      </c>
      <c r="C6" s="875">
        <v>12.22</v>
      </c>
      <c r="D6" s="410">
        <v>0</v>
      </c>
      <c r="E6" s="180">
        <f>SUM(C6:D6)</f>
        <v>12.22</v>
      </c>
      <c r="F6" s="18">
        <f>($C$6/$E$6)*H6</f>
        <v>11.25</v>
      </c>
      <c r="G6" s="412">
        <f>H6-F6</f>
        <v>0</v>
      </c>
      <c r="H6" s="876">
        <f>'Table 7a '!F25</f>
        <v>11.25</v>
      </c>
      <c r="I6" s="875">
        <f>($C$6/$E$6)*K6</f>
        <v>11.45</v>
      </c>
      <c r="J6" s="410">
        <f>K6-I6</f>
        <v>0</v>
      </c>
      <c r="K6" s="17">
        <f>'Table 7a '!H25</f>
        <v>11.45</v>
      </c>
      <c r="L6" s="18">
        <f>($C$6/$E$6)*N6</f>
        <v>11.54</v>
      </c>
      <c r="M6" s="412">
        <f>N6-L6</f>
        <v>0</v>
      </c>
      <c r="N6" s="876">
        <f>'Table 7a '!J25</f>
        <v>11.54</v>
      </c>
      <c r="O6" s="1137">
        <f>($C$6/$E$6)*Q6</f>
        <v>11.79</v>
      </c>
      <c r="P6" s="531">
        <f>Q6-O6</f>
        <v>0</v>
      </c>
      <c r="Q6" s="523">
        <f>'Table 7a '!L25</f>
        <v>11.79</v>
      </c>
      <c r="R6" s="467">
        <f>($C$6/$E$6)*T6</f>
        <v>11.97</v>
      </c>
      <c r="S6" s="562">
        <f>T6-R6</f>
        <v>0</v>
      </c>
      <c r="T6" s="804">
        <f>'Table 7a '!N25</f>
        <v>11.97</v>
      </c>
      <c r="U6" s="959">
        <f>($C$6/$E$6)*W6</f>
        <v>12.24</v>
      </c>
      <c r="V6" s="960">
        <f>W6-U6</f>
        <v>0</v>
      </c>
      <c r="W6" s="942">
        <f>'Table 7a '!P25</f>
        <v>12.24</v>
      </c>
      <c r="X6" s="205">
        <f t="shared" ref="X6:X27" si="0">(W6-E6)/E6</f>
        <v>0</v>
      </c>
      <c r="Y6" s="719">
        <f>'Table 7a '!C25</f>
        <v>9777</v>
      </c>
      <c r="Z6" s="929">
        <f>'Table 7a '!E25</f>
        <v>10239</v>
      </c>
      <c r="AA6" s="580">
        <f>'Table 7a '!G25</f>
        <v>10405</v>
      </c>
      <c r="AB6" s="580">
        <f>'Table 7a '!I25</f>
        <v>10470</v>
      </c>
      <c r="AC6" s="580">
        <f>'Table 7a '!K25</f>
        <v>10601</v>
      </c>
      <c r="AD6" s="580">
        <f>'Table 7a '!M25</f>
        <v>10721</v>
      </c>
      <c r="AE6" s="963">
        <f>'Table 7a '!O25</f>
        <v>10909</v>
      </c>
      <c r="AF6" s="581">
        <f t="shared" ref="AF6:AF27" si="1">(AE6-Y6)/Y6</f>
        <v>0.12</v>
      </c>
      <c r="AG6" s="48">
        <f>($C$6/$E$6)*AI6</f>
        <v>15.72</v>
      </c>
      <c r="AH6" s="366">
        <f>AI6-AG6</f>
        <v>0</v>
      </c>
      <c r="AI6" s="815">
        <f>'Table 7a '!S25</f>
        <v>15.72</v>
      </c>
      <c r="AK6" s="1623">
        <f t="shared" ref="AK6:AK27" si="2">W6-E6</f>
        <v>0.02</v>
      </c>
      <c r="AL6" s="1637">
        <f t="shared" ref="AL6:AL27" si="3">AE6-Y6</f>
        <v>1132</v>
      </c>
    </row>
    <row r="7" spans="1:51" s="22" customFormat="1" ht="14.25" thickTop="1" thickBot="1">
      <c r="A7" s="476" t="s">
        <v>14</v>
      </c>
      <c r="B7" s="476" t="s">
        <v>18</v>
      </c>
      <c r="C7" s="586">
        <f t="shared" ref="C7:T7" si="4">SUM(C5:C6)</f>
        <v>15.21</v>
      </c>
      <c r="D7" s="318">
        <f t="shared" si="4"/>
        <v>0</v>
      </c>
      <c r="E7" s="565">
        <f t="shared" si="4"/>
        <v>15.21</v>
      </c>
      <c r="F7" s="356">
        <f t="shared" si="4"/>
        <v>14.38</v>
      </c>
      <c r="G7" s="316">
        <f t="shared" si="4"/>
        <v>0</v>
      </c>
      <c r="H7" s="353">
        <f t="shared" si="4"/>
        <v>14.38</v>
      </c>
      <c r="I7" s="586">
        <f t="shared" ref="I7" si="5">SUM(I5:I6)</f>
        <v>14.63</v>
      </c>
      <c r="J7" s="318">
        <f t="shared" si="4"/>
        <v>0</v>
      </c>
      <c r="K7" s="565">
        <f t="shared" si="4"/>
        <v>14.63</v>
      </c>
      <c r="L7" s="356">
        <f t="shared" ref="L7" si="6">SUM(L5:L6)</f>
        <v>14.81</v>
      </c>
      <c r="M7" s="316">
        <f t="shared" si="4"/>
        <v>0</v>
      </c>
      <c r="N7" s="353">
        <f t="shared" si="4"/>
        <v>14.81</v>
      </c>
      <c r="O7" s="587">
        <f t="shared" ref="O7" si="7">SUM(O5:O6)</f>
        <v>15.18</v>
      </c>
      <c r="P7" s="483">
        <f t="shared" si="4"/>
        <v>0</v>
      </c>
      <c r="Q7" s="484">
        <f t="shared" si="4"/>
        <v>15.18</v>
      </c>
      <c r="R7" s="482">
        <f t="shared" ref="R7" si="8">SUM(R5:R6)</f>
        <v>15.49</v>
      </c>
      <c r="S7" s="554">
        <f t="shared" si="4"/>
        <v>0</v>
      </c>
      <c r="T7" s="484">
        <f t="shared" si="4"/>
        <v>15.49</v>
      </c>
      <c r="U7" s="482">
        <f t="shared" ref="U7" si="9">SUM(U5:U6)</f>
        <v>15.8</v>
      </c>
      <c r="V7" s="485">
        <f t="shared" ref="V7:W7" si="10">SUM(V5:V6)</f>
        <v>0</v>
      </c>
      <c r="W7" s="486">
        <f t="shared" si="10"/>
        <v>15.8</v>
      </c>
      <c r="X7" s="548">
        <f t="shared" si="0"/>
        <v>0.04</v>
      </c>
      <c r="Y7" s="382">
        <f t="shared" ref="Y7" si="11">SUM(Y5:Y6)</f>
        <v>11688</v>
      </c>
      <c r="Z7" s="577">
        <f t="shared" ref="Z7" si="12">SUM(Z5:Z6)</f>
        <v>12059</v>
      </c>
      <c r="AA7" s="578">
        <f t="shared" ref="AA7" si="13">SUM(AA5:AA6)</f>
        <v>12234</v>
      </c>
      <c r="AB7" s="578">
        <f t="shared" ref="AB7" si="14">SUM(AB5:AB6)</f>
        <v>12421</v>
      </c>
      <c r="AC7" s="578">
        <f t="shared" ref="AC7" si="15">SUM(AC5:AC6)</f>
        <v>12607</v>
      </c>
      <c r="AD7" s="578">
        <f t="shared" ref="AD7" si="16">SUM(AD5:AD6)</f>
        <v>12799</v>
      </c>
      <c r="AE7" s="964">
        <f t="shared" ref="AE7" si="17">SUM(AE5:AE6)</f>
        <v>13007</v>
      </c>
      <c r="AF7" s="567">
        <f t="shared" si="1"/>
        <v>0.11</v>
      </c>
      <c r="AG7" s="139">
        <f>SUM(AG5:AG6)</f>
        <v>21.16</v>
      </c>
      <c r="AH7" s="104">
        <f>SUM(AH5:AH6)</f>
        <v>0</v>
      </c>
      <c r="AI7" s="640">
        <f>SUM(AI5:AI6)</f>
        <v>21.16</v>
      </c>
      <c r="AK7" s="1629">
        <f t="shared" si="2"/>
        <v>0.59</v>
      </c>
      <c r="AL7" s="1640">
        <f t="shared" si="3"/>
        <v>1319</v>
      </c>
    </row>
    <row r="8" spans="1:51">
      <c r="A8" s="475" t="s">
        <v>19</v>
      </c>
      <c r="B8" s="475" t="s">
        <v>15</v>
      </c>
      <c r="C8" s="442">
        <v>0.36</v>
      </c>
      <c r="D8" s="113">
        <v>0.2</v>
      </c>
      <c r="E8" s="143">
        <f t="shared" ref="E8:E24" si="18">SUM(C8:D8)</f>
        <v>0.56000000000000005</v>
      </c>
      <c r="F8" s="151">
        <f>($C$8/$E$8)*H8</f>
        <v>0.28000000000000003</v>
      </c>
      <c r="G8" s="123">
        <f>H8-F8</f>
        <v>0.15</v>
      </c>
      <c r="H8" s="152">
        <f>'Table 7a '!F47</f>
        <v>0.43</v>
      </c>
      <c r="I8" s="442">
        <f>($C$8/$E$8)*K8</f>
        <v>0.28000000000000003</v>
      </c>
      <c r="J8" s="113">
        <f>K8-I8</f>
        <v>0.16</v>
      </c>
      <c r="K8" s="143">
        <f>'Table 7a '!H47</f>
        <v>0.44</v>
      </c>
      <c r="L8" s="151">
        <f>($C$8/$E$8)*N8</f>
        <v>0.28999999999999998</v>
      </c>
      <c r="M8" s="123">
        <f>N8-L8</f>
        <v>0.16</v>
      </c>
      <c r="N8" s="152">
        <f>'Table 7a '!J47</f>
        <v>0.45</v>
      </c>
      <c r="O8" s="588">
        <f>($C$8/$E$8)*Q8</f>
        <v>0.28999999999999998</v>
      </c>
      <c r="P8" s="465">
        <f>Q8-O8</f>
        <v>0.16</v>
      </c>
      <c r="Q8" s="520">
        <f>'Table 7a '!L47</f>
        <v>0.45</v>
      </c>
      <c r="R8" s="464">
        <f>($C$8/$E$8)*T8</f>
        <v>0.3</v>
      </c>
      <c r="S8" s="559">
        <f>T8-R8</f>
        <v>0.17</v>
      </c>
      <c r="T8" s="520">
        <f>'Table 7a '!N47</f>
        <v>0.47</v>
      </c>
      <c r="U8" s="464">
        <f>($C$8/$E$8)*W8</f>
        <v>0.3</v>
      </c>
      <c r="V8" s="466">
        <f>W8-U8</f>
        <v>0.17</v>
      </c>
      <c r="W8" s="518">
        <f>'Table 7a '!P47</f>
        <v>0.47</v>
      </c>
      <c r="X8" s="204">
        <f t="shared" si="0"/>
        <v>-0.16</v>
      </c>
      <c r="Y8" s="404">
        <f>'Table 7a '!C47</f>
        <v>208</v>
      </c>
      <c r="Z8" s="155">
        <f>'Table 7a '!E47</f>
        <v>208</v>
      </c>
      <c r="AA8" s="135">
        <f>'Table 7a '!G47</f>
        <v>208</v>
      </c>
      <c r="AB8" s="135">
        <f>'Table 7a '!I47</f>
        <v>208</v>
      </c>
      <c r="AC8" s="135">
        <f>'Table 7a '!K47</f>
        <v>208</v>
      </c>
      <c r="AD8" s="135">
        <f>'Table 7a '!M47</f>
        <v>208</v>
      </c>
      <c r="AE8" s="965">
        <f>'Table 7a '!O47</f>
        <v>208</v>
      </c>
      <c r="AF8" s="144">
        <f t="shared" si="1"/>
        <v>0</v>
      </c>
      <c r="AG8" s="149">
        <f>($C$8/$E$8)*AI8</f>
        <v>0.35</v>
      </c>
      <c r="AH8" s="159">
        <f>AI8-AG8</f>
        <v>0.2</v>
      </c>
      <c r="AI8" s="678">
        <f>'Table 7a '!S47</f>
        <v>0.55000000000000004</v>
      </c>
      <c r="AK8" s="1625">
        <f t="shared" si="2"/>
        <v>-0.09</v>
      </c>
      <c r="AL8" s="1641">
        <f t="shared" si="3"/>
        <v>0</v>
      </c>
    </row>
    <row r="9" spans="1:51" ht="13.5" thickBot="1">
      <c r="A9" s="579" t="s">
        <v>19</v>
      </c>
      <c r="B9" s="579" t="s">
        <v>17</v>
      </c>
      <c r="C9" s="875">
        <v>0</v>
      </c>
      <c r="D9" s="410">
        <v>0</v>
      </c>
      <c r="E9" s="17">
        <f t="shared" si="18"/>
        <v>0</v>
      </c>
      <c r="F9" s="18">
        <v>0</v>
      </c>
      <c r="G9" s="412">
        <v>0</v>
      </c>
      <c r="H9" s="876">
        <f>'Table 7a '!F58</f>
        <v>0</v>
      </c>
      <c r="I9" s="875">
        <v>0</v>
      </c>
      <c r="J9" s="410">
        <v>0</v>
      </c>
      <c r="K9" s="17">
        <f>'Table 7a '!H58</f>
        <v>0</v>
      </c>
      <c r="L9" s="18">
        <v>0</v>
      </c>
      <c r="M9" s="412">
        <v>0</v>
      </c>
      <c r="N9" s="876">
        <f>'Table 7a '!J58</f>
        <v>0</v>
      </c>
      <c r="O9" s="1137">
        <v>0</v>
      </c>
      <c r="P9" s="531">
        <v>0</v>
      </c>
      <c r="Q9" s="523">
        <f>'Table 7a '!L58</f>
        <v>0</v>
      </c>
      <c r="R9" s="467">
        <v>0</v>
      </c>
      <c r="S9" s="562">
        <v>0</v>
      </c>
      <c r="T9" s="523">
        <f>'Table 7a '!N58</f>
        <v>0</v>
      </c>
      <c r="U9" s="467">
        <v>0</v>
      </c>
      <c r="V9" s="532">
        <v>0</v>
      </c>
      <c r="W9" s="943">
        <f>'Table 7a '!P58</f>
        <v>0</v>
      </c>
      <c r="X9" s="205" t="s">
        <v>16</v>
      </c>
      <c r="Y9" s="719">
        <f>'Table 7a '!C58</f>
        <v>0</v>
      </c>
      <c r="Z9" s="929">
        <f>'Table 7a '!E58</f>
        <v>0</v>
      </c>
      <c r="AA9" s="580">
        <f>'Table 7a '!G58</f>
        <v>0</v>
      </c>
      <c r="AB9" s="580">
        <f>'Table 7a '!I58</f>
        <v>0</v>
      </c>
      <c r="AC9" s="580">
        <f>'Table 7a '!K58</f>
        <v>0</v>
      </c>
      <c r="AD9" s="580">
        <f>'Table 7a '!M58</f>
        <v>0</v>
      </c>
      <c r="AE9" s="963">
        <f>'Table 7a '!O58</f>
        <v>0</v>
      </c>
      <c r="AF9" s="581" t="s">
        <v>16</v>
      </c>
      <c r="AG9" s="48">
        <v>0</v>
      </c>
      <c r="AH9" s="366">
        <v>0</v>
      </c>
      <c r="AI9" s="644">
        <f>'Table 7a '!S58</f>
        <v>0</v>
      </c>
      <c r="AK9" s="1623">
        <f t="shared" si="2"/>
        <v>0</v>
      </c>
      <c r="AL9" s="1637">
        <f t="shared" si="3"/>
        <v>0</v>
      </c>
    </row>
    <row r="10" spans="1:51" s="22" customFormat="1" ht="14.25" thickTop="1" thickBot="1">
      <c r="A10" s="279" t="s">
        <v>19</v>
      </c>
      <c r="B10" s="279" t="s">
        <v>18</v>
      </c>
      <c r="C10" s="31">
        <f t="shared" ref="C10:T10" si="19">SUM(C8:C9)</f>
        <v>0.36</v>
      </c>
      <c r="D10" s="32">
        <f t="shared" si="19"/>
        <v>0.2</v>
      </c>
      <c r="E10" s="33">
        <f t="shared" si="19"/>
        <v>0.56000000000000005</v>
      </c>
      <c r="F10" s="36">
        <f t="shared" si="19"/>
        <v>0.28000000000000003</v>
      </c>
      <c r="G10" s="165">
        <f t="shared" si="19"/>
        <v>0.15</v>
      </c>
      <c r="H10" s="38">
        <f t="shared" si="19"/>
        <v>0.43</v>
      </c>
      <c r="I10" s="31">
        <f t="shared" ref="I10" si="20">SUM(I8:I9)</f>
        <v>0.28000000000000003</v>
      </c>
      <c r="J10" s="32">
        <f t="shared" si="19"/>
        <v>0.16</v>
      </c>
      <c r="K10" s="33">
        <f t="shared" si="19"/>
        <v>0.44</v>
      </c>
      <c r="L10" s="36">
        <f t="shared" ref="L10" si="21">SUM(L8:L9)</f>
        <v>0.28999999999999998</v>
      </c>
      <c r="M10" s="165">
        <f t="shared" si="19"/>
        <v>0.16</v>
      </c>
      <c r="N10" s="38">
        <f t="shared" si="19"/>
        <v>0.45</v>
      </c>
      <c r="O10" s="589">
        <f t="shared" ref="O10" si="22">SUM(O8:O9)</f>
        <v>0.28999999999999998</v>
      </c>
      <c r="P10" s="471">
        <f t="shared" si="19"/>
        <v>0.16</v>
      </c>
      <c r="Q10" s="472">
        <f t="shared" si="19"/>
        <v>0.45</v>
      </c>
      <c r="R10" s="470">
        <f t="shared" ref="R10" si="23">SUM(R8:R9)</f>
        <v>0.3</v>
      </c>
      <c r="S10" s="555">
        <f t="shared" si="19"/>
        <v>0.17</v>
      </c>
      <c r="T10" s="472">
        <f t="shared" si="19"/>
        <v>0.47</v>
      </c>
      <c r="U10" s="470">
        <f t="shared" ref="U10" si="24">SUM(U8:U9)</f>
        <v>0.3</v>
      </c>
      <c r="V10" s="473">
        <f t="shared" ref="V10:W10" si="25">SUM(V8:V9)</f>
        <v>0.17</v>
      </c>
      <c r="W10" s="474">
        <f t="shared" si="25"/>
        <v>0.47</v>
      </c>
      <c r="X10" s="206">
        <f t="shared" si="0"/>
        <v>-0.16</v>
      </c>
      <c r="Y10" s="379">
        <f t="shared" ref="Y10:AD10" si="26">SUM(Y8:Y9)</f>
        <v>208</v>
      </c>
      <c r="Z10" s="582">
        <f t="shared" si="26"/>
        <v>208</v>
      </c>
      <c r="AA10" s="583">
        <f t="shared" si="26"/>
        <v>208</v>
      </c>
      <c r="AB10" s="583">
        <f t="shared" si="26"/>
        <v>208</v>
      </c>
      <c r="AC10" s="583">
        <f t="shared" si="26"/>
        <v>208</v>
      </c>
      <c r="AD10" s="583">
        <f t="shared" si="26"/>
        <v>208</v>
      </c>
      <c r="AE10" s="966">
        <f t="shared" ref="AE10" si="27">SUM(AE8:AE9)</f>
        <v>208</v>
      </c>
      <c r="AF10" s="183">
        <f t="shared" si="1"/>
        <v>0</v>
      </c>
      <c r="AG10" s="34">
        <f>SUM(AG8:AG9)</f>
        <v>0.35</v>
      </c>
      <c r="AH10" s="20">
        <f>SUM(AH8:AH9)</f>
        <v>0.2</v>
      </c>
      <c r="AI10" s="657">
        <f>SUM(AI8:AI9)</f>
        <v>0.55000000000000004</v>
      </c>
      <c r="AK10" s="1624">
        <f t="shared" si="2"/>
        <v>-0.09</v>
      </c>
      <c r="AL10" s="1638">
        <f t="shared" si="3"/>
        <v>0</v>
      </c>
    </row>
    <row r="11" spans="1:51">
      <c r="A11" s="475" t="s">
        <v>20</v>
      </c>
      <c r="B11" s="475" t="s">
        <v>15</v>
      </c>
      <c r="C11" s="442">
        <v>0</v>
      </c>
      <c r="D11" s="113">
        <v>0</v>
      </c>
      <c r="E11" s="143">
        <f t="shared" si="18"/>
        <v>0</v>
      </c>
      <c r="F11" s="151">
        <v>0</v>
      </c>
      <c r="G11" s="123">
        <f>H11-F11</f>
        <v>0</v>
      </c>
      <c r="H11" s="152">
        <f>'Table 7a '!F83</f>
        <v>0</v>
      </c>
      <c r="I11" s="442">
        <v>0</v>
      </c>
      <c r="J11" s="113">
        <f>K11-I11</f>
        <v>0</v>
      </c>
      <c r="K11" s="143">
        <f>'Table 7a '!H83</f>
        <v>0</v>
      </c>
      <c r="L11" s="151">
        <v>0</v>
      </c>
      <c r="M11" s="123">
        <f>N11-L11</f>
        <v>0</v>
      </c>
      <c r="N11" s="152">
        <f>'Table 7a '!J83</f>
        <v>0</v>
      </c>
      <c r="O11" s="588">
        <v>0</v>
      </c>
      <c r="P11" s="465">
        <f>Q11-O11</f>
        <v>0</v>
      </c>
      <c r="Q11" s="520">
        <f>'Table 7a '!L83</f>
        <v>0</v>
      </c>
      <c r="R11" s="464">
        <v>0</v>
      </c>
      <c r="S11" s="559">
        <f>T11-R11</f>
        <v>0</v>
      </c>
      <c r="T11" s="520">
        <f>'Table 7a '!N83</f>
        <v>0</v>
      </c>
      <c r="U11" s="464">
        <v>0</v>
      </c>
      <c r="V11" s="466">
        <f>W11-U11</f>
        <v>0</v>
      </c>
      <c r="W11" s="518">
        <f>'Table 7a '!P83</f>
        <v>0</v>
      </c>
      <c r="X11" s="204" t="s">
        <v>16</v>
      </c>
      <c r="Y11" s="404">
        <f>'Table 7a '!C83</f>
        <v>0</v>
      </c>
      <c r="Z11" s="155">
        <f>'Table 7a '!E83</f>
        <v>0</v>
      </c>
      <c r="AA11" s="135">
        <f>'Table 7a '!G83</f>
        <v>0</v>
      </c>
      <c r="AB11" s="135">
        <f>'Table 7a '!I83</f>
        <v>0</v>
      </c>
      <c r="AC11" s="135">
        <f>'Table 7a '!K83</f>
        <v>0</v>
      </c>
      <c r="AD11" s="135">
        <f>'Table 7a '!M83</f>
        <v>0</v>
      </c>
      <c r="AE11" s="965">
        <f>'Table 7a '!O83</f>
        <v>0</v>
      </c>
      <c r="AF11" s="144" t="s">
        <v>16</v>
      </c>
      <c r="AG11" s="149">
        <v>0</v>
      </c>
      <c r="AH11" s="159">
        <f>AI11-AG11</f>
        <v>0</v>
      </c>
      <c r="AI11" s="678">
        <f>'Table 7a '!S83</f>
        <v>0</v>
      </c>
      <c r="AK11" s="1625">
        <f t="shared" si="2"/>
        <v>0</v>
      </c>
      <c r="AL11" s="1641">
        <f t="shared" si="3"/>
        <v>0</v>
      </c>
    </row>
    <row r="12" spans="1:51" ht="13.5" thickBot="1">
      <c r="A12" s="579" t="s">
        <v>20</v>
      </c>
      <c r="B12" s="579" t="s">
        <v>17</v>
      </c>
      <c r="C12" s="875">
        <v>1.82</v>
      </c>
      <c r="D12" s="410">
        <v>0</v>
      </c>
      <c r="E12" s="17">
        <f t="shared" si="18"/>
        <v>1.82</v>
      </c>
      <c r="F12" s="18">
        <f>($C$12/$E$12)*H12</f>
        <v>1.89</v>
      </c>
      <c r="G12" s="412">
        <f>H12-F12</f>
        <v>0</v>
      </c>
      <c r="H12" s="876">
        <f>'Table 7a '!F94</f>
        <v>1.89</v>
      </c>
      <c r="I12" s="875">
        <f>($C$12/$E$12)*K12</f>
        <v>1.87</v>
      </c>
      <c r="J12" s="410">
        <f>K12-I12</f>
        <v>0</v>
      </c>
      <c r="K12" s="17">
        <f>'Table 7a '!H94</f>
        <v>1.87</v>
      </c>
      <c r="L12" s="18">
        <f>($C$12/$E$12)*N12</f>
        <v>1.85</v>
      </c>
      <c r="M12" s="412">
        <f>N12-L12</f>
        <v>0</v>
      </c>
      <c r="N12" s="876">
        <f>'Table 7a '!J94</f>
        <v>1.85</v>
      </c>
      <c r="O12" s="1137">
        <f>($C$12/$E$12)*Q12</f>
        <v>1.88</v>
      </c>
      <c r="P12" s="531">
        <f>Q12-O12</f>
        <v>0</v>
      </c>
      <c r="Q12" s="523">
        <f>'Table 7a '!L94</f>
        <v>1.88</v>
      </c>
      <c r="R12" s="556">
        <f>($C$12/$E$12)*T12</f>
        <v>1.87</v>
      </c>
      <c r="S12" s="557">
        <f>T12-R12</f>
        <v>0</v>
      </c>
      <c r="T12" s="523">
        <f>'Table 7a '!N94</f>
        <v>1.87</v>
      </c>
      <c r="U12" s="556">
        <f>($C$12/$E$12)*W12</f>
        <v>1.86</v>
      </c>
      <c r="V12" s="961">
        <f>W12-U12</f>
        <v>0</v>
      </c>
      <c r="W12" s="558">
        <f>'Table 7a '!P94</f>
        <v>1.86</v>
      </c>
      <c r="X12" s="806">
        <f t="shared" si="0"/>
        <v>0.02</v>
      </c>
      <c r="Y12" s="719">
        <f>'Table 7a '!C94</f>
        <v>1636</v>
      </c>
      <c r="Z12" s="929">
        <f>'Table 7a '!E94</f>
        <v>1499</v>
      </c>
      <c r="AA12" s="580">
        <f>'Table 7a '!G94</f>
        <v>1499</v>
      </c>
      <c r="AB12" s="580">
        <f>'Table 7a '!I94</f>
        <v>1499</v>
      </c>
      <c r="AC12" s="580">
        <f>'Table 7a '!K94</f>
        <v>1499</v>
      </c>
      <c r="AD12" s="580">
        <f>'Table 7a '!M94</f>
        <v>1499</v>
      </c>
      <c r="AE12" s="963">
        <f>'Table 7a '!O94</f>
        <v>1499</v>
      </c>
      <c r="AF12" s="581">
        <f t="shared" si="1"/>
        <v>-0.08</v>
      </c>
      <c r="AG12" s="48">
        <f>($C$12/$E$12)*AI12</f>
        <v>2.38</v>
      </c>
      <c r="AH12" s="366">
        <f>AI12-AG12</f>
        <v>0</v>
      </c>
      <c r="AI12" s="644">
        <f>'Table 7a '!S94</f>
        <v>2.38</v>
      </c>
      <c r="AK12" s="1623">
        <f t="shared" si="2"/>
        <v>0.04</v>
      </c>
      <c r="AL12" s="1637">
        <f t="shared" si="3"/>
        <v>-137</v>
      </c>
    </row>
    <row r="13" spans="1:51" s="22" customFormat="1" ht="14.25" thickTop="1" thickBot="1">
      <c r="A13" s="279" t="s">
        <v>20</v>
      </c>
      <c r="B13" s="279" t="s">
        <v>18</v>
      </c>
      <c r="C13" s="31">
        <f t="shared" ref="C13:T13" si="28">SUM(C11:C12)</f>
        <v>1.82</v>
      </c>
      <c r="D13" s="32">
        <f t="shared" si="28"/>
        <v>0</v>
      </c>
      <c r="E13" s="33">
        <f t="shared" si="28"/>
        <v>1.82</v>
      </c>
      <c r="F13" s="36">
        <f t="shared" si="28"/>
        <v>1.89</v>
      </c>
      <c r="G13" s="165">
        <f t="shared" si="28"/>
        <v>0</v>
      </c>
      <c r="H13" s="38">
        <f t="shared" si="28"/>
        <v>1.89</v>
      </c>
      <c r="I13" s="31">
        <f t="shared" ref="I13" si="29">SUM(I11:I12)</f>
        <v>1.87</v>
      </c>
      <c r="J13" s="32">
        <f t="shared" si="28"/>
        <v>0</v>
      </c>
      <c r="K13" s="33">
        <f t="shared" si="28"/>
        <v>1.87</v>
      </c>
      <c r="L13" s="36">
        <f t="shared" ref="L13" si="30">SUM(L11:L12)</f>
        <v>1.85</v>
      </c>
      <c r="M13" s="165">
        <f t="shared" si="28"/>
        <v>0</v>
      </c>
      <c r="N13" s="38">
        <f t="shared" si="28"/>
        <v>1.85</v>
      </c>
      <c r="O13" s="589">
        <f t="shared" ref="O13" si="31">SUM(O11:O12)</f>
        <v>1.88</v>
      </c>
      <c r="P13" s="471">
        <f t="shared" si="28"/>
        <v>0</v>
      </c>
      <c r="Q13" s="472">
        <f t="shared" si="28"/>
        <v>1.88</v>
      </c>
      <c r="R13" s="470">
        <f t="shared" ref="R13" si="32">SUM(R11:R12)</f>
        <v>1.87</v>
      </c>
      <c r="S13" s="555">
        <f t="shared" si="28"/>
        <v>0</v>
      </c>
      <c r="T13" s="472">
        <f t="shared" si="28"/>
        <v>1.87</v>
      </c>
      <c r="U13" s="470">
        <f t="shared" ref="U13" si="33">SUM(U11:U12)</f>
        <v>1.86</v>
      </c>
      <c r="V13" s="473">
        <f t="shared" ref="V13:W13" si="34">SUM(V11:V12)</f>
        <v>0</v>
      </c>
      <c r="W13" s="474">
        <f t="shared" si="34"/>
        <v>1.86</v>
      </c>
      <c r="X13" s="206">
        <f t="shared" si="0"/>
        <v>0.02</v>
      </c>
      <c r="Y13" s="379">
        <f t="shared" ref="Y13:AD13" si="35">SUM(Y11:Y12)</f>
        <v>1636</v>
      </c>
      <c r="Z13" s="582">
        <f t="shared" si="35"/>
        <v>1499</v>
      </c>
      <c r="AA13" s="583">
        <f t="shared" si="35"/>
        <v>1499</v>
      </c>
      <c r="AB13" s="583">
        <f t="shared" si="35"/>
        <v>1499</v>
      </c>
      <c r="AC13" s="583">
        <f t="shared" si="35"/>
        <v>1499</v>
      </c>
      <c r="AD13" s="583">
        <f t="shared" si="35"/>
        <v>1499</v>
      </c>
      <c r="AE13" s="966">
        <f t="shared" ref="AE13" si="36">SUM(AE11:AE12)</f>
        <v>1499</v>
      </c>
      <c r="AF13" s="183">
        <f t="shared" si="1"/>
        <v>-0.08</v>
      </c>
      <c r="AG13" s="34">
        <f>SUM(AG11:AG12)</f>
        <v>2.38</v>
      </c>
      <c r="AH13" s="20">
        <f>SUM(AH11:AH12)</f>
        <v>0</v>
      </c>
      <c r="AI13" s="657">
        <f>SUM(AI11:AI12)</f>
        <v>2.38</v>
      </c>
      <c r="AK13" s="1624">
        <f t="shared" si="2"/>
        <v>0.04</v>
      </c>
      <c r="AL13" s="1638">
        <f t="shared" si="3"/>
        <v>-137</v>
      </c>
    </row>
    <row r="14" spans="1:51">
      <c r="A14" s="455" t="s">
        <v>21</v>
      </c>
      <c r="B14" s="455" t="s">
        <v>15</v>
      </c>
      <c r="C14" s="885">
        <v>1.1000000000000001</v>
      </c>
      <c r="D14" s="884">
        <v>0.13</v>
      </c>
      <c r="E14" s="395">
        <f t="shared" si="18"/>
        <v>1.23</v>
      </c>
      <c r="F14" s="883">
        <f>($C$14/$E$14)*H14</f>
        <v>1.23</v>
      </c>
      <c r="G14" s="321">
        <f t="shared" ref="G14:G19" si="37">H14-F14</f>
        <v>0.14000000000000001</v>
      </c>
      <c r="H14" s="914">
        <f>'Table 7a '!F116</f>
        <v>1.37</v>
      </c>
      <c r="I14" s="885">
        <f>($C$14/$E$14)*K14</f>
        <v>1.23</v>
      </c>
      <c r="J14" s="884">
        <f t="shared" ref="J14:J19" si="38">K14-I14</f>
        <v>0.15</v>
      </c>
      <c r="K14" s="395">
        <f>'Table 7a '!H116</f>
        <v>1.38</v>
      </c>
      <c r="L14" s="883">
        <f>($C$14/$E$14)*N14</f>
        <v>1.23</v>
      </c>
      <c r="M14" s="321">
        <f t="shared" ref="M14:M19" si="39">N14-L14</f>
        <v>0.15</v>
      </c>
      <c r="N14" s="914">
        <f>'Table 7a '!J116</f>
        <v>1.38</v>
      </c>
      <c r="O14" s="915">
        <f>($C$14/$E$14)*Q14</f>
        <v>1.24</v>
      </c>
      <c r="P14" s="916">
        <f t="shared" ref="P14:P19" si="40">Q14-O14</f>
        <v>0.15</v>
      </c>
      <c r="Q14" s="454">
        <f>'Table 7a '!L116</f>
        <v>1.39</v>
      </c>
      <c r="R14" s="444">
        <f>($C$14/$E$14)*T14</f>
        <v>1.26</v>
      </c>
      <c r="S14" s="585">
        <f t="shared" ref="S14:S19" si="41">T14-R14</f>
        <v>0.15</v>
      </c>
      <c r="T14" s="454">
        <f>'Table 7a '!N116</f>
        <v>1.41</v>
      </c>
      <c r="U14" s="444">
        <f>($C$14/$E$14)*W14</f>
        <v>1.28</v>
      </c>
      <c r="V14" s="446">
        <f t="shared" ref="V14:V24" si="42">W14-U14</f>
        <v>0.15</v>
      </c>
      <c r="W14" s="450">
        <f>'Table 7a '!P116</f>
        <v>1.43</v>
      </c>
      <c r="X14" s="203">
        <f t="shared" si="0"/>
        <v>0.16</v>
      </c>
      <c r="Y14" s="394">
        <f>'Table 7a '!C116</f>
        <v>727</v>
      </c>
      <c r="Z14" s="917">
        <f>'Table 7a '!E116</f>
        <v>714</v>
      </c>
      <c r="AA14" s="918">
        <f>'Table 7a '!G116</f>
        <v>714</v>
      </c>
      <c r="AB14" s="918">
        <f>'Table 7a '!I116</f>
        <v>714</v>
      </c>
      <c r="AC14" s="918">
        <f>'Table 7a '!K116</f>
        <v>714</v>
      </c>
      <c r="AD14" s="918">
        <f>'Table 7a '!M116</f>
        <v>714</v>
      </c>
      <c r="AE14" s="967">
        <f>'Table 7a '!O116</f>
        <v>714</v>
      </c>
      <c r="AF14" s="919">
        <f t="shared" si="1"/>
        <v>-0.02</v>
      </c>
      <c r="AG14" s="823">
        <f>($C$14/$E$14)*AI14</f>
        <v>1.54</v>
      </c>
      <c r="AH14" s="322">
        <f t="shared" ref="AH14:AH19" si="43">AI14-AG14</f>
        <v>0.18</v>
      </c>
      <c r="AI14" s="641">
        <f>'Table 7a '!S116</f>
        <v>1.72</v>
      </c>
      <c r="AK14" s="1627">
        <f t="shared" si="2"/>
        <v>0.2</v>
      </c>
      <c r="AL14" s="1635">
        <f t="shared" si="3"/>
        <v>-13</v>
      </c>
    </row>
    <row r="15" spans="1:51">
      <c r="A15" s="455" t="s">
        <v>22</v>
      </c>
      <c r="B15" s="455" t="s">
        <v>17</v>
      </c>
      <c r="C15" s="885">
        <v>4.66</v>
      </c>
      <c r="D15" s="884">
        <v>0</v>
      </c>
      <c r="E15" s="395">
        <f t="shared" si="18"/>
        <v>4.66</v>
      </c>
      <c r="F15" s="883">
        <f>($C$15/$E$15)*H15</f>
        <v>4.34</v>
      </c>
      <c r="G15" s="321">
        <f t="shared" si="37"/>
        <v>0</v>
      </c>
      <c r="H15" s="914">
        <f>'Table 7a '!F127</f>
        <v>4.34</v>
      </c>
      <c r="I15" s="885">
        <f>($C$15/$E$15)*K15</f>
        <v>5.47</v>
      </c>
      <c r="J15" s="884">
        <f t="shared" si="38"/>
        <v>0</v>
      </c>
      <c r="K15" s="395">
        <f>'Table 7a '!H127</f>
        <v>5.47</v>
      </c>
      <c r="L15" s="883">
        <f>($C$15/$E$15)*N15</f>
        <v>6.41</v>
      </c>
      <c r="M15" s="321">
        <f t="shared" si="39"/>
        <v>0</v>
      </c>
      <c r="N15" s="914">
        <f>'Table 7a '!J127</f>
        <v>6.41</v>
      </c>
      <c r="O15" s="915">
        <f>($C$15/$E$15)*Q15</f>
        <v>7.35</v>
      </c>
      <c r="P15" s="916">
        <f t="shared" si="40"/>
        <v>0</v>
      </c>
      <c r="Q15" s="454">
        <f>'Table 7a '!L127</f>
        <v>7.35</v>
      </c>
      <c r="R15" s="444">
        <f>($C$15/$E$15)*T15</f>
        <v>8.49</v>
      </c>
      <c r="S15" s="585">
        <f t="shared" si="41"/>
        <v>0</v>
      </c>
      <c r="T15" s="454">
        <f>'Table 7a '!N127</f>
        <v>8.49</v>
      </c>
      <c r="U15" s="444">
        <f>($C$15/$E$15)*W15</f>
        <v>9.64</v>
      </c>
      <c r="V15" s="446">
        <f t="shared" si="42"/>
        <v>0</v>
      </c>
      <c r="W15" s="450">
        <f>'Table 7a '!P127</f>
        <v>9.64</v>
      </c>
      <c r="X15" s="203">
        <f t="shared" si="0"/>
        <v>1.07</v>
      </c>
      <c r="Y15" s="394">
        <f>'Table 7a '!C127</f>
        <v>3882</v>
      </c>
      <c r="Z15" s="917">
        <f>'Table 7a '!E127</f>
        <v>4290</v>
      </c>
      <c r="AA15" s="918">
        <f>'Table 7a '!G127</f>
        <v>5129</v>
      </c>
      <c r="AB15" s="918">
        <f>'Table 7a '!I127</f>
        <v>5973</v>
      </c>
      <c r="AC15" s="918">
        <f>'Table 7a '!K127</f>
        <v>6782</v>
      </c>
      <c r="AD15" s="918">
        <f>'Table 7a '!M127</f>
        <v>7590</v>
      </c>
      <c r="AE15" s="967">
        <f>'Table 7a '!O127</f>
        <v>8421</v>
      </c>
      <c r="AF15" s="919">
        <f t="shared" si="1"/>
        <v>1.17</v>
      </c>
      <c r="AG15" s="823">
        <f>($C$15/$E$15)*AI15</f>
        <v>12.22</v>
      </c>
      <c r="AH15" s="322">
        <f t="shared" si="43"/>
        <v>0</v>
      </c>
      <c r="AI15" s="641">
        <f>'Table 7a '!S127</f>
        <v>12.22</v>
      </c>
      <c r="AK15" s="1627">
        <f t="shared" si="2"/>
        <v>4.9800000000000004</v>
      </c>
      <c r="AL15" s="1635">
        <f t="shared" si="3"/>
        <v>4539</v>
      </c>
    </row>
    <row r="16" spans="1:51">
      <c r="A16" s="455" t="s">
        <v>23</v>
      </c>
      <c r="B16" s="455" t="s">
        <v>15</v>
      </c>
      <c r="C16" s="885">
        <v>0.1</v>
      </c>
      <c r="D16" s="884">
        <v>1.66</v>
      </c>
      <c r="E16" s="395">
        <f t="shared" si="18"/>
        <v>1.76</v>
      </c>
      <c r="F16" s="883">
        <f>($C$16/$E$16)*H16</f>
        <v>0.09</v>
      </c>
      <c r="G16" s="321">
        <f t="shared" si="37"/>
        <v>1.51</v>
      </c>
      <c r="H16" s="914">
        <f>'Table 7a '!F141</f>
        <v>1.6</v>
      </c>
      <c r="I16" s="885">
        <f>($C$16/$E$16)*K16</f>
        <v>0.09</v>
      </c>
      <c r="J16" s="884">
        <f t="shared" si="38"/>
        <v>1.52</v>
      </c>
      <c r="K16" s="395">
        <f>'Table 7a '!H141</f>
        <v>1.61</v>
      </c>
      <c r="L16" s="883">
        <f>($C$16/$E$16)*N16</f>
        <v>0.09</v>
      </c>
      <c r="M16" s="321">
        <f t="shared" si="39"/>
        <v>1.53</v>
      </c>
      <c r="N16" s="914">
        <f>'Table 7a '!J141</f>
        <v>1.62</v>
      </c>
      <c r="O16" s="915">
        <f>($C$16/$E$16)*Q16</f>
        <v>0.09</v>
      </c>
      <c r="P16" s="916">
        <f t="shared" si="40"/>
        <v>1.52</v>
      </c>
      <c r="Q16" s="454">
        <f>'Table 7a '!L141</f>
        <v>1.61</v>
      </c>
      <c r="R16" s="444">
        <f>($C$16/$E$16)*T16</f>
        <v>0.09</v>
      </c>
      <c r="S16" s="585">
        <f t="shared" si="41"/>
        <v>1.53</v>
      </c>
      <c r="T16" s="454">
        <f>'Table 7a '!N141</f>
        <v>1.62</v>
      </c>
      <c r="U16" s="444">
        <f>($C$16/$E$16)*W16</f>
        <v>0.09</v>
      </c>
      <c r="V16" s="446">
        <f t="shared" si="42"/>
        <v>1.52</v>
      </c>
      <c r="W16" s="450">
        <f>'Table 7a '!P141</f>
        <v>1.61</v>
      </c>
      <c r="X16" s="203">
        <f t="shared" si="0"/>
        <v>-0.09</v>
      </c>
      <c r="Y16" s="394">
        <f>'Table 7a '!C141</f>
        <v>1287</v>
      </c>
      <c r="Z16" s="917">
        <f>'Table 7a '!E141</f>
        <v>1288</v>
      </c>
      <c r="AA16" s="918">
        <f>'Table 7a '!G141</f>
        <v>1288</v>
      </c>
      <c r="AB16" s="918">
        <f>'Table 7a '!I141</f>
        <v>1288</v>
      </c>
      <c r="AC16" s="918">
        <f>'Table 7a '!K141</f>
        <v>1288</v>
      </c>
      <c r="AD16" s="918">
        <f>'Table 7a '!M141</f>
        <v>1288</v>
      </c>
      <c r="AE16" s="967">
        <f>'Table 7a '!O141</f>
        <v>1288</v>
      </c>
      <c r="AF16" s="919">
        <f t="shared" si="1"/>
        <v>0</v>
      </c>
      <c r="AG16" s="823">
        <f>($C$16/$E$16)*AI16</f>
        <v>0.11</v>
      </c>
      <c r="AH16" s="322">
        <f t="shared" si="43"/>
        <v>1.83</v>
      </c>
      <c r="AI16" s="641">
        <f>'Table 7a '!S141</f>
        <v>1.94</v>
      </c>
      <c r="AK16" s="1627">
        <f t="shared" si="2"/>
        <v>-0.15</v>
      </c>
      <c r="AL16" s="1635">
        <f t="shared" si="3"/>
        <v>1</v>
      </c>
    </row>
    <row r="17" spans="1:38">
      <c r="A17" s="455" t="s">
        <v>24</v>
      </c>
      <c r="B17" s="455" t="s">
        <v>15</v>
      </c>
      <c r="C17" s="885">
        <v>6.45</v>
      </c>
      <c r="D17" s="884">
        <v>0.41</v>
      </c>
      <c r="E17" s="395">
        <f t="shared" si="18"/>
        <v>6.86</v>
      </c>
      <c r="F17" s="883">
        <f>($C$17/$E$17)*H17</f>
        <v>10.56</v>
      </c>
      <c r="G17" s="321">
        <f t="shared" si="37"/>
        <v>0.67</v>
      </c>
      <c r="H17" s="914">
        <f>'Table 7a '!F152</f>
        <v>11.23</v>
      </c>
      <c r="I17" s="885">
        <f>($C$17/$E$17)*K17</f>
        <v>10.47</v>
      </c>
      <c r="J17" s="884">
        <f t="shared" si="38"/>
        <v>0.67</v>
      </c>
      <c r="K17" s="395">
        <f>'Table 7a '!H152</f>
        <v>11.14</v>
      </c>
      <c r="L17" s="883">
        <f>($C$17/$E$17)*N17</f>
        <v>10.34</v>
      </c>
      <c r="M17" s="321">
        <f t="shared" si="39"/>
        <v>0.66</v>
      </c>
      <c r="N17" s="914">
        <f>'Table 7a '!J152</f>
        <v>11</v>
      </c>
      <c r="O17" s="915">
        <f>($C$17/$E$17)*Q17</f>
        <v>10.32</v>
      </c>
      <c r="P17" s="916">
        <f t="shared" si="40"/>
        <v>0.66</v>
      </c>
      <c r="Q17" s="454">
        <f>'Table 7a '!L152</f>
        <v>10.98</v>
      </c>
      <c r="R17" s="444">
        <f>($C$17/$E$17)*T17</f>
        <v>10.199999999999999</v>
      </c>
      <c r="S17" s="585">
        <f t="shared" si="41"/>
        <v>0.65</v>
      </c>
      <c r="T17" s="454">
        <f>'Table 7a '!N152</f>
        <v>10.85</v>
      </c>
      <c r="U17" s="444">
        <f>($C$17/$E$17)*W17</f>
        <v>10.130000000000001</v>
      </c>
      <c r="V17" s="446">
        <f t="shared" si="42"/>
        <v>0.64</v>
      </c>
      <c r="W17" s="450">
        <f>'Table 7a '!P152</f>
        <v>10.77</v>
      </c>
      <c r="X17" s="203">
        <f t="shared" si="0"/>
        <v>0.56999999999999995</v>
      </c>
      <c r="Y17" s="394">
        <f>'Table 7a '!C152</f>
        <v>9504</v>
      </c>
      <c r="Z17" s="917">
        <f>'Table 7a '!E152</f>
        <v>9408</v>
      </c>
      <c r="AA17" s="918">
        <f>'Table 7a '!G152</f>
        <v>9212</v>
      </c>
      <c r="AB17" s="918">
        <f>'Table 7a '!I152</f>
        <v>9061</v>
      </c>
      <c r="AC17" s="918">
        <f>'Table 7a '!K152</f>
        <v>8948</v>
      </c>
      <c r="AD17" s="918">
        <f>'Table 7a '!M152</f>
        <v>8761</v>
      </c>
      <c r="AE17" s="967">
        <f>'Table 7a '!O152</f>
        <v>8644</v>
      </c>
      <c r="AF17" s="919">
        <f t="shared" si="1"/>
        <v>-0.09</v>
      </c>
      <c r="AG17" s="823">
        <f>($C$17/$E$17)*AI17</f>
        <v>14.24</v>
      </c>
      <c r="AH17" s="322">
        <f t="shared" si="43"/>
        <v>0.9</v>
      </c>
      <c r="AI17" s="641">
        <f>'Table 7a '!S152</f>
        <v>15.14</v>
      </c>
      <c r="AK17" s="1627">
        <f t="shared" si="2"/>
        <v>3.91</v>
      </c>
      <c r="AL17" s="1635">
        <f t="shared" si="3"/>
        <v>-860</v>
      </c>
    </row>
    <row r="18" spans="1:38">
      <c r="A18" s="455" t="s">
        <v>533</v>
      </c>
      <c r="B18" s="455" t="s">
        <v>17</v>
      </c>
      <c r="C18" s="885">
        <v>19.010000000000002</v>
      </c>
      <c r="D18" s="884">
        <v>0</v>
      </c>
      <c r="E18" s="395">
        <f t="shared" si="18"/>
        <v>19.010000000000002</v>
      </c>
      <c r="F18" s="883">
        <f>($C$18/$E$18)*H18</f>
        <v>19</v>
      </c>
      <c r="G18" s="321">
        <f t="shared" si="37"/>
        <v>0</v>
      </c>
      <c r="H18" s="914">
        <f>'Table 7a '!F163</f>
        <v>19</v>
      </c>
      <c r="I18" s="885">
        <f>($C$18/$E$18)*K18</f>
        <v>19.649999999999999</v>
      </c>
      <c r="J18" s="884">
        <f t="shared" si="38"/>
        <v>0</v>
      </c>
      <c r="K18" s="395">
        <f>'Table 7a '!H163</f>
        <v>19.649999999999999</v>
      </c>
      <c r="L18" s="883">
        <f>($C$18/$E$18)*N18</f>
        <v>20.3</v>
      </c>
      <c r="M18" s="321">
        <f t="shared" si="39"/>
        <v>0</v>
      </c>
      <c r="N18" s="914">
        <f>'Table 7a '!J163</f>
        <v>20.3</v>
      </c>
      <c r="O18" s="915">
        <f>($C$18/$E$18)*Q18</f>
        <v>21.06</v>
      </c>
      <c r="P18" s="916">
        <f t="shared" si="40"/>
        <v>0</v>
      </c>
      <c r="Q18" s="454">
        <f>'Table 7a '!L163</f>
        <v>21.06</v>
      </c>
      <c r="R18" s="827">
        <f>($C$18/$E$18)*T18</f>
        <v>21.78</v>
      </c>
      <c r="S18" s="560">
        <f t="shared" si="41"/>
        <v>0</v>
      </c>
      <c r="T18" s="454">
        <f>'Table 7a '!N163</f>
        <v>21.78</v>
      </c>
      <c r="U18" s="827">
        <f>($C$18/$E$18)*W18</f>
        <v>22.57</v>
      </c>
      <c r="V18" s="452">
        <f t="shared" si="42"/>
        <v>0</v>
      </c>
      <c r="W18" s="940">
        <f>'Table 7a '!P163</f>
        <v>22.57</v>
      </c>
      <c r="X18" s="203">
        <f t="shared" si="0"/>
        <v>0.19</v>
      </c>
      <c r="Y18" s="718">
        <f>'Table 7a '!C163</f>
        <v>15560</v>
      </c>
      <c r="Z18" s="1875">
        <f>'Table 7a '!E163</f>
        <v>19934</v>
      </c>
      <c r="AA18" s="1876">
        <f>'Table 7a '!G163</f>
        <v>20378</v>
      </c>
      <c r="AB18" s="1876">
        <f>'Table 7a '!I163</f>
        <v>20823</v>
      </c>
      <c r="AC18" s="1876">
        <f>'Table 7a '!K163</f>
        <v>21271</v>
      </c>
      <c r="AD18" s="1876">
        <f>'Table 7a '!M163</f>
        <v>21734</v>
      </c>
      <c r="AE18" s="968">
        <f>'Table 7a '!O163</f>
        <v>22191</v>
      </c>
      <c r="AF18" s="919">
        <f t="shared" si="1"/>
        <v>0.43</v>
      </c>
      <c r="AG18" s="820">
        <f>($C$18/$E$18)*AI18</f>
        <v>28.32</v>
      </c>
      <c r="AH18" s="1872">
        <f t="shared" si="43"/>
        <v>0</v>
      </c>
      <c r="AI18" s="643">
        <f>'Table 7a '!S163</f>
        <v>28.32</v>
      </c>
      <c r="AK18" s="1628">
        <f t="shared" si="2"/>
        <v>3.56</v>
      </c>
      <c r="AL18" s="1642">
        <f t="shared" si="3"/>
        <v>6631</v>
      </c>
    </row>
    <row r="19" spans="1:38">
      <c r="A19" s="458" t="s">
        <v>26</v>
      </c>
      <c r="B19" s="458" t="s">
        <v>17</v>
      </c>
      <c r="C19" s="569">
        <v>16.100000000000001</v>
      </c>
      <c r="D19" s="354">
        <v>0</v>
      </c>
      <c r="E19" s="565">
        <f t="shared" si="18"/>
        <v>16.100000000000001</v>
      </c>
      <c r="F19" s="158">
        <f>($C$19/$E$19)*H19</f>
        <v>13.95</v>
      </c>
      <c r="G19" s="355">
        <f t="shared" si="37"/>
        <v>0</v>
      </c>
      <c r="H19" s="353">
        <f>'Table 7a '!F174</f>
        <v>13.95</v>
      </c>
      <c r="I19" s="569">
        <f>($C$19/$E$19)*K19</f>
        <v>14.69</v>
      </c>
      <c r="J19" s="354">
        <f t="shared" si="38"/>
        <v>0</v>
      </c>
      <c r="K19" s="565">
        <f>'Table 7a '!H174</f>
        <v>14.69</v>
      </c>
      <c r="L19" s="158">
        <f>($C$19/$E$19)*N19</f>
        <v>15.36</v>
      </c>
      <c r="M19" s="355">
        <f t="shared" si="39"/>
        <v>0</v>
      </c>
      <c r="N19" s="353">
        <f>'Table 7a '!J174</f>
        <v>15.36</v>
      </c>
      <c r="O19" s="591">
        <f>($C$19/$E$19)*Q19</f>
        <v>16.100000000000001</v>
      </c>
      <c r="P19" s="460">
        <f t="shared" si="40"/>
        <v>0</v>
      </c>
      <c r="Q19" s="484">
        <f>'Table 7a '!L174</f>
        <v>16.100000000000001</v>
      </c>
      <c r="R19" s="444">
        <f>($C$19/$E$19)*T19</f>
        <v>16.86</v>
      </c>
      <c r="S19" s="585">
        <f t="shared" si="41"/>
        <v>0</v>
      </c>
      <c r="T19" s="484">
        <f>'Table 7a '!N174</f>
        <v>16.86</v>
      </c>
      <c r="U19" s="459">
        <f>($C$19/$E$19)*W19</f>
        <v>17.55</v>
      </c>
      <c r="V19" s="461">
        <f t="shared" si="42"/>
        <v>0</v>
      </c>
      <c r="W19" s="486">
        <f>'Table 7a '!P174</f>
        <v>17.55</v>
      </c>
      <c r="X19" s="203">
        <f t="shared" si="0"/>
        <v>0.09</v>
      </c>
      <c r="Y19" s="718">
        <f>'Table 7a '!C174</f>
        <v>13692</v>
      </c>
      <c r="Z19" s="1875">
        <f>'Table 7a '!E174</f>
        <v>13996</v>
      </c>
      <c r="AA19" s="1876">
        <f>'Table 7a '!G174</f>
        <v>14483</v>
      </c>
      <c r="AB19" s="1876">
        <f>'Table 7a '!I174</f>
        <v>14959</v>
      </c>
      <c r="AC19" s="1876">
        <f>'Table 7a '!K174</f>
        <v>15448</v>
      </c>
      <c r="AD19" s="1876">
        <f>'Table 7a '!M174</f>
        <v>15951</v>
      </c>
      <c r="AE19" s="968">
        <f>'Table 7a '!O174</f>
        <v>16429</v>
      </c>
      <c r="AF19" s="919">
        <f t="shared" si="1"/>
        <v>0.2</v>
      </c>
      <c r="AG19" s="820">
        <f>($C$19/$E$19)*AI19</f>
        <v>22.45</v>
      </c>
      <c r="AH19" s="1872">
        <f t="shared" si="43"/>
        <v>0</v>
      </c>
      <c r="AI19" s="643">
        <f>'Table 7a '!S174</f>
        <v>22.45</v>
      </c>
      <c r="AK19" s="1628">
        <f t="shared" si="2"/>
        <v>1.45</v>
      </c>
      <c r="AL19" s="1642">
        <f t="shared" si="3"/>
        <v>2737</v>
      </c>
    </row>
    <row r="20" spans="1:38">
      <c r="A20" s="365" t="s">
        <v>27</v>
      </c>
      <c r="B20" s="365" t="s">
        <v>15</v>
      </c>
      <c r="C20" s="885">
        <v>0.67</v>
      </c>
      <c r="D20" s="884">
        <v>0</v>
      </c>
      <c r="E20" s="395">
        <f t="shared" si="18"/>
        <v>0.67</v>
      </c>
      <c r="F20" s="883">
        <f>($C$20/$E$20)*H20</f>
        <v>0.95</v>
      </c>
      <c r="G20" s="321">
        <f t="shared" ref="G20:G24" si="44">H20-F20</f>
        <v>0</v>
      </c>
      <c r="H20" s="914">
        <f>'Table 7a '!F185</f>
        <v>0.95</v>
      </c>
      <c r="I20" s="885">
        <f>($C$20/$E$20)*K20</f>
        <v>0.97</v>
      </c>
      <c r="J20" s="884">
        <f t="shared" ref="J20:J24" si="45">K20-I20</f>
        <v>0</v>
      </c>
      <c r="K20" s="395">
        <f>'Table 7a '!H185</f>
        <v>0.97</v>
      </c>
      <c r="L20" s="883">
        <f>($C$20/$E$20)*N20</f>
        <v>0.97</v>
      </c>
      <c r="M20" s="321">
        <f t="shared" ref="M20:M24" si="46">N20-L20</f>
        <v>0</v>
      </c>
      <c r="N20" s="914">
        <f>'Table 7a '!J185</f>
        <v>0.97</v>
      </c>
      <c r="O20" s="920">
        <f>($C$20/$E$20)*Q20</f>
        <v>0.98</v>
      </c>
      <c r="P20" s="921">
        <f t="shared" ref="P20:P24" si="47">Q20-O20</f>
        <v>0</v>
      </c>
      <c r="Q20" s="574">
        <f>'Table 7a '!L185</f>
        <v>0.98</v>
      </c>
      <c r="R20" s="3">
        <f>($C$20/$E$20)*T20</f>
        <v>0.98</v>
      </c>
      <c r="S20" s="5">
        <f t="shared" ref="S20:S24" si="48">T20-R20</f>
        <v>0</v>
      </c>
      <c r="T20" s="574">
        <f>'Table 7a '!N185</f>
        <v>0.98</v>
      </c>
      <c r="U20" s="922">
        <f>($C$20/$E$20)*W20</f>
        <v>1.17</v>
      </c>
      <c r="V20" s="953">
        <f t="shared" si="42"/>
        <v>0</v>
      </c>
      <c r="W20" s="944">
        <f>'Table 7a '!P185</f>
        <v>1.17</v>
      </c>
      <c r="X20" s="546">
        <f t="shared" si="0"/>
        <v>0.75</v>
      </c>
      <c r="Y20" s="394">
        <f>'Table 7a '!C185</f>
        <v>825</v>
      </c>
      <c r="Z20" s="917">
        <f>'Table 7a '!E185</f>
        <v>821</v>
      </c>
      <c r="AA20" s="918">
        <f>'Table 7a '!G185</f>
        <v>821</v>
      </c>
      <c r="AB20" s="918">
        <f>'Table 7a '!I185</f>
        <v>821</v>
      </c>
      <c r="AC20" s="918">
        <f>'Table 7a '!K185</f>
        <v>821</v>
      </c>
      <c r="AD20" s="918">
        <f>'Table 7a '!M185</f>
        <v>821</v>
      </c>
      <c r="AE20" s="967">
        <f>'Table 7a '!O185</f>
        <v>821</v>
      </c>
      <c r="AF20" s="919">
        <f t="shared" si="1"/>
        <v>0</v>
      </c>
      <c r="AG20" s="823">
        <f>($C$20/$E$20)*AI20</f>
        <v>1.29</v>
      </c>
      <c r="AH20" s="322">
        <f t="shared" ref="AH20:AH24" si="49">AI20-AG20</f>
        <v>0</v>
      </c>
      <c r="AI20" s="812">
        <f>'Table 7a '!S185</f>
        <v>1.29</v>
      </c>
      <c r="AK20" s="1627">
        <f t="shared" si="2"/>
        <v>0.5</v>
      </c>
      <c r="AL20" s="1635">
        <f t="shared" si="3"/>
        <v>-4</v>
      </c>
    </row>
    <row r="21" spans="1:38">
      <c r="A21" s="365" t="s">
        <v>28</v>
      </c>
      <c r="B21" s="365" t="s">
        <v>15</v>
      </c>
      <c r="C21" s="885">
        <v>15.5</v>
      </c>
      <c r="D21" s="884">
        <v>0.26</v>
      </c>
      <c r="E21" s="395">
        <f t="shared" si="18"/>
        <v>15.76</v>
      </c>
      <c r="F21" s="883">
        <f>($C$21/$E$21)*H21</f>
        <v>16.75</v>
      </c>
      <c r="G21" s="321">
        <f t="shared" si="44"/>
        <v>0.28000000000000003</v>
      </c>
      <c r="H21" s="914">
        <f>'Table 7a '!F199</f>
        <v>17.03</v>
      </c>
      <c r="I21" s="885">
        <f>($C$21/$E$21)*K21</f>
        <v>17.75</v>
      </c>
      <c r="J21" s="884">
        <f t="shared" si="45"/>
        <v>0.3</v>
      </c>
      <c r="K21" s="395">
        <f>'Table 7a '!H199</f>
        <v>18.05</v>
      </c>
      <c r="L21" s="883">
        <f>($C$21/$E$21)*N21</f>
        <v>18.64</v>
      </c>
      <c r="M21" s="321">
        <f t="shared" si="46"/>
        <v>0.31</v>
      </c>
      <c r="N21" s="914">
        <f>'Table 7a '!J199</f>
        <v>18.95</v>
      </c>
      <c r="O21" s="920">
        <f>($C$21/$E$21)*Q21</f>
        <v>19.45</v>
      </c>
      <c r="P21" s="921">
        <f t="shared" si="47"/>
        <v>0.33</v>
      </c>
      <c r="Q21" s="574">
        <f>'Table 7a '!L199</f>
        <v>19.78</v>
      </c>
      <c r="R21" s="922">
        <f>($C$21/$E$21)*T21</f>
        <v>20.38</v>
      </c>
      <c r="S21" s="352">
        <f t="shared" si="48"/>
        <v>0.34</v>
      </c>
      <c r="T21" s="574">
        <f>'Table 7a '!N199</f>
        <v>20.72</v>
      </c>
      <c r="U21" s="922">
        <f>($C$21/$E$21)*W21</f>
        <v>21.3</v>
      </c>
      <c r="V21" s="953">
        <f t="shared" si="42"/>
        <v>0.36</v>
      </c>
      <c r="W21" s="944">
        <f>'Table 7a '!P199</f>
        <v>21.66</v>
      </c>
      <c r="X21" s="546">
        <f t="shared" si="0"/>
        <v>0.37</v>
      </c>
      <c r="Y21" s="394">
        <f>'Table 7a '!C199</f>
        <v>11149</v>
      </c>
      <c r="Z21" s="917">
        <f>'Table 7a '!E199</f>
        <v>10801</v>
      </c>
      <c r="AA21" s="918">
        <f>'Table 7a '!G199</f>
        <v>11394</v>
      </c>
      <c r="AB21" s="918">
        <f>'Table 7a '!I199</f>
        <v>11990</v>
      </c>
      <c r="AC21" s="918">
        <f>'Table 7a '!K199</f>
        <v>12584</v>
      </c>
      <c r="AD21" s="918">
        <f>'Table 7a '!M199</f>
        <v>13183</v>
      </c>
      <c r="AE21" s="967">
        <f>'Table 7a '!O199</f>
        <v>13788</v>
      </c>
      <c r="AF21" s="919">
        <f t="shared" si="1"/>
        <v>0.24</v>
      </c>
      <c r="AG21" s="823">
        <f>($C$21/$E$21)*AI21</f>
        <v>28.77</v>
      </c>
      <c r="AH21" s="322">
        <f t="shared" si="49"/>
        <v>0.48</v>
      </c>
      <c r="AI21" s="812">
        <f>'Table 7a '!S199</f>
        <v>29.25</v>
      </c>
      <c r="AK21" s="1627">
        <f t="shared" si="2"/>
        <v>5.9</v>
      </c>
      <c r="AL21" s="1635">
        <f t="shared" si="3"/>
        <v>2639</v>
      </c>
    </row>
    <row r="22" spans="1:38">
      <c r="A22" s="365" t="s">
        <v>29</v>
      </c>
      <c r="B22" s="365" t="s">
        <v>15</v>
      </c>
      <c r="C22" s="885">
        <v>18.18</v>
      </c>
      <c r="D22" s="884">
        <v>0</v>
      </c>
      <c r="E22" s="395">
        <f t="shared" si="18"/>
        <v>18.18</v>
      </c>
      <c r="F22" s="883">
        <f>($C$22/$E$22)*H22</f>
        <v>25.76</v>
      </c>
      <c r="G22" s="321">
        <f t="shared" si="44"/>
        <v>0</v>
      </c>
      <c r="H22" s="914">
        <f>'Table 7a '!F210</f>
        <v>25.76</v>
      </c>
      <c r="I22" s="885">
        <f>($C$22/$E$22)*K22</f>
        <v>25.35</v>
      </c>
      <c r="J22" s="884">
        <f t="shared" si="45"/>
        <v>0</v>
      </c>
      <c r="K22" s="395">
        <f>'Table 7a '!H210</f>
        <v>25.35</v>
      </c>
      <c r="L22" s="883">
        <f>($C$22/$E$22)*N22</f>
        <v>24.87</v>
      </c>
      <c r="M22" s="321">
        <f t="shared" si="46"/>
        <v>0</v>
      </c>
      <c r="N22" s="914">
        <f>'Table 7a '!J210</f>
        <v>24.87</v>
      </c>
      <c r="O22" s="920">
        <f>($C$22/$E$22)*Q22</f>
        <v>24.46</v>
      </c>
      <c r="P22" s="921">
        <f t="shared" si="47"/>
        <v>0</v>
      </c>
      <c r="Q22" s="574">
        <f>'Table 7a '!L210</f>
        <v>24.46</v>
      </c>
      <c r="R22" s="922">
        <f>($C$22/$E$22)*T22</f>
        <v>23.92</v>
      </c>
      <c r="S22" s="352">
        <f t="shared" si="48"/>
        <v>0</v>
      </c>
      <c r="T22" s="812">
        <f>'Table 7a '!N210</f>
        <v>23.92</v>
      </c>
      <c r="U22" s="922">
        <f>($C$22/$E$22)*W22</f>
        <v>23.41</v>
      </c>
      <c r="V22" s="953">
        <f t="shared" si="42"/>
        <v>0</v>
      </c>
      <c r="W22" s="944">
        <f>'Table 7a '!P210</f>
        <v>23.41</v>
      </c>
      <c r="X22" s="546">
        <f t="shared" si="0"/>
        <v>0.28999999999999998</v>
      </c>
      <c r="Y22" s="394">
        <f>'Table 7a '!C210</f>
        <v>22044</v>
      </c>
      <c r="Z22" s="917">
        <f>'Table 7a '!E210</f>
        <v>21374</v>
      </c>
      <c r="AA22" s="918">
        <f>'Table 7a '!G210</f>
        <v>20846</v>
      </c>
      <c r="AB22" s="918">
        <f>'Table 7a '!I210</f>
        <v>20368</v>
      </c>
      <c r="AC22" s="918">
        <f>'Table 7a '!K210</f>
        <v>19872</v>
      </c>
      <c r="AD22" s="918">
        <f>'Table 7a '!M210</f>
        <v>19319</v>
      </c>
      <c r="AE22" s="967">
        <f>'Table 7a '!O210</f>
        <v>18809</v>
      </c>
      <c r="AF22" s="919">
        <f t="shared" si="1"/>
        <v>-0.15</v>
      </c>
      <c r="AG22" s="823">
        <f>($C$22/$E$22)*AI22</f>
        <v>34.25</v>
      </c>
      <c r="AH22" s="322">
        <f t="shared" si="49"/>
        <v>0</v>
      </c>
      <c r="AI22" s="812">
        <f>'Table 7a '!S210</f>
        <v>34.25</v>
      </c>
      <c r="AK22" s="1627">
        <f t="shared" si="2"/>
        <v>5.23</v>
      </c>
      <c r="AL22" s="1635">
        <f t="shared" si="3"/>
        <v>-3235</v>
      </c>
    </row>
    <row r="23" spans="1:38">
      <c r="A23" s="357" t="s">
        <v>30</v>
      </c>
      <c r="B23" s="357" t="s">
        <v>17</v>
      </c>
      <c r="C23" s="1046">
        <v>33.9</v>
      </c>
      <c r="D23" s="1866">
        <v>0</v>
      </c>
      <c r="E23" s="568">
        <f t="shared" si="18"/>
        <v>33.9</v>
      </c>
      <c r="F23" s="923">
        <f>($C$23/$E$23)*H23</f>
        <v>36.39</v>
      </c>
      <c r="G23" s="1867">
        <f t="shared" si="44"/>
        <v>0</v>
      </c>
      <c r="H23" s="1868">
        <f>'Table 7a '!F221</f>
        <v>36.39</v>
      </c>
      <c r="I23" s="1046">
        <f>($C$23/$E$23)*K23</f>
        <v>38.47</v>
      </c>
      <c r="J23" s="1866">
        <f t="shared" si="45"/>
        <v>0</v>
      </c>
      <c r="K23" s="568">
        <f>'Table 7a '!H221</f>
        <v>38.47</v>
      </c>
      <c r="L23" s="923">
        <f>($C$23/$E$23)*N23</f>
        <v>39.99</v>
      </c>
      <c r="M23" s="1867">
        <f t="shared" si="46"/>
        <v>0</v>
      </c>
      <c r="N23" s="1868">
        <f>'Table 7a '!J221</f>
        <v>39.99</v>
      </c>
      <c r="O23" s="1877">
        <f>($C$23/$E$23)*Q23</f>
        <v>41.84</v>
      </c>
      <c r="P23" s="1878">
        <f t="shared" si="47"/>
        <v>0</v>
      </c>
      <c r="Q23" s="574">
        <f>'Table 7a '!L221</f>
        <v>41.84</v>
      </c>
      <c r="R23" s="3">
        <f>($C$23/$E$23)*T23</f>
        <v>43.65</v>
      </c>
      <c r="S23" s="5">
        <f t="shared" si="48"/>
        <v>0</v>
      </c>
      <c r="T23" s="812">
        <f>'Table 7a '!N221</f>
        <v>43.65</v>
      </c>
      <c r="U23" s="954">
        <f>($C$23/$E$23)*W23</f>
        <v>45.58</v>
      </c>
      <c r="V23" s="1879">
        <f t="shared" si="42"/>
        <v>0</v>
      </c>
      <c r="W23" s="945">
        <f>'Table 7a '!P221</f>
        <v>45.58</v>
      </c>
      <c r="X23" s="546">
        <f t="shared" si="0"/>
        <v>0.34</v>
      </c>
      <c r="Y23" s="718">
        <f>'Table 7a '!C221</f>
        <v>28002</v>
      </c>
      <c r="Z23" s="1875">
        <f>'Table 7a '!E221</f>
        <v>36677</v>
      </c>
      <c r="AA23" s="1876">
        <f>'Table 7a '!G221</f>
        <v>37960</v>
      </c>
      <c r="AB23" s="1876">
        <f>'Table 7a '!I221</f>
        <v>39213</v>
      </c>
      <c r="AC23" s="1876">
        <f>'Table 7a '!K221</f>
        <v>40473</v>
      </c>
      <c r="AD23" s="1876">
        <f>'Table 7a '!M221</f>
        <v>41728</v>
      </c>
      <c r="AE23" s="968">
        <f>'Table 7a '!O221</f>
        <v>43025</v>
      </c>
      <c r="AF23" s="919">
        <f t="shared" si="1"/>
        <v>0.54</v>
      </c>
      <c r="AG23" s="820">
        <f>($C$23/$E$23)*AI23</f>
        <v>58.13</v>
      </c>
      <c r="AH23" s="1872">
        <f t="shared" si="49"/>
        <v>0</v>
      </c>
      <c r="AI23" s="816">
        <f>'Table 7a '!S221</f>
        <v>58.13</v>
      </c>
      <c r="AK23" s="1628">
        <f t="shared" si="2"/>
        <v>11.68</v>
      </c>
      <c r="AL23" s="1642">
        <f t="shared" si="3"/>
        <v>15023</v>
      </c>
    </row>
    <row r="24" spans="1:38" ht="13.5" thickBot="1">
      <c r="A24" s="357" t="s">
        <v>31</v>
      </c>
      <c r="B24" s="133" t="s">
        <v>17</v>
      </c>
      <c r="C24" s="875">
        <v>1.22</v>
      </c>
      <c r="D24" s="410">
        <v>0</v>
      </c>
      <c r="E24" s="17">
        <f t="shared" si="18"/>
        <v>1.22</v>
      </c>
      <c r="F24" s="18">
        <f>($C$24/$E$24)*H24</f>
        <v>1.32</v>
      </c>
      <c r="G24" s="412">
        <f t="shared" si="44"/>
        <v>0</v>
      </c>
      <c r="H24" s="876">
        <f>'Table 7a '!F232</f>
        <v>1.32</v>
      </c>
      <c r="I24" s="875">
        <f>($C$24/$E$24)*K24</f>
        <v>1.53</v>
      </c>
      <c r="J24" s="410">
        <f t="shared" si="45"/>
        <v>0</v>
      </c>
      <c r="K24" s="17">
        <f>'Table 7a '!H232</f>
        <v>1.53</v>
      </c>
      <c r="L24" s="18">
        <f>($C$24/$E$24)*N24</f>
        <v>1.68</v>
      </c>
      <c r="M24" s="412">
        <f t="shared" si="46"/>
        <v>0</v>
      </c>
      <c r="N24" s="876">
        <f>'Table 7a '!J232</f>
        <v>1.68</v>
      </c>
      <c r="O24" s="927">
        <f>($C$24/$E$24)*Q24</f>
        <v>1.77</v>
      </c>
      <c r="P24" s="928">
        <f t="shared" si="47"/>
        <v>0</v>
      </c>
      <c r="Q24" s="1539">
        <f>'Table 7a '!L232</f>
        <v>1.77</v>
      </c>
      <c r="R24" s="930">
        <f>($C$24/$E$24)*T24</f>
        <v>1.94</v>
      </c>
      <c r="S24" s="441">
        <f t="shared" si="48"/>
        <v>0</v>
      </c>
      <c r="T24" s="1539">
        <f>'Table 7a '!N232</f>
        <v>1.94</v>
      </c>
      <c r="U24" s="16">
        <f>($C$24/$E$24)*W24</f>
        <v>2.06</v>
      </c>
      <c r="V24" s="955">
        <f t="shared" si="42"/>
        <v>0</v>
      </c>
      <c r="W24" s="946">
        <f>'Table 7a '!P232</f>
        <v>2.06</v>
      </c>
      <c r="X24" s="205">
        <f t="shared" si="0"/>
        <v>0.69</v>
      </c>
      <c r="Y24" s="719">
        <f>'Table 7a '!C232</f>
        <v>755</v>
      </c>
      <c r="Z24" s="929">
        <f>'Table 7a '!E232</f>
        <v>870</v>
      </c>
      <c r="AA24" s="580">
        <f>'Table 7a '!G232</f>
        <v>999</v>
      </c>
      <c r="AB24" s="580">
        <f>'Table 7a '!I232</f>
        <v>1093</v>
      </c>
      <c r="AC24" s="580">
        <f>'Table 7a '!K232</f>
        <v>1196</v>
      </c>
      <c r="AD24" s="580">
        <f>'Table 7a '!M232</f>
        <v>1305</v>
      </c>
      <c r="AE24" s="963">
        <f>'Table 7a '!O232</f>
        <v>1402</v>
      </c>
      <c r="AF24" s="581">
        <f t="shared" si="1"/>
        <v>0.86</v>
      </c>
      <c r="AG24" s="48">
        <f>($C$24/$E$24)*AI24</f>
        <v>2.68</v>
      </c>
      <c r="AH24" s="366">
        <f t="shared" si="49"/>
        <v>0</v>
      </c>
      <c r="AI24" s="821">
        <f>'Table 7a '!S232</f>
        <v>2.68</v>
      </c>
      <c r="AK24" s="1623">
        <f t="shared" si="2"/>
        <v>0.84</v>
      </c>
      <c r="AL24" s="1637">
        <f t="shared" si="3"/>
        <v>647</v>
      </c>
    </row>
    <row r="25" spans="1:38" s="22" customFormat="1" ht="14.25" thickTop="1" thickBot="1">
      <c r="A25" s="3409" t="s">
        <v>32</v>
      </c>
      <c r="B25" s="3408"/>
      <c r="C25" s="586">
        <f>C5+C8+C11+C14+C16+C17+C20+C21+C22</f>
        <v>45.35</v>
      </c>
      <c r="D25" s="318">
        <f t="shared" ref="D25:W25" si="50">D5+D8+D11+D14+D16+D17+D20+D21+D22</f>
        <v>2.66</v>
      </c>
      <c r="E25" s="565">
        <f t="shared" si="50"/>
        <v>48.01</v>
      </c>
      <c r="F25" s="356">
        <f t="shared" si="50"/>
        <v>58.75</v>
      </c>
      <c r="G25" s="316">
        <f t="shared" si="50"/>
        <v>2.75</v>
      </c>
      <c r="H25" s="353">
        <f t="shared" si="50"/>
        <v>61.5</v>
      </c>
      <c r="I25" s="586">
        <f t="shared" ref="I25" si="51">I5+I8+I11+I14+I16+I17+I20+I21+I22</f>
        <v>59.32</v>
      </c>
      <c r="J25" s="318">
        <f t="shared" si="50"/>
        <v>2.8</v>
      </c>
      <c r="K25" s="565">
        <f t="shared" si="50"/>
        <v>62.12</v>
      </c>
      <c r="L25" s="356">
        <f t="shared" ref="L25" si="52">L5+L8+L11+L14+L16+L17+L20+L21+L22</f>
        <v>59.7</v>
      </c>
      <c r="M25" s="316">
        <f t="shared" si="50"/>
        <v>2.81</v>
      </c>
      <c r="N25" s="353">
        <f t="shared" si="50"/>
        <v>62.51</v>
      </c>
      <c r="O25" s="594">
        <f t="shared" ref="O25" si="53">O5+O8+O11+O14+O16+O17+O20+O21+O22</f>
        <v>60.22</v>
      </c>
      <c r="P25" s="595">
        <f t="shared" si="50"/>
        <v>2.82</v>
      </c>
      <c r="Q25" s="566">
        <f t="shared" si="50"/>
        <v>63.04</v>
      </c>
      <c r="R25" s="549">
        <f t="shared" ref="R25" si="54">R5+R8+R11+R14+R16+R17+R20+R21+R22</f>
        <v>60.65</v>
      </c>
      <c r="S25" s="550">
        <f t="shared" si="50"/>
        <v>2.84</v>
      </c>
      <c r="T25" s="545">
        <f t="shared" si="50"/>
        <v>63.49</v>
      </c>
      <c r="U25" s="549">
        <f t="shared" ref="U25" si="55">U5+U8+U11+U14+U16+U17+U20+U21+U22</f>
        <v>61.24</v>
      </c>
      <c r="V25" s="948">
        <f t="shared" si="50"/>
        <v>2.84</v>
      </c>
      <c r="W25" s="390">
        <f t="shared" si="50"/>
        <v>64.08</v>
      </c>
      <c r="X25" s="548">
        <f t="shared" si="0"/>
        <v>0.33</v>
      </c>
      <c r="Y25" s="382">
        <f t="shared" ref="Y25:AE25" si="56">Y5+Y8+Y11+Y14+Y16+Y17+Y20+Y21+Y22</f>
        <v>47655</v>
      </c>
      <c r="Z25" s="577">
        <f t="shared" si="56"/>
        <v>46434</v>
      </c>
      <c r="AA25" s="578">
        <f t="shared" si="56"/>
        <v>46312</v>
      </c>
      <c r="AB25" s="578">
        <f t="shared" si="56"/>
        <v>46401</v>
      </c>
      <c r="AC25" s="578">
        <f t="shared" si="56"/>
        <v>46441</v>
      </c>
      <c r="AD25" s="578">
        <f t="shared" si="56"/>
        <v>46372</v>
      </c>
      <c r="AE25" s="964">
        <f t="shared" si="56"/>
        <v>46370</v>
      </c>
      <c r="AF25" s="567">
        <f t="shared" si="1"/>
        <v>-0.03</v>
      </c>
      <c r="AG25" s="139">
        <f t="shared" ref="AG25:AI25" si="57">AG5+AG8+AG11+AG14+AG16+AG17+AG20+AG21+AG22</f>
        <v>85.99</v>
      </c>
      <c r="AH25" s="104">
        <f t="shared" si="57"/>
        <v>3.59</v>
      </c>
      <c r="AI25" s="61">
        <f t="shared" si="57"/>
        <v>89.58</v>
      </c>
      <c r="AK25" s="1629">
        <f t="shared" si="2"/>
        <v>16.07</v>
      </c>
      <c r="AL25" s="1640">
        <f t="shared" si="3"/>
        <v>-1285</v>
      </c>
    </row>
    <row r="26" spans="1:38" s="22" customFormat="1" ht="13.5" thickBot="1">
      <c r="A26" s="3427" t="s">
        <v>33</v>
      </c>
      <c r="B26" s="3428"/>
      <c r="C26" s="500">
        <f>C6+C9+C12+C15+C18+C19+C23+C24</f>
        <v>88.93</v>
      </c>
      <c r="D26" s="501">
        <f t="shared" ref="D26:W26" si="58">D6+D9+D12+D15+D18+D19+D23+D24</f>
        <v>0</v>
      </c>
      <c r="E26" s="575">
        <f t="shared" si="58"/>
        <v>88.93</v>
      </c>
      <c r="F26" s="503">
        <f t="shared" si="58"/>
        <v>88.14</v>
      </c>
      <c r="G26" s="504">
        <f t="shared" si="58"/>
        <v>0</v>
      </c>
      <c r="H26" s="525">
        <f t="shared" si="58"/>
        <v>88.14</v>
      </c>
      <c r="I26" s="500">
        <f t="shared" ref="I26" si="59">I6+I9+I12+I15+I18+I19+I23+I24</f>
        <v>93.13</v>
      </c>
      <c r="J26" s="501">
        <f t="shared" si="58"/>
        <v>0</v>
      </c>
      <c r="K26" s="575">
        <f t="shared" si="58"/>
        <v>93.13</v>
      </c>
      <c r="L26" s="503">
        <f t="shared" ref="L26" si="60">L6+L9+L12+L15+L18+L19+L23+L24</f>
        <v>97.13</v>
      </c>
      <c r="M26" s="504">
        <f t="shared" si="58"/>
        <v>0</v>
      </c>
      <c r="N26" s="525">
        <f t="shared" si="58"/>
        <v>97.13</v>
      </c>
      <c r="O26" s="597">
        <f t="shared" ref="O26" si="61">O6+O9+O12+O15+O18+O19+O23+O24</f>
        <v>101.79</v>
      </c>
      <c r="P26" s="598">
        <f t="shared" si="58"/>
        <v>0</v>
      </c>
      <c r="Q26" s="576">
        <f t="shared" si="58"/>
        <v>101.79</v>
      </c>
      <c r="R26" s="552">
        <f t="shared" ref="R26" si="62">R6+R9+R12+R15+R18+R19+R23+R24</f>
        <v>106.56</v>
      </c>
      <c r="S26" s="553">
        <f t="shared" si="58"/>
        <v>0</v>
      </c>
      <c r="T26" s="805">
        <f t="shared" si="58"/>
        <v>106.56</v>
      </c>
      <c r="U26" s="552">
        <f t="shared" ref="U26" si="63">U6+U9+U12+U15+U18+U19+U23+U24</f>
        <v>111.5</v>
      </c>
      <c r="V26" s="949">
        <f t="shared" si="58"/>
        <v>0</v>
      </c>
      <c r="W26" s="947">
        <f t="shared" si="58"/>
        <v>111.5</v>
      </c>
      <c r="X26" s="551">
        <f t="shared" si="0"/>
        <v>0.25</v>
      </c>
      <c r="Y26" s="602">
        <f t="shared" ref="Y26:AE26" si="64">Y6+Y9+Y12+Y15+Y18+Y19+Y23+Y24</f>
        <v>73304</v>
      </c>
      <c r="Z26" s="599">
        <f t="shared" si="64"/>
        <v>87505</v>
      </c>
      <c r="AA26" s="600">
        <f t="shared" si="64"/>
        <v>90853</v>
      </c>
      <c r="AB26" s="600">
        <f t="shared" si="64"/>
        <v>94030</v>
      </c>
      <c r="AC26" s="600">
        <f t="shared" si="64"/>
        <v>97270</v>
      </c>
      <c r="AD26" s="600">
        <f t="shared" si="64"/>
        <v>100528</v>
      </c>
      <c r="AE26" s="969">
        <f t="shared" si="64"/>
        <v>103876</v>
      </c>
      <c r="AF26" s="601">
        <f t="shared" si="1"/>
        <v>0.42</v>
      </c>
      <c r="AG26" s="192">
        <f t="shared" ref="AG26:AI26" si="65">AG6+AG9+AG12+AG15+AG18+AG19+AG23+AG24</f>
        <v>141.9</v>
      </c>
      <c r="AH26" s="253">
        <f t="shared" si="65"/>
        <v>0</v>
      </c>
      <c r="AI26" s="191">
        <f t="shared" si="65"/>
        <v>141.9</v>
      </c>
      <c r="AK26" s="1630">
        <f t="shared" si="2"/>
        <v>22.57</v>
      </c>
      <c r="AL26" s="1643">
        <f t="shared" si="3"/>
        <v>30572</v>
      </c>
    </row>
    <row r="27" spans="1:38" s="22" customFormat="1" ht="13.5" thickBot="1">
      <c r="A27" s="3427" t="s">
        <v>34</v>
      </c>
      <c r="B27" s="3428"/>
      <c r="C27" s="31">
        <f>C25+C26</f>
        <v>134.28</v>
      </c>
      <c r="D27" s="32">
        <f t="shared" ref="D27:W27" si="66">D25+D26</f>
        <v>2.66</v>
      </c>
      <c r="E27" s="33">
        <f t="shared" si="66"/>
        <v>136.94</v>
      </c>
      <c r="F27" s="34">
        <f t="shared" si="66"/>
        <v>146.88999999999999</v>
      </c>
      <c r="G27" s="20">
        <f t="shared" si="66"/>
        <v>2.75</v>
      </c>
      <c r="H27" s="21">
        <f t="shared" si="66"/>
        <v>149.63999999999999</v>
      </c>
      <c r="I27" s="35">
        <f t="shared" ref="I27" si="67">I25+I26</f>
        <v>152.44999999999999</v>
      </c>
      <c r="J27" s="32">
        <f t="shared" si="66"/>
        <v>2.8</v>
      </c>
      <c r="K27" s="33">
        <f t="shared" si="66"/>
        <v>155.25</v>
      </c>
      <c r="L27" s="36">
        <f t="shared" ref="L27" si="68">L25+L26</f>
        <v>156.83000000000001</v>
      </c>
      <c r="M27" s="37">
        <f t="shared" si="66"/>
        <v>2.81</v>
      </c>
      <c r="N27" s="38">
        <f t="shared" si="66"/>
        <v>159.63999999999999</v>
      </c>
      <c r="O27" s="28">
        <f t="shared" ref="O27" si="69">O25+O26</f>
        <v>162.01</v>
      </c>
      <c r="P27" s="26">
        <f t="shared" si="66"/>
        <v>2.82</v>
      </c>
      <c r="Q27" s="39">
        <f t="shared" si="66"/>
        <v>164.83</v>
      </c>
      <c r="R27" s="25">
        <f t="shared" ref="R27" si="70">R25+R26</f>
        <v>167.21</v>
      </c>
      <c r="S27" s="29">
        <f t="shared" si="66"/>
        <v>2.84</v>
      </c>
      <c r="T27" s="46">
        <f t="shared" si="66"/>
        <v>170.05</v>
      </c>
      <c r="U27" s="25">
        <f t="shared" ref="U27" si="71">U25+U26</f>
        <v>172.74</v>
      </c>
      <c r="V27" s="950">
        <f t="shared" si="66"/>
        <v>2.84</v>
      </c>
      <c r="W27" s="30">
        <f t="shared" si="66"/>
        <v>175.58</v>
      </c>
      <c r="X27" s="206">
        <f t="shared" si="0"/>
        <v>0.28000000000000003</v>
      </c>
      <c r="Y27" s="304">
        <f t="shared" ref="Y27" si="72">Y25+Y26</f>
        <v>120959</v>
      </c>
      <c r="Z27" s="571">
        <f t="shared" ref="Z27" si="73">Z25+Z26</f>
        <v>133939</v>
      </c>
      <c r="AA27" s="40">
        <f t="shared" ref="AA27" si="74">AA25+AA26</f>
        <v>137165</v>
      </c>
      <c r="AB27" s="40">
        <f t="shared" ref="AB27" si="75">AB25+AB26</f>
        <v>140431</v>
      </c>
      <c r="AC27" s="40">
        <f t="shared" ref="AC27" si="76">AC25+AC26</f>
        <v>143711</v>
      </c>
      <c r="AD27" s="40">
        <f t="shared" ref="AD27" si="77">AD25+AD26</f>
        <v>146900</v>
      </c>
      <c r="AE27" s="912">
        <f t="shared" ref="AE27" si="78">AE25+AE26</f>
        <v>150246</v>
      </c>
      <c r="AF27" s="551">
        <f t="shared" si="1"/>
        <v>0.24</v>
      </c>
      <c r="AG27" s="34">
        <f t="shared" ref="AG27" si="79">AG25+AG26</f>
        <v>227.89</v>
      </c>
      <c r="AH27" s="20">
        <f t="shared" ref="AH27" si="80">AH25+AH26</f>
        <v>3.59</v>
      </c>
      <c r="AI27" s="21">
        <f t="shared" ref="AI27" si="81">AI25+AI26</f>
        <v>231.48</v>
      </c>
      <c r="AK27" s="1624">
        <f t="shared" si="2"/>
        <v>38.64</v>
      </c>
      <c r="AL27" s="1644">
        <f t="shared" si="3"/>
        <v>29287</v>
      </c>
    </row>
    <row r="28" spans="1:38">
      <c r="A28" s="89" t="s">
        <v>35</v>
      </c>
      <c r="E28" s="822"/>
      <c r="F28" s="822"/>
      <c r="P28" s="1"/>
      <c r="Q28" s="1"/>
      <c r="R28" s="23"/>
      <c r="S28" s="23"/>
    </row>
    <row r="29" spans="1:38">
      <c r="A29" s="1" t="s">
        <v>68</v>
      </c>
      <c r="E29" s="822"/>
      <c r="F29" s="822"/>
      <c r="P29" s="1"/>
      <c r="Q29" s="1"/>
      <c r="R29" s="1"/>
      <c r="S29" s="1"/>
      <c r="U29" s="1" t="s">
        <v>36</v>
      </c>
      <c r="X29" s="55"/>
      <c r="Y29" s="212"/>
      <c r="Z29" s="55" t="s">
        <v>36</v>
      </c>
      <c r="AA29" s="55"/>
      <c r="AB29" s="55"/>
      <c r="AC29" s="55"/>
    </row>
    <row r="30" spans="1:38">
      <c r="A30" s="1" t="s">
        <v>69</v>
      </c>
      <c r="E30" s="822"/>
      <c r="F30" s="822"/>
      <c r="P30" s="1"/>
      <c r="Q30" s="1"/>
      <c r="R30" s="1"/>
      <c r="S30" s="1"/>
      <c r="X30" s="55"/>
      <c r="Y30" s="212"/>
      <c r="Z30" s="55"/>
    </row>
    <row r="31" spans="1:38">
      <c r="A31" s="1" t="s">
        <v>534</v>
      </c>
      <c r="E31" s="822"/>
      <c r="F31" s="822"/>
      <c r="P31" s="1"/>
      <c r="Q31" s="1"/>
      <c r="R31" s="1"/>
      <c r="S31" s="1"/>
      <c r="X31" s="55"/>
      <c r="Y31" s="212"/>
      <c r="Z31" s="55"/>
    </row>
    <row r="32" spans="1:38">
      <c r="A32" s="255" t="s">
        <v>535</v>
      </c>
      <c r="E32" s="822"/>
      <c r="F32" s="822"/>
      <c r="P32" s="1"/>
      <c r="Q32" s="1"/>
      <c r="R32" s="1"/>
      <c r="S32" s="1"/>
      <c r="X32" s="55"/>
      <c r="Y32" s="212"/>
      <c r="Z32" s="55"/>
    </row>
    <row r="33" spans="1:51" s="256" customFormat="1">
      <c r="A33" s="1" t="s">
        <v>536</v>
      </c>
      <c r="B33" s="1"/>
      <c r="C33" s="1"/>
      <c r="D33" s="1"/>
      <c r="E33" s="1"/>
      <c r="F33" s="1"/>
      <c r="G33" s="1"/>
      <c r="H33" s="1"/>
      <c r="I33" s="1"/>
      <c r="J33" s="1"/>
      <c r="K33" s="1"/>
      <c r="L33" s="1"/>
      <c r="M33" s="1"/>
      <c r="N33" s="1"/>
      <c r="O33" s="1"/>
      <c r="P33" s="1"/>
      <c r="Q33" s="1"/>
      <c r="R33" s="1"/>
      <c r="S33" s="1"/>
      <c r="T33" s="1"/>
      <c r="U33" s="1"/>
      <c r="V33" s="1"/>
      <c r="W33" s="1"/>
      <c r="X33" s="1"/>
      <c r="Y33" s="2"/>
      <c r="Z33" s="1"/>
      <c r="AA33" s="1"/>
      <c r="AB33" s="1"/>
      <c r="AC33" s="1"/>
      <c r="AD33" s="1"/>
      <c r="AE33" s="1"/>
      <c r="AF33" s="1"/>
      <c r="AG33" s="1"/>
      <c r="AH33" s="1"/>
      <c r="AI33" s="1"/>
    </row>
    <row r="34" spans="1:51" s="256" customFormat="1">
      <c r="A34" s="2" t="s">
        <v>537</v>
      </c>
      <c r="N34" s="257"/>
      <c r="O34" s="257"/>
      <c r="P34" s="572"/>
      <c r="S34" s="256" t="s">
        <v>36</v>
      </c>
      <c r="Y34" s="2"/>
    </row>
    <row r="35" spans="1:51" ht="13.5" thickBot="1">
      <c r="J35" s="2"/>
      <c r="K35" s="2"/>
      <c r="L35" s="2"/>
      <c r="M35" s="2"/>
      <c r="N35" s="23"/>
      <c r="O35" s="23"/>
      <c r="P35" s="24"/>
      <c r="Q35" s="1"/>
      <c r="R35" s="1"/>
      <c r="S35" s="1"/>
    </row>
    <row r="36" spans="1:51" ht="13.5" thickBot="1">
      <c r="A36" s="573" t="s">
        <v>538</v>
      </c>
      <c r="B36" s="573"/>
      <c r="C36" s="573"/>
      <c r="D36" s="573"/>
      <c r="E36" s="573"/>
      <c r="F36" s="573"/>
      <c r="G36" s="573"/>
      <c r="H36" s="573"/>
      <c r="I36" s="573"/>
      <c r="J36" s="573"/>
      <c r="K36" s="573"/>
      <c r="L36" s="573"/>
      <c r="M36" s="573"/>
      <c r="N36" s="573"/>
      <c r="O36" s="573"/>
      <c r="P36" s="573"/>
      <c r="Q36" s="573"/>
      <c r="R36" s="573"/>
      <c r="S36" s="573"/>
      <c r="T36" s="259"/>
      <c r="U36" s="259"/>
      <c r="V36" s="259"/>
      <c r="W36" s="259"/>
      <c r="X36" s="259"/>
      <c r="Y36" s="573"/>
      <c r="Z36" s="259"/>
      <c r="AA36" s="259"/>
      <c r="AB36" s="256"/>
      <c r="AC36" s="178"/>
      <c r="AD36" s="178"/>
      <c r="AE36" s="178"/>
      <c r="AF36" s="178"/>
      <c r="AG36" s="178"/>
      <c r="AH36" s="178"/>
      <c r="AI36" s="178"/>
      <c r="AJ36" s="570"/>
      <c r="AK36" s="570"/>
      <c r="AL36" s="570"/>
      <c r="AM36" s="570"/>
      <c r="AN36" s="570"/>
      <c r="AO36" s="570"/>
      <c r="AP36" s="570"/>
      <c r="AQ36" s="570"/>
      <c r="AR36" s="570"/>
      <c r="AS36" s="570"/>
      <c r="AT36" s="570"/>
      <c r="AV36" s="3416" t="s">
        <v>528</v>
      </c>
      <c r="AW36" s="3416"/>
      <c r="AX36" s="3416" t="s">
        <v>529</v>
      </c>
      <c r="AY36" s="3416"/>
    </row>
    <row r="37" spans="1:51" ht="15.75" customHeight="1" thickBot="1">
      <c r="A37" s="3204" t="s">
        <v>1</v>
      </c>
      <c r="B37" s="3206" t="s">
        <v>2</v>
      </c>
      <c r="C37" s="3222" t="s">
        <v>55</v>
      </c>
      <c r="D37" s="3222"/>
      <c r="E37" s="3223"/>
      <c r="F37" s="3221" t="s">
        <v>56</v>
      </c>
      <c r="G37" s="3222"/>
      <c r="H37" s="3222"/>
      <c r="I37" s="3222"/>
      <c r="J37" s="3222"/>
      <c r="K37" s="3222"/>
      <c r="L37" s="3222"/>
      <c r="M37" s="3222"/>
      <c r="N37" s="3222"/>
      <c r="O37" s="3222"/>
      <c r="P37" s="3222"/>
      <c r="Q37" s="3222"/>
      <c r="R37" s="3222"/>
      <c r="S37" s="3222"/>
      <c r="T37" s="3222"/>
      <c r="U37" s="3222"/>
      <c r="V37" s="3222"/>
      <c r="W37" s="3223"/>
      <c r="X37" s="3300" t="s">
        <v>57</v>
      </c>
      <c r="Y37" s="3238" t="s">
        <v>530</v>
      </c>
      <c r="Z37" s="3265" t="s">
        <v>531</v>
      </c>
      <c r="AA37" s="3266"/>
      <c r="AB37" s="3266"/>
      <c r="AC37" s="3266"/>
      <c r="AD37" s="3266"/>
      <c r="AE37" s="3267"/>
      <c r="AF37" s="3350" t="s">
        <v>57</v>
      </c>
      <c r="AG37" s="3261" t="s">
        <v>58</v>
      </c>
      <c r="AH37" s="3262"/>
      <c r="AI37" s="3263"/>
      <c r="AK37" s="3255" t="s">
        <v>80</v>
      </c>
      <c r="AL37" s="3255" t="s">
        <v>532</v>
      </c>
    </row>
    <row r="38" spans="1:51" ht="15" customHeight="1">
      <c r="A38" s="3205"/>
      <c r="B38" s="3207"/>
      <c r="C38" s="3417">
        <v>2015</v>
      </c>
      <c r="D38" s="3418"/>
      <c r="E38" s="3419"/>
      <c r="F38" s="3423">
        <v>2020</v>
      </c>
      <c r="G38" s="3418"/>
      <c r="H38" s="3426"/>
      <c r="I38" s="3417">
        <v>2025</v>
      </c>
      <c r="J38" s="3418"/>
      <c r="K38" s="3419"/>
      <c r="L38" s="3248">
        <v>2030</v>
      </c>
      <c r="M38" s="3249"/>
      <c r="N38" s="3250"/>
      <c r="O38" s="3417">
        <v>2035</v>
      </c>
      <c r="P38" s="3418"/>
      <c r="Q38" s="3419"/>
      <c r="R38" s="3212">
        <v>2040</v>
      </c>
      <c r="S38" s="3213"/>
      <c r="T38" s="3215"/>
      <c r="U38" s="3417">
        <v>2045</v>
      </c>
      <c r="V38" s="3418"/>
      <c r="W38" s="3419"/>
      <c r="X38" s="3301"/>
      <c r="Y38" s="3422"/>
      <c r="Z38" s="3356"/>
      <c r="AA38" s="3357"/>
      <c r="AB38" s="3357"/>
      <c r="AC38" s="3357"/>
      <c r="AD38" s="3357"/>
      <c r="AE38" s="3358"/>
      <c r="AF38" s="3420"/>
      <c r="AG38" s="3356">
        <v>2045</v>
      </c>
      <c r="AH38" s="3357"/>
      <c r="AI38" s="3358"/>
      <c r="AK38" s="3256"/>
      <c r="AL38" s="3256"/>
    </row>
    <row r="39" spans="1:51" ht="15.75" customHeight="1" thickBot="1">
      <c r="A39" s="3485"/>
      <c r="B39" s="3208"/>
      <c r="C39" s="1669" t="s">
        <v>60</v>
      </c>
      <c r="D39" s="1017" t="s">
        <v>61</v>
      </c>
      <c r="E39" s="1656" t="s">
        <v>18</v>
      </c>
      <c r="F39" s="1655" t="s">
        <v>60</v>
      </c>
      <c r="G39" s="1657" t="s">
        <v>61</v>
      </c>
      <c r="H39" s="1658" t="s">
        <v>18</v>
      </c>
      <c r="I39" s="1669" t="s">
        <v>60</v>
      </c>
      <c r="J39" s="1017" t="s">
        <v>61</v>
      </c>
      <c r="K39" s="1656" t="s">
        <v>18</v>
      </c>
      <c r="L39" s="1655" t="s">
        <v>60</v>
      </c>
      <c r="M39" s="1657" t="s">
        <v>61</v>
      </c>
      <c r="N39" s="1658" t="s">
        <v>18</v>
      </c>
      <c r="O39" s="1669" t="s">
        <v>60</v>
      </c>
      <c r="P39" s="1017" t="s">
        <v>61</v>
      </c>
      <c r="Q39" s="1656" t="s">
        <v>18</v>
      </c>
      <c r="R39" s="1655" t="s">
        <v>60</v>
      </c>
      <c r="S39" s="1657" t="s">
        <v>61</v>
      </c>
      <c r="T39" s="1658" t="s">
        <v>18</v>
      </c>
      <c r="U39" s="1655" t="s">
        <v>60</v>
      </c>
      <c r="V39" s="1660" t="s">
        <v>61</v>
      </c>
      <c r="W39" s="1661" t="s">
        <v>18</v>
      </c>
      <c r="X39" s="3302"/>
      <c r="Y39" s="3016">
        <v>2015</v>
      </c>
      <c r="Z39" s="1687">
        <v>2020</v>
      </c>
      <c r="AA39" s="1688">
        <v>2025</v>
      </c>
      <c r="AB39" s="1688">
        <v>2030</v>
      </c>
      <c r="AC39" s="1688">
        <v>2035</v>
      </c>
      <c r="AD39" s="1688">
        <v>2040</v>
      </c>
      <c r="AE39" s="3021">
        <v>2045</v>
      </c>
      <c r="AF39" s="3421"/>
      <c r="AG39" s="1133" t="s">
        <v>60</v>
      </c>
      <c r="AH39" s="1134" t="s">
        <v>61</v>
      </c>
      <c r="AI39" s="1135" t="s">
        <v>18</v>
      </c>
      <c r="AK39" s="3257"/>
      <c r="AL39" s="3257"/>
    </row>
    <row r="40" spans="1:51">
      <c r="A40" s="443" t="s">
        <v>46</v>
      </c>
      <c r="B40" s="443" t="s">
        <v>17</v>
      </c>
      <c r="C40" s="6">
        <v>6.81</v>
      </c>
      <c r="D40" s="7">
        <v>0</v>
      </c>
      <c r="E40" s="8">
        <f t="shared" ref="E40:E45" si="82">SUM(C40:D40)</f>
        <v>6.81</v>
      </c>
      <c r="F40" s="9">
        <f>($C$40/$E$40)*H40</f>
        <v>5.56</v>
      </c>
      <c r="G40" s="10">
        <f t="shared" ref="G40:G45" si="83">H40-F40</f>
        <v>0</v>
      </c>
      <c r="H40" s="11">
        <f>'Table 7a '!F289</f>
        <v>5.56</v>
      </c>
      <c r="I40" s="6">
        <f>($C$40/$E$40)*K40</f>
        <v>6.01</v>
      </c>
      <c r="J40" s="7">
        <f t="shared" ref="J40:J45" si="84">K40-I40</f>
        <v>0</v>
      </c>
      <c r="K40" s="8">
        <f>'Table 7a '!H289</f>
        <v>6.01</v>
      </c>
      <c r="L40" s="9">
        <f>($C$40/$E$40)*N40</f>
        <v>6.45</v>
      </c>
      <c r="M40" s="10">
        <f t="shared" ref="M40:M45" si="85">N40-L40</f>
        <v>0</v>
      </c>
      <c r="N40" s="11">
        <f>'Table 7a '!J289</f>
        <v>6.45</v>
      </c>
      <c r="O40" s="584">
        <f>($C$40/$E$40)*Q40</f>
        <v>6.86</v>
      </c>
      <c r="P40" s="445">
        <f t="shared" ref="P40:P45" si="86">Q40-O40</f>
        <v>0</v>
      </c>
      <c r="Q40" s="449">
        <f>'Table 7a '!L289</f>
        <v>6.86</v>
      </c>
      <c r="R40" s="444">
        <f>($C$40/$E$40)*T40</f>
        <v>7.36</v>
      </c>
      <c r="S40" s="585">
        <f t="shared" ref="S40:S45" si="87">T40-R40</f>
        <v>0</v>
      </c>
      <c r="T40" s="1689">
        <f>'Table 7a '!N289</f>
        <v>7.36</v>
      </c>
      <c r="U40" s="444">
        <f>($C$40/$E$40)*W40</f>
        <v>7.73</v>
      </c>
      <c r="V40" s="446">
        <f t="shared" ref="V40:V45" si="88">W40-U40</f>
        <v>0</v>
      </c>
      <c r="W40" s="1690">
        <f>'Table 7a '!P289</f>
        <v>7.73</v>
      </c>
      <c r="X40" s="203">
        <f t="shared" ref="X40:X46" si="89">(W40-E40)/E40</f>
        <v>0.14000000000000001</v>
      </c>
      <c r="Y40" s="372">
        <f>'Table 7a '!C289</f>
        <v>6195</v>
      </c>
      <c r="Z40" s="45">
        <f>'Table 7a '!E289</f>
        <v>7000</v>
      </c>
      <c r="AA40" s="12">
        <f>'Table 7a '!G289</f>
        <v>7356</v>
      </c>
      <c r="AB40" s="12">
        <f>'Table 7a '!I289</f>
        <v>7708</v>
      </c>
      <c r="AC40" s="12">
        <f>'Table 7a '!K289</f>
        <v>8046</v>
      </c>
      <c r="AD40" s="12">
        <f>'Table 7a '!M289</f>
        <v>8370</v>
      </c>
      <c r="AE40" s="962">
        <f>'Table 7a '!O289</f>
        <v>8705</v>
      </c>
      <c r="AF40" s="13">
        <f t="shared" ref="AF40:AF46" si="90">(AE40-Y40)/Y40</f>
        <v>0.41</v>
      </c>
      <c r="AG40" s="47">
        <f>($C$40/$E$40)*AI40</f>
        <v>9.9700000000000006</v>
      </c>
      <c r="AH40" s="14">
        <f t="shared" ref="AH40:AH45" si="91">AI40-AG40</f>
        <v>0</v>
      </c>
      <c r="AI40" s="1689">
        <f>'Table 7a '!S289</f>
        <v>9.9700000000000006</v>
      </c>
      <c r="AK40" s="1632">
        <f>W40-E40</f>
        <v>0.92</v>
      </c>
      <c r="AL40" s="1639">
        <f>AE40-Y40</f>
        <v>2510</v>
      </c>
    </row>
    <row r="41" spans="1:51" ht="12.75" customHeight="1">
      <c r="A41" s="455" t="s">
        <v>47</v>
      </c>
      <c r="B41" s="455" t="s">
        <v>17</v>
      </c>
      <c r="C41" s="885">
        <v>3.27</v>
      </c>
      <c r="D41" s="884">
        <v>0.02</v>
      </c>
      <c r="E41" s="395">
        <f t="shared" si="82"/>
        <v>3.29</v>
      </c>
      <c r="F41" s="883">
        <f>($C$41/$E$41)*H41</f>
        <v>2.72</v>
      </c>
      <c r="G41" s="321">
        <f t="shared" si="83"/>
        <v>0.02</v>
      </c>
      <c r="H41" s="914">
        <f>'Table 7a '!F300</f>
        <v>2.74</v>
      </c>
      <c r="I41" s="885">
        <f>($C$41/$E$41)*K41</f>
        <v>2.73</v>
      </c>
      <c r="J41" s="884">
        <f t="shared" si="84"/>
        <v>0.02</v>
      </c>
      <c r="K41" s="395">
        <f>'Table 7a '!H300</f>
        <v>2.75</v>
      </c>
      <c r="L41" s="883">
        <f>($C$41/$E$41)*N41</f>
        <v>2.74</v>
      </c>
      <c r="M41" s="321">
        <f t="shared" si="85"/>
        <v>0.02</v>
      </c>
      <c r="N41" s="914">
        <f>'Table 7a '!J300</f>
        <v>2.76</v>
      </c>
      <c r="O41" s="915">
        <f>($C$41/$E$41)*Q41</f>
        <v>2.77</v>
      </c>
      <c r="P41" s="916">
        <f t="shared" si="86"/>
        <v>0.02</v>
      </c>
      <c r="Q41" s="454">
        <f>'Table 7a '!L300</f>
        <v>2.79</v>
      </c>
      <c r="R41" s="827">
        <f>($C$41/$E$41)*T41</f>
        <v>2.78</v>
      </c>
      <c r="S41" s="560">
        <f t="shared" si="87"/>
        <v>0.02</v>
      </c>
      <c r="T41" s="641">
        <f>'Table 7a '!N300</f>
        <v>2.8</v>
      </c>
      <c r="U41" s="827">
        <f>($C$41/$E$41)*W41</f>
        <v>2.81</v>
      </c>
      <c r="V41" s="452">
        <f t="shared" si="88"/>
        <v>0.02</v>
      </c>
      <c r="W41" s="642">
        <f>'Table 7a '!P300</f>
        <v>2.83</v>
      </c>
      <c r="X41" s="546">
        <f t="shared" si="89"/>
        <v>-0.14000000000000001</v>
      </c>
      <c r="Y41" s="394">
        <f>'Table 7a '!C300</f>
        <v>2333</v>
      </c>
      <c r="Z41" s="917">
        <f>'Table 7a '!E300</f>
        <v>2401</v>
      </c>
      <c r="AA41" s="918">
        <f>'Table 7a '!G300</f>
        <v>2401</v>
      </c>
      <c r="AB41" s="918">
        <f>'Table 7a '!I300</f>
        <v>2401</v>
      </c>
      <c r="AC41" s="918">
        <f>'Table 7a '!K300</f>
        <v>2401</v>
      </c>
      <c r="AD41" s="918">
        <f>'Table 7a '!M300</f>
        <v>2401</v>
      </c>
      <c r="AE41" s="967">
        <f>'Table 7a '!O300</f>
        <v>2401</v>
      </c>
      <c r="AF41" s="919">
        <f t="shared" si="90"/>
        <v>0.03</v>
      </c>
      <c r="AG41" s="823">
        <f>($C$41/$E$41)*AI41</f>
        <v>3.44</v>
      </c>
      <c r="AH41" s="322">
        <f t="shared" si="91"/>
        <v>0.02</v>
      </c>
      <c r="AI41" s="641">
        <f>'Table 7a '!S300</f>
        <v>3.46</v>
      </c>
      <c r="AK41" s="1599">
        <f t="shared" ref="AK41:AK46" si="92">W41-E41</f>
        <v>-0.46</v>
      </c>
      <c r="AL41" s="1635">
        <f t="shared" ref="AL41:AL46" si="93">AE41-Y41</f>
        <v>68</v>
      </c>
    </row>
    <row r="42" spans="1:51">
      <c r="A42" s="455" t="s">
        <v>48</v>
      </c>
      <c r="B42" s="455" t="s">
        <v>17</v>
      </c>
      <c r="C42" s="885">
        <v>11.76</v>
      </c>
      <c r="D42" s="884">
        <v>0</v>
      </c>
      <c r="E42" s="395">
        <f t="shared" si="82"/>
        <v>11.76</v>
      </c>
      <c r="F42" s="883">
        <f>($C$42/$E$42)*H42</f>
        <v>11.4</v>
      </c>
      <c r="G42" s="321">
        <f t="shared" si="83"/>
        <v>0</v>
      </c>
      <c r="H42" s="914">
        <f>'Table 7a '!F311</f>
        <v>11.4</v>
      </c>
      <c r="I42" s="885">
        <f>($C$42/$E$42)*K42</f>
        <v>12.43</v>
      </c>
      <c r="J42" s="884">
        <f t="shared" si="84"/>
        <v>0</v>
      </c>
      <c r="K42" s="395">
        <f>'Table 7a '!H311</f>
        <v>12.43</v>
      </c>
      <c r="L42" s="883">
        <f>($C$42/$E$42)*N42</f>
        <v>13.36</v>
      </c>
      <c r="M42" s="321">
        <f t="shared" si="85"/>
        <v>0</v>
      </c>
      <c r="N42" s="914">
        <f>'Table 7a '!J311</f>
        <v>13.36</v>
      </c>
      <c r="O42" s="915">
        <f>($C$42/$E$42)*Q42</f>
        <v>14.27</v>
      </c>
      <c r="P42" s="916">
        <f t="shared" si="86"/>
        <v>0</v>
      </c>
      <c r="Q42" s="454">
        <f>'Table 7a '!L311</f>
        <v>14.27</v>
      </c>
      <c r="R42" s="827">
        <f>($C$42/$E$42)*T42</f>
        <v>15.3</v>
      </c>
      <c r="S42" s="560">
        <f t="shared" si="87"/>
        <v>0</v>
      </c>
      <c r="T42" s="641">
        <f>'Table 7a '!N311</f>
        <v>15.3</v>
      </c>
      <c r="U42" s="827">
        <f>($C$42/$E$42)*W42</f>
        <v>16.23</v>
      </c>
      <c r="V42" s="452">
        <f t="shared" si="88"/>
        <v>0</v>
      </c>
      <c r="W42" s="910">
        <f>'Table 7a '!P311</f>
        <v>16.23</v>
      </c>
      <c r="X42" s="546">
        <f t="shared" si="89"/>
        <v>0.38</v>
      </c>
      <c r="Y42" s="394">
        <f>'Table 7a '!C311</f>
        <v>9324</v>
      </c>
      <c r="Z42" s="917">
        <f>'Table 7a '!E311</f>
        <v>11532</v>
      </c>
      <c r="AA42" s="918">
        <f>'Table 7a '!G311</f>
        <v>12250</v>
      </c>
      <c r="AB42" s="918">
        <f>'Table 7a '!I311</f>
        <v>12963</v>
      </c>
      <c r="AC42" s="918">
        <f>'Table 7a '!K311</f>
        <v>13663</v>
      </c>
      <c r="AD42" s="918">
        <f>'Table 7a '!M311</f>
        <v>14361</v>
      </c>
      <c r="AE42" s="967">
        <f>'Table 7a '!O311</f>
        <v>15060</v>
      </c>
      <c r="AF42" s="919">
        <f t="shared" si="90"/>
        <v>0.62</v>
      </c>
      <c r="AG42" s="823">
        <f>($C$42/$E$42)*AI42</f>
        <v>20.5</v>
      </c>
      <c r="AH42" s="322">
        <f t="shared" si="91"/>
        <v>0</v>
      </c>
      <c r="AI42" s="641">
        <f>'Table 7a '!S311</f>
        <v>20.5</v>
      </c>
      <c r="AK42" s="1599">
        <f t="shared" si="92"/>
        <v>4.47</v>
      </c>
      <c r="AL42" s="1635">
        <f t="shared" si="93"/>
        <v>5736</v>
      </c>
    </row>
    <row r="43" spans="1:51">
      <c r="A43" s="134" t="s">
        <v>539</v>
      </c>
      <c r="B43" s="134" t="s">
        <v>17</v>
      </c>
      <c r="C43" s="569">
        <v>14.8</v>
      </c>
      <c r="D43" s="354">
        <v>0</v>
      </c>
      <c r="E43" s="565">
        <f t="shared" si="82"/>
        <v>14.8</v>
      </c>
      <c r="F43" s="158">
        <f>($C$43/$E$43)*H43</f>
        <v>14.28</v>
      </c>
      <c r="G43" s="355">
        <f t="shared" si="83"/>
        <v>0</v>
      </c>
      <c r="H43" s="353">
        <f>'Table 7a '!F322</f>
        <v>14.28</v>
      </c>
      <c r="I43" s="569">
        <f>($C$43/$E$43)*K43</f>
        <v>15.76</v>
      </c>
      <c r="J43" s="354">
        <f t="shared" si="84"/>
        <v>0</v>
      </c>
      <c r="K43" s="565">
        <f>'Table 7a '!H322</f>
        <v>15.76</v>
      </c>
      <c r="L43" s="158">
        <f>($C$43/$E$43)*N43</f>
        <v>17.14</v>
      </c>
      <c r="M43" s="355">
        <f t="shared" si="85"/>
        <v>0</v>
      </c>
      <c r="N43" s="353">
        <f>'Table 7a '!J322</f>
        <v>17.14</v>
      </c>
      <c r="O43" s="653">
        <f>($C$43/$E$43)*Q43</f>
        <v>18.36</v>
      </c>
      <c r="P43" s="886">
        <f t="shared" si="86"/>
        <v>0</v>
      </c>
      <c r="Q43" s="566">
        <f>'Table 7a '!L322</f>
        <v>18.36</v>
      </c>
      <c r="R43" s="828">
        <f>($C$43/$E$43)*T43</f>
        <v>19.75</v>
      </c>
      <c r="S43" s="829">
        <f t="shared" si="87"/>
        <v>0</v>
      </c>
      <c r="T43" s="808">
        <f>'Table 7a '!N322</f>
        <v>19.75</v>
      </c>
      <c r="U43" s="828">
        <f>($C$43/$E$43)*W43</f>
        <v>20.96</v>
      </c>
      <c r="V43" s="956">
        <f t="shared" si="88"/>
        <v>0</v>
      </c>
      <c r="W43" s="545">
        <f>'Table 7a '!P322</f>
        <v>20.96</v>
      </c>
      <c r="X43" s="547">
        <f t="shared" si="89"/>
        <v>0.42</v>
      </c>
      <c r="Y43" s="373">
        <f>'Table 7a '!C322</f>
        <v>11154</v>
      </c>
      <c r="Z43" s="825">
        <f>'Table 7a '!E322</f>
        <v>13417</v>
      </c>
      <c r="AA43" s="826">
        <f>'Table 7a '!G322</f>
        <v>14479</v>
      </c>
      <c r="AB43" s="826">
        <f>'Table 7a '!I322</f>
        <v>15576</v>
      </c>
      <c r="AC43" s="826">
        <f>'Table 7a '!K322</f>
        <v>16303</v>
      </c>
      <c r="AD43" s="826">
        <f>'Table 7a '!M322</f>
        <v>17347</v>
      </c>
      <c r="AE43" s="970">
        <f>'Table 7a '!O322</f>
        <v>18067</v>
      </c>
      <c r="AF43" s="564">
        <f t="shared" si="90"/>
        <v>0.62</v>
      </c>
      <c r="AG43" s="138">
        <f>($C$43/$E$43)*AI43</f>
        <v>26.53</v>
      </c>
      <c r="AH43" s="360">
        <f t="shared" si="91"/>
        <v>0</v>
      </c>
      <c r="AI43" s="808">
        <f>'Table 7a '!S322</f>
        <v>26.53</v>
      </c>
      <c r="AK43" s="1633">
        <f t="shared" si="92"/>
        <v>6.16</v>
      </c>
      <c r="AL43" s="1636">
        <f t="shared" si="93"/>
        <v>6913</v>
      </c>
    </row>
    <row r="44" spans="1:51">
      <c r="A44" s="365" t="s">
        <v>50</v>
      </c>
      <c r="B44" s="365" t="s">
        <v>17</v>
      </c>
      <c r="C44" s="885">
        <v>20.87</v>
      </c>
      <c r="D44" s="884">
        <v>0</v>
      </c>
      <c r="E44" s="395">
        <f t="shared" si="82"/>
        <v>20.87</v>
      </c>
      <c r="F44" s="883">
        <f>($C$44/$E$44)*H44</f>
        <v>21.5</v>
      </c>
      <c r="G44" s="321">
        <f t="shared" si="83"/>
        <v>0</v>
      </c>
      <c r="H44" s="914">
        <f>'Table 7a '!F336</f>
        <v>21.5</v>
      </c>
      <c r="I44" s="885">
        <f>($C$44/$E$44)*K44</f>
        <v>22.43</v>
      </c>
      <c r="J44" s="884">
        <f t="shared" si="84"/>
        <v>0</v>
      </c>
      <c r="K44" s="395">
        <f>'Table 7a '!H336</f>
        <v>22.43</v>
      </c>
      <c r="L44" s="883">
        <f>($C$44/$E$44)*N44</f>
        <v>23.2</v>
      </c>
      <c r="M44" s="321">
        <f t="shared" si="85"/>
        <v>0</v>
      </c>
      <c r="N44" s="914">
        <f>'Table 7a '!J336</f>
        <v>23.2</v>
      </c>
      <c r="O44" s="920">
        <f>($C$44/$E$44)*Q44</f>
        <v>24.12</v>
      </c>
      <c r="P44" s="921">
        <f t="shared" si="86"/>
        <v>0</v>
      </c>
      <c r="Q44" s="574">
        <f>'Table 7a '!L336</f>
        <v>24.12</v>
      </c>
      <c r="R44" s="922">
        <f>($C$44/$E$44)*T44</f>
        <v>25.06</v>
      </c>
      <c r="S44" s="352">
        <f t="shared" si="87"/>
        <v>0</v>
      </c>
      <c r="T44" s="812">
        <f>'Table 7a '!N336</f>
        <v>25.06</v>
      </c>
      <c r="U44" s="922">
        <f>($C$44/$E$44)*W44</f>
        <v>26.03</v>
      </c>
      <c r="V44" s="953">
        <f t="shared" si="88"/>
        <v>0</v>
      </c>
      <c r="W44" s="911">
        <f>'Table 7a '!P336</f>
        <v>26.03</v>
      </c>
      <c r="X44" s="546">
        <f t="shared" si="89"/>
        <v>0.25</v>
      </c>
      <c r="Y44" s="394">
        <f>'Table 7a '!C336</f>
        <v>18912</v>
      </c>
      <c r="Z44" s="917">
        <f>'Table 7a '!E336</f>
        <v>24384</v>
      </c>
      <c r="AA44" s="918">
        <f>'Table 7a '!G336</f>
        <v>24958</v>
      </c>
      <c r="AB44" s="918">
        <f>'Table 7a '!I336</f>
        <v>25535</v>
      </c>
      <c r="AC44" s="918">
        <f>'Table 7a '!K336</f>
        <v>26103</v>
      </c>
      <c r="AD44" s="918">
        <f>'Table 7a '!M336</f>
        <v>26672</v>
      </c>
      <c r="AE44" s="967">
        <f>'Table 7a '!O336</f>
        <v>27241</v>
      </c>
      <c r="AF44" s="919">
        <f t="shared" si="90"/>
        <v>0.44</v>
      </c>
      <c r="AG44" s="823">
        <f>($C$44/$E$44)*AI44</f>
        <v>33.01</v>
      </c>
      <c r="AH44" s="322">
        <f t="shared" si="91"/>
        <v>0</v>
      </c>
      <c r="AI44" s="812">
        <f>'Table 7a '!S336</f>
        <v>33.01</v>
      </c>
      <c r="AK44" s="1617">
        <f t="shared" si="92"/>
        <v>5.16</v>
      </c>
      <c r="AL44" s="1635">
        <f t="shared" si="93"/>
        <v>8329</v>
      </c>
    </row>
    <row r="45" spans="1:51" ht="13.5" thickBot="1">
      <c r="A45" s="133" t="s">
        <v>51</v>
      </c>
      <c r="B45" s="133" t="s">
        <v>17</v>
      </c>
      <c r="C45" s="875">
        <v>0.46</v>
      </c>
      <c r="D45" s="410">
        <v>0</v>
      </c>
      <c r="E45" s="17">
        <f t="shared" si="82"/>
        <v>0.46</v>
      </c>
      <c r="F45" s="18">
        <f>($C$45/$E$45)*H45</f>
        <v>0.52</v>
      </c>
      <c r="G45" s="412">
        <f t="shared" si="83"/>
        <v>0</v>
      </c>
      <c r="H45" s="876">
        <f>'Table 7a '!F347</f>
        <v>0.52</v>
      </c>
      <c r="I45" s="875">
        <f>($C$45/$E$45)*K45</f>
        <v>0.51</v>
      </c>
      <c r="J45" s="410">
        <f t="shared" si="84"/>
        <v>0</v>
      </c>
      <c r="K45" s="17">
        <f>'Table 7a '!H347</f>
        <v>0.51</v>
      </c>
      <c r="L45" s="18">
        <f>($C$45/$E$45)*N45</f>
        <v>0.51</v>
      </c>
      <c r="M45" s="412">
        <f t="shared" si="85"/>
        <v>0</v>
      </c>
      <c r="N45" s="876">
        <f>'Table 7a '!J347</f>
        <v>0.51</v>
      </c>
      <c r="O45" s="927">
        <f>($C$45/$E$45)*Q45</f>
        <v>0.5</v>
      </c>
      <c r="P45" s="928">
        <f t="shared" si="86"/>
        <v>0</v>
      </c>
      <c r="Q45" s="19">
        <f>'Table 7a '!L347</f>
        <v>0.5</v>
      </c>
      <c r="R45" s="16">
        <f>($C$45/$E$45)*T45</f>
        <v>0.5</v>
      </c>
      <c r="S45" s="440">
        <f t="shared" si="87"/>
        <v>0</v>
      </c>
      <c r="T45" s="821">
        <f>'Table 7a '!N347</f>
        <v>0.5</v>
      </c>
      <c r="U45" s="16">
        <f>($C$45/$E$45)*W45</f>
        <v>0.49</v>
      </c>
      <c r="V45" s="955">
        <f t="shared" si="88"/>
        <v>0</v>
      </c>
      <c r="W45" s="909">
        <f>'Table 7a '!P347</f>
        <v>0.49</v>
      </c>
      <c r="X45" s="205">
        <f t="shared" si="89"/>
        <v>7.0000000000000007E-2</v>
      </c>
      <c r="Y45" s="719">
        <f>'Table 7a '!C347</f>
        <v>476</v>
      </c>
      <c r="Z45" s="929">
        <f>'Table 7a '!E347</f>
        <v>515</v>
      </c>
      <c r="AA45" s="580">
        <f>'Table 7a '!G347</f>
        <v>515</v>
      </c>
      <c r="AB45" s="580">
        <f>'Table 7a '!I347</f>
        <v>515</v>
      </c>
      <c r="AC45" s="580">
        <f>'Table 7a '!K347</f>
        <v>515</v>
      </c>
      <c r="AD45" s="580">
        <f>'Table 7a '!M347</f>
        <v>515</v>
      </c>
      <c r="AE45" s="963">
        <f>'Table 7a '!O347</f>
        <v>515</v>
      </c>
      <c r="AF45" s="581">
        <f t="shared" si="90"/>
        <v>0.08</v>
      </c>
      <c r="AG45" s="48">
        <f>($C$45/$E$45)*AI45</f>
        <v>0.64</v>
      </c>
      <c r="AH45" s="366">
        <f t="shared" si="91"/>
        <v>0</v>
      </c>
      <c r="AI45" s="821">
        <f>'Table 7a '!S347</f>
        <v>0.64</v>
      </c>
      <c r="AK45" s="1634">
        <f t="shared" si="92"/>
        <v>0.03</v>
      </c>
      <c r="AL45" s="1637">
        <f t="shared" si="93"/>
        <v>39</v>
      </c>
    </row>
    <row r="46" spans="1:51" s="22" customFormat="1" ht="27" customHeight="1" thickTop="1" thickBot="1">
      <c r="A46" s="3424" t="s">
        <v>52</v>
      </c>
      <c r="B46" s="3425"/>
      <c r="C46" s="31">
        <f>SUM(C40:C45)</f>
        <v>57.97</v>
      </c>
      <c r="D46" s="32">
        <f t="shared" ref="D46:W46" si="94">SUM(D40:D45)</f>
        <v>0.02</v>
      </c>
      <c r="E46" s="33">
        <f t="shared" si="94"/>
        <v>57.99</v>
      </c>
      <c r="F46" s="36">
        <f t="shared" si="94"/>
        <v>55.98</v>
      </c>
      <c r="G46" s="165">
        <f t="shared" si="94"/>
        <v>0.02</v>
      </c>
      <c r="H46" s="38">
        <f t="shared" si="94"/>
        <v>56</v>
      </c>
      <c r="I46" s="31">
        <f t="shared" si="94"/>
        <v>59.87</v>
      </c>
      <c r="J46" s="32">
        <f t="shared" si="94"/>
        <v>0.02</v>
      </c>
      <c r="K46" s="33">
        <f t="shared" si="94"/>
        <v>59.89</v>
      </c>
      <c r="L46" s="36">
        <f t="shared" si="94"/>
        <v>63.4</v>
      </c>
      <c r="M46" s="165">
        <f t="shared" si="94"/>
        <v>0.02</v>
      </c>
      <c r="N46" s="38">
        <f t="shared" si="94"/>
        <v>63.42</v>
      </c>
      <c r="O46" s="142">
        <f t="shared" si="94"/>
        <v>66.88</v>
      </c>
      <c r="P46" s="1229">
        <f t="shared" si="94"/>
        <v>0.02</v>
      </c>
      <c r="Q46" s="924">
        <f t="shared" si="94"/>
        <v>66.900000000000006</v>
      </c>
      <c r="R46" s="952">
        <f t="shared" si="94"/>
        <v>70.75</v>
      </c>
      <c r="S46" s="1026">
        <f t="shared" si="94"/>
        <v>0.02</v>
      </c>
      <c r="T46" s="926">
        <f t="shared" si="94"/>
        <v>70.77</v>
      </c>
      <c r="U46" s="952">
        <f t="shared" si="94"/>
        <v>74.25</v>
      </c>
      <c r="V46" s="951">
        <f t="shared" si="94"/>
        <v>0.02</v>
      </c>
      <c r="W46" s="925">
        <f t="shared" si="94"/>
        <v>74.27</v>
      </c>
      <c r="X46" s="206">
        <f t="shared" si="89"/>
        <v>0.28000000000000003</v>
      </c>
      <c r="Y46" s="379">
        <f t="shared" ref="Y46" si="95">SUM(Y40:Y45)</f>
        <v>48394</v>
      </c>
      <c r="Z46" s="582">
        <f t="shared" ref="Z46" si="96">SUM(Z40:Z45)</f>
        <v>59249</v>
      </c>
      <c r="AA46" s="583">
        <f t="shared" ref="AA46" si="97">SUM(AA40:AA45)</f>
        <v>61959</v>
      </c>
      <c r="AB46" s="583">
        <f t="shared" ref="AB46" si="98">SUM(AB40:AB45)</f>
        <v>64698</v>
      </c>
      <c r="AC46" s="583">
        <f t="shared" ref="AC46" si="99">SUM(AC40:AC45)</f>
        <v>67031</v>
      </c>
      <c r="AD46" s="583">
        <f t="shared" ref="AD46" si="100">SUM(AD40:AD45)</f>
        <v>69666</v>
      </c>
      <c r="AE46" s="966">
        <f t="shared" ref="AE46" si="101">SUM(AE40:AE45)</f>
        <v>71989</v>
      </c>
      <c r="AF46" s="183">
        <f t="shared" si="90"/>
        <v>0.49</v>
      </c>
      <c r="AG46" s="34">
        <f t="shared" ref="AG46" si="102">SUM(AG40:AG45)</f>
        <v>94.09</v>
      </c>
      <c r="AH46" s="20">
        <f t="shared" ref="AH46" si="103">SUM(AH40:AH45)</f>
        <v>0.02</v>
      </c>
      <c r="AI46" s="926">
        <f t="shared" ref="AI46" si="104">SUM(AI40:AI45)</f>
        <v>94.11</v>
      </c>
      <c r="AK46" s="1622">
        <f t="shared" si="92"/>
        <v>16.28</v>
      </c>
      <c r="AL46" s="1638">
        <f t="shared" si="93"/>
        <v>23595</v>
      </c>
    </row>
    <row r="47" spans="1:51">
      <c r="A47" s="89" t="s">
        <v>35</v>
      </c>
      <c r="Y47" s="374"/>
      <c r="Z47" s="913"/>
      <c r="AA47" s="913"/>
      <c r="AB47" s="913"/>
      <c r="AC47" s="913"/>
      <c r="AD47" s="913"/>
      <c r="AE47" s="913"/>
    </row>
    <row r="48" spans="1:51">
      <c r="A48" s="1" t="s">
        <v>68</v>
      </c>
    </row>
    <row r="49" spans="1:1">
      <c r="A49" s="1" t="s">
        <v>69</v>
      </c>
    </row>
    <row r="50" spans="1:1">
      <c r="A50" s="1" t="s">
        <v>534</v>
      </c>
    </row>
    <row r="51" spans="1:1">
      <c r="A51" s="255" t="s">
        <v>535</v>
      </c>
    </row>
    <row r="52" spans="1:1">
      <c r="A52" s="1" t="s">
        <v>536</v>
      </c>
    </row>
    <row r="53" spans="1:1">
      <c r="A53" s="2" t="s">
        <v>537</v>
      </c>
    </row>
  </sheetData>
  <mergeCells count="47">
    <mergeCell ref="A25:B25"/>
    <mergeCell ref="A26:B26"/>
    <mergeCell ref="A27:B27"/>
    <mergeCell ref="F3:H3"/>
    <mergeCell ref="I3:K3"/>
    <mergeCell ref="Z37:AE38"/>
    <mergeCell ref="L38:N38"/>
    <mergeCell ref="O38:Q38"/>
    <mergeCell ref="R38:T38"/>
    <mergeCell ref="AG3:AI3"/>
    <mergeCell ref="A46:B46"/>
    <mergeCell ref="AV36:AW36"/>
    <mergeCell ref="AX36:AY36"/>
    <mergeCell ref="B37:B39"/>
    <mergeCell ref="C37:E37"/>
    <mergeCell ref="X37:X39"/>
    <mergeCell ref="Y37:Y38"/>
    <mergeCell ref="AF37:AF39"/>
    <mergeCell ref="AG37:AI37"/>
    <mergeCell ref="C38:E38"/>
    <mergeCell ref="F38:H38"/>
    <mergeCell ref="I38:K38"/>
    <mergeCell ref="AG38:AI38"/>
    <mergeCell ref="A37:A39"/>
    <mergeCell ref="U38:W38"/>
    <mergeCell ref="F37:W37"/>
    <mergeCell ref="AX1:AY1"/>
    <mergeCell ref="A2:A4"/>
    <mergeCell ref="L3:N3"/>
    <mergeCell ref="C3:E3"/>
    <mergeCell ref="C2:E2"/>
    <mergeCell ref="B2:B4"/>
    <mergeCell ref="X2:X4"/>
    <mergeCell ref="AF2:AF4"/>
    <mergeCell ref="AG2:AI2"/>
    <mergeCell ref="Y2:Y3"/>
    <mergeCell ref="O3:Q3"/>
    <mergeCell ref="R3:T3"/>
    <mergeCell ref="U3:W3"/>
    <mergeCell ref="Z2:AE3"/>
    <mergeCell ref="A1:AI1"/>
    <mergeCell ref="F2:W2"/>
    <mergeCell ref="AK2:AK4"/>
    <mergeCell ref="AL2:AL4"/>
    <mergeCell ref="AK37:AK39"/>
    <mergeCell ref="AL37:AL39"/>
    <mergeCell ref="AV1:AW1"/>
  </mergeCells>
  <phoneticPr fontId="71" type="noConversion"/>
  <pageMargins left="0.7" right="0.7" top="0.75" bottom="0.75" header="0.3" footer="0.3"/>
  <pageSetup paperSize="3" scale="55" fitToHeight="0" pageOrder="overThenDown"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365"/>
  <sheetViews>
    <sheetView topLeftCell="A129" workbookViewId="0">
      <selection activeCell="S46" sqref="S46"/>
    </sheetView>
  </sheetViews>
  <sheetFormatPr defaultRowHeight="15"/>
  <cols>
    <col min="1" max="1" width="27.28515625" customWidth="1"/>
    <col min="2" max="2" width="33" customWidth="1"/>
    <col min="3" max="3" width="11.28515625" style="934" customWidth="1"/>
    <col min="4" max="4" width="11.28515625" style="863" customWidth="1"/>
    <col min="5" max="5" width="11.28515625" customWidth="1"/>
    <col min="6" max="6" width="11.28515625" style="863" customWidth="1"/>
    <col min="7" max="7" width="11.28515625" customWidth="1"/>
    <col min="8" max="8" width="11.28515625" style="863" customWidth="1"/>
    <col min="9" max="9" width="11.28515625" customWidth="1"/>
    <col min="10" max="10" width="11.28515625" style="863" customWidth="1"/>
    <col min="11" max="11" width="11.28515625" customWidth="1"/>
    <col min="12" max="12" width="11.28515625" style="863" customWidth="1"/>
    <col min="13" max="13" width="11.28515625" customWidth="1"/>
    <col min="14" max="16" width="11.28515625" style="863" customWidth="1"/>
    <col min="17" max="18" width="9.42578125" customWidth="1"/>
    <col min="19" max="19" width="12.5703125" style="863" customWidth="1"/>
    <col min="21" max="22" width="0" hidden="1" customWidth="1"/>
  </cols>
  <sheetData>
    <row r="1" spans="1:22" ht="27" customHeight="1" thickBot="1">
      <c r="A1" s="3224" t="s">
        <v>540</v>
      </c>
      <c r="B1" s="3224"/>
      <c r="C1" s="3224"/>
      <c r="D1" s="3224"/>
      <c r="E1" s="3224"/>
      <c r="F1" s="3224"/>
      <c r="G1" s="3224"/>
      <c r="H1" s="3224"/>
      <c r="I1" s="3224"/>
      <c r="J1" s="3224"/>
      <c r="K1" s="3224"/>
      <c r="L1" s="3224"/>
      <c r="M1" s="3224"/>
      <c r="N1" s="3224"/>
      <c r="O1" s="3224"/>
      <c r="P1" s="3224"/>
      <c r="Q1" s="3224"/>
      <c r="R1" s="3224"/>
      <c r="S1" s="3224"/>
    </row>
    <row r="2" spans="1:22" ht="26.25" customHeight="1">
      <c r="A2" s="3429" t="s">
        <v>85</v>
      </c>
      <c r="B2" s="3431" t="s">
        <v>541</v>
      </c>
      <c r="C2" s="3217" t="s">
        <v>542</v>
      </c>
      <c r="D2" s="3217"/>
      <c r="E2" s="3216" t="s">
        <v>543</v>
      </c>
      <c r="F2" s="3218"/>
      <c r="G2" s="3217" t="s">
        <v>544</v>
      </c>
      <c r="H2" s="3217"/>
      <c r="I2" s="3258" t="s">
        <v>545</v>
      </c>
      <c r="J2" s="3245"/>
      <c r="K2" s="3264" t="s">
        <v>546</v>
      </c>
      <c r="L2" s="3264"/>
      <c r="M2" s="3258" t="s">
        <v>547</v>
      </c>
      <c r="N2" s="3245"/>
      <c r="O2" s="3258" t="s">
        <v>548</v>
      </c>
      <c r="P2" s="3245"/>
      <c r="Q2" s="3264" t="s">
        <v>57</v>
      </c>
      <c r="R2" s="3264"/>
      <c r="S2" s="3433" t="s">
        <v>549</v>
      </c>
      <c r="U2" s="3258" t="s">
        <v>59</v>
      </c>
      <c r="V2" s="3245"/>
    </row>
    <row r="3" spans="1:22" ht="14.25" customHeight="1" thickBot="1">
      <c r="A3" s="3441"/>
      <c r="B3" s="3440"/>
      <c r="C3" s="1691" t="s">
        <v>550</v>
      </c>
      <c r="D3" s="1692" t="s">
        <v>551</v>
      </c>
      <c r="E3" s="1693" t="s">
        <v>550</v>
      </c>
      <c r="F3" s="1646" t="s">
        <v>551</v>
      </c>
      <c r="G3" s="1691" t="s">
        <v>550</v>
      </c>
      <c r="H3" s="1692" t="s">
        <v>551</v>
      </c>
      <c r="I3" s="1694" t="s">
        <v>550</v>
      </c>
      <c r="J3" s="1646" t="s">
        <v>551</v>
      </c>
      <c r="K3" s="1695" t="s">
        <v>550</v>
      </c>
      <c r="L3" s="1692" t="s">
        <v>551</v>
      </c>
      <c r="M3" s="1694" t="s">
        <v>550</v>
      </c>
      <c r="N3" s="1646" t="s">
        <v>551</v>
      </c>
      <c r="O3" s="1694" t="s">
        <v>550</v>
      </c>
      <c r="P3" s="1646" t="s">
        <v>551</v>
      </c>
      <c r="Q3" s="1696" t="s">
        <v>529</v>
      </c>
      <c r="R3" s="1692" t="s">
        <v>551</v>
      </c>
      <c r="S3" s="3439"/>
      <c r="U3" s="1645" t="s">
        <v>529</v>
      </c>
      <c r="V3" s="1646" t="s">
        <v>551</v>
      </c>
    </row>
    <row r="4" spans="1:22" ht="14.25" customHeight="1">
      <c r="A4" s="3438" t="s">
        <v>552</v>
      </c>
      <c r="B4" s="1649" t="s">
        <v>553</v>
      </c>
      <c r="C4" s="1650">
        <v>20</v>
      </c>
      <c r="D4" s="986">
        <f>(F4/$F$14)*$D$14</f>
        <v>0</v>
      </c>
      <c r="E4" s="1647">
        <v>0</v>
      </c>
      <c r="F4" s="1648">
        <v>0</v>
      </c>
      <c r="G4" s="1647">
        <v>0</v>
      </c>
      <c r="H4" s="986">
        <v>0</v>
      </c>
      <c r="I4" s="1647">
        <v>0</v>
      </c>
      <c r="J4" s="1648">
        <v>0</v>
      </c>
      <c r="K4" s="1647">
        <v>0</v>
      </c>
      <c r="L4" s="986">
        <v>0</v>
      </c>
      <c r="M4" s="1647">
        <v>0</v>
      </c>
      <c r="N4" s="1648">
        <v>0</v>
      </c>
      <c r="O4" s="1647">
        <v>0</v>
      </c>
      <c r="P4" s="1648">
        <v>0</v>
      </c>
      <c r="Q4" s="1651" t="s">
        <v>16</v>
      </c>
      <c r="R4" s="1652" t="s">
        <v>16</v>
      </c>
      <c r="S4" s="1653">
        <v>0</v>
      </c>
      <c r="U4" s="1647">
        <f>O4-C4</f>
        <v>-20</v>
      </c>
      <c r="V4" s="1648">
        <f>P4-D4</f>
        <v>0</v>
      </c>
    </row>
    <row r="5" spans="1:22" ht="14.25" customHeight="1">
      <c r="A5" s="3436"/>
      <c r="B5" s="931" t="s">
        <v>554</v>
      </c>
      <c r="C5" s="972">
        <v>1116</v>
      </c>
      <c r="D5" s="836">
        <f t="shared" ref="D5:D13" si="0">(F5/$F$14)*$D$14</f>
        <v>2.17</v>
      </c>
      <c r="E5" s="848">
        <v>1118</v>
      </c>
      <c r="F5" s="835">
        <v>2.27</v>
      </c>
      <c r="G5" s="848">
        <v>1118</v>
      </c>
      <c r="H5" s="836">
        <v>2.31</v>
      </c>
      <c r="I5" s="848">
        <v>1118</v>
      </c>
      <c r="J5" s="835">
        <v>2.3199999999999998</v>
      </c>
      <c r="K5" s="848">
        <v>1127</v>
      </c>
      <c r="L5" s="836">
        <v>2.38</v>
      </c>
      <c r="M5" s="848">
        <v>1127</v>
      </c>
      <c r="N5" s="835">
        <v>2.39</v>
      </c>
      <c r="O5" s="848">
        <v>1127</v>
      </c>
      <c r="P5" s="835">
        <v>2.39</v>
      </c>
      <c r="Q5" s="838">
        <f t="shared" ref="Q5:Q65" si="1">(O5-C5)/C5</f>
        <v>0.01</v>
      </c>
      <c r="R5" s="840">
        <f t="shared" ref="R5:R68" si="2">(P5-D5)/D5</f>
        <v>0.1</v>
      </c>
      <c r="S5" s="841">
        <v>3.45</v>
      </c>
      <c r="U5" s="848">
        <f t="shared" ref="U5:U68" si="3">O5-C5</f>
        <v>11</v>
      </c>
      <c r="V5" s="835">
        <f t="shared" ref="V5:V68" si="4">P5-D5</f>
        <v>0.22</v>
      </c>
    </row>
    <row r="6" spans="1:22" ht="14.25" customHeight="1">
      <c r="A6" s="3436"/>
      <c r="B6" s="931" t="s">
        <v>555</v>
      </c>
      <c r="C6" s="972">
        <v>0</v>
      </c>
      <c r="D6" s="836">
        <f t="shared" si="0"/>
        <v>0</v>
      </c>
      <c r="E6" s="848">
        <v>0</v>
      </c>
      <c r="F6" s="835">
        <v>0</v>
      </c>
      <c r="G6" s="848">
        <v>0</v>
      </c>
      <c r="H6" s="836">
        <v>0</v>
      </c>
      <c r="I6" s="848">
        <v>0</v>
      </c>
      <c r="J6" s="835">
        <v>0</v>
      </c>
      <c r="K6" s="848">
        <v>0</v>
      </c>
      <c r="L6" s="836">
        <v>0</v>
      </c>
      <c r="M6" s="848">
        <v>0</v>
      </c>
      <c r="N6" s="835">
        <v>0</v>
      </c>
      <c r="O6" s="848">
        <v>0</v>
      </c>
      <c r="P6" s="835">
        <v>0</v>
      </c>
      <c r="Q6" s="859" t="s">
        <v>16</v>
      </c>
      <c r="R6" s="858" t="s">
        <v>16</v>
      </c>
      <c r="S6" s="841">
        <v>0</v>
      </c>
      <c r="U6" s="848">
        <f t="shared" si="3"/>
        <v>0</v>
      </c>
      <c r="V6" s="835">
        <f t="shared" si="4"/>
        <v>0</v>
      </c>
    </row>
    <row r="7" spans="1:22" ht="14.25" customHeight="1">
      <c r="A7" s="3436"/>
      <c r="B7" s="931" t="s">
        <v>556</v>
      </c>
      <c r="C7" s="972">
        <v>109</v>
      </c>
      <c r="D7" s="836">
        <f t="shared" si="0"/>
        <v>0.11</v>
      </c>
      <c r="E7" s="848">
        <v>90</v>
      </c>
      <c r="F7" s="835">
        <v>0.11</v>
      </c>
      <c r="G7" s="848">
        <v>99</v>
      </c>
      <c r="H7" s="836">
        <v>0.12</v>
      </c>
      <c r="I7" s="848">
        <v>99</v>
      </c>
      <c r="J7" s="835">
        <v>0.12</v>
      </c>
      <c r="K7" s="848">
        <v>137</v>
      </c>
      <c r="L7" s="836">
        <v>0.17</v>
      </c>
      <c r="M7" s="848">
        <v>182</v>
      </c>
      <c r="N7" s="835">
        <v>0.23</v>
      </c>
      <c r="O7" s="848">
        <v>202</v>
      </c>
      <c r="P7" s="835">
        <v>0.26</v>
      </c>
      <c r="Q7" s="838">
        <f t="shared" si="1"/>
        <v>0.85</v>
      </c>
      <c r="R7" s="840">
        <f t="shared" si="2"/>
        <v>1.36</v>
      </c>
      <c r="S7" s="841">
        <v>0.34</v>
      </c>
      <c r="U7" s="848">
        <f t="shared" si="3"/>
        <v>93</v>
      </c>
      <c r="V7" s="835">
        <f t="shared" si="4"/>
        <v>0.15</v>
      </c>
    </row>
    <row r="8" spans="1:22" ht="14.25" customHeight="1">
      <c r="A8" s="3436"/>
      <c r="B8" s="931" t="s">
        <v>557</v>
      </c>
      <c r="C8" s="972">
        <v>246</v>
      </c>
      <c r="D8" s="836">
        <f t="shared" si="0"/>
        <v>0.11</v>
      </c>
      <c r="E8" s="848">
        <v>247</v>
      </c>
      <c r="F8" s="835">
        <v>0.11</v>
      </c>
      <c r="G8" s="848">
        <v>247</v>
      </c>
      <c r="H8" s="836">
        <v>0.12</v>
      </c>
      <c r="I8" s="848">
        <v>369</v>
      </c>
      <c r="J8" s="835">
        <v>0.21</v>
      </c>
      <c r="K8" s="848">
        <v>377</v>
      </c>
      <c r="L8" s="836">
        <v>0.22</v>
      </c>
      <c r="M8" s="848">
        <v>377</v>
      </c>
      <c r="N8" s="835">
        <v>0.23</v>
      </c>
      <c r="O8" s="848">
        <v>377</v>
      </c>
      <c r="P8" s="835">
        <v>0.23</v>
      </c>
      <c r="Q8" s="838">
        <f t="shared" si="1"/>
        <v>0.53</v>
      </c>
      <c r="R8" s="840">
        <f t="shared" si="2"/>
        <v>1.0900000000000001</v>
      </c>
      <c r="S8" s="841">
        <v>0.34</v>
      </c>
      <c r="U8" s="848">
        <f t="shared" si="3"/>
        <v>131</v>
      </c>
      <c r="V8" s="835">
        <f t="shared" si="4"/>
        <v>0.12</v>
      </c>
    </row>
    <row r="9" spans="1:22" ht="14.25" customHeight="1">
      <c r="A9" s="3436"/>
      <c r="B9" s="931" t="s">
        <v>558</v>
      </c>
      <c r="C9" s="972">
        <v>59</v>
      </c>
      <c r="D9" s="836">
        <f t="shared" si="0"/>
        <v>0.14000000000000001</v>
      </c>
      <c r="E9" s="848">
        <v>54</v>
      </c>
      <c r="F9" s="835">
        <v>0.15</v>
      </c>
      <c r="G9" s="848">
        <v>54</v>
      </c>
      <c r="H9" s="836">
        <v>0.15</v>
      </c>
      <c r="I9" s="848">
        <v>54</v>
      </c>
      <c r="J9" s="835">
        <v>0.15</v>
      </c>
      <c r="K9" s="848">
        <v>54</v>
      </c>
      <c r="L9" s="836">
        <v>0.16</v>
      </c>
      <c r="M9" s="848">
        <v>81</v>
      </c>
      <c r="N9" s="835">
        <v>0.22</v>
      </c>
      <c r="O9" s="848">
        <v>81</v>
      </c>
      <c r="P9" s="835">
        <v>0.23</v>
      </c>
      <c r="Q9" s="838">
        <f t="shared" si="1"/>
        <v>0.37</v>
      </c>
      <c r="R9" s="840">
        <f t="shared" si="2"/>
        <v>0.64</v>
      </c>
      <c r="S9" s="841">
        <v>0.26</v>
      </c>
      <c r="U9" s="848">
        <f t="shared" si="3"/>
        <v>22</v>
      </c>
      <c r="V9" s="835">
        <f t="shared" si="4"/>
        <v>0.09</v>
      </c>
    </row>
    <row r="10" spans="1:22" ht="14.25" customHeight="1">
      <c r="A10" s="3436"/>
      <c r="B10" s="931" t="s">
        <v>559</v>
      </c>
      <c r="C10" s="972">
        <v>361</v>
      </c>
      <c r="D10" s="836">
        <f t="shared" si="0"/>
        <v>0.28000000000000003</v>
      </c>
      <c r="E10" s="848">
        <v>311</v>
      </c>
      <c r="F10" s="835">
        <v>0.28999999999999998</v>
      </c>
      <c r="G10" s="848">
        <v>311</v>
      </c>
      <c r="H10" s="836">
        <v>0.28000000000000003</v>
      </c>
      <c r="I10" s="848">
        <v>311</v>
      </c>
      <c r="J10" s="835">
        <v>0.27</v>
      </c>
      <c r="K10" s="848">
        <v>311</v>
      </c>
      <c r="L10" s="836">
        <v>0.26</v>
      </c>
      <c r="M10" s="848">
        <v>311</v>
      </c>
      <c r="N10" s="835">
        <v>0.25</v>
      </c>
      <c r="O10" s="848">
        <v>311</v>
      </c>
      <c r="P10" s="835">
        <v>0.25</v>
      </c>
      <c r="Q10" s="838">
        <f t="shared" si="1"/>
        <v>-0.14000000000000001</v>
      </c>
      <c r="R10" s="840">
        <f t="shared" si="2"/>
        <v>-0.11</v>
      </c>
      <c r="S10" s="841">
        <v>0.4</v>
      </c>
      <c r="U10" s="848">
        <f t="shared" si="3"/>
        <v>-50</v>
      </c>
      <c r="V10" s="835">
        <f t="shared" si="4"/>
        <v>-0.03</v>
      </c>
    </row>
    <row r="11" spans="1:22" ht="14.25" customHeight="1">
      <c r="A11" s="3436"/>
      <c r="B11" s="931" t="s">
        <v>560</v>
      </c>
      <c r="C11" s="972">
        <v>0</v>
      </c>
      <c r="D11" s="836">
        <f t="shared" si="0"/>
        <v>0</v>
      </c>
      <c r="E11" s="848">
        <v>0</v>
      </c>
      <c r="F11" s="835">
        <v>0</v>
      </c>
      <c r="G11" s="848">
        <v>0</v>
      </c>
      <c r="H11" s="836">
        <v>0</v>
      </c>
      <c r="I11" s="848">
        <v>0</v>
      </c>
      <c r="J11" s="835">
        <v>0</v>
      </c>
      <c r="K11" s="848">
        <v>0</v>
      </c>
      <c r="L11" s="836">
        <v>0</v>
      </c>
      <c r="M11" s="848">
        <v>0</v>
      </c>
      <c r="N11" s="835">
        <v>0</v>
      </c>
      <c r="O11" s="848">
        <v>0</v>
      </c>
      <c r="P11" s="835">
        <v>0</v>
      </c>
      <c r="Q11" s="859" t="s">
        <v>16</v>
      </c>
      <c r="R11" s="858" t="s">
        <v>16</v>
      </c>
      <c r="S11" s="841">
        <v>0.45</v>
      </c>
      <c r="U11" s="848">
        <f t="shared" si="3"/>
        <v>0</v>
      </c>
      <c r="V11" s="835">
        <f t="shared" si="4"/>
        <v>0</v>
      </c>
    </row>
    <row r="12" spans="1:22" ht="14.25" customHeight="1">
      <c r="A12" s="3436"/>
      <c r="B12" s="931" t="s">
        <v>561</v>
      </c>
      <c r="C12" s="972">
        <v>0</v>
      </c>
      <c r="D12" s="836">
        <f t="shared" si="0"/>
        <v>0</v>
      </c>
      <c r="E12" s="848">
        <v>0</v>
      </c>
      <c r="F12" s="835">
        <v>0</v>
      </c>
      <c r="G12" s="848">
        <v>0</v>
      </c>
      <c r="H12" s="836">
        <v>0</v>
      </c>
      <c r="I12" s="848">
        <v>0</v>
      </c>
      <c r="J12" s="835">
        <v>0</v>
      </c>
      <c r="K12" s="848">
        <v>0</v>
      </c>
      <c r="L12" s="836">
        <v>0</v>
      </c>
      <c r="M12" s="848">
        <v>0</v>
      </c>
      <c r="N12" s="835">
        <v>0</v>
      </c>
      <c r="O12" s="848">
        <v>0</v>
      </c>
      <c r="P12" s="835">
        <v>0</v>
      </c>
      <c r="Q12" s="859" t="s">
        <v>16</v>
      </c>
      <c r="R12" s="858" t="s">
        <v>16</v>
      </c>
      <c r="S12" s="841">
        <v>0</v>
      </c>
      <c r="U12" s="848">
        <f t="shared" si="3"/>
        <v>0</v>
      </c>
      <c r="V12" s="835">
        <f t="shared" si="4"/>
        <v>0</v>
      </c>
    </row>
    <row r="13" spans="1:22" ht="14.25" customHeight="1" thickBot="1">
      <c r="A13" s="3436"/>
      <c r="B13" s="932" t="s">
        <v>562</v>
      </c>
      <c r="C13" s="1880">
        <v>0</v>
      </c>
      <c r="D13" s="1881">
        <f t="shared" si="0"/>
        <v>0.19</v>
      </c>
      <c r="E13" s="937">
        <v>0</v>
      </c>
      <c r="F13" s="983">
        <v>0.2</v>
      </c>
      <c r="G13" s="937">
        <v>0</v>
      </c>
      <c r="H13" s="1882">
        <f>F13</f>
        <v>0.2</v>
      </c>
      <c r="I13" s="937">
        <v>0</v>
      </c>
      <c r="J13" s="983">
        <f>H13</f>
        <v>0.2</v>
      </c>
      <c r="K13" s="937">
        <v>0</v>
      </c>
      <c r="L13" s="1882">
        <f>J13</f>
        <v>0.2</v>
      </c>
      <c r="M13" s="937">
        <v>0</v>
      </c>
      <c r="N13" s="983">
        <f>L13</f>
        <v>0.2</v>
      </c>
      <c r="O13" s="937">
        <v>0</v>
      </c>
      <c r="P13" s="983">
        <v>0.2</v>
      </c>
      <c r="Q13" s="1883" t="s">
        <v>16</v>
      </c>
      <c r="R13" s="1884">
        <f t="shared" si="2"/>
        <v>0.05</v>
      </c>
      <c r="S13" s="938">
        <f>N13</f>
        <v>0.2</v>
      </c>
      <c r="U13" s="937">
        <f t="shared" si="3"/>
        <v>0</v>
      </c>
      <c r="V13" s="983">
        <f t="shared" si="4"/>
        <v>0.01</v>
      </c>
    </row>
    <row r="14" spans="1:22" ht="14.25" customHeight="1" thickTop="1" thickBot="1">
      <c r="A14" s="3437"/>
      <c r="B14" s="842" t="s">
        <v>18</v>
      </c>
      <c r="C14" s="973">
        <f>SUM(C4:C13)</f>
        <v>1911</v>
      </c>
      <c r="D14" s="852">
        <f>'Table 7'!E5</f>
        <v>2.99</v>
      </c>
      <c r="E14" s="850">
        <f t="shared" ref="E14:P14" si="5">SUM(E4:E13)</f>
        <v>1820</v>
      </c>
      <c r="F14" s="843">
        <f t="shared" si="5"/>
        <v>3.13</v>
      </c>
      <c r="G14" s="850">
        <f t="shared" si="5"/>
        <v>1829</v>
      </c>
      <c r="H14" s="852">
        <f t="shared" si="5"/>
        <v>3.18</v>
      </c>
      <c r="I14" s="850">
        <f t="shared" si="5"/>
        <v>1951</v>
      </c>
      <c r="J14" s="843">
        <f t="shared" si="5"/>
        <v>3.27</v>
      </c>
      <c r="K14" s="850">
        <f t="shared" si="5"/>
        <v>2006</v>
      </c>
      <c r="L14" s="852">
        <f t="shared" si="5"/>
        <v>3.39</v>
      </c>
      <c r="M14" s="850">
        <f t="shared" si="5"/>
        <v>2078</v>
      </c>
      <c r="N14" s="843">
        <f t="shared" si="5"/>
        <v>3.52</v>
      </c>
      <c r="O14" s="850">
        <f t="shared" si="5"/>
        <v>2098</v>
      </c>
      <c r="P14" s="843">
        <f t="shared" si="5"/>
        <v>3.56</v>
      </c>
      <c r="Q14" s="844">
        <f t="shared" si="1"/>
        <v>0.1</v>
      </c>
      <c r="R14" s="845">
        <f t="shared" si="2"/>
        <v>0.19</v>
      </c>
      <c r="S14" s="855">
        <f>SUM(S4:S13)</f>
        <v>5.44</v>
      </c>
      <c r="U14" s="850">
        <f t="shared" si="3"/>
        <v>187</v>
      </c>
      <c r="V14" s="843">
        <f t="shared" si="4"/>
        <v>0.56999999999999995</v>
      </c>
    </row>
    <row r="15" spans="1:22" ht="14.25" customHeight="1">
      <c r="A15" s="3435" t="s">
        <v>563</v>
      </c>
      <c r="B15" s="933" t="s">
        <v>553</v>
      </c>
      <c r="C15" s="971">
        <v>0</v>
      </c>
      <c r="D15" s="851">
        <f>(F15/$F$25)*$D$25</f>
        <v>0</v>
      </c>
      <c r="E15" s="847">
        <v>0</v>
      </c>
      <c r="F15" s="853">
        <v>0</v>
      </c>
      <c r="G15" s="847">
        <v>0</v>
      </c>
      <c r="H15" s="851">
        <v>0</v>
      </c>
      <c r="I15" s="847">
        <v>0</v>
      </c>
      <c r="J15" s="853">
        <v>0</v>
      </c>
      <c r="K15" s="847">
        <v>0</v>
      </c>
      <c r="L15" s="851">
        <v>0</v>
      </c>
      <c r="M15" s="847">
        <v>0</v>
      </c>
      <c r="N15" s="853">
        <v>0</v>
      </c>
      <c r="O15" s="847">
        <v>0</v>
      </c>
      <c r="P15" s="853">
        <v>0</v>
      </c>
      <c r="Q15" s="878" t="s">
        <v>16</v>
      </c>
      <c r="R15" s="879" t="s">
        <v>16</v>
      </c>
      <c r="S15" s="854">
        <v>0</v>
      </c>
      <c r="U15" s="847">
        <f t="shared" si="3"/>
        <v>0</v>
      </c>
      <c r="V15" s="853">
        <f t="shared" si="4"/>
        <v>0</v>
      </c>
    </row>
    <row r="16" spans="1:22" ht="14.25" customHeight="1">
      <c r="A16" s="3436"/>
      <c r="B16" s="931" t="s">
        <v>554</v>
      </c>
      <c r="C16" s="972">
        <v>592</v>
      </c>
      <c r="D16" s="836">
        <f t="shared" ref="D16:D24" si="6">(F16/$F$25)*$D$25</f>
        <v>1.43</v>
      </c>
      <c r="E16" s="848">
        <v>592</v>
      </c>
      <c r="F16" s="835">
        <v>1.32</v>
      </c>
      <c r="G16" s="848">
        <v>592</v>
      </c>
      <c r="H16" s="836">
        <v>1.33</v>
      </c>
      <c r="I16" s="848">
        <v>592</v>
      </c>
      <c r="J16" s="835">
        <v>1.32</v>
      </c>
      <c r="K16" s="848">
        <v>592</v>
      </c>
      <c r="L16" s="836">
        <v>1.35</v>
      </c>
      <c r="M16" s="848">
        <v>592</v>
      </c>
      <c r="N16" s="835">
        <v>1.35</v>
      </c>
      <c r="O16" s="848">
        <v>608</v>
      </c>
      <c r="P16" s="835">
        <v>1.38</v>
      </c>
      <c r="Q16" s="838">
        <f t="shared" si="1"/>
        <v>0.03</v>
      </c>
      <c r="R16" s="840">
        <f t="shared" si="2"/>
        <v>-0.03</v>
      </c>
      <c r="S16" s="841">
        <v>2.16</v>
      </c>
      <c r="U16" s="848">
        <f t="shared" si="3"/>
        <v>16</v>
      </c>
      <c r="V16" s="835">
        <f t="shared" si="4"/>
        <v>-0.05</v>
      </c>
    </row>
    <row r="17" spans="1:22" ht="14.25" customHeight="1">
      <c r="A17" s="3436"/>
      <c r="B17" s="931" t="s">
        <v>555</v>
      </c>
      <c r="C17" s="972">
        <v>0</v>
      </c>
      <c r="D17" s="836">
        <f t="shared" si="6"/>
        <v>0</v>
      </c>
      <c r="E17" s="848">
        <v>0</v>
      </c>
      <c r="F17" s="835">
        <v>0</v>
      </c>
      <c r="G17" s="848">
        <v>0</v>
      </c>
      <c r="H17" s="836">
        <v>0</v>
      </c>
      <c r="I17" s="848">
        <v>0</v>
      </c>
      <c r="J17" s="835">
        <v>0</v>
      </c>
      <c r="K17" s="848">
        <v>0</v>
      </c>
      <c r="L17" s="836">
        <v>0</v>
      </c>
      <c r="M17" s="848">
        <v>0</v>
      </c>
      <c r="N17" s="835">
        <v>0</v>
      </c>
      <c r="O17" s="848">
        <v>0</v>
      </c>
      <c r="P17" s="835">
        <v>0</v>
      </c>
      <c r="Q17" s="859" t="s">
        <v>16</v>
      </c>
      <c r="R17" s="858" t="s">
        <v>16</v>
      </c>
      <c r="S17" s="841">
        <v>0</v>
      </c>
      <c r="U17" s="848">
        <f t="shared" si="3"/>
        <v>0</v>
      </c>
      <c r="V17" s="835">
        <f t="shared" si="4"/>
        <v>0</v>
      </c>
    </row>
    <row r="18" spans="1:22" ht="14.25" customHeight="1">
      <c r="A18" s="3436"/>
      <c r="B18" s="931" t="s">
        <v>556</v>
      </c>
      <c r="C18" s="972">
        <v>424</v>
      </c>
      <c r="D18" s="836">
        <f t="shared" si="6"/>
        <v>0.57999999999999996</v>
      </c>
      <c r="E18" s="848">
        <v>459</v>
      </c>
      <c r="F18" s="835">
        <v>0.53</v>
      </c>
      <c r="G18" s="848">
        <v>509</v>
      </c>
      <c r="H18" s="836">
        <v>0.6</v>
      </c>
      <c r="I18" s="848">
        <v>525</v>
      </c>
      <c r="J18" s="835">
        <v>0.63</v>
      </c>
      <c r="K18" s="848">
        <v>609</v>
      </c>
      <c r="L18" s="836">
        <v>0.75</v>
      </c>
      <c r="M18" s="848">
        <v>655</v>
      </c>
      <c r="N18" s="835">
        <v>0.81</v>
      </c>
      <c r="O18" s="848">
        <v>716</v>
      </c>
      <c r="P18" s="835">
        <v>0.9</v>
      </c>
      <c r="Q18" s="838">
        <f t="shared" si="1"/>
        <v>0.69</v>
      </c>
      <c r="R18" s="840">
        <f t="shared" si="2"/>
        <v>0.55000000000000004</v>
      </c>
      <c r="S18" s="841">
        <v>1.17</v>
      </c>
      <c r="U18" s="848">
        <f t="shared" si="3"/>
        <v>292</v>
      </c>
      <c r="V18" s="835">
        <f t="shared" si="4"/>
        <v>0.32</v>
      </c>
    </row>
    <row r="19" spans="1:22" ht="14.25" customHeight="1">
      <c r="A19" s="3436"/>
      <c r="B19" s="931" t="s">
        <v>557</v>
      </c>
      <c r="C19" s="972">
        <v>5200</v>
      </c>
      <c r="D19" s="836">
        <f t="shared" si="6"/>
        <v>4.57</v>
      </c>
      <c r="E19" s="848">
        <v>5560</v>
      </c>
      <c r="F19" s="835">
        <v>4.21</v>
      </c>
      <c r="G19" s="848">
        <v>5605</v>
      </c>
      <c r="H19" s="836">
        <v>4.28</v>
      </c>
      <c r="I19" s="848">
        <v>5633</v>
      </c>
      <c r="J19" s="835">
        <v>4.34</v>
      </c>
      <c r="K19" s="848">
        <v>5671</v>
      </c>
      <c r="L19" s="836">
        <v>4.4400000000000004</v>
      </c>
      <c r="M19" s="848">
        <v>5722</v>
      </c>
      <c r="N19" s="835">
        <v>4.55</v>
      </c>
      <c r="O19" s="848">
        <v>5818</v>
      </c>
      <c r="P19" s="835">
        <v>4.68</v>
      </c>
      <c r="Q19" s="838">
        <f t="shared" si="1"/>
        <v>0.12</v>
      </c>
      <c r="R19" s="840">
        <f t="shared" si="2"/>
        <v>0.02</v>
      </c>
      <c r="S19" s="841">
        <v>5.94</v>
      </c>
      <c r="U19" s="848">
        <f t="shared" si="3"/>
        <v>618</v>
      </c>
      <c r="V19" s="835">
        <f t="shared" si="4"/>
        <v>0.11</v>
      </c>
    </row>
    <row r="20" spans="1:22" ht="14.25" customHeight="1">
      <c r="A20" s="3436"/>
      <c r="B20" s="931" t="s">
        <v>558</v>
      </c>
      <c r="C20" s="972">
        <v>895</v>
      </c>
      <c r="D20" s="836">
        <f t="shared" si="6"/>
        <v>2.1800000000000002</v>
      </c>
      <c r="E20" s="848">
        <v>831</v>
      </c>
      <c r="F20" s="835">
        <v>2.0099999999999998</v>
      </c>
      <c r="G20" s="848">
        <v>831</v>
      </c>
      <c r="H20" s="836">
        <v>2.02</v>
      </c>
      <c r="I20" s="848">
        <v>831</v>
      </c>
      <c r="J20" s="835">
        <v>2.02</v>
      </c>
      <c r="K20" s="848">
        <v>840</v>
      </c>
      <c r="L20" s="836">
        <v>2.0499999999999998</v>
      </c>
      <c r="M20" s="848">
        <v>840</v>
      </c>
      <c r="N20" s="835">
        <v>2.0699999999999998</v>
      </c>
      <c r="O20" s="848">
        <v>855</v>
      </c>
      <c r="P20" s="835">
        <v>2.11</v>
      </c>
      <c r="Q20" s="838">
        <f t="shared" si="1"/>
        <v>-0.04</v>
      </c>
      <c r="R20" s="840">
        <f t="shared" si="2"/>
        <v>-0.03</v>
      </c>
      <c r="S20" s="841">
        <v>2.39</v>
      </c>
      <c r="U20" s="848">
        <f t="shared" si="3"/>
        <v>-40</v>
      </c>
      <c r="V20" s="835">
        <f t="shared" si="4"/>
        <v>-7.0000000000000007E-2</v>
      </c>
    </row>
    <row r="21" spans="1:22" ht="14.25" customHeight="1">
      <c r="A21" s="3436"/>
      <c r="B21" s="931" t="s">
        <v>559</v>
      </c>
      <c r="C21" s="972">
        <v>2666</v>
      </c>
      <c r="D21" s="836">
        <f t="shared" si="6"/>
        <v>2.69</v>
      </c>
      <c r="E21" s="848">
        <v>2797</v>
      </c>
      <c r="F21" s="835">
        <v>2.48</v>
      </c>
      <c r="G21" s="848">
        <v>2868</v>
      </c>
      <c r="H21" s="836">
        <v>2.52</v>
      </c>
      <c r="I21" s="848">
        <v>2889</v>
      </c>
      <c r="J21" s="835">
        <v>2.5299999999999998</v>
      </c>
      <c r="K21" s="848">
        <v>2889</v>
      </c>
      <c r="L21" s="836">
        <v>2.5</v>
      </c>
      <c r="M21" s="848">
        <v>2912</v>
      </c>
      <c r="N21" s="835">
        <v>2.4900000000000002</v>
      </c>
      <c r="O21" s="848">
        <v>2912</v>
      </c>
      <c r="P21" s="835">
        <v>2.4700000000000002</v>
      </c>
      <c r="Q21" s="838">
        <f t="shared" si="1"/>
        <v>0.09</v>
      </c>
      <c r="R21" s="840">
        <f t="shared" si="2"/>
        <v>-0.08</v>
      </c>
      <c r="S21" s="841">
        <v>3.36</v>
      </c>
      <c r="U21" s="848">
        <f t="shared" si="3"/>
        <v>246</v>
      </c>
      <c r="V21" s="835">
        <f t="shared" si="4"/>
        <v>-0.22</v>
      </c>
    </row>
    <row r="22" spans="1:22" ht="14.25" customHeight="1">
      <c r="A22" s="3436"/>
      <c r="B22" s="931" t="s">
        <v>560</v>
      </c>
      <c r="C22" s="972">
        <v>0</v>
      </c>
      <c r="D22" s="836">
        <f t="shared" si="6"/>
        <v>0</v>
      </c>
      <c r="E22" s="848">
        <v>0</v>
      </c>
      <c r="F22" s="835">
        <v>0</v>
      </c>
      <c r="G22" s="848">
        <v>0</v>
      </c>
      <c r="H22" s="836">
        <v>0</v>
      </c>
      <c r="I22" s="848">
        <v>0</v>
      </c>
      <c r="J22" s="835">
        <v>0</v>
      </c>
      <c r="K22" s="848">
        <v>0</v>
      </c>
      <c r="L22" s="836">
        <v>0</v>
      </c>
      <c r="M22" s="848">
        <v>0</v>
      </c>
      <c r="N22" s="835">
        <v>0</v>
      </c>
      <c r="O22" s="848">
        <v>0</v>
      </c>
      <c r="P22" s="835">
        <v>0</v>
      </c>
      <c r="Q22" s="859" t="s">
        <v>16</v>
      </c>
      <c r="R22" s="858" t="s">
        <v>16</v>
      </c>
      <c r="S22" s="841">
        <v>0</v>
      </c>
      <c r="U22" s="848">
        <f t="shared" si="3"/>
        <v>0</v>
      </c>
      <c r="V22" s="835">
        <f t="shared" si="4"/>
        <v>0</v>
      </c>
    </row>
    <row r="23" spans="1:22" ht="14.25" customHeight="1">
      <c r="A23" s="3436"/>
      <c r="B23" s="931" t="s">
        <v>561</v>
      </c>
      <c r="C23" s="972">
        <v>0</v>
      </c>
      <c r="D23" s="836">
        <f t="shared" si="6"/>
        <v>0</v>
      </c>
      <c r="E23" s="848">
        <v>0</v>
      </c>
      <c r="F23" s="835">
        <v>0</v>
      </c>
      <c r="G23" s="848">
        <v>0</v>
      </c>
      <c r="H23" s="836">
        <v>0</v>
      </c>
      <c r="I23" s="848">
        <v>0</v>
      </c>
      <c r="J23" s="835">
        <v>0</v>
      </c>
      <c r="K23" s="848">
        <v>0</v>
      </c>
      <c r="L23" s="836">
        <v>0</v>
      </c>
      <c r="M23" s="848">
        <v>0</v>
      </c>
      <c r="N23" s="835">
        <v>0</v>
      </c>
      <c r="O23" s="848">
        <v>0</v>
      </c>
      <c r="P23" s="835">
        <v>0</v>
      </c>
      <c r="Q23" s="859" t="s">
        <v>16</v>
      </c>
      <c r="R23" s="858" t="s">
        <v>16</v>
      </c>
      <c r="S23" s="841">
        <v>0</v>
      </c>
      <c r="U23" s="848">
        <f t="shared" si="3"/>
        <v>0</v>
      </c>
      <c r="V23" s="835">
        <f t="shared" si="4"/>
        <v>0</v>
      </c>
    </row>
    <row r="24" spans="1:22" ht="14.25" customHeight="1" thickBot="1">
      <c r="A24" s="3436"/>
      <c r="B24" s="932" t="s">
        <v>562</v>
      </c>
      <c r="C24" s="1880">
        <v>0</v>
      </c>
      <c r="D24" s="1881">
        <f t="shared" si="6"/>
        <v>0.76</v>
      </c>
      <c r="E24" s="849">
        <v>0</v>
      </c>
      <c r="F24" s="1885">
        <v>0.7</v>
      </c>
      <c r="G24" s="849">
        <v>0</v>
      </c>
      <c r="H24" s="1881">
        <f>F24</f>
        <v>0.7</v>
      </c>
      <c r="I24" s="849">
        <v>0</v>
      </c>
      <c r="J24" s="1885">
        <f>H24</f>
        <v>0.7</v>
      </c>
      <c r="K24" s="849">
        <v>0</v>
      </c>
      <c r="L24" s="1881">
        <f>J24</f>
        <v>0.7</v>
      </c>
      <c r="M24" s="849">
        <v>0</v>
      </c>
      <c r="N24" s="1885">
        <f>L24</f>
        <v>0.7</v>
      </c>
      <c r="O24" s="849">
        <v>0</v>
      </c>
      <c r="P24" s="1885">
        <v>0.7</v>
      </c>
      <c r="Q24" s="1886" t="s">
        <v>16</v>
      </c>
      <c r="R24" s="1887">
        <f t="shared" si="2"/>
        <v>-0.08</v>
      </c>
      <c r="S24" s="846">
        <f>N24</f>
        <v>0.7</v>
      </c>
      <c r="U24" s="849">
        <f t="shared" si="3"/>
        <v>0</v>
      </c>
      <c r="V24" s="1885">
        <f t="shared" si="4"/>
        <v>-0.06</v>
      </c>
    </row>
    <row r="25" spans="1:22" ht="14.25" customHeight="1" thickTop="1" thickBot="1">
      <c r="A25" s="3437"/>
      <c r="B25" s="842" t="s">
        <v>18</v>
      </c>
      <c r="C25" s="973">
        <f>SUM(C15:C24)</f>
        <v>9777</v>
      </c>
      <c r="D25" s="852">
        <f>'Table 7'!E6</f>
        <v>12.22</v>
      </c>
      <c r="E25" s="850">
        <f t="shared" ref="E25:P25" si="7">SUM(E15:E24)</f>
        <v>10239</v>
      </c>
      <c r="F25" s="843">
        <f t="shared" si="7"/>
        <v>11.25</v>
      </c>
      <c r="G25" s="850">
        <f t="shared" si="7"/>
        <v>10405</v>
      </c>
      <c r="H25" s="852">
        <f t="shared" si="7"/>
        <v>11.45</v>
      </c>
      <c r="I25" s="850">
        <f t="shared" si="7"/>
        <v>10470</v>
      </c>
      <c r="J25" s="843">
        <f t="shared" si="7"/>
        <v>11.54</v>
      </c>
      <c r="K25" s="850">
        <f t="shared" si="7"/>
        <v>10601</v>
      </c>
      <c r="L25" s="852">
        <f t="shared" si="7"/>
        <v>11.79</v>
      </c>
      <c r="M25" s="850">
        <f t="shared" si="7"/>
        <v>10721</v>
      </c>
      <c r="N25" s="843">
        <f t="shared" si="7"/>
        <v>11.97</v>
      </c>
      <c r="O25" s="850">
        <f t="shared" si="7"/>
        <v>10909</v>
      </c>
      <c r="P25" s="843">
        <f t="shared" si="7"/>
        <v>12.24</v>
      </c>
      <c r="Q25" s="844">
        <f t="shared" si="1"/>
        <v>0.12</v>
      </c>
      <c r="R25" s="845">
        <f t="shared" si="2"/>
        <v>0</v>
      </c>
      <c r="S25" s="855">
        <f>SUM(S15:S24)</f>
        <v>15.72</v>
      </c>
      <c r="U25" s="850">
        <f t="shared" si="3"/>
        <v>1132</v>
      </c>
      <c r="V25" s="843">
        <f t="shared" si="4"/>
        <v>0.02</v>
      </c>
    </row>
    <row r="26" spans="1:22" ht="14.25" customHeight="1">
      <c r="A26" s="3435" t="s">
        <v>564</v>
      </c>
      <c r="B26" s="933" t="s">
        <v>553</v>
      </c>
      <c r="C26" s="971">
        <f t="shared" ref="C26:D36" si="8">C4+C15</f>
        <v>20</v>
      </c>
      <c r="D26" s="851">
        <f t="shared" si="8"/>
        <v>0</v>
      </c>
      <c r="E26" s="847">
        <f t="shared" ref="E26:N26" si="9">E4+E15</f>
        <v>0</v>
      </c>
      <c r="F26" s="853">
        <f t="shared" si="9"/>
        <v>0</v>
      </c>
      <c r="G26" s="847">
        <f t="shared" si="9"/>
        <v>0</v>
      </c>
      <c r="H26" s="851">
        <f t="shared" si="9"/>
        <v>0</v>
      </c>
      <c r="I26" s="847">
        <f t="shared" si="9"/>
        <v>0</v>
      </c>
      <c r="J26" s="853">
        <f t="shared" si="9"/>
        <v>0</v>
      </c>
      <c r="K26" s="847">
        <f t="shared" si="9"/>
        <v>0</v>
      </c>
      <c r="L26" s="851">
        <f t="shared" si="9"/>
        <v>0</v>
      </c>
      <c r="M26" s="847">
        <f t="shared" si="9"/>
        <v>0</v>
      </c>
      <c r="N26" s="853">
        <f t="shared" si="9"/>
        <v>0</v>
      </c>
      <c r="O26" s="847">
        <f t="shared" ref="O26:P26" si="10">O4+O15</f>
        <v>0</v>
      </c>
      <c r="P26" s="853">
        <f t="shared" si="10"/>
        <v>0</v>
      </c>
      <c r="Q26" s="837">
        <f t="shared" si="1"/>
        <v>-1</v>
      </c>
      <c r="R26" s="879" t="s">
        <v>16</v>
      </c>
      <c r="S26" s="854">
        <f t="shared" ref="S26:S36" si="11">S4+S15</f>
        <v>0</v>
      </c>
      <c r="U26" s="847">
        <f t="shared" si="3"/>
        <v>-20</v>
      </c>
      <c r="V26" s="853">
        <f t="shared" si="4"/>
        <v>0</v>
      </c>
    </row>
    <row r="27" spans="1:22" ht="14.25" customHeight="1">
      <c r="A27" s="3436"/>
      <c r="B27" s="931" t="s">
        <v>554</v>
      </c>
      <c r="C27" s="972">
        <f t="shared" si="8"/>
        <v>1708</v>
      </c>
      <c r="D27" s="836">
        <f t="shared" si="8"/>
        <v>3.6</v>
      </c>
      <c r="E27" s="848">
        <f t="shared" ref="E27:N28" si="12">E5+E16</f>
        <v>1710</v>
      </c>
      <c r="F27" s="835">
        <f t="shared" si="12"/>
        <v>3.59</v>
      </c>
      <c r="G27" s="848">
        <f t="shared" si="12"/>
        <v>1710</v>
      </c>
      <c r="H27" s="836">
        <f t="shared" si="12"/>
        <v>3.64</v>
      </c>
      <c r="I27" s="848">
        <f t="shared" si="12"/>
        <v>1710</v>
      </c>
      <c r="J27" s="835">
        <f t="shared" si="12"/>
        <v>3.64</v>
      </c>
      <c r="K27" s="848">
        <f t="shared" si="12"/>
        <v>1719</v>
      </c>
      <c r="L27" s="836">
        <f t="shared" si="12"/>
        <v>3.73</v>
      </c>
      <c r="M27" s="848">
        <f t="shared" si="12"/>
        <v>1719</v>
      </c>
      <c r="N27" s="835">
        <f t="shared" si="12"/>
        <v>3.74</v>
      </c>
      <c r="O27" s="848">
        <f t="shared" ref="O27:P27" si="13">O5+O16</f>
        <v>1735</v>
      </c>
      <c r="P27" s="835">
        <f t="shared" si="13"/>
        <v>3.77</v>
      </c>
      <c r="Q27" s="838">
        <f t="shared" si="1"/>
        <v>0.02</v>
      </c>
      <c r="R27" s="840">
        <f t="shared" si="2"/>
        <v>0.05</v>
      </c>
      <c r="S27" s="841">
        <f t="shared" si="11"/>
        <v>5.61</v>
      </c>
      <c r="U27" s="848">
        <f t="shared" si="3"/>
        <v>27</v>
      </c>
      <c r="V27" s="835">
        <f t="shared" si="4"/>
        <v>0.17</v>
      </c>
    </row>
    <row r="28" spans="1:22" ht="14.25" customHeight="1">
      <c r="A28" s="3436"/>
      <c r="B28" s="931" t="s">
        <v>555</v>
      </c>
      <c r="C28" s="972">
        <f t="shared" si="8"/>
        <v>0</v>
      </c>
      <c r="D28" s="836">
        <f t="shared" si="8"/>
        <v>0</v>
      </c>
      <c r="E28" s="848">
        <f t="shared" si="12"/>
        <v>0</v>
      </c>
      <c r="F28" s="835">
        <f t="shared" si="12"/>
        <v>0</v>
      </c>
      <c r="G28" s="848">
        <f t="shared" si="12"/>
        <v>0</v>
      </c>
      <c r="H28" s="836">
        <f t="shared" si="12"/>
        <v>0</v>
      </c>
      <c r="I28" s="848">
        <f t="shared" si="12"/>
        <v>0</v>
      </c>
      <c r="J28" s="835">
        <f t="shared" si="12"/>
        <v>0</v>
      </c>
      <c r="K28" s="848">
        <f t="shared" si="12"/>
        <v>0</v>
      </c>
      <c r="L28" s="836">
        <f t="shared" si="12"/>
        <v>0</v>
      </c>
      <c r="M28" s="848">
        <f t="shared" si="12"/>
        <v>0</v>
      </c>
      <c r="N28" s="835">
        <f t="shared" si="12"/>
        <v>0</v>
      </c>
      <c r="O28" s="848">
        <f t="shared" ref="O28:P28" si="14">O6+O17</f>
        <v>0</v>
      </c>
      <c r="P28" s="835">
        <f t="shared" si="14"/>
        <v>0</v>
      </c>
      <c r="Q28" s="859" t="s">
        <v>16</v>
      </c>
      <c r="R28" s="858" t="s">
        <v>16</v>
      </c>
      <c r="S28" s="841">
        <f t="shared" si="11"/>
        <v>0</v>
      </c>
      <c r="U28" s="848">
        <f t="shared" si="3"/>
        <v>0</v>
      </c>
      <c r="V28" s="835">
        <f t="shared" si="4"/>
        <v>0</v>
      </c>
    </row>
    <row r="29" spans="1:22" ht="14.25" customHeight="1">
      <c r="A29" s="3436"/>
      <c r="B29" s="931" t="s">
        <v>556</v>
      </c>
      <c r="C29" s="972">
        <f t="shared" si="8"/>
        <v>533</v>
      </c>
      <c r="D29" s="836">
        <f t="shared" si="8"/>
        <v>0.69</v>
      </c>
      <c r="E29" s="848">
        <f t="shared" ref="E29:N29" si="15">E7+E18</f>
        <v>549</v>
      </c>
      <c r="F29" s="835">
        <f t="shared" si="15"/>
        <v>0.64</v>
      </c>
      <c r="G29" s="848">
        <f t="shared" si="15"/>
        <v>608</v>
      </c>
      <c r="H29" s="836">
        <f t="shared" si="15"/>
        <v>0.72</v>
      </c>
      <c r="I29" s="848">
        <f t="shared" si="15"/>
        <v>624</v>
      </c>
      <c r="J29" s="835">
        <f t="shared" si="15"/>
        <v>0.75</v>
      </c>
      <c r="K29" s="848">
        <f t="shared" si="15"/>
        <v>746</v>
      </c>
      <c r="L29" s="836">
        <f t="shared" si="15"/>
        <v>0.92</v>
      </c>
      <c r="M29" s="848">
        <f t="shared" si="15"/>
        <v>837</v>
      </c>
      <c r="N29" s="835">
        <f t="shared" si="15"/>
        <v>1.04</v>
      </c>
      <c r="O29" s="848">
        <f t="shared" ref="O29:P29" si="16">O7+O18</f>
        <v>918</v>
      </c>
      <c r="P29" s="835">
        <f t="shared" si="16"/>
        <v>1.1599999999999999</v>
      </c>
      <c r="Q29" s="838">
        <f t="shared" si="1"/>
        <v>0.72</v>
      </c>
      <c r="R29" s="840">
        <f t="shared" si="2"/>
        <v>0.68</v>
      </c>
      <c r="S29" s="841">
        <f t="shared" si="11"/>
        <v>1.51</v>
      </c>
      <c r="U29" s="848">
        <f t="shared" si="3"/>
        <v>385</v>
      </c>
      <c r="V29" s="835">
        <f t="shared" si="4"/>
        <v>0.47</v>
      </c>
    </row>
    <row r="30" spans="1:22" ht="14.25" customHeight="1">
      <c r="A30" s="3436"/>
      <c r="B30" s="931" t="s">
        <v>557</v>
      </c>
      <c r="C30" s="972">
        <f t="shared" si="8"/>
        <v>5446</v>
      </c>
      <c r="D30" s="836">
        <f t="shared" si="8"/>
        <v>4.68</v>
      </c>
      <c r="E30" s="848">
        <f t="shared" ref="E30:N30" si="17">E8+E19</f>
        <v>5807</v>
      </c>
      <c r="F30" s="835">
        <f t="shared" si="17"/>
        <v>4.32</v>
      </c>
      <c r="G30" s="848">
        <f t="shared" si="17"/>
        <v>5852</v>
      </c>
      <c r="H30" s="836">
        <f t="shared" si="17"/>
        <v>4.4000000000000004</v>
      </c>
      <c r="I30" s="848">
        <f t="shared" si="17"/>
        <v>6002</v>
      </c>
      <c r="J30" s="835">
        <f t="shared" si="17"/>
        <v>4.55</v>
      </c>
      <c r="K30" s="848">
        <f t="shared" si="17"/>
        <v>6048</v>
      </c>
      <c r="L30" s="836">
        <f t="shared" si="17"/>
        <v>4.66</v>
      </c>
      <c r="M30" s="848">
        <f t="shared" si="17"/>
        <v>6099</v>
      </c>
      <c r="N30" s="835">
        <f t="shared" si="17"/>
        <v>4.78</v>
      </c>
      <c r="O30" s="848">
        <f t="shared" ref="O30:P30" si="18">O8+O19</f>
        <v>6195</v>
      </c>
      <c r="P30" s="835">
        <f t="shared" si="18"/>
        <v>4.91</v>
      </c>
      <c r="Q30" s="838">
        <f t="shared" si="1"/>
        <v>0.14000000000000001</v>
      </c>
      <c r="R30" s="840">
        <f t="shared" si="2"/>
        <v>0.05</v>
      </c>
      <c r="S30" s="841">
        <f t="shared" si="11"/>
        <v>6.28</v>
      </c>
      <c r="U30" s="848">
        <f t="shared" si="3"/>
        <v>749</v>
      </c>
      <c r="V30" s="835">
        <f t="shared" si="4"/>
        <v>0.23</v>
      </c>
    </row>
    <row r="31" spans="1:22" ht="14.25" customHeight="1">
      <c r="A31" s="3436"/>
      <c r="B31" s="931" t="s">
        <v>558</v>
      </c>
      <c r="C31" s="972">
        <f t="shared" si="8"/>
        <v>954</v>
      </c>
      <c r="D31" s="836">
        <f t="shared" si="8"/>
        <v>2.3199999999999998</v>
      </c>
      <c r="E31" s="848">
        <f t="shared" ref="E31:N32" si="19">E9+E20</f>
        <v>885</v>
      </c>
      <c r="F31" s="835">
        <f t="shared" si="19"/>
        <v>2.16</v>
      </c>
      <c r="G31" s="848">
        <f t="shared" si="19"/>
        <v>885</v>
      </c>
      <c r="H31" s="836">
        <f t="shared" si="19"/>
        <v>2.17</v>
      </c>
      <c r="I31" s="848">
        <f t="shared" si="19"/>
        <v>885</v>
      </c>
      <c r="J31" s="835">
        <f t="shared" si="19"/>
        <v>2.17</v>
      </c>
      <c r="K31" s="848">
        <f t="shared" si="19"/>
        <v>894</v>
      </c>
      <c r="L31" s="836">
        <f t="shared" si="19"/>
        <v>2.21</v>
      </c>
      <c r="M31" s="848">
        <f t="shared" si="19"/>
        <v>921</v>
      </c>
      <c r="N31" s="835">
        <f t="shared" si="19"/>
        <v>2.29</v>
      </c>
      <c r="O31" s="848">
        <f t="shared" ref="O31:P31" si="20">O9+O20</f>
        <v>936</v>
      </c>
      <c r="P31" s="835">
        <f t="shared" si="20"/>
        <v>2.34</v>
      </c>
      <c r="Q31" s="838">
        <f t="shared" si="1"/>
        <v>-0.02</v>
      </c>
      <c r="R31" s="840">
        <f t="shared" si="2"/>
        <v>0.01</v>
      </c>
      <c r="S31" s="841">
        <f t="shared" si="11"/>
        <v>2.65</v>
      </c>
      <c r="U31" s="848">
        <f t="shared" si="3"/>
        <v>-18</v>
      </c>
      <c r="V31" s="835">
        <f t="shared" si="4"/>
        <v>0.02</v>
      </c>
    </row>
    <row r="32" spans="1:22" ht="14.25" customHeight="1">
      <c r="A32" s="3436"/>
      <c r="B32" s="931" t="s">
        <v>559</v>
      </c>
      <c r="C32" s="972">
        <f t="shared" si="8"/>
        <v>3027</v>
      </c>
      <c r="D32" s="836">
        <f t="shared" si="8"/>
        <v>2.97</v>
      </c>
      <c r="E32" s="848">
        <f t="shared" si="19"/>
        <v>3108</v>
      </c>
      <c r="F32" s="835">
        <f t="shared" si="19"/>
        <v>2.77</v>
      </c>
      <c r="G32" s="848">
        <f t="shared" si="19"/>
        <v>3179</v>
      </c>
      <c r="H32" s="836">
        <f t="shared" si="19"/>
        <v>2.8</v>
      </c>
      <c r="I32" s="848">
        <f t="shared" si="19"/>
        <v>3200</v>
      </c>
      <c r="J32" s="835">
        <f t="shared" si="19"/>
        <v>2.8</v>
      </c>
      <c r="K32" s="848">
        <f t="shared" si="19"/>
        <v>3200</v>
      </c>
      <c r="L32" s="836">
        <f t="shared" si="19"/>
        <v>2.76</v>
      </c>
      <c r="M32" s="848">
        <f t="shared" si="19"/>
        <v>3223</v>
      </c>
      <c r="N32" s="835">
        <f t="shared" si="19"/>
        <v>2.74</v>
      </c>
      <c r="O32" s="848">
        <f t="shared" ref="O32:P32" si="21">O10+O21</f>
        <v>3223</v>
      </c>
      <c r="P32" s="835">
        <f t="shared" si="21"/>
        <v>2.72</v>
      </c>
      <c r="Q32" s="838">
        <f t="shared" si="1"/>
        <v>0.06</v>
      </c>
      <c r="R32" s="840">
        <f t="shared" si="2"/>
        <v>-0.08</v>
      </c>
      <c r="S32" s="841">
        <f t="shared" si="11"/>
        <v>3.76</v>
      </c>
      <c r="U32" s="848">
        <f t="shared" si="3"/>
        <v>196</v>
      </c>
      <c r="V32" s="835">
        <f t="shared" si="4"/>
        <v>-0.25</v>
      </c>
    </row>
    <row r="33" spans="1:22" ht="14.25" customHeight="1">
      <c r="A33" s="3436"/>
      <c r="B33" s="931" t="s">
        <v>560</v>
      </c>
      <c r="C33" s="972">
        <f t="shared" si="8"/>
        <v>0</v>
      </c>
      <c r="D33" s="836">
        <f t="shared" si="8"/>
        <v>0</v>
      </c>
      <c r="E33" s="848">
        <f t="shared" ref="E33:N33" si="22">E11+E22</f>
        <v>0</v>
      </c>
      <c r="F33" s="835">
        <f t="shared" si="22"/>
        <v>0</v>
      </c>
      <c r="G33" s="848">
        <f t="shared" si="22"/>
        <v>0</v>
      </c>
      <c r="H33" s="836">
        <f t="shared" si="22"/>
        <v>0</v>
      </c>
      <c r="I33" s="848">
        <f t="shared" si="22"/>
        <v>0</v>
      </c>
      <c r="J33" s="835">
        <f t="shared" si="22"/>
        <v>0</v>
      </c>
      <c r="K33" s="848">
        <f t="shared" si="22"/>
        <v>0</v>
      </c>
      <c r="L33" s="836">
        <f t="shared" si="22"/>
        <v>0</v>
      </c>
      <c r="M33" s="848">
        <f t="shared" si="22"/>
        <v>0</v>
      </c>
      <c r="N33" s="835">
        <f t="shared" si="22"/>
        <v>0</v>
      </c>
      <c r="O33" s="848">
        <f t="shared" ref="O33:P33" si="23">O11+O22</f>
        <v>0</v>
      </c>
      <c r="P33" s="835">
        <f t="shared" si="23"/>
        <v>0</v>
      </c>
      <c r="Q33" s="859" t="s">
        <v>16</v>
      </c>
      <c r="R33" s="858" t="s">
        <v>16</v>
      </c>
      <c r="S33" s="841">
        <f t="shared" si="11"/>
        <v>0.45</v>
      </c>
      <c r="U33" s="848">
        <f t="shared" si="3"/>
        <v>0</v>
      </c>
      <c r="V33" s="835">
        <f t="shared" si="4"/>
        <v>0</v>
      </c>
    </row>
    <row r="34" spans="1:22" ht="14.25" customHeight="1">
      <c r="A34" s="3436"/>
      <c r="B34" s="931" t="s">
        <v>561</v>
      </c>
      <c r="C34" s="972">
        <f t="shared" si="8"/>
        <v>0</v>
      </c>
      <c r="D34" s="836">
        <f t="shared" si="8"/>
        <v>0</v>
      </c>
      <c r="E34" s="848">
        <f t="shared" ref="E34:N34" si="24">E12+E23</f>
        <v>0</v>
      </c>
      <c r="F34" s="835">
        <f t="shared" si="24"/>
        <v>0</v>
      </c>
      <c r="G34" s="848">
        <f t="shared" si="24"/>
        <v>0</v>
      </c>
      <c r="H34" s="836">
        <f t="shared" si="24"/>
        <v>0</v>
      </c>
      <c r="I34" s="848">
        <f t="shared" si="24"/>
        <v>0</v>
      </c>
      <c r="J34" s="835">
        <f t="shared" si="24"/>
        <v>0</v>
      </c>
      <c r="K34" s="848">
        <f t="shared" si="24"/>
        <v>0</v>
      </c>
      <c r="L34" s="836">
        <f t="shared" si="24"/>
        <v>0</v>
      </c>
      <c r="M34" s="848">
        <f t="shared" si="24"/>
        <v>0</v>
      </c>
      <c r="N34" s="835">
        <f t="shared" si="24"/>
        <v>0</v>
      </c>
      <c r="O34" s="848">
        <f t="shared" ref="O34:P34" si="25">O12+O23</f>
        <v>0</v>
      </c>
      <c r="P34" s="835">
        <f t="shared" si="25"/>
        <v>0</v>
      </c>
      <c r="Q34" s="859" t="s">
        <v>16</v>
      </c>
      <c r="R34" s="858" t="s">
        <v>16</v>
      </c>
      <c r="S34" s="841">
        <f t="shared" si="11"/>
        <v>0</v>
      </c>
      <c r="U34" s="848">
        <f t="shared" si="3"/>
        <v>0</v>
      </c>
      <c r="V34" s="835">
        <f t="shared" si="4"/>
        <v>0</v>
      </c>
    </row>
    <row r="35" spans="1:22" ht="14.25" customHeight="1" thickBot="1">
      <c r="A35" s="3436"/>
      <c r="B35" s="932" t="s">
        <v>562</v>
      </c>
      <c r="C35" s="1880">
        <f t="shared" si="8"/>
        <v>0</v>
      </c>
      <c r="D35" s="1881">
        <f t="shared" si="8"/>
        <v>0.95</v>
      </c>
      <c r="E35" s="849">
        <f t="shared" ref="E35:N35" si="26">E13+E24</f>
        <v>0</v>
      </c>
      <c r="F35" s="1885">
        <f t="shared" si="26"/>
        <v>0.9</v>
      </c>
      <c r="G35" s="849">
        <f t="shared" si="26"/>
        <v>0</v>
      </c>
      <c r="H35" s="1881">
        <f t="shared" si="26"/>
        <v>0.9</v>
      </c>
      <c r="I35" s="849">
        <f t="shared" si="26"/>
        <v>0</v>
      </c>
      <c r="J35" s="1885">
        <f t="shared" si="26"/>
        <v>0.9</v>
      </c>
      <c r="K35" s="849">
        <f t="shared" si="26"/>
        <v>0</v>
      </c>
      <c r="L35" s="1881">
        <f t="shared" si="26"/>
        <v>0.9</v>
      </c>
      <c r="M35" s="849">
        <f t="shared" si="26"/>
        <v>0</v>
      </c>
      <c r="N35" s="1885">
        <f t="shared" si="26"/>
        <v>0.9</v>
      </c>
      <c r="O35" s="849">
        <f t="shared" ref="O35:P35" si="27">O13+O24</f>
        <v>0</v>
      </c>
      <c r="P35" s="1885">
        <f t="shared" si="27"/>
        <v>0.9</v>
      </c>
      <c r="Q35" s="1886" t="s">
        <v>16</v>
      </c>
      <c r="R35" s="1887">
        <f t="shared" si="2"/>
        <v>-0.05</v>
      </c>
      <c r="S35" s="846">
        <f t="shared" si="11"/>
        <v>0.9</v>
      </c>
      <c r="U35" s="849">
        <f t="shared" si="3"/>
        <v>0</v>
      </c>
      <c r="V35" s="1885">
        <f t="shared" si="4"/>
        <v>-0.05</v>
      </c>
    </row>
    <row r="36" spans="1:22" ht="14.25" customHeight="1" thickTop="1" thickBot="1">
      <c r="A36" s="3437"/>
      <c r="B36" s="842" t="s">
        <v>18</v>
      </c>
      <c r="C36" s="973">
        <f t="shared" si="8"/>
        <v>11688</v>
      </c>
      <c r="D36" s="852">
        <f t="shared" si="8"/>
        <v>15.21</v>
      </c>
      <c r="E36" s="850">
        <f t="shared" ref="E36:N36" si="28">E14+E25</f>
        <v>12059</v>
      </c>
      <c r="F36" s="843">
        <f t="shared" si="28"/>
        <v>14.38</v>
      </c>
      <c r="G36" s="850">
        <f t="shared" si="28"/>
        <v>12234</v>
      </c>
      <c r="H36" s="852">
        <f t="shared" si="28"/>
        <v>14.63</v>
      </c>
      <c r="I36" s="850">
        <f t="shared" si="28"/>
        <v>12421</v>
      </c>
      <c r="J36" s="843">
        <f t="shared" si="28"/>
        <v>14.81</v>
      </c>
      <c r="K36" s="850">
        <f t="shared" si="28"/>
        <v>12607</v>
      </c>
      <c r="L36" s="852">
        <f t="shared" si="28"/>
        <v>15.18</v>
      </c>
      <c r="M36" s="850">
        <f t="shared" si="28"/>
        <v>12799</v>
      </c>
      <c r="N36" s="843">
        <f t="shared" si="28"/>
        <v>15.49</v>
      </c>
      <c r="O36" s="850">
        <f t="shared" ref="O36:P36" si="29">O14+O25</f>
        <v>13007</v>
      </c>
      <c r="P36" s="843">
        <f t="shared" si="29"/>
        <v>15.8</v>
      </c>
      <c r="Q36" s="844">
        <f t="shared" si="1"/>
        <v>0.11</v>
      </c>
      <c r="R36" s="845">
        <f t="shared" si="2"/>
        <v>0.04</v>
      </c>
      <c r="S36" s="855">
        <f t="shared" si="11"/>
        <v>21.16</v>
      </c>
      <c r="U36" s="850">
        <f t="shared" si="3"/>
        <v>1319</v>
      </c>
      <c r="V36" s="843">
        <f t="shared" si="4"/>
        <v>0.59</v>
      </c>
    </row>
    <row r="37" spans="1:22" ht="14.1" customHeight="1">
      <c r="A37" s="3435" t="s">
        <v>565</v>
      </c>
      <c r="B37" s="933" t="s">
        <v>553</v>
      </c>
      <c r="C37" s="971">
        <v>0</v>
      </c>
      <c r="D37" s="851">
        <f>(F37/$F$47)*$D$47</f>
        <v>0</v>
      </c>
      <c r="E37" s="847">
        <v>0</v>
      </c>
      <c r="F37" s="853">
        <v>0</v>
      </c>
      <c r="G37" s="847">
        <v>0</v>
      </c>
      <c r="H37" s="851">
        <v>0</v>
      </c>
      <c r="I37" s="847">
        <v>0</v>
      </c>
      <c r="J37" s="853">
        <v>0</v>
      </c>
      <c r="K37" s="847">
        <v>0</v>
      </c>
      <c r="L37" s="851">
        <v>0</v>
      </c>
      <c r="M37" s="847">
        <v>0</v>
      </c>
      <c r="N37" s="853">
        <v>0</v>
      </c>
      <c r="O37" s="847">
        <v>0</v>
      </c>
      <c r="P37" s="853">
        <v>0</v>
      </c>
      <c r="Q37" s="878" t="s">
        <v>16</v>
      </c>
      <c r="R37" s="879" t="s">
        <v>16</v>
      </c>
      <c r="S37" s="854">
        <v>0</v>
      </c>
      <c r="U37" s="847">
        <f t="shared" si="3"/>
        <v>0</v>
      </c>
      <c r="V37" s="853">
        <f t="shared" si="4"/>
        <v>0</v>
      </c>
    </row>
    <row r="38" spans="1:22" ht="14.1" customHeight="1">
      <c r="A38" s="3436"/>
      <c r="B38" s="931" t="s">
        <v>554</v>
      </c>
      <c r="C38" s="972">
        <v>5</v>
      </c>
      <c r="D38" s="836">
        <f t="shared" ref="D38:D46" si="30">(F38/$F$47)*$D$47</f>
        <v>0.01</v>
      </c>
      <c r="E38" s="848">
        <v>5</v>
      </c>
      <c r="F38" s="835">
        <v>0.01</v>
      </c>
      <c r="G38" s="848">
        <v>5</v>
      </c>
      <c r="H38" s="836">
        <v>0.01</v>
      </c>
      <c r="I38" s="848">
        <v>5</v>
      </c>
      <c r="J38" s="835">
        <v>0.01</v>
      </c>
      <c r="K38" s="848">
        <v>5</v>
      </c>
      <c r="L38" s="836">
        <v>0.01</v>
      </c>
      <c r="M38" s="848">
        <v>5</v>
      </c>
      <c r="N38" s="835">
        <v>0.01</v>
      </c>
      <c r="O38" s="848">
        <v>5</v>
      </c>
      <c r="P38" s="835">
        <v>0.01</v>
      </c>
      <c r="Q38" s="859">
        <f t="shared" si="1"/>
        <v>0</v>
      </c>
      <c r="R38" s="858">
        <f t="shared" si="2"/>
        <v>0</v>
      </c>
      <c r="S38" s="841">
        <v>0.02</v>
      </c>
      <c r="U38" s="848">
        <f t="shared" si="3"/>
        <v>0</v>
      </c>
      <c r="V38" s="835">
        <f t="shared" si="4"/>
        <v>0</v>
      </c>
    </row>
    <row r="39" spans="1:22" ht="14.1" customHeight="1">
      <c r="A39" s="3436"/>
      <c r="B39" s="931" t="s">
        <v>555</v>
      </c>
      <c r="C39" s="972">
        <v>0</v>
      </c>
      <c r="D39" s="836">
        <f t="shared" si="30"/>
        <v>0</v>
      </c>
      <c r="E39" s="848">
        <v>0</v>
      </c>
      <c r="F39" s="835">
        <v>0</v>
      </c>
      <c r="G39" s="848">
        <v>0</v>
      </c>
      <c r="H39" s="836">
        <v>0</v>
      </c>
      <c r="I39" s="848">
        <v>0</v>
      </c>
      <c r="J39" s="835">
        <v>0</v>
      </c>
      <c r="K39" s="848">
        <v>0</v>
      </c>
      <c r="L39" s="836">
        <v>0</v>
      </c>
      <c r="M39" s="848">
        <v>0</v>
      </c>
      <c r="N39" s="835">
        <v>0</v>
      </c>
      <c r="O39" s="848">
        <v>0</v>
      </c>
      <c r="P39" s="835">
        <v>0</v>
      </c>
      <c r="Q39" s="859" t="s">
        <v>16</v>
      </c>
      <c r="R39" s="858" t="s">
        <v>16</v>
      </c>
      <c r="S39" s="841">
        <v>0</v>
      </c>
      <c r="U39" s="848">
        <f t="shared" si="3"/>
        <v>0</v>
      </c>
      <c r="V39" s="835">
        <f t="shared" si="4"/>
        <v>0</v>
      </c>
    </row>
    <row r="40" spans="1:22" ht="14.1" customHeight="1">
      <c r="A40" s="3436"/>
      <c r="B40" s="931" t="s">
        <v>556</v>
      </c>
      <c r="C40" s="972">
        <v>45</v>
      </c>
      <c r="D40" s="836">
        <f t="shared" si="30"/>
        <v>0.04</v>
      </c>
      <c r="E40" s="848">
        <v>45</v>
      </c>
      <c r="F40" s="835">
        <v>0.05</v>
      </c>
      <c r="G40" s="848">
        <v>45</v>
      </c>
      <c r="H40" s="836">
        <v>0.05</v>
      </c>
      <c r="I40" s="848">
        <v>45</v>
      </c>
      <c r="J40" s="835">
        <v>0.06</v>
      </c>
      <c r="K40" s="848">
        <v>45</v>
      </c>
      <c r="L40" s="836">
        <v>0.06</v>
      </c>
      <c r="M40" s="848">
        <v>45</v>
      </c>
      <c r="N40" s="835">
        <v>0.06</v>
      </c>
      <c r="O40" s="848">
        <v>45</v>
      </c>
      <c r="P40" s="835">
        <v>0.06</v>
      </c>
      <c r="Q40" s="859">
        <f t="shared" si="1"/>
        <v>0</v>
      </c>
      <c r="R40" s="858">
        <f t="shared" si="2"/>
        <v>0.5</v>
      </c>
      <c r="S40" s="841">
        <v>0.08</v>
      </c>
      <c r="U40" s="848">
        <f t="shared" si="3"/>
        <v>0</v>
      </c>
      <c r="V40" s="835">
        <f t="shared" si="4"/>
        <v>0.02</v>
      </c>
    </row>
    <row r="41" spans="1:22" ht="14.1" customHeight="1">
      <c r="A41" s="3436"/>
      <c r="B41" s="931" t="s">
        <v>557</v>
      </c>
      <c r="C41" s="972">
        <v>14</v>
      </c>
      <c r="D41" s="836">
        <f t="shared" si="30"/>
        <v>0.02</v>
      </c>
      <c r="E41" s="848">
        <v>14</v>
      </c>
      <c r="F41" s="835">
        <v>0.02</v>
      </c>
      <c r="G41" s="848">
        <v>14</v>
      </c>
      <c r="H41" s="836">
        <v>0.02</v>
      </c>
      <c r="I41" s="848">
        <v>14</v>
      </c>
      <c r="J41" s="835">
        <v>0.02</v>
      </c>
      <c r="K41" s="848">
        <v>14</v>
      </c>
      <c r="L41" s="836">
        <v>0.02</v>
      </c>
      <c r="M41" s="848">
        <v>14</v>
      </c>
      <c r="N41" s="835">
        <v>0.02</v>
      </c>
      <c r="O41" s="848">
        <v>14</v>
      </c>
      <c r="P41" s="835">
        <v>0.02</v>
      </c>
      <c r="Q41" s="838">
        <f t="shared" si="1"/>
        <v>0</v>
      </c>
      <c r="R41" s="840">
        <f t="shared" si="2"/>
        <v>0</v>
      </c>
      <c r="S41" s="841">
        <v>0.03</v>
      </c>
      <c r="U41" s="848">
        <f t="shared" si="3"/>
        <v>0</v>
      </c>
      <c r="V41" s="835">
        <f t="shared" si="4"/>
        <v>0</v>
      </c>
    </row>
    <row r="42" spans="1:22" ht="14.1" customHeight="1">
      <c r="A42" s="3436"/>
      <c r="B42" s="931" t="s">
        <v>558</v>
      </c>
      <c r="C42" s="972">
        <v>134</v>
      </c>
      <c r="D42" s="836">
        <f t="shared" si="30"/>
        <v>0.2</v>
      </c>
      <c r="E42" s="848">
        <v>134</v>
      </c>
      <c r="F42" s="835">
        <v>0.24</v>
      </c>
      <c r="G42" s="848">
        <v>134</v>
      </c>
      <c r="H42" s="836">
        <v>0.25</v>
      </c>
      <c r="I42" s="848">
        <v>134</v>
      </c>
      <c r="J42" s="835">
        <v>0.25</v>
      </c>
      <c r="K42" s="848">
        <v>134</v>
      </c>
      <c r="L42" s="836">
        <v>0.25</v>
      </c>
      <c r="M42" s="848">
        <v>134</v>
      </c>
      <c r="N42" s="835">
        <v>0.26</v>
      </c>
      <c r="O42" s="848">
        <v>134</v>
      </c>
      <c r="P42" s="835">
        <v>0.26</v>
      </c>
      <c r="Q42" s="838">
        <f t="shared" si="1"/>
        <v>0</v>
      </c>
      <c r="R42" s="840">
        <f t="shared" si="2"/>
        <v>0.3</v>
      </c>
      <c r="S42" s="841">
        <v>0.28999999999999998</v>
      </c>
      <c r="U42" s="848">
        <f t="shared" si="3"/>
        <v>0</v>
      </c>
      <c r="V42" s="835">
        <f t="shared" si="4"/>
        <v>0.06</v>
      </c>
    </row>
    <row r="43" spans="1:22" ht="14.1" customHeight="1">
      <c r="A43" s="3436"/>
      <c r="B43" s="931" t="s">
        <v>559</v>
      </c>
      <c r="C43" s="972">
        <v>10</v>
      </c>
      <c r="D43" s="836">
        <f t="shared" si="30"/>
        <v>0.01</v>
      </c>
      <c r="E43" s="848">
        <v>10</v>
      </c>
      <c r="F43" s="835">
        <v>0.01</v>
      </c>
      <c r="G43" s="848">
        <v>10</v>
      </c>
      <c r="H43" s="836">
        <v>0.01</v>
      </c>
      <c r="I43" s="848">
        <v>10</v>
      </c>
      <c r="J43" s="835">
        <v>0.01</v>
      </c>
      <c r="K43" s="848">
        <v>10</v>
      </c>
      <c r="L43" s="836">
        <v>0.01</v>
      </c>
      <c r="M43" s="848">
        <v>10</v>
      </c>
      <c r="N43" s="835">
        <v>0.02</v>
      </c>
      <c r="O43" s="848">
        <v>10</v>
      </c>
      <c r="P43" s="835">
        <v>0.02</v>
      </c>
      <c r="Q43" s="838">
        <f t="shared" si="1"/>
        <v>0</v>
      </c>
      <c r="R43" s="840">
        <f t="shared" si="2"/>
        <v>1</v>
      </c>
      <c r="S43" s="841">
        <v>0.03</v>
      </c>
      <c r="U43" s="848">
        <f t="shared" si="3"/>
        <v>0</v>
      </c>
      <c r="V43" s="835">
        <f t="shared" si="4"/>
        <v>0.01</v>
      </c>
    </row>
    <row r="44" spans="1:22" ht="14.1" customHeight="1">
      <c r="A44" s="3436"/>
      <c r="B44" s="931" t="s">
        <v>560</v>
      </c>
      <c r="C44" s="972">
        <v>0</v>
      </c>
      <c r="D44" s="836">
        <f t="shared" si="30"/>
        <v>0</v>
      </c>
      <c r="E44" s="848">
        <v>0</v>
      </c>
      <c r="F44" s="835">
        <v>0</v>
      </c>
      <c r="G44" s="848">
        <v>0</v>
      </c>
      <c r="H44" s="836">
        <v>0</v>
      </c>
      <c r="I44" s="848">
        <v>0</v>
      </c>
      <c r="J44" s="835">
        <v>0</v>
      </c>
      <c r="K44" s="848">
        <v>0</v>
      </c>
      <c r="L44" s="836">
        <v>0</v>
      </c>
      <c r="M44" s="848">
        <v>0</v>
      </c>
      <c r="N44" s="835">
        <v>0</v>
      </c>
      <c r="O44" s="848">
        <v>0</v>
      </c>
      <c r="P44" s="835">
        <v>0</v>
      </c>
      <c r="Q44" s="859" t="s">
        <v>16</v>
      </c>
      <c r="R44" s="858" t="s">
        <v>16</v>
      </c>
      <c r="S44" s="841">
        <v>0</v>
      </c>
      <c r="U44" s="848">
        <f t="shared" si="3"/>
        <v>0</v>
      </c>
      <c r="V44" s="835">
        <f t="shared" si="4"/>
        <v>0</v>
      </c>
    </row>
    <row r="45" spans="1:22" ht="14.1" customHeight="1">
      <c r="A45" s="3436"/>
      <c r="B45" s="931" t="s">
        <v>561</v>
      </c>
      <c r="C45" s="972">
        <v>0</v>
      </c>
      <c r="D45" s="836">
        <f t="shared" si="30"/>
        <v>0</v>
      </c>
      <c r="E45" s="848">
        <v>0</v>
      </c>
      <c r="F45" s="835">
        <v>0</v>
      </c>
      <c r="G45" s="848">
        <v>0</v>
      </c>
      <c r="H45" s="836">
        <v>0</v>
      </c>
      <c r="I45" s="848">
        <v>0</v>
      </c>
      <c r="J45" s="835">
        <v>0</v>
      </c>
      <c r="K45" s="848">
        <v>0</v>
      </c>
      <c r="L45" s="836">
        <v>0</v>
      </c>
      <c r="M45" s="848">
        <v>0</v>
      </c>
      <c r="N45" s="835">
        <v>0</v>
      </c>
      <c r="O45" s="848">
        <v>0</v>
      </c>
      <c r="P45" s="835">
        <v>0</v>
      </c>
      <c r="Q45" s="859" t="s">
        <v>16</v>
      </c>
      <c r="R45" s="858" t="s">
        <v>16</v>
      </c>
      <c r="S45" s="841">
        <v>0</v>
      </c>
      <c r="U45" s="848">
        <f t="shared" si="3"/>
        <v>0</v>
      </c>
      <c r="V45" s="835">
        <f t="shared" si="4"/>
        <v>0</v>
      </c>
    </row>
    <row r="46" spans="1:22" ht="14.1" customHeight="1" thickBot="1">
      <c r="A46" s="3436"/>
      <c r="B46" s="932" t="s">
        <v>562</v>
      </c>
      <c r="C46" s="1880">
        <v>0</v>
      </c>
      <c r="D46" s="1881">
        <f t="shared" si="30"/>
        <v>0.08</v>
      </c>
      <c r="E46" s="849">
        <v>0</v>
      </c>
      <c r="F46" s="1885">
        <v>0.1</v>
      </c>
      <c r="G46" s="849">
        <v>0</v>
      </c>
      <c r="H46" s="1881">
        <f>F46</f>
        <v>0.1</v>
      </c>
      <c r="I46" s="849">
        <v>0</v>
      </c>
      <c r="J46" s="1885">
        <f>H46</f>
        <v>0.1</v>
      </c>
      <c r="K46" s="849">
        <v>0</v>
      </c>
      <c r="L46" s="1881">
        <f>J46</f>
        <v>0.1</v>
      </c>
      <c r="M46" s="849">
        <v>0</v>
      </c>
      <c r="N46" s="1885">
        <f>L46</f>
        <v>0.1</v>
      </c>
      <c r="O46" s="849">
        <v>0</v>
      </c>
      <c r="P46" s="1885">
        <v>0.1</v>
      </c>
      <c r="Q46" s="1886" t="s">
        <v>16</v>
      </c>
      <c r="R46" s="1888">
        <f t="shared" si="2"/>
        <v>0.25</v>
      </c>
      <c r="S46" s="846">
        <v>0.1</v>
      </c>
      <c r="U46" s="849">
        <f t="shared" si="3"/>
        <v>0</v>
      </c>
      <c r="V46" s="1885">
        <f t="shared" si="4"/>
        <v>0.02</v>
      </c>
    </row>
    <row r="47" spans="1:22" ht="14.25" customHeight="1" thickTop="1" thickBot="1">
      <c r="A47" s="3437"/>
      <c r="B47" s="842" t="s">
        <v>18</v>
      </c>
      <c r="C47" s="973">
        <f>SUM(C37:C46)</f>
        <v>208</v>
      </c>
      <c r="D47" s="852">
        <f>'Table 7'!C8</f>
        <v>0.36</v>
      </c>
      <c r="E47" s="850">
        <f t="shared" ref="E47:P47" si="31">SUM(E37:E46)</f>
        <v>208</v>
      </c>
      <c r="F47" s="843">
        <f t="shared" si="31"/>
        <v>0.43</v>
      </c>
      <c r="G47" s="850">
        <f t="shared" si="31"/>
        <v>208</v>
      </c>
      <c r="H47" s="852">
        <f t="shared" si="31"/>
        <v>0.44</v>
      </c>
      <c r="I47" s="850">
        <f t="shared" si="31"/>
        <v>208</v>
      </c>
      <c r="J47" s="843">
        <f t="shared" si="31"/>
        <v>0.45</v>
      </c>
      <c r="K47" s="850">
        <f t="shared" si="31"/>
        <v>208</v>
      </c>
      <c r="L47" s="852">
        <f t="shared" si="31"/>
        <v>0.45</v>
      </c>
      <c r="M47" s="850">
        <f t="shared" si="31"/>
        <v>208</v>
      </c>
      <c r="N47" s="843">
        <f t="shared" si="31"/>
        <v>0.47</v>
      </c>
      <c r="O47" s="850">
        <f t="shared" si="31"/>
        <v>208</v>
      </c>
      <c r="P47" s="843">
        <f t="shared" si="31"/>
        <v>0.47</v>
      </c>
      <c r="Q47" s="844">
        <f t="shared" si="1"/>
        <v>0</v>
      </c>
      <c r="R47" s="845">
        <f t="shared" si="2"/>
        <v>0.31</v>
      </c>
      <c r="S47" s="855">
        <f>SUM(S37:S46)</f>
        <v>0.55000000000000004</v>
      </c>
      <c r="U47" s="850">
        <f t="shared" si="3"/>
        <v>0</v>
      </c>
      <c r="V47" s="843">
        <f t="shared" si="4"/>
        <v>0.11</v>
      </c>
    </row>
    <row r="48" spans="1:22" ht="14.25" customHeight="1">
      <c r="A48" s="3435" t="s">
        <v>566</v>
      </c>
      <c r="B48" s="933" t="s">
        <v>553</v>
      </c>
      <c r="C48" s="971">
        <v>0</v>
      </c>
      <c r="D48" s="851">
        <v>0</v>
      </c>
      <c r="E48" s="847">
        <v>0</v>
      </c>
      <c r="F48" s="853">
        <v>0</v>
      </c>
      <c r="G48" s="847">
        <v>0</v>
      </c>
      <c r="H48" s="851">
        <v>0</v>
      </c>
      <c r="I48" s="847">
        <v>0</v>
      </c>
      <c r="J48" s="853">
        <v>0</v>
      </c>
      <c r="K48" s="847">
        <v>0</v>
      </c>
      <c r="L48" s="851">
        <v>0</v>
      </c>
      <c r="M48" s="847">
        <v>0</v>
      </c>
      <c r="N48" s="853">
        <v>0</v>
      </c>
      <c r="O48" s="847">
        <v>0</v>
      </c>
      <c r="P48" s="853">
        <v>0</v>
      </c>
      <c r="Q48" s="878" t="s">
        <v>16</v>
      </c>
      <c r="R48" s="879" t="s">
        <v>16</v>
      </c>
      <c r="S48" s="854">
        <v>0</v>
      </c>
      <c r="U48" s="847">
        <f t="shared" si="3"/>
        <v>0</v>
      </c>
      <c r="V48" s="853">
        <f t="shared" si="4"/>
        <v>0</v>
      </c>
    </row>
    <row r="49" spans="1:24" ht="14.25" customHeight="1">
      <c r="A49" s="3436"/>
      <c r="B49" s="931" t="s">
        <v>554</v>
      </c>
      <c r="C49" s="972">
        <v>0</v>
      </c>
      <c r="D49" s="836">
        <v>0</v>
      </c>
      <c r="E49" s="848">
        <v>0</v>
      </c>
      <c r="F49" s="835">
        <v>0</v>
      </c>
      <c r="G49" s="848">
        <v>0</v>
      </c>
      <c r="H49" s="836">
        <v>0</v>
      </c>
      <c r="I49" s="848">
        <v>0</v>
      </c>
      <c r="J49" s="835">
        <v>0</v>
      </c>
      <c r="K49" s="848">
        <v>0</v>
      </c>
      <c r="L49" s="836">
        <v>0</v>
      </c>
      <c r="M49" s="848">
        <v>0</v>
      </c>
      <c r="N49" s="835">
        <v>0</v>
      </c>
      <c r="O49" s="848">
        <v>0</v>
      </c>
      <c r="P49" s="835">
        <v>0</v>
      </c>
      <c r="Q49" s="859" t="s">
        <v>16</v>
      </c>
      <c r="R49" s="858" t="s">
        <v>16</v>
      </c>
      <c r="S49" s="841">
        <v>0</v>
      </c>
      <c r="U49" s="848">
        <f t="shared" si="3"/>
        <v>0</v>
      </c>
      <c r="V49" s="835">
        <f t="shared" si="4"/>
        <v>0</v>
      </c>
    </row>
    <row r="50" spans="1:24" ht="14.25" customHeight="1">
      <c r="A50" s="3436"/>
      <c r="B50" s="931" t="s">
        <v>555</v>
      </c>
      <c r="C50" s="972">
        <v>0</v>
      </c>
      <c r="D50" s="836">
        <v>0</v>
      </c>
      <c r="E50" s="848">
        <v>0</v>
      </c>
      <c r="F50" s="835">
        <v>0</v>
      </c>
      <c r="G50" s="848">
        <v>0</v>
      </c>
      <c r="H50" s="836">
        <v>0</v>
      </c>
      <c r="I50" s="848">
        <v>0</v>
      </c>
      <c r="J50" s="835">
        <v>0</v>
      </c>
      <c r="K50" s="848">
        <v>0</v>
      </c>
      <c r="L50" s="836">
        <v>0</v>
      </c>
      <c r="M50" s="848">
        <v>0</v>
      </c>
      <c r="N50" s="835">
        <v>0</v>
      </c>
      <c r="O50" s="848">
        <v>0</v>
      </c>
      <c r="P50" s="835">
        <v>0</v>
      </c>
      <c r="Q50" s="859" t="s">
        <v>16</v>
      </c>
      <c r="R50" s="858" t="s">
        <v>16</v>
      </c>
      <c r="S50" s="841">
        <v>0</v>
      </c>
      <c r="U50" s="848">
        <f t="shared" si="3"/>
        <v>0</v>
      </c>
      <c r="V50" s="835">
        <f t="shared" si="4"/>
        <v>0</v>
      </c>
    </row>
    <row r="51" spans="1:24" ht="14.25" customHeight="1">
      <c r="A51" s="3436"/>
      <c r="B51" s="931" t="s">
        <v>556</v>
      </c>
      <c r="C51" s="972">
        <v>0</v>
      </c>
      <c r="D51" s="836">
        <v>0</v>
      </c>
      <c r="E51" s="848">
        <v>0</v>
      </c>
      <c r="F51" s="835">
        <v>0</v>
      </c>
      <c r="G51" s="848">
        <v>0</v>
      </c>
      <c r="H51" s="836">
        <v>0</v>
      </c>
      <c r="I51" s="848">
        <v>0</v>
      </c>
      <c r="J51" s="835">
        <v>0</v>
      </c>
      <c r="K51" s="848">
        <v>0</v>
      </c>
      <c r="L51" s="836">
        <v>0</v>
      </c>
      <c r="M51" s="848">
        <v>0</v>
      </c>
      <c r="N51" s="835">
        <v>0</v>
      </c>
      <c r="O51" s="848">
        <v>0</v>
      </c>
      <c r="P51" s="835">
        <v>0</v>
      </c>
      <c r="Q51" s="859" t="s">
        <v>16</v>
      </c>
      <c r="R51" s="858" t="s">
        <v>16</v>
      </c>
      <c r="S51" s="841">
        <v>0</v>
      </c>
      <c r="U51" s="848">
        <f t="shared" si="3"/>
        <v>0</v>
      </c>
      <c r="V51" s="835">
        <f t="shared" si="4"/>
        <v>0</v>
      </c>
    </row>
    <row r="52" spans="1:24" ht="12" customHeight="1">
      <c r="A52" s="3436"/>
      <c r="B52" s="931" t="s">
        <v>557</v>
      </c>
      <c r="C52" s="972">
        <v>0</v>
      </c>
      <c r="D52" s="836">
        <v>0</v>
      </c>
      <c r="E52" s="848">
        <v>0</v>
      </c>
      <c r="F52" s="835">
        <v>0</v>
      </c>
      <c r="G52" s="848">
        <v>0</v>
      </c>
      <c r="H52" s="836">
        <v>0</v>
      </c>
      <c r="I52" s="848">
        <v>0</v>
      </c>
      <c r="J52" s="835">
        <v>0</v>
      </c>
      <c r="K52" s="848">
        <v>0</v>
      </c>
      <c r="L52" s="836">
        <v>0</v>
      </c>
      <c r="M52" s="848">
        <v>0</v>
      </c>
      <c r="N52" s="835">
        <v>0</v>
      </c>
      <c r="O52" s="848">
        <v>0</v>
      </c>
      <c r="P52" s="835">
        <v>0</v>
      </c>
      <c r="Q52" s="859" t="s">
        <v>16</v>
      </c>
      <c r="R52" s="858" t="s">
        <v>16</v>
      </c>
      <c r="S52" s="841">
        <v>0</v>
      </c>
      <c r="U52" s="848">
        <f t="shared" si="3"/>
        <v>0</v>
      </c>
      <c r="V52" s="835">
        <f t="shared" si="4"/>
        <v>0</v>
      </c>
      <c r="X52" t="s">
        <v>36</v>
      </c>
    </row>
    <row r="53" spans="1:24" ht="14.25" customHeight="1">
      <c r="A53" s="3436"/>
      <c r="B53" s="931" t="s">
        <v>558</v>
      </c>
      <c r="C53" s="972">
        <v>0</v>
      </c>
      <c r="D53" s="836">
        <v>0</v>
      </c>
      <c r="E53" s="848">
        <v>0</v>
      </c>
      <c r="F53" s="835">
        <v>0</v>
      </c>
      <c r="G53" s="848">
        <v>0</v>
      </c>
      <c r="H53" s="836">
        <v>0</v>
      </c>
      <c r="I53" s="848">
        <v>0</v>
      </c>
      <c r="J53" s="835">
        <v>0</v>
      </c>
      <c r="K53" s="848">
        <v>0</v>
      </c>
      <c r="L53" s="836">
        <v>0</v>
      </c>
      <c r="M53" s="848">
        <v>0</v>
      </c>
      <c r="N53" s="835">
        <v>0</v>
      </c>
      <c r="O53" s="848">
        <v>0</v>
      </c>
      <c r="P53" s="835">
        <v>0</v>
      </c>
      <c r="Q53" s="859" t="s">
        <v>16</v>
      </c>
      <c r="R53" s="858" t="s">
        <v>16</v>
      </c>
      <c r="S53" s="841">
        <v>0</v>
      </c>
      <c r="U53" s="848">
        <f t="shared" si="3"/>
        <v>0</v>
      </c>
      <c r="V53" s="835">
        <f t="shared" si="4"/>
        <v>0</v>
      </c>
    </row>
    <row r="54" spans="1:24" ht="12.75" customHeight="1">
      <c r="A54" s="3436"/>
      <c r="B54" s="931" t="s">
        <v>559</v>
      </c>
      <c r="C54" s="972">
        <v>0</v>
      </c>
      <c r="D54" s="836">
        <v>0</v>
      </c>
      <c r="E54" s="848">
        <v>0</v>
      </c>
      <c r="F54" s="835">
        <v>0</v>
      </c>
      <c r="G54" s="848">
        <v>0</v>
      </c>
      <c r="H54" s="836">
        <v>0</v>
      </c>
      <c r="I54" s="848">
        <v>0</v>
      </c>
      <c r="J54" s="835">
        <v>0</v>
      </c>
      <c r="K54" s="848">
        <v>0</v>
      </c>
      <c r="L54" s="836">
        <v>0</v>
      </c>
      <c r="M54" s="848">
        <v>0</v>
      </c>
      <c r="N54" s="835">
        <v>0</v>
      </c>
      <c r="O54" s="848">
        <v>0</v>
      </c>
      <c r="P54" s="835">
        <v>0</v>
      </c>
      <c r="Q54" s="859" t="s">
        <v>16</v>
      </c>
      <c r="R54" s="858" t="s">
        <v>16</v>
      </c>
      <c r="S54" s="841">
        <v>0</v>
      </c>
      <c r="U54" s="848">
        <f t="shared" si="3"/>
        <v>0</v>
      </c>
      <c r="V54" s="835">
        <f t="shared" si="4"/>
        <v>0</v>
      </c>
    </row>
    <row r="55" spans="1:24" ht="14.25" customHeight="1">
      <c r="A55" s="3436"/>
      <c r="B55" s="931" t="s">
        <v>560</v>
      </c>
      <c r="C55" s="972">
        <v>0</v>
      </c>
      <c r="D55" s="836">
        <v>0</v>
      </c>
      <c r="E55" s="848">
        <v>0</v>
      </c>
      <c r="F55" s="835">
        <v>0</v>
      </c>
      <c r="G55" s="848">
        <v>0</v>
      </c>
      <c r="H55" s="836">
        <v>0</v>
      </c>
      <c r="I55" s="848">
        <v>0</v>
      </c>
      <c r="J55" s="835">
        <v>0</v>
      </c>
      <c r="K55" s="848">
        <v>0</v>
      </c>
      <c r="L55" s="836">
        <v>0</v>
      </c>
      <c r="M55" s="848">
        <v>0</v>
      </c>
      <c r="N55" s="835">
        <v>0</v>
      </c>
      <c r="O55" s="848">
        <v>0</v>
      </c>
      <c r="P55" s="835">
        <v>0</v>
      </c>
      <c r="Q55" s="859" t="s">
        <v>16</v>
      </c>
      <c r="R55" s="858" t="s">
        <v>16</v>
      </c>
      <c r="S55" s="841">
        <v>0</v>
      </c>
      <c r="U55" s="848">
        <f t="shared" si="3"/>
        <v>0</v>
      </c>
      <c r="V55" s="835">
        <f t="shared" si="4"/>
        <v>0</v>
      </c>
    </row>
    <row r="56" spans="1:24" ht="14.25" customHeight="1">
      <c r="A56" s="3436"/>
      <c r="B56" s="931" t="s">
        <v>561</v>
      </c>
      <c r="C56" s="972">
        <v>0</v>
      </c>
      <c r="D56" s="836">
        <v>0</v>
      </c>
      <c r="E56" s="848">
        <v>0</v>
      </c>
      <c r="F56" s="835">
        <v>0</v>
      </c>
      <c r="G56" s="848">
        <v>0</v>
      </c>
      <c r="H56" s="836">
        <v>0</v>
      </c>
      <c r="I56" s="848">
        <v>0</v>
      </c>
      <c r="J56" s="835">
        <v>0</v>
      </c>
      <c r="K56" s="848">
        <v>0</v>
      </c>
      <c r="L56" s="836">
        <v>0</v>
      </c>
      <c r="M56" s="848">
        <v>0</v>
      </c>
      <c r="N56" s="835">
        <v>0</v>
      </c>
      <c r="O56" s="848">
        <v>0</v>
      </c>
      <c r="P56" s="835">
        <v>0</v>
      </c>
      <c r="Q56" s="859" t="s">
        <v>16</v>
      </c>
      <c r="R56" s="858" t="s">
        <v>16</v>
      </c>
      <c r="S56" s="841">
        <v>0</v>
      </c>
      <c r="U56" s="848">
        <f t="shared" si="3"/>
        <v>0</v>
      </c>
      <c r="V56" s="835">
        <f t="shared" si="4"/>
        <v>0</v>
      </c>
    </row>
    <row r="57" spans="1:24" ht="14.25" customHeight="1" thickBot="1">
      <c r="A57" s="3436"/>
      <c r="B57" s="932" t="s">
        <v>562</v>
      </c>
      <c r="C57" s="1880">
        <v>0</v>
      </c>
      <c r="D57" s="1881">
        <v>0</v>
      </c>
      <c r="E57" s="849">
        <v>0</v>
      </c>
      <c r="F57" s="1885">
        <v>0</v>
      </c>
      <c r="G57" s="849">
        <v>0</v>
      </c>
      <c r="H57" s="1881">
        <f>F57</f>
        <v>0</v>
      </c>
      <c r="I57" s="849">
        <v>0</v>
      </c>
      <c r="J57" s="1885">
        <f>H57</f>
        <v>0</v>
      </c>
      <c r="K57" s="849">
        <v>0</v>
      </c>
      <c r="L57" s="1881">
        <f>J57</f>
        <v>0</v>
      </c>
      <c r="M57" s="849">
        <v>0</v>
      </c>
      <c r="N57" s="1885">
        <f>L57</f>
        <v>0</v>
      </c>
      <c r="O57" s="849">
        <v>0</v>
      </c>
      <c r="P57" s="1885">
        <v>0</v>
      </c>
      <c r="Q57" s="1886" t="s">
        <v>16</v>
      </c>
      <c r="R57" s="1888" t="s">
        <v>16</v>
      </c>
      <c r="S57" s="846">
        <f>N57</f>
        <v>0</v>
      </c>
      <c r="U57" s="849">
        <f t="shared" si="3"/>
        <v>0</v>
      </c>
      <c r="V57" s="1885">
        <f t="shared" si="4"/>
        <v>0</v>
      </c>
    </row>
    <row r="58" spans="1:24" ht="14.25" customHeight="1" thickTop="1" thickBot="1">
      <c r="A58" s="3437"/>
      <c r="B58" s="842" t="s">
        <v>18</v>
      </c>
      <c r="C58" s="973">
        <v>0</v>
      </c>
      <c r="D58" s="852">
        <f>'Table 7'!E9</f>
        <v>0</v>
      </c>
      <c r="E58" s="850">
        <v>0</v>
      </c>
      <c r="F58" s="843">
        <f>SUM(F48:F57)</f>
        <v>0</v>
      </c>
      <c r="G58" s="850">
        <v>0</v>
      </c>
      <c r="H58" s="852">
        <f>SUM(H48:H57)</f>
        <v>0</v>
      </c>
      <c r="I58" s="850">
        <v>0</v>
      </c>
      <c r="J58" s="843">
        <f>SUM(J48:J57)</f>
        <v>0</v>
      </c>
      <c r="K58" s="850">
        <v>0</v>
      </c>
      <c r="L58" s="852">
        <f>SUM(L48:L57)</f>
        <v>0</v>
      </c>
      <c r="M58" s="850">
        <v>0</v>
      </c>
      <c r="N58" s="843">
        <f>SUM(N48:N57)</f>
        <v>0</v>
      </c>
      <c r="O58" s="850">
        <v>0</v>
      </c>
      <c r="P58" s="843">
        <v>0</v>
      </c>
      <c r="Q58" s="880" t="s">
        <v>16</v>
      </c>
      <c r="R58" s="881" t="s">
        <v>16</v>
      </c>
      <c r="S58" s="855">
        <f>SUM(S48:S57)</f>
        <v>0</v>
      </c>
      <c r="U58" s="850">
        <f t="shared" si="3"/>
        <v>0</v>
      </c>
      <c r="V58" s="843">
        <f t="shared" si="4"/>
        <v>0</v>
      </c>
    </row>
    <row r="59" spans="1:24" ht="13.5" customHeight="1">
      <c r="A59" s="3435" t="s">
        <v>567</v>
      </c>
      <c r="B59" s="933" t="s">
        <v>553</v>
      </c>
      <c r="C59" s="971">
        <f>C37+C48</f>
        <v>0</v>
      </c>
      <c r="D59" s="851">
        <f>D37+D48</f>
        <v>0</v>
      </c>
      <c r="E59" s="847">
        <f t="shared" ref="E59:N59" si="32">E37+E48</f>
        <v>0</v>
      </c>
      <c r="F59" s="853">
        <f t="shared" si="32"/>
        <v>0</v>
      </c>
      <c r="G59" s="847">
        <f t="shared" si="32"/>
        <v>0</v>
      </c>
      <c r="H59" s="851">
        <f t="shared" si="32"/>
        <v>0</v>
      </c>
      <c r="I59" s="847">
        <f t="shared" si="32"/>
        <v>0</v>
      </c>
      <c r="J59" s="853">
        <f t="shared" si="32"/>
        <v>0</v>
      </c>
      <c r="K59" s="847">
        <f t="shared" si="32"/>
        <v>0</v>
      </c>
      <c r="L59" s="851">
        <f t="shared" si="32"/>
        <v>0</v>
      </c>
      <c r="M59" s="847">
        <f t="shared" si="32"/>
        <v>0</v>
      </c>
      <c r="N59" s="853">
        <f t="shared" si="32"/>
        <v>0</v>
      </c>
      <c r="O59" s="847">
        <f t="shared" ref="O59:P59" si="33">O37+O48</f>
        <v>0</v>
      </c>
      <c r="P59" s="853">
        <f t="shared" si="33"/>
        <v>0</v>
      </c>
      <c r="Q59" s="878" t="s">
        <v>16</v>
      </c>
      <c r="R59" s="879" t="s">
        <v>16</v>
      </c>
      <c r="S59" s="854">
        <f t="shared" ref="S59:S69" si="34">S37+S48</f>
        <v>0</v>
      </c>
      <c r="U59" s="847">
        <f t="shared" si="3"/>
        <v>0</v>
      </c>
      <c r="V59" s="853">
        <f t="shared" si="4"/>
        <v>0</v>
      </c>
    </row>
    <row r="60" spans="1:24" ht="14.25" customHeight="1">
      <c r="A60" s="3436"/>
      <c r="B60" s="931" t="s">
        <v>554</v>
      </c>
      <c r="C60" s="972">
        <f t="shared" ref="C60:N61" si="35">C38+C49</f>
        <v>5</v>
      </c>
      <c r="D60" s="836">
        <f t="shared" si="35"/>
        <v>0.01</v>
      </c>
      <c r="E60" s="848">
        <f t="shared" si="35"/>
        <v>5</v>
      </c>
      <c r="F60" s="835">
        <f t="shared" si="35"/>
        <v>0.01</v>
      </c>
      <c r="G60" s="848">
        <f t="shared" si="35"/>
        <v>5</v>
      </c>
      <c r="H60" s="836">
        <f t="shared" si="35"/>
        <v>0.01</v>
      </c>
      <c r="I60" s="848">
        <f t="shared" si="35"/>
        <v>5</v>
      </c>
      <c r="J60" s="835">
        <f t="shared" si="35"/>
        <v>0.01</v>
      </c>
      <c r="K60" s="848">
        <f t="shared" si="35"/>
        <v>5</v>
      </c>
      <c r="L60" s="836">
        <f t="shared" si="35"/>
        <v>0.01</v>
      </c>
      <c r="M60" s="848">
        <f t="shared" si="35"/>
        <v>5</v>
      </c>
      <c r="N60" s="835">
        <f t="shared" si="35"/>
        <v>0.01</v>
      </c>
      <c r="O60" s="848">
        <f t="shared" ref="O60:P60" si="36">O38+O49</f>
        <v>5</v>
      </c>
      <c r="P60" s="835">
        <f t="shared" si="36"/>
        <v>0.01</v>
      </c>
      <c r="Q60" s="859">
        <f t="shared" si="1"/>
        <v>0</v>
      </c>
      <c r="R60" s="858">
        <f t="shared" si="2"/>
        <v>0</v>
      </c>
      <c r="S60" s="841">
        <f t="shared" si="34"/>
        <v>0.02</v>
      </c>
      <c r="U60" s="848">
        <f t="shared" si="3"/>
        <v>0</v>
      </c>
      <c r="V60" s="835">
        <f t="shared" si="4"/>
        <v>0</v>
      </c>
    </row>
    <row r="61" spans="1:24" ht="14.25" customHeight="1">
      <c r="A61" s="3436"/>
      <c r="B61" s="931" t="s">
        <v>555</v>
      </c>
      <c r="C61" s="972">
        <f t="shared" si="35"/>
        <v>0</v>
      </c>
      <c r="D61" s="836">
        <f t="shared" si="35"/>
        <v>0</v>
      </c>
      <c r="E61" s="848">
        <f t="shared" si="35"/>
        <v>0</v>
      </c>
      <c r="F61" s="835">
        <f t="shared" si="35"/>
        <v>0</v>
      </c>
      <c r="G61" s="848">
        <f t="shared" si="35"/>
        <v>0</v>
      </c>
      <c r="H61" s="836">
        <f t="shared" si="35"/>
        <v>0</v>
      </c>
      <c r="I61" s="848">
        <f t="shared" si="35"/>
        <v>0</v>
      </c>
      <c r="J61" s="835">
        <f t="shared" si="35"/>
        <v>0</v>
      </c>
      <c r="K61" s="848">
        <f t="shared" si="35"/>
        <v>0</v>
      </c>
      <c r="L61" s="836">
        <f t="shared" si="35"/>
        <v>0</v>
      </c>
      <c r="M61" s="848">
        <f t="shared" si="35"/>
        <v>0</v>
      </c>
      <c r="N61" s="835">
        <f t="shared" si="35"/>
        <v>0</v>
      </c>
      <c r="O61" s="848">
        <f t="shared" ref="O61:P61" si="37">O39+O50</f>
        <v>0</v>
      </c>
      <c r="P61" s="835">
        <f t="shared" si="37"/>
        <v>0</v>
      </c>
      <c r="Q61" s="859" t="s">
        <v>16</v>
      </c>
      <c r="R61" s="858" t="s">
        <v>16</v>
      </c>
      <c r="S61" s="841">
        <f t="shared" si="34"/>
        <v>0</v>
      </c>
      <c r="U61" s="848">
        <f t="shared" si="3"/>
        <v>0</v>
      </c>
      <c r="V61" s="835">
        <f t="shared" si="4"/>
        <v>0</v>
      </c>
    </row>
    <row r="62" spans="1:24" ht="14.25" customHeight="1">
      <c r="A62" s="3436"/>
      <c r="B62" s="931" t="s">
        <v>556</v>
      </c>
      <c r="C62" s="972">
        <f t="shared" ref="C62:N62" si="38">C40+C51</f>
        <v>45</v>
      </c>
      <c r="D62" s="836">
        <f t="shared" si="38"/>
        <v>0.04</v>
      </c>
      <c r="E62" s="848">
        <f t="shared" si="38"/>
        <v>45</v>
      </c>
      <c r="F62" s="835">
        <f t="shared" si="38"/>
        <v>0.05</v>
      </c>
      <c r="G62" s="848">
        <f t="shared" si="38"/>
        <v>45</v>
      </c>
      <c r="H62" s="836">
        <f t="shared" si="38"/>
        <v>0.05</v>
      </c>
      <c r="I62" s="848">
        <f t="shared" si="38"/>
        <v>45</v>
      </c>
      <c r="J62" s="835">
        <f t="shared" si="38"/>
        <v>0.06</v>
      </c>
      <c r="K62" s="848">
        <f t="shared" si="38"/>
        <v>45</v>
      </c>
      <c r="L62" s="836">
        <f t="shared" si="38"/>
        <v>0.06</v>
      </c>
      <c r="M62" s="848">
        <f t="shared" si="38"/>
        <v>45</v>
      </c>
      <c r="N62" s="835">
        <f t="shared" si="38"/>
        <v>0.06</v>
      </c>
      <c r="O62" s="848">
        <f t="shared" ref="O62:P62" si="39">O40+O51</f>
        <v>45</v>
      </c>
      <c r="P62" s="835">
        <f t="shared" si="39"/>
        <v>0.06</v>
      </c>
      <c r="Q62" s="838">
        <f t="shared" si="1"/>
        <v>0</v>
      </c>
      <c r="R62" s="840">
        <f t="shared" si="2"/>
        <v>0.5</v>
      </c>
      <c r="S62" s="841">
        <f t="shared" si="34"/>
        <v>0.08</v>
      </c>
      <c r="U62" s="848">
        <f t="shared" si="3"/>
        <v>0</v>
      </c>
      <c r="V62" s="835">
        <f t="shared" si="4"/>
        <v>0.02</v>
      </c>
    </row>
    <row r="63" spans="1:24" ht="14.25" customHeight="1">
      <c r="A63" s="3436"/>
      <c r="B63" s="931" t="s">
        <v>557</v>
      </c>
      <c r="C63" s="972">
        <f t="shared" ref="C63:N63" si="40">C41+C52</f>
        <v>14</v>
      </c>
      <c r="D63" s="836">
        <f t="shared" si="40"/>
        <v>0.02</v>
      </c>
      <c r="E63" s="848">
        <f t="shared" si="40"/>
        <v>14</v>
      </c>
      <c r="F63" s="835">
        <f t="shared" si="40"/>
        <v>0.02</v>
      </c>
      <c r="G63" s="848">
        <f t="shared" si="40"/>
        <v>14</v>
      </c>
      <c r="H63" s="836">
        <f t="shared" si="40"/>
        <v>0.02</v>
      </c>
      <c r="I63" s="848">
        <f t="shared" si="40"/>
        <v>14</v>
      </c>
      <c r="J63" s="835">
        <f t="shared" si="40"/>
        <v>0.02</v>
      </c>
      <c r="K63" s="848">
        <f t="shared" si="40"/>
        <v>14</v>
      </c>
      <c r="L63" s="836">
        <f t="shared" si="40"/>
        <v>0.02</v>
      </c>
      <c r="M63" s="848">
        <f t="shared" si="40"/>
        <v>14</v>
      </c>
      <c r="N63" s="835">
        <f t="shared" si="40"/>
        <v>0.02</v>
      </c>
      <c r="O63" s="848">
        <f t="shared" ref="O63:P63" si="41">O41+O52</f>
        <v>14</v>
      </c>
      <c r="P63" s="835">
        <f t="shared" si="41"/>
        <v>0.02</v>
      </c>
      <c r="Q63" s="838">
        <f t="shared" si="1"/>
        <v>0</v>
      </c>
      <c r="R63" s="840">
        <f t="shared" si="2"/>
        <v>0</v>
      </c>
      <c r="S63" s="841">
        <f t="shared" si="34"/>
        <v>0.03</v>
      </c>
      <c r="U63" s="848">
        <f t="shared" si="3"/>
        <v>0</v>
      </c>
      <c r="V63" s="835">
        <f t="shared" si="4"/>
        <v>0</v>
      </c>
    </row>
    <row r="64" spans="1:24" ht="14.25" customHeight="1">
      <c r="A64" s="3436"/>
      <c r="B64" s="931" t="s">
        <v>558</v>
      </c>
      <c r="C64" s="972">
        <f t="shared" ref="C64:N65" si="42">C42+C53</f>
        <v>134</v>
      </c>
      <c r="D64" s="836">
        <f t="shared" si="42"/>
        <v>0.2</v>
      </c>
      <c r="E64" s="848">
        <f t="shared" si="42"/>
        <v>134</v>
      </c>
      <c r="F64" s="835">
        <f t="shared" si="42"/>
        <v>0.24</v>
      </c>
      <c r="G64" s="848">
        <f t="shared" si="42"/>
        <v>134</v>
      </c>
      <c r="H64" s="836">
        <f t="shared" si="42"/>
        <v>0.25</v>
      </c>
      <c r="I64" s="848">
        <f t="shared" si="42"/>
        <v>134</v>
      </c>
      <c r="J64" s="835">
        <f t="shared" si="42"/>
        <v>0.25</v>
      </c>
      <c r="K64" s="848">
        <f t="shared" si="42"/>
        <v>134</v>
      </c>
      <c r="L64" s="836">
        <f t="shared" si="42"/>
        <v>0.25</v>
      </c>
      <c r="M64" s="848">
        <f t="shared" si="42"/>
        <v>134</v>
      </c>
      <c r="N64" s="835">
        <f t="shared" si="42"/>
        <v>0.26</v>
      </c>
      <c r="O64" s="848">
        <f t="shared" ref="O64:P64" si="43">O42+O53</f>
        <v>134</v>
      </c>
      <c r="P64" s="835">
        <f t="shared" si="43"/>
        <v>0.26</v>
      </c>
      <c r="Q64" s="838">
        <f t="shared" si="1"/>
        <v>0</v>
      </c>
      <c r="R64" s="840">
        <f t="shared" si="2"/>
        <v>0.3</v>
      </c>
      <c r="S64" s="841">
        <f t="shared" si="34"/>
        <v>0.28999999999999998</v>
      </c>
      <c r="U64" s="848">
        <f t="shared" si="3"/>
        <v>0</v>
      </c>
      <c r="V64" s="835">
        <f t="shared" si="4"/>
        <v>0.06</v>
      </c>
    </row>
    <row r="65" spans="1:22" ht="14.25" customHeight="1">
      <c r="A65" s="3436"/>
      <c r="B65" s="931" t="s">
        <v>559</v>
      </c>
      <c r="C65" s="972">
        <f t="shared" si="42"/>
        <v>10</v>
      </c>
      <c r="D65" s="836">
        <f t="shared" si="42"/>
        <v>0.01</v>
      </c>
      <c r="E65" s="848">
        <f t="shared" si="42"/>
        <v>10</v>
      </c>
      <c r="F65" s="835">
        <f t="shared" si="42"/>
        <v>0.01</v>
      </c>
      <c r="G65" s="848">
        <f t="shared" si="42"/>
        <v>10</v>
      </c>
      <c r="H65" s="836">
        <f t="shared" si="42"/>
        <v>0.01</v>
      </c>
      <c r="I65" s="848">
        <f t="shared" si="42"/>
        <v>10</v>
      </c>
      <c r="J65" s="835">
        <f t="shared" si="42"/>
        <v>0.01</v>
      </c>
      <c r="K65" s="848">
        <f t="shared" si="42"/>
        <v>10</v>
      </c>
      <c r="L65" s="836">
        <f t="shared" si="42"/>
        <v>0.01</v>
      </c>
      <c r="M65" s="848">
        <f t="shared" si="42"/>
        <v>10</v>
      </c>
      <c r="N65" s="835">
        <f t="shared" si="42"/>
        <v>0.02</v>
      </c>
      <c r="O65" s="848">
        <f t="shared" ref="O65:P65" si="44">O43+O54</f>
        <v>10</v>
      </c>
      <c r="P65" s="835">
        <f t="shared" si="44"/>
        <v>0.02</v>
      </c>
      <c r="Q65" s="838">
        <f t="shared" si="1"/>
        <v>0</v>
      </c>
      <c r="R65" s="840">
        <f t="shared" si="2"/>
        <v>1</v>
      </c>
      <c r="S65" s="841">
        <f t="shared" si="34"/>
        <v>0.03</v>
      </c>
      <c r="U65" s="848">
        <f t="shared" si="3"/>
        <v>0</v>
      </c>
      <c r="V65" s="835">
        <f t="shared" si="4"/>
        <v>0.01</v>
      </c>
    </row>
    <row r="66" spans="1:22" ht="14.25" customHeight="1">
      <c r="A66" s="3436"/>
      <c r="B66" s="931" t="s">
        <v>560</v>
      </c>
      <c r="C66" s="972">
        <f t="shared" ref="C66:N66" si="45">C44+C55</f>
        <v>0</v>
      </c>
      <c r="D66" s="836">
        <f t="shared" si="45"/>
        <v>0</v>
      </c>
      <c r="E66" s="848">
        <f t="shared" si="45"/>
        <v>0</v>
      </c>
      <c r="F66" s="835">
        <f t="shared" si="45"/>
        <v>0</v>
      </c>
      <c r="G66" s="848">
        <f t="shared" si="45"/>
        <v>0</v>
      </c>
      <c r="H66" s="836">
        <f t="shared" si="45"/>
        <v>0</v>
      </c>
      <c r="I66" s="848">
        <f t="shared" si="45"/>
        <v>0</v>
      </c>
      <c r="J66" s="835">
        <f t="shared" si="45"/>
        <v>0</v>
      </c>
      <c r="K66" s="848">
        <f t="shared" si="45"/>
        <v>0</v>
      </c>
      <c r="L66" s="836">
        <f t="shared" si="45"/>
        <v>0</v>
      </c>
      <c r="M66" s="848">
        <f t="shared" si="45"/>
        <v>0</v>
      </c>
      <c r="N66" s="835">
        <f t="shared" si="45"/>
        <v>0</v>
      </c>
      <c r="O66" s="848">
        <f t="shared" ref="O66:P66" si="46">O44+O55</f>
        <v>0</v>
      </c>
      <c r="P66" s="835">
        <f t="shared" si="46"/>
        <v>0</v>
      </c>
      <c r="Q66" s="859" t="s">
        <v>16</v>
      </c>
      <c r="R66" s="858" t="s">
        <v>16</v>
      </c>
      <c r="S66" s="841">
        <f t="shared" si="34"/>
        <v>0</v>
      </c>
      <c r="U66" s="848">
        <f t="shared" si="3"/>
        <v>0</v>
      </c>
      <c r="V66" s="835">
        <f t="shared" si="4"/>
        <v>0</v>
      </c>
    </row>
    <row r="67" spans="1:22" ht="14.25" customHeight="1">
      <c r="A67" s="3436"/>
      <c r="B67" s="931" t="s">
        <v>561</v>
      </c>
      <c r="C67" s="972">
        <f t="shared" ref="C67:N67" si="47">C45+C56</f>
        <v>0</v>
      </c>
      <c r="D67" s="836">
        <f t="shared" si="47"/>
        <v>0</v>
      </c>
      <c r="E67" s="848">
        <f t="shared" si="47"/>
        <v>0</v>
      </c>
      <c r="F67" s="835">
        <f t="shared" si="47"/>
        <v>0</v>
      </c>
      <c r="G67" s="848">
        <f t="shared" si="47"/>
        <v>0</v>
      </c>
      <c r="H67" s="836">
        <f t="shared" si="47"/>
        <v>0</v>
      </c>
      <c r="I67" s="848">
        <f t="shared" si="47"/>
        <v>0</v>
      </c>
      <c r="J67" s="835">
        <f t="shared" si="47"/>
        <v>0</v>
      </c>
      <c r="K67" s="848">
        <f t="shared" si="47"/>
        <v>0</v>
      </c>
      <c r="L67" s="836">
        <f t="shared" si="47"/>
        <v>0</v>
      </c>
      <c r="M67" s="848">
        <f t="shared" si="47"/>
        <v>0</v>
      </c>
      <c r="N67" s="835">
        <f t="shared" si="47"/>
        <v>0</v>
      </c>
      <c r="O67" s="848">
        <f t="shared" ref="O67:P67" si="48">O45+O56</f>
        <v>0</v>
      </c>
      <c r="P67" s="835">
        <f t="shared" si="48"/>
        <v>0</v>
      </c>
      <c r="Q67" s="859" t="s">
        <v>16</v>
      </c>
      <c r="R67" s="858" t="s">
        <v>16</v>
      </c>
      <c r="S67" s="841">
        <f t="shared" si="34"/>
        <v>0</v>
      </c>
      <c r="U67" s="848">
        <f t="shared" si="3"/>
        <v>0</v>
      </c>
      <c r="V67" s="835">
        <f t="shared" si="4"/>
        <v>0</v>
      </c>
    </row>
    <row r="68" spans="1:22" ht="14.25" customHeight="1" thickBot="1">
      <c r="A68" s="3436"/>
      <c r="B68" s="932" t="s">
        <v>562</v>
      </c>
      <c r="C68" s="1880">
        <f t="shared" ref="C68:N68" si="49">C46+C57</f>
        <v>0</v>
      </c>
      <c r="D68" s="1881">
        <f t="shared" si="49"/>
        <v>0.08</v>
      </c>
      <c r="E68" s="849">
        <f t="shared" si="49"/>
        <v>0</v>
      </c>
      <c r="F68" s="1885">
        <f t="shared" si="49"/>
        <v>0.1</v>
      </c>
      <c r="G68" s="849">
        <f t="shared" si="49"/>
        <v>0</v>
      </c>
      <c r="H68" s="1881">
        <f t="shared" si="49"/>
        <v>0.1</v>
      </c>
      <c r="I68" s="849">
        <f t="shared" si="49"/>
        <v>0</v>
      </c>
      <c r="J68" s="1885">
        <f t="shared" si="49"/>
        <v>0.1</v>
      </c>
      <c r="K68" s="849">
        <f t="shared" si="49"/>
        <v>0</v>
      </c>
      <c r="L68" s="1881">
        <f t="shared" si="49"/>
        <v>0.1</v>
      </c>
      <c r="M68" s="849">
        <f t="shared" si="49"/>
        <v>0</v>
      </c>
      <c r="N68" s="1885">
        <f t="shared" si="49"/>
        <v>0.1</v>
      </c>
      <c r="O68" s="849">
        <f t="shared" ref="O68:P68" si="50">O46+O57</f>
        <v>0</v>
      </c>
      <c r="P68" s="1885">
        <f t="shared" si="50"/>
        <v>0.1</v>
      </c>
      <c r="Q68" s="1886" t="s">
        <v>16</v>
      </c>
      <c r="R68" s="1888">
        <f t="shared" si="2"/>
        <v>0.25</v>
      </c>
      <c r="S68" s="846">
        <f t="shared" si="34"/>
        <v>0.1</v>
      </c>
      <c r="U68" s="849">
        <f t="shared" si="3"/>
        <v>0</v>
      </c>
      <c r="V68" s="1885">
        <f t="shared" si="4"/>
        <v>0.02</v>
      </c>
    </row>
    <row r="69" spans="1:22" ht="14.25" customHeight="1" thickTop="1" thickBot="1">
      <c r="A69" s="3437"/>
      <c r="B69" s="842" t="s">
        <v>18</v>
      </c>
      <c r="C69" s="973">
        <f t="shared" ref="C69:N69" si="51">C47+C58</f>
        <v>208</v>
      </c>
      <c r="D69" s="852">
        <f t="shared" si="51"/>
        <v>0.36</v>
      </c>
      <c r="E69" s="850">
        <f t="shared" si="51"/>
        <v>208</v>
      </c>
      <c r="F69" s="843">
        <f t="shared" si="51"/>
        <v>0.43</v>
      </c>
      <c r="G69" s="850">
        <f t="shared" si="51"/>
        <v>208</v>
      </c>
      <c r="H69" s="852">
        <f t="shared" si="51"/>
        <v>0.44</v>
      </c>
      <c r="I69" s="850">
        <f t="shared" si="51"/>
        <v>208</v>
      </c>
      <c r="J69" s="843">
        <f t="shared" si="51"/>
        <v>0.45</v>
      </c>
      <c r="K69" s="850">
        <f t="shared" si="51"/>
        <v>208</v>
      </c>
      <c r="L69" s="852">
        <f t="shared" si="51"/>
        <v>0.45</v>
      </c>
      <c r="M69" s="850">
        <f t="shared" si="51"/>
        <v>208</v>
      </c>
      <c r="N69" s="843">
        <f t="shared" si="51"/>
        <v>0.47</v>
      </c>
      <c r="O69" s="850">
        <f t="shared" ref="O69:P69" si="52">O47+O58</f>
        <v>208</v>
      </c>
      <c r="P69" s="843">
        <f t="shared" si="52"/>
        <v>0.47</v>
      </c>
      <c r="Q69" s="844">
        <f t="shared" ref="Q69:R69" si="53">(O69-C69)/C69</f>
        <v>0</v>
      </c>
      <c r="R69" s="845">
        <f t="shared" si="53"/>
        <v>0.31</v>
      </c>
      <c r="S69" s="855">
        <f t="shared" si="34"/>
        <v>0.55000000000000004</v>
      </c>
      <c r="U69" s="850">
        <f t="shared" ref="U69:V69" si="54">O69-C69</f>
        <v>0</v>
      </c>
      <c r="V69" s="843">
        <f t="shared" si="54"/>
        <v>0.11</v>
      </c>
    </row>
    <row r="70" spans="1:22" ht="28.5" customHeight="1" thickBot="1">
      <c r="A70" s="3224" t="s">
        <v>568</v>
      </c>
      <c r="B70" s="3224"/>
      <c r="C70" s="3224"/>
      <c r="D70" s="3224"/>
      <c r="E70" s="3224"/>
      <c r="F70" s="3224"/>
      <c r="G70" s="3224"/>
      <c r="H70" s="3224"/>
      <c r="I70" s="3224"/>
      <c r="J70" s="3224"/>
      <c r="K70" s="3224"/>
      <c r="L70" s="3224"/>
      <c r="M70" s="3224"/>
      <c r="N70" s="3224"/>
      <c r="O70" s="3224"/>
      <c r="P70" s="3224"/>
      <c r="Q70" s="3224"/>
      <c r="R70" s="3224"/>
      <c r="S70" s="3224"/>
    </row>
    <row r="71" spans="1:22" ht="29.25" customHeight="1">
      <c r="A71" s="3429" t="s">
        <v>85</v>
      </c>
      <c r="B71" s="3431" t="s">
        <v>541</v>
      </c>
      <c r="C71" s="3217" t="s">
        <v>542</v>
      </c>
      <c r="D71" s="3217"/>
      <c r="E71" s="3216" t="s">
        <v>543</v>
      </c>
      <c r="F71" s="3218"/>
      <c r="G71" s="3217" t="s">
        <v>544</v>
      </c>
      <c r="H71" s="3217"/>
      <c r="I71" s="3258" t="s">
        <v>545</v>
      </c>
      <c r="J71" s="3245"/>
      <c r="K71" s="3264" t="s">
        <v>546</v>
      </c>
      <c r="L71" s="3264"/>
      <c r="M71" s="3258" t="s">
        <v>547</v>
      </c>
      <c r="N71" s="3245"/>
      <c r="O71" s="3258" t="s">
        <v>548</v>
      </c>
      <c r="P71" s="3245"/>
      <c r="Q71" s="3264" t="s">
        <v>57</v>
      </c>
      <c r="R71" s="3264"/>
      <c r="S71" s="3433" t="s">
        <v>549</v>
      </c>
      <c r="T71" t="s">
        <v>36</v>
      </c>
      <c r="U71" s="3258" t="s">
        <v>59</v>
      </c>
      <c r="V71" s="3245"/>
    </row>
    <row r="72" spans="1:22" ht="15.75" thickBot="1">
      <c r="A72" s="3430"/>
      <c r="B72" s="3432"/>
      <c r="C72" s="1889" t="s">
        <v>550</v>
      </c>
      <c r="D72" s="831" t="s">
        <v>551</v>
      </c>
      <c r="E72" s="832" t="s">
        <v>550</v>
      </c>
      <c r="F72" s="833" t="s">
        <v>551</v>
      </c>
      <c r="G72" s="1889" t="s">
        <v>550</v>
      </c>
      <c r="H72" s="831" t="s">
        <v>551</v>
      </c>
      <c r="I72" s="834" t="s">
        <v>550</v>
      </c>
      <c r="J72" s="833" t="s">
        <v>551</v>
      </c>
      <c r="K72" s="1890" t="s">
        <v>550</v>
      </c>
      <c r="L72" s="831" t="s">
        <v>551</v>
      </c>
      <c r="M72" s="834" t="s">
        <v>550</v>
      </c>
      <c r="N72" s="833" t="s">
        <v>551</v>
      </c>
      <c r="O72" s="834" t="s">
        <v>550</v>
      </c>
      <c r="P72" s="833" t="s">
        <v>551</v>
      </c>
      <c r="Q72" s="1891" t="s">
        <v>529</v>
      </c>
      <c r="R72" s="831" t="s">
        <v>551</v>
      </c>
      <c r="S72" s="3434"/>
      <c r="U72" s="1645" t="s">
        <v>529</v>
      </c>
      <c r="V72" s="1646" t="s">
        <v>551</v>
      </c>
    </row>
    <row r="73" spans="1:22" ht="15" customHeight="1">
      <c r="A73" s="3435" t="s">
        <v>569</v>
      </c>
      <c r="B73" s="933" t="s">
        <v>553</v>
      </c>
      <c r="C73" s="971">
        <v>0</v>
      </c>
      <c r="D73" s="851">
        <v>0</v>
      </c>
      <c r="E73" s="847">
        <v>0</v>
      </c>
      <c r="F73" s="853">
        <v>0</v>
      </c>
      <c r="G73" s="847">
        <v>0</v>
      </c>
      <c r="H73" s="851">
        <v>0</v>
      </c>
      <c r="I73" s="847">
        <v>0</v>
      </c>
      <c r="J73" s="853">
        <v>0</v>
      </c>
      <c r="K73" s="847">
        <v>0</v>
      </c>
      <c r="L73" s="851">
        <v>0</v>
      </c>
      <c r="M73" s="847">
        <v>0</v>
      </c>
      <c r="N73" s="853">
        <v>0</v>
      </c>
      <c r="O73" s="847">
        <v>0</v>
      </c>
      <c r="P73" s="853">
        <v>0</v>
      </c>
      <c r="Q73" s="878" t="s">
        <v>16</v>
      </c>
      <c r="R73" s="879" t="s">
        <v>16</v>
      </c>
      <c r="S73" s="854">
        <v>0</v>
      </c>
      <c r="U73" s="847">
        <f>O73-C73</f>
        <v>0</v>
      </c>
      <c r="V73" s="853">
        <f>P73-D73</f>
        <v>0</v>
      </c>
    </row>
    <row r="74" spans="1:22">
      <c r="A74" s="3436"/>
      <c r="B74" s="931" t="s">
        <v>554</v>
      </c>
      <c r="C74" s="972">
        <v>0</v>
      </c>
      <c r="D74" s="836">
        <v>0</v>
      </c>
      <c r="E74" s="848">
        <v>0</v>
      </c>
      <c r="F74" s="835">
        <v>0</v>
      </c>
      <c r="G74" s="848">
        <v>0</v>
      </c>
      <c r="H74" s="836">
        <v>0</v>
      </c>
      <c r="I74" s="848">
        <v>0</v>
      </c>
      <c r="J74" s="835">
        <v>0</v>
      </c>
      <c r="K74" s="848">
        <v>0</v>
      </c>
      <c r="L74" s="836">
        <v>0</v>
      </c>
      <c r="M74" s="848">
        <v>0</v>
      </c>
      <c r="N74" s="835">
        <v>0</v>
      </c>
      <c r="O74" s="848">
        <v>0</v>
      </c>
      <c r="P74" s="835">
        <v>0</v>
      </c>
      <c r="Q74" s="859" t="s">
        <v>16</v>
      </c>
      <c r="R74" s="858" t="s">
        <v>16</v>
      </c>
      <c r="S74" s="841">
        <v>0</v>
      </c>
      <c r="U74" s="848">
        <f t="shared" ref="U74:U127" si="55">O74-C74</f>
        <v>0</v>
      </c>
      <c r="V74" s="835">
        <f t="shared" ref="V74:V127" si="56">P74-D74</f>
        <v>0</v>
      </c>
    </row>
    <row r="75" spans="1:22">
      <c r="A75" s="3436"/>
      <c r="B75" s="931" t="s">
        <v>555</v>
      </c>
      <c r="C75" s="972">
        <v>0</v>
      </c>
      <c r="D75" s="836">
        <v>0</v>
      </c>
      <c r="E75" s="848">
        <v>0</v>
      </c>
      <c r="F75" s="835">
        <v>0</v>
      </c>
      <c r="G75" s="848">
        <v>0</v>
      </c>
      <c r="H75" s="836">
        <v>0</v>
      </c>
      <c r="I75" s="848">
        <v>0</v>
      </c>
      <c r="J75" s="835">
        <v>0</v>
      </c>
      <c r="K75" s="848">
        <v>0</v>
      </c>
      <c r="L75" s="836">
        <v>0</v>
      </c>
      <c r="M75" s="848">
        <v>0</v>
      </c>
      <c r="N75" s="835">
        <v>0</v>
      </c>
      <c r="O75" s="848">
        <v>0</v>
      </c>
      <c r="P75" s="835">
        <v>0</v>
      </c>
      <c r="Q75" s="859" t="s">
        <v>16</v>
      </c>
      <c r="R75" s="858" t="s">
        <v>16</v>
      </c>
      <c r="S75" s="841">
        <v>0</v>
      </c>
      <c r="U75" s="848">
        <f t="shared" si="55"/>
        <v>0</v>
      </c>
      <c r="V75" s="835">
        <f t="shared" si="56"/>
        <v>0</v>
      </c>
    </row>
    <row r="76" spans="1:22">
      <c r="A76" s="3436"/>
      <c r="B76" s="931" t="s">
        <v>556</v>
      </c>
      <c r="C76" s="972">
        <v>0</v>
      </c>
      <c r="D76" s="836">
        <v>0</v>
      </c>
      <c r="E76" s="848">
        <v>0</v>
      </c>
      <c r="F76" s="835">
        <v>0</v>
      </c>
      <c r="G76" s="848">
        <v>0</v>
      </c>
      <c r="H76" s="836">
        <v>0</v>
      </c>
      <c r="I76" s="848">
        <v>0</v>
      </c>
      <c r="J76" s="835">
        <v>0</v>
      </c>
      <c r="K76" s="848">
        <v>0</v>
      </c>
      <c r="L76" s="836">
        <v>0</v>
      </c>
      <c r="M76" s="848">
        <v>0</v>
      </c>
      <c r="N76" s="835">
        <v>0</v>
      </c>
      <c r="O76" s="848">
        <v>0</v>
      </c>
      <c r="P76" s="835">
        <v>0</v>
      </c>
      <c r="Q76" s="859" t="s">
        <v>16</v>
      </c>
      <c r="R76" s="858" t="s">
        <v>16</v>
      </c>
      <c r="S76" s="841">
        <v>0</v>
      </c>
      <c r="U76" s="848">
        <f t="shared" si="55"/>
        <v>0</v>
      </c>
      <c r="V76" s="835">
        <f t="shared" si="56"/>
        <v>0</v>
      </c>
    </row>
    <row r="77" spans="1:22">
      <c r="A77" s="3436"/>
      <c r="B77" s="931" t="s">
        <v>557</v>
      </c>
      <c r="C77" s="972">
        <v>0</v>
      </c>
      <c r="D77" s="836">
        <v>0</v>
      </c>
      <c r="E77" s="848">
        <v>0</v>
      </c>
      <c r="F77" s="835">
        <v>0</v>
      </c>
      <c r="G77" s="848">
        <v>0</v>
      </c>
      <c r="H77" s="836">
        <v>0</v>
      </c>
      <c r="I77" s="848">
        <v>0</v>
      </c>
      <c r="J77" s="835">
        <v>0</v>
      </c>
      <c r="K77" s="848">
        <v>0</v>
      </c>
      <c r="L77" s="836">
        <v>0</v>
      </c>
      <c r="M77" s="848">
        <v>0</v>
      </c>
      <c r="N77" s="835">
        <v>0</v>
      </c>
      <c r="O77" s="848">
        <v>0</v>
      </c>
      <c r="P77" s="835">
        <v>0</v>
      </c>
      <c r="Q77" s="859" t="s">
        <v>16</v>
      </c>
      <c r="R77" s="858" t="s">
        <v>16</v>
      </c>
      <c r="S77" s="841">
        <v>0</v>
      </c>
      <c r="T77" t="s">
        <v>36</v>
      </c>
      <c r="U77" s="848">
        <f t="shared" si="55"/>
        <v>0</v>
      </c>
      <c r="V77" s="835">
        <f t="shared" si="56"/>
        <v>0</v>
      </c>
    </row>
    <row r="78" spans="1:22">
      <c r="A78" s="3436"/>
      <c r="B78" s="931" t="s">
        <v>558</v>
      </c>
      <c r="C78" s="972">
        <v>0</v>
      </c>
      <c r="D78" s="836">
        <v>0</v>
      </c>
      <c r="E78" s="848">
        <v>0</v>
      </c>
      <c r="F78" s="835">
        <v>0</v>
      </c>
      <c r="G78" s="848">
        <v>0</v>
      </c>
      <c r="H78" s="836">
        <v>0</v>
      </c>
      <c r="I78" s="848">
        <v>0</v>
      </c>
      <c r="J78" s="835">
        <v>0</v>
      </c>
      <c r="K78" s="848">
        <v>0</v>
      </c>
      <c r="L78" s="836">
        <v>0</v>
      </c>
      <c r="M78" s="848">
        <v>0</v>
      </c>
      <c r="N78" s="835">
        <v>0</v>
      </c>
      <c r="O78" s="848">
        <v>0</v>
      </c>
      <c r="P78" s="835">
        <v>0</v>
      </c>
      <c r="Q78" s="859" t="s">
        <v>16</v>
      </c>
      <c r="R78" s="858" t="s">
        <v>16</v>
      </c>
      <c r="S78" s="841">
        <v>0</v>
      </c>
      <c r="U78" s="848">
        <f t="shared" si="55"/>
        <v>0</v>
      </c>
      <c r="V78" s="835">
        <f t="shared" si="56"/>
        <v>0</v>
      </c>
    </row>
    <row r="79" spans="1:22">
      <c r="A79" s="3436"/>
      <c r="B79" s="931" t="s">
        <v>559</v>
      </c>
      <c r="C79" s="972">
        <v>0</v>
      </c>
      <c r="D79" s="836">
        <v>0</v>
      </c>
      <c r="E79" s="848">
        <v>0</v>
      </c>
      <c r="F79" s="835">
        <v>0</v>
      </c>
      <c r="G79" s="848">
        <v>0</v>
      </c>
      <c r="H79" s="836">
        <v>0</v>
      </c>
      <c r="I79" s="848">
        <v>0</v>
      </c>
      <c r="J79" s="835">
        <v>0</v>
      </c>
      <c r="K79" s="848">
        <v>0</v>
      </c>
      <c r="L79" s="836">
        <v>0</v>
      </c>
      <c r="M79" s="848">
        <v>0</v>
      </c>
      <c r="N79" s="835">
        <v>0</v>
      </c>
      <c r="O79" s="848">
        <v>0</v>
      </c>
      <c r="P79" s="835">
        <v>0</v>
      </c>
      <c r="Q79" s="859" t="s">
        <v>16</v>
      </c>
      <c r="R79" s="858" t="s">
        <v>16</v>
      </c>
      <c r="S79" s="841">
        <v>0</v>
      </c>
      <c r="U79" s="848">
        <f t="shared" si="55"/>
        <v>0</v>
      </c>
      <c r="V79" s="835">
        <f t="shared" si="56"/>
        <v>0</v>
      </c>
    </row>
    <row r="80" spans="1:22">
      <c r="A80" s="3436"/>
      <c r="B80" s="931" t="s">
        <v>560</v>
      </c>
      <c r="C80" s="972">
        <v>0</v>
      </c>
      <c r="D80" s="836">
        <v>0</v>
      </c>
      <c r="E80" s="848">
        <v>0</v>
      </c>
      <c r="F80" s="835">
        <v>0</v>
      </c>
      <c r="G80" s="848">
        <v>0</v>
      </c>
      <c r="H80" s="836">
        <v>0</v>
      </c>
      <c r="I80" s="848">
        <v>0</v>
      </c>
      <c r="J80" s="835">
        <v>0</v>
      </c>
      <c r="K80" s="848">
        <v>0</v>
      </c>
      <c r="L80" s="836">
        <v>0</v>
      </c>
      <c r="M80" s="848">
        <v>0</v>
      </c>
      <c r="N80" s="835">
        <v>0</v>
      </c>
      <c r="O80" s="848">
        <v>0</v>
      </c>
      <c r="P80" s="835">
        <v>0</v>
      </c>
      <c r="Q80" s="859" t="s">
        <v>16</v>
      </c>
      <c r="R80" s="858" t="s">
        <v>16</v>
      </c>
      <c r="S80" s="841">
        <v>0</v>
      </c>
      <c r="U80" s="848">
        <f t="shared" si="55"/>
        <v>0</v>
      </c>
      <c r="V80" s="835">
        <f t="shared" si="56"/>
        <v>0</v>
      </c>
    </row>
    <row r="81" spans="1:22">
      <c r="A81" s="3436"/>
      <c r="B81" s="931" t="s">
        <v>561</v>
      </c>
      <c r="C81" s="972">
        <v>0</v>
      </c>
      <c r="D81" s="836">
        <v>0</v>
      </c>
      <c r="E81" s="848">
        <v>0</v>
      </c>
      <c r="F81" s="835">
        <v>0</v>
      </c>
      <c r="G81" s="848">
        <v>0</v>
      </c>
      <c r="H81" s="836">
        <v>0</v>
      </c>
      <c r="I81" s="848">
        <v>0</v>
      </c>
      <c r="J81" s="835">
        <v>0</v>
      </c>
      <c r="K81" s="848">
        <v>0</v>
      </c>
      <c r="L81" s="836">
        <v>0</v>
      </c>
      <c r="M81" s="848">
        <v>0</v>
      </c>
      <c r="N81" s="835">
        <v>0</v>
      </c>
      <c r="O81" s="848">
        <v>0</v>
      </c>
      <c r="P81" s="835">
        <v>0</v>
      </c>
      <c r="Q81" s="859" t="s">
        <v>16</v>
      </c>
      <c r="R81" s="858" t="s">
        <v>16</v>
      </c>
      <c r="S81" s="841">
        <v>0</v>
      </c>
      <c r="U81" s="848">
        <f t="shared" si="55"/>
        <v>0</v>
      </c>
      <c r="V81" s="835">
        <f t="shared" si="56"/>
        <v>0</v>
      </c>
    </row>
    <row r="82" spans="1:22" ht="15.75" thickBot="1">
      <c r="A82" s="3436"/>
      <c r="B82" s="932" t="s">
        <v>562</v>
      </c>
      <c r="C82" s="1880">
        <v>0</v>
      </c>
      <c r="D82" s="1881">
        <v>0</v>
      </c>
      <c r="E82" s="849">
        <v>0</v>
      </c>
      <c r="F82" s="1885">
        <f>'Table 7b'!J11</f>
        <v>0</v>
      </c>
      <c r="G82" s="849">
        <v>0</v>
      </c>
      <c r="H82" s="1881">
        <v>0</v>
      </c>
      <c r="I82" s="849">
        <v>0</v>
      </c>
      <c r="J82" s="1885">
        <v>0</v>
      </c>
      <c r="K82" s="849">
        <v>0</v>
      </c>
      <c r="L82" s="1881">
        <v>0</v>
      </c>
      <c r="M82" s="849">
        <v>0</v>
      </c>
      <c r="N82" s="1885">
        <v>0</v>
      </c>
      <c r="O82" s="849">
        <v>0</v>
      </c>
      <c r="P82" s="1885">
        <v>0</v>
      </c>
      <c r="Q82" s="1886" t="s">
        <v>16</v>
      </c>
      <c r="R82" s="1888" t="s">
        <v>16</v>
      </c>
      <c r="S82" s="846">
        <v>0</v>
      </c>
      <c r="U82" s="849">
        <f t="shared" si="55"/>
        <v>0</v>
      </c>
      <c r="V82" s="1885">
        <f t="shared" si="56"/>
        <v>0</v>
      </c>
    </row>
    <row r="83" spans="1:22" ht="16.5" thickTop="1" thickBot="1">
      <c r="A83" s="3437"/>
      <c r="B83" s="842" t="s">
        <v>18</v>
      </c>
      <c r="C83" s="973">
        <f>SUM(C73:C82)</f>
        <v>0</v>
      </c>
      <c r="D83" s="852">
        <f>'Table 7'!E11</f>
        <v>0</v>
      </c>
      <c r="E83" s="850">
        <f t="shared" ref="E83:O83" si="57">SUM(E73:E82)</f>
        <v>0</v>
      </c>
      <c r="F83" s="843">
        <f t="shared" si="57"/>
        <v>0</v>
      </c>
      <c r="G83" s="850">
        <f t="shared" si="57"/>
        <v>0</v>
      </c>
      <c r="H83" s="852">
        <f t="shared" si="57"/>
        <v>0</v>
      </c>
      <c r="I83" s="850">
        <f t="shared" si="57"/>
        <v>0</v>
      </c>
      <c r="J83" s="843">
        <f t="shared" si="57"/>
        <v>0</v>
      </c>
      <c r="K83" s="850">
        <f t="shared" si="57"/>
        <v>0</v>
      </c>
      <c r="L83" s="852">
        <f t="shared" si="57"/>
        <v>0</v>
      </c>
      <c r="M83" s="850">
        <f t="shared" si="57"/>
        <v>0</v>
      </c>
      <c r="N83" s="843">
        <f t="shared" si="57"/>
        <v>0</v>
      </c>
      <c r="O83" s="850">
        <f t="shared" si="57"/>
        <v>0</v>
      </c>
      <c r="P83" s="843">
        <v>0</v>
      </c>
      <c r="Q83" s="880" t="s">
        <v>16</v>
      </c>
      <c r="R83" s="881" t="s">
        <v>16</v>
      </c>
      <c r="S83" s="855">
        <f>SUM(S73:S82)</f>
        <v>0</v>
      </c>
      <c r="U83" s="850">
        <f t="shared" si="55"/>
        <v>0</v>
      </c>
      <c r="V83" s="843">
        <f t="shared" si="56"/>
        <v>0</v>
      </c>
    </row>
    <row r="84" spans="1:22" ht="15.75" customHeight="1">
      <c r="A84" s="3435" t="s">
        <v>570</v>
      </c>
      <c r="B84" s="933" t="s">
        <v>553</v>
      </c>
      <c r="C84" s="971">
        <v>0</v>
      </c>
      <c r="D84" s="851">
        <f>(F84/$F$94)*$D$94</f>
        <v>0</v>
      </c>
      <c r="E84" s="847">
        <v>0</v>
      </c>
      <c r="F84" s="853">
        <v>0</v>
      </c>
      <c r="G84" s="847">
        <v>0</v>
      </c>
      <c r="H84" s="851">
        <v>0</v>
      </c>
      <c r="I84" s="847">
        <v>0</v>
      </c>
      <c r="J84" s="853">
        <v>0</v>
      </c>
      <c r="K84" s="847">
        <v>0</v>
      </c>
      <c r="L84" s="851">
        <v>0</v>
      </c>
      <c r="M84" s="847">
        <v>0</v>
      </c>
      <c r="N84" s="853">
        <v>0</v>
      </c>
      <c r="O84" s="847">
        <v>0</v>
      </c>
      <c r="P84" s="853">
        <v>0</v>
      </c>
      <c r="Q84" s="878" t="s">
        <v>16</v>
      </c>
      <c r="R84" s="879" t="s">
        <v>16</v>
      </c>
      <c r="S84" s="854">
        <v>0</v>
      </c>
      <c r="U84" s="847">
        <f t="shared" si="55"/>
        <v>0</v>
      </c>
      <c r="V84" s="853">
        <f t="shared" si="56"/>
        <v>0</v>
      </c>
    </row>
    <row r="85" spans="1:22">
      <c r="A85" s="3436"/>
      <c r="B85" s="931" t="s">
        <v>554</v>
      </c>
      <c r="C85" s="972">
        <v>26</v>
      </c>
      <c r="D85" s="836">
        <f t="shared" ref="D85:D93" si="58">(F85/$F$94)*$D$94</f>
        <v>0.04</v>
      </c>
      <c r="E85" s="848">
        <v>20</v>
      </c>
      <c r="F85" s="835">
        <v>0.04</v>
      </c>
      <c r="G85" s="848">
        <v>20</v>
      </c>
      <c r="H85" s="836">
        <v>0.04</v>
      </c>
      <c r="I85" s="848">
        <v>20</v>
      </c>
      <c r="J85" s="835">
        <v>0.04</v>
      </c>
      <c r="K85" s="848">
        <v>20</v>
      </c>
      <c r="L85" s="836">
        <v>0.05</v>
      </c>
      <c r="M85" s="848">
        <v>20</v>
      </c>
      <c r="N85" s="835">
        <v>0.05</v>
      </c>
      <c r="O85" s="848">
        <v>20</v>
      </c>
      <c r="P85" s="835">
        <v>0.05</v>
      </c>
      <c r="Q85" s="859">
        <f t="shared" ref="Q85:Q116" si="59">(O85-C85)/C85</f>
        <v>-0.23</v>
      </c>
      <c r="R85" s="858">
        <f t="shared" ref="R85:R116" si="60">(P85-D85)/D85</f>
        <v>0.25</v>
      </c>
      <c r="S85" s="841">
        <v>7.0000000000000007E-2</v>
      </c>
      <c r="U85" s="848">
        <f t="shared" si="55"/>
        <v>-6</v>
      </c>
      <c r="V85" s="835">
        <f t="shared" si="56"/>
        <v>0.01</v>
      </c>
    </row>
    <row r="86" spans="1:22">
      <c r="A86" s="3436"/>
      <c r="B86" s="931" t="s">
        <v>555</v>
      </c>
      <c r="C86" s="972">
        <v>0</v>
      </c>
      <c r="D86" s="836">
        <f t="shared" si="58"/>
        <v>0</v>
      </c>
      <c r="E86" s="848">
        <v>0</v>
      </c>
      <c r="F86" s="835">
        <v>0</v>
      </c>
      <c r="G86" s="848">
        <v>0</v>
      </c>
      <c r="H86" s="836">
        <v>0</v>
      </c>
      <c r="I86" s="848">
        <v>0</v>
      </c>
      <c r="J86" s="835">
        <v>0</v>
      </c>
      <c r="K86" s="848">
        <v>0</v>
      </c>
      <c r="L86" s="836">
        <v>0</v>
      </c>
      <c r="M86" s="848">
        <v>0</v>
      </c>
      <c r="N86" s="835">
        <v>0</v>
      </c>
      <c r="O86" s="848">
        <v>0</v>
      </c>
      <c r="P86" s="835">
        <v>0</v>
      </c>
      <c r="Q86" s="859" t="s">
        <v>16</v>
      </c>
      <c r="R86" s="858" t="s">
        <v>16</v>
      </c>
      <c r="S86" s="841">
        <v>0</v>
      </c>
      <c r="U86" s="848">
        <f t="shared" si="55"/>
        <v>0</v>
      </c>
      <c r="V86" s="835">
        <f t="shared" si="56"/>
        <v>0</v>
      </c>
    </row>
    <row r="87" spans="1:22">
      <c r="A87" s="3436"/>
      <c r="B87" s="931" t="s">
        <v>556</v>
      </c>
      <c r="C87" s="972">
        <v>306</v>
      </c>
      <c r="D87" s="836">
        <f t="shared" si="58"/>
        <v>0.39</v>
      </c>
      <c r="E87" s="848">
        <v>306</v>
      </c>
      <c r="F87" s="835">
        <v>0.41</v>
      </c>
      <c r="G87" s="848">
        <v>306</v>
      </c>
      <c r="H87" s="836">
        <v>0.41</v>
      </c>
      <c r="I87" s="848">
        <v>306</v>
      </c>
      <c r="J87" s="835">
        <v>0.42</v>
      </c>
      <c r="K87" s="848">
        <v>306</v>
      </c>
      <c r="L87" s="836">
        <v>0.42</v>
      </c>
      <c r="M87" s="848">
        <v>306</v>
      </c>
      <c r="N87" s="835">
        <v>0.42</v>
      </c>
      <c r="O87" s="848">
        <v>306</v>
      </c>
      <c r="P87" s="835">
        <v>0.43</v>
      </c>
      <c r="Q87" s="859">
        <f t="shared" si="59"/>
        <v>0</v>
      </c>
      <c r="R87" s="858">
        <f t="shared" si="60"/>
        <v>0.1</v>
      </c>
      <c r="S87" s="841">
        <v>0.56000000000000005</v>
      </c>
      <c r="U87" s="848">
        <f t="shared" si="55"/>
        <v>0</v>
      </c>
      <c r="V87" s="835">
        <f t="shared" si="56"/>
        <v>0.04</v>
      </c>
    </row>
    <row r="88" spans="1:22">
      <c r="A88" s="3436"/>
      <c r="B88" s="931" t="s">
        <v>557</v>
      </c>
      <c r="C88" s="972">
        <v>245</v>
      </c>
      <c r="D88" s="836">
        <f t="shared" si="58"/>
        <v>0.14000000000000001</v>
      </c>
      <c r="E88" s="848">
        <v>200</v>
      </c>
      <c r="F88" s="835">
        <v>0.15</v>
      </c>
      <c r="G88" s="848">
        <v>200</v>
      </c>
      <c r="H88" s="836">
        <v>0.15</v>
      </c>
      <c r="I88" s="848">
        <v>200</v>
      </c>
      <c r="J88" s="835">
        <v>0.15</v>
      </c>
      <c r="K88" s="848">
        <v>200</v>
      </c>
      <c r="L88" s="836">
        <v>0.16</v>
      </c>
      <c r="M88" s="848">
        <v>200</v>
      </c>
      <c r="N88" s="835">
        <v>0.16</v>
      </c>
      <c r="O88" s="848">
        <v>200</v>
      </c>
      <c r="P88" s="835">
        <v>0.16</v>
      </c>
      <c r="Q88" s="859">
        <f t="shared" si="59"/>
        <v>-0.18</v>
      </c>
      <c r="R88" s="858">
        <f t="shared" si="60"/>
        <v>0.14000000000000001</v>
      </c>
      <c r="S88" s="841">
        <v>0.2</v>
      </c>
      <c r="U88" s="848">
        <f t="shared" si="55"/>
        <v>-45</v>
      </c>
      <c r="V88" s="835">
        <f t="shared" si="56"/>
        <v>0.02</v>
      </c>
    </row>
    <row r="89" spans="1:22">
      <c r="A89" s="3436"/>
      <c r="B89" s="931" t="s">
        <v>558</v>
      </c>
      <c r="C89" s="972">
        <v>2</v>
      </c>
      <c r="D89" s="836">
        <f t="shared" si="58"/>
        <v>0</v>
      </c>
      <c r="E89" s="848">
        <v>2</v>
      </c>
      <c r="F89" s="835">
        <v>0</v>
      </c>
      <c r="G89" s="848">
        <v>2</v>
      </c>
      <c r="H89" s="836">
        <v>0</v>
      </c>
      <c r="I89" s="848">
        <v>2</v>
      </c>
      <c r="J89" s="835">
        <v>0</v>
      </c>
      <c r="K89" s="848">
        <v>2</v>
      </c>
      <c r="L89" s="836">
        <v>0</v>
      </c>
      <c r="M89" s="848">
        <v>2</v>
      </c>
      <c r="N89" s="835">
        <v>0</v>
      </c>
      <c r="O89" s="848">
        <v>2</v>
      </c>
      <c r="P89" s="835">
        <v>0</v>
      </c>
      <c r="Q89" s="859">
        <f t="shared" si="59"/>
        <v>0</v>
      </c>
      <c r="R89" s="858" t="s">
        <v>16</v>
      </c>
      <c r="S89" s="841">
        <v>0</v>
      </c>
      <c r="U89" s="848">
        <f t="shared" si="55"/>
        <v>0</v>
      </c>
      <c r="V89" s="835">
        <f t="shared" si="56"/>
        <v>0</v>
      </c>
    </row>
    <row r="90" spans="1:22">
      <c r="A90" s="3436"/>
      <c r="B90" s="931" t="s">
        <v>559</v>
      </c>
      <c r="C90" s="972">
        <v>1057</v>
      </c>
      <c r="D90" s="836">
        <f t="shared" si="58"/>
        <v>0.96</v>
      </c>
      <c r="E90" s="848">
        <v>971</v>
      </c>
      <c r="F90" s="835">
        <v>1</v>
      </c>
      <c r="G90" s="848">
        <v>971</v>
      </c>
      <c r="H90" s="836">
        <v>0.98</v>
      </c>
      <c r="I90" s="848">
        <v>971</v>
      </c>
      <c r="J90" s="835">
        <v>0.95</v>
      </c>
      <c r="K90" s="848">
        <v>971</v>
      </c>
      <c r="L90" s="836">
        <v>0.96</v>
      </c>
      <c r="M90" s="848">
        <v>971</v>
      </c>
      <c r="N90" s="835">
        <v>0.95</v>
      </c>
      <c r="O90" s="848">
        <v>971</v>
      </c>
      <c r="P90" s="835">
        <v>0.93</v>
      </c>
      <c r="Q90" s="838">
        <f t="shared" si="59"/>
        <v>-0.08</v>
      </c>
      <c r="R90" s="840">
        <f t="shared" si="60"/>
        <v>-0.03</v>
      </c>
      <c r="S90" s="841">
        <v>1.26</v>
      </c>
      <c r="U90" s="848">
        <f t="shared" si="55"/>
        <v>-86</v>
      </c>
      <c r="V90" s="835">
        <f t="shared" si="56"/>
        <v>-0.03</v>
      </c>
    </row>
    <row r="91" spans="1:22">
      <c r="A91" s="3436"/>
      <c r="B91" s="931" t="s">
        <v>560</v>
      </c>
      <c r="C91" s="972">
        <v>0</v>
      </c>
      <c r="D91" s="836">
        <f t="shared" si="58"/>
        <v>0</v>
      </c>
      <c r="E91" s="848">
        <v>0</v>
      </c>
      <c r="F91" s="835">
        <v>0</v>
      </c>
      <c r="G91" s="848">
        <v>0</v>
      </c>
      <c r="H91" s="836">
        <v>0</v>
      </c>
      <c r="I91" s="848">
        <v>0</v>
      </c>
      <c r="J91" s="835">
        <v>0</v>
      </c>
      <c r="K91" s="848">
        <v>0</v>
      </c>
      <c r="L91" s="836">
        <v>0</v>
      </c>
      <c r="M91" s="848">
        <v>0</v>
      </c>
      <c r="N91" s="835">
        <v>0</v>
      </c>
      <c r="O91" s="848">
        <v>0</v>
      </c>
      <c r="P91" s="835">
        <v>0</v>
      </c>
      <c r="Q91" s="859" t="s">
        <v>16</v>
      </c>
      <c r="R91" s="858" t="s">
        <v>16</v>
      </c>
      <c r="S91" s="841">
        <v>0</v>
      </c>
      <c r="U91" s="848">
        <f t="shared" si="55"/>
        <v>0</v>
      </c>
      <c r="V91" s="835">
        <f t="shared" si="56"/>
        <v>0</v>
      </c>
    </row>
    <row r="92" spans="1:22">
      <c r="A92" s="3436"/>
      <c r="B92" s="931" t="s">
        <v>561</v>
      </c>
      <c r="C92" s="972">
        <v>0</v>
      </c>
      <c r="D92" s="836">
        <f t="shared" si="58"/>
        <v>0</v>
      </c>
      <c r="E92" s="848">
        <v>0</v>
      </c>
      <c r="F92" s="835">
        <v>0</v>
      </c>
      <c r="G92" s="848">
        <v>0</v>
      </c>
      <c r="H92" s="836">
        <v>0</v>
      </c>
      <c r="I92" s="848">
        <v>0</v>
      </c>
      <c r="J92" s="835">
        <v>0</v>
      </c>
      <c r="K92" s="848">
        <v>0</v>
      </c>
      <c r="L92" s="836">
        <v>0</v>
      </c>
      <c r="M92" s="848">
        <v>0</v>
      </c>
      <c r="N92" s="835">
        <v>0</v>
      </c>
      <c r="O92" s="848">
        <v>0</v>
      </c>
      <c r="P92" s="835">
        <v>0</v>
      </c>
      <c r="Q92" s="859" t="s">
        <v>16</v>
      </c>
      <c r="R92" s="858" t="s">
        <v>16</v>
      </c>
      <c r="S92" s="841">
        <v>0</v>
      </c>
      <c r="U92" s="848">
        <f t="shared" si="55"/>
        <v>0</v>
      </c>
      <c r="V92" s="835">
        <f t="shared" si="56"/>
        <v>0</v>
      </c>
    </row>
    <row r="93" spans="1:22" ht="15.75" thickBot="1">
      <c r="A93" s="3436"/>
      <c r="B93" s="932" t="s">
        <v>562</v>
      </c>
      <c r="C93" s="1880">
        <v>0</v>
      </c>
      <c r="D93" s="1881">
        <f t="shared" si="58"/>
        <v>0.28000000000000003</v>
      </c>
      <c r="E93" s="849">
        <v>0</v>
      </c>
      <c r="F93" s="1885">
        <v>0.28999999999999998</v>
      </c>
      <c r="G93" s="849">
        <v>0</v>
      </c>
      <c r="H93" s="1881">
        <f>F93</f>
        <v>0.28999999999999998</v>
      </c>
      <c r="I93" s="849">
        <v>0</v>
      </c>
      <c r="J93" s="1885">
        <f>H93</f>
        <v>0.28999999999999998</v>
      </c>
      <c r="K93" s="849">
        <v>0</v>
      </c>
      <c r="L93" s="1881">
        <f>J93</f>
        <v>0.28999999999999998</v>
      </c>
      <c r="M93" s="849">
        <v>0</v>
      </c>
      <c r="N93" s="1885">
        <f>L93</f>
        <v>0.28999999999999998</v>
      </c>
      <c r="O93" s="849">
        <v>0</v>
      </c>
      <c r="P93" s="1885">
        <v>0.28999999999999998</v>
      </c>
      <c r="Q93" s="1886" t="s">
        <v>16</v>
      </c>
      <c r="R93" s="1888">
        <f t="shared" si="60"/>
        <v>0.04</v>
      </c>
      <c r="S93" s="846">
        <v>0.28999999999999998</v>
      </c>
      <c r="U93" s="849">
        <f t="shared" si="55"/>
        <v>0</v>
      </c>
      <c r="V93" s="1885">
        <f t="shared" si="56"/>
        <v>0.01</v>
      </c>
    </row>
    <row r="94" spans="1:22" ht="16.5" thickTop="1" thickBot="1">
      <c r="A94" s="3437"/>
      <c r="B94" s="842" t="s">
        <v>18</v>
      </c>
      <c r="C94" s="973">
        <f>SUM(C84:C93)</f>
        <v>1636</v>
      </c>
      <c r="D94" s="852">
        <f>'Table 7'!E12</f>
        <v>1.82</v>
      </c>
      <c r="E94" s="850">
        <f t="shared" ref="E94:P94" si="61">SUM(E84:E93)</f>
        <v>1499</v>
      </c>
      <c r="F94" s="843">
        <f t="shared" si="61"/>
        <v>1.89</v>
      </c>
      <c r="G94" s="850">
        <f t="shared" si="61"/>
        <v>1499</v>
      </c>
      <c r="H94" s="852">
        <f t="shared" si="61"/>
        <v>1.87</v>
      </c>
      <c r="I94" s="850">
        <f t="shared" si="61"/>
        <v>1499</v>
      </c>
      <c r="J94" s="843">
        <f t="shared" si="61"/>
        <v>1.85</v>
      </c>
      <c r="K94" s="850">
        <f t="shared" si="61"/>
        <v>1499</v>
      </c>
      <c r="L94" s="852">
        <f t="shared" si="61"/>
        <v>1.88</v>
      </c>
      <c r="M94" s="850">
        <f t="shared" si="61"/>
        <v>1499</v>
      </c>
      <c r="N94" s="843">
        <f t="shared" si="61"/>
        <v>1.87</v>
      </c>
      <c r="O94" s="850">
        <f t="shared" si="61"/>
        <v>1499</v>
      </c>
      <c r="P94" s="843">
        <f t="shared" si="61"/>
        <v>1.86</v>
      </c>
      <c r="Q94" s="844">
        <f t="shared" si="59"/>
        <v>-0.08</v>
      </c>
      <c r="R94" s="845">
        <f t="shared" si="60"/>
        <v>0.02</v>
      </c>
      <c r="S94" s="855">
        <f>SUM(S84:S93)</f>
        <v>2.38</v>
      </c>
      <c r="U94" s="850">
        <f t="shared" si="55"/>
        <v>-137</v>
      </c>
      <c r="V94" s="843">
        <f t="shared" si="56"/>
        <v>0.04</v>
      </c>
    </row>
    <row r="95" spans="1:22" ht="15" customHeight="1">
      <c r="A95" s="3435" t="s">
        <v>571</v>
      </c>
      <c r="B95" s="933" t="s">
        <v>553</v>
      </c>
      <c r="C95" s="971">
        <f>C84+C73</f>
        <v>0</v>
      </c>
      <c r="D95" s="851">
        <f t="shared" ref="D95:N95" si="62">D84+D73</f>
        <v>0</v>
      </c>
      <c r="E95" s="847">
        <f t="shared" si="62"/>
        <v>0</v>
      </c>
      <c r="F95" s="853">
        <f t="shared" si="62"/>
        <v>0</v>
      </c>
      <c r="G95" s="847">
        <f t="shared" si="62"/>
        <v>0</v>
      </c>
      <c r="H95" s="851">
        <f t="shared" si="62"/>
        <v>0</v>
      </c>
      <c r="I95" s="847">
        <f t="shared" si="62"/>
        <v>0</v>
      </c>
      <c r="J95" s="853">
        <f t="shared" si="62"/>
        <v>0</v>
      </c>
      <c r="K95" s="847">
        <f t="shared" si="62"/>
        <v>0</v>
      </c>
      <c r="L95" s="851">
        <f t="shared" si="62"/>
        <v>0</v>
      </c>
      <c r="M95" s="847">
        <f t="shared" si="62"/>
        <v>0</v>
      </c>
      <c r="N95" s="853">
        <f t="shared" si="62"/>
        <v>0</v>
      </c>
      <c r="O95" s="847">
        <f t="shared" ref="O95:P95" si="63">O84+O73</f>
        <v>0</v>
      </c>
      <c r="P95" s="853">
        <f t="shared" si="63"/>
        <v>0</v>
      </c>
      <c r="Q95" s="878" t="s">
        <v>16</v>
      </c>
      <c r="R95" s="879" t="s">
        <v>16</v>
      </c>
      <c r="S95" s="854">
        <f t="shared" ref="S95:S105" si="64">S84+S73</f>
        <v>0</v>
      </c>
      <c r="U95" s="847">
        <f t="shared" si="55"/>
        <v>0</v>
      </c>
      <c r="V95" s="853">
        <f t="shared" si="56"/>
        <v>0</v>
      </c>
    </row>
    <row r="96" spans="1:22">
      <c r="A96" s="3436"/>
      <c r="B96" s="931" t="s">
        <v>554</v>
      </c>
      <c r="C96" s="972">
        <f t="shared" ref="C96:N97" si="65">C85+C74</f>
        <v>26</v>
      </c>
      <c r="D96" s="836">
        <f t="shared" si="65"/>
        <v>0.04</v>
      </c>
      <c r="E96" s="848">
        <f t="shared" si="65"/>
        <v>20</v>
      </c>
      <c r="F96" s="835">
        <f t="shared" si="65"/>
        <v>0.04</v>
      </c>
      <c r="G96" s="848">
        <f t="shared" si="65"/>
        <v>20</v>
      </c>
      <c r="H96" s="836">
        <f t="shared" si="65"/>
        <v>0.04</v>
      </c>
      <c r="I96" s="848">
        <f t="shared" si="65"/>
        <v>20</v>
      </c>
      <c r="J96" s="835">
        <f t="shared" si="65"/>
        <v>0.04</v>
      </c>
      <c r="K96" s="848">
        <f t="shared" si="65"/>
        <v>20</v>
      </c>
      <c r="L96" s="836">
        <f t="shared" si="65"/>
        <v>0.05</v>
      </c>
      <c r="M96" s="848">
        <f t="shared" si="65"/>
        <v>20</v>
      </c>
      <c r="N96" s="835">
        <f t="shared" si="65"/>
        <v>0.05</v>
      </c>
      <c r="O96" s="848">
        <f t="shared" ref="O96:P96" si="66">O85+O74</f>
        <v>20</v>
      </c>
      <c r="P96" s="835">
        <f t="shared" si="66"/>
        <v>0.05</v>
      </c>
      <c r="Q96" s="859">
        <f t="shared" si="59"/>
        <v>-0.23</v>
      </c>
      <c r="R96" s="858">
        <f t="shared" si="60"/>
        <v>0.25</v>
      </c>
      <c r="S96" s="841">
        <f t="shared" si="64"/>
        <v>7.0000000000000007E-2</v>
      </c>
      <c r="U96" s="848">
        <f t="shared" si="55"/>
        <v>-6</v>
      </c>
      <c r="V96" s="835">
        <f t="shared" si="56"/>
        <v>0.01</v>
      </c>
    </row>
    <row r="97" spans="1:22">
      <c r="A97" s="3436"/>
      <c r="B97" s="931" t="s">
        <v>555</v>
      </c>
      <c r="C97" s="972">
        <f t="shared" si="65"/>
        <v>0</v>
      </c>
      <c r="D97" s="836">
        <f t="shared" si="65"/>
        <v>0</v>
      </c>
      <c r="E97" s="848">
        <f t="shared" si="65"/>
        <v>0</v>
      </c>
      <c r="F97" s="835">
        <f t="shared" si="65"/>
        <v>0</v>
      </c>
      <c r="G97" s="848">
        <f t="shared" si="65"/>
        <v>0</v>
      </c>
      <c r="H97" s="836">
        <f t="shared" si="65"/>
        <v>0</v>
      </c>
      <c r="I97" s="848">
        <f t="shared" si="65"/>
        <v>0</v>
      </c>
      <c r="J97" s="835">
        <f t="shared" si="65"/>
        <v>0</v>
      </c>
      <c r="K97" s="848">
        <f t="shared" si="65"/>
        <v>0</v>
      </c>
      <c r="L97" s="836">
        <f t="shared" si="65"/>
        <v>0</v>
      </c>
      <c r="M97" s="848">
        <f t="shared" si="65"/>
        <v>0</v>
      </c>
      <c r="N97" s="835">
        <f t="shared" si="65"/>
        <v>0</v>
      </c>
      <c r="O97" s="848">
        <f t="shared" ref="O97:P97" si="67">O86+O75</f>
        <v>0</v>
      </c>
      <c r="P97" s="835">
        <f t="shared" si="67"/>
        <v>0</v>
      </c>
      <c r="Q97" s="859" t="s">
        <v>16</v>
      </c>
      <c r="R97" s="858" t="s">
        <v>16</v>
      </c>
      <c r="S97" s="841">
        <f t="shared" si="64"/>
        <v>0</v>
      </c>
      <c r="U97" s="848">
        <f t="shared" si="55"/>
        <v>0</v>
      </c>
      <c r="V97" s="835">
        <f t="shared" si="56"/>
        <v>0</v>
      </c>
    </row>
    <row r="98" spans="1:22">
      <c r="A98" s="3436"/>
      <c r="B98" s="931" t="s">
        <v>556</v>
      </c>
      <c r="C98" s="972">
        <f t="shared" ref="C98:N98" si="68">C87+C76</f>
        <v>306</v>
      </c>
      <c r="D98" s="836">
        <f t="shared" si="68"/>
        <v>0.39</v>
      </c>
      <c r="E98" s="848">
        <f t="shared" si="68"/>
        <v>306</v>
      </c>
      <c r="F98" s="835">
        <f t="shared" si="68"/>
        <v>0.41</v>
      </c>
      <c r="G98" s="848">
        <f t="shared" si="68"/>
        <v>306</v>
      </c>
      <c r="H98" s="836">
        <f t="shared" si="68"/>
        <v>0.41</v>
      </c>
      <c r="I98" s="848">
        <f t="shared" si="68"/>
        <v>306</v>
      </c>
      <c r="J98" s="835">
        <f t="shared" si="68"/>
        <v>0.42</v>
      </c>
      <c r="K98" s="848">
        <f t="shared" si="68"/>
        <v>306</v>
      </c>
      <c r="L98" s="836">
        <f t="shared" si="68"/>
        <v>0.42</v>
      </c>
      <c r="M98" s="848">
        <f t="shared" si="68"/>
        <v>306</v>
      </c>
      <c r="N98" s="835">
        <f t="shared" si="68"/>
        <v>0.42</v>
      </c>
      <c r="O98" s="848">
        <f t="shared" ref="O98:P98" si="69">O87+O76</f>
        <v>306</v>
      </c>
      <c r="P98" s="835">
        <f t="shared" si="69"/>
        <v>0.43</v>
      </c>
      <c r="Q98" s="859">
        <f t="shared" si="59"/>
        <v>0</v>
      </c>
      <c r="R98" s="858">
        <f t="shared" si="60"/>
        <v>0.1</v>
      </c>
      <c r="S98" s="841">
        <f t="shared" si="64"/>
        <v>0.56000000000000005</v>
      </c>
      <c r="U98" s="848">
        <f t="shared" si="55"/>
        <v>0</v>
      </c>
      <c r="V98" s="835">
        <f t="shared" si="56"/>
        <v>0.04</v>
      </c>
    </row>
    <row r="99" spans="1:22">
      <c r="A99" s="3436"/>
      <c r="B99" s="931" t="s">
        <v>557</v>
      </c>
      <c r="C99" s="972">
        <f t="shared" ref="C99:N99" si="70">C88+C77</f>
        <v>245</v>
      </c>
      <c r="D99" s="836">
        <f t="shared" si="70"/>
        <v>0.14000000000000001</v>
      </c>
      <c r="E99" s="848">
        <f t="shared" si="70"/>
        <v>200</v>
      </c>
      <c r="F99" s="835">
        <f t="shared" si="70"/>
        <v>0.15</v>
      </c>
      <c r="G99" s="848">
        <f t="shared" si="70"/>
        <v>200</v>
      </c>
      <c r="H99" s="836">
        <f t="shared" si="70"/>
        <v>0.15</v>
      </c>
      <c r="I99" s="848">
        <f t="shared" si="70"/>
        <v>200</v>
      </c>
      <c r="J99" s="835">
        <f t="shared" si="70"/>
        <v>0.15</v>
      </c>
      <c r="K99" s="848">
        <f t="shared" si="70"/>
        <v>200</v>
      </c>
      <c r="L99" s="836">
        <f t="shared" si="70"/>
        <v>0.16</v>
      </c>
      <c r="M99" s="848">
        <f t="shared" si="70"/>
        <v>200</v>
      </c>
      <c r="N99" s="835">
        <f t="shared" si="70"/>
        <v>0.16</v>
      </c>
      <c r="O99" s="848">
        <f t="shared" ref="O99:P99" si="71">O88+O77</f>
        <v>200</v>
      </c>
      <c r="P99" s="835">
        <f t="shared" si="71"/>
        <v>0.16</v>
      </c>
      <c r="Q99" s="859">
        <f t="shared" si="59"/>
        <v>-0.18</v>
      </c>
      <c r="R99" s="858">
        <f t="shared" si="60"/>
        <v>0.14000000000000001</v>
      </c>
      <c r="S99" s="841">
        <f t="shared" si="64"/>
        <v>0.2</v>
      </c>
      <c r="U99" s="848">
        <f t="shared" si="55"/>
        <v>-45</v>
      </c>
      <c r="V99" s="835">
        <f t="shared" si="56"/>
        <v>0.02</v>
      </c>
    </row>
    <row r="100" spans="1:22">
      <c r="A100" s="3436"/>
      <c r="B100" s="931" t="s">
        <v>558</v>
      </c>
      <c r="C100" s="972">
        <f t="shared" ref="C100:N101" si="72">C89+C78</f>
        <v>2</v>
      </c>
      <c r="D100" s="836">
        <f t="shared" si="72"/>
        <v>0</v>
      </c>
      <c r="E100" s="848">
        <f t="shared" si="72"/>
        <v>2</v>
      </c>
      <c r="F100" s="835">
        <f t="shared" si="72"/>
        <v>0</v>
      </c>
      <c r="G100" s="848">
        <f t="shared" si="72"/>
        <v>2</v>
      </c>
      <c r="H100" s="836">
        <f t="shared" si="72"/>
        <v>0</v>
      </c>
      <c r="I100" s="848">
        <f t="shared" si="72"/>
        <v>2</v>
      </c>
      <c r="J100" s="835">
        <f t="shared" si="72"/>
        <v>0</v>
      </c>
      <c r="K100" s="848">
        <f t="shared" si="72"/>
        <v>2</v>
      </c>
      <c r="L100" s="836">
        <f t="shared" si="72"/>
        <v>0</v>
      </c>
      <c r="M100" s="848">
        <f t="shared" si="72"/>
        <v>2</v>
      </c>
      <c r="N100" s="835">
        <f t="shared" si="72"/>
        <v>0</v>
      </c>
      <c r="O100" s="848">
        <f t="shared" ref="O100:P100" si="73">O89+O78</f>
        <v>2</v>
      </c>
      <c r="P100" s="835">
        <f t="shared" si="73"/>
        <v>0</v>
      </c>
      <c r="Q100" s="859">
        <f t="shared" si="59"/>
        <v>0</v>
      </c>
      <c r="R100" s="858" t="s">
        <v>16</v>
      </c>
      <c r="S100" s="841">
        <f t="shared" si="64"/>
        <v>0</v>
      </c>
      <c r="U100" s="848">
        <f t="shared" si="55"/>
        <v>0</v>
      </c>
      <c r="V100" s="835">
        <f t="shared" si="56"/>
        <v>0</v>
      </c>
    </row>
    <row r="101" spans="1:22">
      <c r="A101" s="3436"/>
      <c r="B101" s="931" t="s">
        <v>559</v>
      </c>
      <c r="C101" s="972">
        <f t="shared" si="72"/>
        <v>1057</v>
      </c>
      <c r="D101" s="836">
        <f t="shared" si="72"/>
        <v>0.96</v>
      </c>
      <c r="E101" s="848">
        <f t="shared" si="72"/>
        <v>971</v>
      </c>
      <c r="F101" s="835">
        <f t="shared" si="72"/>
        <v>1</v>
      </c>
      <c r="G101" s="848">
        <f t="shared" si="72"/>
        <v>971</v>
      </c>
      <c r="H101" s="836">
        <f t="shared" si="72"/>
        <v>0.98</v>
      </c>
      <c r="I101" s="848">
        <f t="shared" si="72"/>
        <v>971</v>
      </c>
      <c r="J101" s="835">
        <f t="shared" si="72"/>
        <v>0.95</v>
      </c>
      <c r="K101" s="848">
        <f t="shared" si="72"/>
        <v>971</v>
      </c>
      <c r="L101" s="836">
        <f t="shared" si="72"/>
        <v>0.96</v>
      </c>
      <c r="M101" s="848">
        <f t="shared" si="72"/>
        <v>971</v>
      </c>
      <c r="N101" s="835">
        <f t="shared" si="72"/>
        <v>0.95</v>
      </c>
      <c r="O101" s="848">
        <f t="shared" ref="O101:P101" si="74">O90+O79</f>
        <v>971</v>
      </c>
      <c r="P101" s="835">
        <f t="shared" si="74"/>
        <v>0.93</v>
      </c>
      <c r="Q101" s="859">
        <f t="shared" si="59"/>
        <v>-0.08</v>
      </c>
      <c r="R101" s="858">
        <f t="shared" si="60"/>
        <v>-0.03</v>
      </c>
      <c r="S101" s="841">
        <f t="shared" si="64"/>
        <v>1.26</v>
      </c>
      <c r="U101" s="848">
        <f t="shared" si="55"/>
        <v>-86</v>
      </c>
      <c r="V101" s="835">
        <f t="shared" si="56"/>
        <v>-0.03</v>
      </c>
    </row>
    <row r="102" spans="1:22">
      <c r="A102" s="3436"/>
      <c r="B102" s="931" t="s">
        <v>560</v>
      </c>
      <c r="C102" s="972">
        <f t="shared" ref="C102:N102" si="75">C91+C80</f>
        <v>0</v>
      </c>
      <c r="D102" s="836">
        <f t="shared" si="75"/>
        <v>0</v>
      </c>
      <c r="E102" s="848">
        <f t="shared" si="75"/>
        <v>0</v>
      </c>
      <c r="F102" s="835">
        <f t="shared" si="75"/>
        <v>0</v>
      </c>
      <c r="G102" s="848">
        <f t="shared" si="75"/>
        <v>0</v>
      </c>
      <c r="H102" s="836">
        <f t="shared" si="75"/>
        <v>0</v>
      </c>
      <c r="I102" s="848">
        <f t="shared" si="75"/>
        <v>0</v>
      </c>
      <c r="J102" s="835">
        <f t="shared" si="75"/>
        <v>0</v>
      </c>
      <c r="K102" s="848">
        <f t="shared" si="75"/>
        <v>0</v>
      </c>
      <c r="L102" s="836">
        <f t="shared" si="75"/>
        <v>0</v>
      </c>
      <c r="M102" s="848">
        <f t="shared" si="75"/>
        <v>0</v>
      </c>
      <c r="N102" s="835">
        <f t="shared" si="75"/>
        <v>0</v>
      </c>
      <c r="O102" s="848">
        <f t="shared" ref="O102:P102" si="76">O91+O80</f>
        <v>0</v>
      </c>
      <c r="P102" s="835">
        <f t="shared" si="76"/>
        <v>0</v>
      </c>
      <c r="Q102" s="859" t="s">
        <v>16</v>
      </c>
      <c r="R102" s="858" t="s">
        <v>16</v>
      </c>
      <c r="S102" s="841">
        <f t="shared" si="64"/>
        <v>0</v>
      </c>
      <c r="U102" s="848">
        <f t="shared" si="55"/>
        <v>0</v>
      </c>
      <c r="V102" s="835">
        <f t="shared" si="56"/>
        <v>0</v>
      </c>
    </row>
    <row r="103" spans="1:22">
      <c r="A103" s="3436"/>
      <c r="B103" s="931" t="s">
        <v>561</v>
      </c>
      <c r="C103" s="972">
        <f t="shared" ref="C103:N103" si="77">C92+C81</f>
        <v>0</v>
      </c>
      <c r="D103" s="836">
        <f t="shared" si="77"/>
        <v>0</v>
      </c>
      <c r="E103" s="848">
        <f t="shared" si="77"/>
        <v>0</v>
      </c>
      <c r="F103" s="835">
        <f t="shared" si="77"/>
        <v>0</v>
      </c>
      <c r="G103" s="848">
        <f t="shared" si="77"/>
        <v>0</v>
      </c>
      <c r="H103" s="836">
        <f t="shared" si="77"/>
        <v>0</v>
      </c>
      <c r="I103" s="848">
        <f t="shared" si="77"/>
        <v>0</v>
      </c>
      <c r="J103" s="835">
        <f t="shared" si="77"/>
        <v>0</v>
      </c>
      <c r="K103" s="848">
        <f t="shared" si="77"/>
        <v>0</v>
      </c>
      <c r="L103" s="836">
        <f t="shared" si="77"/>
        <v>0</v>
      </c>
      <c r="M103" s="848">
        <f t="shared" si="77"/>
        <v>0</v>
      </c>
      <c r="N103" s="835">
        <f t="shared" si="77"/>
        <v>0</v>
      </c>
      <c r="O103" s="848">
        <f t="shared" ref="O103:P103" si="78">O92+O81</f>
        <v>0</v>
      </c>
      <c r="P103" s="835">
        <f t="shared" si="78"/>
        <v>0</v>
      </c>
      <c r="Q103" s="859" t="s">
        <v>16</v>
      </c>
      <c r="R103" s="858" t="s">
        <v>16</v>
      </c>
      <c r="S103" s="841">
        <f t="shared" si="64"/>
        <v>0</v>
      </c>
      <c r="U103" s="848">
        <f t="shared" si="55"/>
        <v>0</v>
      </c>
      <c r="V103" s="835">
        <f t="shared" si="56"/>
        <v>0</v>
      </c>
    </row>
    <row r="104" spans="1:22" ht="15.75" thickBot="1">
      <c r="A104" s="3436"/>
      <c r="B104" s="932" t="s">
        <v>562</v>
      </c>
      <c r="C104" s="1880">
        <f t="shared" ref="C104:N104" si="79">C93+C82</f>
        <v>0</v>
      </c>
      <c r="D104" s="1881">
        <f t="shared" si="79"/>
        <v>0.28000000000000003</v>
      </c>
      <c r="E104" s="849">
        <f t="shared" si="79"/>
        <v>0</v>
      </c>
      <c r="F104" s="1885">
        <f t="shared" si="79"/>
        <v>0.28999999999999998</v>
      </c>
      <c r="G104" s="849">
        <f t="shared" si="79"/>
        <v>0</v>
      </c>
      <c r="H104" s="1881">
        <f t="shared" si="79"/>
        <v>0.28999999999999998</v>
      </c>
      <c r="I104" s="849">
        <f t="shared" si="79"/>
        <v>0</v>
      </c>
      <c r="J104" s="1885">
        <f t="shared" si="79"/>
        <v>0.28999999999999998</v>
      </c>
      <c r="K104" s="849">
        <f t="shared" si="79"/>
        <v>0</v>
      </c>
      <c r="L104" s="1881">
        <f t="shared" si="79"/>
        <v>0.28999999999999998</v>
      </c>
      <c r="M104" s="849">
        <f t="shared" si="79"/>
        <v>0</v>
      </c>
      <c r="N104" s="1885">
        <f t="shared" si="79"/>
        <v>0.28999999999999998</v>
      </c>
      <c r="O104" s="849">
        <f t="shared" ref="O104:P104" si="80">O93+O82</f>
        <v>0</v>
      </c>
      <c r="P104" s="1885">
        <f t="shared" si="80"/>
        <v>0.28999999999999998</v>
      </c>
      <c r="Q104" s="1886" t="s">
        <v>16</v>
      </c>
      <c r="R104" s="1888">
        <f t="shared" si="60"/>
        <v>0.04</v>
      </c>
      <c r="S104" s="846">
        <f t="shared" si="64"/>
        <v>0.28999999999999998</v>
      </c>
      <c r="U104" s="849">
        <f t="shared" si="55"/>
        <v>0</v>
      </c>
      <c r="V104" s="1885">
        <f t="shared" si="56"/>
        <v>0.01</v>
      </c>
    </row>
    <row r="105" spans="1:22" ht="16.5" thickTop="1" thickBot="1">
      <c r="A105" s="3437"/>
      <c r="B105" s="842" t="s">
        <v>18</v>
      </c>
      <c r="C105" s="973">
        <f t="shared" ref="C105:N105" si="81">C94+C83</f>
        <v>1636</v>
      </c>
      <c r="D105" s="852">
        <f t="shared" si="81"/>
        <v>1.82</v>
      </c>
      <c r="E105" s="850">
        <f t="shared" si="81"/>
        <v>1499</v>
      </c>
      <c r="F105" s="843">
        <f t="shared" si="81"/>
        <v>1.89</v>
      </c>
      <c r="G105" s="850">
        <f t="shared" si="81"/>
        <v>1499</v>
      </c>
      <c r="H105" s="852">
        <f t="shared" si="81"/>
        <v>1.87</v>
      </c>
      <c r="I105" s="850">
        <f t="shared" si="81"/>
        <v>1499</v>
      </c>
      <c r="J105" s="843">
        <f t="shared" si="81"/>
        <v>1.85</v>
      </c>
      <c r="K105" s="850">
        <f t="shared" si="81"/>
        <v>1499</v>
      </c>
      <c r="L105" s="852">
        <f t="shared" si="81"/>
        <v>1.88</v>
      </c>
      <c r="M105" s="850">
        <f t="shared" si="81"/>
        <v>1499</v>
      </c>
      <c r="N105" s="843">
        <f t="shared" si="81"/>
        <v>1.87</v>
      </c>
      <c r="O105" s="850">
        <f t="shared" ref="O105:P105" si="82">O94+O83</f>
        <v>1499</v>
      </c>
      <c r="P105" s="843">
        <f t="shared" si="82"/>
        <v>1.86</v>
      </c>
      <c r="Q105" s="880">
        <f t="shared" si="59"/>
        <v>-0.08</v>
      </c>
      <c r="R105" s="881">
        <f t="shared" si="60"/>
        <v>0.02</v>
      </c>
      <c r="S105" s="855">
        <f t="shared" si="64"/>
        <v>2.38</v>
      </c>
      <c r="U105" s="850">
        <f t="shared" si="55"/>
        <v>-137</v>
      </c>
      <c r="V105" s="843">
        <f t="shared" si="56"/>
        <v>0.04</v>
      </c>
    </row>
    <row r="106" spans="1:22">
      <c r="A106" s="3435" t="s">
        <v>120</v>
      </c>
      <c r="B106" s="933" t="s">
        <v>553</v>
      </c>
      <c r="C106" s="971">
        <v>0</v>
      </c>
      <c r="D106" s="851">
        <f>(F106/$F$116)*$D$116</f>
        <v>0</v>
      </c>
      <c r="E106" s="847">
        <v>0</v>
      </c>
      <c r="F106" s="853">
        <v>0</v>
      </c>
      <c r="G106" s="847">
        <v>0</v>
      </c>
      <c r="H106" s="851">
        <v>0</v>
      </c>
      <c r="I106" s="847">
        <v>0</v>
      </c>
      <c r="J106" s="853">
        <v>0</v>
      </c>
      <c r="K106" s="847">
        <v>0</v>
      </c>
      <c r="L106" s="851">
        <v>0</v>
      </c>
      <c r="M106" s="847">
        <v>0</v>
      </c>
      <c r="N106" s="853">
        <v>0</v>
      </c>
      <c r="O106" s="847">
        <v>0</v>
      </c>
      <c r="P106" s="853">
        <v>0</v>
      </c>
      <c r="Q106" s="878" t="s">
        <v>16</v>
      </c>
      <c r="R106" s="879" t="s">
        <v>16</v>
      </c>
      <c r="S106" s="854">
        <v>0</v>
      </c>
      <c r="U106" s="847">
        <f t="shared" si="55"/>
        <v>0</v>
      </c>
      <c r="V106" s="853">
        <f t="shared" si="56"/>
        <v>0</v>
      </c>
    </row>
    <row r="107" spans="1:22">
      <c r="A107" s="3436"/>
      <c r="B107" s="931" t="s">
        <v>554</v>
      </c>
      <c r="C107" s="972">
        <v>0</v>
      </c>
      <c r="D107" s="836">
        <f t="shared" ref="D107:D115" si="83">(F107/$F$116)*$D$116</f>
        <v>0</v>
      </c>
      <c r="E107" s="848">
        <v>0</v>
      </c>
      <c r="F107" s="835">
        <v>0</v>
      </c>
      <c r="G107" s="848">
        <v>0</v>
      </c>
      <c r="H107" s="836">
        <v>0</v>
      </c>
      <c r="I107" s="848">
        <v>0</v>
      </c>
      <c r="J107" s="835">
        <v>0</v>
      </c>
      <c r="K107" s="848">
        <v>0</v>
      </c>
      <c r="L107" s="836">
        <v>0</v>
      </c>
      <c r="M107" s="848">
        <v>0</v>
      </c>
      <c r="N107" s="835">
        <v>0</v>
      </c>
      <c r="O107" s="848">
        <v>0</v>
      </c>
      <c r="P107" s="835">
        <v>0</v>
      </c>
      <c r="Q107" s="859" t="s">
        <v>16</v>
      </c>
      <c r="R107" s="858" t="s">
        <v>16</v>
      </c>
      <c r="S107" s="841">
        <v>0</v>
      </c>
      <c r="U107" s="848">
        <f t="shared" si="55"/>
        <v>0</v>
      </c>
      <c r="V107" s="835">
        <f t="shared" si="56"/>
        <v>0</v>
      </c>
    </row>
    <row r="108" spans="1:22">
      <c r="A108" s="3436"/>
      <c r="B108" s="931" t="s">
        <v>555</v>
      </c>
      <c r="C108" s="972">
        <v>0</v>
      </c>
      <c r="D108" s="836">
        <f t="shared" si="83"/>
        <v>0</v>
      </c>
      <c r="E108" s="848">
        <v>0</v>
      </c>
      <c r="F108" s="835">
        <v>0</v>
      </c>
      <c r="G108" s="848">
        <v>0</v>
      </c>
      <c r="H108" s="836">
        <v>0</v>
      </c>
      <c r="I108" s="848">
        <v>0</v>
      </c>
      <c r="J108" s="835">
        <v>0</v>
      </c>
      <c r="K108" s="848">
        <v>0</v>
      </c>
      <c r="L108" s="836">
        <v>0</v>
      </c>
      <c r="M108" s="848">
        <v>0</v>
      </c>
      <c r="N108" s="835">
        <v>0</v>
      </c>
      <c r="O108" s="848">
        <v>0</v>
      </c>
      <c r="P108" s="835">
        <v>0</v>
      </c>
      <c r="Q108" s="859" t="s">
        <v>16</v>
      </c>
      <c r="R108" s="858" t="s">
        <v>16</v>
      </c>
      <c r="S108" s="841">
        <v>0</v>
      </c>
      <c r="U108" s="848">
        <f t="shared" si="55"/>
        <v>0</v>
      </c>
      <c r="V108" s="835">
        <f t="shared" si="56"/>
        <v>0</v>
      </c>
    </row>
    <row r="109" spans="1:22">
      <c r="A109" s="3436"/>
      <c r="B109" s="931" t="s">
        <v>556</v>
      </c>
      <c r="C109" s="972">
        <v>0</v>
      </c>
      <c r="D109" s="836">
        <f t="shared" si="83"/>
        <v>0</v>
      </c>
      <c r="E109" s="848">
        <v>0</v>
      </c>
      <c r="F109" s="835">
        <v>0</v>
      </c>
      <c r="G109" s="848">
        <v>0</v>
      </c>
      <c r="H109" s="836">
        <v>0</v>
      </c>
      <c r="I109" s="848">
        <v>0</v>
      </c>
      <c r="J109" s="835">
        <v>0</v>
      </c>
      <c r="K109" s="848">
        <v>0</v>
      </c>
      <c r="L109" s="836">
        <v>0</v>
      </c>
      <c r="M109" s="848">
        <v>0</v>
      </c>
      <c r="N109" s="835">
        <v>0</v>
      </c>
      <c r="O109" s="848">
        <v>0</v>
      </c>
      <c r="P109" s="835">
        <v>0</v>
      </c>
      <c r="Q109" s="859" t="s">
        <v>16</v>
      </c>
      <c r="R109" s="858" t="s">
        <v>16</v>
      </c>
      <c r="S109" s="841">
        <v>0</v>
      </c>
      <c r="U109" s="848">
        <f t="shared" si="55"/>
        <v>0</v>
      </c>
      <c r="V109" s="835">
        <f t="shared" si="56"/>
        <v>0</v>
      </c>
    </row>
    <row r="110" spans="1:22">
      <c r="A110" s="3436"/>
      <c r="B110" s="931" t="s">
        <v>557</v>
      </c>
      <c r="C110" s="972">
        <v>0</v>
      </c>
      <c r="D110" s="836">
        <f t="shared" si="83"/>
        <v>0</v>
      </c>
      <c r="E110" s="848">
        <v>0</v>
      </c>
      <c r="F110" s="835">
        <v>0</v>
      </c>
      <c r="G110" s="848">
        <v>0</v>
      </c>
      <c r="H110" s="836">
        <v>0</v>
      </c>
      <c r="I110" s="848">
        <v>0</v>
      </c>
      <c r="J110" s="835">
        <v>0</v>
      </c>
      <c r="K110" s="848">
        <v>0</v>
      </c>
      <c r="L110" s="836">
        <v>0</v>
      </c>
      <c r="M110" s="848">
        <v>0</v>
      </c>
      <c r="N110" s="835">
        <v>0</v>
      </c>
      <c r="O110" s="848">
        <v>0</v>
      </c>
      <c r="P110" s="835">
        <v>0</v>
      </c>
      <c r="Q110" s="859" t="s">
        <v>16</v>
      </c>
      <c r="R110" s="858" t="s">
        <v>16</v>
      </c>
      <c r="S110" s="841">
        <v>0</v>
      </c>
      <c r="U110" s="848">
        <f t="shared" si="55"/>
        <v>0</v>
      </c>
      <c r="V110" s="835">
        <f t="shared" si="56"/>
        <v>0</v>
      </c>
    </row>
    <row r="111" spans="1:22">
      <c r="A111" s="3436"/>
      <c r="B111" s="931" t="s">
        <v>558</v>
      </c>
      <c r="C111" s="972">
        <v>450</v>
      </c>
      <c r="D111" s="836">
        <f t="shared" si="83"/>
        <v>0.97</v>
      </c>
      <c r="E111" s="848">
        <v>437</v>
      </c>
      <c r="F111" s="835">
        <v>1.08</v>
      </c>
      <c r="G111" s="848">
        <v>437</v>
      </c>
      <c r="H111" s="836">
        <v>1.1000000000000001</v>
      </c>
      <c r="I111" s="848">
        <v>437</v>
      </c>
      <c r="J111" s="835">
        <v>1.1000000000000001</v>
      </c>
      <c r="K111" s="848">
        <v>437</v>
      </c>
      <c r="L111" s="836">
        <v>1.1200000000000001</v>
      </c>
      <c r="M111" s="848">
        <v>437</v>
      </c>
      <c r="N111" s="835">
        <v>1.1399999999999999</v>
      </c>
      <c r="O111" s="848">
        <v>437</v>
      </c>
      <c r="P111" s="835">
        <v>1.1599999999999999</v>
      </c>
      <c r="Q111" s="859">
        <f t="shared" si="59"/>
        <v>-0.03</v>
      </c>
      <c r="R111" s="858">
        <f t="shared" si="60"/>
        <v>0.2</v>
      </c>
      <c r="S111" s="841">
        <v>1.32</v>
      </c>
      <c r="U111" s="848">
        <f t="shared" si="55"/>
        <v>-13</v>
      </c>
      <c r="V111" s="835">
        <f t="shared" si="56"/>
        <v>0.19</v>
      </c>
    </row>
    <row r="112" spans="1:22">
      <c r="A112" s="3436"/>
      <c r="B112" s="931" t="s">
        <v>559</v>
      </c>
      <c r="C112" s="972">
        <v>277</v>
      </c>
      <c r="D112" s="836">
        <f t="shared" si="83"/>
        <v>0.21</v>
      </c>
      <c r="E112" s="848">
        <v>277</v>
      </c>
      <c r="F112" s="835">
        <v>0.23</v>
      </c>
      <c r="G112" s="848">
        <v>277</v>
      </c>
      <c r="H112" s="836">
        <v>0.22</v>
      </c>
      <c r="I112" s="848">
        <v>277</v>
      </c>
      <c r="J112" s="835">
        <v>0.22</v>
      </c>
      <c r="K112" s="848">
        <v>277</v>
      </c>
      <c r="L112" s="836">
        <v>0.21</v>
      </c>
      <c r="M112" s="848">
        <v>277</v>
      </c>
      <c r="N112" s="835">
        <v>0.21</v>
      </c>
      <c r="O112" s="848">
        <v>277</v>
      </c>
      <c r="P112" s="835">
        <v>0.21</v>
      </c>
      <c r="Q112" s="859">
        <f t="shared" si="59"/>
        <v>0</v>
      </c>
      <c r="R112" s="858">
        <f t="shared" si="60"/>
        <v>0</v>
      </c>
      <c r="S112" s="841">
        <v>0.34</v>
      </c>
      <c r="U112" s="848">
        <f t="shared" si="55"/>
        <v>0</v>
      </c>
      <c r="V112" s="835">
        <f t="shared" si="56"/>
        <v>0</v>
      </c>
    </row>
    <row r="113" spans="1:22">
      <c r="A113" s="3436"/>
      <c r="B113" s="931" t="s">
        <v>560</v>
      </c>
      <c r="C113" s="972">
        <v>0</v>
      </c>
      <c r="D113" s="836">
        <f t="shared" si="83"/>
        <v>0</v>
      </c>
      <c r="E113" s="848">
        <v>0</v>
      </c>
      <c r="F113" s="835">
        <v>0</v>
      </c>
      <c r="G113" s="848">
        <v>0</v>
      </c>
      <c r="H113" s="836">
        <v>0</v>
      </c>
      <c r="I113" s="848">
        <v>0</v>
      </c>
      <c r="J113" s="835">
        <v>0</v>
      </c>
      <c r="K113" s="848">
        <v>0</v>
      </c>
      <c r="L113" s="836">
        <v>0</v>
      </c>
      <c r="M113" s="848">
        <v>0</v>
      </c>
      <c r="N113" s="835">
        <v>0</v>
      </c>
      <c r="O113" s="848">
        <v>0</v>
      </c>
      <c r="P113" s="835">
        <v>0</v>
      </c>
      <c r="Q113" s="859" t="s">
        <v>16</v>
      </c>
      <c r="R113" s="858" t="s">
        <v>16</v>
      </c>
      <c r="S113" s="841">
        <v>0</v>
      </c>
      <c r="U113" s="848">
        <f t="shared" si="55"/>
        <v>0</v>
      </c>
      <c r="V113" s="835">
        <f t="shared" si="56"/>
        <v>0</v>
      </c>
    </row>
    <row r="114" spans="1:22">
      <c r="A114" s="3436"/>
      <c r="B114" s="931" t="s">
        <v>561</v>
      </c>
      <c r="C114" s="972">
        <v>0</v>
      </c>
      <c r="D114" s="836">
        <f t="shared" si="83"/>
        <v>0</v>
      </c>
      <c r="E114" s="848">
        <v>0</v>
      </c>
      <c r="F114" s="835">
        <v>0</v>
      </c>
      <c r="G114" s="848">
        <v>0</v>
      </c>
      <c r="H114" s="836">
        <v>0</v>
      </c>
      <c r="I114" s="848">
        <v>0</v>
      </c>
      <c r="J114" s="835">
        <v>0</v>
      </c>
      <c r="K114" s="848">
        <v>0</v>
      </c>
      <c r="L114" s="836">
        <v>0</v>
      </c>
      <c r="M114" s="848">
        <v>0</v>
      </c>
      <c r="N114" s="835">
        <v>0</v>
      </c>
      <c r="O114" s="848">
        <v>0</v>
      </c>
      <c r="P114" s="835">
        <v>0</v>
      </c>
      <c r="Q114" s="859" t="s">
        <v>16</v>
      </c>
      <c r="R114" s="858" t="s">
        <v>16</v>
      </c>
      <c r="S114" s="841">
        <v>0</v>
      </c>
      <c r="U114" s="848">
        <f t="shared" si="55"/>
        <v>0</v>
      </c>
      <c r="V114" s="835">
        <f t="shared" si="56"/>
        <v>0</v>
      </c>
    </row>
    <row r="115" spans="1:22" ht="15.75" thickBot="1">
      <c r="A115" s="3436"/>
      <c r="B115" s="932" t="s">
        <v>562</v>
      </c>
      <c r="C115" s="1880">
        <v>0</v>
      </c>
      <c r="D115" s="1881">
        <f t="shared" si="83"/>
        <v>0.05</v>
      </c>
      <c r="E115" s="849">
        <v>0</v>
      </c>
      <c r="F115" s="1885">
        <v>0.06</v>
      </c>
      <c r="G115" s="849">
        <v>0</v>
      </c>
      <c r="H115" s="1881">
        <f>F115</f>
        <v>0.06</v>
      </c>
      <c r="I115" s="849">
        <v>0</v>
      </c>
      <c r="J115" s="1885">
        <f>H115</f>
        <v>0.06</v>
      </c>
      <c r="K115" s="849">
        <v>0</v>
      </c>
      <c r="L115" s="1881">
        <f>J115</f>
        <v>0.06</v>
      </c>
      <c r="M115" s="849">
        <v>0</v>
      </c>
      <c r="N115" s="1885">
        <f>L115</f>
        <v>0.06</v>
      </c>
      <c r="O115" s="849">
        <v>0</v>
      </c>
      <c r="P115" s="1885">
        <v>0.06</v>
      </c>
      <c r="Q115" s="1886" t="s">
        <v>16</v>
      </c>
      <c r="R115" s="1888">
        <f t="shared" si="60"/>
        <v>0.2</v>
      </c>
      <c r="S115" s="846">
        <f>N115</f>
        <v>0.06</v>
      </c>
      <c r="U115" s="849">
        <f t="shared" si="55"/>
        <v>0</v>
      </c>
      <c r="V115" s="1885">
        <f t="shared" si="56"/>
        <v>0.01</v>
      </c>
    </row>
    <row r="116" spans="1:22" ht="16.5" thickTop="1" thickBot="1">
      <c r="A116" s="3437"/>
      <c r="B116" s="842" t="s">
        <v>18</v>
      </c>
      <c r="C116" s="973">
        <f>SUM(C106:C115)</f>
        <v>727</v>
      </c>
      <c r="D116" s="852">
        <f>'Table 7'!E14</f>
        <v>1.23</v>
      </c>
      <c r="E116" s="850">
        <f t="shared" ref="E116:P116" si="84">SUM(E106:E115)</f>
        <v>714</v>
      </c>
      <c r="F116" s="843">
        <f t="shared" si="84"/>
        <v>1.37</v>
      </c>
      <c r="G116" s="850">
        <f t="shared" si="84"/>
        <v>714</v>
      </c>
      <c r="H116" s="852">
        <f t="shared" si="84"/>
        <v>1.38</v>
      </c>
      <c r="I116" s="850">
        <f t="shared" si="84"/>
        <v>714</v>
      </c>
      <c r="J116" s="843">
        <f t="shared" si="84"/>
        <v>1.38</v>
      </c>
      <c r="K116" s="850">
        <f t="shared" si="84"/>
        <v>714</v>
      </c>
      <c r="L116" s="852">
        <f t="shared" si="84"/>
        <v>1.39</v>
      </c>
      <c r="M116" s="850">
        <f t="shared" si="84"/>
        <v>714</v>
      </c>
      <c r="N116" s="843">
        <f t="shared" si="84"/>
        <v>1.41</v>
      </c>
      <c r="O116" s="850">
        <f t="shared" si="84"/>
        <v>714</v>
      </c>
      <c r="P116" s="843">
        <f t="shared" si="84"/>
        <v>1.43</v>
      </c>
      <c r="Q116" s="880">
        <f t="shared" si="59"/>
        <v>-0.02</v>
      </c>
      <c r="R116" s="881">
        <f t="shared" si="60"/>
        <v>0.16</v>
      </c>
      <c r="S116" s="855">
        <f>SUM(S106:S115)</f>
        <v>1.72</v>
      </c>
      <c r="U116" s="850">
        <f t="shared" si="55"/>
        <v>-13</v>
      </c>
      <c r="V116" s="843">
        <f t="shared" si="56"/>
        <v>0.2</v>
      </c>
    </row>
    <row r="117" spans="1:22">
      <c r="A117" s="3435" t="s">
        <v>130</v>
      </c>
      <c r="B117" s="933" t="s">
        <v>553</v>
      </c>
      <c r="C117" s="971">
        <v>0</v>
      </c>
      <c r="D117" s="851">
        <f>(F117/$F$127)*$D$127</f>
        <v>0</v>
      </c>
      <c r="E117" s="847">
        <v>0</v>
      </c>
      <c r="F117" s="853">
        <v>0</v>
      </c>
      <c r="G117" s="847">
        <v>0</v>
      </c>
      <c r="H117" s="851">
        <v>0</v>
      </c>
      <c r="I117" s="847">
        <v>0</v>
      </c>
      <c r="J117" s="853">
        <v>0</v>
      </c>
      <c r="K117" s="847">
        <v>0</v>
      </c>
      <c r="L117" s="851">
        <v>0</v>
      </c>
      <c r="M117" s="847">
        <v>0</v>
      </c>
      <c r="N117" s="853">
        <v>0</v>
      </c>
      <c r="O117" s="847">
        <v>0</v>
      </c>
      <c r="P117" s="853">
        <v>0</v>
      </c>
      <c r="Q117" s="878" t="s">
        <v>16</v>
      </c>
      <c r="R117" s="879" t="s">
        <v>16</v>
      </c>
      <c r="S117" s="854">
        <v>0</v>
      </c>
      <c r="U117" s="847">
        <f t="shared" si="55"/>
        <v>0</v>
      </c>
      <c r="V117" s="853">
        <f t="shared" si="56"/>
        <v>0</v>
      </c>
    </row>
    <row r="118" spans="1:22">
      <c r="A118" s="3436"/>
      <c r="B118" s="931" t="s">
        <v>554</v>
      </c>
      <c r="C118" s="972">
        <v>15</v>
      </c>
      <c r="D118" s="836">
        <f t="shared" ref="D118:D126" si="85">(F118/$F$127)*$D$127</f>
        <v>0.28999999999999998</v>
      </c>
      <c r="E118" s="848">
        <v>141</v>
      </c>
      <c r="F118" s="835">
        <v>0.27</v>
      </c>
      <c r="G118" s="848">
        <v>221</v>
      </c>
      <c r="H118" s="836">
        <v>0.41</v>
      </c>
      <c r="I118" s="848">
        <v>307</v>
      </c>
      <c r="J118" s="835">
        <v>0.56000000000000005</v>
      </c>
      <c r="K118" s="848">
        <v>427</v>
      </c>
      <c r="L118" s="836">
        <v>0.78</v>
      </c>
      <c r="M118" s="848">
        <v>536</v>
      </c>
      <c r="N118" s="835">
        <v>0.97</v>
      </c>
      <c r="O118" s="848">
        <v>611</v>
      </c>
      <c r="P118" s="835">
        <v>1.1100000000000001</v>
      </c>
      <c r="Q118" s="859">
        <f t="shared" ref="Q118:Q127" si="86">(O118-C118)/C118</f>
        <v>39.729999999999997</v>
      </c>
      <c r="R118" s="858">
        <f t="shared" ref="R118:R127" si="87">(P118-D118)/D118</f>
        <v>2.83</v>
      </c>
      <c r="S118" s="841">
        <v>1.56</v>
      </c>
      <c r="U118" s="848">
        <f t="shared" si="55"/>
        <v>596</v>
      </c>
      <c r="V118" s="835">
        <f t="shared" si="56"/>
        <v>0.82</v>
      </c>
    </row>
    <row r="119" spans="1:22">
      <c r="A119" s="3436"/>
      <c r="B119" s="931" t="s">
        <v>555</v>
      </c>
      <c r="C119" s="972">
        <v>0</v>
      </c>
      <c r="D119" s="836">
        <f t="shared" si="85"/>
        <v>0.03</v>
      </c>
      <c r="E119" s="848">
        <v>26</v>
      </c>
      <c r="F119" s="835">
        <v>0.03</v>
      </c>
      <c r="G119" s="848">
        <v>40</v>
      </c>
      <c r="H119" s="836">
        <v>0.05</v>
      </c>
      <c r="I119" s="848">
        <v>82</v>
      </c>
      <c r="J119" s="835">
        <v>0.09</v>
      </c>
      <c r="K119" s="848">
        <v>109</v>
      </c>
      <c r="L119" s="836">
        <v>0.12</v>
      </c>
      <c r="M119" s="848">
        <v>117</v>
      </c>
      <c r="N119" s="835">
        <v>0.13</v>
      </c>
      <c r="O119" s="848">
        <v>117</v>
      </c>
      <c r="P119" s="835">
        <v>0.13</v>
      </c>
      <c r="Q119" s="859" t="s">
        <v>16</v>
      </c>
      <c r="R119" s="858">
        <f t="shared" si="87"/>
        <v>3.33</v>
      </c>
      <c r="S119" s="841">
        <v>0.19</v>
      </c>
      <c r="U119" s="848">
        <f t="shared" si="55"/>
        <v>117</v>
      </c>
      <c r="V119" s="835">
        <f t="shared" si="56"/>
        <v>0.1</v>
      </c>
    </row>
    <row r="120" spans="1:22">
      <c r="A120" s="3436"/>
      <c r="B120" s="931" t="s">
        <v>556</v>
      </c>
      <c r="C120" s="972">
        <v>87</v>
      </c>
      <c r="D120" s="836">
        <f t="shared" si="85"/>
        <v>0.26</v>
      </c>
      <c r="E120" s="848">
        <v>196</v>
      </c>
      <c r="F120" s="835">
        <v>0.24</v>
      </c>
      <c r="G120" s="848">
        <v>482</v>
      </c>
      <c r="H120" s="836">
        <v>0.6</v>
      </c>
      <c r="I120" s="848">
        <v>874</v>
      </c>
      <c r="J120" s="835">
        <v>1.1000000000000001</v>
      </c>
      <c r="K120" s="848">
        <v>1125</v>
      </c>
      <c r="L120" s="836">
        <v>1.42</v>
      </c>
      <c r="M120" s="848">
        <v>1469</v>
      </c>
      <c r="N120" s="835">
        <v>1.85</v>
      </c>
      <c r="O120" s="848">
        <v>1758</v>
      </c>
      <c r="P120" s="835">
        <v>2.2200000000000002</v>
      </c>
      <c r="Q120" s="859">
        <f t="shared" si="86"/>
        <v>19.21</v>
      </c>
      <c r="R120" s="858">
        <f t="shared" si="87"/>
        <v>7.54</v>
      </c>
      <c r="S120" s="841">
        <v>2.91</v>
      </c>
      <c r="U120" s="848">
        <f t="shared" si="55"/>
        <v>1671</v>
      </c>
      <c r="V120" s="835">
        <f t="shared" si="56"/>
        <v>1.96</v>
      </c>
    </row>
    <row r="121" spans="1:22">
      <c r="A121" s="3436"/>
      <c r="B121" s="931" t="s">
        <v>557</v>
      </c>
      <c r="C121" s="972">
        <v>3196</v>
      </c>
      <c r="D121" s="836">
        <f t="shared" si="85"/>
        <v>2.59</v>
      </c>
      <c r="E121" s="848">
        <v>3232</v>
      </c>
      <c r="F121" s="835">
        <v>2.41</v>
      </c>
      <c r="G121" s="848">
        <v>3447</v>
      </c>
      <c r="H121" s="836">
        <v>2.59</v>
      </c>
      <c r="I121" s="848">
        <v>3617</v>
      </c>
      <c r="J121" s="835">
        <v>2.74</v>
      </c>
      <c r="K121" s="848">
        <v>4000</v>
      </c>
      <c r="L121" s="836">
        <v>3.06</v>
      </c>
      <c r="M121" s="848">
        <v>4175</v>
      </c>
      <c r="N121" s="835">
        <v>3.22</v>
      </c>
      <c r="O121" s="848">
        <v>4372</v>
      </c>
      <c r="P121" s="835">
        <v>3.4</v>
      </c>
      <c r="Q121" s="859">
        <f t="shared" si="86"/>
        <v>0.37</v>
      </c>
      <c r="R121" s="858">
        <f t="shared" si="87"/>
        <v>0.31</v>
      </c>
      <c r="S121" s="841">
        <v>4.3099999999999996</v>
      </c>
      <c r="U121" s="848">
        <f t="shared" si="55"/>
        <v>1176</v>
      </c>
      <c r="V121" s="835">
        <f t="shared" si="56"/>
        <v>0.81</v>
      </c>
    </row>
    <row r="122" spans="1:22">
      <c r="A122" s="3436"/>
      <c r="B122" s="931" t="s">
        <v>558</v>
      </c>
      <c r="C122" s="972">
        <v>201</v>
      </c>
      <c r="D122" s="836">
        <f t="shared" si="85"/>
        <v>0.61</v>
      </c>
      <c r="E122" s="848">
        <v>232</v>
      </c>
      <c r="F122" s="835">
        <v>0.56999999999999995</v>
      </c>
      <c r="G122" s="848">
        <v>415</v>
      </c>
      <c r="H122" s="836">
        <v>0.97</v>
      </c>
      <c r="I122" s="848">
        <v>415</v>
      </c>
      <c r="J122" s="835">
        <v>0.97</v>
      </c>
      <c r="K122" s="848">
        <v>437</v>
      </c>
      <c r="L122" s="836">
        <v>1.02</v>
      </c>
      <c r="M122" s="848">
        <v>591</v>
      </c>
      <c r="N122" s="835">
        <v>1.36</v>
      </c>
      <c r="O122" s="848">
        <v>771</v>
      </c>
      <c r="P122" s="835">
        <v>1.76</v>
      </c>
      <c r="Q122" s="859">
        <f t="shared" si="86"/>
        <v>2.84</v>
      </c>
      <c r="R122" s="858">
        <f t="shared" si="87"/>
        <v>1.89</v>
      </c>
      <c r="S122" s="841">
        <v>1.99</v>
      </c>
      <c r="U122" s="848">
        <f t="shared" si="55"/>
        <v>570</v>
      </c>
      <c r="V122" s="835">
        <f t="shared" si="56"/>
        <v>1.1499999999999999</v>
      </c>
    </row>
    <row r="123" spans="1:22">
      <c r="A123" s="3436"/>
      <c r="B123" s="931" t="s">
        <v>559</v>
      </c>
      <c r="C123" s="972">
        <v>383</v>
      </c>
      <c r="D123" s="836">
        <f t="shared" si="85"/>
        <v>0.5</v>
      </c>
      <c r="E123" s="848">
        <v>463</v>
      </c>
      <c r="F123" s="835">
        <v>0.47</v>
      </c>
      <c r="G123" s="848">
        <v>524</v>
      </c>
      <c r="H123" s="836">
        <v>0.5</v>
      </c>
      <c r="I123" s="848">
        <v>678</v>
      </c>
      <c r="J123" s="835">
        <v>0.6</v>
      </c>
      <c r="K123" s="848">
        <v>684</v>
      </c>
      <c r="L123" s="836">
        <v>0.6</v>
      </c>
      <c r="M123" s="848">
        <v>702</v>
      </c>
      <c r="N123" s="835">
        <v>0.61</v>
      </c>
      <c r="O123" s="848">
        <v>792</v>
      </c>
      <c r="P123" s="835">
        <v>0.67</v>
      </c>
      <c r="Q123" s="859">
        <f t="shared" si="86"/>
        <v>1.07</v>
      </c>
      <c r="R123" s="858">
        <f t="shared" si="87"/>
        <v>0.34</v>
      </c>
      <c r="S123" s="841">
        <v>0.91</v>
      </c>
      <c r="U123" s="848">
        <f t="shared" si="55"/>
        <v>409</v>
      </c>
      <c r="V123" s="835">
        <f t="shared" si="56"/>
        <v>0.17</v>
      </c>
    </row>
    <row r="124" spans="1:22">
      <c r="A124" s="3436"/>
      <c r="B124" s="931" t="s">
        <v>560</v>
      </c>
      <c r="C124" s="972">
        <v>0</v>
      </c>
      <c r="D124" s="836">
        <f t="shared" si="85"/>
        <v>0</v>
      </c>
      <c r="E124" s="848">
        <v>0</v>
      </c>
      <c r="F124" s="835">
        <v>0</v>
      </c>
      <c r="G124" s="848">
        <v>0</v>
      </c>
      <c r="H124" s="836">
        <v>0</v>
      </c>
      <c r="I124" s="848">
        <v>0</v>
      </c>
      <c r="J124" s="835">
        <v>0</v>
      </c>
      <c r="K124" s="848">
        <v>0</v>
      </c>
      <c r="L124" s="836">
        <v>0</v>
      </c>
      <c r="M124" s="848">
        <v>0</v>
      </c>
      <c r="N124" s="835">
        <v>0</v>
      </c>
      <c r="O124" s="848">
        <v>0</v>
      </c>
      <c r="P124" s="835">
        <v>0</v>
      </c>
      <c r="Q124" s="859" t="s">
        <v>16</v>
      </c>
      <c r="R124" s="858" t="s">
        <v>16</v>
      </c>
      <c r="S124" s="841">
        <v>0</v>
      </c>
      <c r="U124" s="848">
        <f t="shared" si="55"/>
        <v>0</v>
      </c>
      <c r="V124" s="835">
        <f t="shared" si="56"/>
        <v>0</v>
      </c>
    </row>
    <row r="125" spans="1:22">
      <c r="A125" s="3436"/>
      <c r="B125" s="931" t="s">
        <v>561</v>
      </c>
      <c r="C125" s="972">
        <v>0</v>
      </c>
      <c r="D125" s="836">
        <f t="shared" si="85"/>
        <v>0</v>
      </c>
      <c r="E125" s="848">
        <v>0</v>
      </c>
      <c r="F125" s="835">
        <v>0</v>
      </c>
      <c r="G125" s="848">
        <v>0</v>
      </c>
      <c r="H125" s="836">
        <v>0</v>
      </c>
      <c r="I125" s="848">
        <v>0</v>
      </c>
      <c r="J125" s="835">
        <v>0</v>
      </c>
      <c r="K125" s="848">
        <v>0</v>
      </c>
      <c r="L125" s="836">
        <v>0</v>
      </c>
      <c r="M125" s="848">
        <v>0</v>
      </c>
      <c r="N125" s="835">
        <v>0</v>
      </c>
      <c r="O125" s="848">
        <v>0</v>
      </c>
      <c r="P125" s="835">
        <v>0</v>
      </c>
      <c r="Q125" s="859" t="s">
        <v>16</v>
      </c>
      <c r="R125" s="858" t="s">
        <v>16</v>
      </c>
      <c r="S125" s="841">
        <v>0</v>
      </c>
      <c r="U125" s="848">
        <f t="shared" si="55"/>
        <v>0</v>
      </c>
      <c r="V125" s="835">
        <f t="shared" si="56"/>
        <v>0</v>
      </c>
    </row>
    <row r="126" spans="1:22" ht="15.75" thickBot="1">
      <c r="A126" s="3436"/>
      <c r="B126" s="932" t="s">
        <v>562</v>
      </c>
      <c r="C126" s="1880">
        <v>0</v>
      </c>
      <c r="D126" s="1881">
        <f t="shared" si="85"/>
        <v>0.38</v>
      </c>
      <c r="E126" s="849">
        <v>0</v>
      </c>
      <c r="F126" s="1885">
        <v>0.35</v>
      </c>
      <c r="G126" s="849">
        <v>0</v>
      </c>
      <c r="H126" s="1881">
        <f>F126</f>
        <v>0.35</v>
      </c>
      <c r="I126" s="849">
        <v>0</v>
      </c>
      <c r="J126" s="1885">
        <f>H126</f>
        <v>0.35</v>
      </c>
      <c r="K126" s="849">
        <v>0</v>
      </c>
      <c r="L126" s="1881">
        <f>J126</f>
        <v>0.35</v>
      </c>
      <c r="M126" s="849">
        <v>0</v>
      </c>
      <c r="N126" s="1885">
        <f>L126</f>
        <v>0.35</v>
      </c>
      <c r="O126" s="849">
        <v>0</v>
      </c>
      <c r="P126" s="1885">
        <v>0.35</v>
      </c>
      <c r="Q126" s="1886" t="s">
        <v>16</v>
      </c>
      <c r="R126" s="1888">
        <f t="shared" si="87"/>
        <v>-0.08</v>
      </c>
      <c r="S126" s="846">
        <f>N126</f>
        <v>0.35</v>
      </c>
      <c r="U126" s="849">
        <f t="shared" si="55"/>
        <v>0</v>
      </c>
      <c r="V126" s="1885">
        <f t="shared" si="56"/>
        <v>-0.03</v>
      </c>
    </row>
    <row r="127" spans="1:22" ht="16.5" thickTop="1" thickBot="1">
      <c r="A127" s="3437"/>
      <c r="B127" s="842" t="s">
        <v>18</v>
      </c>
      <c r="C127" s="973">
        <f>SUM(C117:C126)</f>
        <v>3882</v>
      </c>
      <c r="D127" s="852">
        <f>'Table 7'!E15</f>
        <v>4.66</v>
      </c>
      <c r="E127" s="850">
        <f t="shared" ref="E127:L127" si="88">SUM(E117:E126)</f>
        <v>4290</v>
      </c>
      <c r="F127" s="843">
        <f t="shared" si="88"/>
        <v>4.34</v>
      </c>
      <c r="G127" s="850">
        <f t="shared" si="88"/>
        <v>5129</v>
      </c>
      <c r="H127" s="852">
        <f t="shared" si="88"/>
        <v>5.47</v>
      </c>
      <c r="I127" s="850">
        <f t="shared" si="88"/>
        <v>5973</v>
      </c>
      <c r="J127" s="843">
        <f t="shared" si="88"/>
        <v>6.41</v>
      </c>
      <c r="K127" s="850">
        <f t="shared" si="88"/>
        <v>6782</v>
      </c>
      <c r="L127" s="852">
        <f t="shared" si="88"/>
        <v>7.35</v>
      </c>
      <c r="M127" s="850">
        <f>SUM(M117:M126)</f>
        <v>7590</v>
      </c>
      <c r="N127" s="843">
        <f>SUM(N117:N126)</f>
        <v>8.49</v>
      </c>
      <c r="O127" s="850">
        <f>SUM(O117:O126)</f>
        <v>8421</v>
      </c>
      <c r="P127" s="843">
        <f>SUM(P117:P126)</f>
        <v>9.64</v>
      </c>
      <c r="Q127" s="880">
        <f t="shared" si="86"/>
        <v>1.17</v>
      </c>
      <c r="R127" s="881">
        <f t="shared" si="87"/>
        <v>1.07</v>
      </c>
      <c r="S127" s="855">
        <f>SUM(S117:S126)</f>
        <v>12.22</v>
      </c>
      <c r="U127" s="850">
        <f t="shared" si="55"/>
        <v>4539</v>
      </c>
      <c r="V127" s="843">
        <f t="shared" si="56"/>
        <v>4.9800000000000004</v>
      </c>
    </row>
    <row r="128" spans="1:22" ht="28.5" customHeight="1" thickBot="1">
      <c r="A128" s="3224" t="s">
        <v>568</v>
      </c>
      <c r="B128" s="3224"/>
      <c r="C128" s="3224"/>
      <c r="D128" s="3224"/>
      <c r="E128" s="3224"/>
      <c r="F128" s="3224"/>
      <c r="G128" s="3224"/>
      <c r="H128" s="3224"/>
      <c r="I128" s="3224"/>
      <c r="J128" s="3224"/>
      <c r="K128" s="3224"/>
      <c r="L128" s="3224"/>
      <c r="M128" s="3224"/>
      <c r="N128" s="3224"/>
      <c r="O128" s="3224"/>
      <c r="P128" s="3224"/>
      <c r="Q128" s="3224"/>
      <c r="R128" s="3224"/>
      <c r="S128" s="3224"/>
    </row>
    <row r="129" spans="1:22" ht="29.25" customHeight="1">
      <c r="A129" s="3429" t="s">
        <v>85</v>
      </c>
      <c r="B129" s="3431" t="s">
        <v>541</v>
      </c>
      <c r="C129" s="3217" t="s">
        <v>542</v>
      </c>
      <c r="D129" s="3217"/>
      <c r="E129" s="3216" t="s">
        <v>543</v>
      </c>
      <c r="F129" s="3218"/>
      <c r="G129" s="3217" t="s">
        <v>544</v>
      </c>
      <c r="H129" s="3217"/>
      <c r="I129" s="3258" t="s">
        <v>545</v>
      </c>
      <c r="J129" s="3245"/>
      <c r="K129" s="3264" t="s">
        <v>546</v>
      </c>
      <c r="L129" s="3264"/>
      <c r="M129" s="3258" t="s">
        <v>547</v>
      </c>
      <c r="N129" s="3245"/>
      <c r="O129" s="3258" t="s">
        <v>548</v>
      </c>
      <c r="P129" s="3245"/>
      <c r="Q129" s="3264" t="s">
        <v>57</v>
      </c>
      <c r="R129" s="3264"/>
      <c r="S129" s="3433" t="s">
        <v>549</v>
      </c>
      <c r="U129" s="3258" t="s">
        <v>59</v>
      </c>
      <c r="V129" s="3245"/>
    </row>
    <row r="130" spans="1:22" ht="15.75" thickBot="1">
      <c r="A130" s="3430"/>
      <c r="B130" s="3432"/>
      <c r="C130" s="1889" t="s">
        <v>550</v>
      </c>
      <c r="D130" s="831" t="s">
        <v>551</v>
      </c>
      <c r="E130" s="832" t="s">
        <v>550</v>
      </c>
      <c r="F130" s="833" t="s">
        <v>551</v>
      </c>
      <c r="G130" s="1889" t="s">
        <v>550</v>
      </c>
      <c r="H130" s="831" t="s">
        <v>551</v>
      </c>
      <c r="I130" s="834" t="s">
        <v>550</v>
      </c>
      <c r="J130" s="833" t="s">
        <v>551</v>
      </c>
      <c r="K130" s="1890" t="s">
        <v>550</v>
      </c>
      <c r="L130" s="831" t="s">
        <v>551</v>
      </c>
      <c r="M130" s="834" t="s">
        <v>550</v>
      </c>
      <c r="N130" s="833" t="s">
        <v>551</v>
      </c>
      <c r="O130" s="834" t="s">
        <v>550</v>
      </c>
      <c r="P130" s="833" t="s">
        <v>551</v>
      </c>
      <c r="Q130" s="1891" t="s">
        <v>529</v>
      </c>
      <c r="R130" s="831" t="s">
        <v>551</v>
      </c>
      <c r="S130" s="3434"/>
      <c r="U130" s="1645" t="s">
        <v>529</v>
      </c>
      <c r="V130" s="1646" t="s">
        <v>551</v>
      </c>
    </row>
    <row r="131" spans="1:22">
      <c r="A131" s="3435" t="s">
        <v>136</v>
      </c>
      <c r="B131" s="933" t="s">
        <v>553</v>
      </c>
      <c r="C131" s="971">
        <v>0</v>
      </c>
      <c r="D131" s="974">
        <f>(F131/$F$141)*$D$141</f>
        <v>0</v>
      </c>
      <c r="E131" s="847">
        <v>0</v>
      </c>
      <c r="F131" s="853">
        <v>0</v>
      </c>
      <c r="G131" s="847">
        <v>0</v>
      </c>
      <c r="H131" s="851">
        <v>0</v>
      </c>
      <c r="I131" s="847">
        <v>0</v>
      </c>
      <c r="J131" s="853">
        <v>0</v>
      </c>
      <c r="K131" s="847">
        <v>0</v>
      </c>
      <c r="L131" s="851">
        <v>0</v>
      </c>
      <c r="M131" s="847">
        <v>0</v>
      </c>
      <c r="N131" s="853">
        <v>0</v>
      </c>
      <c r="O131" s="847">
        <v>0</v>
      </c>
      <c r="P131" s="853">
        <v>0</v>
      </c>
      <c r="Q131" s="878" t="s">
        <v>16</v>
      </c>
      <c r="R131" s="879" t="s">
        <v>16</v>
      </c>
      <c r="S131" s="854">
        <v>0</v>
      </c>
      <c r="U131" s="847">
        <f t="shared" ref="U131" si="89">O131-C131</f>
        <v>0</v>
      </c>
      <c r="V131" s="853">
        <f t="shared" ref="V131" si="90">P131-D131</f>
        <v>0</v>
      </c>
    </row>
    <row r="132" spans="1:22">
      <c r="A132" s="3436"/>
      <c r="B132" s="931" t="s">
        <v>554</v>
      </c>
      <c r="C132" s="972">
        <v>1</v>
      </c>
      <c r="D132" s="975">
        <f t="shared" ref="D132:D140" si="91">(F132/$F$141)*$D$141</f>
        <v>0</v>
      </c>
      <c r="E132" s="848">
        <v>1</v>
      </c>
      <c r="F132" s="835">
        <v>0</v>
      </c>
      <c r="G132" s="848">
        <v>1</v>
      </c>
      <c r="H132" s="836">
        <v>0</v>
      </c>
      <c r="I132" s="848">
        <v>1</v>
      </c>
      <c r="J132" s="835">
        <v>0</v>
      </c>
      <c r="K132" s="848">
        <v>1</v>
      </c>
      <c r="L132" s="836">
        <v>0</v>
      </c>
      <c r="M132" s="848">
        <v>1</v>
      </c>
      <c r="N132" s="835">
        <v>0</v>
      </c>
      <c r="O132" s="848">
        <v>1</v>
      </c>
      <c r="P132" s="835">
        <v>0</v>
      </c>
      <c r="Q132" s="859">
        <f t="shared" ref="Q132:Q185" si="92">(O132-C132)/C132</f>
        <v>0</v>
      </c>
      <c r="R132" s="858" t="s">
        <v>16</v>
      </c>
      <c r="S132" s="841">
        <v>0</v>
      </c>
      <c r="U132" s="848">
        <f t="shared" ref="U132:U185" si="93">O132-C132</f>
        <v>0</v>
      </c>
      <c r="V132" s="835">
        <f t="shared" ref="V132:V185" si="94">P132-D132</f>
        <v>0</v>
      </c>
    </row>
    <row r="133" spans="1:22">
      <c r="A133" s="3436"/>
      <c r="B133" s="931" t="s">
        <v>555</v>
      </c>
      <c r="C133" s="972">
        <v>0</v>
      </c>
      <c r="D133" s="975">
        <f t="shared" si="91"/>
        <v>0</v>
      </c>
      <c r="E133" s="848">
        <v>0</v>
      </c>
      <c r="F133" s="835">
        <v>0</v>
      </c>
      <c r="G133" s="848">
        <v>0</v>
      </c>
      <c r="H133" s="836">
        <v>0</v>
      </c>
      <c r="I133" s="848">
        <v>0</v>
      </c>
      <c r="J133" s="835">
        <v>0</v>
      </c>
      <c r="K133" s="848">
        <v>0</v>
      </c>
      <c r="L133" s="836">
        <v>0</v>
      </c>
      <c r="M133" s="848">
        <v>0</v>
      </c>
      <c r="N133" s="835">
        <v>0</v>
      </c>
      <c r="O133" s="848">
        <v>0</v>
      </c>
      <c r="P133" s="835">
        <v>0</v>
      </c>
      <c r="Q133" s="859" t="s">
        <v>16</v>
      </c>
      <c r="R133" s="858" t="s">
        <v>16</v>
      </c>
      <c r="S133" s="841">
        <v>0</v>
      </c>
      <c r="U133" s="848">
        <f t="shared" si="93"/>
        <v>0</v>
      </c>
      <c r="V133" s="835">
        <f t="shared" si="94"/>
        <v>0</v>
      </c>
    </row>
    <row r="134" spans="1:22">
      <c r="A134" s="3436"/>
      <c r="B134" s="931" t="s">
        <v>556</v>
      </c>
      <c r="C134" s="972">
        <v>0</v>
      </c>
      <c r="D134" s="975">
        <f t="shared" si="91"/>
        <v>0</v>
      </c>
      <c r="E134" s="848">
        <v>0</v>
      </c>
      <c r="F134" s="835">
        <v>0</v>
      </c>
      <c r="G134" s="848">
        <v>0</v>
      </c>
      <c r="H134" s="836">
        <v>0</v>
      </c>
      <c r="I134" s="848">
        <v>0</v>
      </c>
      <c r="J134" s="835">
        <v>0</v>
      </c>
      <c r="K134" s="848">
        <v>0</v>
      </c>
      <c r="L134" s="836">
        <v>0</v>
      </c>
      <c r="M134" s="848">
        <v>0</v>
      </c>
      <c r="N134" s="835">
        <v>0</v>
      </c>
      <c r="O134" s="848">
        <v>0</v>
      </c>
      <c r="P134" s="835">
        <v>0</v>
      </c>
      <c r="Q134" s="859" t="s">
        <v>16</v>
      </c>
      <c r="R134" s="858" t="s">
        <v>16</v>
      </c>
      <c r="S134" s="841">
        <v>0</v>
      </c>
      <c r="U134" s="848">
        <f t="shared" si="93"/>
        <v>0</v>
      </c>
      <c r="V134" s="835">
        <f t="shared" si="94"/>
        <v>0</v>
      </c>
    </row>
    <row r="135" spans="1:22">
      <c r="A135" s="3436"/>
      <c r="B135" s="931" t="s">
        <v>557</v>
      </c>
      <c r="C135" s="972">
        <v>146</v>
      </c>
      <c r="D135" s="975">
        <f t="shared" si="91"/>
        <v>0.1</v>
      </c>
      <c r="E135" s="848">
        <v>146</v>
      </c>
      <c r="F135" s="835">
        <v>0.09</v>
      </c>
      <c r="G135" s="848">
        <v>146</v>
      </c>
      <c r="H135" s="836">
        <v>0.09</v>
      </c>
      <c r="I135" s="848">
        <v>146</v>
      </c>
      <c r="J135" s="835">
        <v>0.1</v>
      </c>
      <c r="K135" s="848">
        <v>146</v>
      </c>
      <c r="L135" s="836">
        <v>0.1</v>
      </c>
      <c r="M135" s="848">
        <v>146</v>
      </c>
      <c r="N135" s="835">
        <v>0.1</v>
      </c>
      <c r="O135" s="848">
        <v>146</v>
      </c>
      <c r="P135" s="835">
        <v>0.1</v>
      </c>
      <c r="Q135" s="859">
        <f t="shared" si="92"/>
        <v>0</v>
      </c>
      <c r="R135" s="858">
        <f t="shared" ref="R135:R185" si="95">(P135-D135)/D135</f>
        <v>0</v>
      </c>
      <c r="S135" s="841">
        <v>0.15</v>
      </c>
      <c r="U135" s="848">
        <f t="shared" si="93"/>
        <v>0</v>
      </c>
      <c r="V135" s="835">
        <f t="shared" si="94"/>
        <v>0</v>
      </c>
    </row>
    <row r="136" spans="1:22">
      <c r="A136" s="3436"/>
      <c r="B136" s="931" t="s">
        <v>558</v>
      </c>
      <c r="C136" s="972">
        <v>304</v>
      </c>
      <c r="D136" s="975">
        <f t="shared" si="91"/>
        <v>0.8</v>
      </c>
      <c r="E136" s="848">
        <v>304</v>
      </c>
      <c r="F136" s="835">
        <v>0.73</v>
      </c>
      <c r="G136" s="848">
        <v>304</v>
      </c>
      <c r="H136" s="836">
        <v>0.73</v>
      </c>
      <c r="I136" s="848">
        <v>304</v>
      </c>
      <c r="J136" s="835">
        <v>0.74</v>
      </c>
      <c r="K136" s="848">
        <v>304</v>
      </c>
      <c r="L136" s="836">
        <v>0.74</v>
      </c>
      <c r="M136" s="848">
        <v>304</v>
      </c>
      <c r="N136" s="835">
        <v>0.75</v>
      </c>
      <c r="O136" s="848">
        <v>304</v>
      </c>
      <c r="P136" s="835">
        <v>0.75</v>
      </c>
      <c r="Q136" s="859">
        <f t="shared" si="92"/>
        <v>0</v>
      </c>
      <c r="R136" s="858">
        <f t="shared" si="95"/>
        <v>-0.06</v>
      </c>
      <c r="S136" s="841">
        <v>0.86</v>
      </c>
      <c r="U136" s="848">
        <f t="shared" si="93"/>
        <v>0</v>
      </c>
      <c r="V136" s="835">
        <f t="shared" si="94"/>
        <v>-0.05</v>
      </c>
    </row>
    <row r="137" spans="1:22">
      <c r="A137" s="3436"/>
      <c r="B137" s="931" t="s">
        <v>559</v>
      </c>
      <c r="C137" s="972">
        <v>0</v>
      </c>
      <c r="D137" s="975">
        <f t="shared" si="91"/>
        <v>0</v>
      </c>
      <c r="E137" s="848">
        <v>0</v>
      </c>
      <c r="F137" s="835">
        <v>0</v>
      </c>
      <c r="G137" s="848">
        <v>0</v>
      </c>
      <c r="H137" s="836">
        <v>0</v>
      </c>
      <c r="I137" s="848">
        <v>0</v>
      </c>
      <c r="J137" s="835">
        <v>0</v>
      </c>
      <c r="K137" s="848">
        <v>0</v>
      </c>
      <c r="L137" s="836">
        <v>0</v>
      </c>
      <c r="M137" s="848">
        <v>0</v>
      </c>
      <c r="N137" s="835">
        <v>0</v>
      </c>
      <c r="O137" s="848">
        <v>0</v>
      </c>
      <c r="P137" s="835">
        <v>0</v>
      </c>
      <c r="Q137" s="859" t="s">
        <v>16</v>
      </c>
      <c r="R137" s="858" t="s">
        <v>16</v>
      </c>
      <c r="S137" s="841">
        <v>0</v>
      </c>
      <c r="U137" s="848">
        <f t="shared" si="93"/>
        <v>0</v>
      </c>
      <c r="V137" s="835">
        <f t="shared" si="94"/>
        <v>0</v>
      </c>
    </row>
    <row r="138" spans="1:22">
      <c r="A138" s="3436"/>
      <c r="B138" s="931" t="s">
        <v>560</v>
      </c>
      <c r="C138" s="972">
        <v>836</v>
      </c>
      <c r="D138" s="975">
        <f t="shared" si="91"/>
        <v>0.63</v>
      </c>
      <c r="E138" s="848">
        <v>837</v>
      </c>
      <c r="F138" s="835">
        <v>0.56999999999999995</v>
      </c>
      <c r="G138" s="848">
        <v>837</v>
      </c>
      <c r="H138" s="836">
        <v>0.57999999999999996</v>
      </c>
      <c r="I138" s="848">
        <v>837</v>
      </c>
      <c r="J138" s="835">
        <v>0.56999999999999995</v>
      </c>
      <c r="K138" s="848">
        <v>837</v>
      </c>
      <c r="L138" s="836">
        <v>0.56000000000000005</v>
      </c>
      <c r="M138" s="848">
        <v>837</v>
      </c>
      <c r="N138" s="835">
        <v>0.56000000000000005</v>
      </c>
      <c r="O138" s="848">
        <v>837</v>
      </c>
      <c r="P138" s="835">
        <v>0.55000000000000004</v>
      </c>
      <c r="Q138" s="859">
        <f t="shared" si="92"/>
        <v>0</v>
      </c>
      <c r="R138" s="858">
        <f t="shared" si="95"/>
        <v>-0.13</v>
      </c>
      <c r="S138" s="841">
        <v>0.72</v>
      </c>
      <c r="U138" s="848">
        <f t="shared" si="93"/>
        <v>1</v>
      </c>
      <c r="V138" s="835">
        <f t="shared" si="94"/>
        <v>-0.08</v>
      </c>
    </row>
    <row r="139" spans="1:22">
      <c r="A139" s="3436"/>
      <c r="B139" s="931" t="s">
        <v>561</v>
      </c>
      <c r="C139" s="972">
        <v>0</v>
      </c>
      <c r="D139" s="975">
        <f t="shared" si="91"/>
        <v>0</v>
      </c>
      <c r="E139" s="848">
        <v>0</v>
      </c>
      <c r="F139" s="835">
        <v>0</v>
      </c>
      <c r="G139" s="848">
        <v>0</v>
      </c>
      <c r="H139" s="836">
        <v>0</v>
      </c>
      <c r="I139" s="848">
        <v>0</v>
      </c>
      <c r="J139" s="835">
        <v>0</v>
      </c>
      <c r="K139" s="848">
        <v>0</v>
      </c>
      <c r="L139" s="836">
        <v>0</v>
      </c>
      <c r="M139" s="848">
        <v>0</v>
      </c>
      <c r="N139" s="835">
        <v>0</v>
      </c>
      <c r="O139" s="848">
        <v>0</v>
      </c>
      <c r="P139" s="835">
        <v>0</v>
      </c>
      <c r="Q139" s="859" t="s">
        <v>16</v>
      </c>
      <c r="R139" s="858" t="s">
        <v>16</v>
      </c>
      <c r="S139" s="841">
        <v>0</v>
      </c>
      <c r="U139" s="848">
        <f t="shared" si="93"/>
        <v>0</v>
      </c>
      <c r="V139" s="835">
        <f t="shared" si="94"/>
        <v>0</v>
      </c>
    </row>
    <row r="140" spans="1:22" ht="15.75" thickBot="1">
      <c r="A140" s="3436"/>
      <c r="B140" s="932" t="s">
        <v>562</v>
      </c>
      <c r="C140" s="1880">
        <v>0</v>
      </c>
      <c r="D140" s="1882">
        <f t="shared" si="91"/>
        <v>0.23</v>
      </c>
      <c r="E140" s="849">
        <v>0</v>
      </c>
      <c r="F140" s="1885">
        <v>0.21</v>
      </c>
      <c r="G140" s="849">
        <v>0</v>
      </c>
      <c r="H140" s="1881">
        <f>F140</f>
        <v>0.21</v>
      </c>
      <c r="I140" s="849">
        <v>0</v>
      </c>
      <c r="J140" s="1885">
        <f>H140</f>
        <v>0.21</v>
      </c>
      <c r="K140" s="849">
        <v>0</v>
      </c>
      <c r="L140" s="1881">
        <f>J140</f>
        <v>0.21</v>
      </c>
      <c r="M140" s="849">
        <v>0</v>
      </c>
      <c r="N140" s="1885">
        <f>L140</f>
        <v>0.21</v>
      </c>
      <c r="O140" s="849">
        <v>0</v>
      </c>
      <c r="P140" s="1885">
        <v>0.21</v>
      </c>
      <c r="Q140" s="1886" t="s">
        <v>16</v>
      </c>
      <c r="R140" s="1888">
        <f t="shared" si="95"/>
        <v>-0.09</v>
      </c>
      <c r="S140" s="846">
        <f>N140</f>
        <v>0.21</v>
      </c>
      <c r="U140" s="849">
        <f t="shared" si="93"/>
        <v>0</v>
      </c>
      <c r="V140" s="1885">
        <f t="shared" si="94"/>
        <v>-0.02</v>
      </c>
    </row>
    <row r="141" spans="1:22" ht="16.5" thickTop="1" thickBot="1">
      <c r="A141" s="3437"/>
      <c r="B141" s="842" t="s">
        <v>18</v>
      </c>
      <c r="C141" s="973">
        <f>SUM(C131:C140)</f>
        <v>1287</v>
      </c>
      <c r="D141" s="976">
        <f>'Table 7'!E16</f>
        <v>1.76</v>
      </c>
      <c r="E141" s="850">
        <f t="shared" ref="E141:P141" si="96">SUM(E131:E140)</f>
        <v>1288</v>
      </c>
      <c r="F141" s="843">
        <f t="shared" si="96"/>
        <v>1.6</v>
      </c>
      <c r="G141" s="850">
        <f t="shared" si="96"/>
        <v>1288</v>
      </c>
      <c r="H141" s="852">
        <f t="shared" si="96"/>
        <v>1.61</v>
      </c>
      <c r="I141" s="850">
        <f t="shared" si="96"/>
        <v>1288</v>
      </c>
      <c r="J141" s="843">
        <f t="shared" si="96"/>
        <v>1.62</v>
      </c>
      <c r="K141" s="850">
        <f t="shared" si="96"/>
        <v>1288</v>
      </c>
      <c r="L141" s="852">
        <f t="shared" si="96"/>
        <v>1.61</v>
      </c>
      <c r="M141" s="850">
        <f t="shared" si="96"/>
        <v>1288</v>
      </c>
      <c r="N141" s="843">
        <f t="shared" si="96"/>
        <v>1.62</v>
      </c>
      <c r="O141" s="850">
        <f t="shared" si="96"/>
        <v>1288</v>
      </c>
      <c r="P141" s="843">
        <f t="shared" si="96"/>
        <v>1.61</v>
      </c>
      <c r="Q141" s="880">
        <f t="shared" si="92"/>
        <v>0</v>
      </c>
      <c r="R141" s="881">
        <f t="shared" si="95"/>
        <v>-0.09</v>
      </c>
      <c r="S141" s="855">
        <f>SUM(S131:S140)</f>
        <v>1.94</v>
      </c>
      <c r="U141" s="850">
        <f t="shared" si="93"/>
        <v>1</v>
      </c>
      <c r="V141" s="843">
        <f t="shared" si="94"/>
        <v>-0.15</v>
      </c>
    </row>
    <row r="142" spans="1:22">
      <c r="A142" s="3435" t="s">
        <v>153</v>
      </c>
      <c r="B142" s="933" t="s">
        <v>553</v>
      </c>
      <c r="C142" s="971">
        <v>0</v>
      </c>
      <c r="D142" s="851">
        <f>(F142/$F$152)*$D$152</f>
        <v>0</v>
      </c>
      <c r="E142" s="847">
        <v>0</v>
      </c>
      <c r="F142" s="853">
        <v>0</v>
      </c>
      <c r="G142" s="847">
        <v>0</v>
      </c>
      <c r="H142" s="851">
        <v>0</v>
      </c>
      <c r="I142" s="847">
        <v>0</v>
      </c>
      <c r="J142" s="853">
        <v>0</v>
      </c>
      <c r="K142" s="847">
        <v>0</v>
      </c>
      <c r="L142" s="851">
        <v>0</v>
      </c>
      <c r="M142" s="847">
        <v>0</v>
      </c>
      <c r="N142" s="853">
        <v>0</v>
      </c>
      <c r="O142" s="847">
        <v>0</v>
      </c>
      <c r="P142" s="853">
        <v>0</v>
      </c>
      <c r="Q142" s="878" t="s">
        <v>16</v>
      </c>
      <c r="R142" s="879" t="s">
        <v>16</v>
      </c>
      <c r="S142" s="854">
        <v>0</v>
      </c>
      <c r="U142" s="847">
        <f t="shared" si="93"/>
        <v>0</v>
      </c>
      <c r="V142" s="853">
        <f t="shared" si="94"/>
        <v>0</v>
      </c>
    </row>
    <row r="143" spans="1:22">
      <c r="A143" s="3436"/>
      <c r="B143" s="931" t="s">
        <v>554</v>
      </c>
      <c r="C143" s="972">
        <v>23</v>
      </c>
      <c r="D143" s="836">
        <f t="shared" ref="D143:D151" si="97">(F143/$F$152)*$D$152</f>
        <v>0.02</v>
      </c>
      <c r="E143" s="848">
        <v>23</v>
      </c>
      <c r="F143" s="835">
        <v>0.04</v>
      </c>
      <c r="G143" s="848">
        <v>23</v>
      </c>
      <c r="H143" s="836">
        <v>0.05</v>
      </c>
      <c r="I143" s="848">
        <v>23</v>
      </c>
      <c r="J143" s="835">
        <v>0.05</v>
      </c>
      <c r="K143" s="848">
        <v>23</v>
      </c>
      <c r="L143" s="836">
        <v>0.05</v>
      </c>
      <c r="M143" s="848">
        <v>7</v>
      </c>
      <c r="N143" s="835">
        <v>0.02</v>
      </c>
      <c r="O143" s="848">
        <v>7</v>
      </c>
      <c r="P143" s="835">
        <v>0.02</v>
      </c>
      <c r="Q143" s="859">
        <f t="shared" si="92"/>
        <v>-0.7</v>
      </c>
      <c r="R143" s="858">
        <f t="shared" si="95"/>
        <v>0</v>
      </c>
      <c r="S143" s="841">
        <v>0.03</v>
      </c>
      <c r="U143" s="848">
        <f t="shared" si="93"/>
        <v>-16</v>
      </c>
      <c r="V143" s="835">
        <f t="shared" si="94"/>
        <v>0</v>
      </c>
    </row>
    <row r="144" spans="1:22">
      <c r="A144" s="3436"/>
      <c r="B144" s="931" t="s">
        <v>555</v>
      </c>
      <c r="C144" s="972">
        <v>3492</v>
      </c>
      <c r="D144" s="836">
        <f t="shared" si="97"/>
        <v>2.82</v>
      </c>
      <c r="E144" s="848">
        <v>3816</v>
      </c>
      <c r="F144" s="835">
        <v>4.6100000000000003</v>
      </c>
      <c r="G144" s="848">
        <v>3816</v>
      </c>
      <c r="H144" s="836">
        <v>4.6399999999999997</v>
      </c>
      <c r="I144" s="848">
        <v>3665</v>
      </c>
      <c r="J144" s="835">
        <v>4.5</v>
      </c>
      <c r="K144" s="848">
        <v>3552</v>
      </c>
      <c r="L144" s="836">
        <v>4.3899999999999997</v>
      </c>
      <c r="M144" s="848">
        <v>3552</v>
      </c>
      <c r="N144" s="835">
        <v>4.42</v>
      </c>
      <c r="O144" s="848">
        <v>3490</v>
      </c>
      <c r="P144" s="835">
        <v>4.37</v>
      </c>
      <c r="Q144" s="859">
        <f t="shared" si="92"/>
        <v>0</v>
      </c>
      <c r="R144" s="858">
        <f t="shared" si="95"/>
        <v>0.55000000000000004</v>
      </c>
      <c r="S144" s="841">
        <v>6.68</v>
      </c>
      <c r="U144" s="848">
        <f t="shared" si="93"/>
        <v>-2</v>
      </c>
      <c r="V144" s="835">
        <f t="shared" si="94"/>
        <v>1.55</v>
      </c>
    </row>
    <row r="145" spans="1:22">
      <c r="A145" s="3436"/>
      <c r="B145" s="931" t="s">
        <v>556</v>
      </c>
      <c r="C145" s="972">
        <v>2030</v>
      </c>
      <c r="D145" s="836">
        <f t="shared" si="97"/>
        <v>1.62</v>
      </c>
      <c r="E145" s="848">
        <v>2030</v>
      </c>
      <c r="F145" s="835">
        <v>2.66</v>
      </c>
      <c r="G145" s="848">
        <v>2030</v>
      </c>
      <c r="H145" s="836">
        <v>2.7</v>
      </c>
      <c r="I145" s="848">
        <v>2030</v>
      </c>
      <c r="J145" s="835">
        <v>2.74</v>
      </c>
      <c r="K145" s="848">
        <v>2030</v>
      </c>
      <c r="L145" s="836">
        <v>2.77</v>
      </c>
      <c r="M145" s="848">
        <v>2030</v>
      </c>
      <c r="N145" s="835">
        <v>2.81</v>
      </c>
      <c r="O145" s="848">
        <v>2013</v>
      </c>
      <c r="P145" s="835">
        <v>2.81</v>
      </c>
      <c r="Q145" s="859">
        <f t="shared" si="92"/>
        <v>-0.01</v>
      </c>
      <c r="R145" s="858">
        <f t="shared" si="95"/>
        <v>0.73</v>
      </c>
      <c r="S145" s="841">
        <v>3.77</v>
      </c>
      <c r="U145" s="848">
        <f t="shared" si="93"/>
        <v>-17</v>
      </c>
      <c r="V145" s="835">
        <f t="shared" si="94"/>
        <v>1.19</v>
      </c>
    </row>
    <row r="146" spans="1:22">
      <c r="A146" s="3436"/>
      <c r="B146" s="931" t="s">
        <v>557</v>
      </c>
      <c r="C146" s="972">
        <v>283</v>
      </c>
      <c r="D146" s="836">
        <f t="shared" si="97"/>
        <v>0.15</v>
      </c>
      <c r="E146" s="848">
        <v>284</v>
      </c>
      <c r="F146" s="835">
        <v>0.25</v>
      </c>
      <c r="G146" s="848">
        <v>284</v>
      </c>
      <c r="H146" s="836">
        <v>0.26</v>
      </c>
      <c r="I146" s="848">
        <v>284</v>
      </c>
      <c r="J146" s="835">
        <v>0.26</v>
      </c>
      <c r="K146" s="848">
        <v>284</v>
      </c>
      <c r="L146" s="836">
        <v>0.26</v>
      </c>
      <c r="M146" s="848">
        <v>284</v>
      </c>
      <c r="N146" s="835">
        <v>0.26</v>
      </c>
      <c r="O146" s="848">
        <v>284</v>
      </c>
      <c r="P146" s="835">
        <v>0.27</v>
      </c>
      <c r="Q146" s="859">
        <f t="shared" si="92"/>
        <v>0</v>
      </c>
      <c r="R146" s="858">
        <f t="shared" si="95"/>
        <v>0.8</v>
      </c>
      <c r="S146" s="841">
        <v>0.39</v>
      </c>
      <c r="U146" s="848">
        <f t="shared" si="93"/>
        <v>1</v>
      </c>
      <c r="V146" s="835">
        <f t="shared" si="94"/>
        <v>0.12</v>
      </c>
    </row>
    <row r="147" spans="1:22">
      <c r="A147" s="3436"/>
      <c r="B147" s="931" t="s">
        <v>558</v>
      </c>
      <c r="C147" s="972">
        <v>515</v>
      </c>
      <c r="D147" s="836">
        <f t="shared" si="97"/>
        <v>0.7</v>
      </c>
      <c r="E147" s="848">
        <v>499</v>
      </c>
      <c r="F147" s="835">
        <v>1.1499999999999999</v>
      </c>
      <c r="G147" s="848">
        <v>499</v>
      </c>
      <c r="H147" s="836">
        <v>1.1599999999999999</v>
      </c>
      <c r="I147" s="848">
        <v>499</v>
      </c>
      <c r="J147" s="835">
        <v>1.1599999999999999</v>
      </c>
      <c r="K147" s="848">
        <v>499</v>
      </c>
      <c r="L147" s="836">
        <v>1.17</v>
      </c>
      <c r="M147" s="848">
        <v>484</v>
      </c>
      <c r="N147" s="835">
        <v>1.1399999999999999</v>
      </c>
      <c r="O147" s="848">
        <v>484</v>
      </c>
      <c r="P147" s="835">
        <v>1.1499999999999999</v>
      </c>
      <c r="Q147" s="859">
        <f t="shared" si="92"/>
        <v>-0.06</v>
      </c>
      <c r="R147" s="858">
        <f t="shared" si="95"/>
        <v>0.64</v>
      </c>
      <c r="S147" s="841">
        <v>1.31</v>
      </c>
      <c r="U147" s="848">
        <f t="shared" si="93"/>
        <v>-31</v>
      </c>
      <c r="V147" s="835">
        <f t="shared" si="94"/>
        <v>0.45</v>
      </c>
    </row>
    <row r="148" spans="1:22">
      <c r="A148" s="3436"/>
      <c r="B148" s="931" t="s">
        <v>559</v>
      </c>
      <c r="C148" s="972">
        <v>834</v>
      </c>
      <c r="D148" s="836">
        <f t="shared" si="97"/>
        <v>0.38</v>
      </c>
      <c r="E148" s="848">
        <v>636</v>
      </c>
      <c r="F148" s="835">
        <v>0.62</v>
      </c>
      <c r="G148" s="848">
        <v>636</v>
      </c>
      <c r="H148" s="836">
        <v>0.61</v>
      </c>
      <c r="I148" s="848">
        <v>636</v>
      </c>
      <c r="J148" s="835">
        <v>0.59</v>
      </c>
      <c r="K148" s="848">
        <v>636</v>
      </c>
      <c r="L148" s="836">
        <v>0.62</v>
      </c>
      <c r="M148" s="848">
        <v>578</v>
      </c>
      <c r="N148" s="835">
        <v>0.56000000000000005</v>
      </c>
      <c r="O148" s="848">
        <v>540</v>
      </c>
      <c r="P148" s="835">
        <v>0.49</v>
      </c>
      <c r="Q148" s="859">
        <f t="shared" si="92"/>
        <v>-0.35</v>
      </c>
      <c r="R148" s="858">
        <f t="shared" si="95"/>
        <v>0.28999999999999998</v>
      </c>
      <c r="S148" s="841">
        <v>0.81</v>
      </c>
      <c r="U148" s="848">
        <f t="shared" si="93"/>
        <v>-294</v>
      </c>
      <c r="V148" s="835">
        <f t="shared" si="94"/>
        <v>0.11</v>
      </c>
    </row>
    <row r="149" spans="1:22">
      <c r="A149" s="3436"/>
      <c r="B149" s="931" t="s">
        <v>560</v>
      </c>
      <c r="C149" s="972">
        <v>2327</v>
      </c>
      <c r="D149" s="836">
        <f t="shared" si="97"/>
        <v>1.1200000000000001</v>
      </c>
      <c r="E149" s="848">
        <v>2120</v>
      </c>
      <c r="F149" s="835">
        <v>1.83</v>
      </c>
      <c r="G149" s="848">
        <v>1924</v>
      </c>
      <c r="H149" s="836">
        <v>1.65</v>
      </c>
      <c r="I149" s="848">
        <v>1924</v>
      </c>
      <c r="J149" s="835">
        <v>1.63</v>
      </c>
      <c r="K149" s="848">
        <v>1924</v>
      </c>
      <c r="L149" s="836">
        <v>1.65</v>
      </c>
      <c r="M149" s="848">
        <v>1826</v>
      </c>
      <c r="N149" s="835">
        <v>1.57</v>
      </c>
      <c r="O149" s="848">
        <v>1826</v>
      </c>
      <c r="P149" s="835">
        <v>1.59</v>
      </c>
      <c r="Q149" s="859">
        <f t="shared" si="92"/>
        <v>-0.22</v>
      </c>
      <c r="R149" s="858">
        <f t="shared" si="95"/>
        <v>0.42</v>
      </c>
      <c r="S149" s="841">
        <v>2.08</v>
      </c>
      <c r="U149" s="848">
        <f t="shared" si="93"/>
        <v>-501</v>
      </c>
      <c r="V149" s="835">
        <f t="shared" si="94"/>
        <v>0.47</v>
      </c>
    </row>
    <row r="150" spans="1:22">
      <c r="A150" s="3436"/>
      <c r="B150" s="931" t="s">
        <v>561</v>
      </c>
      <c r="C150" s="972">
        <v>0</v>
      </c>
      <c r="D150" s="836">
        <f t="shared" si="97"/>
        <v>0</v>
      </c>
      <c r="E150" s="848">
        <v>0</v>
      </c>
      <c r="F150" s="835">
        <v>0</v>
      </c>
      <c r="G150" s="848">
        <v>0</v>
      </c>
      <c r="H150" s="836">
        <v>0</v>
      </c>
      <c r="I150" s="848">
        <v>0</v>
      </c>
      <c r="J150" s="835">
        <v>0</v>
      </c>
      <c r="K150" s="848">
        <v>0</v>
      </c>
      <c r="L150" s="836">
        <v>0</v>
      </c>
      <c r="M150" s="848">
        <v>0</v>
      </c>
      <c r="N150" s="835">
        <v>0</v>
      </c>
      <c r="O150" s="848">
        <v>0</v>
      </c>
      <c r="P150" s="835">
        <v>0</v>
      </c>
      <c r="Q150" s="859" t="s">
        <v>16</v>
      </c>
      <c r="R150" s="858" t="s">
        <v>16</v>
      </c>
      <c r="S150" s="841">
        <v>0</v>
      </c>
      <c r="U150" s="848">
        <f t="shared" si="93"/>
        <v>0</v>
      </c>
      <c r="V150" s="835">
        <f t="shared" si="94"/>
        <v>0</v>
      </c>
    </row>
    <row r="151" spans="1:22" ht="15.75" thickBot="1">
      <c r="A151" s="3436"/>
      <c r="B151" s="932" t="s">
        <v>562</v>
      </c>
      <c r="C151" s="1880">
        <v>0</v>
      </c>
      <c r="D151" s="1881">
        <f t="shared" si="97"/>
        <v>0.04</v>
      </c>
      <c r="E151" s="849">
        <v>0</v>
      </c>
      <c r="F151" s="1885">
        <v>7.0000000000000007E-2</v>
      </c>
      <c r="G151" s="849">
        <v>0</v>
      </c>
      <c r="H151" s="1881">
        <f>F151</f>
        <v>7.0000000000000007E-2</v>
      </c>
      <c r="I151" s="849">
        <v>0</v>
      </c>
      <c r="J151" s="1885">
        <f>H151</f>
        <v>7.0000000000000007E-2</v>
      </c>
      <c r="K151" s="849">
        <v>0</v>
      </c>
      <c r="L151" s="1881">
        <f>J151</f>
        <v>7.0000000000000007E-2</v>
      </c>
      <c r="M151" s="849">
        <v>0</v>
      </c>
      <c r="N151" s="1885">
        <f>L151</f>
        <v>7.0000000000000007E-2</v>
      </c>
      <c r="O151" s="849">
        <v>0</v>
      </c>
      <c r="P151" s="1885">
        <v>7.0000000000000007E-2</v>
      </c>
      <c r="Q151" s="1886" t="s">
        <v>16</v>
      </c>
      <c r="R151" s="1888">
        <f t="shared" si="95"/>
        <v>0.75</v>
      </c>
      <c r="S151" s="846">
        <f>N151</f>
        <v>7.0000000000000007E-2</v>
      </c>
      <c r="U151" s="849">
        <f t="shared" si="93"/>
        <v>0</v>
      </c>
      <c r="V151" s="1885">
        <f t="shared" si="94"/>
        <v>0.03</v>
      </c>
    </row>
    <row r="152" spans="1:22" ht="16.5" thickTop="1" thickBot="1">
      <c r="A152" s="3437"/>
      <c r="B152" s="842" t="s">
        <v>18</v>
      </c>
      <c r="C152" s="973">
        <f>SUM(C142:C151)</f>
        <v>9504</v>
      </c>
      <c r="D152" s="852">
        <f>'Table 7'!E17</f>
        <v>6.86</v>
      </c>
      <c r="E152" s="850">
        <f t="shared" ref="E152:P152" si="98">SUM(E142:E151)</f>
        <v>9408</v>
      </c>
      <c r="F152" s="843">
        <f t="shared" si="98"/>
        <v>11.23</v>
      </c>
      <c r="G152" s="850">
        <f t="shared" si="98"/>
        <v>9212</v>
      </c>
      <c r="H152" s="852">
        <f t="shared" si="98"/>
        <v>11.14</v>
      </c>
      <c r="I152" s="850">
        <f t="shared" si="98"/>
        <v>9061</v>
      </c>
      <c r="J152" s="843">
        <f t="shared" si="98"/>
        <v>11</v>
      </c>
      <c r="K152" s="850">
        <f t="shared" si="98"/>
        <v>8948</v>
      </c>
      <c r="L152" s="852">
        <f t="shared" si="98"/>
        <v>10.98</v>
      </c>
      <c r="M152" s="850">
        <f t="shared" si="98"/>
        <v>8761</v>
      </c>
      <c r="N152" s="843">
        <f t="shared" si="98"/>
        <v>10.85</v>
      </c>
      <c r="O152" s="850">
        <f t="shared" si="98"/>
        <v>8644</v>
      </c>
      <c r="P152" s="843">
        <f t="shared" si="98"/>
        <v>10.77</v>
      </c>
      <c r="Q152" s="880">
        <f t="shared" si="92"/>
        <v>-0.09</v>
      </c>
      <c r="R152" s="881">
        <f t="shared" si="95"/>
        <v>0.56999999999999995</v>
      </c>
      <c r="S152" s="855">
        <f>SUM(S142:S151)</f>
        <v>15.14</v>
      </c>
      <c r="U152" s="850">
        <f t="shared" si="93"/>
        <v>-860</v>
      </c>
      <c r="V152" s="843">
        <f t="shared" si="94"/>
        <v>3.91</v>
      </c>
    </row>
    <row r="153" spans="1:22">
      <c r="A153" s="3435" t="s">
        <v>170</v>
      </c>
      <c r="B153" s="933" t="s">
        <v>553</v>
      </c>
      <c r="C153" s="971">
        <v>0</v>
      </c>
      <c r="D153" s="851">
        <f>(F153/$F$163)*$D$163</f>
        <v>0</v>
      </c>
      <c r="E153" s="847">
        <v>0</v>
      </c>
      <c r="F153" s="853">
        <v>0</v>
      </c>
      <c r="G153" s="847">
        <v>0</v>
      </c>
      <c r="H153" s="851">
        <v>0</v>
      </c>
      <c r="I153" s="847">
        <v>0</v>
      </c>
      <c r="J153" s="853">
        <v>0</v>
      </c>
      <c r="K153" s="847">
        <v>0</v>
      </c>
      <c r="L153" s="851">
        <v>0</v>
      </c>
      <c r="M153" s="847">
        <v>0</v>
      </c>
      <c r="N153" s="853">
        <v>0</v>
      </c>
      <c r="O153" s="847">
        <v>0</v>
      </c>
      <c r="P153" s="853">
        <v>0</v>
      </c>
      <c r="Q153" s="878" t="s">
        <v>16</v>
      </c>
      <c r="R153" s="879" t="s">
        <v>16</v>
      </c>
      <c r="S153" s="854">
        <v>0</v>
      </c>
      <c r="U153" s="847">
        <f t="shared" si="93"/>
        <v>0</v>
      </c>
      <c r="V153" s="853">
        <f t="shared" si="94"/>
        <v>0</v>
      </c>
    </row>
    <row r="154" spans="1:22">
      <c r="A154" s="3436"/>
      <c r="B154" s="931" t="s">
        <v>554</v>
      </c>
      <c r="C154" s="972">
        <v>59</v>
      </c>
      <c r="D154" s="836">
        <f t="shared" ref="D154:D162" si="99">(F154/$F$163)*$D$163</f>
        <v>7.0000000000000007E-2</v>
      </c>
      <c r="E154" s="848">
        <v>39</v>
      </c>
      <c r="F154" s="835">
        <v>7.0000000000000007E-2</v>
      </c>
      <c r="G154" s="848">
        <v>102</v>
      </c>
      <c r="H154" s="836">
        <v>0.18</v>
      </c>
      <c r="I154" s="848">
        <v>176</v>
      </c>
      <c r="J154" s="835">
        <v>0.32</v>
      </c>
      <c r="K154" s="848">
        <v>196</v>
      </c>
      <c r="L154" s="836">
        <v>0.35</v>
      </c>
      <c r="M154" s="848">
        <v>228</v>
      </c>
      <c r="N154" s="835">
        <v>0.41</v>
      </c>
      <c r="O154" s="848">
        <v>228</v>
      </c>
      <c r="P154" s="835">
        <v>0.41</v>
      </c>
      <c r="Q154" s="859">
        <f t="shared" si="92"/>
        <v>2.86</v>
      </c>
      <c r="R154" s="858">
        <f t="shared" si="95"/>
        <v>4.8600000000000003</v>
      </c>
      <c r="S154" s="841">
        <v>0.56999999999999995</v>
      </c>
      <c r="U154" s="848">
        <f t="shared" si="93"/>
        <v>169</v>
      </c>
      <c r="V154" s="835">
        <f t="shared" si="94"/>
        <v>0.34</v>
      </c>
    </row>
    <row r="155" spans="1:22">
      <c r="A155" s="3436"/>
      <c r="B155" s="931" t="s">
        <v>555</v>
      </c>
      <c r="C155" s="972">
        <v>0</v>
      </c>
      <c r="D155" s="836">
        <f t="shared" si="99"/>
        <v>0</v>
      </c>
      <c r="E155" s="848">
        <v>0</v>
      </c>
      <c r="F155" s="835">
        <v>0</v>
      </c>
      <c r="G155" s="848">
        <v>8</v>
      </c>
      <c r="H155" s="836">
        <v>0.01</v>
      </c>
      <c r="I155" s="848">
        <v>8</v>
      </c>
      <c r="J155" s="835">
        <v>0.01</v>
      </c>
      <c r="K155" s="848">
        <v>8</v>
      </c>
      <c r="L155" s="836">
        <v>0.01</v>
      </c>
      <c r="M155" s="848">
        <v>47</v>
      </c>
      <c r="N155" s="835">
        <v>0.05</v>
      </c>
      <c r="O155" s="848">
        <v>125</v>
      </c>
      <c r="P155" s="835">
        <v>0.14000000000000001</v>
      </c>
      <c r="Q155" s="859" t="s">
        <v>16</v>
      </c>
      <c r="R155" s="858" t="s">
        <v>16</v>
      </c>
      <c r="S155" s="841">
        <v>0.21</v>
      </c>
      <c r="U155" s="848">
        <f t="shared" si="93"/>
        <v>125</v>
      </c>
      <c r="V155" s="835">
        <f t="shared" si="94"/>
        <v>0.14000000000000001</v>
      </c>
    </row>
    <row r="156" spans="1:22">
      <c r="A156" s="3436"/>
      <c r="B156" s="931" t="s">
        <v>556</v>
      </c>
      <c r="C156" s="972">
        <v>1459</v>
      </c>
      <c r="D156" s="836">
        <f t="shared" si="99"/>
        <v>2.5499999999999998</v>
      </c>
      <c r="E156" s="848">
        <v>1906</v>
      </c>
      <c r="F156" s="835">
        <v>2.5499999999999998</v>
      </c>
      <c r="G156" s="848">
        <v>2018</v>
      </c>
      <c r="H156" s="836">
        <v>2.72</v>
      </c>
      <c r="I156" s="848">
        <v>2200</v>
      </c>
      <c r="J156" s="835">
        <v>2.99</v>
      </c>
      <c r="K156" s="848">
        <v>2390</v>
      </c>
      <c r="L156" s="836">
        <v>3.27</v>
      </c>
      <c r="M156" s="848">
        <v>2425</v>
      </c>
      <c r="N156" s="835">
        <v>3.34</v>
      </c>
      <c r="O156" s="848">
        <v>2497</v>
      </c>
      <c r="P156" s="835">
        <v>3.46</v>
      </c>
      <c r="Q156" s="859">
        <f t="shared" si="92"/>
        <v>0.71</v>
      </c>
      <c r="R156" s="858">
        <f t="shared" si="95"/>
        <v>0.36</v>
      </c>
      <c r="S156" s="841">
        <v>4.54</v>
      </c>
      <c r="U156" s="848">
        <f t="shared" si="93"/>
        <v>1038</v>
      </c>
      <c r="V156" s="835">
        <f t="shared" si="94"/>
        <v>0.91</v>
      </c>
    </row>
    <row r="157" spans="1:22">
      <c r="A157" s="3436"/>
      <c r="B157" s="931" t="s">
        <v>557</v>
      </c>
      <c r="C157" s="972">
        <v>11811</v>
      </c>
      <c r="D157" s="836">
        <f t="shared" si="99"/>
        <v>12</v>
      </c>
      <c r="E157" s="848">
        <v>15828</v>
      </c>
      <c r="F157" s="835">
        <v>11.99</v>
      </c>
      <c r="G157" s="848">
        <v>15962</v>
      </c>
      <c r="H157" s="836">
        <v>12.19</v>
      </c>
      <c r="I157" s="848">
        <v>16088</v>
      </c>
      <c r="J157" s="835">
        <v>12.38</v>
      </c>
      <c r="K157" s="848">
        <v>16214</v>
      </c>
      <c r="L157" s="836">
        <v>12.65</v>
      </c>
      <c r="M157" s="848">
        <v>16443</v>
      </c>
      <c r="N157" s="835">
        <v>12.98</v>
      </c>
      <c r="O157" s="848">
        <v>16604</v>
      </c>
      <c r="P157" s="835">
        <v>13.25</v>
      </c>
      <c r="Q157" s="859">
        <f t="shared" si="92"/>
        <v>0.41</v>
      </c>
      <c r="R157" s="858">
        <f t="shared" si="95"/>
        <v>0.1</v>
      </c>
      <c r="S157" s="841">
        <v>16.829999999999998</v>
      </c>
      <c r="U157" s="848">
        <f t="shared" si="93"/>
        <v>4793</v>
      </c>
      <c r="V157" s="835">
        <f t="shared" si="94"/>
        <v>1.25</v>
      </c>
    </row>
    <row r="158" spans="1:22">
      <c r="A158" s="3436"/>
      <c r="B158" s="931" t="s">
        <v>558</v>
      </c>
      <c r="C158" s="972">
        <v>174</v>
      </c>
      <c r="D158" s="836">
        <f t="shared" si="99"/>
        <v>0.42</v>
      </c>
      <c r="E158" s="848">
        <v>174</v>
      </c>
      <c r="F158" s="835">
        <v>0.42</v>
      </c>
      <c r="G158" s="848">
        <v>225</v>
      </c>
      <c r="H158" s="836">
        <v>0.53</v>
      </c>
      <c r="I158" s="848">
        <v>225</v>
      </c>
      <c r="J158" s="835">
        <v>0.53</v>
      </c>
      <c r="K158" s="848">
        <v>306</v>
      </c>
      <c r="L158" s="836">
        <v>0.71</v>
      </c>
      <c r="M158" s="848">
        <v>409</v>
      </c>
      <c r="N158" s="835">
        <v>0.94</v>
      </c>
      <c r="O158" s="848">
        <v>555</v>
      </c>
      <c r="P158" s="835">
        <v>1.26</v>
      </c>
      <c r="Q158" s="859">
        <f t="shared" si="92"/>
        <v>2.19</v>
      </c>
      <c r="R158" s="858">
        <f t="shared" si="95"/>
        <v>2</v>
      </c>
      <c r="S158" s="841">
        <v>1.42</v>
      </c>
      <c r="U158" s="848">
        <f t="shared" si="93"/>
        <v>381</v>
      </c>
      <c r="V158" s="835">
        <f t="shared" si="94"/>
        <v>0.84</v>
      </c>
    </row>
    <row r="159" spans="1:22">
      <c r="A159" s="3436"/>
      <c r="B159" s="931" t="s">
        <v>559</v>
      </c>
      <c r="C159" s="972">
        <v>2057</v>
      </c>
      <c r="D159" s="836">
        <f t="shared" si="99"/>
        <v>1.84</v>
      </c>
      <c r="E159" s="848">
        <v>1987</v>
      </c>
      <c r="F159" s="835">
        <v>1.84</v>
      </c>
      <c r="G159" s="848">
        <v>2063</v>
      </c>
      <c r="H159" s="836">
        <v>1.89</v>
      </c>
      <c r="I159" s="848">
        <v>2126</v>
      </c>
      <c r="J159" s="835">
        <v>1.94</v>
      </c>
      <c r="K159" s="848">
        <v>2157</v>
      </c>
      <c r="L159" s="836">
        <v>1.94</v>
      </c>
      <c r="M159" s="848">
        <v>2182</v>
      </c>
      <c r="N159" s="835">
        <v>1.93</v>
      </c>
      <c r="O159" s="848">
        <v>2182</v>
      </c>
      <c r="P159" s="835">
        <v>1.92</v>
      </c>
      <c r="Q159" s="859">
        <f t="shared" si="92"/>
        <v>0.06</v>
      </c>
      <c r="R159" s="858">
        <f t="shared" si="95"/>
        <v>0.04</v>
      </c>
      <c r="S159" s="841">
        <v>2.62</v>
      </c>
      <c r="U159" s="848">
        <f t="shared" si="93"/>
        <v>125</v>
      </c>
      <c r="V159" s="835">
        <f t="shared" si="94"/>
        <v>0.08</v>
      </c>
    </row>
    <row r="160" spans="1:22">
      <c r="A160" s="3436"/>
      <c r="B160" s="931" t="s">
        <v>560</v>
      </c>
      <c r="C160" s="972">
        <v>0</v>
      </c>
      <c r="D160" s="836">
        <f t="shared" si="99"/>
        <v>0</v>
      </c>
      <c r="E160" s="848">
        <v>0</v>
      </c>
      <c r="F160" s="835">
        <v>0</v>
      </c>
      <c r="G160" s="848">
        <v>0</v>
      </c>
      <c r="H160" s="836">
        <v>0</v>
      </c>
      <c r="I160" s="848">
        <v>0</v>
      </c>
      <c r="J160" s="835">
        <v>0</v>
      </c>
      <c r="K160" s="848">
        <v>0</v>
      </c>
      <c r="L160" s="836">
        <v>0</v>
      </c>
      <c r="M160" s="848">
        <v>0</v>
      </c>
      <c r="N160" s="835">
        <v>0</v>
      </c>
      <c r="O160" s="848">
        <v>0</v>
      </c>
      <c r="P160" s="835">
        <v>0</v>
      </c>
      <c r="Q160" s="859" t="s">
        <v>16</v>
      </c>
      <c r="R160" s="858" t="s">
        <v>16</v>
      </c>
      <c r="S160" s="841">
        <v>0</v>
      </c>
      <c r="U160" s="848">
        <f t="shared" si="93"/>
        <v>0</v>
      </c>
      <c r="V160" s="835">
        <f t="shared" si="94"/>
        <v>0</v>
      </c>
    </row>
    <row r="161" spans="1:22">
      <c r="A161" s="3436"/>
      <c r="B161" s="931" t="s">
        <v>561</v>
      </c>
      <c r="C161" s="972">
        <v>0</v>
      </c>
      <c r="D161" s="836">
        <f t="shared" si="99"/>
        <v>0</v>
      </c>
      <c r="E161" s="848">
        <v>0</v>
      </c>
      <c r="F161" s="835">
        <v>0</v>
      </c>
      <c r="G161" s="848">
        <v>0</v>
      </c>
      <c r="H161" s="836">
        <v>0</v>
      </c>
      <c r="I161" s="848">
        <v>0</v>
      </c>
      <c r="J161" s="835">
        <v>0</v>
      </c>
      <c r="K161" s="848">
        <v>0</v>
      </c>
      <c r="L161" s="836">
        <v>0</v>
      </c>
      <c r="M161" s="848">
        <v>0</v>
      </c>
      <c r="N161" s="835">
        <v>0</v>
      </c>
      <c r="O161" s="848">
        <v>0</v>
      </c>
      <c r="P161" s="835">
        <v>0</v>
      </c>
      <c r="Q161" s="859" t="s">
        <v>16</v>
      </c>
      <c r="R161" s="858" t="s">
        <v>16</v>
      </c>
      <c r="S161" s="841">
        <v>0</v>
      </c>
      <c r="U161" s="848">
        <f t="shared" si="93"/>
        <v>0</v>
      </c>
      <c r="V161" s="835">
        <f t="shared" si="94"/>
        <v>0</v>
      </c>
    </row>
    <row r="162" spans="1:22" ht="15.75" thickBot="1">
      <c r="A162" s="3436"/>
      <c r="B162" s="932" t="s">
        <v>562</v>
      </c>
      <c r="C162" s="1880">
        <v>0</v>
      </c>
      <c r="D162" s="1881">
        <f t="shared" si="99"/>
        <v>2.13</v>
      </c>
      <c r="E162" s="849">
        <v>0</v>
      </c>
      <c r="F162" s="1885">
        <v>2.13</v>
      </c>
      <c r="G162" s="849">
        <v>0</v>
      </c>
      <c r="H162" s="1881">
        <f>F162</f>
        <v>2.13</v>
      </c>
      <c r="I162" s="849">
        <v>0</v>
      </c>
      <c r="J162" s="1885">
        <f>H162</f>
        <v>2.13</v>
      </c>
      <c r="K162" s="849">
        <v>0</v>
      </c>
      <c r="L162" s="1881">
        <f>J162</f>
        <v>2.13</v>
      </c>
      <c r="M162" s="849">
        <v>0</v>
      </c>
      <c r="N162" s="1885">
        <f>L162</f>
        <v>2.13</v>
      </c>
      <c r="O162" s="849">
        <v>0</v>
      </c>
      <c r="P162" s="1885">
        <v>2.13</v>
      </c>
      <c r="Q162" s="1886" t="s">
        <v>16</v>
      </c>
      <c r="R162" s="1888">
        <f t="shared" si="95"/>
        <v>0</v>
      </c>
      <c r="S162" s="846">
        <v>2.13</v>
      </c>
      <c r="U162" s="849">
        <f t="shared" si="93"/>
        <v>0</v>
      </c>
      <c r="V162" s="1885">
        <f t="shared" si="94"/>
        <v>0</v>
      </c>
    </row>
    <row r="163" spans="1:22" ht="16.5" thickTop="1" thickBot="1">
      <c r="A163" s="3437"/>
      <c r="B163" s="842" t="s">
        <v>18</v>
      </c>
      <c r="C163" s="973">
        <f>SUM(C153:C162)</f>
        <v>15560</v>
      </c>
      <c r="D163" s="852">
        <f>'Table 7'!E18</f>
        <v>19.010000000000002</v>
      </c>
      <c r="E163" s="850">
        <f t="shared" ref="E163:P163" si="100">SUM(E153:E162)</f>
        <v>19934</v>
      </c>
      <c r="F163" s="843">
        <f t="shared" si="100"/>
        <v>19</v>
      </c>
      <c r="G163" s="850">
        <f t="shared" si="100"/>
        <v>20378</v>
      </c>
      <c r="H163" s="852">
        <f t="shared" si="100"/>
        <v>19.649999999999999</v>
      </c>
      <c r="I163" s="850">
        <f t="shared" si="100"/>
        <v>20823</v>
      </c>
      <c r="J163" s="843">
        <f t="shared" si="100"/>
        <v>20.3</v>
      </c>
      <c r="K163" s="850">
        <f t="shared" si="100"/>
        <v>21271</v>
      </c>
      <c r="L163" s="852">
        <f t="shared" si="100"/>
        <v>21.06</v>
      </c>
      <c r="M163" s="850">
        <f t="shared" si="100"/>
        <v>21734</v>
      </c>
      <c r="N163" s="843">
        <f t="shared" si="100"/>
        <v>21.78</v>
      </c>
      <c r="O163" s="850">
        <f t="shared" si="100"/>
        <v>22191</v>
      </c>
      <c r="P163" s="843">
        <f t="shared" si="100"/>
        <v>22.57</v>
      </c>
      <c r="Q163" s="880">
        <f t="shared" si="92"/>
        <v>0.43</v>
      </c>
      <c r="R163" s="881">
        <f t="shared" si="95"/>
        <v>0.19</v>
      </c>
      <c r="S163" s="855">
        <f>SUM(S153:S162)</f>
        <v>28.32</v>
      </c>
      <c r="U163" s="850">
        <f t="shared" si="93"/>
        <v>6631</v>
      </c>
      <c r="V163" s="843">
        <f t="shared" si="94"/>
        <v>3.56</v>
      </c>
    </row>
    <row r="164" spans="1:22">
      <c r="A164" s="3435" t="s">
        <v>174</v>
      </c>
      <c r="B164" s="933" t="s">
        <v>553</v>
      </c>
      <c r="C164" s="971">
        <v>0</v>
      </c>
      <c r="D164" s="851">
        <f>(F164/$F$174)*$D$174</f>
        <v>0</v>
      </c>
      <c r="E164" s="847">
        <v>0</v>
      </c>
      <c r="F164" s="853">
        <v>0</v>
      </c>
      <c r="G164" s="847">
        <v>0</v>
      </c>
      <c r="H164" s="851">
        <v>0</v>
      </c>
      <c r="I164" s="847">
        <v>0</v>
      </c>
      <c r="J164" s="853">
        <v>0</v>
      </c>
      <c r="K164" s="847">
        <v>0</v>
      </c>
      <c r="L164" s="851">
        <v>0</v>
      </c>
      <c r="M164" s="847">
        <v>0</v>
      </c>
      <c r="N164" s="853">
        <v>0</v>
      </c>
      <c r="O164" s="847">
        <v>0</v>
      </c>
      <c r="P164" s="853">
        <v>0</v>
      </c>
      <c r="Q164" s="878" t="s">
        <v>16</v>
      </c>
      <c r="R164" s="879" t="s">
        <v>16</v>
      </c>
      <c r="S164" s="854">
        <v>0</v>
      </c>
      <c r="U164" s="847">
        <f t="shared" si="93"/>
        <v>0</v>
      </c>
      <c r="V164" s="853">
        <f t="shared" si="94"/>
        <v>0</v>
      </c>
    </row>
    <row r="165" spans="1:22">
      <c r="A165" s="3436"/>
      <c r="B165" s="931" t="s">
        <v>554</v>
      </c>
      <c r="C165" s="972">
        <v>0</v>
      </c>
      <c r="D165" s="836">
        <f t="shared" ref="D165:D173" si="101">(F165/$F$174)*$D$174</f>
        <v>7.0000000000000007E-2</v>
      </c>
      <c r="E165" s="848">
        <v>32</v>
      </c>
      <c r="F165" s="835">
        <v>0.06</v>
      </c>
      <c r="G165" s="848">
        <v>90</v>
      </c>
      <c r="H165" s="836">
        <v>0.16</v>
      </c>
      <c r="I165" s="848">
        <v>143</v>
      </c>
      <c r="J165" s="835">
        <v>0.26</v>
      </c>
      <c r="K165" s="848">
        <v>167</v>
      </c>
      <c r="L165" s="836">
        <v>0.3</v>
      </c>
      <c r="M165" s="848">
        <v>234</v>
      </c>
      <c r="N165" s="835">
        <v>0.42</v>
      </c>
      <c r="O165" s="848">
        <v>261</v>
      </c>
      <c r="P165" s="835">
        <v>0.47</v>
      </c>
      <c r="Q165" s="859" t="s">
        <v>16</v>
      </c>
      <c r="R165" s="858">
        <f t="shared" si="95"/>
        <v>5.71</v>
      </c>
      <c r="S165" s="841">
        <v>0.66</v>
      </c>
      <c r="U165" s="848">
        <f t="shared" si="93"/>
        <v>261</v>
      </c>
      <c r="V165" s="835">
        <f t="shared" si="94"/>
        <v>0.4</v>
      </c>
    </row>
    <row r="166" spans="1:22">
      <c r="A166" s="3436"/>
      <c r="B166" s="931" t="s">
        <v>555</v>
      </c>
      <c r="C166" s="972">
        <v>241</v>
      </c>
      <c r="D166" s="836">
        <f t="shared" si="101"/>
        <v>0.36</v>
      </c>
      <c r="E166" s="848">
        <v>276</v>
      </c>
      <c r="F166" s="835">
        <v>0.31</v>
      </c>
      <c r="G166" s="848">
        <v>276</v>
      </c>
      <c r="H166" s="836">
        <v>0.31</v>
      </c>
      <c r="I166" s="848">
        <v>276</v>
      </c>
      <c r="J166" s="835">
        <v>0.31</v>
      </c>
      <c r="K166" s="848">
        <v>317</v>
      </c>
      <c r="L166" s="836">
        <v>0.36</v>
      </c>
      <c r="M166" s="848">
        <v>317</v>
      </c>
      <c r="N166" s="835">
        <v>0.36</v>
      </c>
      <c r="O166" s="848">
        <v>317</v>
      </c>
      <c r="P166" s="835">
        <v>0.37</v>
      </c>
      <c r="Q166" s="859">
        <f t="shared" si="92"/>
        <v>0.32</v>
      </c>
      <c r="R166" s="858">
        <f t="shared" si="95"/>
        <v>0.03</v>
      </c>
      <c r="S166" s="841">
        <v>0.53</v>
      </c>
      <c r="U166" s="848">
        <f t="shared" si="93"/>
        <v>76</v>
      </c>
      <c r="V166" s="835">
        <f t="shared" si="94"/>
        <v>0.01</v>
      </c>
    </row>
    <row r="167" spans="1:22">
      <c r="A167" s="3436"/>
      <c r="B167" s="931" t="s">
        <v>556</v>
      </c>
      <c r="C167" s="972">
        <v>3734</v>
      </c>
      <c r="D167" s="836">
        <f t="shared" si="101"/>
        <v>5.47</v>
      </c>
      <c r="E167" s="848">
        <v>3667</v>
      </c>
      <c r="F167" s="835">
        <v>4.74</v>
      </c>
      <c r="G167" s="848">
        <v>3883</v>
      </c>
      <c r="H167" s="836">
        <v>5.07</v>
      </c>
      <c r="I167" s="848">
        <v>4072</v>
      </c>
      <c r="J167" s="835">
        <v>5.35</v>
      </c>
      <c r="K167" s="848">
        <v>4192</v>
      </c>
      <c r="L167" s="836">
        <v>5.55</v>
      </c>
      <c r="M167" s="848">
        <v>4331</v>
      </c>
      <c r="N167" s="835">
        <v>5.78</v>
      </c>
      <c r="O167" s="848">
        <v>4516</v>
      </c>
      <c r="P167" s="835">
        <v>6.05</v>
      </c>
      <c r="Q167" s="859">
        <f t="shared" si="92"/>
        <v>0.21</v>
      </c>
      <c r="R167" s="858">
        <f t="shared" si="95"/>
        <v>0.11</v>
      </c>
      <c r="S167" s="841">
        <v>7.93</v>
      </c>
      <c r="U167" s="848">
        <f t="shared" si="93"/>
        <v>782</v>
      </c>
      <c r="V167" s="835">
        <f t="shared" si="94"/>
        <v>0.57999999999999996</v>
      </c>
    </row>
    <row r="168" spans="1:22">
      <c r="A168" s="3436"/>
      <c r="B168" s="931" t="s">
        <v>557</v>
      </c>
      <c r="C168" s="972">
        <v>8610</v>
      </c>
      <c r="D168" s="836">
        <f t="shared" si="101"/>
        <v>7.88</v>
      </c>
      <c r="E168" s="848">
        <v>8931</v>
      </c>
      <c r="F168" s="835">
        <v>6.83</v>
      </c>
      <c r="G168" s="848">
        <v>9020</v>
      </c>
      <c r="H168" s="836">
        <v>6.97</v>
      </c>
      <c r="I168" s="848">
        <v>9153</v>
      </c>
      <c r="J168" s="835">
        <v>7.16</v>
      </c>
      <c r="K168" s="848">
        <v>9376</v>
      </c>
      <c r="L168" s="836">
        <v>7.46</v>
      </c>
      <c r="M168" s="848">
        <v>9580</v>
      </c>
      <c r="N168" s="835">
        <v>7.75</v>
      </c>
      <c r="O168" s="848">
        <v>9816</v>
      </c>
      <c r="P168" s="835">
        <v>8.0500000000000007</v>
      </c>
      <c r="Q168" s="859">
        <f t="shared" si="92"/>
        <v>0.14000000000000001</v>
      </c>
      <c r="R168" s="858">
        <f t="shared" si="95"/>
        <v>0.02</v>
      </c>
      <c r="S168" s="841">
        <v>10.220000000000001</v>
      </c>
      <c r="U168" s="848">
        <f t="shared" si="93"/>
        <v>1206</v>
      </c>
      <c r="V168" s="835">
        <f t="shared" si="94"/>
        <v>0.17</v>
      </c>
    </row>
    <row r="169" spans="1:22">
      <c r="A169" s="3436"/>
      <c r="B169" s="931" t="s">
        <v>558</v>
      </c>
      <c r="C169" s="972">
        <v>440</v>
      </c>
      <c r="D169" s="836">
        <f t="shared" si="101"/>
        <v>1.26</v>
      </c>
      <c r="E169" s="848">
        <v>440</v>
      </c>
      <c r="F169" s="835">
        <v>1.0900000000000001</v>
      </c>
      <c r="G169" s="848">
        <v>498</v>
      </c>
      <c r="H169" s="836">
        <v>1.22</v>
      </c>
      <c r="I169" s="848">
        <v>537</v>
      </c>
      <c r="J169" s="835">
        <v>1.3</v>
      </c>
      <c r="K169" s="848">
        <v>600</v>
      </c>
      <c r="L169" s="836">
        <v>1.44</v>
      </c>
      <c r="M169" s="848">
        <v>642</v>
      </c>
      <c r="N169" s="835">
        <v>1.54</v>
      </c>
      <c r="O169" s="848">
        <v>672</v>
      </c>
      <c r="P169" s="835">
        <v>1.61</v>
      </c>
      <c r="Q169" s="859">
        <f t="shared" si="92"/>
        <v>0.53</v>
      </c>
      <c r="R169" s="858">
        <f t="shared" si="95"/>
        <v>0.28000000000000003</v>
      </c>
      <c r="S169" s="841">
        <v>1.82</v>
      </c>
      <c r="U169" s="848">
        <f t="shared" si="93"/>
        <v>232</v>
      </c>
      <c r="V169" s="835">
        <f t="shared" si="94"/>
        <v>0.35</v>
      </c>
    </row>
    <row r="170" spans="1:22">
      <c r="A170" s="3436"/>
      <c r="B170" s="931" t="s">
        <v>559</v>
      </c>
      <c r="C170" s="972">
        <v>667</v>
      </c>
      <c r="D170" s="836">
        <f t="shared" si="101"/>
        <v>0.82</v>
      </c>
      <c r="E170" s="848">
        <v>650</v>
      </c>
      <c r="F170" s="835">
        <v>0.71</v>
      </c>
      <c r="G170" s="848">
        <v>716</v>
      </c>
      <c r="H170" s="836">
        <v>0.75</v>
      </c>
      <c r="I170" s="848">
        <v>778</v>
      </c>
      <c r="J170" s="835">
        <v>0.77</v>
      </c>
      <c r="K170" s="848">
        <v>796</v>
      </c>
      <c r="L170" s="836">
        <v>0.78</v>
      </c>
      <c r="M170" s="848">
        <v>847</v>
      </c>
      <c r="N170" s="835">
        <v>0.8</v>
      </c>
      <c r="O170" s="848">
        <v>847</v>
      </c>
      <c r="P170" s="835">
        <v>0.79</v>
      </c>
      <c r="Q170" s="859">
        <f t="shared" si="92"/>
        <v>0.27</v>
      </c>
      <c r="R170" s="858">
        <f t="shared" si="95"/>
        <v>-0.04</v>
      </c>
      <c r="S170" s="841">
        <v>1.08</v>
      </c>
      <c r="U170" s="848">
        <f t="shared" si="93"/>
        <v>180</v>
      </c>
      <c r="V170" s="835">
        <f t="shared" si="94"/>
        <v>-0.03</v>
      </c>
    </row>
    <row r="171" spans="1:22">
      <c r="A171" s="3436"/>
      <c r="B171" s="931" t="s">
        <v>560</v>
      </c>
      <c r="C171" s="972">
        <v>0</v>
      </c>
      <c r="D171" s="836">
        <f t="shared" si="101"/>
        <v>0</v>
      </c>
      <c r="E171" s="848">
        <v>0</v>
      </c>
      <c r="F171" s="835">
        <v>0</v>
      </c>
      <c r="G171" s="848">
        <v>0</v>
      </c>
      <c r="H171" s="836">
        <v>0</v>
      </c>
      <c r="I171" s="848">
        <v>0</v>
      </c>
      <c r="J171" s="835">
        <v>0</v>
      </c>
      <c r="K171" s="848">
        <v>0</v>
      </c>
      <c r="L171" s="836">
        <v>0</v>
      </c>
      <c r="M171" s="848">
        <v>0</v>
      </c>
      <c r="N171" s="835">
        <v>0</v>
      </c>
      <c r="O171" s="848">
        <v>0</v>
      </c>
      <c r="P171" s="835">
        <v>0</v>
      </c>
      <c r="Q171" s="859" t="s">
        <v>16</v>
      </c>
      <c r="R171" s="858" t="s">
        <v>16</v>
      </c>
      <c r="S171" s="841">
        <v>0</v>
      </c>
      <c r="U171" s="848">
        <f t="shared" si="93"/>
        <v>0</v>
      </c>
      <c r="V171" s="835">
        <f t="shared" si="94"/>
        <v>0</v>
      </c>
    </row>
    <row r="172" spans="1:22">
      <c r="A172" s="3436"/>
      <c r="B172" s="931" t="s">
        <v>561</v>
      </c>
      <c r="C172" s="972">
        <v>0</v>
      </c>
      <c r="D172" s="836">
        <f t="shared" si="101"/>
        <v>0</v>
      </c>
      <c r="E172" s="848">
        <v>0</v>
      </c>
      <c r="F172" s="835">
        <v>0</v>
      </c>
      <c r="G172" s="848">
        <v>0</v>
      </c>
      <c r="H172" s="836">
        <v>0</v>
      </c>
      <c r="I172" s="848">
        <v>0</v>
      </c>
      <c r="J172" s="835">
        <v>0</v>
      </c>
      <c r="K172" s="848">
        <v>0</v>
      </c>
      <c r="L172" s="836">
        <v>0</v>
      </c>
      <c r="M172" s="848">
        <v>0</v>
      </c>
      <c r="N172" s="835">
        <v>0</v>
      </c>
      <c r="O172" s="848">
        <v>0</v>
      </c>
      <c r="P172" s="835">
        <v>0</v>
      </c>
      <c r="Q172" s="859" t="s">
        <v>16</v>
      </c>
      <c r="R172" s="858" t="s">
        <v>16</v>
      </c>
      <c r="S172" s="841">
        <v>0</v>
      </c>
      <c r="U172" s="848">
        <f t="shared" si="93"/>
        <v>0</v>
      </c>
      <c r="V172" s="835">
        <f t="shared" si="94"/>
        <v>0</v>
      </c>
    </row>
    <row r="173" spans="1:22" ht="15.75" thickBot="1">
      <c r="A173" s="3436"/>
      <c r="B173" s="932" t="s">
        <v>562</v>
      </c>
      <c r="C173" s="1880">
        <v>0</v>
      </c>
      <c r="D173" s="1881">
        <f t="shared" si="101"/>
        <v>0.24</v>
      </c>
      <c r="E173" s="849">
        <v>0</v>
      </c>
      <c r="F173" s="1885">
        <v>0.21</v>
      </c>
      <c r="G173" s="849">
        <v>0</v>
      </c>
      <c r="H173" s="1881">
        <f>F173</f>
        <v>0.21</v>
      </c>
      <c r="I173" s="849">
        <v>0</v>
      </c>
      <c r="J173" s="1885">
        <f>H173</f>
        <v>0.21</v>
      </c>
      <c r="K173" s="849">
        <v>0</v>
      </c>
      <c r="L173" s="1881">
        <f>J173</f>
        <v>0.21</v>
      </c>
      <c r="M173" s="849">
        <v>0</v>
      </c>
      <c r="N173" s="1885">
        <f>L173</f>
        <v>0.21</v>
      </c>
      <c r="O173" s="849">
        <v>0</v>
      </c>
      <c r="P173" s="1885">
        <v>0.21</v>
      </c>
      <c r="Q173" s="1886" t="s">
        <v>16</v>
      </c>
      <c r="R173" s="1888">
        <f t="shared" si="95"/>
        <v>-0.13</v>
      </c>
      <c r="S173" s="846">
        <f>N173</f>
        <v>0.21</v>
      </c>
      <c r="U173" s="849">
        <f t="shared" si="93"/>
        <v>0</v>
      </c>
      <c r="V173" s="1885">
        <f t="shared" si="94"/>
        <v>-0.03</v>
      </c>
    </row>
    <row r="174" spans="1:22" ht="16.5" thickTop="1" thickBot="1">
      <c r="A174" s="3437"/>
      <c r="B174" s="842" t="s">
        <v>18</v>
      </c>
      <c r="C174" s="973">
        <f>SUM(C164:C173)</f>
        <v>13692</v>
      </c>
      <c r="D174" s="852">
        <f>'Table 7'!E19</f>
        <v>16.100000000000001</v>
      </c>
      <c r="E174" s="850">
        <f t="shared" ref="E174:P174" si="102">SUM(E164:E173)</f>
        <v>13996</v>
      </c>
      <c r="F174" s="843">
        <f t="shared" si="102"/>
        <v>13.95</v>
      </c>
      <c r="G174" s="850">
        <f t="shared" si="102"/>
        <v>14483</v>
      </c>
      <c r="H174" s="852">
        <f t="shared" si="102"/>
        <v>14.69</v>
      </c>
      <c r="I174" s="850">
        <f t="shared" si="102"/>
        <v>14959</v>
      </c>
      <c r="J174" s="843">
        <f t="shared" si="102"/>
        <v>15.36</v>
      </c>
      <c r="K174" s="850">
        <f t="shared" si="102"/>
        <v>15448</v>
      </c>
      <c r="L174" s="852">
        <f t="shared" si="102"/>
        <v>16.100000000000001</v>
      </c>
      <c r="M174" s="850">
        <f t="shared" si="102"/>
        <v>15951</v>
      </c>
      <c r="N174" s="843">
        <f t="shared" si="102"/>
        <v>16.86</v>
      </c>
      <c r="O174" s="850">
        <f t="shared" si="102"/>
        <v>16429</v>
      </c>
      <c r="P174" s="843">
        <f t="shared" si="102"/>
        <v>17.55</v>
      </c>
      <c r="Q174" s="880">
        <f t="shared" si="92"/>
        <v>0.2</v>
      </c>
      <c r="R174" s="881">
        <f t="shared" si="95"/>
        <v>0.09</v>
      </c>
      <c r="S174" s="855">
        <f>SUM(S164:S173)</f>
        <v>22.45</v>
      </c>
      <c r="U174" s="850">
        <f t="shared" si="93"/>
        <v>2737</v>
      </c>
      <c r="V174" s="843">
        <f t="shared" si="94"/>
        <v>1.45</v>
      </c>
    </row>
    <row r="175" spans="1:22">
      <c r="A175" s="3435" t="s">
        <v>184</v>
      </c>
      <c r="B175" s="933" t="s">
        <v>553</v>
      </c>
      <c r="C175" s="971">
        <v>0</v>
      </c>
      <c r="D175" s="851">
        <f>(F175/$F$185)*$D$185</f>
        <v>0</v>
      </c>
      <c r="E175" s="847">
        <v>0</v>
      </c>
      <c r="F175" s="853">
        <v>0</v>
      </c>
      <c r="G175" s="847">
        <v>0</v>
      </c>
      <c r="H175" s="851">
        <v>0</v>
      </c>
      <c r="I175" s="847">
        <v>0</v>
      </c>
      <c r="J175" s="853">
        <v>0</v>
      </c>
      <c r="K175" s="847">
        <v>0</v>
      </c>
      <c r="L175" s="851">
        <v>0</v>
      </c>
      <c r="M175" s="847">
        <v>0</v>
      </c>
      <c r="N175" s="853">
        <v>0</v>
      </c>
      <c r="O175" s="847">
        <v>0</v>
      </c>
      <c r="P175" s="853">
        <v>0</v>
      </c>
      <c r="Q175" s="878" t="s">
        <v>16</v>
      </c>
      <c r="R175" s="879" t="s">
        <v>16</v>
      </c>
      <c r="S175" s="854">
        <v>0</v>
      </c>
      <c r="U175" s="847">
        <f t="shared" si="93"/>
        <v>0</v>
      </c>
      <c r="V175" s="853">
        <f t="shared" si="94"/>
        <v>0</v>
      </c>
    </row>
    <row r="176" spans="1:22">
      <c r="A176" s="3436"/>
      <c r="B176" s="931" t="s">
        <v>554</v>
      </c>
      <c r="C176" s="972">
        <v>33</v>
      </c>
      <c r="D176" s="836">
        <f t="shared" ref="D176:D184" si="103">(F176/$F$185)*$D$185</f>
        <v>0.04</v>
      </c>
      <c r="E176" s="848">
        <v>33</v>
      </c>
      <c r="F176" s="835">
        <v>0.05</v>
      </c>
      <c r="G176" s="848">
        <v>33</v>
      </c>
      <c r="H176" s="836">
        <v>0.06</v>
      </c>
      <c r="I176" s="848">
        <v>33</v>
      </c>
      <c r="J176" s="835">
        <v>0.06</v>
      </c>
      <c r="K176" s="848">
        <v>33</v>
      </c>
      <c r="L176" s="836">
        <v>0.06</v>
      </c>
      <c r="M176" s="848">
        <v>33</v>
      </c>
      <c r="N176" s="835">
        <v>0.06</v>
      </c>
      <c r="O176" s="848">
        <v>33</v>
      </c>
      <c r="P176" s="835">
        <v>0.06</v>
      </c>
      <c r="Q176" s="859">
        <f t="shared" si="92"/>
        <v>0</v>
      </c>
      <c r="R176" s="858">
        <f t="shared" si="95"/>
        <v>0.5</v>
      </c>
      <c r="S176" s="841">
        <v>0.09</v>
      </c>
      <c r="U176" s="848">
        <f t="shared" si="93"/>
        <v>0</v>
      </c>
      <c r="V176" s="835">
        <f t="shared" si="94"/>
        <v>0.02</v>
      </c>
    </row>
    <row r="177" spans="1:22">
      <c r="A177" s="3436"/>
      <c r="B177" s="931" t="s">
        <v>555</v>
      </c>
      <c r="C177" s="972">
        <v>0</v>
      </c>
      <c r="D177" s="836">
        <f t="shared" si="103"/>
        <v>0</v>
      </c>
      <c r="E177" s="848">
        <v>0</v>
      </c>
      <c r="F177" s="835">
        <v>0</v>
      </c>
      <c r="G177" s="848">
        <v>0</v>
      </c>
      <c r="H177" s="836">
        <v>0</v>
      </c>
      <c r="I177" s="848">
        <v>0</v>
      </c>
      <c r="J177" s="835">
        <v>0</v>
      </c>
      <c r="K177" s="848">
        <v>0</v>
      </c>
      <c r="L177" s="836">
        <v>0</v>
      </c>
      <c r="M177" s="848">
        <v>0</v>
      </c>
      <c r="N177" s="835">
        <v>0</v>
      </c>
      <c r="O177" s="848">
        <v>0</v>
      </c>
      <c r="P177" s="835">
        <v>0</v>
      </c>
      <c r="Q177" s="859" t="s">
        <v>16</v>
      </c>
      <c r="R177" s="858" t="s">
        <v>16</v>
      </c>
      <c r="S177" s="841">
        <v>0</v>
      </c>
      <c r="U177" s="848">
        <f t="shared" si="93"/>
        <v>0</v>
      </c>
      <c r="V177" s="835">
        <f t="shared" si="94"/>
        <v>0</v>
      </c>
    </row>
    <row r="178" spans="1:22">
      <c r="A178" s="3436"/>
      <c r="B178" s="931" t="s">
        <v>556</v>
      </c>
      <c r="C178" s="972">
        <v>18</v>
      </c>
      <c r="D178" s="836">
        <f t="shared" si="103"/>
        <v>0.01</v>
      </c>
      <c r="E178" s="848">
        <v>18</v>
      </c>
      <c r="F178" s="835">
        <v>0.02</v>
      </c>
      <c r="G178" s="848">
        <v>18</v>
      </c>
      <c r="H178" s="836">
        <v>0.02</v>
      </c>
      <c r="I178" s="848">
        <v>18</v>
      </c>
      <c r="J178" s="835">
        <v>0.02</v>
      </c>
      <c r="K178" s="848">
        <v>18</v>
      </c>
      <c r="L178" s="836">
        <v>0.02</v>
      </c>
      <c r="M178" s="848">
        <v>18</v>
      </c>
      <c r="N178" s="835">
        <v>0.02</v>
      </c>
      <c r="O178" s="848">
        <v>18</v>
      </c>
      <c r="P178" s="835">
        <v>0.2</v>
      </c>
      <c r="Q178" s="859">
        <f t="shared" si="92"/>
        <v>0</v>
      </c>
      <c r="R178" s="858">
        <f t="shared" si="95"/>
        <v>19</v>
      </c>
      <c r="S178" s="841">
        <v>0.03</v>
      </c>
      <c r="U178" s="848">
        <f t="shared" si="93"/>
        <v>0</v>
      </c>
      <c r="V178" s="835">
        <f t="shared" si="94"/>
        <v>0.19</v>
      </c>
    </row>
    <row r="179" spans="1:22">
      <c r="A179" s="3436"/>
      <c r="B179" s="931" t="s">
        <v>557</v>
      </c>
      <c r="C179" s="972">
        <v>681</v>
      </c>
      <c r="D179" s="836">
        <f t="shared" si="103"/>
        <v>0.33</v>
      </c>
      <c r="E179" s="848">
        <v>681</v>
      </c>
      <c r="F179" s="835">
        <v>0.47</v>
      </c>
      <c r="G179" s="848">
        <v>681</v>
      </c>
      <c r="H179" s="836">
        <v>0.47</v>
      </c>
      <c r="I179" s="848">
        <v>681</v>
      </c>
      <c r="J179" s="835">
        <v>0.47</v>
      </c>
      <c r="K179" s="848">
        <v>681</v>
      </c>
      <c r="L179" s="836">
        <v>0.47</v>
      </c>
      <c r="M179" s="848">
        <v>681</v>
      </c>
      <c r="N179" s="835">
        <v>0.47</v>
      </c>
      <c r="O179" s="848">
        <v>681</v>
      </c>
      <c r="P179" s="835">
        <v>0.47</v>
      </c>
      <c r="Q179" s="859">
        <f t="shared" si="92"/>
        <v>0</v>
      </c>
      <c r="R179" s="858">
        <f t="shared" si="95"/>
        <v>0.42</v>
      </c>
      <c r="S179" s="841">
        <v>0.7</v>
      </c>
      <c r="U179" s="848">
        <f t="shared" si="93"/>
        <v>0</v>
      </c>
      <c r="V179" s="835">
        <f t="shared" si="94"/>
        <v>0.14000000000000001</v>
      </c>
    </row>
    <row r="180" spans="1:22">
      <c r="A180" s="3436"/>
      <c r="B180" s="931" t="s">
        <v>558</v>
      </c>
      <c r="C180" s="972">
        <v>93</v>
      </c>
      <c r="D180" s="836">
        <f t="shared" si="103"/>
        <v>0.16</v>
      </c>
      <c r="E180" s="848">
        <v>89</v>
      </c>
      <c r="F180" s="835">
        <v>0.22</v>
      </c>
      <c r="G180" s="848">
        <v>89</v>
      </c>
      <c r="H180" s="836">
        <v>0.23</v>
      </c>
      <c r="I180" s="848">
        <v>89</v>
      </c>
      <c r="J180" s="835">
        <v>0.23</v>
      </c>
      <c r="K180" s="848">
        <v>89</v>
      </c>
      <c r="L180" s="836">
        <v>0.24</v>
      </c>
      <c r="M180" s="848">
        <v>89</v>
      </c>
      <c r="N180" s="835">
        <v>0.24</v>
      </c>
      <c r="O180" s="848">
        <v>89</v>
      </c>
      <c r="P180" s="835">
        <v>0.25</v>
      </c>
      <c r="Q180" s="859">
        <f t="shared" si="92"/>
        <v>-0.04</v>
      </c>
      <c r="R180" s="858">
        <f t="shared" si="95"/>
        <v>0.56000000000000005</v>
      </c>
      <c r="S180" s="841">
        <v>0.28000000000000003</v>
      </c>
      <c r="U180" s="848">
        <f t="shared" si="93"/>
        <v>-4</v>
      </c>
      <c r="V180" s="835">
        <f t="shared" si="94"/>
        <v>0.09</v>
      </c>
    </row>
    <row r="181" spans="1:22">
      <c r="A181" s="3436"/>
      <c r="B181" s="931" t="s">
        <v>559</v>
      </c>
      <c r="C181" s="972">
        <v>0</v>
      </c>
      <c r="D181" s="836">
        <f t="shared" si="103"/>
        <v>0</v>
      </c>
      <c r="E181" s="848">
        <v>0</v>
      </c>
      <c r="F181" s="835">
        <v>0</v>
      </c>
      <c r="G181" s="848">
        <v>0</v>
      </c>
      <c r="H181" s="836">
        <v>0</v>
      </c>
      <c r="I181" s="848">
        <v>0</v>
      </c>
      <c r="J181" s="835">
        <v>0</v>
      </c>
      <c r="K181" s="848">
        <v>0</v>
      </c>
      <c r="L181" s="836">
        <v>0</v>
      </c>
      <c r="M181" s="848">
        <v>0</v>
      </c>
      <c r="N181" s="835">
        <v>0</v>
      </c>
      <c r="O181" s="848">
        <v>0</v>
      </c>
      <c r="P181" s="835">
        <v>0</v>
      </c>
      <c r="Q181" s="859" t="s">
        <v>16</v>
      </c>
      <c r="R181" s="858" t="s">
        <v>16</v>
      </c>
      <c r="S181" s="841">
        <v>0</v>
      </c>
      <c r="U181" s="848">
        <f t="shared" si="93"/>
        <v>0</v>
      </c>
      <c r="V181" s="835">
        <f t="shared" si="94"/>
        <v>0</v>
      </c>
    </row>
    <row r="182" spans="1:22">
      <c r="A182" s="3436"/>
      <c r="B182" s="931" t="s">
        <v>560</v>
      </c>
      <c r="C182" s="972">
        <v>0</v>
      </c>
      <c r="D182" s="836">
        <f t="shared" si="103"/>
        <v>0</v>
      </c>
      <c r="E182" s="848">
        <v>0</v>
      </c>
      <c r="F182" s="835">
        <v>0</v>
      </c>
      <c r="G182" s="848">
        <v>0</v>
      </c>
      <c r="H182" s="836">
        <v>0</v>
      </c>
      <c r="I182" s="848">
        <v>0</v>
      </c>
      <c r="J182" s="835">
        <v>0</v>
      </c>
      <c r="K182" s="848">
        <v>0</v>
      </c>
      <c r="L182" s="836">
        <v>0</v>
      </c>
      <c r="M182" s="848">
        <v>0</v>
      </c>
      <c r="N182" s="835">
        <v>0</v>
      </c>
      <c r="O182" s="848">
        <v>0</v>
      </c>
      <c r="P182" s="835">
        <v>0</v>
      </c>
      <c r="Q182" s="859" t="s">
        <v>16</v>
      </c>
      <c r="R182" s="858" t="s">
        <v>16</v>
      </c>
      <c r="S182" s="841">
        <v>0</v>
      </c>
      <c r="U182" s="848">
        <f t="shared" si="93"/>
        <v>0</v>
      </c>
      <c r="V182" s="835">
        <f t="shared" si="94"/>
        <v>0</v>
      </c>
    </row>
    <row r="183" spans="1:22">
      <c r="A183" s="3436"/>
      <c r="B183" s="931" t="s">
        <v>561</v>
      </c>
      <c r="C183" s="972">
        <v>0</v>
      </c>
      <c r="D183" s="836">
        <f t="shared" si="103"/>
        <v>0</v>
      </c>
      <c r="E183" s="848">
        <v>0</v>
      </c>
      <c r="F183" s="835">
        <v>0</v>
      </c>
      <c r="G183" s="848">
        <v>0</v>
      </c>
      <c r="H183" s="836">
        <v>0</v>
      </c>
      <c r="I183" s="848">
        <v>0</v>
      </c>
      <c r="J183" s="835">
        <v>0</v>
      </c>
      <c r="K183" s="848">
        <v>0</v>
      </c>
      <c r="L183" s="836">
        <v>0</v>
      </c>
      <c r="M183" s="848">
        <v>0</v>
      </c>
      <c r="N183" s="835">
        <v>0</v>
      </c>
      <c r="O183" s="848">
        <v>0</v>
      </c>
      <c r="P183" s="835">
        <v>0</v>
      </c>
      <c r="Q183" s="859" t="s">
        <v>16</v>
      </c>
      <c r="R183" s="858" t="s">
        <v>16</v>
      </c>
      <c r="S183" s="841">
        <v>0</v>
      </c>
      <c r="U183" s="848">
        <f t="shared" si="93"/>
        <v>0</v>
      </c>
      <c r="V183" s="835">
        <f t="shared" si="94"/>
        <v>0</v>
      </c>
    </row>
    <row r="184" spans="1:22" ht="15.75" thickBot="1">
      <c r="A184" s="3436"/>
      <c r="B184" s="932" t="s">
        <v>562</v>
      </c>
      <c r="C184" s="1880">
        <v>0</v>
      </c>
      <c r="D184" s="1881">
        <f t="shared" si="103"/>
        <v>0.13</v>
      </c>
      <c r="E184" s="849">
        <v>0</v>
      </c>
      <c r="F184" s="1885">
        <v>0.19</v>
      </c>
      <c r="G184" s="849">
        <v>0</v>
      </c>
      <c r="H184" s="1881">
        <f>F184</f>
        <v>0.19</v>
      </c>
      <c r="I184" s="849">
        <v>0</v>
      </c>
      <c r="J184" s="1885">
        <f>H184</f>
        <v>0.19</v>
      </c>
      <c r="K184" s="849">
        <v>0</v>
      </c>
      <c r="L184" s="1881">
        <f>J184</f>
        <v>0.19</v>
      </c>
      <c r="M184" s="849">
        <v>0</v>
      </c>
      <c r="N184" s="1885">
        <f>L184</f>
        <v>0.19</v>
      </c>
      <c r="O184" s="849">
        <v>0</v>
      </c>
      <c r="P184" s="1885">
        <v>0.19</v>
      </c>
      <c r="Q184" s="1886" t="s">
        <v>16</v>
      </c>
      <c r="R184" s="1888">
        <f t="shared" si="95"/>
        <v>0.46</v>
      </c>
      <c r="S184" s="846">
        <f>N184</f>
        <v>0.19</v>
      </c>
      <c r="U184" s="849">
        <f t="shared" si="93"/>
        <v>0</v>
      </c>
      <c r="V184" s="1885">
        <f t="shared" si="94"/>
        <v>0.06</v>
      </c>
    </row>
    <row r="185" spans="1:22" ht="16.5" thickTop="1" thickBot="1">
      <c r="A185" s="3437"/>
      <c r="B185" s="842" t="s">
        <v>18</v>
      </c>
      <c r="C185" s="973">
        <f>SUM(C175:C184)</f>
        <v>825</v>
      </c>
      <c r="D185" s="852">
        <f>'Table 7'!E20</f>
        <v>0.67</v>
      </c>
      <c r="E185" s="850">
        <f t="shared" ref="E185:P185" si="104">SUM(E175:E184)</f>
        <v>821</v>
      </c>
      <c r="F185" s="843">
        <f t="shared" si="104"/>
        <v>0.95</v>
      </c>
      <c r="G185" s="850">
        <f t="shared" si="104"/>
        <v>821</v>
      </c>
      <c r="H185" s="852">
        <f t="shared" si="104"/>
        <v>0.97</v>
      </c>
      <c r="I185" s="850">
        <f t="shared" si="104"/>
        <v>821</v>
      </c>
      <c r="J185" s="843">
        <f t="shared" si="104"/>
        <v>0.97</v>
      </c>
      <c r="K185" s="850">
        <f t="shared" si="104"/>
        <v>821</v>
      </c>
      <c r="L185" s="852">
        <f t="shared" si="104"/>
        <v>0.98</v>
      </c>
      <c r="M185" s="850">
        <f t="shared" si="104"/>
        <v>821</v>
      </c>
      <c r="N185" s="843">
        <f t="shared" si="104"/>
        <v>0.98</v>
      </c>
      <c r="O185" s="850">
        <f t="shared" si="104"/>
        <v>821</v>
      </c>
      <c r="P185" s="843">
        <f t="shared" si="104"/>
        <v>1.17</v>
      </c>
      <c r="Q185" s="880">
        <f t="shared" si="92"/>
        <v>0</v>
      </c>
      <c r="R185" s="881">
        <f t="shared" si="95"/>
        <v>0.75</v>
      </c>
      <c r="S185" s="855">
        <f>SUM(S175:S184)</f>
        <v>1.29</v>
      </c>
      <c r="U185" s="850">
        <f t="shared" si="93"/>
        <v>-4</v>
      </c>
      <c r="V185" s="843">
        <f t="shared" si="94"/>
        <v>0.5</v>
      </c>
    </row>
    <row r="186" spans="1:22" ht="30" customHeight="1" thickBot="1">
      <c r="A186" s="3224" t="s">
        <v>568</v>
      </c>
      <c r="B186" s="3224"/>
      <c r="C186" s="3224"/>
      <c r="D186" s="3224"/>
      <c r="E186" s="3224"/>
      <c r="F186" s="3224"/>
      <c r="G186" s="3224"/>
      <c r="H186" s="3224"/>
      <c r="I186" s="3224"/>
      <c r="J186" s="3224"/>
      <c r="K186" s="3224"/>
      <c r="L186" s="3224"/>
      <c r="M186" s="3224"/>
      <c r="N186" s="3224"/>
      <c r="O186" s="3224"/>
      <c r="P186" s="3224"/>
      <c r="Q186" s="3224"/>
      <c r="R186" s="3224"/>
      <c r="S186" s="3224"/>
    </row>
    <row r="187" spans="1:22" ht="29.25" customHeight="1">
      <c r="A187" s="3429" t="s">
        <v>85</v>
      </c>
      <c r="B187" s="3431" t="s">
        <v>541</v>
      </c>
      <c r="C187" s="3217" t="s">
        <v>542</v>
      </c>
      <c r="D187" s="3217"/>
      <c r="E187" s="3216" t="s">
        <v>543</v>
      </c>
      <c r="F187" s="3218"/>
      <c r="G187" s="3217" t="s">
        <v>544</v>
      </c>
      <c r="H187" s="3217"/>
      <c r="I187" s="3258" t="s">
        <v>545</v>
      </c>
      <c r="J187" s="3245"/>
      <c r="K187" s="3264" t="s">
        <v>546</v>
      </c>
      <c r="L187" s="3264"/>
      <c r="M187" s="3258" t="s">
        <v>547</v>
      </c>
      <c r="N187" s="3245"/>
      <c r="O187" s="3258" t="s">
        <v>548</v>
      </c>
      <c r="P187" s="3245"/>
      <c r="Q187" s="3264" t="s">
        <v>57</v>
      </c>
      <c r="R187" s="3264"/>
      <c r="S187" s="3433" t="s">
        <v>549</v>
      </c>
      <c r="U187" s="3258" t="s">
        <v>59</v>
      </c>
      <c r="V187" s="3245"/>
    </row>
    <row r="188" spans="1:22" ht="15.75" thickBot="1">
      <c r="A188" s="3430"/>
      <c r="B188" s="3432"/>
      <c r="C188" s="1889" t="s">
        <v>550</v>
      </c>
      <c r="D188" s="831" t="s">
        <v>551</v>
      </c>
      <c r="E188" s="832" t="s">
        <v>550</v>
      </c>
      <c r="F188" s="833" t="s">
        <v>551</v>
      </c>
      <c r="G188" s="1889" t="s">
        <v>550</v>
      </c>
      <c r="H188" s="831" t="s">
        <v>551</v>
      </c>
      <c r="I188" s="834" t="s">
        <v>550</v>
      </c>
      <c r="J188" s="833" t="s">
        <v>551</v>
      </c>
      <c r="K188" s="1890" t="s">
        <v>550</v>
      </c>
      <c r="L188" s="831" t="s">
        <v>551</v>
      </c>
      <c r="M188" s="834" t="s">
        <v>550</v>
      </c>
      <c r="N188" s="833" t="s">
        <v>551</v>
      </c>
      <c r="O188" s="834" t="s">
        <v>550</v>
      </c>
      <c r="P188" s="833" t="s">
        <v>551</v>
      </c>
      <c r="Q188" s="1891" t="s">
        <v>529</v>
      </c>
      <c r="R188" s="831" t="s">
        <v>551</v>
      </c>
      <c r="S188" s="3434"/>
      <c r="U188" s="1645" t="s">
        <v>529</v>
      </c>
      <c r="V188" s="1646" t="s">
        <v>551</v>
      </c>
    </row>
    <row r="189" spans="1:22">
      <c r="A189" s="3435" t="s">
        <v>195</v>
      </c>
      <c r="B189" s="933" t="s">
        <v>553</v>
      </c>
      <c r="C189" s="977">
        <v>233</v>
      </c>
      <c r="D189" s="978">
        <f>(F189/$F$199)*$D$199</f>
        <v>0.12</v>
      </c>
      <c r="E189" s="847">
        <v>199</v>
      </c>
      <c r="F189" s="853">
        <v>0.13</v>
      </c>
      <c r="G189" s="847">
        <v>199</v>
      </c>
      <c r="H189" s="851">
        <v>0.14000000000000001</v>
      </c>
      <c r="I189" s="847">
        <v>199</v>
      </c>
      <c r="J189" s="853">
        <v>0.14000000000000001</v>
      </c>
      <c r="K189" s="847">
        <v>199</v>
      </c>
      <c r="L189" s="851">
        <v>0.14000000000000001</v>
      </c>
      <c r="M189" s="847">
        <v>199</v>
      </c>
      <c r="N189" s="853">
        <v>0.15</v>
      </c>
      <c r="O189" s="847">
        <v>199</v>
      </c>
      <c r="P189" s="853">
        <v>0.14000000000000001</v>
      </c>
      <c r="Q189" s="837">
        <f t="shared" ref="Q189:Q232" si="105">(O189-C189)/C189</f>
        <v>-0.15</v>
      </c>
      <c r="R189" s="839">
        <f t="shared" ref="R189:R232" si="106">(P189-D189)/D189</f>
        <v>0.17</v>
      </c>
      <c r="S189" s="854">
        <v>0.23</v>
      </c>
      <c r="U189" s="847">
        <f t="shared" ref="U189" si="107">O189-C189</f>
        <v>-34</v>
      </c>
      <c r="V189" s="853">
        <f t="shared" ref="V189" si="108">P189-D189</f>
        <v>0.02</v>
      </c>
    </row>
    <row r="190" spans="1:22">
      <c r="A190" s="3436"/>
      <c r="B190" s="931" t="s">
        <v>554</v>
      </c>
      <c r="C190" s="979">
        <v>619</v>
      </c>
      <c r="D190" s="980">
        <f t="shared" ref="D190:D198" si="109">(F190/$F$199)*$D$199</f>
        <v>1.05</v>
      </c>
      <c r="E190" s="848">
        <v>611</v>
      </c>
      <c r="F190" s="835">
        <v>1.1299999999999999</v>
      </c>
      <c r="G190" s="848">
        <v>663</v>
      </c>
      <c r="H190" s="836">
        <v>1.24</v>
      </c>
      <c r="I190" s="848">
        <v>877</v>
      </c>
      <c r="J190" s="835">
        <v>1.64</v>
      </c>
      <c r="K190" s="848">
        <v>939</v>
      </c>
      <c r="L190" s="836">
        <v>1.77</v>
      </c>
      <c r="M190" s="848">
        <v>1015</v>
      </c>
      <c r="N190" s="835">
        <v>1.92</v>
      </c>
      <c r="O190" s="848">
        <v>1015</v>
      </c>
      <c r="P190" s="835">
        <v>1.94</v>
      </c>
      <c r="Q190" s="838">
        <f t="shared" si="105"/>
        <v>0.64</v>
      </c>
      <c r="R190" s="840">
        <f t="shared" si="106"/>
        <v>0.85</v>
      </c>
      <c r="S190" s="841">
        <v>2.79</v>
      </c>
      <c r="U190" s="848">
        <f t="shared" ref="U190:U232" si="110">O190-C190</f>
        <v>396</v>
      </c>
      <c r="V190" s="835">
        <f t="shared" ref="V190:V232" si="111">P190-D190</f>
        <v>0.89</v>
      </c>
    </row>
    <row r="191" spans="1:22">
      <c r="A191" s="3436"/>
      <c r="B191" s="931" t="s">
        <v>555</v>
      </c>
      <c r="C191" s="979">
        <v>4672</v>
      </c>
      <c r="D191" s="981">
        <f t="shared" si="109"/>
        <v>5.64</v>
      </c>
      <c r="E191" s="848">
        <v>4675</v>
      </c>
      <c r="F191" s="835">
        <v>6.09</v>
      </c>
      <c r="G191" s="848">
        <v>4681</v>
      </c>
      <c r="H191" s="836">
        <v>6.19</v>
      </c>
      <c r="I191" s="848">
        <v>4681</v>
      </c>
      <c r="J191" s="835">
        <v>6.26</v>
      </c>
      <c r="K191" s="848">
        <v>4695</v>
      </c>
      <c r="L191" s="836">
        <v>6.31</v>
      </c>
      <c r="M191" s="848">
        <v>4702</v>
      </c>
      <c r="N191" s="835">
        <v>6.39</v>
      </c>
      <c r="O191" s="848">
        <v>4752</v>
      </c>
      <c r="P191" s="835">
        <v>6.52</v>
      </c>
      <c r="Q191" s="838">
        <f t="shared" si="105"/>
        <v>0.02</v>
      </c>
      <c r="R191" s="840">
        <f t="shared" si="106"/>
        <v>0.16</v>
      </c>
      <c r="S191" s="841">
        <v>9.9700000000000006</v>
      </c>
      <c r="U191" s="848">
        <f t="shared" si="110"/>
        <v>80</v>
      </c>
      <c r="V191" s="835">
        <f t="shared" si="111"/>
        <v>0.88</v>
      </c>
    </row>
    <row r="192" spans="1:22">
      <c r="A192" s="3436"/>
      <c r="B192" s="931" t="s">
        <v>556</v>
      </c>
      <c r="C192" s="979">
        <v>1365</v>
      </c>
      <c r="D192" s="981">
        <f t="shared" si="109"/>
        <v>1.8</v>
      </c>
      <c r="E192" s="848">
        <v>1546</v>
      </c>
      <c r="F192" s="835">
        <v>1.95</v>
      </c>
      <c r="G192" s="848">
        <v>1797</v>
      </c>
      <c r="H192" s="836">
        <v>2.29</v>
      </c>
      <c r="I192" s="848">
        <v>1959</v>
      </c>
      <c r="J192" s="835">
        <v>2.5299999999999998</v>
      </c>
      <c r="K192" s="848">
        <v>2117</v>
      </c>
      <c r="L192" s="836">
        <v>2.76</v>
      </c>
      <c r="M192" s="848">
        <v>2298</v>
      </c>
      <c r="N192" s="835">
        <v>3.02</v>
      </c>
      <c r="O192" s="848">
        <v>2487</v>
      </c>
      <c r="P192" s="835">
        <v>3.29</v>
      </c>
      <c r="Q192" s="838">
        <f t="shared" si="105"/>
        <v>0.82</v>
      </c>
      <c r="R192" s="840">
        <f t="shared" si="106"/>
        <v>0.83</v>
      </c>
      <c r="S192" s="841">
        <v>4.41</v>
      </c>
      <c r="U192" s="848">
        <f t="shared" si="110"/>
        <v>1122</v>
      </c>
      <c r="V192" s="835">
        <f t="shared" si="111"/>
        <v>1.49</v>
      </c>
    </row>
    <row r="193" spans="1:23">
      <c r="A193" s="3436"/>
      <c r="B193" s="931" t="s">
        <v>557</v>
      </c>
      <c r="C193" s="979">
        <v>322</v>
      </c>
      <c r="D193" s="981">
        <f t="shared" si="109"/>
        <v>0.23</v>
      </c>
      <c r="E193" s="848">
        <v>343</v>
      </c>
      <c r="F193" s="835">
        <v>0.25</v>
      </c>
      <c r="G193" s="848">
        <v>424</v>
      </c>
      <c r="H193" s="836">
        <v>0.32</v>
      </c>
      <c r="I193" s="848">
        <v>550</v>
      </c>
      <c r="J193" s="835">
        <v>0.41</v>
      </c>
      <c r="K193" s="848">
        <v>841</v>
      </c>
      <c r="L193" s="836">
        <v>0.64</v>
      </c>
      <c r="M193" s="848">
        <v>1106</v>
      </c>
      <c r="N193" s="835">
        <v>0.85</v>
      </c>
      <c r="O193" s="848">
        <v>1337</v>
      </c>
      <c r="P193" s="835">
        <v>1.03</v>
      </c>
      <c r="Q193" s="838">
        <f t="shared" si="105"/>
        <v>3.15</v>
      </c>
      <c r="R193" s="840">
        <f t="shared" si="106"/>
        <v>3.48</v>
      </c>
      <c r="S193" s="841">
        <v>1.53</v>
      </c>
      <c r="U193" s="848">
        <f t="shared" si="110"/>
        <v>1015</v>
      </c>
      <c r="V193" s="835">
        <f t="shared" si="111"/>
        <v>0.8</v>
      </c>
    </row>
    <row r="194" spans="1:23">
      <c r="A194" s="3436"/>
      <c r="B194" s="931" t="s">
        <v>558</v>
      </c>
      <c r="C194" s="979">
        <v>2623</v>
      </c>
      <c r="D194" s="981">
        <f t="shared" si="109"/>
        <v>5.65</v>
      </c>
      <c r="E194" s="848">
        <v>2508</v>
      </c>
      <c r="F194" s="835">
        <v>6.1</v>
      </c>
      <c r="G194" s="848">
        <v>2624</v>
      </c>
      <c r="H194" s="836">
        <v>6.43</v>
      </c>
      <c r="I194" s="848">
        <v>2624</v>
      </c>
      <c r="J194" s="835">
        <v>6.43</v>
      </c>
      <c r="K194" s="848">
        <v>2665</v>
      </c>
      <c r="L194" s="836">
        <v>6.6</v>
      </c>
      <c r="M194" s="848">
        <v>2735</v>
      </c>
      <c r="N194" s="835">
        <v>6.83</v>
      </c>
      <c r="O194" s="848">
        <v>2860</v>
      </c>
      <c r="P194" s="835">
        <v>7.19</v>
      </c>
      <c r="Q194" s="838">
        <f t="shared" si="105"/>
        <v>0.09</v>
      </c>
      <c r="R194" s="840">
        <f t="shared" si="106"/>
        <v>0.27</v>
      </c>
      <c r="S194" s="841">
        <v>8.1999999999999993</v>
      </c>
      <c r="U194" s="848">
        <f t="shared" si="110"/>
        <v>237</v>
      </c>
      <c r="V194" s="835">
        <f t="shared" si="111"/>
        <v>1.54</v>
      </c>
    </row>
    <row r="195" spans="1:23">
      <c r="A195" s="3436"/>
      <c r="B195" s="931" t="s">
        <v>559</v>
      </c>
      <c r="C195" s="979">
        <v>1108</v>
      </c>
      <c r="D195" s="981">
        <f t="shared" si="109"/>
        <v>0.51</v>
      </c>
      <c r="E195" s="848">
        <v>563</v>
      </c>
      <c r="F195" s="835">
        <v>0.55000000000000004</v>
      </c>
      <c r="G195" s="848">
        <v>650</v>
      </c>
      <c r="H195" s="836">
        <v>0.61</v>
      </c>
      <c r="I195" s="848">
        <v>744</v>
      </c>
      <c r="J195" s="835">
        <v>0.71</v>
      </c>
      <c r="K195" s="848">
        <v>772</v>
      </c>
      <c r="L195" s="836">
        <v>0.73</v>
      </c>
      <c r="M195" s="848">
        <v>772</v>
      </c>
      <c r="N195" s="835">
        <v>0.72</v>
      </c>
      <c r="O195" s="848">
        <v>782</v>
      </c>
      <c r="P195" s="835">
        <v>0.71</v>
      </c>
      <c r="Q195" s="838">
        <f t="shared" si="105"/>
        <v>-0.28999999999999998</v>
      </c>
      <c r="R195" s="840">
        <f t="shared" si="106"/>
        <v>0.39</v>
      </c>
      <c r="S195" s="841">
        <v>1.17</v>
      </c>
      <c r="U195" s="848">
        <f t="shared" si="110"/>
        <v>-326</v>
      </c>
      <c r="V195" s="835">
        <f t="shared" si="111"/>
        <v>0.2</v>
      </c>
    </row>
    <row r="196" spans="1:23">
      <c r="A196" s="3436"/>
      <c r="B196" s="931" t="s">
        <v>560</v>
      </c>
      <c r="C196" s="979">
        <v>207</v>
      </c>
      <c r="D196" s="981">
        <f t="shared" si="109"/>
        <v>0.31</v>
      </c>
      <c r="E196" s="848">
        <v>356</v>
      </c>
      <c r="F196" s="835">
        <v>0.33</v>
      </c>
      <c r="G196" s="848">
        <v>356</v>
      </c>
      <c r="H196" s="836">
        <v>0.33</v>
      </c>
      <c r="I196" s="848">
        <v>356</v>
      </c>
      <c r="J196" s="835">
        <v>0.33</v>
      </c>
      <c r="K196" s="848">
        <v>356</v>
      </c>
      <c r="L196" s="836">
        <v>0.33</v>
      </c>
      <c r="M196" s="848">
        <v>356</v>
      </c>
      <c r="N196" s="835">
        <v>0.34</v>
      </c>
      <c r="O196" s="848">
        <v>356</v>
      </c>
      <c r="P196" s="835">
        <v>0.34</v>
      </c>
      <c r="Q196" s="838">
        <f t="shared" si="105"/>
        <v>0.72</v>
      </c>
      <c r="R196" s="840">
        <f t="shared" si="106"/>
        <v>0.1</v>
      </c>
      <c r="S196" s="841">
        <v>0.45</v>
      </c>
      <c r="U196" s="848">
        <f t="shared" si="110"/>
        <v>149</v>
      </c>
      <c r="V196" s="835">
        <f t="shared" si="111"/>
        <v>0.03</v>
      </c>
    </row>
    <row r="197" spans="1:23">
      <c r="A197" s="3436"/>
      <c r="B197" s="931" t="s">
        <v>561</v>
      </c>
      <c r="C197" s="979">
        <v>0</v>
      </c>
      <c r="D197" s="981">
        <f t="shared" si="109"/>
        <v>0</v>
      </c>
      <c r="E197" s="848">
        <v>0</v>
      </c>
      <c r="F197" s="835">
        <v>0</v>
      </c>
      <c r="G197" s="848">
        <v>0</v>
      </c>
      <c r="H197" s="836">
        <v>0</v>
      </c>
      <c r="I197" s="848">
        <v>0</v>
      </c>
      <c r="J197" s="835">
        <v>0</v>
      </c>
      <c r="K197" s="848">
        <v>0</v>
      </c>
      <c r="L197" s="836">
        <v>0</v>
      </c>
      <c r="M197" s="848">
        <v>0</v>
      </c>
      <c r="N197" s="835">
        <v>0</v>
      </c>
      <c r="O197" s="848">
        <v>0</v>
      </c>
      <c r="P197" s="835">
        <v>0</v>
      </c>
      <c r="Q197" s="859" t="s">
        <v>16</v>
      </c>
      <c r="R197" s="858" t="s">
        <v>16</v>
      </c>
      <c r="S197" s="841">
        <v>0</v>
      </c>
      <c r="U197" s="848">
        <f t="shared" si="110"/>
        <v>0</v>
      </c>
      <c r="V197" s="835">
        <f t="shared" si="111"/>
        <v>0</v>
      </c>
    </row>
    <row r="198" spans="1:23" ht="15.75" thickBot="1">
      <c r="A198" s="3436"/>
      <c r="B198" s="932" t="s">
        <v>562</v>
      </c>
      <c r="C198" s="982">
        <v>0</v>
      </c>
      <c r="D198" s="983">
        <f t="shared" si="109"/>
        <v>0.46</v>
      </c>
      <c r="E198" s="849">
        <v>0</v>
      </c>
      <c r="F198" s="1885">
        <v>0.5</v>
      </c>
      <c r="G198" s="849">
        <v>0</v>
      </c>
      <c r="H198" s="1881">
        <f>F198</f>
        <v>0.5</v>
      </c>
      <c r="I198" s="849">
        <v>0</v>
      </c>
      <c r="J198" s="1885">
        <f>H198</f>
        <v>0.5</v>
      </c>
      <c r="K198" s="849">
        <v>0</v>
      </c>
      <c r="L198" s="1881">
        <f>J198</f>
        <v>0.5</v>
      </c>
      <c r="M198" s="849">
        <v>0</v>
      </c>
      <c r="N198" s="1885">
        <f>L198</f>
        <v>0.5</v>
      </c>
      <c r="O198" s="849">
        <v>0</v>
      </c>
      <c r="P198" s="1885">
        <v>0.5</v>
      </c>
      <c r="Q198" s="1886" t="s">
        <v>16</v>
      </c>
      <c r="R198" s="1888">
        <f t="shared" si="106"/>
        <v>0.09</v>
      </c>
      <c r="S198" s="846">
        <f>N198</f>
        <v>0.5</v>
      </c>
      <c r="U198" s="849">
        <f t="shared" si="110"/>
        <v>0</v>
      </c>
      <c r="V198" s="1885">
        <f t="shared" si="111"/>
        <v>0.04</v>
      </c>
    </row>
    <row r="199" spans="1:23" ht="16.5" thickTop="1" thickBot="1">
      <c r="A199" s="3437"/>
      <c r="B199" s="842" t="s">
        <v>18</v>
      </c>
      <c r="C199" s="984">
        <f>SUM(C189:C198)</f>
        <v>11149</v>
      </c>
      <c r="D199" s="985">
        <f>'Table 7'!E21</f>
        <v>15.76</v>
      </c>
      <c r="E199" s="850">
        <f t="shared" ref="E199:P199" si="112">SUM(E189:E198)</f>
        <v>10801</v>
      </c>
      <c r="F199" s="843">
        <f t="shared" si="112"/>
        <v>17.03</v>
      </c>
      <c r="G199" s="850">
        <f t="shared" si="112"/>
        <v>11394</v>
      </c>
      <c r="H199" s="852">
        <f t="shared" si="112"/>
        <v>18.05</v>
      </c>
      <c r="I199" s="850">
        <f t="shared" si="112"/>
        <v>11990</v>
      </c>
      <c r="J199" s="843">
        <f t="shared" si="112"/>
        <v>18.95</v>
      </c>
      <c r="K199" s="850">
        <f t="shared" si="112"/>
        <v>12584</v>
      </c>
      <c r="L199" s="852">
        <f t="shared" si="112"/>
        <v>19.78</v>
      </c>
      <c r="M199" s="850">
        <f t="shared" si="112"/>
        <v>13183</v>
      </c>
      <c r="N199" s="843">
        <f t="shared" si="112"/>
        <v>20.72</v>
      </c>
      <c r="O199" s="850">
        <f t="shared" si="112"/>
        <v>13788</v>
      </c>
      <c r="P199" s="843">
        <f t="shared" si="112"/>
        <v>21.66</v>
      </c>
      <c r="Q199" s="880">
        <f t="shared" si="105"/>
        <v>0.24</v>
      </c>
      <c r="R199" s="881">
        <f t="shared" si="106"/>
        <v>0.37</v>
      </c>
      <c r="S199" s="855">
        <f>SUM(S189:S198)</f>
        <v>29.25</v>
      </c>
      <c r="U199" s="850">
        <f t="shared" si="110"/>
        <v>2639</v>
      </c>
      <c r="V199" s="843">
        <f t="shared" si="111"/>
        <v>5.9</v>
      </c>
      <c r="W199" t="s">
        <v>36</v>
      </c>
    </row>
    <row r="200" spans="1:23">
      <c r="A200" s="3435" t="s">
        <v>205</v>
      </c>
      <c r="B200" s="933" t="s">
        <v>553</v>
      </c>
      <c r="C200" s="971">
        <v>0</v>
      </c>
      <c r="D200" s="853">
        <f>(F200/$F$210)*$D$210</f>
        <v>0</v>
      </c>
      <c r="E200" s="847">
        <v>0</v>
      </c>
      <c r="F200" s="853">
        <v>0</v>
      </c>
      <c r="G200" s="847">
        <v>0</v>
      </c>
      <c r="H200" s="851">
        <v>0</v>
      </c>
      <c r="I200" s="847">
        <v>0</v>
      </c>
      <c r="J200" s="853">
        <v>0</v>
      </c>
      <c r="K200" s="847">
        <v>0</v>
      </c>
      <c r="L200" s="851">
        <v>0</v>
      </c>
      <c r="M200" s="847">
        <v>0</v>
      </c>
      <c r="N200" s="853">
        <v>0</v>
      </c>
      <c r="O200" s="847">
        <v>0</v>
      </c>
      <c r="P200" s="853">
        <v>0</v>
      </c>
      <c r="Q200" s="878" t="s">
        <v>16</v>
      </c>
      <c r="R200" s="879" t="s">
        <v>16</v>
      </c>
      <c r="S200" s="854">
        <v>0</v>
      </c>
      <c r="U200" s="847">
        <f t="shared" si="110"/>
        <v>0</v>
      </c>
      <c r="V200" s="853">
        <f t="shared" si="111"/>
        <v>0</v>
      </c>
    </row>
    <row r="201" spans="1:23">
      <c r="A201" s="3436"/>
      <c r="B201" s="931" t="s">
        <v>554</v>
      </c>
      <c r="C201" s="972">
        <v>0</v>
      </c>
      <c r="D201" s="836">
        <f t="shared" ref="D201:D209" si="113">(F201/$F$210)*$D$210</f>
        <v>0</v>
      </c>
      <c r="E201" s="848">
        <v>0</v>
      </c>
      <c r="F201" s="835">
        <v>0</v>
      </c>
      <c r="G201" s="848">
        <v>0</v>
      </c>
      <c r="H201" s="836">
        <v>0</v>
      </c>
      <c r="I201" s="848">
        <v>0</v>
      </c>
      <c r="J201" s="835">
        <v>0</v>
      </c>
      <c r="K201" s="848">
        <v>0</v>
      </c>
      <c r="L201" s="836">
        <v>0</v>
      </c>
      <c r="M201" s="848">
        <v>0</v>
      </c>
      <c r="N201" s="835">
        <v>0</v>
      </c>
      <c r="O201" s="848">
        <v>0</v>
      </c>
      <c r="P201" s="835">
        <v>0</v>
      </c>
      <c r="Q201" s="859" t="s">
        <v>16</v>
      </c>
      <c r="R201" s="858" t="s">
        <v>16</v>
      </c>
      <c r="S201" s="841">
        <v>0</v>
      </c>
      <c r="U201" s="848">
        <f t="shared" si="110"/>
        <v>0</v>
      </c>
      <c r="V201" s="835">
        <f t="shared" si="111"/>
        <v>0</v>
      </c>
    </row>
    <row r="202" spans="1:23">
      <c r="A202" s="3436"/>
      <c r="B202" s="931" t="s">
        <v>555</v>
      </c>
      <c r="C202" s="972">
        <v>12772</v>
      </c>
      <c r="D202" s="836">
        <f t="shared" si="113"/>
        <v>10.92</v>
      </c>
      <c r="E202" s="848">
        <v>12620</v>
      </c>
      <c r="F202" s="835">
        <v>15.47</v>
      </c>
      <c r="G202" s="848">
        <v>12399</v>
      </c>
      <c r="H202" s="836">
        <v>15.32</v>
      </c>
      <c r="I202" s="848">
        <v>11932</v>
      </c>
      <c r="J202" s="835">
        <v>14.83</v>
      </c>
      <c r="K202" s="848">
        <v>11527</v>
      </c>
      <c r="L202" s="836">
        <v>14.45</v>
      </c>
      <c r="M202" s="848">
        <v>11224</v>
      </c>
      <c r="N202" s="835">
        <v>14.14</v>
      </c>
      <c r="O202" s="848">
        <v>11019</v>
      </c>
      <c r="P202" s="835">
        <v>13.95</v>
      </c>
      <c r="Q202" s="859">
        <f t="shared" si="105"/>
        <v>-0.14000000000000001</v>
      </c>
      <c r="R202" s="858">
        <f t="shared" si="106"/>
        <v>0.28000000000000003</v>
      </c>
      <c r="S202" s="841">
        <v>21.34</v>
      </c>
      <c r="U202" s="848">
        <f t="shared" si="110"/>
        <v>-1753</v>
      </c>
      <c r="V202" s="835">
        <f t="shared" si="111"/>
        <v>3.03</v>
      </c>
    </row>
    <row r="203" spans="1:23">
      <c r="A203" s="3436"/>
      <c r="B203" s="931" t="s">
        <v>556</v>
      </c>
      <c r="C203" s="972">
        <v>4777</v>
      </c>
      <c r="D203" s="836">
        <f t="shared" si="113"/>
        <v>4.3899999999999997</v>
      </c>
      <c r="E203" s="848">
        <v>4721</v>
      </c>
      <c r="F203" s="835">
        <v>6.22</v>
      </c>
      <c r="G203" s="848">
        <v>4641</v>
      </c>
      <c r="H203" s="836">
        <v>6.18</v>
      </c>
      <c r="I203" s="848">
        <v>4630</v>
      </c>
      <c r="J203" s="835">
        <v>6.23</v>
      </c>
      <c r="K203" s="848">
        <v>4564</v>
      </c>
      <c r="L203" s="836">
        <v>6.19</v>
      </c>
      <c r="M203" s="848">
        <v>4432</v>
      </c>
      <c r="N203" s="835">
        <v>6.07</v>
      </c>
      <c r="O203" s="848">
        <v>4284</v>
      </c>
      <c r="P203" s="835">
        <v>5.91</v>
      </c>
      <c r="Q203" s="859">
        <f t="shared" si="105"/>
        <v>-0.1</v>
      </c>
      <c r="R203" s="858">
        <f t="shared" si="106"/>
        <v>0.35</v>
      </c>
      <c r="S203" s="841">
        <v>7.92</v>
      </c>
      <c r="U203" s="848">
        <f t="shared" si="110"/>
        <v>-493</v>
      </c>
      <c r="V203" s="835">
        <f t="shared" si="111"/>
        <v>1.52</v>
      </c>
    </row>
    <row r="204" spans="1:23">
      <c r="A204" s="3436"/>
      <c r="B204" s="931" t="s">
        <v>557</v>
      </c>
      <c r="C204" s="972">
        <v>2210</v>
      </c>
      <c r="D204" s="836">
        <f t="shared" si="113"/>
        <v>1.28</v>
      </c>
      <c r="E204" s="848">
        <v>2071</v>
      </c>
      <c r="F204" s="835">
        <v>1.81</v>
      </c>
      <c r="G204" s="848">
        <v>2071</v>
      </c>
      <c r="H204" s="836">
        <v>1.83</v>
      </c>
      <c r="I204" s="848">
        <v>2071</v>
      </c>
      <c r="J204" s="835">
        <v>1.81</v>
      </c>
      <c r="K204" s="848">
        <v>2071</v>
      </c>
      <c r="L204" s="836">
        <v>1.87</v>
      </c>
      <c r="M204" s="848">
        <v>1953</v>
      </c>
      <c r="N204" s="835">
        <v>1.74</v>
      </c>
      <c r="O204" s="848">
        <v>1819</v>
      </c>
      <c r="P204" s="835">
        <v>1.61</v>
      </c>
      <c r="Q204" s="859">
        <f t="shared" si="105"/>
        <v>-0.18</v>
      </c>
      <c r="R204" s="858">
        <f t="shared" si="106"/>
        <v>0.26</v>
      </c>
      <c r="S204" s="841">
        <v>2.39</v>
      </c>
      <c r="U204" s="848">
        <f t="shared" si="110"/>
        <v>-391</v>
      </c>
      <c r="V204" s="835">
        <f t="shared" si="111"/>
        <v>0.33</v>
      </c>
    </row>
    <row r="205" spans="1:23">
      <c r="A205" s="3436"/>
      <c r="B205" s="931" t="s">
        <v>558</v>
      </c>
      <c r="C205" s="972">
        <v>292</v>
      </c>
      <c r="D205" s="836">
        <f t="shared" si="113"/>
        <v>0.36</v>
      </c>
      <c r="E205" s="848">
        <v>195</v>
      </c>
      <c r="F205" s="835">
        <v>0.51</v>
      </c>
      <c r="G205" s="848">
        <v>158</v>
      </c>
      <c r="H205" s="836">
        <v>0.44</v>
      </c>
      <c r="I205" s="848">
        <v>158</v>
      </c>
      <c r="J205" s="835">
        <v>0.44</v>
      </c>
      <c r="K205" s="848">
        <v>133</v>
      </c>
      <c r="L205" s="836">
        <v>0.38</v>
      </c>
      <c r="M205" s="848">
        <v>133</v>
      </c>
      <c r="N205" s="835">
        <v>0.38</v>
      </c>
      <c r="O205" s="848">
        <v>133</v>
      </c>
      <c r="P205" s="835">
        <v>0.37</v>
      </c>
      <c r="Q205" s="859">
        <f t="shared" si="105"/>
        <v>-0.54</v>
      </c>
      <c r="R205" s="858">
        <f t="shared" si="106"/>
        <v>0.03</v>
      </c>
      <c r="S205" s="841">
        <v>0.43</v>
      </c>
      <c r="U205" s="848">
        <f t="shared" si="110"/>
        <v>-159</v>
      </c>
      <c r="V205" s="835">
        <f t="shared" si="111"/>
        <v>0.01</v>
      </c>
    </row>
    <row r="206" spans="1:23">
      <c r="A206" s="3436"/>
      <c r="B206" s="931" t="s">
        <v>559</v>
      </c>
      <c r="C206" s="972">
        <v>549</v>
      </c>
      <c r="D206" s="836">
        <f t="shared" si="113"/>
        <v>0.3</v>
      </c>
      <c r="E206" s="848">
        <v>405</v>
      </c>
      <c r="F206" s="835">
        <v>0.43</v>
      </c>
      <c r="G206" s="848">
        <v>405</v>
      </c>
      <c r="H206" s="836">
        <v>0.44</v>
      </c>
      <c r="I206" s="848">
        <v>405</v>
      </c>
      <c r="J206" s="835">
        <v>0.43</v>
      </c>
      <c r="K206" s="848">
        <v>405</v>
      </c>
      <c r="L206" s="836">
        <v>0.43</v>
      </c>
      <c r="M206" s="848">
        <v>405</v>
      </c>
      <c r="N206" s="835">
        <v>0.44</v>
      </c>
      <c r="O206" s="848">
        <v>382</v>
      </c>
      <c r="P206" s="835">
        <v>0.41</v>
      </c>
      <c r="Q206" s="859">
        <f t="shared" si="105"/>
        <v>-0.3</v>
      </c>
      <c r="R206" s="858">
        <f t="shared" si="106"/>
        <v>0.37</v>
      </c>
      <c r="S206" s="841">
        <v>0.67</v>
      </c>
      <c r="U206" s="848">
        <f t="shared" si="110"/>
        <v>-167</v>
      </c>
      <c r="V206" s="835">
        <f t="shared" si="111"/>
        <v>0.11</v>
      </c>
    </row>
    <row r="207" spans="1:23">
      <c r="A207" s="3436"/>
      <c r="B207" s="931" t="s">
        <v>560</v>
      </c>
      <c r="C207" s="972">
        <v>1444</v>
      </c>
      <c r="D207" s="836">
        <f t="shared" si="113"/>
        <v>0.89</v>
      </c>
      <c r="E207" s="848">
        <v>1362</v>
      </c>
      <c r="F207" s="835">
        <v>1.26</v>
      </c>
      <c r="G207" s="848">
        <v>1172</v>
      </c>
      <c r="H207" s="836">
        <v>1.08</v>
      </c>
      <c r="I207" s="848">
        <v>1172</v>
      </c>
      <c r="J207" s="835">
        <v>1.07</v>
      </c>
      <c r="K207" s="848">
        <v>1172</v>
      </c>
      <c r="L207" s="836">
        <v>1.08</v>
      </c>
      <c r="M207" s="848">
        <v>1172</v>
      </c>
      <c r="N207" s="835">
        <v>1.0900000000000001</v>
      </c>
      <c r="O207" s="848">
        <v>1172</v>
      </c>
      <c r="P207" s="835">
        <v>1.1000000000000001</v>
      </c>
      <c r="Q207" s="859">
        <f t="shared" si="105"/>
        <v>-0.19</v>
      </c>
      <c r="R207" s="858">
        <f t="shared" si="106"/>
        <v>0.24</v>
      </c>
      <c r="S207" s="841">
        <v>1.44</v>
      </c>
      <c r="U207" s="848">
        <f t="shared" si="110"/>
        <v>-272</v>
      </c>
      <c r="V207" s="835">
        <f t="shared" si="111"/>
        <v>0.21</v>
      </c>
    </row>
    <row r="208" spans="1:23">
      <c r="A208" s="3436"/>
      <c r="B208" s="931" t="s">
        <v>561</v>
      </c>
      <c r="C208" s="972">
        <v>0</v>
      </c>
      <c r="D208" s="836">
        <f t="shared" si="113"/>
        <v>0</v>
      </c>
      <c r="E208" s="848">
        <v>0</v>
      </c>
      <c r="F208" s="835">
        <v>0</v>
      </c>
      <c r="G208" s="848">
        <v>0</v>
      </c>
      <c r="H208" s="836">
        <v>0</v>
      </c>
      <c r="I208" s="848">
        <v>0</v>
      </c>
      <c r="J208" s="835">
        <v>0</v>
      </c>
      <c r="K208" s="848">
        <v>0</v>
      </c>
      <c r="L208" s="836">
        <v>0</v>
      </c>
      <c r="M208" s="848">
        <v>0</v>
      </c>
      <c r="N208" s="835">
        <v>0</v>
      </c>
      <c r="O208" s="848">
        <v>0</v>
      </c>
      <c r="P208" s="835">
        <v>0</v>
      </c>
      <c r="Q208" s="859" t="s">
        <v>16</v>
      </c>
      <c r="R208" s="858" t="s">
        <v>16</v>
      </c>
      <c r="S208" s="841">
        <v>0</v>
      </c>
      <c r="U208" s="848">
        <f t="shared" si="110"/>
        <v>0</v>
      </c>
      <c r="V208" s="835">
        <f t="shared" si="111"/>
        <v>0</v>
      </c>
    </row>
    <row r="209" spans="1:22" ht="15.75" thickBot="1">
      <c r="A209" s="3436"/>
      <c r="B209" s="932" t="s">
        <v>562</v>
      </c>
      <c r="C209" s="1880">
        <v>0</v>
      </c>
      <c r="D209" s="1881">
        <f t="shared" si="113"/>
        <v>0.04</v>
      </c>
      <c r="E209" s="849">
        <v>0</v>
      </c>
      <c r="F209" s="1885">
        <v>0.06</v>
      </c>
      <c r="G209" s="849">
        <v>0</v>
      </c>
      <c r="H209" s="1881">
        <f>F209</f>
        <v>0.06</v>
      </c>
      <c r="I209" s="849">
        <v>0</v>
      </c>
      <c r="J209" s="1885">
        <f>H209</f>
        <v>0.06</v>
      </c>
      <c r="K209" s="849">
        <v>0</v>
      </c>
      <c r="L209" s="1881">
        <f>J209</f>
        <v>0.06</v>
      </c>
      <c r="M209" s="849">
        <v>0</v>
      </c>
      <c r="N209" s="1885">
        <f>L209</f>
        <v>0.06</v>
      </c>
      <c r="O209" s="849">
        <v>0</v>
      </c>
      <c r="P209" s="1885">
        <v>0.06</v>
      </c>
      <c r="Q209" s="1886" t="s">
        <v>16</v>
      </c>
      <c r="R209" s="1888">
        <f t="shared" si="106"/>
        <v>0.5</v>
      </c>
      <c r="S209" s="846">
        <f>N209</f>
        <v>0.06</v>
      </c>
      <c r="U209" s="849">
        <f t="shared" si="110"/>
        <v>0</v>
      </c>
      <c r="V209" s="1885">
        <f t="shared" si="111"/>
        <v>0.02</v>
      </c>
    </row>
    <row r="210" spans="1:22" ht="16.5" thickTop="1" thickBot="1">
      <c r="A210" s="3437"/>
      <c r="B210" s="842" t="s">
        <v>18</v>
      </c>
      <c r="C210" s="973">
        <f>SUM(C200:C209)</f>
        <v>22044</v>
      </c>
      <c r="D210" s="852">
        <f>'Table 7'!E22</f>
        <v>18.18</v>
      </c>
      <c r="E210" s="850">
        <f t="shared" ref="E210:P210" si="114">SUM(E200:E209)</f>
        <v>21374</v>
      </c>
      <c r="F210" s="843">
        <f t="shared" si="114"/>
        <v>25.76</v>
      </c>
      <c r="G210" s="850">
        <f t="shared" si="114"/>
        <v>20846</v>
      </c>
      <c r="H210" s="852">
        <f t="shared" si="114"/>
        <v>25.35</v>
      </c>
      <c r="I210" s="850">
        <f t="shared" si="114"/>
        <v>20368</v>
      </c>
      <c r="J210" s="843">
        <f t="shared" si="114"/>
        <v>24.87</v>
      </c>
      <c r="K210" s="850">
        <f t="shared" si="114"/>
        <v>19872</v>
      </c>
      <c r="L210" s="852">
        <f t="shared" si="114"/>
        <v>24.46</v>
      </c>
      <c r="M210" s="850">
        <f t="shared" si="114"/>
        <v>19319</v>
      </c>
      <c r="N210" s="843">
        <f t="shared" si="114"/>
        <v>23.92</v>
      </c>
      <c r="O210" s="850">
        <f t="shared" si="114"/>
        <v>18809</v>
      </c>
      <c r="P210" s="843">
        <f t="shared" si="114"/>
        <v>23.41</v>
      </c>
      <c r="Q210" s="880">
        <f t="shared" si="105"/>
        <v>-0.15</v>
      </c>
      <c r="R210" s="881">
        <f t="shared" si="106"/>
        <v>0.28999999999999998</v>
      </c>
      <c r="S210" s="855">
        <f>SUM(S200:S209)</f>
        <v>34.25</v>
      </c>
      <c r="U210" s="850">
        <f t="shared" si="110"/>
        <v>-3235</v>
      </c>
      <c r="V210" s="843">
        <f t="shared" si="111"/>
        <v>5.23</v>
      </c>
    </row>
    <row r="211" spans="1:22">
      <c r="A211" s="3435" t="s">
        <v>213</v>
      </c>
      <c r="B211" s="933" t="s">
        <v>553</v>
      </c>
      <c r="C211" s="971">
        <v>0</v>
      </c>
      <c r="D211" s="853">
        <f>(F211/$F$221)*$D$221</f>
        <v>0</v>
      </c>
      <c r="E211" s="847">
        <v>0</v>
      </c>
      <c r="F211" s="853">
        <v>0</v>
      </c>
      <c r="G211" s="847">
        <v>0</v>
      </c>
      <c r="H211" s="851">
        <v>0</v>
      </c>
      <c r="I211" s="847">
        <v>0</v>
      </c>
      <c r="J211" s="853">
        <v>0</v>
      </c>
      <c r="K211" s="847">
        <v>0</v>
      </c>
      <c r="L211" s="851">
        <v>0</v>
      </c>
      <c r="M211" s="847">
        <v>0</v>
      </c>
      <c r="N211" s="853">
        <v>0</v>
      </c>
      <c r="O211" s="847">
        <v>0</v>
      </c>
      <c r="P211" s="853">
        <v>0</v>
      </c>
      <c r="Q211" s="878" t="s">
        <v>16</v>
      </c>
      <c r="R211" s="879" t="s">
        <v>16</v>
      </c>
      <c r="S211" s="854">
        <v>0</v>
      </c>
      <c r="U211" s="847">
        <f t="shared" si="110"/>
        <v>0</v>
      </c>
      <c r="V211" s="853">
        <f t="shared" si="111"/>
        <v>0</v>
      </c>
    </row>
    <row r="212" spans="1:22">
      <c r="A212" s="3436"/>
      <c r="B212" s="931" t="s">
        <v>554</v>
      </c>
      <c r="C212" s="972">
        <v>110</v>
      </c>
      <c r="D212" s="986">
        <f t="shared" ref="D212:D220" si="115">(F212/$F$221)*$D$221</f>
        <v>0.59</v>
      </c>
      <c r="E212" s="848">
        <v>311</v>
      </c>
      <c r="F212" s="835">
        <v>0.63</v>
      </c>
      <c r="G212" s="848">
        <v>475</v>
      </c>
      <c r="H212" s="836">
        <v>0.93</v>
      </c>
      <c r="I212" s="848">
        <v>579</v>
      </c>
      <c r="J212" s="835">
        <v>1.1000000000000001</v>
      </c>
      <c r="K212" s="848">
        <v>652</v>
      </c>
      <c r="L212" s="836">
        <v>1.23</v>
      </c>
      <c r="M212" s="848">
        <v>721</v>
      </c>
      <c r="N212" s="835">
        <v>1.36</v>
      </c>
      <c r="O212" s="848">
        <v>923</v>
      </c>
      <c r="P212" s="835">
        <v>1.72</v>
      </c>
      <c r="Q212" s="859">
        <f t="shared" si="105"/>
        <v>7.39</v>
      </c>
      <c r="R212" s="858">
        <f t="shared" si="106"/>
        <v>1.92</v>
      </c>
      <c r="S212" s="841">
        <v>2.42</v>
      </c>
      <c r="U212" s="848">
        <f t="shared" si="110"/>
        <v>813</v>
      </c>
      <c r="V212" s="835">
        <f t="shared" si="111"/>
        <v>1.1299999999999999</v>
      </c>
    </row>
    <row r="213" spans="1:22">
      <c r="A213" s="3436"/>
      <c r="B213" s="931" t="s">
        <v>555</v>
      </c>
      <c r="C213" s="972">
        <v>1294</v>
      </c>
      <c r="D213" s="836">
        <f t="shared" si="115"/>
        <v>1.65</v>
      </c>
      <c r="E213" s="848">
        <v>1617</v>
      </c>
      <c r="F213" s="835">
        <v>1.77</v>
      </c>
      <c r="G213" s="848">
        <v>1617</v>
      </c>
      <c r="H213" s="836">
        <v>1.77</v>
      </c>
      <c r="I213" s="848">
        <v>1631</v>
      </c>
      <c r="J213" s="835">
        <v>1.8</v>
      </c>
      <c r="K213" s="848">
        <v>1681</v>
      </c>
      <c r="L213" s="836">
        <v>1.86</v>
      </c>
      <c r="M213" s="848">
        <v>1705</v>
      </c>
      <c r="N213" s="835">
        <v>1.89</v>
      </c>
      <c r="O213" s="848">
        <v>1705</v>
      </c>
      <c r="P213" s="835">
        <v>1.9</v>
      </c>
      <c r="Q213" s="859">
        <f t="shared" si="105"/>
        <v>0.32</v>
      </c>
      <c r="R213" s="858">
        <f t="shared" si="106"/>
        <v>0.15</v>
      </c>
      <c r="S213" s="841">
        <v>2.76</v>
      </c>
      <c r="U213" s="848">
        <f t="shared" si="110"/>
        <v>411</v>
      </c>
      <c r="V213" s="835">
        <f t="shared" si="111"/>
        <v>0.25</v>
      </c>
    </row>
    <row r="214" spans="1:22">
      <c r="A214" s="3436"/>
      <c r="B214" s="931" t="s">
        <v>556</v>
      </c>
      <c r="C214" s="972">
        <v>4317</v>
      </c>
      <c r="D214" s="836">
        <f t="shared" si="115"/>
        <v>6.01</v>
      </c>
      <c r="E214" s="848">
        <v>5080</v>
      </c>
      <c r="F214" s="835">
        <v>6.45</v>
      </c>
      <c r="G214" s="848">
        <v>5609</v>
      </c>
      <c r="H214" s="836">
        <v>7.18</v>
      </c>
      <c r="I214" s="848">
        <v>6061</v>
      </c>
      <c r="J214" s="835">
        <v>7.82</v>
      </c>
      <c r="K214" s="848">
        <v>6622</v>
      </c>
      <c r="L214" s="836">
        <v>8.6</v>
      </c>
      <c r="M214" s="848">
        <v>7102</v>
      </c>
      <c r="N214" s="835">
        <v>9.27</v>
      </c>
      <c r="O214" s="848">
        <v>7540</v>
      </c>
      <c r="P214" s="835">
        <v>9.8800000000000008</v>
      </c>
      <c r="Q214" s="859">
        <f t="shared" si="105"/>
        <v>0.75</v>
      </c>
      <c r="R214" s="858">
        <f t="shared" si="106"/>
        <v>0.64</v>
      </c>
      <c r="S214" s="841">
        <v>12.94</v>
      </c>
      <c r="T214" t="s">
        <v>36</v>
      </c>
      <c r="U214" s="848">
        <f t="shared" si="110"/>
        <v>3223</v>
      </c>
      <c r="V214" s="835">
        <f t="shared" si="111"/>
        <v>3.87</v>
      </c>
    </row>
    <row r="215" spans="1:22">
      <c r="A215" s="3436"/>
      <c r="B215" s="931" t="s">
        <v>557</v>
      </c>
      <c r="C215" s="972">
        <v>17067</v>
      </c>
      <c r="D215" s="836">
        <f t="shared" si="115"/>
        <v>16.04</v>
      </c>
      <c r="E215" s="848">
        <v>22944</v>
      </c>
      <c r="F215" s="835">
        <v>17.22</v>
      </c>
      <c r="G215" s="848">
        <v>23201</v>
      </c>
      <c r="H215" s="836">
        <v>17.559999999999999</v>
      </c>
      <c r="I215" s="848">
        <v>23504</v>
      </c>
      <c r="J215" s="835">
        <v>17.93</v>
      </c>
      <c r="K215" s="848">
        <v>23862</v>
      </c>
      <c r="L215" s="836">
        <v>18.46</v>
      </c>
      <c r="M215" s="848">
        <v>24313</v>
      </c>
      <c r="N215" s="835">
        <v>19.04</v>
      </c>
      <c r="O215" s="848">
        <v>24684</v>
      </c>
      <c r="P215" s="835">
        <v>19.52</v>
      </c>
      <c r="Q215" s="859">
        <f t="shared" si="105"/>
        <v>0.45</v>
      </c>
      <c r="R215" s="858">
        <f t="shared" si="106"/>
        <v>0.22</v>
      </c>
      <c r="S215" s="841">
        <v>24.79</v>
      </c>
      <c r="U215" s="848">
        <f t="shared" si="110"/>
        <v>7617</v>
      </c>
      <c r="V215" s="835">
        <f t="shared" si="111"/>
        <v>3.48</v>
      </c>
    </row>
    <row r="216" spans="1:22">
      <c r="A216" s="3436"/>
      <c r="B216" s="931" t="s">
        <v>558</v>
      </c>
      <c r="C216" s="972">
        <v>780</v>
      </c>
      <c r="D216" s="836">
        <f t="shared" si="115"/>
        <v>2.2400000000000002</v>
      </c>
      <c r="E216" s="848">
        <v>946</v>
      </c>
      <c r="F216" s="835">
        <v>2.4</v>
      </c>
      <c r="G216" s="848">
        <v>1235</v>
      </c>
      <c r="H216" s="836">
        <v>3.05</v>
      </c>
      <c r="I216" s="848">
        <v>1235</v>
      </c>
      <c r="J216" s="835">
        <v>3.05</v>
      </c>
      <c r="K216" s="848">
        <v>1398</v>
      </c>
      <c r="L216" s="836">
        <v>3.41</v>
      </c>
      <c r="M216" s="848">
        <v>1568</v>
      </c>
      <c r="N216" s="835">
        <v>3.8</v>
      </c>
      <c r="O216" s="848">
        <v>1793</v>
      </c>
      <c r="P216" s="835">
        <v>4.3099999999999996</v>
      </c>
      <c r="Q216" s="859">
        <f t="shared" si="105"/>
        <v>1.3</v>
      </c>
      <c r="R216" s="858">
        <f t="shared" si="106"/>
        <v>0.92</v>
      </c>
      <c r="S216" s="841">
        <v>4.87</v>
      </c>
      <c r="U216" s="848">
        <f t="shared" si="110"/>
        <v>1013</v>
      </c>
      <c r="V216" s="835">
        <f t="shared" si="111"/>
        <v>2.0699999999999998</v>
      </c>
    </row>
    <row r="217" spans="1:22">
      <c r="A217" s="3436"/>
      <c r="B217" s="931" t="s">
        <v>559</v>
      </c>
      <c r="C217" s="972">
        <v>4366</v>
      </c>
      <c r="D217" s="836">
        <f t="shared" si="115"/>
        <v>5.1100000000000003</v>
      </c>
      <c r="E217" s="848">
        <v>5693</v>
      </c>
      <c r="F217" s="835">
        <v>5.49</v>
      </c>
      <c r="G217" s="848">
        <v>5737</v>
      </c>
      <c r="H217" s="836">
        <v>5.55</v>
      </c>
      <c r="I217" s="848">
        <v>6117</v>
      </c>
      <c r="J217" s="835">
        <v>5.87</v>
      </c>
      <c r="K217" s="848">
        <v>6172</v>
      </c>
      <c r="L217" s="836">
        <v>5.85</v>
      </c>
      <c r="M217" s="848">
        <v>6233</v>
      </c>
      <c r="N217" s="835">
        <v>5.86</v>
      </c>
      <c r="O217" s="848">
        <v>6294</v>
      </c>
      <c r="P217" s="835">
        <v>5.82</v>
      </c>
      <c r="Q217" s="859">
        <f t="shared" si="105"/>
        <v>0.44</v>
      </c>
      <c r="R217" s="858">
        <f t="shared" si="106"/>
        <v>0.14000000000000001</v>
      </c>
      <c r="S217" s="841">
        <v>7.91</v>
      </c>
      <c r="U217" s="848">
        <f t="shared" si="110"/>
        <v>1928</v>
      </c>
      <c r="V217" s="835">
        <f t="shared" si="111"/>
        <v>0.71</v>
      </c>
    </row>
    <row r="218" spans="1:22">
      <c r="A218" s="3436"/>
      <c r="B218" s="931" t="s">
        <v>560</v>
      </c>
      <c r="C218" s="972">
        <v>68</v>
      </c>
      <c r="D218" s="836">
        <f t="shared" si="115"/>
        <v>0.06</v>
      </c>
      <c r="E218" s="848">
        <v>86</v>
      </c>
      <c r="F218" s="835">
        <v>0.06</v>
      </c>
      <c r="G218" s="848">
        <v>86</v>
      </c>
      <c r="H218" s="836">
        <v>0.06</v>
      </c>
      <c r="I218" s="848">
        <v>86</v>
      </c>
      <c r="J218" s="835">
        <v>0.05</v>
      </c>
      <c r="K218" s="848">
        <v>86</v>
      </c>
      <c r="L218" s="836">
        <v>0.06</v>
      </c>
      <c r="M218" s="848">
        <v>86</v>
      </c>
      <c r="N218" s="835">
        <v>0.06</v>
      </c>
      <c r="O218" s="848">
        <v>86</v>
      </c>
      <c r="P218" s="835">
        <v>0.06</v>
      </c>
      <c r="Q218" s="859">
        <f t="shared" si="105"/>
        <v>0.26</v>
      </c>
      <c r="R218" s="858">
        <f t="shared" si="106"/>
        <v>0</v>
      </c>
      <c r="S218" s="841">
        <v>7.0000000000000007E-2</v>
      </c>
      <c r="U218" s="848">
        <f t="shared" si="110"/>
        <v>18</v>
      </c>
      <c r="V218" s="835">
        <f t="shared" si="111"/>
        <v>0</v>
      </c>
    </row>
    <row r="219" spans="1:22">
      <c r="A219" s="3436"/>
      <c r="B219" s="931" t="s">
        <v>561</v>
      </c>
      <c r="C219" s="972">
        <v>0</v>
      </c>
      <c r="D219" s="836">
        <f t="shared" si="115"/>
        <v>0</v>
      </c>
      <c r="E219" s="848">
        <v>0</v>
      </c>
      <c r="F219" s="835">
        <v>0</v>
      </c>
      <c r="G219" s="848">
        <v>0</v>
      </c>
      <c r="H219" s="836">
        <v>0</v>
      </c>
      <c r="I219" s="848">
        <v>0</v>
      </c>
      <c r="J219" s="835">
        <v>0</v>
      </c>
      <c r="K219" s="848">
        <v>0</v>
      </c>
      <c r="L219" s="836">
        <v>0</v>
      </c>
      <c r="M219" s="848">
        <v>0</v>
      </c>
      <c r="N219" s="835">
        <v>0</v>
      </c>
      <c r="O219" s="848">
        <v>0</v>
      </c>
      <c r="P219" s="835">
        <v>0</v>
      </c>
      <c r="Q219" s="859" t="s">
        <v>16</v>
      </c>
      <c r="R219" s="858" t="s">
        <v>16</v>
      </c>
      <c r="S219" s="841">
        <v>0</v>
      </c>
      <c r="U219" s="848">
        <f t="shared" si="110"/>
        <v>0</v>
      </c>
      <c r="V219" s="835">
        <f t="shared" si="111"/>
        <v>0</v>
      </c>
    </row>
    <row r="220" spans="1:22" ht="15.75" thickBot="1">
      <c r="A220" s="3436"/>
      <c r="B220" s="932" t="s">
        <v>562</v>
      </c>
      <c r="C220" s="1880">
        <v>0</v>
      </c>
      <c r="D220" s="1881">
        <f t="shared" si="115"/>
        <v>2.21</v>
      </c>
      <c r="E220" s="849">
        <v>0</v>
      </c>
      <c r="F220" s="1885">
        <v>2.37</v>
      </c>
      <c r="G220" s="849">
        <v>0</v>
      </c>
      <c r="H220" s="1881">
        <f>F220</f>
        <v>2.37</v>
      </c>
      <c r="I220" s="849">
        <v>0</v>
      </c>
      <c r="J220" s="1885">
        <f>H220</f>
        <v>2.37</v>
      </c>
      <c r="K220" s="849">
        <v>0</v>
      </c>
      <c r="L220" s="1881">
        <f>J220</f>
        <v>2.37</v>
      </c>
      <c r="M220" s="849">
        <v>0</v>
      </c>
      <c r="N220" s="1885">
        <f>L220</f>
        <v>2.37</v>
      </c>
      <c r="O220" s="849">
        <v>0</v>
      </c>
      <c r="P220" s="1885">
        <v>2.37</v>
      </c>
      <c r="Q220" s="1886" t="s">
        <v>16</v>
      </c>
      <c r="R220" s="1888">
        <f t="shared" si="106"/>
        <v>7.0000000000000007E-2</v>
      </c>
      <c r="S220" s="846">
        <f>N220</f>
        <v>2.37</v>
      </c>
      <c r="U220" s="849">
        <f t="shared" si="110"/>
        <v>0</v>
      </c>
      <c r="V220" s="1885">
        <f t="shared" si="111"/>
        <v>0.16</v>
      </c>
    </row>
    <row r="221" spans="1:22" ht="16.5" thickTop="1" thickBot="1">
      <c r="A221" s="3437"/>
      <c r="B221" s="842" t="s">
        <v>18</v>
      </c>
      <c r="C221" s="973">
        <f>SUM(C211:C220)</f>
        <v>28002</v>
      </c>
      <c r="D221" s="852">
        <f>'Table 7'!E23</f>
        <v>33.9</v>
      </c>
      <c r="E221" s="850">
        <f t="shared" ref="E221:P221" si="116">SUM(E211:E220)</f>
        <v>36677</v>
      </c>
      <c r="F221" s="843">
        <f t="shared" si="116"/>
        <v>36.39</v>
      </c>
      <c r="G221" s="850">
        <f t="shared" si="116"/>
        <v>37960</v>
      </c>
      <c r="H221" s="852">
        <f t="shared" si="116"/>
        <v>38.47</v>
      </c>
      <c r="I221" s="850">
        <f t="shared" si="116"/>
        <v>39213</v>
      </c>
      <c r="J221" s="843">
        <f t="shared" si="116"/>
        <v>39.99</v>
      </c>
      <c r="K221" s="850">
        <f t="shared" si="116"/>
        <v>40473</v>
      </c>
      <c r="L221" s="852">
        <f t="shared" si="116"/>
        <v>41.84</v>
      </c>
      <c r="M221" s="850">
        <f t="shared" si="116"/>
        <v>41728</v>
      </c>
      <c r="N221" s="843">
        <f t="shared" si="116"/>
        <v>43.65</v>
      </c>
      <c r="O221" s="850">
        <f t="shared" si="116"/>
        <v>43025</v>
      </c>
      <c r="P221" s="843">
        <f t="shared" si="116"/>
        <v>45.58</v>
      </c>
      <c r="Q221" s="880">
        <f t="shared" si="105"/>
        <v>0.54</v>
      </c>
      <c r="R221" s="881">
        <f t="shared" si="106"/>
        <v>0.34</v>
      </c>
      <c r="S221" s="855">
        <f>SUM(S211:S220)</f>
        <v>58.13</v>
      </c>
      <c r="U221" s="850">
        <f t="shared" si="110"/>
        <v>15023</v>
      </c>
      <c r="V221" s="843">
        <f t="shared" si="111"/>
        <v>11.68</v>
      </c>
    </row>
    <row r="222" spans="1:22">
      <c r="A222" s="3435" t="s">
        <v>219</v>
      </c>
      <c r="B222" s="933" t="s">
        <v>553</v>
      </c>
      <c r="C222" s="971">
        <v>0</v>
      </c>
      <c r="D222" s="853">
        <f>(F222/$F$232)*$D$232</f>
        <v>0</v>
      </c>
      <c r="E222" s="847">
        <v>0</v>
      </c>
      <c r="F222" s="853">
        <v>0</v>
      </c>
      <c r="G222" s="847">
        <v>0</v>
      </c>
      <c r="H222" s="851">
        <v>0</v>
      </c>
      <c r="I222" s="847">
        <v>0</v>
      </c>
      <c r="J222" s="853">
        <v>0</v>
      </c>
      <c r="K222" s="847">
        <v>0</v>
      </c>
      <c r="L222" s="851">
        <v>0</v>
      </c>
      <c r="M222" s="847">
        <v>0</v>
      </c>
      <c r="N222" s="853">
        <v>0</v>
      </c>
      <c r="O222" s="847">
        <v>0</v>
      </c>
      <c r="P222" s="853">
        <v>0</v>
      </c>
      <c r="Q222" s="878" t="s">
        <v>16</v>
      </c>
      <c r="R222" s="879" t="s">
        <v>16</v>
      </c>
      <c r="S222" s="854">
        <v>0</v>
      </c>
      <c r="U222" s="847">
        <f t="shared" si="110"/>
        <v>0</v>
      </c>
      <c r="V222" s="853">
        <f t="shared" si="111"/>
        <v>0</v>
      </c>
    </row>
    <row r="223" spans="1:22">
      <c r="A223" s="3436"/>
      <c r="B223" s="931" t="s">
        <v>554</v>
      </c>
      <c r="C223" s="972">
        <v>203</v>
      </c>
      <c r="D223" s="986">
        <f t="shared" ref="D223:D231" si="117">(F223/$F$232)*$D$232</f>
        <v>0.35</v>
      </c>
      <c r="E223" s="848">
        <v>222</v>
      </c>
      <c r="F223" s="835">
        <v>0.38</v>
      </c>
      <c r="G223" s="848">
        <v>263</v>
      </c>
      <c r="H223" s="836">
        <v>0.46</v>
      </c>
      <c r="I223" s="848">
        <v>263</v>
      </c>
      <c r="J223" s="835">
        <v>0.46</v>
      </c>
      <c r="K223" s="848">
        <v>263</v>
      </c>
      <c r="L223" s="836">
        <v>0.46</v>
      </c>
      <c r="M223" s="848">
        <v>300</v>
      </c>
      <c r="N223" s="835">
        <v>0.53</v>
      </c>
      <c r="O223" s="848">
        <v>300</v>
      </c>
      <c r="P223" s="835">
        <v>0.53</v>
      </c>
      <c r="Q223" s="859">
        <f t="shared" si="105"/>
        <v>0.48</v>
      </c>
      <c r="R223" s="858">
        <f t="shared" si="106"/>
        <v>0.51</v>
      </c>
      <c r="S223" s="841">
        <v>0.74</v>
      </c>
      <c r="U223" s="848">
        <f t="shared" si="110"/>
        <v>97</v>
      </c>
      <c r="V223" s="835">
        <f t="shared" si="111"/>
        <v>0.18</v>
      </c>
    </row>
    <row r="224" spans="1:22">
      <c r="A224" s="3436"/>
      <c r="B224" s="931" t="s">
        <v>555</v>
      </c>
      <c r="C224" s="972">
        <v>0</v>
      </c>
      <c r="D224" s="836">
        <f t="shared" si="117"/>
        <v>0</v>
      </c>
      <c r="E224" s="848">
        <v>0</v>
      </c>
      <c r="F224" s="835">
        <v>0</v>
      </c>
      <c r="G224" s="848">
        <v>0</v>
      </c>
      <c r="H224" s="836">
        <v>0</v>
      </c>
      <c r="I224" s="848">
        <v>0</v>
      </c>
      <c r="J224" s="835">
        <v>0</v>
      </c>
      <c r="K224" s="848">
        <v>0</v>
      </c>
      <c r="L224" s="836">
        <v>0</v>
      </c>
      <c r="M224" s="848">
        <v>0</v>
      </c>
      <c r="N224" s="835">
        <v>0</v>
      </c>
      <c r="O224" s="848">
        <v>0</v>
      </c>
      <c r="P224" s="835">
        <v>0</v>
      </c>
      <c r="Q224" s="859" t="s">
        <v>16</v>
      </c>
      <c r="R224" s="858" t="s">
        <v>16</v>
      </c>
      <c r="S224" s="841">
        <v>0</v>
      </c>
      <c r="U224" s="848">
        <f t="shared" si="110"/>
        <v>0</v>
      </c>
      <c r="V224" s="835">
        <f t="shared" si="111"/>
        <v>0</v>
      </c>
    </row>
    <row r="225" spans="1:22">
      <c r="A225" s="3436"/>
      <c r="B225" s="931" t="s">
        <v>556</v>
      </c>
      <c r="C225" s="972">
        <v>343</v>
      </c>
      <c r="D225" s="836">
        <f t="shared" si="117"/>
        <v>0.56999999999999995</v>
      </c>
      <c r="E225" s="848">
        <v>456</v>
      </c>
      <c r="F225" s="835">
        <v>0.62</v>
      </c>
      <c r="G225" s="848">
        <v>502</v>
      </c>
      <c r="H225" s="836">
        <v>0.68</v>
      </c>
      <c r="I225" s="848">
        <v>589</v>
      </c>
      <c r="J225" s="835">
        <v>0.8</v>
      </c>
      <c r="K225" s="848">
        <v>615</v>
      </c>
      <c r="L225" s="836">
        <v>0.84</v>
      </c>
      <c r="M225" s="848">
        <v>644</v>
      </c>
      <c r="N225" s="835">
        <v>0.88</v>
      </c>
      <c r="O225" s="848">
        <v>706</v>
      </c>
      <c r="P225" s="835">
        <v>0.96</v>
      </c>
      <c r="Q225" s="859">
        <f t="shared" si="105"/>
        <v>1.06</v>
      </c>
      <c r="R225" s="858">
        <f t="shared" si="106"/>
        <v>0.68</v>
      </c>
      <c r="S225" s="841">
        <v>1.26</v>
      </c>
      <c r="U225" s="848">
        <f t="shared" si="110"/>
        <v>363</v>
      </c>
      <c r="V225" s="835">
        <f t="shared" si="111"/>
        <v>0.39</v>
      </c>
    </row>
    <row r="226" spans="1:22">
      <c r="A226" s="3436"/>
      <c r="B226" s="931" t="s">
        <v>557</v>
      </c>
      <c r="C226" s="972">
        <v>46</v>
      </c>
      <c r="D226" s="836">
        <f t="shared" si="117"/>
        <v>0</v>
      </c>
      <c r="E226" s="848">
        <v>6</v>
      </c>
      <c r="F226" s="835">
        <v>0</v>
      </c>
      <c r="G226" s="848">
        <v>33</v>
      </c>
      <c r="H226" s="836">
        <v>0.03</v>
      </c>
      <c r="I226" s="848">
        <v>33</v>
      </c>
      <c r="J226" s="835">
        <v>0.03</v>
      </c>
      <c r="K226" s="848">
        <v>97</v>
      </c>
      <c r="L226" s="836">
        <v>7.0000000000000007E-2</v>
      </c>
      <c r="M226" s="848">
        <v>109</v>
      </c>
      <c r="N226" s="835">
        <v>0.08</v>
      </c>
      <c r="O226" s="848">
        <v>137</v>
      </c>
      <c r="P226" s="835">
        <v>0.1</v>
      </c>
      <c r="Q226" s="859">
        <f t="shared" si="105"/>
        <v>1.98</v>
      </c>
      <c r="R226" s="858" t="s">
        <v>16</v>
      </c>
      <c r="S226" s="841">
        <v>0.13</v>
      </c>
      <c r="U226" s="848">
        <f t="shared" si="110"/>
        <v>91</v>
      </c>
      <c r="V226" s="835">
        <f t="shared" si="111"/>
        <v>0.1</v>
      </c>
    </row>
    <row r="227" spans="1:22">
      <c r="A227" s="3436"/>
      <c r="B227" s="931" t="s">
        <v>558</v>
      </c>
      <c r="C227" s="972">
        <v>25</v>
      </c>
      <c r="D227" s="836">
        <f t="shared" si="117"/>
        <v>0.03</v>
      </c>
      <c r="E227" s="848">
        <v>25</v>
      </c>
      <c r="F227" s="835">
        <v>0.03</v>
      </c>
      <c r="G227" s="848">
        <v>40</v>
      </c>
      <c r="H227" s="836">
        <v>7.0000000000000007E-2</v>
      </c>
      <c r="I227" s="848">
        <v>40</v>
      </c>
      <c r="J227" s="835">
        <v>7.0000000000000007E-2</v>
      </c>
      <c r="K227" s="848">
        <v>47</v>
      </c>
      <c r="L227" s="836">
        <v>0.08</v>
      </c>
      <c r="M227" s="848">
        <v>47</v>
      </c>
      <c r="N227" s="835">
        <v>0.08</v>
      </c>
      <c r="O227" s="848">
        <v>54</v>
      </c>
      <c r="P227" s="835">
        <v>0.1</v>
      </c>
      <c r="Q227" s="859">
        <f t="shared" si="105"/>
        <v>1.1599999999999999</v>
      </c>
      <c r="R227" s="858">
        <f t="shared" si="106"/>
        <v>2.33</v>
      </c>
      <c r="S227" s="841">
        <v>0.11</v>
      </c>
      <c r="U227" s="848">
        <f t="shared" si="110"/>
        <v>29</v>
      </c>
      <c r="V227" s="835">
        <f t="shared" si="111"/>
        <v>7.0000000000000007E-2</v>
      </c>
    </row>
    <row r="228" spans="1:22">
      <c r="A228" s="3436"/>
      <c r="B228" s="931" t="s">
        <v>559</v>
      </c>
      <c r="C228" s="972">
        <v>97</v>
      </c>
      <c r="D228" s="836">
        <f t="shared" si="117"/>
        <v>0.12</v>
      </c>
      <c r="E228" s="848">
        <v>161</v>
      </c>
      <c r="F228" s="835">
        <v>0.13</v>
      </c>
      <c r="G228" s="848">
        <v>161</v>
      </c>
      <c r="H228" s="836">
        <v>0.13</v>
      </c>
      <c r="I228" s="848">
        <v>168</v>
      </c>
      <c r="J228" s="835">
        <v>0.16</v>
      </c>
      <c r="K228" s="848">
        <v>174</v>
      </c>
      <c r="L228" s="836">
        <v>0.16</v>
      </c>
      <c r="M228" s="848">
        <v>205</v>
      </c>
      <c r="N228" s="835">
        <v>0.21</v>
      </c>
      <c r="O228" s="848">
        <v>205</v>
      </c>
      <c r="P228" s="835">
        <v>0.21</v>
      </c>
      <c r="Q228" s="859">
        <f t="shared" si="105"/>
        <v>1.1100000000000001</v>
      </c>
      <c r="R228" s="858">
        <f t="shared" si="106"/>
        <v>0.75</v>
      </c>
      <c r="S228" s="841">
        <v>0.28000000000000003</v>
      </c>
      <c r="U228" s="848">
        <f t="shared" si="110"/>
        <v>108</v>
      </c>
      <c r="V228" s="835">
        <f t="shared" si="111"/>
        <v>0.09</v>
      </c>
    </row>
    <row r="229" spans="1:22">
      <c r="A229" s="3436"/>
      <c r="B229" s="931" t="s">
        <v>560</v>
      </c>
      <c r="C229" s="972">
        <v>41</v>
      </c>
      <c r="D229" s="836">
        <f t="shared" si="117"/>
        <v>0</v>
      </c>
      <c r="E229" s="848">
        <v>0</v>
      </c>
      <c r="F229" s="835">
        <v>0</v>
      </c>
      <c r="G229" s="848">
        <v>0</v>
      </c>
      <c r="H229" s="836">
        <v>0</v>
      </c>
      <c r="I229" s="848">
        <v>0</v>
      </c>
      <c r="J229" s="835">
        <v>0</v>
      </c>
      <c r="K229" s="848">
        <v>0</v>
      </c>
      <c r="L229" s="836">
        <v>0</v>
      </c>
      <c r="M229" s="848">
        <v>0</v>
      </c>
      <c r="N229" s="835">
        <v>0</v>
      </c>
      <c r="O229" s="848">
        <v>0</v>
      </c>
      <c r="P229" s="835">
        <v>0</v>
      </c>
      <c r="Q229" s="859">
        <f t="shared" si="105"/>
        <v>-1</v>
      </c>
      <c r="R229" s="858" t="s">
        <v>16</v>
      </c>
      <c r="S229" s="841">
        <v>0</v>
      </c>
      <c r="U229" s="848">
        <f t="shared" si="110"/>
        <v>-41</v>
      </c>
      <c r="V229" s="835">
        <f t="shared" si="111"/>
        <v>0</v>
      </c>
    </row>
    <row r="230" spans="1:22">
      <c r="A230" s="3436"/>
      <c r="B230" s="931" t="s">
        <v>561</v>
      </c>
      <c r="C230" s="972">
        <v>0</v>
      </c>
      <c r="D230" s="836">
        <f t="shared" si="117"/>
        <v>0</v>
      </c>
      <c r="E230" s="848">
        <v>0</v>
      </c>
      <c r="F230" s="835">
        <v>0</v>
      </c>
      <c r="G230" s="848">
        <v>0</v>
      </c>
      <c r="H230" s="836">
        <v>0</v>
      </c>
      <c r="I230" s="848">
        <v>0</v>
      </c>
      <c r="J230" s="835">
        <v>0</v>
      </c>
      <c r="K230" s="848">
        <v>0</v>
      </c>
      <c r="L230" s="836">
        <v>0</v>
      </c>
      <c r="M230" s="848">
        <v>0</v>
      </c>
      <c r="N230" s="835">
        <v>0</v>
      </c>
      <c r="O230" s="848">
        <v>0</v>
      </c>
      <c r="P230" s="835">
        <v>0</v>
      </c>
      <c r="Q230" s="859" t="s">
        <v>16</v>
      </c>
      <c r="R230" s="858" t="s">
        <v>16</v>
      </c>
      <c r="S230" s="841">
        <v>0</v>
      </c>
      <c r="U230" s="848">
        <f t="shared" si="110"/>
        <v>0</v>
      </c>
      <c r="V230" s="835">
        <f t="shared" si="111"/>
        <v>0</v>
      </c>
    </row>
    <row r="231" spans="1:22" ht="15.75" thickBot="1">
      <c r="A231" s="3436"/>
      <c r="B231" s="932" t="s">
        <v>562</v>
      </c>
      <c r="C231" s="1880">
        <v>0</v>
      </c>
      <c r="D231" s="1881">
        <f t="shared" si="117"/>
        <v>0.15</v>
      </c>
      <c r="E231" s="849">
        <v>0</v>
      </c>
      <c r="F231" s="1885">
        <v>0.16</v>
      </c>
      <c r="G231" s="849">
        <v>0</v>
      </c>
      <c r="H231" s="1881">
        <f>F231</f>
        <v>0.16</v>
      </c>
      <c r="I231" s="849">
        <v>0</v>
      </c>
      <c r="J231" s="1885">
        <f>H231</f>
        <v>0.16</v>
      </c>
      <c r="K231" s="849">
        <v>0</v>
      </c>
      <c r="L231" s="1881">
        <f>J231</f>
        <v>0.16</v>
      </c>
      <c r="M231" s="849">
        <v>0</v>
      </c>
      <c r="N231" s="1885">
        <f>L231</f>
        <v>0.16</v>
      </c>
      <c r="O231" s="849">
        <v>0</v>
      </c>
      <c r="P231" s="1885">
        <v>0.16</v>
      </c>
      <c r="Q231" s="1886" t="s">
        <v>16</v>
      </c>
      <c r="R231" s="1888">
        <f t="shared" si="106"/>
        <v>7.0000000000000007E-2</v>
      </c>
      <c r="S231" s="846">
        <f>N231</f>
        <v>0.16</v>
      </c>
      <c r="U231" s="849">
        <f t="shared" si="110"/>
        <v>0</v>
      </c>
      <c r="V231" s="1885">
        <f t="shared" si="111"/>
        <v>0.01</v>
      </c>
    </row>
    <row r="232" spans="1:22" ht="16.5" thickTop="1" thickBot="1">
      <c r="A232" s="3437"/>
      <c r="B232" s="842" t="s">
        <v>18</v>
      </c>
      <c r="C232" s="973">
        <f>SUM(C222:C231)</f>
        <v>755</v>
      </c>
      <c r="D232" s="852">
        <f>'Table 7'!E24</f>
        <v>1.22</v>
      </c>
      <c r="E232" s="850">
        <f t="shared" ref="E232:P232" si="118">SUM(E222:E231)</f>
        <v>870</v>
      </c>
      <c r="F232" s="843">
        <f t="shared" si="118"/>
        <v>1.32</v>
      </c>
      <c r="G232" s="850">
        <f t="shared" si="118"/>
        <v>999</v>
      </c>
      <c r="H232" s="852">
        <f t="shared" si="118"/>
        <v>1.53</v>
      </c>
      <c r="I232" s="850">
        <f t="shared" si="118"/>
        <v>1093</v>
      </c>
      <c r="J232" s="843">
        <f t="shared" si="118"/>
        <v>1.68</v>
      </c>
      <c r="K232" s="850">
        <f t="shared" si="118"/>
        <v>1196</v>
      </c>
      <c r="L232" s="852">
        <f t="shared" si="118"/>
        <v>1.77</v>
      </c>
      <c r="M232" s="850">
        <f t="shared" si="118"/>
        <v>1305</v>
      </c>
      <c r="N232" s="843">
        <f t="shared" si="118"/>
        <v>1.94</v>
      </c>
      <c r="O232" s="850">
        <f t="shared" si="118"/>
        <v>1402</v>
      </c>
      <c r="P232" s="843">
        <f t="shared" si="118"/>
        <v>2.06</v>
      </c>
      <c r="Q232" s="880">
        <f t="shared" si="105"/>
        <v>0.86</v>
      </c>
      <c r="R232" s="881">
        <f t="shared" si="106"/>
        <v>0.69</v>
      </c>
      <c r="S232" s="855">
        <f>SUM(S222:S231)</f>
        <v>2.68</v>
      </c>
      <c r="U232" s="850">
        <f t="shared" si="110"/>
        <v>647</v>
      </c>
      <c r="V232" s="843">
        <f t="shared" si="111"/>
        <v>0.84</v>
      </c>
    </row>
    <row r="233" spans="1:22" ht="30" customHeight="1" thickBot="1">
      <c r="A233" s="3224" t="s">
        <v>568</v>
      </c>
      <c r="B233" s="3224"/>
      <c r="C233" s="3224"/>
      <c r="D233" s="3224"/>
      <c r="E233" s="3224"/>
      <c r="F233" s="3224"/>
      <c r="G233" s="3224"/>
      <c r="H233" s="3224"/>
      <c r="I233" s="3224"/>
      <c r="J233" s="3224"/>
      <c r="K233" s="3224"/>
      <c r="L233" s="3224"/>
      <c r="M233" s="3224"/>
      <c r="N233" s="3224"/>
      <c r="O233" s="3224"/>
      <c r="P233" s="3224"/>
      <c r="Q233" s="3224"/>
      <c r="R233" s="3224"/>
      <c r="S233" s="3224"/>
    </row>
    <row r="234" spans="1:22" ht="29.25" customHeight="1">
      <c r="A234" s="3429" t="s">
        <v>85</v>
      </c>
      <c r="B234" s="3431" t="s">
        <v>541</v>
      </c>
      <c r="C234" s="3217" t="s">
        <v>542</v>
      </c>
      <c r="D234" s="3217"/>
      <c r="E234" s="3216" t="s">
        <v>543</v>
      </c>
      <c r="F234" s="3218"/>
      <c r="G234" s="3217" t="s">
        <v>544</v>
      </c>
      <c r="H234" s="3217"/>
      <c r="I234" s="3258" t="s">
        <v>545</v>
      </c>
      <c r="J234" s="3245"/>
      <c r="K234" s="3264" t="s">
        <v>546</v>
      </c>
      <c r="L234" s="3264"/>
      <c r="M234" s="3258" t="s">
        <v>547</v>
      </c>
      <c r="N234" s="3245"/>
      <c r="O234" s="3258" t="s">
        <v>548</v>
      </c>
      <c r="P234" s="3245"/>
      <c r="Q234" s="3264" t="s">
        <v>57</v>
      </c>
      <c r="R234" s="3264"/>
      <c r="S234" s="3433" t="s">
        <v>549</v>
      </c>
      <c r="U234" s="3258" t="s">
        <v>59</v>
      </c>
      <c r="V234" s="3245"/>
    </row>
    <row r="235" spans="1:22" ht="15.75" thickBot="1">
      <c r="A235" s="3430"/>
      <c r="B235" s="3432"/>
      <c r="C235" s="1889" t="s">
        <v>550</v>
      </c>
      <c r="D235" s="831" t="s">
        <v>551</v>
      </c>
      <c r="E235" s="832" t="s">
        <v>550</v>
      </c>
      <c r="F235" s="833" t="s">
        <v>551</v>
      </c>
      <c r="G235" s="1889" t="s">
        <v>550</v>
      </c>
      <c r="H235" s="831" t="s">
        <v>551</v>
      </c>
      <c r="I235" s="834" t="s">
        <v>550</v>
      </c>
      <c r="J235" s="833" t="s">
        <v>551</v>
      </c>
      <c r="K235" s="1890" t="s">
        <v>550</v>
      </c>
      <c r="L235" s="831" t="s">
        <v>551</v>
      </c>
      <c r="M235" s="834" t="s">
        <v>550</v>
      </c>
      <c r="N235" s="833" t="s">
        <v>551</v>
      </c>
      <c r="O235" s="834" t="s">
        <v>550</v>
      </c>
      <c r="P235" s="833" t="s">
        <v>551</v>
      </c>
      <c r="Q235" s="1891" t="s">
        <v>529</v>
      </c>
      <c r="R235" s="831" t="s">
        <v>551</v>
      </c>
      <c r="S235" s="3434"/>
      <c r="U235" s="1645" t="s">
        <v>529</v>
      </c>
      <c r="V235" s="1646" t="s">
        <v>551</v>
      </c>
    </row>
    <row r="236" spans="1:22">
      <c r="A236" s="3435" t="s">
        <v>32</v>
      </c>
      <c r="B236" s="933" t="s">
        <v>553</v>
      </c>
      <c r="C236" s="971">
        <f t="shared" ref="C236:P236" si="119">C4+C37+C73+C106+C131+C142+C175+C189+C200</f>
        <v>253</v>
      </c>
      <c r="D236" s="974">
        <f t="shared" si="119"/>
        <v>0.12</v>
      </c>
      <c r="E236" s="847">
        <f t="shared" si="119"/>
        <v>199</v>
      </c>
      <c r="F236" s="853">
        <f t="shared" si="119"/>
        <v>0.13</v>
      </c>
      <c r="G236" s="847">
        <f t="shared" si="119"/>
        <v>199</v>
      </c>
      <c r="H236" s="851">
        <f t="shared" si="119"/>
        <v>0.14000000000000001</v>
      </c>
      <c r="I236" s="847">
        <f t="shared" si="119"/>
        <v>199</v>
      </c>
      <c r="J236" s="853">
        <f t="shared" si="119"/>
        <v>0.14000000000000001</v>
      </c>
      <c r="K236" s="847">
        <f t="shared" si="119"/>
        <v>199</v>
      </c>
      <c r="L236" s="851">
        <f t="shared" si="119"/>
        <v>0.14000000000000001</v>
      </c>
      <c r="M236" s="847">
        <f t="shared" si="119"/>
        <v>199</v>
      </c>
      <c r="N236" s="853">
        <f t="shared" si="119"/>
        <v>0.15</v>
      </c>
      <c r="O236" s="847">
        <f t="shared" si="119"/>
        <v>199</v>
      </c>
      <c r="P236" s="853">
        <f t="shared" si="119"/>
        <v>0.14000000000000001</v>
      </c>
      <c r="Q236" s="837">
        <f t="shared" ref="Q236:Q268" si="120">(O236-C236)/C236</f>
        <v>-0.21</v>
      </c>
      <c r="R236" s="839">
        <f t="shared" ref="R236:R268" si="121">(P236-D236)/D236</f>
        <v>0.17</v>
      </c>
      <c r="S236" s="854">
        <f t="shared" ref="S236:S245" si="122">S4+S37+S73+S106+S131+S142+S175+S189+S200</f>
        <v>0.23</v>
      </c>
      <c r="U236" s="847">
        <f t="shared" ref="U236" si="123">O236-C236</f>
        <v>-54</v>
      </c>
      <c r="V236" s="853">
        <f t="shared" ref="V236" si="124">P236-D236</f>
        <v>0.02</v>
      </c>
    </row>
    <row r="237" spans="1:22">
      <c r="A237" s="3436"/>
      <c r="B237" s="931" t="s">
        <v>554</v>
      </c>
      <c r="C237" s="972">
        <f t="shared" ref="C237:P237" si="125">C5+C38+C74+C107+C132+C143+C176+C190+C201</f>
        <v>1797</v>
      </c>
      <c r="D237" s="975">
        <f t="shared" si="125"/>
        <v>3.29</v>
      </c>
      <c r="E237" s="848">
        <f t="shared" si="125"/>
        <v>1791</v>
      </c>
      <c r="F237" s="835">
        <f t="shared" si="125"/>
        <v>3.5</v>
      </c>
      <c r="G237" s="848">
        <f t="shared" si="125"/>
        <v>1843</v>
      </c>
      <c r="H237" s="836">
        <f t="shared" si="125"/>
        <v>3.67</v>
      </c>
      <c r="I237" s="848">
        <f t="shared" si="125"/>
        <v>2057</v>
      </c>
      <c r="J237" s="835">
        <f t="shared" si="125"/>
        <v>4.08</v>
      </c>
      <c r="K237" s="848">
        <f t="shared" si="125"/>
        <v>2128</v>
      </c>
      <c r="L237" s="836">
        <f t="shared" si="125"/>
        <v>4.2699999999999996</v>
      </c>
      <c r="M237" s="848">
        <f t="shared" si="125"/>
        <v>2188</v>
      </c>
      <c r="N237" s="835">
        <f t="shared" si="125"/>
        <v>4.4000000000000004</v>
      </c>
      <c r="O237" s="848">
        <f t="shared" si="125"/>
        <v>2188</v>
      </c>
      <c r="P237" s="835">
        <f t="shared" si="125"/>
        <v>4.42</v>
      </c>
      <c r="Q237" s="838">
        <f t="shared" si="120"/>
        <v>0.22</v>
      </c>
      <c r="R237" s="840">
        <f t="shared" si="121"/>
        <v>0.34</v>
      </c>
      <c r="S237" s="841">
        <f t="shared" si="122"/>
        <v>6.38</v>
      </c>
      <c r="U237" s="848">
        <f t="shared" ref="U237:U267" si="126">O237-C237</f>
        <v>391</v>
      </c>
      <c r="V237" s="835">
        <f t="shared" ref="V237:V267" si="127">P237-D237</f>
        <v>1.1299999999999999</v>
      </c>
    </row>
    <row r="238" spans="1:22">
      <c r="A238" s="3436"/>
      <c r="B238" s="931" t="s">
        <v>555</v>
      </c>
      <c r="C238" s="972">
        <f t="shared" ref="C238:P238" si="128">C6+C39+C75+C108+C133+C144+C177+C191+C202</f>
        <v>20936</v>
      </c>
      <c r="D238" s="975">
        <f t="shared" si="128"/>
        <v>19.38</v>
      </c>
      <c r="E238" s="848">
        <f t="shared" si="128"/>
        <v>21111</v>
      </c>
      <c r="F238" s="835">
        <f t="shared" si="128"/>
        <v>26.17</v>
      </c>
      <c r="G238" s="848">
        <f t="shared" si="128"/>
        <v>20896</v>
      </c>
      <c r="H238" s="836">
        <f t="shared" si="128"/>
        <v>26.15</v>
      </c>
      <c r="I238" s="848">
        <f t="shared" si="128"/>
        <v>20278</v>
      </c>
      <c r="J238" s="835">
        <f t="shared" si="128"/>
        <v>25.59</v>
      </c>
      <c r="K238" s="848">
        <f t="shared" si="128"/>
        <v>19774</v>
      </c>
      <c r="L238" s="836">
        <f t="shared" si="128"/>
        <v>25.15</v>
      </c>
      <c r="M238" s="848">
        <f t="shared" si="128"/>
        <v>19478</v>
      </c>
      <c r="N238" s="835">
        <f t="shared" si="128"/>
        <v>24.95</v>
      </c>
      <c r="O238" s="848">
        <f t="shared" si="128"/>
        <v>19261</v>
      </c>
      <c r="P238" s="835">
        <f t="shared" si="128"/>
        <v>24.84</v>
      </c>
      <c r="Q238" s="838">
        <f t="shared" si="120"/>
        <v>-0.08</v>
      </c>
      <c r="R238" s="840">
        <f t="shared" si="121"/>
        <v>0.28000000000000003</v>
      </c>
      <c r="S238" s="841">
        <f t="shared" si="122"/>
        <v>37.99</v>
      </c>
      <c r="U238" s="848">
        <f t="shared" si="126"/>
        <v>-1675</v>
      </c>
      <c r="V238" s="835">
        <f t="shared" si="127"/>
        <v>5.46</v>
      </c>
    </row>
    <row r="239" spans="1:22">
      <c r="A239" s="3436"/>
      <c r="B239" s="931" t="s">
        <v>556</v>
      </c>
      <c r="C239" s="972">
        <f t="shared" ref="C239:P239" si="129">C7+C40+C76+C109+C134+C145+C178+C192+C203</f>
        <v>8344</v>
      </c>
      <c r="D239" s="975">
        <f t="shared" si="129"/>
        <v>7.97</v>
      </c>
      <c r="E239" s="848">
        <f t="shared" si="129"/>
        <v>8450</v>
      </c>
      <c r="F239" s="835">
        <f t="shared" si="129"/>
        <v>11.01</v>
      </c>
      <c r="G239" s="848">
        <f t="shared" si="129"/>
        <v>8630</v>
      </c>
      <c r="H239" s="836">
        <f t="shared" si="129"/>
        <v>11.36</v>
      </c>
      <c r="I239" s="848">
        <f t="shared" si="129"/>
        <v>8781</v>
      </c>
      <c r="J239" s="835">
        <f t="shared" si="129"/>
        <v>11.7</v>
      </c>
      <c r="K239" s="848">
        <f t="shared" si="129"/>
        <v>8911</v>
      </c>
      <c r="L239" s="836">
        <f t="shared" si="129"/>
        <v>11.97</v>
      </c>
      <c r="M239" s="848">
        <f t="shared" si="129"/>
        <v>9005</v>
      </c>
      <c r="N239" s="835">
        <f t="shared" si="129"/>
        <v>12.21</v>
      </c>
      <c r="O239" s="848">
        <f t="shared" si="129"/>
        <v>9049</v>
      </c>
      <c r="P239" s="835">
        <f t="shared" si="129"/>
        <v>12.53</v>
      </c>
      <c r="Q239" s="838">
        <f t="shared" si="120"/>
        <v>0.08</v>
      </c>
      <c r="R239" s="840">
        <f t="shared" si="121"/>
        <v>0.56999999999999995</v>
      </c>
      <c r="S239" s="841">
        <f t="shared" si="122"/>
        <v>16.55</v>
      </c>
      <c r="T239" t="s">
        <v>36</v>
      </c>
      <c r="U239" s="848">
        <f t="shared" si="126"/>
        <v>705</v>
      </c>
      <c r="V239" s="835">
        <f t="shared" si="127"/>
        <v>4.5599999999999996</v>
      </c>
    </row>
    <row r="240" spans="1:22">
      <c r="A240" s="3436"/>
      <c r="B240" s="931" t="s">
        <v>557</v>
      </c>
      <c r="C240" s="972">
        <f t="shared" ref="C240:P240" si="130">C8+C41+C77+C110+C135+C146+C179+C193+C204</f>
        <v>3902</v>
      </c>
      <c r="D240" s="975">
        <f t="shared" si="130"/>
        <v>2.2200000000000002</v>
      </c>
      <c r="E240" s="848">
        <f t="shared" si="130"/>
        <v>3786</v>
      </c>
      <c r="F240" s="835">
        <f t="shared" si="130"/>
        <v>3</v>
      </c>
      <c r="G240" s="848">
        <f t="shared" si="130"/>
        <v>3867</v>
      </c>
      <c r="H240" s="836">
        <f t="shared" si="130"/>
        <v>3.11</v>
      </c>
      <c r="I240" s="848">
        <f t="shared" si="130"/>
        <v>4115</v>
      </c>
      <c r="J240" s="835">
        <f t="shared" si="130"/>
        <v>3.28</v>
      </c>
      <c r="K240" s="848">
        <f t="shared" si="130"/>
        <v>4414</v>
      </c>
      <c r="L240" s="836">
        <f t="shared" si="130"/>
        <v>3.58</v>
      </c>
      <c r="M240" s="848">
        <f t="shared" si="130"/>
        <v>4561</v>
      </c>
      <c r="N240" s="835">
        <f t="shared" si="130"/>
        <v>3.67</v>
      </c>
      <c r="O240" s="848">
        <f t="shared" si="130"/>
        <v>4658</v>
      </c>
      <c r="P240" s="835">
        <f t="shared" si="130"/>
        <v>3.73</v>
      </c>
      <c r="Q240" s="838">
        <f t="shared" si="120"/>
        <v>0.19</v>
      </c>
      <c r="R240" s="840">
        <f t="shared" si="121"/>
        <v>0.68</v>
      </c>
      <c r="S240" s="841">
        <f t="shared" si="122"/>
        <v>5.53</v>
      </c>
      <c r="U240" s="848">
        <f t="shared" si="126"/>
        <v>756</v>
      </c>
      <c r="V240" s="835">
        <f t="shared" si="127"/>
        <v>1.51</v>
      </c>
    </row>
    <row r="241" spans="1:22">
      <c r="A241" s="3436"/>
      <c r="B241" s="931" t="s">
        <v>558</v>
      </c>
      <c r="C241" s="972">
        <f t="shared" ref="C241:P241" si="131">C9+C42+C78+C111+C136+C147+C180+C194+C205</f>
        <v>4470</v>
      </c>
      <c r="D241" s="975">
        <f t="shared" si="131"/>
        <v>8.98</v>
      </c>
      <c r="E241" s="848">
        <f t="shared" si="131"/>
        <v>4220</v>
      </c>
      <c r="F241" s="835">
        <f t="shared" si="131"/>
        <v>10.18</v>
      </c>
      <c r="G241" s="848">
        <f t="shared" si="131"/>
        <v>4299</v>
      </c>
      <c r="H241" s="836">
        <f t="shared" si="131"/>
        <v>10.49</v>
      </c>
      <c r="I241" s="848">
        <f t="shared" si="131"/>
        <v>4299</v>
      </c>
      <c r="J241" s="835">
        <f t="shared" si="131"/>
        <v>10.5</v>
      </c>
      <c r="K241" s="848">
        <f t="shared" si="131"/>
        <v>4315</v>
      </c>
      <c r="L241" s="836">
        <f t="shared" si="131"/>
        <v>10.66</v>
      </c>
      <c r="M241" s="848">
        <f t="shared" si="131"/>
        <v>4397</v>
      </c>
      <c r="N241" s="835">
        <f t="shared" si="131"/>
        <v>10.96</v>
      </c>
      <c r="O241" s="848">
        <f t="shared" si="131"/>
        <v>4522</v>
      </c>
      <c r="P241" s="835">
        <f t="shared" si="131"/>
        <v>11.36</v>
      </c>
      <c r="Q241" s="838">
        <f t="shared" si="120"/>
        <v>0.01</v>
      </c>
      <c r="R241" s="840">
        <f t="shared" si="121"/>
        <v>0.27</v>
      </c>
      <c r="S241" s="841">
        <f t="shared" si="122"/>
        <v>12.95</v>
      </c>
      <c r="U241" s="848">
        <f t="shared" si="126"/>
        <v>52</v>
      </c>
      <c r="V241" s="835">
        <f t="shared" si="127"/>
        <v>2.38</v>
      </c>
    </row>
    <row r="242" spans="1:22">
      <c r="A242" s="3436"/>
      <c r="B242" s="931" t="s">
        <v>559</v>
      </c>
      <c r="C242" s="972">
        <f t="shared" ref="C242:P242" si="132">C10+C43+C79+C112+C137+C148+C181+C195+C206</f>
        <v>3139</v>
      </c>
      <c r="D242" s="975">
        <f t="shared" si="132"/>
        <v>1.69</v>
      </c>
      <c r="E242" s="848">
        <f t="shared" si="132"/>
        <v>2202</v>
      </c>
      <c r="F242" s="835">
        <f t="shared" si="132"/>
        <v>2.13</v>
      </c>
      <c r="G242" s="848">
        <f t="shared" si="132"/>
        <v>2289</v>
      </c>
      <c r="H242" s="836">
        <f t="shared" si="132"/>
        <v>2.17</v>
      </c>
      <c r="I242" s="848">
        <f t="shared" si="132"/>
        <v>2383</v>
      </c>
      <c r="J242" s="835">
        <f t="shared" si="132"/>
        <v>2.23</v>
      </c>
      <c r="K242" s="848">
        <f t="shared" si="132"/>
        <v>2411</v>
      </c>
      <c r="L242" s="836">
        <f t="shared" si="132"/>
        <v>2.2599999999999998</v>
      </c>
      <c r="M242" s="848">
        <f t="shared" si="132"/>
        <v>2353</v>
      </c>
      <c r="N242" s="835">
        <f t="shared" si="132"/>
        <v>2.2000000000000002</v>
      </c>
      <c r="O242" s="848">
        <f t="shared" si="132"/>
        <v>2302</v>
      </c>
      <c r="P242" s="835">
        <f t="shared" si="132"/>
        <v>2.09</v>
      </c>
      <c r="Q242" s="838">
        <f t="shared" si="120"/>
        <v>-0.27</v>
      </c>
      <c r="R242" s="840">
        <f t="shared" si="121"/>
        <v>0.24</v>
      </c>
      <c r="S242" s="841">
        <f t="shared" si="122"/>
        <v>3.42</v>
      </c>
      <c r="U242" s="848">
        <f t="shared" si="126"/>
        <v>-837</v>
      </c>
      <c r="V242" s="835">
        <f t="shared" si="127"/>
        <v>0.4</v>
      </c>
    </row>
    <row r="243" spans="1:22">
      <c r="A243" s="3436"/>
      <c r="B243" s="931" t="s">
        <v>560</v>
      </c>
      <c r="C243" s="972">
        <f t="shared" ref="C243:P243" si="133">C11+C44+C80+C113+C138+C149+C182+C196+C207</f>
        <v>4814</v>
      </c>
      <c r="D243" s="975">
        <f t="shared" si="133"/>
        <v>2.95</v>
      </c>
      <c r="E243" s="848">
        <f t="shared" si="133"/>
        <v>4675</v>
      </c>
      <c r="F243" s="835">
        <f t="shared" si="133"/>
        <v>3.99</v>
      </c>
      <c r="G243" s="848">
        <f t="shared" si="133"/>
        <v>4289</v>
      </c>
      <c r="H243" s="836">
        <f t="shared" si="133"/>
        <v>3.64</v>
      </c>
      <c r="I243" s="848">
        <f t="shared" si="133"/>
        <v>4289</v>
      </c>
      <c r="J243" s="835">
        <f t="shared" si="133"/>
        <v>3.6</v>
      </c>
      <c r="K243" s="848">
        <f t="shared" si="133"/>
        <v>4289</v>
      </c>
      <c r="L243" s="836">
        <f t="shared" si="133"/>
        <v>3.62</v>
      </c>
      <c r="M243" s="848">
        <f t="shared" si="133"/>
        <v>4191</v>
      </c>
      <c r="N243" s="835">
        <f t="shared" si="133"/>
        <v>3.56</v>
      </c>
      <c r="O243" s="848">
        <f t="shared" si="133"/>
        <v>4191</v>
      </c>
      <c r="P243" s="835">
        <f t="shared" si="133"/>
        <v>3.58</v>
      </c>
      <c r="Q243" s="838">
        <f t="shared" si="120"/>
        <v>-0.13</v>
      </c>
      <c r="R243" s="840">
        <f t="shared" si="121"/>
        <v>0.21</v>
      </c>
      <c r="S243" s="841">
        <f t="shared" si="122"/>
        <v>5.14</v>
      </c>
      <c r="U243" s="848">
        <f t="shared" si="126"/>
        <v>-623</v>
      </c>
      <c r="V243" s="835">
        <f t="shared" si="127"/>
        <v>0.63</v>
      </c>
    </row>
    <row r="244" spans="1:22">
      <c r="A244" s="3436"/>
      <c r="B244" s="931" t="s">
        <v>561</v>
      </c>
      <c r="C244" s="972">
        <f t="shared" ref="C244:P244" si="134">C12+C45+C81+C114+C139+C150+C183+C197+C208</f>
        <v>0</v>
      </c>
      <c r="D244" s="975">
        <f t="shared" si="134"/>
        <v>0</v>
      </c>
      <c r="E244" s="848">
        <f t="shared" si="134"/>
        <v>0</v>
      </c>
      <c r="F244" s="835">
        <f t="shared" si="134"/>
        <v>0</v>
      </c>
      <c r="G244" s="848">
        <f t="shared" si="134"/>
        <v>0</v>
      </c>
      <c r="H244" s="836">
        <f t="shared" si="134"/>
        <v>0</v>
      </c>
      <c r="I244" s="848">
        <f t="shared" si="134"/>
        <v>0</v>
      </c>
      <c r="J244" s="835">
        <f t="shared" si="134"/>
        <v>0</v>
      </c>
      <c r="K244" s="848">
        <f t="shared" si="134"/>
        <v>0</v>
      </c>
      <c r="L244" s="836">
        <f t="shared" si="134"/>
        <v>0</v>
      </c>
      <c r="M244" s="848">
        <f t="shared" si="134"/>
        <v>0</v>
      </c>
      <c r="N244" s="835">
        <f t="shared" si="134"/>
        <v>0</v>
      </c>
      <c r="O244" s="848">
        <f t="shared" si="134"/>
        <v>0</v>
      </c>
      <c r="P244" s="835">
        <f t="shared" si="134"/>
        <v>0</v>
      </c>
      <c r="Q244" s="859" t="s">
        <v>16</v>
      </c>
      <c r="R244" s="858" t="s">
        <v>16</v>
      </c>
      <c r="S244" s="841">
        <f t="shared" si="122"/>
        <v>0</v>
      </c>
      <c r="U244" s="848">
        <f t="shared" si="126"/>
        <v>0</v>
      </c>
      <c r="V244" s="835">
        <f t="shared" si="127"/>
        <v>0</v>
      </c>
    </row>
    <row r="245" spans="1:22" ht="15.75" thickBot="1">
      <c r="A245" s="3436"/>
      <c r="B245" s="932" t="s">
        <v>562</v>
      </c>
      <c r="C245" s="1880">
        <f t="shared" ref="C245:P245" si="135">C13+C46+C82+C115+C140+C151+C184+C198+C209</f>
        <v>0</v>
      </c>
      <c r="D245" s="1882">
        <f t="shared" si="135"/>
        <v>1.22</v>
      </c>
      <c r="E245" s="849">
        <f t="shared" si="135"/>
        <v>0</v>
      </c>
      <c r="F245" s="1885">
        <f t="shared" si="135"/>
        <v>1.39</v>
      </c>
      <c r="G245" s="849">
        <f t="shared" si="135"/>
        <v>0</v>
      </c>
      <c r="H245" s="1881">
        <f t="shared" si="135"/>
        <v>1.39</v>
      </c>
      <c r="I245" s="849">
        <f t="shared" si="135"/>
        <v>0</v>
      </c>
      <c r="J245" s="1885">
        <f t="shared" si="135"/>
        <v>1.39</v>
      </c>
      <c r="K245" s="849">
        <f t="shared" si="135"/>
        <v>0</v>
      </c>
      <c r="L245" s="1881">
        <f t="shared" si="135"/>
        <v>1.39</v>
      </c>
      <c r="M245" s="849">
        <f t="shared" si="135"/>
        <v>0</v>
      </c>
      <c r="N245" s="1885">
        <f t="shared" si="135"/>
        <v>1.39</v>
      </c>
      <c r="O245" s="849">
        <f t="shared" si="135"/>
        <v>0</v>
      </c>
      <c r="P245" s="1885">
        <f t="shared" si="135"/>
        <v>1.39</v>
      </c>
      <c r="Q245" s="1886" t="s">
        <v>16</v>
      </c>
      <c r="R245" s="1888">
        <f t="shared" si="121"/>
        <v>0.14000000000000001</v>
      </c>
      <c r="S245" s="846">
        <f t="shared" si="122"/>
        <v>1.39</v>
      </c>
      <c r="U245" s="849">
        <f t="shared" si="126"/>
        <v>0</v>
      </c>
      <c r="V245" s="1885">
        <f t="shared" si="127"/>
        <v>0.17</v>
      </c>
    </row>
    <row r="246" spans="1:22" ht="16.5" thickTop="1" thickBot="1">
      <c r="A246" s="3437"/>
      <c r="B246" s="842" t="s">
        <v>18</v>
      </c>
      <c r="C246" s="973">
        <f>SUM(C236:C245)</f>
        <v>47655</v>
      </c>
      <c r="D246" s="976">
        <f>SUM(D236:D245)</f>
        <v>47.82</v>
      </c>
      <c r="E246" s="850">
        <f t="shared" ref="E246:P246" si="136">SUM(E236:E245)</f>
        <v>46434</v>
      </c>
      <c r="F246" s="843">
        <f t="shared" si="136"/>
        <v>61.5</v>
      </c>
      <c r="G246" s="850">
        <f t="shared" si="136"/>
        <v>46312</v>
      </c>
      <c r="H246" s="852">
        <f t="shared" si="136"/>
        <v>62.12</v>
      </c>
      <c r="I246" s="850">
        <f t="shared" si="136"/>
        <v>46401</v>
      </c>
      <c r="J246" s="843">
        <f t="shared" si="136"/>
        <v>62.51</v>
      </c>
      <c r="K246" s="850">
        <f t="shared" si="136"/>
        <v>46441</v>
      </c>
      <c r="L246" s="852">
        <f t="shared" si="136"/>
        <v>63.04</v>
      </c>
      <c r="M246" s="850">
        <f t="shared" si="136"/>
        <v>46372</v>
      </c>
      <c r="N246" s="843">
        <f t="shared" si="136"/>
        <v>63.49</v>
      </c>
      <c r="O246" s="850">
        <f t="shared" si="136"/>
        <v>46370</v>
      </c>
      <c r="P246" s="843">
        <f t="shared" si="136"/>
        <v>64.08</v>
      </c>
      <c r="Q246" s="880">
        <f t="shared" si="120"/>
        <v>-0.03</v>
      </c>
      <c r="R246" s="881">
        <f t="shared" si="121"/>
        <v>0.34</v>
      </c>
      <c r="S246" s="855">
        <f t="shared" ref="S246" si="137">SUM(S236:S245)</f>
        <v>89.58</v>
      </c>
      <c r="U246" s="850">
        <f t="shared" si="126"/>
        <v>-1285</v>
      </c>
      <c r="V246" s="843">
        <f t="shared" si="127"/>
        <v>16.260000000000002</v>
      </c>
    </row>
    <row r="247" spans="1:22">
      <c r="A247" s="3435" t="s">
        <v>33</v>
      </c>
      <c r="B247" s="933" t="s">
        <v>553</v>
      </c>
      <c r="C247" s="987">
        <f>C15+C48+C84+C117+C153+C164+C211+C222</f>
        <v>0</v>
      </c>
      <c r="D247" s="974">
        <f t="shared" ref="D247:P247" si="138">D15+D48+D84+D117+D153+D164+D211+D222</f>
        <v>0</v>
      </c>
      <c r="E247" s="847">
        <f t="shared" si="138"/>
        <v>0</v>
      </c>
      <c r="F247" s="853">
        <f t="shared" si="138"/>
        <v>0</v>
      </c>
      <c r="G247" s="847">
        <f t="shared" si="138"/>
        <v>0</v>
      </c>
      <c r="H247" s="851">
        <f t="shared" si="138"/>
        <v>0</v>
      </c>
      <c r="I247" s="847">
        <f t="shared" si="138"/>
        <v>0</v>
      </c>
      <c r="J247" s="853">
        <f t="shared" si="138"/>
        <v>0</v>
      </c>
      <c r="K247" s="847">
        <f t="shared" si="138"/>
        <v>0</v>
      </c>
      <c r="L247" s="851">
        <f t="shared" si="138"/>
        <v>0</v>
      </c>
      <c r="M247" s="847">
        <f t="shared" si="138"/>
        <v>0</v>
      </c>
      <c r="N247" s="853">
        <f t="shared" si="138"/>
        <v>0</v>
      </c>
      <c r="O247" s="847">
        <f t="shared" si="138"/>
        <v>0</v>
      </c>
      <c r="P247" s="853">
        <f t="shared" si="138"/>
        <v>0</v>
      </c>
      <c r="Q247" s="878" t="s">
        <v>16</v>
      </c>
      <c r="R247" s="879" t="s">
        <v>16</v>
      </c>
      <c r="S247" s="854">
        <f t="shared" ref="S247" si="139">S15+S48+S84+S117+S153+S164+S211+S222</f>
        <v>0</v>
      </c>
      <c r="U247" s="847">
        <f t="shared" si="126"/>
        <v>0</v>
      </c>
      <c r="V247" s="853">
        <f t="shared" si="127"/>
        <v>0</v>
      </c>
    </row>
    <row r="248" spans="1:22">
      <c r="A248" s="3436"/>
      <c r="B248" s="931" t="s">
        <v>554</v>
      </c>
      <c r="C248" s="979">
        <f t="shared" ref="C248:P248" si="140">C16+C49+C85+C118+C154+C165+C212+C223</f>
        <v>1005</v>
      </c>
      <c r="D248" s="975">
        <f t="shared" si="140"/>
        <v>2.84</v>
      </c>
      <c r="E248" s="848">
        <f t="shared" si="140"/>
        <v>1357</v>
      </c>
      <c r="F248" s="835">
        <f t="shared" si="140"/>
        <v>2.77</v>
      </c>
      <c r="G248" s="848">
        <f t="shared" si="140"/>
        <v>1763</v>
      </c>
      <c r="H248" s="836">
        <f t="shared" si="140"/>
        <v>3.51</v>
      </c>
      <c r="I248" s="848">
        <f t="shared" si="140"/>
        <v>2080</v>
      </c>
      <c r="J248" s="835">
        <f t="shared" si="140"/>
        <v>4.0599999999999996</v>
      </c>
      <c r="K248" s="848">
        <f t="shared" si="140"/>
        <v>2317</v>
      </c>
      <c r="L248" s="836">
        <f t="shared" si="140"/>
        <v>4.5199999999999996</v>
      </c>
      <c r="M248" s="848">
        <f t="shared" si="140"/>
        <v>2631</v>
      </c>
      <c r="N248" s="835">
        <f t="shared" si="140"/>
        <v>5.09</v>
      </c>
      <c r="O248" s="848">
        <f t="shared" si="140"/>
        <v>2951</v>
      </c>
      <c r="P248" s="835">
        <f t="shared" si="140"/>
        <v>5.67</v>
      </c>
      <c r="Q248" s="859">
        <f t="shared" si="120"/>
        <v>1.94</v>
      </c>
      <c r="R248" s="858">
        <f t="shared" si="121"/>
        <v>1</v>
      </c>
      <c r="S248" s="841">
        <f t="shared" ref="S248" si="141">S16+S49+S85+S118+S154+S165+S212+S223</f>
        <v>8.18</v>
      </c>
      <c r="U248" s="848">
        <f t="shared" si="126"/>
        <v>1946</v>
      </c>
      <c r="V248" s="835">
        <f t="shared" si="127"/>
        <v>2.83</v>
      </c>
    </row>
    <row r="249" spans="1:22">
      <c r="A249" s="3436"/>
      <c r="B249" s="931" t="s">
        <v>555</v>
      </c>
      <c r="C249" s="979">
        <f t="shared" ref="C249:P249" si="142">C17+C50+C86+C119+C155+C166+C213+C224</f>
        <v>1535</v>
      </c>
      <c r="D249" s="975">
        <f t="shared" si="142"/>
        <v>2.04</v>
      </c>
      <c r="E249" s="848">
        <f t="shared" si="142"/>
        <v>1919</v>
      </c>
      <c r="F249" s="835">
        <f t="shared" si="142"/>
        <v>2.11</v>
      </c>
      <c r="G249" s="848">
        <f t="shared" si="142"/>
        <v>1941</v>
      </c>
      <c r="H249" s="836">
        <f t="shared" si="142"/>
        <v>2.14</v>
      </c>
      <c r="I249" s="848">
        <f t="shared" si="142"/>
        <v>1997</v>
      </c>
      <c r="J249" s="835">
        <f t="shared" si="142"/>
        <v>2.21</v>
      </c>
      <c r="K249" s="848">
        <f t="shared" si="142"/>
        <v>2115</v>
      </c>
      <c r="L249" s="836">
        <f t="shared" si="142"/>
        <v>2.35</v>
      </c>
      <c r="M249" s="848">
        <f t="shared" si="142"/>
        <v>2186</v>
      </c>
      <c r="N249" s="835">
        <f t="shared" si="142"/>
        <v>2.4300000000000002</v>
      </c>
      <c r="O249" s="848">
        <f t="shared" si="142"/>
        <v>2264</v>
      </c>
      <c r="P249" s="835">
        <f t="shared" si="142"/>
        <v>2.54</v>
      </c>
      <c r="Q249" s="859">
        <f t="shared" si="120"/>
        <v>0.47</v>
      </c>
      <c r="R249" s="858">
        <f t="shared" si="121"/>
        <v>0.25</v>
      </c>
      <c r="S249" s="841">
        <f t="shared" ref="S249" si="143">S17+S50+S86+S119+S155+S166+S213+S224</f>
        <v>3.69</v>
      </c>
      <c r="U249" s="848">
        <f t="shared" si="126"/>
        <v>729</v>
      </c>
      <c r="V249" s="835">
        <f t="shared" si="127"/>
        <v>0.5</v>
      </c>
    </row>
    <row r="250" spans="1:22">
      <c r="A250" s="3436"/>
      <c r="B250" s="931" t="s">
        <v>556</v>
      </c>
      <c r="C250" s="979">
        <f t="shared" ref="C250:P250" si="144">C18+C51+C87+C120+C156+C167+C214+C225</f>
        <v>10670</v>
      </c>
      <c r="D250" s="975">
        <f t="shared" si="144"/>
        <v>15.83</v>
      </c>
      <c r="E250" s="848">
        <f t="shared" si="144"/>
        <v>12070</v>
      </c>
      <c r="F250" s="835">
        <f t="shared" si="144"/>
        <v>15.54</v>
      </c>
      <c r="G250" s="848">
        <f t="shared" si="144"/>
        <v>13309</v>
      </c>
      <c r="H250" s="836">
        <f t="shared" si="144"/>
        <v>17.260000000000002</v>
      </c>
      <c r="I250" s="848">
        <f t="shared" si="144"/>
        <v>14627</v>
      </c>
      <c r="J250" s="835">
        <f t="shared" si="144"/>
        <v>19.11</v>
      </c>
      <c r="K250" s="848">
        <f t="shared" si="144"/>
        <v>15859</v>
      </c>
      <c r="L250" s="836">
        <f t="shared" si="144"/>
        <v>20.85</v>
      </c>
      <c r="M250" s="848">
        <f t="shared" si="144"/>
        <v>16932</v>
      </c>
      <c r="N250" s="835">
        <f t="shared" si="144"/>
        <v>22.35</v>
      </c>
      <c r="O250" s="848">
        <f t="shared" si="144"/>
        <v>18039</v>
      </c>
      <c r="P250" s="835">
        <f t="shared" si="144"/>
        <v>23.9</v>
      </c>
      <c r="Q250" s="859">
        <f t="shared" si="120"/>
        <v>0.69</v>
      </c>
      <c r="R250" s="858">
        <f t="shared" si="121"/>
        <v>0.51</v>
      </c>
      <c r="S250" s="841">
        <f t="shared" ref="S250" si="145">S18+S51+S87+S120+S156+S167+S214+S225</f>
        <v>31.31</v>
      </c>
      <c r="U250" s="848">
        <f t="shared" si="126"/>
        <v>7369</v>
      </c>
      <c r="V250" s="835">
        <f t="shared" si="127"/>
        <v>8.07</v>
      </c>
    </row>
    <row r="251" spans="1:22">
      <c r="A251" s="3436"/>
      <c r="B251" s="931" t="s">
        <v>557</v>
      </c>
      <c r="C251" s="979">
        <f t="shared" ref="C251:P251" si="146">C19+C52+C88+C121+C157+C168+C215+C226</f>
        <v>46175</v>
      </c>
      <c r="D251" s="975">
        <f t="shared" si="146"/>
        <v>43.22</v>
      </c>
      <c r="E251" s="848">
        <f t="shared" si="146"/>
        <v>56701</v>
      </c>
      <c r="F251" s="835">
        <f t="shared" si="146"/>
        <v>42.81</v>
      </c>
      <c r="G251" s="848">
        <f t="shared" si="146"/>
        <v>57468</v>
      </c>
      <c r="H251" s="836">
        <f t="shared" si="146"/>
        <v>43.77</v>
      </c>
      <c r="I251" s="848">
        <f t="shared" si="146"/>
        <v>58228</v>
      </c>
      <c r="J251" s="835">
        <f t="shared" si="146"/>
        <v>44.73</v>
      </c>
      <c r="K251" s="848">
        <f t="shared" si="146"/>
        <v>59420</v>
      </c>
      <c r="L251" s="836">
        <f t="shared" si="146"/>
        <v>46.3</v>
      </c>
      <c r="M251" s="848">
        <f t="shared" si="146"/>
        <v>60542</v>
      </c>
      <c r="N251" s="835">
        <f t="shared" si="146"/>
        <v>47.78</v>
      </c>
      <c r="O251" s="848">
        <f t="shared" si="146"/>
        <v>61631</v>
      </c>
      <c r="P251" s="835">
        <f t="shared" si="146"/>
        <v>49.16</v>
      </c>
      <c r="Q251" s="859">
        <f t="shared" si="120"/>
        <v>0.33</v>
      </c>
      <c r="R251" s="858">
        <f t="shared" si="121"/>
        <v>0.14000000000000001</v>
      </c>
      <c r="S251" s="841">
        <f t="shared" ref="S251" si="147">S19+S52+S88+S121+S157+S168+S215+S226</f>
        <v>62.42</v>
      </c>
      <c r="U251" s="848">
        <f t="shared" si="126"/>
        <v>15456</v>
      </c>
      <c r="V251" s="835">
        <f t="shared" si="127"/>
        <v>5.94</v>
      </c>
    </row>
    <row r="252" spans="1:22">
      <c r="A252" s="3436"/>
      <c r="B252" s="931" t="s">
        <v>558</v>
      </c>
      <c r="C252" s="979">
        <f t="shared" ref="C252:P252" si="148">C20+C53+C89+C122+C158+C169+C216+C227</f>
        <v>2517</v>
      </c>
      <c r="D252" s="975">
        <f t="shared" si="148"/>
        <v>6.74</v>
      </c>
      <c r="E252" s="848">
        <f t="shared" si="148"/>
        <v>2650</v>
      </c>
      <c r="F252" s="835">
        <f t="shared" si="148"/>
        <v>6.52</v>
      </c>
      <c r="G252" s="848">
        <f t="shared" si="148"/>
        <v>3246</v>
      </c>
      <c r="H252" s="836">
        <f t="shared" si="148"/>
        <v>7.86</v>
      </c>
      <c r="I252" s="848">
        <f t="shared" si="148"/>
        <v>3285</v>
      </c>
      <c r="J252" s="835">
        <f t="shared" si="148"/>
        <v>7.94</v>
      </c>
      <c r="K252" s="848">
        <f t="shared" si="148"/>
        <v>3630</v>
      </c>
      <c r="L252" s="836">
        <f t="shared" si="148"/>
        <v>8.7100000000000009</v>
      </c>
      <c r="M252" s="848">
        <f t="shared" si="148"/>
        <v>4099</v>
      </c>
      <c r="N252" s="835">
        <f t="shared" si="148"/>
        <v>9.7899999999999991</v>
      </c>
      <c r="O252" s="848">
        <f t="shared" si="148"/>
        <v>4702</v>
      </c>
      <c r="P252" s="835">
        <f t="shared" si="148"/>
        <v>11.15</v>
      </c>
      <c r="Q252" s="859">
        <f t="shared" si="120"/>
        <v>0.87</v>
      </c>
      <c r="R252" s="858">
        <f t="shared" si="121"/>
        <v>0.65</v>
      </c>
      <c r="S252" s="841">
        <f t="shared" ref="S252" si="149">S20+S53+S89+S122+S158+S169+S216+S227</f>
        <v>12.6</v>
      </c>
      <c r="U252" s="848">
        <f t="shared" si="126"/>
        <v>2185</v>
      </c>
      <c r="V252" s="835">
        <f t="shared" si="127"/>
        <v>4.41</v>
      </c>
    </row>
    <row r="253" spans="1:22">
      <c r="A253" s="3436"/>
      <c r="B253" s="931" t="s">
        <v>559</v>
      </c>
      <c r="C253" s="979">
        <f t="shared" ref="C253:P253" si="150">C21+C54+C90+C123+C159+C170+C217+C228</f>
        <v>11293</v>
      </c>
      <c r="D253" s="975">
        <f t="shared" si="150"/>
        <v>12.04</v>
      </c>
      <c r="E253" s="848">
        <f t="shared" si="150"/>
        <v>12722</v>
      </c>
      <c r="F253" s="835">
        <f t="shared" si="150"/>
        <v>12.12</v>
      </c>
      <c r="G253" s="848">
        <f t="shared" si="150"/>
        <v>13040</v>
      </c>
      <c r="H253" s="836">
        <f t="shared" si="150"/>
        <v>12.32</v>
      </c>
      <c r="I253" s="848">
        <f t="shared" si="150"/>
        <v>13727</v>
      </c>
      <c r="J253" s="835">
        <f t="shared" si="150"/>
        <v>12.82</v>
      </c>
      <c r="K253" s="848">
        <f t="shared" si="150"/>
        <v>13843</v>
      </c>
      <c r="L253" s="836">
        <f t="shared" si="150"/>
        <v>12.79</v>
      </c>
      <c r="M253" s="848">
        <f t="shared" si="150"/>
        <v>14052</v>
      </c>
      <c r="N253" s="835">
        <f t="shared" si="150"/>
        <v>12.85</v>
      </c>
      <c r="O253" s="848">
        <f t="shared" si="150"/>
        <v>14203</v>
      </c>
      <c r="P253" s="835">
        <f t="shared" si="150"/>
        <v>12.81</v>
      </c>
      <c r="Q253" s="859">
        <f t="shared" si="120"/>
        <v>0.26</v>
      </c>
      <c r="R253" s="858">
        <f t="shared" si="121"/>
        <v>0.06</v>
      </c>
      <c r="S253" s="841">
        <f t="shared" ref="S253" si="151">S21+S54+S90+S123+S159+S170+S217+S228</f>
        <v>17.420000000000002</v>
      </c>
      <c r="U253" s="848">
        <f t="shared" si="126"/>
        <v>2910</v>
      </c>
      <c r="V253" s="835">
        <f t="shared" si="127"/>
        <v>0.77</v>
      </c>
    </row>
    <row r="254" spans="1:22">
      <c r="A254" s="3436"/>
      <c r="B254" s="931" t="s">
        <v>560</v>
      </c>
      <c r="C254" s="979">
        <f t="shared" ref="C254:P254" si="152">C22+C55+C91+C124+C160+C171+C218+C229</f>
        <v>109</v>
      </c>
      <c r="D254" s="975">
        <f t="shared" si="152"/>
        <v>0.06</v>
      </c>
      <c r="E254" s="848">
        <f t="shared" si="152"/>
        <v>86</v>
      </c>
      <c r="F254" s="835">
        <f t="shared" si="152"/>
        <v>0.06</v>
      </c>
      <c r="G254" s="848">
        <f t="shared" si="152"/>
        <v>86</v>
      </c>
      <c r="H254" s="836">
        <f t="shared" si="152"/>
        <v>0.06</v>
      </c>
      <c r="I254" s="848">
        <f t="shared" si="152"/>
        <v>86</v>
      </c>
      <c r="J254" s="835">
        <f t="shared" si="152"/>
        <v>0.05</v>
      </c>
      <c r="K254" s="848">
        <f t="shared" si="152"/>
        <v>86</v>
      </c>
      <c r="L254" s="836">
        <f t="shared" si="152"/>
        <v>0.06</v>
      </c>
      <c r="M254" s="848">
        <f t="shared" si="152"/>
        <v>86</v>
      </c>
      <c r="N254" s="835">
        <f t="shared" si="152"/>
        <v>0.06</v>
      </c>
      <c r="O254" s="848">
        <f t="shared" si="152"/>
        <v>86</v>
      </c>
      <c r="P254" s="835">
        <f t="shared" si="152"/>
        <v>0.06</v>
      </c>
      <c r="Q254" s="859">
        <f t="shared" si="120"/>
        <v>-0.21</v>
      </c>
      <c r="R254" s="858">
        <f t="shared" si="121"/>
        <v>0</v>
      </c>
      <c r="S254" s="841">
        <f t="shared" ref="S254" si="153">S22+S55+S91+S124+S160+S171+S218+S229</f>
        <v>7.0000000000000007E-2</v>
      </c>
      <c r="U254" s="848">
        <f t="shared" si="126"/>
        <v>-23</v>
      </c>
      <c r="V254" s="835">
        <f t="shared" si="127"/>
        <v>0</v>
      </c>
    </row>
    <row r="255" spans="1:22">
      <c r="A255" s="3436"/>
      <c r="B255" s="931" t="s">
        <v>561</v>
      </c>
      <c r="C255" s="979">
        <f t="shared" ref="C255:P255" si="154">C23+C56+C92+C125+C161+C172+C219+C230</f>
        <v>0</v>
      </c>
      <c r="D255" s="975">
        <f t="shared" si="154"/>
        <v>0</v>
      </c>
      <c r="E255" s="848">
        <f t="shared" si="154"/>
        <v>0</v>
      </c>
      <c r="F255" s="835">
        <f t="shared" si="154"/>
        <v>0</v>
      </c>
      <c r="G255" s="848">
        <f t="shared" si="154"/>
        <v>0</v>
      </c>
      <c r="H255" s="836">
        <f t="shared" si="154"/>
        <v>0</v>
      </c>
      <c r="I255" s="848">
        <f t="shared" si="154"/>
        <v>0</v>
      </c>
      <c r="J255" s="835">
        <f t="shared" si="154"/>
        <v>0</v>
      </c>
      <c r="K255" s="848">
        <f t="shared" si="154"/>
        <v>0</v>
      </c>
      <c r="L255" s="836">
        <f t="shared" si="154"/>
        <v>0</v>
      </c>
      <c r="M255" s="848">
        <f t="shared" si="154"/>
        <v>0</v>
      </c>
      <c r="N255" s="835">
        <f t="shared" si="154"/>
        <v>0</v>
      </c>
      <c r="O255" s="848">
        <f t="shared" si="154"/>
        <v>0</v>
      </c>
      <c r="P255" s="835">
        <f t="shared" si="154"/>
        <v>0</v>
      </c>
      <c r="Q255" s="859" t="s">
        <v>16</v>
      </c>
      <c r="R255" s="858" t="s">
        <v>16</v>
      </c>
      <c r="S255" s="841">
        <f t="shared" ref="S255" si="155">S23+S56+S92+S125+S161+S172+S219+S230</f>
        <v>0</v>
      </c>
      <c r="T255" t="s">
        <v>36</v>
      </c>
      <c r="U255" s="848">
        <f t="shared" si="126"/>
        <v>0</v>
      </c>
      <c r="V255" s="835">
        <f t="shared" si="127"/>
        <v>0</v>
      </c>
    </row>
    <row r="256" spans="1:22" ht="15.75" thickBot="1">
      <c r="A256" s="3436"/>
      <c r="B256" s="932" t="s">
        <v>562</v>
      </c>
      <c r="C256" s="937">
        <f t="shared" ref="C256:P256" si="156">C24+C57+C93+C126+C162+C173+C220+C231</f>
        <v>0</v>
      </c>
      <c r="D256" s="1882">
        <f t="shared" si="156"/>
        <v>6.15</v>
      </c>
      <c r="E256" s="849">
        <f t="shared" si="156"/>
        <v>0</v>
      </c>
      <c r="F256" s="1885">
        <f t="shared" si="156"/>
        <v>6.21</v>
      </c>
      <c r="G256" s="849">
        <f t="shared" si="156"/>
        <v>0</v>
      </c>
      <c r="H256" s="1881">
        <f t="shared" si="156"/>
        <v>6.21</v>
      </c>
      <c r="I256" s="849">
        <f t="shared" si="156"/>
        <v>0</v>
      </c>
      <c r="J256" s="1885">
        <f t="shared" si="156"/>
        <v>6.21</v>
      </c>
      <c r="K256" s="849">
        <f t="shared" si="156"/>
        <v>0</v>
      </c>
      <c r="L256" s="1881">
        <f t="shared" si="156"/>
        <v>6.21</v>
      </c>
      <c r="M256" s="849">
        <f t="shared" si="156"/>
        <v>0</v>
      </c>
      <c r="N256" s="1885">
        <f t="shared" si="156"/>
        <v>6.21</v>
      </c>
      <c r="O256" s="849">
        <f t="shared" si="156"/>
        <v>0</v>
      </c>
      <c r="P256" s="1885">
        <f t="shared" si="156"/>
        <v>6.21</v>
      </c>
      <c r="Q256" s="1886" t="s">
        <v>16</v>
      </c>
      <c r="R256" s="1888">
        <f t="shared" si="121"/>
        <v>0.01</v>
      </c>
      <c r="S256" s="846">
        <f t="shared" ref="S256" si="157">S24+S57+S93+S126+S162+S173+S220+S231</f>
        <v>6.21</v>
      </c>
      <c r="U256" s="849">
        <f t="shared" si="126"/>
        <v>0</v>
      </c>
      <c r="V256" s="1885">
        <f t="shared" si="127"/>
        <v>0.06</v>
      </c>
    </row>
    <row r="257" spans="1:23" ht="16.5" thickTop="1" thickBot="1">
      <c r="A257" s="3437"/>
      <c r="B257" s="842" t="s">
        <v>18</v>
      </c>
      <c r="C257" s="973">
        <f>SUM(C247:C256)</f>
        <v>73304</v>
      </c>
      <c r="D257" s="976">
        <f t="shared" ref="D257:N257" si="158">SUM(D247:D256)</f>
        <v>88.92</v>
      </c>
      <c r="E257" s="850">
        <f t="shared" si="158"/>
        <v>87505</v>
      </c>
      <c r="F257" s="843">
        <f t="shared" si="158"/>
        <v>88.14</v>
      </c>
      <c r="G257" s="850">
        <f t="shared" si="158"/>
        <v>90853</v>
      </c>
      <c r="H257" s="852">
        <f t="shared" si="158"/>
        <v>93.13</v>
      </c>
      <c r="I257" s="850">
        <f t="shared" si="158"/>
        <v>94030</v>
      </c>
      <c r="J257" s="843">
        <f t="shared" si="158"/>
        <v>97.13</v>
      </c>
      <c r="K257" s="850">
        <f t="shared" si="158"/>
        <v>97270</v>
      </c>
      <c r="L257" s="852">
        <f t="shared" si="158"/>
        <v>101.79</v>
      </c>
      <c r="M257" s="850">
        <f t="shared" si="158"/>
        <v>100528</v>
      </c>
      <c r="N257" s="843">
        <f t="shared" si="158"/>
        <v>106.56</v>
      </c>
      <c r="O257" s="850">
        <f t="shared" ref="O257:P257" si="159">SUM(O247:O256)</f>
        <v>103876</v>
      </c>
      <c r="P257" s="843">
        <f t="shared" si="159"/>
        <v>111.5</v>
      </c>
      <c r="Q257" s="880">
        <f t="shared" si="120"/>
        <v>0.42</v>
      </c>
      <c r="R257" s="881">
        <f t="shared" si="121"/>
        <v>0.25</v>
      </c>
      <c r="S257" s="855">
        <f>SUM(S247:S256)</f>
        <v>141.9</v>
      </c>
      <c r="U257" s="850">
        <f t="shared" si="126"/>
        <v>30572</v>
      </c>
      <c r="V257" s="843">
        <f t="shared" si="127"/>
        <v>22.58</v>
      </c>
    </row>
    <row r="258" spans="1:23">
      <c r="A258" s="3435" t="s">
        <v>34</v>
      </c>
      <c r="B258" s="933" t="s">
        <v>553</v>
      </c>
      <c r="C258" s="971">
        <f t="shared" ref="C258:C267" si="160">C236+C247</f>
        <v>253</v>
      </c>
      <c r="D258" s="974">
        <f t="shared" ref="D258:N258" si="161">D236+D247</f>
        <v>0.12</v>
      </c>
      <c r="E258" s="847">
        <f t="shared" si="161"/>
        <v>199</v>
      </c>
      <c r="F258" s="853">
        <f t="shared" si="161"/>
        <v>0.13</v>
      </c>
      <c r="G258" s="847">
        <f t="shared" si="161"/>
        <v>199</v>
      </c>
      <c r="H258" s="851">
        <f t="shared" si="161"/>
        <v>0.14000000000000001</v>
      </c>
      <c r="I258" s="847">
        <f t="shared" si="161"/>
        <v>199</v>
      </c>
      <c r="J258" s="853">
        <f t="shared" si="161"/>
        <v>0.14000000000000001</v>
      </c>
      <c r="K258" s="847">
        <f t="shared" si="161"/>
        <v>199</v>
      </c>
      <c r="L258" s="851">
        <f t="shared" si="161"/>
        <v>0.14000000000000001</v>
      </c>
      <c r="M258" s="847">
        <f t="shared" si="161"/>
        <v>199</v>
      </c>
      <c r="N258" s="853">
        <f t="shared" si="161"/>
        <v>0.15</v>
      </c>
      <c r="O258" s="847">
        <f t="shared" ref="O258:P258" si="162">O236+O247</f>
        <v>199</v>
      </c>
      <c r="P258" s="853">
        <f t="shared" si="162"/>
        <v>0.14000000000000001</v>
      </c>
      <c r="Q258" s="878">
        <f t="shared" si="120"/>
        <v>-0.21</v>
      </c>
      <c r="R258" s="879">
        <f t="shared" si="121"/>
        <v>0.17</v>
      </c>
      <c r="S258" s="854">
        <f t="shared" ref="S258:S267" si="163">S236+S247</f>
        <v>0.23</v>
      </c>
      <c r="U258" s="847">
        <f t="shared" si="126"/>
        <v>-54</v>
      </c>
      <c r="V258" s="853">
        <f t="shared" si="127"/>
        <v>0.02</v>
      </c>
    </row>
    <row r="259" spans="1:23">
      <c r="A259" s="3436"/>
      <c r="B259" s="931" t="s">
        <v>554</v>
      </c>
      <c r="C259" s="972">
        <f t="shared" si="160"/>
        <v>2802</v>
      </c>
      <c r="D259" s="975">
        <f t="shared" ref="D259:N259" si="164">D237+D248</f>
        <v>6.13</v>
      </c>
      <c r="E259" s="848">
        <f t="shared" si="164"/>
        <v>3148</v>
      </c>
      <c r="F259" s="835">
        <f t="shared" si="164"/>
        <v>6.27</v>
      </c>
      <c r="G259" s="848">
        <f t="shared" si="164"/>
        <v>3606</v>
      </c>
      <c r="H259" s="836">
        <f t="shared" si="164"/>
        <v>7.18</v>
      </c>
      <c r="I259" s="848">
        <f t="shared" si="164"/>
        <v>4137</v>
      </c>
      <c r="J259" s="835">
        <f t="shared" si="164"/>
        <v>8.14</v>
      </c>
      <c r="K259" s="848">
        <f t="shared" si="164"/>
        <v>4445</v>
      </c>
      <c r="L259" s="836">
        <f t="shared" si="164"/>
        <v>8.7899999999999991</v>
      </c>
      <c r="M259" s="848">
        <f t="shared" si="164"/>
        <v>4819</v>
      </c>
      <c r="N259" s="835">
        <f t="shared" si="164"/>
        <v>9.49</v>
      </c>
      <c r="O259" s="848">
        <f t="shared" ref="O259:P259" si="165">O237+O248</f>
        <v>5139</v>
      </c>
      <c r="P259" s="835">
        <f t="shared" si="165"/>
        <v>10.09</v>
      </c>
      <c r="Q259" s="838">
        <f t="shared" si="120"/>
        <v>0.83</v>
      </c>
      <c r="R259" s="840">
        <f t="shared" si="121"/>
        <v>0.65</v>
      </c>
      <c r="S259" s="841">
        <f t="shared" si="163"/>
        <v>14.56</v>
      </c>
      <c r="U259" s="848">
        <f t="shared" si="126"/>
        <v>2337</v>
      </c>
      <c r="V259" s="835">
        <f t="shared" si="127"/>
        <v>3.96</v>
      </c>
    </row>
    <row r="260" spans="1:23">
      <c r="A260" s="3436"/>
      <c r="B260" s="931" t="s">
        <v>555</v>
      </c>
      <c r="C260" s="972">
        <f t="shared" si="160"/>
        <v>22471</v>
      </c>
      <c r="D260" s="975">
        <f t="shared" ref="D260:N260" si="166">D238+D249</f>
        <v>21.42</v>
      </c>
      <c r="E260" s="848">
        <f t="shared" si="166"/>
        <v>23030</v>
      </c>
      <c r="F260" s="835">
        <f t="shared" si="166"/>
        <v>28.28</v>
      </c>
      <c r="G260" s="848">
        <f t="shared" si="166"/>
        <v>22837</v>
      </c>
      <c r="H260" s="836">
        <f t="shared" si="166"/>
        <v>28.29</v>
      </c>
      <c r="I260" s="848">
        <f t="shared" si="166"/>
        <v>22275</v>
      </c>
      <c r="J260" s="835">
        <f t="shared" si="166"/>
        <v>27.8</v>
      </c>
      <c r="K260" s="848">
        <f t="shared" si="166"/>
        <v>21889</v>
      </c>
      <c r="L260" s="836">
        <f t="shared" si="166"/>
        <v>27.5</v>
      </c>
      <c r="M260" s="848">
        <f t="shared" si="166"/>
        <v>21664</v>
      </c>
      <c r="N260" s="835">
        <f t="shared" si="166"/>
        <v>27.38</v>
      </c>
      <c r="O260" s="848">
        <f t="shared" ref="O260:P260" si="167">O238+O249</f>
        <v>21525</v>
      </c>
      <c r="P260" s="835">
        <f t="shared" si="167"/>
        <v>27.38</v>
      </c>
      <c r="Q260" s="838">
        <f t="shared" si="120"/>
        <v>-0.04</v>
      </c>
      <c r="R260" s="840">
        <f t="shared" si="121"/>
        <v>0.28000000000000003</v>
      </c>
      <c r="S260" s="841">
        <f t="shared" si="163"/>
        <v>41.68</v>
      </c>
      <c r="U260" s="848">
        <f t="shared" si="126"/>
        <v>-946</v>
      </c>
      <c r="V260" s="835">
        <f t="shared" si="127"/>
        <v>5.96</v>
      </c>
    </row>
    <row r="261" spans="1:23">
      <c r="A261" s="3436"/>
      <c r="B261" s="931" t="s">
        <v>556</v>
      </c>
      <c r="C261" s="972">
        <f t="shared" si="160"/>
        <v>19014</v>
      </c>
      <c r="D261" s="975">
        <f t="shared" ref="D261:N261" si="168">D239+D250</f>
        <v>23.8</v>
      </c>
      <c r="E261" s="848">
        <f t="shared" si="168"/>
        <v>20520</v>
      </c>
      <c r="F261" s="835">
        <f t="shared" si="168"/>
        <v>26.55</v>
      </c>
      <c r="G261" s="848">
        <f t="shared" si="168"/>
        <v>21939</v>
      </c>
      <c r="H261" s="836">
        <f t="shared" si="168"/>
        <v>28.62</v>
      </c>
      <c r="I261" s="848">
        <f t="shared" si="168"/>
        <v>23408</v>
      </c>
      <c r="J261" s="835">
        <f t="shared" si="168"/>
        <v>30.81</v>
      </c>
      <c r="K261" s="848">
        <f t="shared" si="168"/>
        <v>24770</v>
      </c>
      <c r="L261" s="836">
        <f t="shared" si="168"/>
        <v>32.82</v>
      </c>
      <c r="M261" s="848">
        <f t="shared" si="168"/>
        <v>25937</v>
      </c>
      <c r="N261" s="835">
        <f t="shared" si="168"/>
        <v>34.56</v>
      </c>
      <c r="O261" s="848">
        <f t="shared" ref="O261:P261" si="169">O239+O250</f>
        <v>27088</v>
      </c>
      <c r="P261" s="835">
        <f t="shared" si="169"/>
        <v>36.43</v>
      </c>
      <c r="Q261" s="838">
        <f t="shared" si="120"/>
        <v>0.42</v>
      </c>
      <c r="R261" s="840">
        <f t="shared" si="121"/>
        <v>0.53</v>
      </c>
      <c r="S261" s="841">
        <f t="shared" si="163"/>
        <v>47.86</v>
      </c>
      <c r="T261" t="s">
        <v>36</v>
      </c>
      <c r="U261" s="848">
        <f t="shared" si="126"/>
        <v>8074</v>
      </c>
      <c r="V261" s="835">
        <f t="shared" si="127"/>
        <v>12.63</v>
      </c>
    </row>
    <row r="262" spans="1:23">
      <c r="A262" s="3436"/>
      <c r="B262" s="931" t="s">
        <v>557</v>
      </c>
      <c r="C262" s="972">
        <f t="shared" si="160"/>
        <v>50077</v>
      </c>
      <c r="D262" s="975">
        <f t="shared" ref="D262:N262" si="170">D240+D251</f>
        <v>45.44</v>
      </c>
      <c r="E262" s="848">
        <f t="shared" si="170"/>
        <v>60487</v>
      </c>
      <c r="F262" s="835">
        <f t="shared" si="170"/>
        <v>45.81</v>
      </c>
      <c r="G262" s="848">
        <f t="shared" si="170"/>
        <v>61335</v>
      </c>
      <c r="H262" s="836">
        <f t="shared" si="170"/>
        <v>46.88</v>
      </c>
      <c r="I262" s="848">
        <f t="shared" si="170"/>
        <v>62343</v>
      </c>
      <c r="J262" s="835">
        <f t="shared" si="170"/>
        <v>48.01</v>
      </c>
      <c r="K262" s="848">
        <f t="shared" si="170"/>
        <v>63834</v>
      </c>
      <c r="L262" s="836">
        <f t="shared" si="170"/>
        <v>49.88</v>
      </c>
      <c r="M262" s="848">
        <f t="shared" si="170"/>
        <v>65103</v>
      </c>
      <c r="N262" s="835">
        <f t="shared" si="170"/>
        <v>51.45</v>
      </c>
      <c r="O262" s="848">
        <f t="shared" ref="O262:P262" si="171">O240+O251</f>
        <v>66289</v>
      </c>
      <c r="P262" s="835">
        <f t="shared" si="171"/>
        <v>52.89</v>
      </c>
      <c r="Q262" s="838">
        <f t="shared" si="120"/>
        <v>0.32</v>
      </c>
      <c r="R262" s="840">
        <f t="shared" si="121"/>
        <v>0.16</v>
      </c>
      <c r="S262" s="841">
        <f t="shared" si="163"/>
        <v>67.95</v>
      </c>
      <c r="U262" s="848">
        <f t="shared" si="126"/>
        <v>16212</v>
      </c>
      <c r="V262" s="835">
        <f t="shared" si="127"/>
        <v>7.45</v>
      </c>
    </row>
    <row r="263" spans="1:23">
      <c r="A263" s="3436"/>
      <c r="B263" s="931" t="s">
        <v>558</v>
      </c>
      <c r="C263" s="972">
        <f t="shared" si="160"/>
        <v>6987</v>
      </c>
      <c r="D263" s="975">
        <f t="shared" ref="D263:N263" si="172">D241+D252</f>
        <v>15.72</v>
      </c>
      <c r="E263" s="848">
        <f t="shared" si="172"/>
        <v>6870</v>
      </c>
      <c r="F263" s="835">
        <f t="shared" si="172"/>
        <v>16.7</v>
      </c>
      <c r="G263" s="848">
        <f t="shared" si="172"/>
        <v>7545</v>
      </c>
      <c r="H263" s="836">
        <f t="shared" si="172"/>
        <v>18.350000000000001</v>
      </c>
      <c r="I263" s="848">
        <f t="shared" si="172"/>
        <v>7584</v>
      </c>
      <c r="J263" s="835">
        <f t="shared" si="172"/>
        <v>18.440000000000001</v>
      </c>
      <c r="K263" s="848">
        <f t="shared" si="172"/>
        <v>7945</v>
      </c>
      <c r="L263" s="836">
        <f t="shared" si="172"/>
        <v>19.37</v>
      </c>
      <c r="M263" s="848">
        <f t="shared" si="172"/>
        <v>8496</v>
      </c>
      <c r="N263" s="835">
        <f t="shared" si="172"/>
        <v>20.75</v>
      </c>
      <c r="O263" s="848">
        <f t="shared" ref="O263:P263" si="173">O241+O252</f>
        <v>9224</v>
      </c>
      <c r="P263" s="835">
        <f t="shared" si="173"/>
        <v>22.51</v>
      </c>
      <c r="Q263" s="838">
        <f t="shared" si="120"/>
        <v>0.32</v>
      </c>
      <c r="R263" s="840">
        <f t="shared" si="121"/>
        <v>0.43</v>
      </c>
      <c r="S263" s="841">
        <f t="shared" si="163"/>
        <v>25.55</v>
      </c>
      <c r="U263" s="848">
        <f t="shared" si="126"/>
        <v>2237</v>
      </c>
      <c r="V263" s="835">
        <f t="shared" si="127"/>
        <v>6.79</v>
      </c>
      <c r="W263" t="s">
        <v>36</v>
      </c>
    </row>
    <row r="264" spans="1:23">
      <c r="A264" s="3436"/>
      <c r="B264" s="931" t="s">
        <v>559</v>
      </c>
      <c r="C264" s="972">
        <f t="shared" si="160"/>
        <v>14432</v>
      </c>
      <c r="D264" s="975">
        <f t="shared" ref="D264:N264" si="174">D242+D253</f>
        <v>13.73</v>
      </c>
      <c r="E264" s="848">
        <f t="shared" si="174"/>
        <v>14924</v>
      </c>
      <c r="F264" s="835">
        <f t="shared" si="174"/>
        <v>14.25</v>
      </c>
      <c r="G264" s="848">
        <f t="shared" si="174"/>
        <v>15329</v>
      </c>
      <c r="H264" s="836">
        <f t="shared" si="174"/>
        <v>14.49</v>
      </c>
      <c r="I264" s="848">
        <f t="shared" si="174"/>
        <v>16110</v>
      </c>
      <c r="J264" s="835">
        <f t="shared" si="174"/>
        <v>15.05</v>
      </c>
      <c r="K264" s="848">
        <f t="shared" si="174"/>
        <v>16254</v>
      </c>
      <c r="L264" s="836">
        <f t="shared" si="174"/>
        <v>15.05</v>
      </c>
      <c r="M264" s="848">
        <f t="shared" si="174"/>
        <v>16405</v>
      </c>
      <c r="N264" s="835">
        <f t="shared" si="174"/>
        <v>15.05</v>
      </c>
      <c r="O264" s="848">
        <f t="shared" ref="O264:P264" si="175">O242+O253</f>
        <v>16505</v>
      </c>
      <c r="P264" s="835">
        <f t="shared" si="175"/>
        <v>14.9</v>
      </c>
      <c r="Q264" s="838">
        <f t="shared" si="120"/>
        <v>0.14000000000000001</v>
      </c>
      <c r="R264" s="840">
        <f t="shared" si="121"/>
        <v>0.09</v>
      </c>
      <c r="S264" s="841">
        <f t="shared" si="163"/>
        <v>20.84</v>
      </c>
      <c r="U264" s="848">
        <f t="shared" si="126"/>
        <v>2073</v>
      </c>
      <c r="V264" s="835">
        <f t="shared" si="127"/>
        <v>1.17</v>
      </c>
    </row>
    <row r="265" spans="1:23">
      <c r="A265" s="3436"/>
      <c r="B265" s="931" t="s">
        <v>560</v>
      </c>
      <c r="C265" s="972">
        <f t="shared" si="160"/>
        <v>4923</v>
      </c>
      <c r="D265" s="975">
        <f t="shared" ref="D265:N265" si="176">D243+D254</f>
        <v>3.01</v>
      </c>
      <c r="E265" s="848">
        <f t="shared" si="176"/>
        <v>4761</v>
      </c>
      <c r="F265" s="835">
        <f t="shared" si="176"/>
        <v>4.05</v>
      </c>
      <c r="G265" s="848">
        <f t="shared" si="176"/>
        <v>4375</v>
      </c>
      <c r="H265" s="836">
        <f t="shared" si="176"/>
        <v>3.7</v>
      </c>
      <c r="I265" s="848">
        <f t="shared" si="176"/>
        <v>4375</v>
      </c>
      <c r="J265" s="835">
        <f t="shared" si="176"/>
        <v>3.65</v>
      </c>
      <c r="K265" s="848">
        <f t="shared" si="176"/>
        <v>4375</v>
      </c>
      <c r="L265" s="836">
        <f t="shared" si="176"/>
        <v>3.68</v>
      </c>
      <c r="M265" s="848">
        <f t="shared" si="176"/>
        <v>4277</v>
      </c>
      <c r="N265" s="835">
        <f t="shared" si="176"/>
        <v>3.62</v>
      </c>
      <c r="O265" s="848">
        <f t="shared" ref="O265:P265" si="177">O243+O254</f>
        <v>4277</v>
      </c>
      <c r="P265" s="835">
        <f t="shared" si="177"/>
        <v>3.64</v>
      </c>
      <c r="Q265" s="838">
        <f t="shared" si="120"/>
        <v>-0.13</v>
      </c>
      <c r="R265" s="840">
        <f t="shared" si="121"/>
        <v>0.21</v>
      </c>
      <c r="S265" s="841">
        <f t="shared" si="163"/>
        <v>5.21</v>
      </c>
      <c r="U265" s="848">
        <f t="shared" si="126"/>
        <v>-646</v>
      </c>
      <c r="V265" s="835">
        <f t="shared" si="127"/>
        <v>0.63</v>
      </c>
    </row>
    <row r="266" spans="1:23">
      <c r="A266" s="3436"/>
      <c r="B266" s="931" t="s">
        <v>561</v>
      </c>
      <c r="C266" s="972">
        <f t="shared" si="160"/>
        <v>0</v>
      </c>
      <c r="D266" s="975">
        <f t="shared" ref="D266:N266" si="178">D244+D255</f>
        <v>0</v>
      </c>
      <c r="E266" s="848">
        <f t="shared" si="178"/>
        <v>0</v>
      </c>
      <c r="F266" s="835">
        <f t="shared" si="178"/>
        <v>0</v>
      </c>
      <c r="G266" s="848">
        <f t="shared" si="178"/>
        <v>0</v>
      </c>
      <c r="H266" s="836">
        <f t="shared" si="178"/>
        <v>0</v>
      </c>
      <c r="I266" s="848">
        <f t="shared" si="178"/>
        <v>0</v>
      </c>
      <c r="J266" s="835">
        <f t="shared" si="178"/>
        <v>0</v>
      </c>
      <c r="K266" s="848">
        <f t="shared" si="178"/>
        <v>0</v>
      </c>
      <c r="L266" s="836">
        <f t="shared" si="178"/>
        <v>0</v>
      </c>
      <c r="M266" s="848">
        <f t="shared" si="178"/>
        <v>0</v>
      </c>
      <c r="N266" s="835">
        <f t="shared" si="178"/>
        <v>0</v>
      </c>
      <c r="O266" s="848">
        <f t="shared" ref="O266:P266" si="179">O244+O255</f>
        <v>0</v>
      </c>
      <c r="P266" s="835">
        <f t="shared" si="179"/>
        <v>0</v>
      </c>
      <c r="Q266" s="859" t="s">
        <v>16</v>
      </c>
      <c r="R266" s="858" t="s">
        <v>16</v>
      </c>
      <c r="S266" s="841">
        <f t="shared" si="163"/>
        <v>0</v>
      </c>
      <c r="U266" s="848">
        <f t="shared" si="126"/>
        <v>0</v>
      </c>
      <c r="V266" s="835">
        <f t="shared" si="127"/>
        <v>0</v>
      </c>
    </row>
    <row r="267" spans="1:23" ht="15.75" thickBot="1">
      <c r="A267" s="3436"/>
      <c r="B267" s="932" t="s">
        <v>562</v>
      </c>
      <c r="C267" s="1880">
        <f t="shared" si="160"/>
        <v>0</v>
      </c>
      <c r="D267" s="1882">
        <f t="shared" ref="D267:N267" si="180">D245+D256</f>
        <v>7.37</v>
      </c>
      <c r="E267" s="849">
        <f t="shared" si="180"/>
        <v>0</v>
      </c>
      <c r="F267" s="1885">
        <f t="shared" si="180"/>
        <v>7.6</v>
      </c>
      <c r="G267" s="849">
        <f t="shared" si="180"/>
        <v>0</v>
      </c>
      <c r="H267" s="1881">
        <f t="shared" si="180"/>
        <v>7.6</v>
      </c>
      <c r="I267" s="849">
        <f t="shared" si="180"/>
        <v>0</v>
      </c>
      <c r="J267" s="1885">
        <f t="shared" si="180"/>
        <v>7.6</v>
      </c>
      <c r="K267" s="849">
        <f t="shared" si="180"/>
        <v>0</v>
      </c>
      <c r="L267" s="1881">
        <f t="shared" si="180"/>
        <v>7.6</v>
      </c>
      <c r="M267" s="849">
        <f t="shared" si="180"/>
        <v>0</v>
      </c>
      <c r="N267" s="1885">
        <f t="shared" si="180"/>
        <v>7.6</v>
      </c>
      <c r="O267" s="849">
        <f t="shared" ref="O267:P267" si="181">O245+O256</f>
        <v>0</v>
      </c>
      <c r="P267" s="1885">
        <f t="shared" si="181"/>
        <v>7.6</v>
      </c>
      <c r="Q267" s="1886" t="s">
        <v>16</v>
      </c>
      <c r="R267" s="1887">
        <f t="shared" si="121"/>
        <v>0.03</v>
      </c>
      <c r="S267" s="846">
        <f t="shared" si="163"/>
        <v>7.6</v>
      </c>
      <c r="U267" s="849">
        <f t="shared" si="126"/>
        <v>0</v>
      </c>
      <c r="V267" s="1885">
        <f t="shared" si="127"/>
        <v>0.23</v>
      </c>
    </row>
    <row r="268" spans="1:23" ht="16.5" thickTop="1" thickBot="1">
      <c r="A268" s="3437"/>
      <c r="B268" s="842" t="s">
        <v>18</v>
      </c>
      <c r="C268" s="973">
        <f>SUM(C258:C267)</f>
        <v>120959</v>
      </c>
      <c r="D268" s="976">
        <f t="shared" ref="D268:N268" si="182">SUM(D258:D267)</f>
        <v>136.74</v>
      </c>
      <c r="E268" s="850">
        <f t="shared" si="182"/>
        <v>133939</v>
      </c>
      <c r="F268" s="843">
        <f t="shared" si="182"/>
        <v>149.63999999999999</v>
      </c>
      <c r="G268" s="850">
        <f t="shared" si="182"/>
        <v>137165</v>
      </c>
      <c r="H268" s="852">
        <f t="shared" si="182"/>
        <v>155.25</v>
      </c>
      <c r="I268" s="850">
        <f t="shared" si="182"/>
        <v>140431</v>
      </c>
      <c r="J268" s="843">
        <f t="shared" si="182"/>
        <v>159.63999999999999</v>
      </c>
      <c r="K268" s="850">
        <f t="shared" si="182"/>
        <v>143711</v>
      </c>
      <c r="L268" s="852">
        <f t="shared" si="182"/>
        <v>164.83</v>
      </c>
      <c r="M268" s="850">
        <f t="shared" si="182"/>
        <v>146900</v>
      </c>
      <c r="N268" s="843">
        <f t="shared" si="182"/>
        <v>170.05</v>
      </c>
      <c r="O268" s="850">
        <f t="shared" ref="O268:P268" si="183">SUM(O258:O267)</f>
        <v>150246</v>
      </c>
      <c r="P268" s="843">
        <f t="shared" si="183"/>
        <v>175.58</v>
      </c>
      <c r="Q268" s="844">
        <f t="shared" si="120"/>
        <v>0.24</v>
      </c>
      <c r="R268" s="845">
        <f t="shared" si="121"/>
        <v>0.28000000000000003</v>
      </c>
      <c r="S268" s="855">
        <f>SUM(S258:S267)</f>
        <v>231.48</v>
      </c>
      <c r="U268" s="850">
        <f t="shared" ref="U268" si="184">O268-C268</f>
        <v>29287</v>
      </c>
      <c r="V268" s="843">
        <f t="shared" ref="V268" si="185">P268-D268</f>
        <v>38.840000000000003</v>
      </c>
    </row>
    <row r="269" spans="1:23">
      <c r="A269" s="89" t="s">
        <v>35</v>
      </c>
    </row>
    <row r="270" spans="1:23">
      <c r="A270" s="1" t="s">
        <v>68</v>
      </c>
      <c r="Q270" t="s">
        <v>36</v>
      </c>
    </row>
    <row r="271" spans="1:23">
      <c r="A271" s="1" t="s">
        <v>69</v>
      </c>
      <c r="C271" s="935"/>
      <c r="E271" s="862"/>
      <c r="G271" s="862"/>
      <c r="I271" s="862"/>
      <c r="K271" s="862"/>
      <c r="M271" s="862"/>
    </row>
    <row r="272" spans="1:23">
      <c r="A272" s="3304" t="s">
        <v>572</v>
      </c>
      <c r="B272" s="3304"/>
      <c r="C272" s="3304"/>
      <c r="D272" s="3304"/>
      <c r="E272" s="3304"/>
      <c r="F272" s="3304"/>
      <c r="G272" s="3304"/>
      <c r="H272" s="3304"/>
      <c r="I272" s="3304"/>
      <c r="J272" s="3304"/>
      <c r="K272" s="3304"/>
      <c r="L272" s="3304"/>
      <c r="M272" s="3304"/>
      <c r="N272" s="3304"/>
      <c r="O272" s="3304"/>
      <c r="P272" s="3304"/>
      <c r="Q272" s="3304"/>
      <c r="R272" s="3304"/>
      <c r="S272" s="3304"/>
    </row>
    <row r="273" spans="1:22">
      <c r="A273" s="255" t="s">
        <v>535</v>
      </c>
      <c r="B273" s="3025"/>
      <c r="C273" s="3025"/>
      <c r="D273" s="3025"/>
      <c r="E273" s="3025"/>
      <c r="F273" s="3025"/>
      <c r="G273" s="3025"/>
      <c r="H273" s="3025"/>
      <c r="I273" s="3025"/>
      <c r="J273" s="3025"/>
      <c r="K273" s="3025"/>
      <c r="L273" s="3025"/>
      <c r="M273" s="3025"/>
      <c r="N273" s="3025"/>
      <c r="O273" s="3025"/>
      <c r="P273" s="3025"/>
      <c r="Q273" s="3025"/>
      <c r="R273" s="3025"/>
      <c r="S273" s="3025"/>
    </row>
    <row r="274" spans="1:22">
      <c r="A274" s="3304" t="s">
        <v>573</v>
      </c>
      <c r="B274" s="3304"/>
      <c r="C274" s="3304"/>
      <c r="D274" s="3304"/>
      <c r="E274" s="3304"/>
      <c r="F274" s="3304"/>
      <c r="G274" s="3304"/>
      <c r="H274" s="3304"/>
      <c r="I274" s="3304"/>
      <c r="J274" s="3304"/>
      <c r="K274" s="3304"/>
      <c r="L274" s="3304"/>
      <c r="M274" s="3304"/>
      <c r="N274" s="3304"/>
      <c r="O274" s="3304"/>
      <c r="P274" s="3304"/>
      <c r="Q274" s="3304"/>
      <c r="R274" s="3304"/>
      <c r="S274" s="3304"/>
    </row>
    <row r="275" spans="1:22" ht="17.25" customHeight="1">
      <c r="A275" s="3025"/>
      <c r="B275" s="3025"/>
      <c r="C275" s="936"/>
      <c r="D275" s="3025"/>
      <c r="E275" s="3025"/>
      <c r="F275" s="3025"/>
      <c r="G275" s="3025"/>
      <c r="H275" s="3025"/>
      <c r="I275" s="3025"/>
      <c r="J275" s="3025"/>
      <c r="K275" s="3025"/>
      <c r="L275" s="3025"/>
      <c r="M275" s="3025"/>
      <c r="N275" s="3025"/>
      <c r="O275" s="3025"/>
      <c r="P275" s="3025"/>
      <c r="Q275" s="3025"/>
      <c r="R275" s="3025"/>
      <c r="S275" s="3025"/>
    </row>
    <row r="276" spans="1:22" ht="27" customHeight="1" thickBot="1">
      <c r="A276" s="3224" t="s">
        <v>574</v>
      </c>
      <c r="B276" s="3224"/>
      <c r="C276" s="3224"/>
      <c r="D276" s="3224"/>
      <c r="E276" s="3224"/>
      <c r="F276" s="3224"/>
      <c r="G276" s="3224"/>
      <c r="H276" s="3224"/>
      <c r="I276" s="3224"/>
      <c r="J276" s="3224"/>
      <c r="K276" s="3224"/>
      <c r="L276" s="3224"/>
      <c r="M276" s="3224"/>
      <c r="N276" s="3224"/>
      <c r="O276" s="3224"/>
      <c r="P276" s="3224"/>
      <c r="Q276" s="3224"/>
      <c r="R276" s="3224"/>
      <c r="S276" s="3224"/>
    </row>
    <row r="277" spans="1:22" ht="26.25" customHeight="1">
      <c r="A277" s="3429" t="s">
        <v>85</v>
      </c>
      <c r="B277" s="3431" t="s">
        <v>541</v>
      </c>
      <c r="C277" s="3217" t="s">
        <v>542</v>
      </c>
      <c r="D277" s="3217"/>
      <c r="E277" s="3216" t="s">
        <v>543</v>
      </c>
      <c r="F277" s="3218"/>
      <c r="G277" s="3217" t="s">
        <v>544</v>
      </c>
      <c r="H277" s="3217"/>
      <c r="I277" s="3258" t="s">
        <v>545</v>
      </c>
      <c r="J277" s="3245"/>
      <c r="K277" s="3264" t="s">
        <v>546</v>
      </c>
      <c r="L277" s="3264"/>
      <c r="M277" s="3258" t="s">
        <v>547</v>
      </c>
      <c r="N277" s="3245"/>
      <c r="O277" s="3258" t="s">
        <v>548</v>
      </c>
      <c r="P277" s="3245"/>
      <c r="Q277" s="3264" t="s">
        <v>57</v>
      </c>
      <c r="R277" s="3264"/>
      <c r="S277" s="3433" t="s">
        <v>549</v>
      </c>
      <c r="U277" s="3258" t="s">
        <v>59</v>
      </c>
      <c r="V277" s="3245"/>
    </row>
    <row r="278" spans="1:22" ht="15.75" thickBot="1">
      <c r="A278" s="3430"/>
      <c r="B278" s="3432"/>
      <c r="C278" s="1889" t="s">
        <v>550</v>
      </c>
      <c r="D278" s="831" t="s">
        <v>551</v>
      </c>
      <c r="E278" s="832" t="s">
        <v>550</v>
      </c>
      <c r="F278" s="833" t="s">
        <v>551</v>
      </c>
      <c r="G278" s="1889" t="s">
        <v>550</v>
      </c>
      <c r="H278" s="831" t="s">
        <v>551</v>
      </c>
      <c r="I278" s="834" t="s">
        <v>550</v>
      </c>
      <c r="J278" s="833" t="s">
        <v>551</v>
      </c>
      <c r="K278" s="1890" t="s">
        <v>550</v>
      </c>
      <c r="L278" s="831" t="s">
        <v>551</v>
      </c>
      <c r="M278" s="834" t="s">
        <v>550</v>
      </c>
      <c r="N278" s="833" t="s">
        <v>551</v>
      </c>
      <c r="O278" s="834" t="s">
        <v>550</v>
      </c>
      <c r="P278" s="833" t="s">
        <v>551</v>
      </c>
      <c r="Q278" s="1891" t="s">
        <v>529</v>
      </c>
      <c r="R278" s="831" t="s">
        <v>551</v>
      </c>
      <c r="S278" s="3434"/>
      <c r="U278" s="1645" t="s">
        <v>529</v>
      </c>
      <c r="V278" s="1646" t="s">
        <v>551</v>
      </c>
    </row>
    <row r="279" spans="1:22">
      <c r="A279" s="3435" t="s">
        <v>230</v>
      </c>
      <c r="B279" s="933" t="s">
        <v>553</v>
      </c>
      <c r="C279" s="977">
        <v>0</v>
      </c>
      <c r="D279" s="978">
        <f>(F279/$F$289)*$D$289</f>
        <v>0</v>
      </c>
      <c r="E279" s="847">
        <v>0</v>
      </c>
      <c r="F279" s="853">
        <v>0</v>
      </c>
      <c r="G279" s="847">
        <v>0</v>
      </c>
      <c r="H279" s="851">
        <v>0</v>
      </c>
      <c r="I279" s="847">
        <v>0</v>
      </c>
      <c r="J279" s="853">
        <v>0</v>
      </c>
      <c r="K279" s="847">
        <v>0</v>
      </c>
      <c r="L279" s="851">
        <v>0</v>
      </c>
      <c r="M279" s="847">
        <v>0</v>
      </c>
      <c r="N279" s="853">
        <v>0</v>
      </c>
      <c r="O279" s="847">
        <v>0</v>
      </c>
      <c r="P279" s="853">
        <v>0</v>
      </c>
      <c r="Q279" s="878" t="s">
        <v>16</v>
      </c>
      <c r="R279" s="879" t="s">
        <v>16</v>
      </c>
      <c r="S279" s="854">
        <v>0</v>
      </c>
      <c r="U279" s="847">
        <f t="shared" ref="U279" si="186">O279-C279</f>
        <v>0</v>
      </c>
      <c r="V279" s="853">
        <f t="shared" ref="V279" si="187">P279-D279</f>
        <v>0</v>
      </c>
    </row>
    <row r="280" spans="1:22">
      <c r="A280" s="3436"/>
      <c r="B280" s="931" t="s">
        <v>554</v>
      </c>
      <c r="C280" s="979">
        <v>0</v>
      </c>
      <c r="D280" s="981">
        <f t="shared" ref="D280:D288" si="188">(F280/$F$289)*$D$289</f>
        <v>0</v>
      </c>
      <c r="E280" s="848">
        <v>0</v>
      </c>
      <c r="F280" s="835">
        <v>0</v>
      </c>
      <c r="G280" s="848">
        <v>0</v>
      </c>
      <c r="H280" s="836">
        <v>0</v>
      </c>
      <c r="I280" s="848">
        <v>28</v>
      </c>
      <c r="J280" s="835">
        <v>0.05</v>
      </c>
      <c r="K280" s="848">
        <v>64</v>
      </c>
      <c r="L280" s="836">
        <v>0.11</v>
      </c>
      <c r="M280" s="848">
        <v>64</v>
      </c>
      <c r="N280" s="835">
        <v>0.11</v>
      </c>
      <c r="O280" s="848">
        <v>117</v>
      </c>
      <c r="P280" s="835">
        <v>0.21</v>
      </c>
      <c r="Q280" s="859" t="s">
        <v>16</v>
      </c>
      <c r="R280" s="858" t="s">
        <v>16</v>
      </c>
      <c r="S280" s="841">
        <v>0.28999999999999998</v>
      </c>
      <c r="U280" s="848">
        <f t="shared" ref="U280:U346" si="189">O280-C280</f>
        <v>117</v>
      </c>
      <c r="V280" s="835">
        <f t="shared" ref="V280:V346" si="190">P280-D280</f>
        <v>0.21</v>
      </c>
    </row>
    <row r="281" spans="1:22">
      <c r="A281" s="3436"/>
      <c r="B281" s="931" t="s">
        <v>555</v>
      </c>
      <c r="C281" s="979">
        <v>0</v>
      </c>
      <c r="D281" s="981">
        <f t="shared" si="188"/>
        <v>0</v>
      </c>
      <c r="E281" s="848">
        <v>0</v>
      </c>
      <c r="F281" s="835">
        <v>0</v>
      </c>
      <c r="G281" s="848">
        <v>22</v>
      </c>
      <c r="H281" s="836">
        <v>0.02</v>
      </c>
      <c r="I281" s="848">
        <v>22</v>
      </c>
      <c r="J281" s="835">
        <v>0.02</v>
      </c>
      <c r="K281" s="848">
        <v>22</v>
      </c>
      <c r="L281" s="836">
        <v>0.02</v>
      </c>
      <c r="M281" s="848">
        <v>22</v>
      </c>
      <c r="N281" s="835">
        <v>0.02</v>
      </c>
      <c r="O281" s="848">
        <v>47</v>
      </c>
      <c r="P281" s="835">
        <v>0.05</v>
      </c>
      <c r="Q281" s="859" t="s">
        <v>16</v>
      </c>
      <c r="R281" s="858" t="s">
        <v>16</v>
      </c>
      <c r="S281" s="841">
        <v>0.08</v>
      </c>
      <c r="U281" s="848">
        <f t="shared" si="189"/>
        <v>47</v>
      </c>
      <c r="V281" s="835">
        <f t="shared" si="190"/>
        <v>0.05</v>
      </c>
    </row>
    <row r="282" spans="1:22">
      <c r="A282" s="3436"/>
      <c r="B282" s="931" t="s">
        <v>556</v>
      </c>
      <c r="C282" s="979">
        <v>212</v>
      </c>
      <c r="D282" s="981">
        <f t="shared" si="188"/>
        <v>0.38</v>
      </c>
      <c r="E282" s="848">
        <v>257</v>
      </c>
      <c r="F282" s="835">
        <v>0.31</v>
      </c>
      <c r="G282" s="848">
        <v>524</v>
      </c>
      <c r="H282" s="836">
        <v>0.65</v>
      </c>
      <c r="I282" s="848">
        <v>750</v>
      </c>
      <c r="J282" s="835">
        <v>0.93</v>
      </c>
      <c r="K282" s="848">
        <v>883</v>
      </c>
      <c r="L282" s="836">
        <v>1.1000000000000001</v>
      </c>
      <c r="M282" s="848">
        <v>933</v>
      </c>
      <c r="N282" s="835">
        <v>1.17</v>
      </c>
      <c r="O282" s="848">
        <v>1032</v>
      </c>
      <c r="P282" s="835">
        <v>1.3</v>
      </c>
      <c r="Q282" s="859">
        <f t="shared" ref="Q282:Q343" si="191">(O282-C282)/C282</f>
        <v>3.87</v>
      </c>
      <c r="R282" s="858">
        <f t="shared" ref="R282:R343" si="192">(P282-D282)/D282</f>
        <v>2.42</v>
      </c>
      <c r="S282" s="841">
        <v>1.7</v>
      </c>
      <c r="U282" s="848">
        <f t="shared" si="189"/>
        <v>820</v>
      </c>
      <c r="V282" s="835">
        <f t="shared" si="190"/>
        <v>0.92</v>
      </c>
    </row>
    <row r="283" spans="1:22">
      <c r="A283" s="3436"/>
      <c r="B283" s="931" t="s">
        <v>557</v>
      </c>
      <c r="C283" s="979">
        <v>5625</v>
      </c>
      <c r="D283" s="981">
        <f t="shared" si="188"/>
        <v>5.84</v>
      </c>
      <c r="E283" s="848">
        <v>6338</v>
      </c>
      <c r="F283" s="835">
        <v>4.7699999999999996</v>
      </c>
      <c r="G283" s="848">
        <v>6338</v>
      </c>
      <c r="H283" s="836">
        <v>4.8</v>
      </c>
      <c r="I283" s="848">
        <v>6417</v>
      </c>
      <c r="J283" s="835">
        <v>4.9000000000000004</v>
      </c>
      <c r="K283" s="848">
        <v>6586</v>
      </c>
      <c r="L283" s="836">
        <v>5.08</v>
      </c>
      <c r="M283" s="848">
        <v>6728</v>
      </c>
      <c r="N283" s="835">
        <v>5.25</v>
      </c>
      <c r="O283" s="848">
        <v>6829</v>
      </c>
      <c r="P283" s="835">
        <v>5.37</v>
      </c>
      <c r="Q283" s="859">
        <f t="shared" si="191"/>
        <v>0.21</v>
      </c>
      <c r="R283" s="858">
        <f t="shared" si="192"/>
        <v>-0.08</v>
      </c>
      <c r="S283" s="841">
        <v>6.82</v>
      </c>
      <c r="U283" s="848">
        <f t="shared" si="189"/>
        <v>1204</v>
      </c>
      <c r="V283" s="835">
        <f t="shared" si="190"/>
        <v>-0.47</v>
      </c>
    </row>
    <row r="284" spans="1:22">
      <c r="A284" s="3436"/>
      <c r="B284" s="931" t="s">
        <v>558</v>
      </c>
      <c r="C284" s="979">
        <v>9</v>
      </c>
      <c r="D284" s="981">
        <f t="shared" si="188"/>
        <v>0.04</v>
      </c>
      <c r="E284" s="848">
        <v>9</v>
      </c>
      <c r="F284" s="835">
        <v>0.03</v>
      </c>
      <c r="G284" s="848">
        <v>17</v>
      </c>
      <c r="H284" s="836">
        <v>0.05</v>
      </c>
      <c r="I284" s="848">
        <v>17</v>
      </c>
      <c r="J284" s="835">
        <v>0.05</v>
      </c>
      <c r="K284" s="848">
        <v>17</v>
      </c>
      <c r="L284" s="836">
        <v>0.05</v>
      </c>
      <c r="M284" s="848">
        <v>131</v>
      </c>
      <c r="N284" s="835">
        <v>0.3</v>
      </c>
      <c r="O284" s="848">
        <v>174</v>
      </c>
      <c r="P284" s="835">
        <v>0.28999999999999998</v>
      </c>
      <c r="Q284" s="859">
        <f t="shared" si="191"/>
        <v>18.329999999999998</v>
      </c>
      <c r="R284" s="858">
        <f t="shared" si="192"/>
        <v>6.25</v>
      </c>
      <c r="S284" s="841">
        <v>0.44</v>
      </c>
      <c r="U284" s="848">
        <f t="shared" si="189"/>
        <v>165</v>
      </c>
      <c r="V284" s="835">
        <f t="shared" si="190"/>
        <v>0.25</v>
      </c>
    </row>
    <row r="285" spans="1:22">
      <c r="A285" s="3436"/>
      <c r="B285" s="931" t="s">
        <v>559</v>
      </c>
      <c r="C285" s="979">
        <v>158</v>
      </c>
      <c r="D285" s="981">
        <f t="shared" si="188"/>
        <v>0.23</v>
      </c>
      <c r="E285" s="848">
        <v>205</v>
      </c>
      <c r="F285" s="835">
        <v>0.19</v>
      </c>
      <c r="G285" s="848">
        <v>264</v>
      </c>
      <c r="H285" s="836">
        <v>0.23</v>
      </c>
      <c r="I285" s="848">
        <v>283</v>
      </c>
      <c r="J285" s="835">
        <v>0.24</v>
      </c>
      <c r="K285" s="848">
        <v>283</v>
      </c>
      <c r="L285" s="836">
        <v>0.24</v>
      </c>
      <c r="M285" s="848">
        <v>301</v>
      </c>
      <c r="N285" s="835">
        <v>0.25</v>
      </c>
      <c r="O285" s="848">
        <v>315</v>
      </c>
      <c r="P285" s="835">
        <v>0.25</v>
      </c>
      <c r="Q285" s="859">
        <f t="shared" si="191"/>
        <v>0.99</v>
      </c>
      <c r="R285" s="858">
        <f t="shared" si="192"/>
        <v>0.09</v>
      </c>
      <c r="S285" s="841">
        <v>0.35</v>
      </c>
      <c r="U285" s="848">
        <f t="shared" si="189"/>
        <v>157</v>
      </c>
      <c r="V285" s="835">
        <f t="shared" si="190"/>
        <v>0.02</v>
      </c>
    </row>
    <row r="286" spans="1:22">
      <c r="A286" s="3436"/>
      <c r="B286" s="931" t="s">
        <v>560</v>
      </c>
      <c r="C286" s="979">
        <v>191</v>
      </c>
      <c r="D286" s="981">
        <f t="shared" si="188"/>
        <v>0.2</v>
      </c>
      <c r="E286" s="848">
        <v>191</v>
      </c>
      <c r="F286" s="835">
        <v>0.16</v>
      </c>
      <c r="G286" s="848">
        <v>191</v>
      </c>
      <c r="H286" s="836">
        <v>0.16</v>
      </c>
      <c r="I286" s="848">
        <v>191</v>
      </c>
      <c r="J286" s="835">
        <v>0.16</v>
      </c>
      <c r="K286" s="848">
        <v>191</v>
      </c>
      <c r="L286" s="836">
        <v>0.16</v>
      </c>
      <c r="M286" s="848">
        <v>191</v>
      </c>
      <c r="N286" s="835">
        <v>0.16</v>
      </c>
      <c r="O286" s="848">
        <v>191</v>
      </c>
      <c r="P286" s="835">
        <v>0.16</v>
      </c>
      <c r="Q286" s="859">
        <f t="shared" si="191"/>
        <v>0</v>
      </c>
      <c r="R286" s="858">
        <f t="shared" si="192"/>
        <v>-0.2</v>
      </c>
      <c r="S286" s="841">
        <v>0.19</v>
      </c>
      <c r="U286" s="848">
        <f t="shared" si="189"/>
        <v>0</v>
      </c>
      <c r="V286" s="835">
        <f t="shared" si="190"/>
        <v>-0.04</v>
      </c>
    </row>
    <row r="287" spans="1:22">
      <c r="A287" s="3436"/>
      <c r="B287" s="931" t="s">
        <v>561</v>
      </c>
      <c r="C287" s="979">
        <v>0</v>
      </c>
      <c r="D287" s="981">
        <f t="shared" si="188"/>
        <v>0</v>
      </c>
      <c r="E287" s="848">
        <v>0</v>
      </c>
      <c r="F287" s="835">
        <v>0</v>
      </c>
      <c r="G287" s="848">
        <v>0</v>
      </c>
      <c r="H287" s="836">
        <v>0</v>
      </c>
      <c r="I287" s="848">
        <v>0</v>
      </c>
      <c r="J287" s="835">
        <v>0</v>
      </c>
      <c r="K287" s="848">
        <v>0</v>
      </c>
      <c r="L287" s="836">
        <v>0</v>
      </c>
      <c r="M287" s="848">
        <v>0</v>
      </c>
      <c r="N287" s="835">
        <v>0</v>
      </c>
      <c r="O287" s="848">
        <v>0</v>
      </c>
      <c r="P287" s="835">
        <v>0</v>
      </c>
      <c r="Q287" s="859" t="s">
        <v>16</v>
      </c>
      <c r="R287" s="858" t="s">
        <v>16</v>
      </c>
      <c r="S287" s="841">
        <v>0</v>
      </c>
      <c r="U287" s="848">
        <f t="shared" si="189"/>
        <v>0</v>
      </c>
      <c r="V287" s="835">
        <f t="shared" si="190"/>
        <v>0</v>
      </c>
    </row>
    <row r="288" spans="1:22" ht="15.75" thickBot="1">
      <c r="A288" s="3436"/>
      <c r="B288" s="932" t="s">
        <v>562</v>
      </c>
      <c r="C288" s="982">
        <v>0</v>
      </c>
      <c r="D288" s="983">
        <f t="shared" si="188"/>
        <v>0.12</v>
      </c>
      <c r="E288" s="849">
        <v>0</v>
      </c>
      <c r="F288" s="1885">
        <v>0.1</v>
      </c>
      <c r="G288" s="849">
        <v>0</v>
      </c>
      <c r="H288" s="1881">
        <f>F288</f>
        <v>0.1</v>
      </c>
      <c r="I288" s="849">
        <v>0</v>
      </c>
      <c r="J288" s="1885">
        <f>H288</f>
        <v>0.1</v>
      </c>
      <c r="K288" s="849">
        <v>0</v>
      </c>
      <c r="L288" s="1881">
        <f>J288</f>
        <v>0.1</v>
      </c>
      <c r="M288" s="849">
        <v>0</v>
      </c>
      <c r="N288" s="1885">
        <f>L288</f>
        <v>0.1</v>
      </c>
      <c r="O288" s="849">
        <v>0</v>
      </c>
      <c r="P288" s="1885">
        <v>0.1</v>
      </c>
      <c r="Q288" s="1886" t="s">
        <v>16</v>
      </c>
      <c r="R288" s="1888">
        <f t="shared" si="192"/>
        <v>-0.17</v>
      </c>
      <c r="S288" s="846">
        <f>N288</f>
        <v>0.1</v>
      </c>
      <c r="U288" s="849">
        <f t="shared" si="189"/>
        <v>0</v>
      </c>
      <c r="V288" s="1885">
        <f t="shared" si="190"/>
        <v>-0.02</v>
      </c>
    </row>
    <row r="289" spans="1:23" ht="16.5" thickTop="1" thickBot="1">
      <c r="A289" s="3437"/>
      <c r="B289" s="842" t="s">
        <v>18</v>
      </c>
      <c r="C289" s="984">
        <f>SUM(C279:C288)</f>
        <v>6195</v>
      </c>
      <c r="D289" s="985">
        <f>'Table 7'!E40</f>
        <v>6.81</v>
      </c>
      <c r="E289" s="850">
        <f t="shared" ref="E289:P289" si="193">SUM(E279:E288)</f>
        <v>7000</v>
      </c>
      <c r="F289" s="843">
        <f t="shared" si="193"/>
        <v>5.56</v>
      </c>
      <c r="G289" s="850">
        <f t="shared" si="193"/>
        <v>7356</v>
      </c>
      <c r="H289" s="852">
        <f t="shared" si="193"/>
        <v>6.01</v>
      </c>
      <c r="I289" s="850">
        <f t="shared" si="193"/>
        <v>7708</v>
      </c>
      <c r="J289" s="843">
        <f t="shared" si="193"/>
        <v>6.45</v>
      </c>
      <c r="K289" s="850">
        <f t="shared" si="193"/>
        <v>8046</v>
      </c>
      <c r="L289" s="852">
        <f t="shared" si="193"/>
        <v>6.86</v>
      </c>
      <c r="M289" s="850">
        <f t="shared" si="193"/>
        <v>8370</v>
      </c>
      <c r="N289" s="843">
        <f t="shared" si="193"/>
        <v>7.36</v>
      </c>
      <c r="O289" s="850">
        <f t="shared" si="193"/>
        <v>8705</v>
      </c>
      <c r="P289" s="843">
        <f t="shared" si="193"/>
        <v>7.73</v>
      </c>
      <c r="Q289" s="880">
        <f t="shared" si="191"/>
        <v>0.41</v>
      </c>
      <c r="R289" s="881">
        <f t="shared" si="192"/>
        <v>0.14000000000000001</v>
      </c>
      <c r="S289" s="855">
        <f>SUM(S279:S288)</f>
        <v>9.9700000000000006</v>
      </c>
      <c r="U289" s="850">
        <f t="shared" si="189"/>
        <v>2510</v>
      </c>
      <c r="V289" s="843">
        <f t="shared" si="190"/>
        <v>0.92</v>
      </c>
    </row>
    <row r="290" spans="1:23">
      <c r="A290" s="3435" t="s">
        <v>236</v>
      </c>
      <c r="B290" s="933" t="s">
        <v>553</v>
      </c>
      <c r="C290" s="971">
        <v>0</v>
      </c>
      <c r="D290" s="978">
        <f>(F290/$F$300)*$D$300</f>
        <v>0</v>
      </c>
      <c r="E290" s="847">
        <v>0</v>
      </c>
      <c r="F290" s="853">
        <v>0</v>
      </c>
      <c r="G290" s="847">
        <v>0</v>
      </c>
      <c r="H290" s="851">
        <v>0</v>
      </c>
      <c r="I290" s="847">
        <v>0</v>
      </c>
      <c r="J290" s="853">
        <v>0</v>
      </c>
      <c r="K290" s="847">
        <v>0</v>
      </c>
      <c r="L290" s="851">
        <v>0</v>
      </c>
      <c r="M290" s="847">
        <v>0</v>
      </c>
      <c r="N290" s="853">
        <v>0</v>
      </c>
      <c r="O290" s="847">
        <v>0</v>
      </c>
      <c r="P290" s="853">
        <v>0</v>
      </c>
      <c r="Q290" s="878" t="s">
        <v>16</v>
      </c>
      <c r="R290" s="879" t="s">
        <v>16</v>
      </c>
      <c r="S290" s="854">
        <v>0</v>
      </c>
      <c r="U290" s="847">
        <f t="shared" si="189"/>
        <v>0</v>
      </c>
      <c r="V290" s="853">
        <f t="shared" si="190"/>
        <v>0</v>
      </c>
    </row>
    <row r="291" spans="1:23">
      <c r="A291" s="3436"/>
      <c r="B291" s="931" t="s">
        <v>554</v>
      </c>
      <c r="C291" s="972">
        <v>124</v>
      </c>
      <c r="D291" s="836">
        <f t="shared" ref="D291:D299" si="194">(F291/$F$300)*$D$300</f>
        <v>0.26</v>
      </c>
      <c r="E291" s="848">
        <v>124</v>
      </c>
      <c r="F291" s="835">
        <v>0.22</v>
      </c>
      <c r="G291" s="848">
        <v>124</v>
      </c>
      <c r="H291" s="836">
        <v>0.22</v>
      </c>
      <c r="I291" s="848">
        <v>124</v>
      </c>
      <c r="J291" s="835">
        <v>0.22</v>
      </c>
      <c r="K291" s="848">
        <v>124</v>
      </c>
      <c r="L291" s="836">
        <v>0.22</v>
      </c>
      <c r="M291" s="848">
        <v>124</v>
      </c>
      <c r="N291" s="835">
        <v>0.22</v>
      </c>
      <c r="O291" s="848">
        <v>124</v>
      </c>
      <c r="P291" s="835">
        <v>0.22</v>
      </c>
      <c r="Q291" s="859">
        <f t="shared" si="191"/>
        <v>0</v>
      </c>
      <c r="R291" s="858">
        <f t="shared" si="192"/>
        <v>-0.15</v>
      </c>
      <c r="S291" s="841">
        <v>0.32</v>
      </c>
      <c r="U291" s="848">
        <f t="shared" si="189"/>
        <v>0</v>
      </c>
      <c r="V291" s="835">
        <f t="shared" si="190"/>
        <v>-0.04</v>
      </c>
      <c r="W291" t="s">
        <v>36</v>
      </c>
    </row>
    <row r="292" spans="1:23">
      <c r="A292" s="3436"/>
      <c r="B292" s="931" t="s">
        <v>555</v>
      </c>
      <c r="C292" s="972">
        <v>0</v>
      </c>
      <c r="D292" s="836">
        <f t="shared" si="194"/>
        <v>0</v>
      </c>
      <c r="E292" s="848">
        <v>0</v>
      </c>
      <c r="F292" s="835">
        <v>0</v>
      </c>
      <c r="G292" s="848">
        <v>0</v>
      </c>
      <c r="H292" s="836">
        <v>0</v>
      </c>
      <c r="I292" s="848">
        <v>0</v>
      </c>
      <c r="J292" s="835">
        <v>0</v>
      </c>
      <c r="K292" s="848">
        <v>0</v>
      </c>
      <c r="L292" s="836">
        <v>0</v>
      </c>
      <c r="M292" s="848">
        <v>0</v>
      </c>
      <c r="N292" s="835">
        <v>0</v>
      </c>
      <c r="O292" s="848">
        <v>0</v>
      </c>
      <c r="P292" s="835">
        <v>0</v>
      </c>
      <c r="Q292" s="859" t="s">
        <v>16</v>
      </c>
      <c r="R292" s="858" t="s">
        <v>16</v>
      </c>
      <c r="S292" s="841">
        <v>0</v>
      </c>
      <c r="U292" s="848">
        <f t="shared" si="189"/>
        <v>0</v>
      </c>
      <c r="V292" s="835">
        <f t="shared" si="190"/>
        <v>0</v>
      </c>
    </row>
    <row r="293" spans="1:23">
      <c r="A293" s="3436"/>
      <c r="B293" s="931" t="s">
        <v>556</v>
      </c>
      <c r="C293" s="972">
        <v>35</v>
      </c>
      <c r="D293" s="836">
        <f t="shared" si="194"/>
        <v>0.01</v>
      </c>
      <c r="E293" s="848">
        <v>9</v>
      </c>
      <c r="F293" s="835">
        <v>0.01</v>
      </c>
      <c r="G293" s="848">
        <v>9</v>
      </c>
      <c r="H293" s="836">
        <v>0.01</v>
      </c>
      <c r="I293" s="848">
        <v>9</v>
      </c>
      <c r="J293" s="835">
        <v>0.01</v>
      </c>
      <c r="K293" s="848">
        <v>9</v>
      </c>
      <c r="L293" s="836">
        <v>0.01</v>
      </c>
      <c r="M293" s="848">
        <v>9</v>
      </c>
      <c r="N293" s="835">
        <v>0.01</v>
      </c>
      <c r="O293" s="848">
        <v>9</v>
      </c>
      <c r="P293" s="835">
        <v>0.01</v>
      </c>
      <c r="Q293" s="859">
        <f t="shared" si="191"/>
        <v>-0.74</v>
      </c>
      <c r="R293" s="858">
        <f t="shared" si="192"/>
        <v>0</v>
      </c>
      <c r="S293" s="841">
        <v>0.02</v>
      </c>
      <c r="U293" s="848">
        <f t="shared" si="189"/>
        <v>-26</v>
      </c>
      <c r="V293" s="835">
        <f t="shared" si="190"/>
        <v>0</v>
      </c>
    </row>
    <row r="294" spans="1:23">
      <c r="A294" s="3436"/>
      <c r="B294" s="931" t="s">
        <v>557</v>
      </c>
      <c r="C294" s="972">
        <v>1124</v>
      </c>
      <c r="D294" s="836">
        <f t="shared" si="194"/>
        <v>1.56</v>
      </c>
      <c r="E294" s="848">
        <v>1816</v>
      </c>
      <c r="F294" s="835">
        <v>1.3</v>
      </c>
      <c r="G294" s="848">
        <v>1816</v>
      </c>
      <c r="H294" s="836">
        <v>1.31</v>
      </c>
      <c r="I294" s="848">
        <v>1816</v>
      </c>
      <c r="J294" s="835">
        <v>1.32</v>
      </c>
      <c r="K294" s="848">
        <v>1816</v>
      </c>
      <c r="L294" s="836">
        <v>1.34</v>
      </c>
      <c r="M294" s="848">
        <v>1816</v>
      </c>
      <c r="N294" s="835">
        <v>1.35</v>
      </c>
      <c r="O294" s="848">
        <v>1816</v>
      </c>
      <c r="P294" s="835">
        <v>1.37</v>
      </c>
      <c r="Q294" s="859">
        <f t="shared" si="191"/>
        <v>0.62</v>
      </c>
      <c r="R294" s="858">
        <f t="shared" si="192"/>
        <v>-0.12</v>
      </c>
      <c r="S294" s="841">
        <v>1.74</v>
      </c>
      <c r="U294" s="848">
        <f t="shared" si="189"/>
        <v>692</v>
      </c>
      <c r="V294" s="835">
        <f t="shared" si="190"/>
        <v>-0.19</v>
      </c>
    </row>
    <row r="295" spans="1:23">
      <c r="A295" s="3436"/>
      <c r="B295" s="931" t="s">
        <v>558</v>
      </c>
      <c r="C295" s="972">
        <v>407</v>
      </c>
      <c r="D295" s="836">
        <f t="shared" si="194"/>
        <v>1.1299999999999999</v>
      </c>
      <c r="E295" s="848">
        <v>388</v>
      </c>
      <c r="F295" s="835">
        <v>0.94</v>
      </c>
      <c r="G295" s="848">
        <v>388</v>
      </c>
      <c r="H295" s="836">
        <v>0.94</v>
      </c>
      <c r="I295" s="848">
        <v>388</v>
      </c>
      <c r="J295" s="835">
        <v>0.94</v>
      </c>
      <c r="K295" s="848">
        <v>388</v>
      </c>
      <c r="L295" s="836">
        <v>0.95</v>
      </c>
      <c r="M295" s="848">
        <v>388</v>
      </c>
      <c r="N295" s="835">
        <v>0.95</v>
      </c>
      <c r="O295" s="848">
        <v>388</v>
      </c>
      <c r="P295" s="835">
        <v>0.96</v>
      </c>
      <c r="Q295" s="859">
        <f t="shared" si="191"/>
        <v>-0.05</v>
      </c>
      <c r="R295" s="858">
        <f t="shared" si="192"/>
        <v>-0.15</v>
      </c>
      <c r="S295" s="841">
        <v>1.0900000000000001</v>
      </c>
      <c r="U295" s="848">
        <f t="shared" si="189"/>
        <v>-19</v>
      </c>
      <c r="V295" s="835">
        <f t="shared" si="190"/>
        <v>-0.17</v>
      </c>
    </row>
    <row r="296" spans="1:23">
      <c r="A296" s="3436"/>
      <c r="B296" s="931" t="s">
        <v>559</v>
      </c>
      <c r="C296" s="972">
        <v>20</v>
      </c>
      <c r="D296" s="836">
        <f t="shared" si="194"/>
        <v>7.0000000000000007E-2</v>
      </c>
      <c r="E296" s="848">
        <v>64</v>
      </c>
      <c r="F296" s="835">
        <v>0.06</v>
      </c>
      <c r="G296" s="848">
        <v>64</v>
      </c>
      <c r="H296" s="836">
        <v>0.06</v>
      </c>
      <c r="I296" s="848">
        <v>64</v>
      </c>
      <c r="J296" s="835">
        <v>0.06</v>
      </c>
      <c r="K296" s="848">
        <v>64</v>
      </c>
      <c r="L296" s="836">
        <v>0.06</v>
      </c>
      <c r="M296" s="848">
        <v>64</v>
      </c>
      <c r="N296" s="835">
        <v>0.06</v>
      </c>
      <c r="O296" s="848">
        <v>64</v>
      </c>
      <c r="P296" s="835">
        <v>0.06</v>
      </c>
      <c r="Q296" s="859">
        <f t="shared" si="191"/>
        <v>2.2000000000000002</v>
      </c>
      <c r="R296" s="858">
        <f t="shared" si="192"/>
        <v>-0.14000000000000001</v>
      </c>
      <c r="S296" s="841">
        <v>0.08</v>
      </c>
      <c r="U296" s="848">
        <f t="shared" si="189"/>
        <v>44</v>
      </c>
      <c r="V296" s="835">
        <f t="shared" si="190"/>
        <v>-0.01</v>
      </c>
    </row>
    <row r="297" spans="1:23">
      <c r="A297" s="3436"/>
      <c r="B297" s="931" t="s">
        <v>560</v>
      </c>
      <c r="C297" s="972">
        <v>623</v>
      </c>
      <c r="D297" s="836">
        <f t="shared" si="194"/>
        <v>0</v>
      </c>
      <c r="E297" s="848">
        <v>0</v>
      </c>
      <c r="F297" s="835">
        <v>0</v>
      </c>
      <c r="G297" s="848">
        <v>0</v>
      </c>
      <c r="H297" s="836">
        <v>0</v>
      </c>
      <c r="I297" s="848">
        <v>0</v>
      </c>
      <c r="J297" s="835">
        <v>0</v>
      </c>
      <c r="K297" s="848">
        <v>0</v>
      </c>
      <c r="L297" s="836">
        <v>0</v>
      </c>
      <c r="M297" s="848">
        <v>0</v>
      </c>
      <c r="N297" s="835">
        <v>0</v>
      </c>
      <c r="O297" s="848">
        <v>0</v>
      </c>
      <c r="P297" s="835">
        <v>0</v>
      </c>
      <c r="Q297" s="859">
        <f t="shared" si="191"/>
        <v>-1</v>
      </c>
      <c r="R297" s="858" t="s">
        <v>16</v>
      </c>
      <c r="S297" s="841">
        <v>0</v>
      </c>
      <c r="U297" s="848">
        <f t="shared" si="189"/>
        <v>-623</v>
      </c>
      <c r="V297" s="835">
        <f t="shared" si="190"/>
        <v>0</v>
      </c>
    </row>
    <row r="298" spans="1:23">
      <c r="A298" s="3436"/>
      <c r="B298" s="931" t="s">
        <v>561</v>
      </c>
      <c r="C298" s="972">
        <v>0</v>
      </c>
      <c r="D298" s="836">
        <f t="shared" si="194"/>
        <v>0</v>
      </c>
      <c r="E298" s="848">
        <v>0</v>
      </c>
      <c r="F298" s="835">
        <v>0</v>
      </c>
      <c r="G298" s="848">
        <v>0</v>
      </c>
      <c r="H298" s="836">
        <v>0</v>
      </c>
      <c r="I298" s="848">
        <v>0</v>
      </c>
      <c r="J298" s="835">
        <v>0</v>
      </c>
      <c r="K298" s="848">
        <v>0</v>
      </c>
      <c r="L298" s="836">
        <v>0</v>
      </c>
      <c r="M298" s="848">
        <v>0</v>
      </c>
      <c r="N298" s="835">
        <v>0</v>
      </c>
      <c r="O298" s="848">
        <v>0</v>
      </c>
      <c r="P298" s="835">
        <v>0</v>
      </c>
      <c r="Q298" s="859" t="s">
        <v>16</v>
      </c>
      <c r="R298" s="858" t="s">
        <v>16</v>
      </c>
      <c r="S298" s="841">
        <v>0</v>
      </c>
      <c r="U298" s="848">
        <f t="shared" si="189"/>
        <v>0</v>
      </c>
      <c r="V298" s="835">
        <f t="shared" si="190"/>
        <v>0</v>
      </c>
    </row>
    <row r="299" spans="1:23" ht="15.75" thickBot="1">
      <c r="A299" s="3436"/>
      <c r="B299" s="932" t="s">
        <v>562</v>
      </c>
      <c r="C299" s="1880">
        <v>0</v>
      </c>
      <c r="D299" s="1881">
        <f t="shared" si="194"/>
        <v>0.25</v>
      </c>
      <c r="E299" s="849">
        <v>0</v>
      </c>
      <c r="F299" s="1885">
        <v>0.21</v>
      </c>
      <c r="G299" s="849">
        <v>0</v>
      </c>
      <c r="H299" s="1881">
        <f>F299</f>
        <v>0.21</v>
      </c>
      <c r="I299" s="849">
        <v>0</v>
      </c>
      <c r="J299" s="1885">
        <f>H299</f>
        <v>0.21</v>
      </c>
      <c r="K299" s="849">
        <v>0</v>
      </c>
      <c r="L299" s="1881">
        <f>J299</f>
        <v>0.21</v>
      </c>
      <c r="M299" s="849">
        <v>0</v>
      </c>
      <c r="N299" s="1885">
        <f>L299</f>
        <v>0.21</v>
      </c>
      <c r="O299" s="849">
        <v>0</v>
      </c>
      <c r="P299" s="1885">
        <v>0.21</v>
      </c>
      <c r="Q299" s="1886" t="s">
        <v>16</v>
      </c>
      <c r="R299" s="1888">
        <f t="shared" si="192"/>
        <v>-0.16</v>
      </c>
      <c r="S299" s="846">
        <f>N299</f>
        <v>0.21</v>
      </c>
      <c r="U299" s="849">
        <f t="shared" si="189"/>
        <v>0</v>
      </c>
      <c r="V299" s="1885">
        <f t="shared" si="190"/>
        <v>-0.04</v>
      </c>
    </row>
    <row r="300" spans="1:23" ht="16.5" thickTop="1" thickBot="1">
      <c r="A300" s="3437"/>
      <c r="B300" s="842" t="s">
        <v>18</v>
      </c>
      <c r="C300" s="973">
        <f>SUM(C290:C299)</f>
        <v>2333</v>
      </c>
      <c r="D300" s="852">
        <f>'Table 7'!E41</f>
        <v>3.29</v>
      </c>
      <c r="E300" s="850">
        <f t="shared" ref="E300:P300" si="195">SUM(E290:E299)</f>
        <v>2401</v>
      </c>
      <c r="F300" s="843">
        <f t="shared" si="195"/>
        <v>2.74</v>
      </c>
      <c r="G300" s="850">
        <f t="shared" si="195"/>
        <v>2401</v>
      </c>
      <c r="H300" s="852">
        <f t="shared" si="195"/>
        <v>2.75</v>
      </c>
      <c r="I300" s="850">
        <f t="shared" si="195"/>
        <v>2401</v>
      </c>
      <c r="J300" s="843">
        <f t="shared" si="195"/>
        <v>2.76</v>
      </c>
      <c r="K300" s="850">
        <f t="shared" si="195"/>
        <v>2401</v>
      </c>
      <c r="L300" s="852">
        <f t="shared" si="195"/>
        <v>2.79</v>
      </c>
      <c r="M300" s="850">
        <f t="shared" si="195"/>
        <v>2401</v>
      </c>
      <c r="N300" s="843">
        <f t="shared" si="195"/>
        <v>2.8</v>
      </c>
      <c r="O300" s="850">
        <f t="shared" si="195"/>
        <v>2401</v>
      </c>
      <c r="P300" s="843">
        <f t="shared" si="195"/>
        <v>2.83</v>
      </c>
      <c r="Q300" s="880">
        <f t="shared" si="191"/>
        <v>0.03</v>
      </c>
      <c r="R300" s="881">
        <f t="shared" si="192"/>
        <v>-0.14000000000000001</v>
      </c>
      <c r="S300" s="855">
        <f>SUM(S290:S299)</f>
        <v>3.46</v>
      </c>
      <c r="U300" s="850">
        <f t="shared" si="189"/>
        <v>68</v>
      </c>
      <c r="V300" s="843">
        <f t="shared" si="190"/>
        <v>-0.46</v>
      </c>
    </row>
    <row r="301" spans="1:23">
      <c r="A301" s="3435" t="s">
        <v>239</v>
      </c>
      <c r="B301" s="933" t="s">
        <v>553</v>
      </c>
      <c r="C301" s="971">
        <v>0</v>
      </c>
      <c r="D301" s="853">
        <f>(F301/$F$311)*$D$311</f>
        <v>0</v>
      </c>
      <c r="E301" s="847">
        <v>0</v>
      </c>
      <c r="F301" s="853">
        <v>0</v>
      </c>
      <c r="G301" s="847">
        <v>0</v>
      </c>
      <c r="H301" s="851">
        <v>0</v>
      </c>
      <c r="I301" s="847">
        <v>0</v>
      </c>
      <c r="J301" s="853">
        <v>0</v>
      </c>
      <c r="K301" s="847">
        <v>0</v>
      </c>
      <c r="L301" s="851">
        <v>0</v>
      </c>
      <c r="M301" s="847">
        <v>0</v>
      </c>
      <c r="N301" s="853">
        <v>0</v>
      </c>
      <c r="O301" s="847">
        <v>0</v>
      </c>
      <c r="P301" s="853">
        <v>0</v>
      </c>
      <c r="Q301" s="878" t="s">
        <v>16</v>
      </c>
      <c r="R301" s="879" t="s">
        <v>16</v>
      </c>
      <c r="S301" s="854">
        <v>0</v>
      </c>
      <c r="U301" s="847">
        <f t="shared" si="189"/>
        <v>0</v>
      </c>
      <c r="V301" s="853">
        <f t="shared" si="190"/>
        <v>0</v>
      </c>
    </row>
    <row r="302" spans="1:23">
      <c r="A302" s="3436"/>
      <c r="B302" s="931" t="s">
        <v>554</v>
      </c>
      <c r="C302" s="972">
        <v>0</v>
      </c>
      <c r="D302" s="836">
        <f t="shared" ref="D302:D310" si="196">(F302/$F$311)*$D$311</f>
        <v>0.18</v>
      </c>
      <c r="E302" s="848">
        <v>88</v>
      </c>
      <c r="F302" s="835">
        <v>0.17</v>
      </c>
      <c r="G302" s="848">
        <v>242</v>
      </c>
      <c r="H302" s="836">
        <v>0.45</v>
      </c>
      <c r="I302" s="848">
        <v>378</v>
      </c>
      <c r="J302" s="835">
        <v>0.69</v>
      </c>
      <c r="K302" s="848">
        <v>385</v>
      </c>
      <c r="L302" s="836">
        <v>0.7</v>
      </c>
      <c r="M302" s="848">
        <v>512</v>
      </c>
      <c r="N302" s="835">
        <v>0.93</v>
      </c>
      <c r="O302" s="848">
        <v>564</v>
      </c>
      <c r="P302" s="835">
        <v>1.02</v>
      </c>
      <c r="Q302" s="859" t="s">
        <v>16</v>
      </c>
      <c r="R302" s="858">
        <f t="shared" si="192"/>
        <v>4.67</v>
      </c>
      <c r="S302" s="841">
        <v>1.44</v>
      </c>
      <c r="U302" s="848">
        <f t="shared" si="189"/>
        <v>564</v>
      </c>
      <c r="V302" s="835">
        <f t="shared" si="190"/>
        <v>0.84</v>
      </c>
    </row>
    <row r="303" spans="1:23">
      <c r="A303" s="3436"/>
      <c r="B303" s="931" t="s">
        <v>555</v>
      </c>
      <c r="C303" s="972">
        <v>0</v>
      </c>
      <c r="D303" s="836">
        <f t="shared" si="196"/>
        <v>0</v>
      </c>
      <c r="E303" s="848">
        <v>0</v>
      </c>
      <c r="F303" s="835">
        <v>0</v>
      </c>
      <c r="G303" s="848">
        <v>35</v>
      </c>
      <c r="H303" s="836">
        <v>0.04</v>
      </c>
      <c r="I303" s="848">
        <v>35</v>
      </c>
      <c r="J303" s="835">
        <v>0.04</v>
      </c>
      <c r="K303" s="848">
        <v>68</v>
      </c>
      <c r="L303" s="836">
        <v>0.08</v>
      </c>
      <c r="M303" s="848">
        <v>78</v>
      </c>
      <c r="N303" s="835">
        <v>0.09</v>
      </c>
      <c r="O303" s="848">
        <v>89</v>
      </c>
      <c r="P303" s="835">
        <v>0.1</v>
      </c>
      <c r="Q303" s="859" t="s">
        <v>16</v>
      </c>
      <c r="R303" s="858" t="s">
        <v>16</v>
      </c>
      <c r="S303" s="841">
        <v>0.15</v>
      </c>
      <c r="U303" s="848">
        <f t="shared" si="189"/>
        <v>89</v>
      </c>
      <c r="V303" s="835">
        <f t="shared" si="190"/>
        <v>0.1</v>
      </c>
    </row>
    <row r="304" spans="1:23">
      <c r="A304" s="3436"/>
      <c r="B304" s="931" t="s">
        <v>556</v>
      </c>
      <c r="C304" s="972">
        <v>498</v>
      </c>
      <c r="D304" s="836">
        <f t="shared" si="196"/>
        <v>0.98</v>
      </c>
      <c r="E304" s="848">
        <v>757</v>
      </c>
      <c r="F304" s="835">
        <v>0.95</v>
      </c>
      <c r="G304" s="848">
        <v>1045</v>
      </c>
      <c r="H304" s="836">
        <v>1.33</v>
      </c>
      <c r="I304" s="848">
        <v>1388</v>
      </c>
      <c r="J304" s="835">
        <v>1.77</v>
      </c>
      <c r="K304" s="848">
        <v>1727</v>
      </c>
      <c r="L304" s="836">
        <v>2.21</v>
      </c>
      <c r="M304" s="848">
        <v>1911</v>
      </c>
      <c r="N304" s="835">
        <v>2.46</v>
      </c>
      <c r="O304" s="848">
        <v>2137</v>
      </c>
      <c r="P304" s="835">
        <v>2.75</v>
      </c>
      <c r="Q304" s="859">
        <f t="shared" si="191"/>
        <v>3.29</v>
      </c>
      <c r="R304" s="858">
        <f t="shared" si="192"/>
        <v>1.81</v>
      </c>
      <c r="S304" s="841">
        <v>3.61</v>
      </c>
      <c r="U304" s="848">
        <f t="shared" si="189"/>
        <v>1639</v>
      </c>
      <c r="V304" s="835">
        <f t="shared" si="190"/>
        <v>1.77</v>
      </c>
    </row>
    <row r="305" spans="1:22">
      <c r="A305" s="3436"/>
      <c r="B305" s="931" t="s">
        <v>557</v>
      </c>
      <c r="C305" s="972">
        <v>6862</v>
      </c>
      <c r="D305" s="836">
        <f t="shared" si="196"/>
        <v>6.46</v>
      </c>
      <c r="E305" s="848">
        <v>8545</v>
      </c>
      <c r="F305" s="835">
        <v>6.26</v>
      </c>
      <c r="G305" s="848">
        <v>8679</v>
      </c>
      <c r="H305" s="836">
        <v>6.42</v>
      </c>
      <c r="I305" s="848">
        <v>8852</v>
      </c>
      <c r="J305" s="835">
        <v>6.6</v>
      </c>
      <c r="K305" s="848">
        <v>9107</v>
      </c>
      <c r="L305" s="836">
        <v>6.9</v>
      </c>
      <c r="M305" s="848">
        <v>9399</v>
      </c>
      <c r="N305" s="835">
        <v>7.22</v>
      </c>
      <c r="O305" s="848">
        <v>9631</v>
      </c>
      <c r="P305" s="835">
        <v>7.49</v>
      </c>
      <c r="Q305" s="859">
        <f t="shared" si="191"/>
        <v>0.4</v>
      </c>
      <c r="R305" s="858">
        <f t="shared" si="192"/>
        <v>0.16</v>
      </c>
      <c r="S305" s="841">
        <v>9.51</v>
      </c>
      <c r="U305" s="848">
        <f t="shared" si="189"/>
        <v>2769</v>
      </c>
      <c r="V305" s="835">
        <f t="shared" si="190"/>
        <v>1.03</v>
      </c>
    </row>
    <row r="306" spans="1:22">
      <c r="A306" s="3436"/>
      <c r="B306" s="931" t="s">
        <v>558</v>
      </c>
      <c r="C306" s="972">
        <v>68</v>
      </c>
      <c r="D306" s="836">
        <f t="shared" si="196"/>
        <v>0.27</v>
      </c>
      <c r="E306" s="848">
        <v>115</v>
      </c>
      <c r="F306" s="835">
        <v>0.26</v>
      </c>
      <c r="G306" s="848">
        <v>182</v>
      </c>
      <c r="H306" s="836">
        <v>0.4</v>
      </c>
      <c r="I306" s="848">
        <v>202</v>
      </c>
      <c r="J306" s="835">
        <v>0.45</v>
      </c>
      <c r="K306" s="848">
        <v>241</v>
      </c>
      <c r="L306" s="836">
        <v>0.53</v>
      </c>
      <c r="M306" s="848">
        <v>326</v>
      </c>
      <c r="N306" s="835">
        <v>0.72</v>
      </c>
      <c r="O306" s="848">
        <v>454</v>
      </c>
      <c r="P306" s="835">
        <v>1</v>
      </c>
      <c r="Q306" s="859">
        <f t="shared" si="191"/>
        <v>5.68</v>
      </c>
      <c r="R306" s="858">
        <f t="shared" si="192"/>
        <v>2.7</v>
      </c>
      <c r="S306" s="841">
        <v>1.1299999999999999</v>
      </c>
      <c r="U306" s="848">
        <f t="shared" si="189"/>
        <v>386</v>
      </c>
      <c r="V306" s="835">
        <f t="shared" si="190"/>
        <v>0.73</v>
      </c>
    </row>
    <row r="307" spans="1:22">
      <c r="A307" s="3436"/>
      <c r="B307" s="931" t="s">
        <v>559</v>
      </c>
      <c r="C307" s="972">
        <v>1896</v>
      </c>
      <c r="D307" s="836">
        <f t="shared" si="196"/>
        <v>2.16</v>
      </c>
      <c r="E307" s="848">
        <v>2027</v>
      </c>
      <c r="F307" s="835">
        <v>2.09</v>
      </c>
      <c r="G307" s="848">
        <v>2067</v>
      </c>
      <c r="H307" s="836">
        <v>2.12</v>
      </c>
      <c r="I307" s="848">
        <v>2108</v>
      </c>
      <c r="J307" s="835">
        <v>2.14</v>
      </c>
      <c r="K307" s="848">
        <v>2135</v>
      </c>
      <c r="L307" s="836">
        <v>2.1800000000000002</v>
      </c>
      <c r="M307" s="848">
        <v>2135</v>
      </c>
      <c r="N307" s="835">
        <v>2.21</v>
      </c>
      <c r="O307" s="848">
        <v>2185</v>
      </c>
      <c r="P307" s="835">
        <v>2.2000000000000002</v>
      </c>
      <c r="Q307" s="859">
        <f t="shared" si="191"/>
        <v>0.15</v>
      </c>
      <c r="R307" s="858">
        <f t="shared" si="192"/>
        <v>0.02</v>
      </c>
      <c r="S307" s="841">
        <v>2.99</v>
      </c>
      <c r="U307" s="848">
        <f t="shared" si="189"/>
        <v>289</v>
      </c>
      <c r="V307" s="835">
        <f t="shared" si="190"/>
        <v>0.04</v>
      </c>
    </row>
    <row r="308" spans="1:22">
      <c r="A308" s="3436"/>
      <c r="B308" s="931" t="s">
        <v>560</v>
      </c>
      <c r="C308" s="972">
        <v>0</v>
      </c>
      <c r="D308" s="836">
        <f t="shared" si="196"/>
        <v>0</v>
      </c>
      <c r="E308" s="848">
        <v>0</v>
      </c>
      <c r="F308" s="835">
        <v>0</v>
      </c>
      <c r="G308" s="848">
        <v>0</v>
      </c>
      <c r="H308" s="836">
        <v>0</v>
      </c>
      <c r="I308" s="848">
        <v>0</v>
      </c>
      <c r="J308" s="835">
        <v>0</v>
      </c>
      <c r="K308" s="848">
        <v>0</v>
      </c>
      <c r="L308" s="836">
        <v>0</v>
      </c>
      <c r="M308" s="848">
        <v>0</v>
      </c>
      <c r="N308" s="835">
        <v>0</v>
      </c>
      <c r="O308" s="848">
        <v>0</v>
      </c>
      <c r="P308" s="835">
        <v>0</v>
      </c>
      <c r="Q308" s="859" t="s">
        <v>16</v>
      </c>
      <c r="R308" s="858" t="s">
        <v>16</v>
      </c>
      <c r="S308" s="841">
        <v>0</v>
      </c>
      <c r="U308" s="848">
        <f t="shared" si="189"/>
        <v>0</v>
      </c>
      <c r="V308" s="835">
        <f t="shared" si="190"/>
        <v>0</v>
      </c>
    </row>
    <row r="309" spans="1:22">
      <c r="A309" s="3436"/>
      <c r="B309" s="931" t="s">
        <v>561</v>
      </c>
      <c r="C309" s="972">
        <v>0</v>
      </c>
      <c r="D309" s="836">
        <f t="shared" si="196"/>
        <v>0</v>
      </c>
      <c r="E309" s="848">
        <v>0</v>
      </c>
      <c r="F309" s="835">
        <v>0</v>
      </c>
      <c r="G309" s="848">
        <v>0</v>
      </c>
      <c r="H309" s="836">
        <v>0</v>
      </c>
      <c r="I309" s="848">
        <v>0</v>
      </c>
      <c r="J309" s="835">
        <v>0</v>
      </c>
      <c r="K309" s="848">
        <v>0</v>
      </c>
      <c r="L309" s="836">
        <v>0</v>
      </c>
      <c r="M309" s="848">
        <v>0</v>
      </c>
      <c r="N309" s="835">
        <v>0</v>
      </c>
      <c r="O309" s="848">
        <v>0</v>
      </c>
      <c r="P309" s="835">
        <v>0</v>
      </c>
      <c r="Q309" s="859" t="s">
        <v>16</v>
      </c>
      <c r="R309" s="858" t="s">
        <v>16</v>
      </c>
      <c r="S309" s="841">
        <v>0</v>
      </c>
      <c r="U309" s="848">
        <f t="shared" si="189"/>
        <v>0</v>
      </c>
      <c r="V309" s="835">
        <f t="shared" si="190"/>
        <v>0</v>
      </c>
    </row>
    <row r="310" spans="1:22" ht="15.75" thickBot="1">
      <c r="A310" s="3436"/>
      <c r="B310" s="932" t="s">
        <v>562</v>
      </c>
      <c r="C310" s="1880">
        <v>0</v>
      </c>
      <c r="D310" s="1881">
        <f t="shared" si="196"/>
        <v>1.72</v>
      </c>
      <c r="E310" s="849">
        <v>0</v>
      </c>
      <c r="F310" s="1885">
        <v>1.67</v>
      </c>
      <c r="G310" s="849">
        <v>0</v>
      </c>
      <c r="H310" s="1881">
        <f>F310</f>
        <v>1.67</v>
      </c>
      <c r="I310" s="849">
        <v>0</v>
      </c>
      <c r="J310" s="1885">
        <f>H310</f>
        <v>1.67</v>
      </c>
      <c r="K310" s="849">
        <v>0</v>
      </c>
      <c r="L310" s="1881">
        <f>J310</f>
        <v>1.67</v>
      </c>
      <c r="M310" s="849">
        <v>0</v>
      </c>
      <c r="N310" s="1885">
        <f>L310</f>
        <v>1.67</v>
      </c>
      <c r="O310" s="849">
        <v>0</v>
      </c>
      <c r="P310" s="1885">
        <v>1.67</v>
      </c>
      <c r="Q310" s="1886" t="s">
        <v>16</v>
      </c>
      <c r="R310" s="1888">
        <f t="shared" si="192"/>
        <v>-0.03</v>
      </c>
      <c r="S310" s="846">
        <f>N310</f>
        <v>1.67</v>
      </c>
      <c r="U310" s="849">
        <f t="shared" si="189"/>
        <v>0</v>
      </c>
      <c r="V310" s="1885">
        <f t="shared" si="190"/>
        <v>-0.05</v>
      </c>
    </row>
    <row r="311" spans="1:22" ht="16.5" thickTop="1" thickBot="1">
      <c r="A311" s="3437"/>
      <c r="B311" s="842" t="s">
        <v>18</v>
      </c>
      <c r="C311" s="973">
        <f>SUM(C301:C310)</f>
        <v>9324</v>
      </c>
      <c r="D311" s="852">
        <f>'Table 7'!E42</f>
        <v>11.76</v>
      </c>
      <c r="E311" s="850">
        <f t="shared" ref="E311:P311" si="197">SUM(E301:E310)</f>
        <v>11532</v>
      </c>
      <c r="F311" s="843">
        <f t="shared" si="197"/>
        <v>11.4</v>
      </c>
      <c r="G311" s="850">
        <f t="shared" si="197"/>
        <v>12250</v>
      </c>
      <c r="H311" s="852">
        <f t="shared" si="197"/>
        <v>12.43</v>
      </c>
      <c r="I311" s="850">
        <f t="shared" si="197"/>
        <v>12963</v>
      </c>
      <c r="J311" s="843">
        <f t="shared" si="197"/>
        <v>13.36</v>
      </c>
      <c r="K311" s="850">
        <f t="shared" si="197"/>
        <v>13663</v>
      </c>
      <c r="L311" s="852">
        <f t="shared" si="197"/>
        <v>14.27</v>
      </c>
      <c r="M311" s="850">
        <f t="shared" si="197"/>
        <v>14361</v>
      </c>
      <c r="N311" s="843">
        <f t="shared" si="197"/>
        <v>15.3</v>
      </c>
      <c r="O311" s="850">
        <f t="shared" si="197"/>
        <v>15060</v>
      </c>
      <c r="P311" s="843">
        <f t="shared" si="197"/>
        <v>16.23</v>
      </c>
      <c r="Q311" s="880">
        <f t="shared" si="191"/>
        <v>0.62</v>
      </c>
      <c r="R311" s="881">
        <f t="shared" si="192"/>
        <v>0.38</v>
      </c>
      <c r="S311" s="855">
        <f>SUM(S301:S310)</f>
        <v>20.5</v>
      </c>
      <c r="U311" s="850">
        <f t="shared" si="189"/>
        <v>5736</v>
      </c>
      <c r="V311" s="843">
        <f t="shared" si="190"/>
        <v>4.47</v>
      </c>
    </row>
    <row r="312" spans="1:22">
      <c r="A312" s="3435" t="s">
        <v>242</v>
      </c>
      <c r="B312" s="933" t="s">
        <v>553</v>
      </c>
      <c r="C312" s="971">
        <v>0</v>
      </c>
      <c r="D312" s="853">
        <f>(F312/$F$322)*$D$322</f>
        <v>0</v>
      </c>
      <c r="E312" s="847">
        <v>0</v>
      </c>
      <c r="F312" s="853">
        <v>0</v>
      </c>
      <c r="G312" s="847">
        <v>0</v>
      </c>
      <c r="H312" s="851">
        <v>0</v>
      </c>
      <c r="I312" s="847">
        <v>0</v>
      </c>
      <c r="J312" s="853">
        <v>0</v>
      </c>
      <c r="K312" s="847">
        <v>0</v>
      </c>
      <c r="L312" s="851">
        <v>0</v>
      </c>
      <c r="M312" s="847">
        <v>0</v>
      </c>
      <c r="N312" s="853">
        <v>0</v>
      </c>
      <c r="O312" s="847">
        <v>0</v>
      </c>
      <c r="P312" s="853">
        <v>0</v>
      </c>
      <c r="Q312" s="878" t="s">
        <v>16</v>
      </c>
      <c r="R312" s="879" t="s">
        <v>16</v>
      </c>
      <c r="S312" s="854">
        <v>0</v>
      </c>
      <c r="U312" s="847">
        <f t="shared" si="189"/>
        <v>0</v>
      </c>
      <c r="V312" s="853">
        <f t="shared" si="190"/>
        <v>0</v>
      </c>
    </row>
    <row r="313" spans="1:22">
      <c r="A313" s="3436"/>
      <c r="B313" s="931" t="s">
        <v>554</v>
      </c>
      <c r="C313" s="972">
        <v>0</v>
      </c>
      <c r="D313" s="836">
        <f t="shared" ref="D313:D321" si="198">(F313/$F$322)*$D$322</f>
        <v>0.18</v>
      </c>
      <c r="E313" s="848">
        <v>101</v>
      </c>
      <c r="F313" s="835">
        <v>0.17</v>
      </c>
      <c r="G313" s="848">
        <v>333</v>
      </c>
      <c r="H313" s="836">
        <v>0.59</v>
      </c>
      <c r="I313" s="848">
        <v>580</v>
      </c>
      <c r="J313" s="835">
        <v>1.03</v>
      </c>
      <c r="K313" s="848">
        <v>812</v>
      </c>
      <c r="L313" s="836">
        <v>1.44</v>
      </c>
      <c r="M313" s="848">
        <v>855</v>
      </c>
      <c r="N313" s="835">
        <v>1.52</v>
      </c>
      <c r="O313" s="848">
        <v>1017</v>
      </c>
      <c r="P313" s="835">
        <v>1.81</v>
      </c>
      <c r="Q313" s="859" t="s">
        <v>16</v>
      </c>
      <c r="R313" s="858">
        <f t="shared" si="192"/>
        <v>9.06</v>
      </c>
      <c r="S313" s="841">
        <v>2.5499999999999998</v>
      </c>
      <c r="U313" s="848">
        <f t="shared" si="189"/>
        <v>1017</v>
      </c>
      <c r="V313" s="835">
        <f t="shared" si="190"/>
        <v>1.63</v>
      </c>
    </row>
    <row r="314" spans="1:22">
      <c r="A314" s="3436"/>
      <c r="B314" s="931" t="s">
        <v>555</v>
      </c>
      <c r="C314" s="972">
        <v>0</v>
      </c>
      <c r="D314" s="836">
        <f t="shared" si="198"/>
        <v>0</v>
      </c>
      <c r="E314" s="848">
        <v>0</v>
      </c>
      <c r="F314" s="835">
        <v>0</v>
      </c>
      <c r="G314" s="848">
        <v>0</v>
      </c>
      <c r="H314" s="836">
        <v>0</v>
      </c>
      <c r="I314" s="848">
        <v>116</v>
      </c>
      <c r="J314" s="835">
        <v>0.13</v>
      </c>
      <c r="K314" s="848">
        <v>129</v>
      </c>
      <c r="L314" s="836">
        <v>0.15</v>
      </c>
      <c r="M314" s="848">
        <v>209</v>
      </c>
      <c r="N314" s="835">
        <v>0.24</v>
      </c>
      <c r="O314" s="848">
        <v>224</v>
      </c>
      <c r="P314" s="835">
        <v>0.26</v>
      </c>
      <c r="Q314" s="859" t="s">
        <v>16</v>
      </c>
      <c r="R314" s="858" t="s">
        <v>16</v>
      </c>
      <c r="S314" s="841">
        <v>0.37</v>
      </c>
      <c r="U314" s="848">
        <f t="shared" si="189"/>
        <v>224</v>
      </c>
      <c r="V314" s="835">
        <f t="shared" si="190"/>
        <v>0.26</v>
      </c>
    </row>
    <row r="315" spans="1:22">
      <c r="A315" s="3436"/>
      <c r="B315" s="931" t="s">
        <v>556</v>
      </c>
      <c r="C315" s="972">
        <v>1452</v>
      </c>
      <c r="D315" s="836">
        <f t="shared" si="198"/>
        <v>3.63</v>
      </c>
      <c r="E315" s="848">
        <v>2472</v>
      </c>
      <c r="F315" s="835">
        <v>3.5</v>
      </c>
      <c r="G315" s="848">
        <v>2938</v>
      </c>
      <c r="H315" s="836">
        <v>4.1100000000000003</v>
      </c>
      <c r="I315" s="848">
        <v>3257</v>
      </c>
      <c r="J315" s="835">
        <v>4.54</v>
      </c>
      <c r="K315" s="848">
        <v>3363</v>
      </c>
      <c r="L315" s="836">
        <v>4.7</v>
      </c>
      <c r="M315" s="848">
        <v>3621</v>
      </c>
      <c r="N315" s="835">
        <v>5.0599999999999996</v>
      </c>
      <c r="O315" s="848">
        <v>3884</v>
      </c>
      <c r="P315" s="835">
        <v>5.42</v>
      </c>
      <c r="Q315" s="859">
        <f t="shared" si="191"/>
        <v>1.67</v>
      </c>
      <c r="R315" s="858">
        <f t="shared" si="192"/>
        <v>0.49</v>
      </c>
      <c r="S315" s="841">
        <v>7.09</v>
      </c>
      <c r="U315" s="848">
        <f t="shared" si="189"/>
        <v>2432</v>
      </c>
      <c r="V315" s="835">
        <f t="shared" si="190"/>
        <v>1.79</v>
      </c>
    </row>
    <row r="316" spans="1:22">
      <c r="A316" s="3436"/>
      <c r="B316" s="931" t="s">
        <v>557</v>
      </c>
      <c r="C316" s="972">
        <v>7610</v>
      </c>
      <c r="D316" s="836">
        <f t="shared" si="198"/>
        <v>7.13</v>
      </c>
      <c r="E316" s="848">
        <v>9017</v>
      </c>
      <c r="F316" s="835">
        <v>6.88</v>
      </c>
      <c r="G316" s="848">
        <v>9196</v>
      </c>
      <c r="H316" s="836">
        <v>7.06</v>
      </c>
      <c r="I316" s="848">
        <v>9367</v>
      </c>
      <c r="J316" s="835">
        <v>7.24</v>
      </c>
      <c r="K316" s="848">
        <v>9562</v>
      </c>
      <c r="L316" s="836">
        <v>7.47</v>
      </c>
      <c r="M316" s="848">
        <v>9825</v>
      </c>
      <c r="N316" s="835">
        <v>7.74</v>
      </c>
      <c r="O316" s="848">
        <v>9910</v>
      </c>
      <c r="P316" s="835">
        <v>7.88</v>
      </c>
      <c r="Q316" s="859">
        <f t="shared" si="191"/>
        <v>0.3</v>
      </c>
      <c r="R316" s="858">
        <f t="shared" si="192"/>
        <v>0.11</v>
      </c>
      <c r="S316" s="841">
        <v>10</v>
      </c>
      <c r="U316" s="848">
        <f t="shared" si="189"/>
        <v>2300</v>
      </c>
      <c r="V316" s="835">
        <f t="shared" si="190"/>
        <v>0.75</v>
      </c>
    </row>
    <row r="317" spans="1:22">
      <c r="A317" s="3436"/>
      <c r="B317" s="931" t="s">
        <v>558</v>
      </c>
      <c r="C317" s="972">
        <v>844</v>
      </c>
      <c r="D317" s="836">
        <f t="shared" si="198"/>
        <v>2.31</v>
      </c>
      <c r="E317" s="848">
        <v>880</v>
      </c>
      <c r="F317" s="835">
        <v>2.23</v>
      </c>
      <c r="G317" s="848">
        <v>954</v>
      </c>
      <c r="H317" s="836">
        <v>2.4</v>
      </c>
      <c r="I317" s="848">
        <v>973</v>
      </c>
      <c r="J317" s="835">
        <v>2.4500000000000002</v>
      </c>
      <c r="K317" s="848">
        <v>1144</v>
      </c>
      <c r="L317" s="836">
        <v>2.83</v>
      </c>
      <c r="M317" s="848">
        <v>1318</v>
      </c>
      <c r="N317" s="835">
        <v>3.23</v>
      </c>
      <c r="O317" s="848">
        <v>1495</v>
      </c>
      <c r="P317" s="835">
        <v>3.63</v>
      </c>
      <c r="Q317" s="859">
        <f t="shared" si="191"/>
        <v>0.77</v>
      </c>
      <c r="R317" s="858">
        <f t="shared" si="192"/>
        <v>0.56999999999999995</v>
      </c>
      <c r="S317" s="841">
        <v>4.0999999999999996</v>
      </c>
      <c r="U317" s="848">
        <f t="shared" si="189"/>
        <v>651</v>
      </c>
      <c r="V317" s="835">
        <f t="shared" si="190"/>
        <v>1.32</v>
      </c>
    </row>
    <row r="318" spans="1:22">
      <c r="A318" s="3436"/>
      <c r="B318" s="931" t="s">
        <v>559</v>
      </c>
      <c r="C318" s="972">
        <v>1248</v>
      </c>
      <c r="D318" s="836">
        <f t="shared" si="198"/>
        <v>0.84</v>
      </c>
      <c r="E318" s="848">
        <v>947</v>
      </c>
      <c r="F318" s="835">
        <v>0.81</v>
      </c>
      <c r="G318" s="848">
        <v>1058</v>
      </c>
      <c r="H318" s="836">
        <v>0.91</v>
      </c>
      <c r="I318" s="848">
        <v>1283</v>
      </c>
      <c r="J318" s="835">
        <v>1.06</v>
      </c>
      <c r="K318" s="848">
        <v>1293</v>
      </c>
      <c r="L318" s="836">
        <v>1.08</v>
      </c>
      <c r="M318" s="848">
        <v>1519</v>
      </c>
      <c r="N318" s="835">
        <v>1.27</v>
      </c>
      <c r="O318" s="848">
        <v>1537</v>
      </c>
      <c r="P318" s="835">
        <v>1.27</v>
      </c>
      <c r="Q318" s="859">
        <f t="shared" si="191"/>
        <v>0.23</v>
      </c>
      <c r="R318" s="858">
        <f t="shared" si="192"/>
        <v>0.51</v>
      </c>
      <c r="S318" s="841">
        <v>1.73</v>
      </c>
      <c r="U318" s="848">
        <f t="shared" si="189"/>
        <v>289</v>
      </c>
      <c r="V318" s="835">
        <f t="shared" si="190"/>
        <v>0.43</v>
      </c>
    </row>
    <row r="319" spans="1:22">
      <c r="A319" s="3436"/>
      <c r="B319" s="931" t="s">
        <v>560</v>
      </c>
      <c r="C319" s="972">
        <v>0</v>
      </c>
      <c r="D319" s="836">
        <f t="shared" si="198"/>
        <v>0</v>
      </c>
      <c r="E319" s="848">
        <v>0</v>
      </c>
      <c r="F319" s="835">
        <v>0</v>
      </c>
      <c r="G319" s="848">
        <v>0</v>
      </c>
      <c r="H319" s="836">
        <v>0</v>
      </c>
      <c r="I319" s="848">
        <v>0</v>
      </c>
      <c r="J319" s="835">
        <v>0</v>
      </c>
      <c r="K319" s="848">
        <v>0</v>
      </c>
      <c r="L319" s="836">
        <v>0</v>
      </c>
      <c r="M319" s="848">
        <v>0</v>
      </c>
      <c r="N319" s="835">
        <v>0</v>
      </c>
      <c r="O319" s="848">
        <v>0</v>
      </c>
      <c r="P319" s="835">
        <v>0</v>
      </c>
      <c r="Q319" s="859" t="s">
        <v>16</v>
      </c>
      <c r="R319" s="858" t="s">
        <v>16</v>
      </c>
      <c r="S319" s="841">
        <v>0</v>
      </c>
      <c r="U319" s="848">
        <f t="shared" si="189"/>
        <v>0</v>
      </c>
      <c r="V319" s="835">
        <f t="shared" si="190"/>
        <v>0</v>
      </c>
    </row>
    <row r="320" spans="1:22">
      <c r="A320" s="3436"/>
      <c r="B320" s="931" t="s">
        <v>561</v>
      </c>
      <c r="C320" s="972">
        <v>0</v>
      </c>
      <c r="D320" s="836">
        <f t="shared" si="198"/>
        <v>0</v>
      </c>
      <c r="E320" s="848">
        <v>0</v>
      </c>
      <c r="F320" s="835">
        <v>0</v>
      </c>
      <c r="G320" s="848">
        <v>0</v>
      </c>
      <c r="H320" s="836">
        <v>0</v>
      </c>
      <c r="I320" s="848">
        <v>0</v>
      </c>
      <c r="J320" s="835">
        <v>0</v>
      </c>
      <c r="K320" s="848">
        <v>0</v>
      </c>
      <c r="L320" s="836">
        <v>0</v>
      </c>
      <c r="M320" s="848">
        <v>0</v>
      </c>
      <c r="N320" s="835">
        <v>0</v>
      </c>
      <c r="O320" s="848">
        <v>0</v>
      </c>
      <c r="P320" s="835">
        <v>0</v>
      </c>
      <c r="Q320" s="859" t="s">
        <v>16</v>
      </c>
      <c r="R320" s="858" t="s">
        <v>16</v>
      </c>
      <c r="S320" s="841">
        <v>0</v>
      </c>
      <c r="U320" s="848">
        <f t="shared" si="189"/>
        <v>0</v>
      </c>
      <c r="V320" s="835">
        <f t="shared" si="190"/>
        <v>0</v>
      </c>
    </row>
    <row r="321" spans="1:22" ht="15.75" thickBot="1">
      <c r="A321" s="3436"/>
      <c r="B321" s="932" t="s">
        <v>562</v>
      </c>
      <c r="C321" s="1880">
        <v>0</v>
      </c>
      <c r="D321" s="1881">
        <f t="shared" si="198"/>
        <v>0.72</v>
      </c>
      <c r="E321" s="849">
        <v>0</v>
      </c>
      <c r="F321" s="1885">
        <v>0.69</v>
      </c>
      <c r="G321" s="849">
        <v>0</v>
      </c>
      <c r="H321" s="1881">
        <f>F321</f>
        <v>0.69</v>
      </c>
      <c r="I321" s="849">
        <v>0</v>
      </c>
      <c r="J321" s="1885">
        <f>H321</f>
        <v>0.69</v>
      </c>
      <c r="K321" s="849">
        <v>0</v>
      </c>
      <c r="L321" s="1881">
        <f>J321</f>
        <v>0.69</v>
      </c>
      <c r="M321" s="849">
        <v>0</v>
      </c>
      <c r="N321" s="1885">
        <f>L321</f>
        <v>0.69</v>
      </c>
      <c r="O321" s="849">
        <v>0</v>
      </c>
      <c r="P321" s="1885">
        <v>0.69</v>
      </c>
      <c r="Q321" s="1886" t="s">
        <v>16</v>
      </c>
      <c r="R321" s="1888">
        <f t="shared" si="192"/>
        <v>-0.04</v>
      </c>
      <c r="S321" s="846">
        <f>N321</f>
        <v>0.69</v>
      </c>
      <c r="U321" s="849">
        <f t="shared" si="189"/>
        <v>0</v>
      </c>
      <c r="V321" s="1885">
        <f t="shared" si="190"/>
        <v>-0.03</v>
      </c>
    </row>
    <row r="322" spans="1:22" ht="16.5" thickTop="1" thickBot="1">
      <c r="A322" s="3437"/>
      <c r="B322" s="842" t="s">
        <v>18</v>
      </c>
      <c r="C322" s="973">
        <f>SUM(C312:C321)</f>
        <v>11154</v>
      </c>
      <c r="D322" s="852">
        <f>'Table 7'!E43</f>
        <v>14.8</v>
      </c>
      <c r="E322" s="850">
        <f t="shared" ref="E322:P322" si="199">SUM(E312:E321)</f>
        <v>13417</v>
      </c>
      <c r="F322" s="843">
        <f t="shared" si="199"/>
        <v>14.28</v>
      </c>
      <c r="G322" s="850">
        <f t="shared" si="199"/>
        <v>14479</v>
      </c>
      <c r="H322" s="852">
        <f t="shared" si="199"/>
        <v>15.76</v>
      </c>
      <c r="I322" s="850">
        <f t="shared" si="199"/>
        <v>15576</v>
      </c>
      <c r="J322" s="843">
        <f t="shared" si="199"/>
        <v>17.14</v>
      </c>
      <c r="K322" s="850">
        <f t="shared" si="199"/>
        <v>16303</v>
      </c>
      <c r="L322" s="852">
        <f t="shared" si="199"/>
        <v>18.36</v>
      </c>
      <c r="M322" s="850">
        <f t="shared" si="199"/>
        <v>17347</v>
      </c>
      <c r="N322" s="843">
        <f t="shared" si="199"/>
        <v>19.75</v>
      </c>
      <c r="O322" s="850">
        <f t="shared" si="199"/>
        <v>18067</v>
      </c>
      <c r="P322" s="843">
        <f t="shared" si="199"/>
        <v>20.96</v>
      </c>
      <c r="Q322" s="880">
        <f t="shared" si="191"/>
        <v>0.62</v>
      </c>
      <c r="R322" s="881">
        <f t="shared" si="192"/>
        <v>0.42</v>
      </c>
      <c r="S322" s="855">
        <f>SUM(S312:S321)</f>
        <v>26.53</v>
      </c>
      <c r="U322" s="850">
        <f t="shared" si="189"/>
        <v>6913</v>
      </c>
      <c r="V322" s="843">
        <f t="shared" si="190"/>
        <v>6.16</v>
      </c>
    </row>
    <row r="323" spans="1:22" ht="27" customHeight="1" thickBot="1">
      <c r="A323" s="3224" t="s">
        <v>575</v>
      </c>
      <c r="B323" s="3224"/>
      <c r="C323" s="3224"/>
      <c r="D323" s="3224"/>
      <c r="E323" s="3224"/>
      <c r="F323" s="3224"/>
      <c r="G323" s="3224"/>
      <c r="H323" s="3224"/>
      <c r="I323" s="3224"/>
      <c r="J323" s="3224"/>
      <c r="K323" s="3224"/>
      <c r="L323" s="3224"/>
      <c r="M323" s="3224"/>
      <c r="N323" s="3224"/>
      <c r="O323" s="3224"/>
      <c r="P323" s="3224"/>
      <c r="Q323" s="3224"/>
      <c r="R323" s="3224"/>
      <c r="S323" s="3224"/>
    </row>
    <row r="324" spans="1:22" ht="26.25" customHeight="1">
      <c r="A324" s="3429" t="s">
        <v>85</v>
      </c>
      <c r="B324" s="3431" t="s">
        <v>541</v>
      </c>
      <c r="C324" s="3217" t="s">
        <v>542</v>
      </c>
      <c r="D324" s="3217"/>
      <c r="E324" s="3216" t="s">
        <v>543</v>
      </c>
      <c r="F324" s="3218"/>
      <c r="G324" s="3217" t="s">
        <v>544</v>
      </c>
      <c r="H324" s="3217"/>
      <c r="I324" s="3258" t="s">
        <v>545</v>
      </c>
      <c r="J324" s="3245"/>
      <c r="K324" s="3264" t="s">
        <v>546</v>
      </c>
      <c r="L324" s="3264"/>
      <c r="M324" s="3258" t="s">
        <v>547</v>
      </c>
      <c r="N324" s="3245"/>
      <c r="O324" s="3258" t="s">
        <v>548</v>
      </c>
      <c r="P324" s="3245"/>
      <c r="Q324" s="3264" t="s">
        <v>57</v>
      </c>
      <c r="R324" s="3264"/>
      <c r="S324" s="3433" t="s">
        <v>549</v>
      </c>
      <c r="U324" s="3258" t="s">
        <v>59</v>
      </c>
      <c r="V324" s="3245"/>
    </row>
    <row r="325" spans="1:22" ht="15.75" thickBot="1">
      <c r="A325" s="3430"/>
      <c r="B325" s="3432"/>
      <c r="C325" s="1889" t="s">
        <v>550</v>
      </c>
      <c r="D325" s="831" t="s">
        <v>551</v>
      </c>
      <c r="E325" s="832" t="s">
        <v>550</v>
      </c>
      <c r="F325" s="833" t="s">
        <v>551</v>
      </c>
      <c r="G325" s="1889" t="s">
        <v>550</v>
      </c>
      <c r="H325" s="831" t="s">
        <v>551</v>
      </c>
      <c r="I325" s="834" t="s">
        <v>550</v>
      </c>
      <c r="J325" s="833" t="s">
        <v>551</v>
      </c>
      <c r="K325" s="1890" t="s">
        <v>550</v>
      </c>
      <c r="L325" s="831" t="s">
        <v>551</v>
      </c>
      <c r="M325" s="834" t="s">
        <v>550</v>
      </c>
      <c r="N325" s="833" t="s">
        <v>551</v>
      </c>
      <c r="O325" s="834" t="s">
        <v>550</v>
      </c>
      <c r="P325" s="833" t="s">
        <v>551</v>
      </c>
      <c r="Q325" s="1891" t="s">
        <v>529</v>
      </c>
      <c r="R325" s="831" t="s">
        <v>551</v>
      </c>
      <c r="S325" s="3434"/>
      <c r="U325" s="1645" t="s">
        <v>529</v>
      </c>
      <c r="V325" s="1646" t="s">
        <v>551</v>
      </c>
    </row>
    <row r="326" spans="1:22">
      <c r="A326" s="3435" t="s">
        <v>252</v>
      </c>
      <c r="B326" s="933" t="s">
        <v>553</v>
      </c>
      <c r="C326" s="971">
        <v>0</v>
      </c>
      <c r="D326" s="853">
        <f>(F326/$F$336)*$D$336</f>
        <v>0.02</v>
      </c>
      <c r="E326" s="847">
        <v>27</v>
      </c>
      <c r="F326" s="853">
        <v>0.02</v>
      </c>
      <c r="G326" s="847">
        <v>27</v>
      </c>
      <c r="H326" s="851">
        <v>0.03</v>
      </c>
      <c r="I326" s="847">
        <v>27</v>
      </c>
      <c r="J326" s="853">
        <v>0.03</v>
      </c>
      <c r="K326" s="847">
        <v>27</v>
      </c>
      <c r="L326" s="851">
        <v>0.03</v>
      </c>
      <c r="M326" s="847">
        <v>27</v>
      </c>
      <c r="N326" s="853">
        <v>0.03</v>
      </c>
      <c r="O326" s="847">
        <v>27</v>
      </c>
      <c r="P326" s="853">
        <v>0.03</v>
      </c>
      <c r="Q326" s="878" t="s">
        <v>16</v>
      </c>
      <c r="R326" s="879">
        <f t="shared" si="192"/>
        <v>0.5</v>
      </c>
      <c r="S326" s="854">
        <v>0.04</v>
      </c>
      <c r="U326" s="847">
        <f t="shared" si="189"/>
        <v>27</v>
      </c>
      <c r="V326" s="853">
        <f t="shared" si="190"/>
        <v>0.01</v>
      </c>
    </row>
    <row r="327" spans="1:22">
      <c r="A327" s="3436"/>
      <c r="B327" s="931" t="s">
        <v>554</v>
      </c>
      <c r="C327" s="972">
        <v>7</v>
      </c>
      <c r="D327" s="836">
        <f t="shared" ref="D327:D335" si="200">(F327/$F$336)*$D$336</f>
        <v>0.11</v>
      </c>
      <c r="E327" s="848">
        <v>60</v>
      </c>
      <c r="F327" s="835">
        <v>0.11</v>
      </c>
      <c r="G327" s="848">
        <v>221</v>
      </c>
      <c r="H327" s="836">
        <v>0.4</v>
      </c>
      <c r="I327" s="848">
        <v>331</v>
      </c>
      <c r="J327" s="835">
        <v>0.6</v>
      </c>
      <c r="K327" s="848">
        <v>421</v>
      </c>
      <c r="L327" s="836">
        <v>0.76</v>
      </c>
      <c r="M327" s="848">
        <v>543</v>
      </c>
      <c r="N327" s="835">
        <v>0.97</v>
      </c>
      <c r="O327" s="848">
        <v>681</v>
      </c>
      <c r="P327" s="835">
        <v>1.22</v>
      </c>
      <c r="Q327" s="859">
        <f t="shared" si="191"/>
        <v>96.29</v>
      </c>
      <c r="R327" s="858">
        <f t="shared" si="192"/>
        <v>10.09</v>
      </c>
      <c r="S327" s="841">
        <v>1.72</v>
      </c>
      <c r="U327" s="848">
        <f t="shared" si="189"/>
        <v>674</v>
      </c>
      <c r="V327" s="835">
        <f t="shared" si="190"/>
        <v>1.1100000000000001</v>
      </c>
    </row>
    <row r="328" spans="1:22">
      <c r="A328" s="3436"/>
      <c r="B328" s="931" t="s">
        <v>555</v>
      </c>
      <c r="C328" s="972">
        <v>0</v>
      </c>
      <c r="D328" s="836">
        <f t="shared" si="200"/>
        <v>0</v>
      </c>
      <c r="E328" s="848">
        <v>0</v>
      </c>
      <c r="F328" s="835">
        <v>0</v>
      </c>
      <c r="G328" s="848">
        <v>0</v>
      </c>
      <c r="H328" s="836">
        <v>0</v>
      </c>
      <c r="I328" s="848">
        <v>75</v>
      </c>
      <c r="J328" s="835">
        <v>0.09</v>
      </c>
      <c r="K328" s="848">
        <v>75</v>
      </c>
      <c r="L328" s="836">
        <v>0.09</v>
      </c>
      <c r="M328" s="848">
        <v>75</v>
      </c>
      <c r="N328" s="835">
        <v>0.09</v>
      </c>
      <c r="O328" s="848">
        <v>75</v>
      </c>
      <c r="P328" s="835">
        <v>0.09</v>
      </c>
      <c r="Q328" s="859" t="s">
        <v>16</v>
      </c>
      <c r="R328" s="858" t="s">
        <v>16</v>
      </c>
      <c r="S328" s="841">
        <v>0.12</v>
      </c>
      <c r="U328" s="848">
        <f t="shared" si="189"/>
        <v>75</v>
      </c>
      <c r="V328" s="835">
        <f t="shared" si="190"/>
        <v>0.09</v>
      </c>
    </row>
    <row r="329" spans="1:22">
      <c r="A329" s="3436"/>
      <c r="B329" s="931" t="s">
        <v>556</v>
      </c>
      <c r="C329" s="972">
        <v>1617</v>
      </c>
      <c r="D329" s="836">
        <f t="shared" si="200"/>
        <v>3.53</v>
      </c>
      <c r="E329" s="848">
        <v>3019</v>
      </c>
      <c r="F329" s="835">
        <v>3.64</v>
      </c>
      <c r="G329" s="848">
        <v>3239</v>
      </c>
      <c r="H329" s="836">
        <v>3.96</v>
      </c>
      <c r="I329" s="848">
        <v>3381</v>
      </c>
      <c r="J329" s="835">
        <v>4.18</v>
      </c>
      <c r="K329" s="848">
        <v>3452</v>
      </c>
      <c r="L329" s="836">
        <v>4.3099999999999996</v>
      </c>
      <c r="M329" s="848">
        <v>3684</v>
      </c>
      <c r="N329" s="835">
        <v>4.6399999999999997</v>
      </c>
      <c r="O329" s="848">
        <v>3794</v>
      </c>
      <c r="P329" s="835">
        <v>4.8099999999999996</v>
      </c>
      <c r="Q329" s="859">
        <f t="shared" si="191"/>
        <v>1.35</v>
      </c>
      <c r="R329" s="858">
        <f t="shared" si="192"/>
        <v>0.36</v>
      </c>
      <c r="S329" s="841">
        <v>6.3</v>
      </c>
      <c r="U329" s="848">
        <f t="shared" si="189"/>
        <v>2177</v>
      </c>
      <c r="V329" s="835">
        <f t="shared" si="190"/>
        <v>1.28</v>
      </c>
    </row>
    <row r="330" spans="1:22">
      <c r="A330" s="3436"/>
      <c r="B330" s="931" t="s">
        <v>557</v>
      </c>
      <c r="C330" s="972">
        <v>16679</v>
      </c>
      <c r="D330" s="836">
        <f t="shared" si="200"/>
        <v>13.96</v>
      </c>
      <c r="E330" s="848">
        <v>19361</v>
      </c>
      <c r="F330" s="835">
        <v>14.38</v>
      </c>
      <c r="G330" s="848">
        <v>19462</v>
      </c>
      <c r="H330" s="836">
        <v>14.55</v>
      </c>
      <c r="I330" s="848">
        <v>19658</v>
      </c>
      <c r="J330" s="835">
        <v>14.8</v>
      </c>
      <c r="K330" s="848">
        <v>19859</v>
      </c>
      <c r="L330" s="836">
        <v>15.14</v>
      </c>
      <c r="M330" s="848">
        <v>20006</v>
      </c>
      <c r="N330" s="835">
        <v>15.41</v>
      </c>
      <c r="O330" s="848">
        <v>20205</v>
      </c>
      <c r="P330" s="835">
        <v>15.71</v>
      </c>
      <c r="Q330" s="859">
        <f t="shared" si="191"/>
        <v>0.21</v>
      </c>
      <c r="R330" s="858">
        <f t="shared" si="192"/>
        <v>0.13</v>
      </c>
      <c r="S330" s="841">
        <v>19.95</v>
      </c>
      <c r="U330" s="848">
        <f t="shared" si="189"/>
        <v>3526</v>
      </c>
      <c r="V330" s="835">
        <f t="shared" si="190"/>
        <v>1.75</v>
      </c>
    </row>
    <row r="331" spans="1:22">
      <c r="A331" s="3436"/>
      <c r="B331" s="931" t="s">
        <v>558</v>
      </c>
      <c r="C331" s="972">
        <v>342</v>
      </c>
      <c r="D331" s="836">
        <f t="shared" si="200"/>
        <v>0.76</v>
      </c>
      <c r="E331" s="848">
        <v>370</v>
      </c>
      <c r="F331" s="835">
        <v>0.78</v>
      </c>
      <c r="G331" s="848">
        <v>431</v>
      </c>
      <c r="H331" s="836">
        <v>0.92</v>
      </c>
      <c r="I331" s="848">
        <v>431</v>
      </c>
      <c r="J331" s="835">
        <v>0.92</v>
      </c>
      <c r="K331" s="848">
        <v>515</v>
      </c>
      <c r="L331" s="836">
        <v>1.1100000000000001</v>
      </c>
      <c r="M331" s="848">
        <v>583</v>
      </c>
      <c r="N331" s="835">
        <v>1.26</v>
      </c>
      <c r="O331" s="848">
        <v>705</v>
      </c>
      <c r="P331" s="835">
        <v>1.53</v>
      </c>
      <c r="Q331" s="859">
        <f t="shared" si="191"/>
        <v>1.06</v>
      </c>
      <c r="R331" s="858">
        <f t="shared" si="192"/>
        <v>1.01</v>
      </c>
      <c r="S331" s="841">
        <v>1.73</v>
      </c>
      <c r="U331" s="848">
        <f t="shared" si="189"/>
        <v>363</v>
      </c>
      <c r="V331" s="835">
        <f t="shared" si="190"/>
        <v>0.77</v>
      </c>
    </row>
    <row r="332" spans="1:22">
      <c r="A332" s="3436"/>
      <c r="B332" s="931" t="s">
        <v>559</v>
      </c>
      <c r="C332" s="972">
        <v>267</v>
      </c>
      <c r="D332" s="836">
        <f t="shared" si="200"/>
        <v>1.31</v>
      </c>
      <c r="E332" s="848">
        <v>1547</v>
      </c>
      <c r="F332" s="835">
        <v>1.35</v>
      </c>
      <c r="G332" s="848">
        <v>1578</v>
      </c>
      <c r="H332" s="836">
        <v>1.35</v>
      </c>
      <c r="I332" s="848">
        <v>1632</v>
      </c>
      <c r="J332" s="835">
        <v>1.36</v>
      </c>
      <c r="K332" s="848">
        <v>1754</v>
      </c>
      <c r="L332" s="836">
        <v>1.46</v>
      </c>
      <c r="M332" s="848">
        <v>1754</v>
      </c>
      <c r="N332" s="835">
        <v>1.44</v>
      </c>
      <c r="O332" s="848">
        <v>1754</v>
      </c>
      <c r="P332" s="835">
        <v>1.42</v>
      </c>
      <c r="Q332" s="859">
        <f t="shared" si="191"/>
        <v>5.57</v>
      </c>
      <c r="R332" s="858">
        <f t="shared" si="192"/>
        <v>0.08</v>
      </c>
      <c r="S332" s="841">
        <v>1.93</v>
      </c>
      <c r="U332" s="848">
        <f t="shared" si="189"/>
        <v>1487</v>
      </c>
      <c r="V332" s="835">
        <f t="shared" si="190"/>
        <v>0.11</v>
      </c>
    </row>
    <row r="333" spans="1:22">
      <c r="A333" s="3436"/>
      <c r="B333" s="931" t="s">
        <v>560</v>
      </c>
      <c r="C333" s="972">
        <v>0</v>
      </c>
      <c r="D333" s="836">
        <f t="shared" si="200"/>
        <v>0</v>
      </c>
      <c r="E333" s="848">
        <v>0</v>
      </c>
      <c r="F333" s="835">
        <v>0</v>
      </c>
      <c r="G333" s="848">
        <v>0</v>
      </c>
      <c r="H333" s="836">
        <v>0</v>
      </c>
      <c r="I333" s="848">
        <v>0</v>
      </c>
      <c r="J333" s="835">
        <v>0</v>
      </c>
      <c r="K333" s="848">
        <v>0</v>
      </c>
      <c r="L333" s="836">
        <v>0</v>
      </c>
      <c r="M333" s="848">
        <v>0</v>
      </c>
      <c r="N333" s="835">
        <v>0</v>
      </c>
      <c r="O333" s="848">
        <v>0</v>
      </c>
      <c r="P333" s="835">
        <v>0</v>
      </c>
      <c r="Q333" s="859" t="s">
        <v>16</v>
      </c>
      <c r="R333" s="858" t="s">
        <v>16</v>
      </c>
      <c r="S333" s="841">
        <v>0</v>
      </c>
      <c r="U333" s="848">
        <f t="shared" si="189"/>
        <v>0</v>
      </c>
      <c r="V333" s="835">
        <f t="shared" si="190"/>
        <v>0</v>
      </c>
    </row>
    <row r="334" spans="1:22">
      <c r="A334" s="3436"/>
      <c r="B334" s="931" t="s">
        <v>561</v>
      </c>
      <c r="C334" s="972">
        <v>0</v>
      </c>
      <c r="D334" s="836">
        <f t="shared" si="200"/>
        <v>0</v>
      </c>
      <c r="E334" s="848">
        <v>0</v>
      </c>
      <c r="F334" s="835">
        <v>0</v>
      </c>
      <c r="G334" s="848">
        <v>0</v>
      </c>
      <c r="H334" s="836">
        <v>0</v>
      </c>
      <c r="I334" s="848">
        <v>0</v>
      </c>
      <c r="J334" s="835">
        <v>0</v>
      </c>
      <c r="K334" s="848">
        <v>0</v>
      </c>
      <c r="L334" s="836">
        <v>0</v>
      </c>
      <c r="M334" s="848">
        <v>0</v>
      </c>
      <c r="N334" s="835">
        <v>0</v>
      </c>
      <c r="O334" s="848">
        <v>0</v>
      </c>
      <c r="P334" s="835">
        <v>0</v>
      </c>
      <c r="Q334" s="859" t="s">
        <v>16</v>
      </c>
      <c r="R334" s="858" t="s">
        <v>16</v>
      </c>
      <c r="S334" s="841">
        <v>0</v>
      </c>
      <c r="U334" s="848">
        <f t="shared" si="189"/>
        <v>0</v>
      </c>
      <c r="V334" s="835">
        <f t="shared" si="190"/>
        <v>0</v>
      </c>
    </row>
    <row r="335" spans="1:22" ht="15.75" thickBot="1">
      <c r="A335" s="3436"/>
      <c r="B335" s="932" t="s">
        <v>562</v>
      </c>
      <c r="C335" s="1880">
        <v>0</v>
      </c>
      <c r="D335" s="1881">
        <f t="shared" si="200"/>
        <v>1.18</v>
      </c>
      <c r="E335" s="849">
        <v>0</v>
      </c>
      <c r="F335" s="1885">
        <v>1.22</v>
      </c>
      <c r="G335" s="849">
        <v>0</v>
      </c>
      <c r="H335" s="1881">
        <f>F335</f>
        <v>1.22</v>
      </c>
      <c r="I335" s="849">
        <v>0</v>
      </c>
      <c r="J335" s="1885">
        <f>H335</f>
        <v>1.22</v>
      </c>
      <c r="K335" s="849">
        <v>0</v>
      </c>
      <c r="L335" s="1881">
        <f>J335</f>
        <v>1.22</v>
      </c>
      <c r="M335" s="849">
        <v>0</v>
      </c>
      <c r="N335" s="1885">
        <f>L335</f>
        <v>1.22</v>
      </c>
      <c r="O335" s="849">
        <v>0</v>
      </c>
      <c r="P335" s="1885">
        <v>1.22</v>
      </c>
      <c r="Q335" s="1886" t="s">
        <v>16</v>
      </c>
      <c r="R335" s="1888">
        <f t="shared" si="192"/>
        <v>0.03</v>
      </c>
      <c r="S335" s="846">
        <f>N335</f>
        <v>1.22</v>
      </c>
      <c r="U335" s="849">
        <f t="shared" si="189"/>
        <v>0</v>
      </c>
      <c r="V335" s="1885">
        <f t="shared" si="190"/>
        <v>0.04</v>
      </c>
    </row>
    <row r="336" spans="1:22" ht="16.5" thickTop="1" thickBot="1">
      <c r="A336" s="3437"/>
      <c r="B336" s="842" t="s">
        <v>18</v>
      </c>
      <c r="C336" s="973">
        <f>SUM(C326:C335)</f>
        <v>18912</v>
      </c>
      <c r="D336" s="852">
        <f>'Table 7'!E44</f>
        <v>20.87</v>
      </c>
      <c r="E336" s="850">
        <f t="shared" ref="E336:P336" si="201">SUM(E326:E335)</f>
        <v>24384</v>
      </c>
      <c r="F336" s="843">
        <f t="shared" si="201"/>
        <v>21.5</v>
      </c>
      <c r="G336" s="850">
        <f t="shared" si="201"/>
        <v>24958</v>
      </c>
      <c r="H336" s="852">
        <f t="shared" si="201"/>
        <v>22.43</v>
      </c>
      <c r="I336" s="850">
        <f t="shared" si="201"/>
        <v>25535</v>
      </c>
      <c r="J336" s="843">
        <f t="shared" si="201"/>
        <v>23.2</v>
      </c>
      <c r="K336" s="850">
        <f t="shared" si="201"/>
        <v>26103</v>
      </c>
      <c r="L336" s="852">
        <f t="shared" si="201"/>
        <v>24.12</v>
      </c>
      <c r="M336" s="850">
        <f t="shared" si="201"/>
        <v>26672</v>
      </c>
      <c r="N336" s="843">
        <f t="shared" si="201"/>
        <v>25.06</v>
      </c>
      <c r="O336" s="850">
        <f t="shared" si="201"/>
        <v>27241</v>
      </c>
      <c r="P336" s="843">
        <f t="shared" si="201"/>
        <v>26.03</v>
      </c>
      <c r="Q336" s="880">
        <f t="shared" si="191"/>
        <v>0.44</v>
      </c>
      <c r="R336" s="881">
        <f t="shared" si="192"/>
        <v>0.25</v>
      </c>
      <c r="S336" s="855">
        <f>SUM(S326:S335)</f>
        <v>33.01</v>
      </c>
      <c r="U336" s="850">
        <f t="shared" si="189"/>
        <v>8329</v>
      </c>
      <c r="V336" s="843">
        <f t="shared" si="190"/>
        <v>5.16</v>
      </c>
    </row>
    <row r="337" spans="1:22">
      <c r="A337" s="3435" t="s">
        <v>262</v>
      </c>
      <c r="B337" s="933" t="s">
        <v>553</v>
      </c>
      <c r="C337" s="971">
        <v>0</v>
      </c>
      <c r="D337" s="853">
        <f>(F337/$F$347)*$D$347</f>
        <v>0.04</v>
      </c>
      <c r="E337" s="847">
        <v>39</v>
      </c>
      <c r="F337" s="853">
        <v>0.04</v>
      </c>
      <c r="G337" s="847">
        <v>39</v>
      </c>
      <c r="H337" s="851">
        <v>0.04</v>
      </c>
      <c r="I337" s="847">
        <v>39</v>
      </c>
      <c r="J337" s="853">
        <v>0.04</v>
      </c>
      <c r="K337" s="847">
        <v>39</v>
      </c>
      <c r="L337" s="851">
        <v>0.04</v>
      </c>
      <c r="M337" s="847">
        <v>39</v>
      </c>
      <c r="N337" s="853">
        <v>0.04</v>
      </c>
      <c r="O337" s="847">
        <v>39</v>
      </c>
      <c r="P337" s="853">
        <v>0.04</v>
      </c>
      <c r="Q337" s="878" t="s">
        <v>16</v>
      </c>
      <c r="R337" s="879">
        <f t="shared" si="192"/>
        <v>0</v>
      </c>
      <c r="S337" s="854">
        <v>0.06</v>
      </c>
      <c r="U337" s="847">
        <f t="shared" si="189"/>
        <v>39</v>
      </c>
      <c r="V337" s="853">
        <f t="shared" si="190"/>
        <v>0</v>
      </c>
    </row>
    <row r="338" spans="1:22">
      <c r="A338" s="3436"/>
      <c r="B338" s="931" t="s">
        <v>554</v>
      </c>
      <c r="C338" s="972">
        <v>0</v>
      </c>
      <c r="D338" s="836">
        <f t="shared" ref="D338:D346" si="202">(F338/$F$347)*$D$347</f>
        <v>0</v>
      </c>
      <c r="E338" s="848">
        <v>0</v>
      </c>
      <c r="F338" s="835">
        <v>0</v>
      </c>
      <c r="G338" s="848">
        <v>0</v>
      </c>
      <c r="H338" s="836">
        <v>0</v>
      </c>
      <c r="I338" s="848">
        <v>0</v>
      </c>
      <c r="J338" s="835">
        <v>0</v>
      </c>
      <c r="K338" s="848">
        <v>0</v>
      </c>
      <c r="L338" s="836">
        <v>0</v>
      </c>
      <c r="M338" s="848">
        <v>0</v>
      </c>
      <c r="N338" s="835">
        <v>0</v>
      </c>
      <c r="O338" s="848">
        <v>0</v>
      </c>
      <c r="P338" s="835">
        <v>0</v>
      </c>
      <c r="Q338" s="859" t="s">
        <v>16</v>
      </c>
      <c r="R338" s="858" t="s">
        <v>16</v>
      </c>
      <c r="S338" s="841">
        <v>0</v>
      </c>
      <c r="U338" s="848">
        <f t="shared" si="189"/>
        <v>0</v>
      </c>
      <c r="V338" s="835">
        <f t="shared" si="190"/>
        <v>0</v>
      </c>
    </row>
    <row r="339" spans="1:22">
      <c r="A339" s="3436"/>
      <c r="B339" s="931" t="s">
        <v>555</v>
      </c>
      <c r="C339" s="972">
        <v>0</v>
      </c>
      <c r="D339" s="836">
        <f t="shared" si="202"/>
        <v>0</v>
      </c>
      <c r="E339" s="848">
        <v>0</v>
      </c>
      <c r="F339" s="835">
        <v>0</v>
      </c>
      <c r="G339" s="848">
        <v>0</v>
      </c>
      <c r="H339" s="836">
        <v>0</v>
      </c>
      <c r="I339" s="848">
        <v>0</v>
      </c>
      <c r="J339" s="835">
        <v>0</v>
      </c>
      <c r="K339" s="848">
        <v>0</v>
      </c>
      <c r="L339" s="836">
        <v>0</v>
      </c>
      <c r="M339" s="848">
        <v>0</v>
      </c>
      <c r="N339" s="835">
        <v>0</v>
      </c>
      <c r="O339" s="848">
        <v>0</v>
      </c>
      <c r="P339" s="835">
        <v>0</v>
      </c>
      <c r="Q339" s="859" t="s">
        <v>16</v>
      </c>
      <c r="R339" s="858" t="s">
        <v>16</v>
      </c>
      <c r="S339" s="841">
        <v>0</v>
      </c>
      <c r="U339" s="848">
        <f t="shared" si="189"/>
        <v>0</v>
      </c>
      <c r="V339" s="835">
        <f t="shared" si="190"/>
        <v>0</v>
      </c>
    </row>
    <row r="340" spans="1:22">
      <c r="A340" s="3436"/>
      <c r="B340" s="931" t="s">
        <v>556</v>
      </c>
      <c r="C340" s="972">
        <v>0</v>
      </c>
      <c r="D340" s="836">
        <f t="shared" si="202"/>
        <v>0</v>
      </c>
      <c r="E340" s="848">
        <v>0</v>
      </c>
      <c r="F340" s="835">
        <v>0</v>
      </c>
      <c r="G340" s="848">
        <v>0</v>
      </c>
      <c r="H340" s="836">
        <v>0</v>
      </c>
      <c r="I340" s="848">
        <v>0</v>
      </c>
      <c r="J340" s="835">
        <v>0</v>
      </c>
      <c r="K340" s="848">
        <v>0</v>
      </c>
      <c r="L340" s="836">
        <v>0</v>
      </c>
      <c r="M340" s="848">
        <v>0</v>
      </c>
      <c r="N340" s="835">
        <v>0</v>
      </c>
      <c r="O340" s="848">
        <v>0</v>
      </c>
      <c r="P340" s="835">
        <v>0</v>
      </c>
      <c r="Q340" s="859" t="s">
        <v>16</v>
      </c>
      <c r="R340" s="858" t="s">
        <v>16</v>
      </c>
      <c r="S340" s="841">
        <v>0</v>
      </c>
      <c r="U340" s="848">
        <f t="shared" si="189"/>
        <v>0</v>
      </c>
      <c r="V340" s="835">
        <f t="shared" si="190"/>
        <v>0</v>
      </c>
    </row>
    <row r="341" spans="1:22">
      <c r="A341" s="3436"/>
      <c r="B341" s="931" t="s">
        <v>557</v>
      </c>
      <c r="C341" s="972">
        <v>0</v>
      </c>
      <c r="D341" s="836">
        <f t="shared" si="202"/>
        <v>0</v>
      </c>
      <c r="E341" s="848">
        <v>0</v>
      </c>
      <c r="F341" s="835">
        <v>0</v>
      </c>
      <c r="G341" s="848">
        <v>0</v>
      </c>
      <c r="H341" s="836">
        <v>0</v>
      </c>
      <c r="I341" s="848">
        <v>0</v>
      </c>
      <c r="J341" s="835">
        <v>0</v>
      </c>
      <c r="K341" s="848">
        <v>0</v>
      </c>
      <c r="L341" s="836">
        <v>0</v>
      </c>
      <c r="M341" s="848">
        <v>0</v>
      </c>
      <c r="N341" s="835">
        <v>0</v>
      </c>
      <c r="O341" s="848">
        <v>0</v>
      </c>
      <c r="P341" s="835">
        <v>0</v>
      </c>
      <c r="Q341" s="859" t="s">
        <v>16</v>
      </c>
      <c r="R341" s="858" t="s">
        <v>16</v>
      </c>
      <c r="S341" s="841">
        <v>0</v>
      </c>
      <c r="U341" s="848">
        <f t="shared" si="189"/>
        <v>0</v>
      </c>
      <c r="V341" s="835">
        <f t="shared" si="190"/>
        <v>0</v>
      </c>
    </row>
    <row r="342" spans="1:22">
      <c r="A342" s="3436"/>
      <c r="B342" s="931" t="s">
        <v>558</v>
      </c>
      <c r="C342" s="972">
        <v>7</v>
      </c>
      <c r="D342" s="836">
        <f t="shared" si="202"/>
        <v>0.01</v>
      </c>
      <c r="E342" s="848">
        <v>7</v>
      </c>
      <c r="F342" s="835">
        <v>0.01</v>
      </c>
      <c r="G342" s="848">
        <v>7</v>
      </c>
      <c r="H342" s="836">
        <v>0.01</v>
      </c>
      <c r="I342" s="848">
        <v>7</v>
      </c>
      <c r="J342" s="835">
        <v>0.01</v>
      </c>
      <c r="K342" s="848">
        <v>7</v>
      </c>
      <c r="L342" s="836">
        <v>0.01</v>
      </c>
      <c r="M342" s="848">
        <v>7</v>
      </c>
      <c r="N342" s="835">
        <v>0.01</v>
      </c>
      <c r="O342" s="848">
        <v>7</v>
      </c>
      <c r="P342" s="835">
        <v>0.01</v>
      </c>
      <c r="Q342" s="859">
        <f t="shared" si="191"/>
        <v>0</v>
      </c>
      <c r="R342" s="858">
        <f t="shared" si="192"/>
        <v>0</v>
      </c>
      <c r="S342" s="841">
        <v>0.01</v>
      </c>
      <c r="U342" s="848">
        <f t="shared" si="189"/>
        <v>0</v>
      </c>
      <c r="V342" s="835">
        <f t="shared" si="190"/>
        <v>0</v>
      </c>
    </row>
    <row r="343" spans="1:22">
      <c r="A343" s="3436"/>
      <c r="B343" s="931" t="s">
        <v>559</v>
      </c>
      <c r="C343" s="972">
        <v>469</v>
      </c>
      <c r="D343" s="836">
        <f t="shared" si="202"/>
        <v>0.34</v>
      </c>
      <c r="E343" s="848">
        <v>469</v>
      </c>
      <c r="F343" s="835">
        <v>0.38</v>
      </c>
      <c r="G343" s="848">
        <v>469</v>
      </c>
      <c r="H343" s="836">
        <v>0.37</v>
      </c>
      <c r="I343" s="848">
        <v>469</v>
      </c>
      <c r="J343" s="835">
        <v>0.37</v>
      </c>
      <c r="K343" s="848">
        <v>469</v>
      </c>
      <c r="L343" s="836">
        <v>0.36</v>
      </c>
      <c r="M343" s="848">
        <v>469</v>
      </c>
      <c r="N343" s="835">
        <v>0.36</v>
      </c>
      <c r="O343" s="848">
        <v>469</v>
      </c>
      <c r="P343" s="835">
        <v>0.35</v>
      </c>
      <c r="Q343" s="859">
        <f t="shared" si="191"/>
        <v>0</v>
      </c>
      <c r="R343" s="858">
        <f t="shared" si="192"/>
        <v>0.03</v>
      </c>
      <c r="S343" s="841">
        <v>0.48</v>
      </c>
      <c r="U343" s="848">
        <f t="shared" si="189"/>
        <v>0</v>
      </c>
      <c r="V343" s="835">
        <f t="shared" si="190"/>
        <v>0.01</v>
      </c>
    </row>
    <row r="344" spans="1:22">
      <c r="A344" s="3436"/>
      <c r="B344" s="931" t="s">
        <v>560</v>
      </c>
      <c r="C344" s="972">
        <v>0</v>
      </c>
      <c r="D344" s="836">
        <f t="shared" si="202"/>
        <v>0</v>
      </c>
      <c r="E344" s="848">
        <v>0</v>
      </c>
      <c r="F344" s="835">
        <v>0</v>
      </c>
      <c r="G344" s="848">
        <v>0</v>
      </c>
      <c r="H344" s="836">
        <v>0</v>
      </c>
      <c r="I344" s="848">
        <v>0</v>
      </c>
      <c r="J344" s="835">
        <v>0</v>
      </c>
      <c r="K344" s="848">
        <v>0</v>
      </c>
      <c r="L344" s="836">
        <v>0</v>
      </c>
      <c r="M344" s="848">
        <v>0</v>
      </c>
      <c r="N344" s="835">
        <v>0</v>
      </c>
      <c r="O344" s="848">
        <v>0</v>
      </c>
      <c r="P344" s="835">
        <v>0</v>
      </c>
      <c r="Q344" s="859" t="s">
        <v>16</v>
      </c>
      <c r="R344" s="858" t="s">
        <v>16</v>
      </c>
      <c r="S344" s="841">
        <v>0</v>
      </c>
      <c r="U344" s="848">
        <f t="shared" si="189"/>
        <v>0</v>
      </c>
      <c r="V344" s="835">
        <f t="shared" si="190"/>
        <v>0</v>
      </c>
    </row>
    <row r="345" spans="1:22">
      <c r="A345" s="3436"/>
      <c r="B345" s="931" t="s">
        <v>561</v>
      </c>
      <c r="C345" s="972">
        <v>0</v>
      </c>
      <c r="D345" s="836">
        <f t="shared" si="202"/>
        <v>0</v>
      </c>
      <c r="E345" s="848">
        <v>0</v>
      </c>
      <c r="F345" s="835">
        <v>0</v>
      </c>
      <c r="G345" s="848">
        <v>0</v>
      </c>
      <c r="H345" s="836">
        <v>0</v>
      </c>
      <c r="I345" s="848">
        <v>0</v>
      </c>
      <c r="J345" s="835">
        <v>0</v>
      </c>
      <c r="K345" s="848">
        <v>0</v>
      </c>
      <c r="L345" s="836">
        <v>0</v>
      </c>
      <c r="M345" s="848">
        <v>0</v>
      </c>
      <c r="N345" s="835">
        <v>0</v>
      </c>
      <c r="O345" s="848">
        <v>0</v>
      </c>
      <c r="P345" s="835">
        <v>0</v>
      </c>
      <c r="Q345" s="859" t="s">
        <v>16</v>
      </c>
      <c r="R345" s="858" t="s">
        <v>16</v>
      </c>
      <c r="S345" s="841">
        <v>0</v>
      </c>
      <c r="U345" s="848">
        <f t="shared" si="189"/>
        <v>0</v>
      </c>
      <c r="V345" s="835">
        <f t="shared" si="190"/>
        <v>0</v>
      </c>
    </row>
    <row r="346" spans="1:22" ht="15.75" thickBot="1">
      <c r="A346" s="3436"/>
      <c r="B346" s="932" t="s">
        <v>562</v>
      </c>
      <c r="C346" s="1880">
        <v>0</v>
      </c>
      <c r="D346" s="1881">
        <f t="shared" si="202"/>
        <v>0.08</v>
      </c>
      <c r="E346" s="849">
        <v>0</v>
      </c>
      <c r="F346" s="1885">
        <v>0.09</v>
      </c>
      <c r="G346" s="849">
        <v>0</v>
      </c>
      <c r="H346" s="1881">
        <f>F346</f>
        <v>0.09</v>
      </c>
      <c r="I346" s="849">
        <v>0</v>
      </c>
      <c r="J346" s="1885">
        <f>H346</f>
        <v>0.09</v>
      </c>
      <c r="K346" s="849">
        <v>0</v>
      </c>
      <c r="L346" s="1881">
        <f>J346</f>
        <v>0.09</v>
      </c>
      <c r="M346" s="849">
        <v>0</v>
      </c>
      <c r="N346" s="1885">
        <f>L346</f>
        <v>0.09</v>
      </c>
      <c r="O346" s="849">
        <v>0</v>
      </c>
      <c r="P346" s="1885">
        <v>0.09</v>
      </c>
      <c r="Q346" s="1886" t="s">
        <v>16</v>
      </c>
      <c r="R346" s="1888">
        <f t="shared" ref="R346:R347" si="203">(P346-D346)/D346</f>
        <v>0.13</v>
      </c>
      <c r="S346" s="846">
        <f>N346</f>
        <v>0.09</v>
      </c>
      <c r="U346" s="849">
        <f t="shared" si="189"/>
        <v>0</v>
      </c>
      <c r="V346" s="1885">
        <f t="shared" si="190"/>
        <v>0.01</v>
      </c>
    </row>
    <row r="347" spans="1:22" ht="16.5" thickTop="1" thickBot="1">
      <c r="A347" s="3437"/>
      <c r="B347" s="842" t="s">
        <v>18</v>
      </c>
      <c r="C347" s="973">
        <f>SUM(C337:C346)</f>
        <v>476</v>
      </c>
      <c r="D347" s="852">
        <f>'Table 7'!E45</f>
        <v>0.46</v>
      </c>
      <c r="E347" s="850">
        <f t="shared" ref="E347:P347" si="204">SUM(E337:E346)</f>
        <v>515</v>
      </c>
      <c r="F347" s="843">
        <f t="shared" si="204"/>
        <v>0.52</v>
      </c>
      <c r="G347" s="850">
        <f t="shared" si="204"/>
        <v>515</v>
      </c>
      <c r="H347" s="852">
        <f t="shared" si="204"/>
        <v>0.51</v>
      </c>
      <c r="I347" s="850">
        <f t="shared" si="204"/>
        <v>515</v>
      </c>
      <c r="J347" s="843">
        <f t="shared" si="204"/>
        <v>0.51</v>
      </c>
      <c r="K347" s="850">
        <f t="shared" si="204"/>
        <v>515</v>
      </c>
      <c r="L347" s="852">
        <f t="shared" si="204"/>
        <v>0.5</v>
      </c>
      <c r="M347" s="850">
        <f t="shared" si="204"/>
        <v>515</v>
      </c>
      <c r="N347" s="843">
        <f t="shared" si="204"/>
        <v>0.5</v>
      </c>
      <c r="O347" s="850">
        <f t="shared" si="204"/>
        <v>515</v>
      </c>
      <c r="P347" s="843">
        <f t="shared" si="204"/>
        <v>0.49</v>
      </c>
      <c r="Q347" s="880">
        <f t="shared" ref="Q347" si="205">(O347-C347)/C347</f>
        <v>0.08</v>
      </c>
      <c r="R347" s="881">
        <f t="shared" si="203"/>
        <v>7.0000000000000007E-2</v>
      </c>
      <c r="S347" s="855">
        <f>SUM(S337:S346)</f>
        <v>0.64</v>
      </c>
      <c r="U347" s="850">
        <f t="shared" ref="U347:U358" si="206">O347-C347</f>
        <v>39</v>
      </c>
      <c r="V347" s="843">
        <f t="shared" ref="V347:V358" si="207">P347-D347</f>
        <v>0.03</v>
      </c>
    </row>
    <row r="348" spans="1:22">
      <c r="A348" s="3435" t="s">
        <v>576</v>
      </c>
      <c r="B348" s="933" t="s">
        <v>553</v>
      </c>
      <c r="C348" s="971">
        <f t="shared" ref="C348:C358" si="208">C279+C290+C301+C312+C326+C337</f>
        <v>0</v>
      </c>
      <c r="D348" s="851">
        <f t="shared" ref="D348:P348" si="209">D279+D290+D301+D312+D326+D337</f>
        <v>0.06</v>
      </c>
      <c r="E348" s="847">
        <f t="shared" si="209"/>
        <v>66</v>
      </c>
      <c r="F348" s="853">
        <f t="shared" si="209"/>
        <v>0.06</v>
      </c>
      <c r="G348" s="847">
        <f t="shared" si="209"/>
        <v>66</v>
      </c>
      <c r="H348" s="851">
        <f t="shared" si="209"/>
        <v>7.0000000000000007E-2</v>
      </c>
      <c r="I348" s="847">
        <f t="shared" si="209"/>
        <v>66</v>
      </c>
      <c r="J348" s="853">
        <f t="shared" si="209"/>
        <v>7.0000000000000007E-2</v>
      </c>
      <c r="K348" s="847">
        <f t="shared" si="209"/>
        <v>66</v>
      </c>
      <c r="L348" s="851">
        <f t="shared" si="209"/>
        <v>7.0000000000000007E-2</v>
      </c>
      <c r="M348" s="847">
        <f t="shared" si="209"/>
        <v>66</v>
      </c>
      <c r="N348" s="853">
        <f t="shared" si="209"/>
        <v>7.0000000000000007E-2</v>
      </c>
      <c r="O348" s="847">
        <f t="shared" si="209"/>
        <v>66</v>
      </c>
      <c r="P348" s="853">
        <f t="shared" si="209"/>
        <v>7.0000000000000007E-2</v>
      </c>
      <c r="Q348" s="878" t="s">
        <v>16</v>
      </c>
      <c r="R348" s="879">
        <f t="shared" ref="R348:R358" si="210">(P348-D348)/D348</f>
        <v>0.17</v>
      </c>
      <c r="S348" s="854">
        <f t="shared" ref="S348" si="211">S279+S290+S301+S312+S326+S337</f>
        <v>0.1</v>
      </c>
      <c r="U348" s="847">
        <f t="shared" si="206"/>
        <v>66</v>
      </c>
      <c r="V348" s="853">
        <f t="shared" si="207"/>
        <v>0.01</v>
      </c>
    </row>
    <row r="349" spans="1:22">
      <c r="A349" s="3436"/>
      <c r="B349" s="931" t="s">
        <v>554</v>
      </c>
      <c r="C349" s="972">
        <f t="shared" si="208"/>
        <v>131</v>
      </c>
      <c r="D349" s="836">
        <f t="shared" ref="D349:P349" si="212">D280+D291+D302+D313+D327+D338</f>
        <v>0.73</v>
      </c>
      <c r="E349" s="848">
        <f t="shared" si="212"/>
        <v>373</v>
      </c>
      <c r="F349" s="835">
        <f t="shared" si="212"/>
        <v>0.67</v>
      </c>
      <c r="G349" s="848">
        <f t="shared" si="212"/>
        <v>920</v>
      </c>
      <c r="H349" s="836">
        <f t="shared" si="212"/>
        <v>1.66</v>
      </c>
      <c r="I349" s="848">
        <f t="shared" si="212"/>
        <v>1441</v>
      </c>
      <c r="J349" s="835">
        <f t="shared" si="212"/>
        <v>2.59</v>
      </c>
      <c r="K349" s="848">
        <f t="shared" si="212"/>
        <v>1806</v>
      </c>
      <c r="L349" s="836">
        <f t="shared" si="212"/>
        <v>3.23</v>
      </c>
      <c r="M349" s="848">
        <f t="shared" si="212"/>
        <v>2098</v>
      </c>
      <c r="N349" s="835">
        <f t="shared" si="212"/>
        <v>3.75</v>
      </c>
      <c r="O349" s="848">
        <f t="shared" si="212"/>
        <v>2503</v>
      </c>
      <c r="P349" s="835">
        <f t="shared" si="212"/>
        <v>4.4800000000000004</v>
      </c>
      <c r="Q349" s="859">
        <f t="shared" ref="Q349:Q358" si="213">(O349-C349)/C349</f>
        <v>18.11</v>
      </c>
      <c r="R349" s="858">
        <f t="shared" si="210"/>
        <v>5.14</v>
      </c>
      <c r="S349" s="841">
        <f t="shared" ref="S349" si="214">S280+S291+S302+S313+S327+S338</f>
        <v>6.32</v>
      </c>
      <c r="U349" s="848">
        <f t="shared" si="206"/>
        <v>2372</v>
      </c>
      <c r="V349" s="835">
        <f t="shared" si="207"/>
        <v>3.75</v>
      </c>
    </row>
    <row r="350" spans="1:22">
      <c r="A350" s="3436"/>
      <c r="B350" s="931" t="s">
        <v>555</v>
      </c>
      <c r="C350" s="972">
        <f t="shared" si="208"/>
        <v>0</v>
      </c>
      <c r="D350" s="836">
        <f t="shared" ref="D350:P350" si="215">D281+D292+D303+D314+D328+D339</f>
        <v>0</v>
      </c>
      <c r="E350" s="848">
        <f t="shared" si="215"/>
        <v>0</v>
      </c>
      <c r="F350" s="835">
        <f t="shared" si="215"/>
        <v>0</v>
      </c>
      <c r="G350" s="848">
        <f t="shared" si="215"/>
        <v>57</v>
      </c>
      <c r="H350" s="836">
        <f t="shared" si="215"/>
        <v>0.06</v>
      </c>
      <c r="I350" s="848">
        <f t="shared" si="215"/>
        <v>248</v>
      </c>
      <c r="J350" s="835">
        <f t="shared" si="215"/>
        <v>0.28000000000000003</v>
      </c>
      <c r="K350" s="848">
        <f t="shared" si="215"/>
        <v>294</v>
      </c>
      <c r="L350" s="836">
        <f t="shared" si="215"/>
        <v>0.34</v>
      </c>
      <c r="M350" s="848">
        <f t="shared" si="215"/>
        <v>384</v>
      </c>
      <c r="N350" s="835">
        <f t="shared" si="215"/>
        <v>0.44</v>
      </c>
      <c r="O350" s="848">
        <f t="shared" si="215"/>
        <v>435</v>
      </c>
      <c r="P350" s="835">
        <f t="shared" si="215"/>
        <v>0.5</v>
      </c>
      <c r="Q350" s="859" t="s">
        <v>16</v>
      </c>
      <c r="R350" s="858" t="s">
        <v>16</v>
      </c>
      <c r="S350" s="841">
        <f t="shared" ref="S350" si="216">S281+S292+S303+S314+S328+S339</f>
        <v>0.72</v>
      </c>
      <c r="U350" s="848">
        <f t="shared" si="206"/>
        <v>435</v>
      </c>
      <c r="V350" s="835">
        <f t="shared" si="207"/>
        <v>0.5</v>
      </c>
    </row>
    <row r="351" spans="1:22">
      <c r="A351" s="3436"/>
      <c r="B351" s="931" t="s">
        <v>556</v>
      </c>
      <c r="C351" s="972">
        <f t="shared" si="208"/>
        <v>3814</v>
      </c>
      <c r="D351" s="836">
        <f t="shared" ref="D351:P351" si="217">D282+D293+D304+D315+D329+D340</f>
        <v>8.5299999999999994</v>
      </c>
      <c r="E351" s="848">
        <f t="shared" si="217"/>
        <v>6514</v>
      </c>
      <c r="F351" s="835">
        <f t="shared" si="217"/>
        <v>8.41</v>
      </c>
      <c r="G351" s="848">
        <f t="shared" si="217"/>
        <v>7755</v>
      </c>
      <c r="H351" s="836">
        <f t="shared" si="217"/>
        <v>10.06</v>
      </c>
      <c r="I351" s="848">
        <f t="shared" si="217"/>
        <v>8785</v>
      </c>
      <c r="J351" s="835">
        <f t="shared" si="217"/>
        <v>11.43</v>
      </c>
      <c r="K351" s="848">
        <f t="shared" si="217"/>
        <v>9434</v>
      </c>
      <c r="L351" s="836">
        <f t="shared" si="217"/>
        <v>12.33</v>
      </c>
      <c r="M351" s="848">
        <f t="shared" si="217"/>
        <v>10158</v>
      </c>
      <c r="N351" s="835">
        <f t="shared" si="217"/>
        <v>13.34</v>
      </c>
      <c r="O351" s="848">
        <f t="shared" si="217"/>
        <v>10856</v>
      </c>
      <c r="P351" s="835">
        <f t="shared" si="217"/>
        <v>14.29</v>
      </c>
      <c r="Q351" s="859">
        <f t="shared" si="213"/>
        <v>1.85</v>
      </c>
      <c r="R351" s="858">
        <f t="shared" si="210"/>
        <v>0.68</v>
      </c>
      <c r="S351" s="841">
        <f t="shared" ref="S351" si="218">S282+S293+S304+S315+S329+S340</f>
        <v>18.72</v>
      </c>
      <c r="U351" s="848">
        <f t="shared" si="206"/>
        <v>7042</v>
      </c>
      <c r="V351" s="835">
        <f t="shared" si="207"/>
        <v>5.76</v>
      </c>
    </row>
    <row r="352" spans="1:22">
      <c r="A352" s="3436"/>
      <c r="B352" s="931" t="s">
        <v>557</v>
      </c>
      <c r="C352" s="972">
        <f t="shared" si="208"/>
        <v>37900</v>
      </c>
      <c r="D352" s="836">
        <f t="shared" ref="D352:P352" si="219">D283+D294+D305+D316+D330+D341</f>
        <v>34.950000000000003</v>
      </c>
      <c r="E352" s="848">
        <f t="shared" si="219"/>
        <v>45077</v>
      </c>
      <c r="F352" s="835">
        <f t="shared" si="219"/>
        <v>33.590000000000003</v>
      </c>
      <c r="G352" s="848">
        <f t="shared" si="219"/>
        <v>45491</v>
      </c>
      <c r="H352" s="836">
        <f t="shared" si="219"/>
        <v>34.14</v>
      </c>
      <c r="I352" s="848">
        <f t="shared" si="219"/>
        <v>46110</v>
      </c>
      <c r="J352" s="835">
        <f t="shared" si="219"/>
        <v>34.86</v>
      </c>
      <c r="K352" s="848">
        <f t="shared" si="219"/>
        <v>46930</v>
      </c>
      <c r="L352" s="836">
        <f t="shared" si="219"/>
        <v>35.93</v>
      </c>
      <c r="M352" s="848">
        <f t="shared" si="219"/>
        <v>47774</v>
      </c>
      <c r="N352" s="835">
        <f t="shared" si="219"/>
        <v>36.97</v>
      </c>
      <c r="O352" s="848">
        <f t="shared" si="219"/>
        <v>48391</v>
      </c>
      <c r="P352" s="835">
        <f t="shared" si="219"/>
        <v>37.82</v>
      </c>
      <c r="Q352" s="859">
        <f t="shared" si="213"/>
        <v>0.28000000000000003</v>
      </c>
      <c r="R352" s="858">
        <f t="shared" si="210"/>
        <v>0.08</v>
      </c>
      <c r="S352" s="841">
        <f t="shared" ref="S352" si="220">S283+S294+S305+S316+S330+S341</f>
        <v>48.02</v>
      </c>
      <c r="U352" s="848">
        <f t="shared" si="206"/>
        <v>10491</v>
      </c>
      <c r="V352" s="835">
        <f t="shared" si="207"/>
        <v>2.87</v>
      </c>
    </row>
    <row r="353" spans="1:22">
      <c r="A353" s="3436"/>
      <c r="B353" s="931" t="s">
        <v>558</v>
      </c>
      <c r="C353" s="972">
        <f t="shared" si="208"/>
        <v>1677</v>
      </c>
      <c r="D353" s="836">
        <f t="shared" ref="D353:P353" si="221">D284+D295+D306+D317+D331+D342</f>
        <v>4.5199999999999996</v>
      </c>
      <c r="E353" s="848">
        <f t="shared" si="221"/>
        <v>1769</v>
      </c>
      <c r="F353" s="835">
        <f t="shared" si="221"/>
        <v>4.25</v>
      </c>
      <c r="G353" s="848">
        <f t="shared" si="221"/>
        <v>1979</v>
      </c>
      <c r="H353" s="836">
        <f t="shared" si="221"/>
        <v>4.72</v>
      </c>
      <c r="I353" s="848">
        <f t="shared" si="221"/>
        <v>2018</v>
      </c>
      <c r="J353" s="835">
        <f t="shared" si="221"/>
        <v>4.82</v>
      </c>
      <c r="K353" s="848">
        <f t="shared" si="221"/>
        <v>2312</v>
      </c>
      <c r="L353" s="836">
        <f t="shared" si="221"/>
        <v>5.48</v>
      </c>
      <c r="M353" s="848">
        <f t="shared" si="221"/>
        <v>2753</v>
      </c>
      <c r="N353" s="835">
        <f t="shared" si="221"/>
        <v>6.47</v>
      </c>
      <c r="O353" s="848">
        <f t="shared" si="221"/>
        <v>3223</v>
      </c>
      <c r="P353" s="835">
        <f t="shared" si="221"/>
        <v>7.42</v>
      </c>
      <c r="Q353" s="859">
        <f t="shared" si="213"/>
        <v>0.92</v>
      </c>
      <c r="R353" s="858">
        <f t="shared" si="210"/>
        <v>0.64</v>
      </c>
      <c r="S353" s="841">
        <f t="shared" ref="S353" si="222">S284+S295+S306+S317+S331+S342</f>
        <v>8.5</v>
      </c>
      <c r="U353" s="848">
        <f t="shared" si="206"/>
        <v>1546</v>
      </c>
      <c r="V353" s="835">
        <f t="shared" si="207"/>
        <v>2.9</v>
      </c>
    </row>
    <row r="354" spans="1:22">
      <c r="A354" s="3436"/>
      <c r="B354" s="931" t="s">
        <v>559</v>
      </c>
      <c r="C354" s="972">
        <f t="shared" si="208"/>
        <v>4058</v>
      </c>
      <c r="D354" s="836">
        <f t="shared" ref="D354:P354" si="223">D285+D296+D307+D318+D332+D343</f>
        <v>4.95</v>
      </c>
      <c r="E354" s="848">
        <f t="shared" si="223"/>
        <v>5259</v>
      </c>
      <c r="F354" s="835">
        <f t="shared" si="223"/>
        <v>4.88</v>
      </c>
      <c r="G354" s="848">
        <f t="shared" si="223"/>
        <v>5500</v>
      </c>
      <c r="H354" s="836">
        <f t="shared" si="223"/>
        <v>5.04</v>
      </c>
      <c r="I354" s="848">
        <f t="shared" si="223"/>
        <v>5839</v>
      </c>
      <c r="J354" s="835">
        <f t="shared" si="223"/>
        <v>5.23</v>
      </c>
      <c r="K354" s="848">
        <f t="shared" si="223"/>
        <v>5998</v>
      </c>
      <c r="L354" s="836">
        <f t="shared" si="223"/>
        <v>5.38</v>
      </c>
      <c r="M354" s="848">
        <f t="shared" si="223"/>
        <v>6242</v>
      </c>
      <c r="N354" s="835">
        <f t="shared" si="223"/>
        <v>5.59</v>
      </c>
      <c r="O354" s="848">
        <f t="shared" si="223"/>
        <v>6324</v>
      </c>
      <c r="P354" s="835">
        <f t="shared" si="223"/>
        <v>5.55</v>
      </c>
      <c r="Q354" s="859">
        <f t="shared" si="213"/>
        <v>0.56000000000000005</v>
      </c>
      <c r="R354" s="858">
        <f t="shared" si="210"/>
        <v>0.12</v>
      </c>
      <c r="S354" s="841">
        <f t="shared" ref="S354" si="224">S285+S296+S307+S318+S332+S343</f>
        <v>7.56</v>
      </c>
      <c r="U354" s="848">
        <f t="shared" si="206"/>
        <v>2266</v>
      </c>
      <c r="V354" s="835">
        <f t="shared" si="207"/>
        <v>0.6</v>
      </c>
    </row>
    <row r="355" spans="1:22">
      <c r="A355" s="3436"/>
      <c r="B355" s="931" t="s">
        <v>560</v>
      </c>
      <c r="C355" s="972">
        <f t="shared" si="208"/>
        <v>814</v>
      </c>
      <c r="D355" s="836">
        <f t="shared" ref="D355:P355" si="225">D286+D297+D308+D319+D333+D344</f>
        <v>0.2</v>
      </c>
      <c r="E355" s="848">
        <f t="shared" si="225"/>
        <v>191</v>
      </c>
      <c r="F355" s="835">
        <f t="shared" si="225"/>
        <v>0.16</v>
      </c>
      <c r="G355" s="848">
        <f t="shared" si="225"/>
        <v>191</v>
      </c>
      <c r="H355" s="836">
        <f t="shared" si="225"/>
        <v>0.16</v>
      </c>
      <c r="I355" s="848">
        <f t="shared" si="225"/>
        <v>191</v>
      </c>
      <c r="J355" s="835">
        <f t="shared" si="225"/>
        <v>0.16</v>
      </c>
      <c r="K355" s="848">
        <f t="shared" si="225"/>
        <v>191</v>
      </c>
      <c r="L355" s="836">
        <f t="shared" si="225"/>
        <v>0.16</v>
      </c>
      <c r="M355" s="848">
        <f t="shared" si="225"/>
        <v>191</v>
      </c>
      <c r="N355" s="835">
        <f t="shared" si="225"/>
        <v>0.16</v>
      </c>
      <c r="O355" s="848">
        <f t="shared" si="225"/>
        <v>191</v>
      </c>
      <c r="P355" s="835">
        <f t="shared" si="225"/>
        <v>0.16</v>
      </c>
      <c r="Q355" s="859">
        <f t="shared" si="213"/>
        <v>-0.77</v>
      </c>
      <c r="R355" s="858">
        <f t="shared" si="210"/>
        <v>-0.2</v>
      </c>
      <c r="S355" s="841">
        <f t="shared" ref="S355" si="226">S286+S297+S308+S319+S333+S344</f>
        <v>0.19</v>
      </c>
      <c r="U355" s="848">
        <f t="shared" si="206"/>
        <v>-623</v>
      </c>
      <c r="V355" s="835">
        <f t="shared" si="207"/>
        <v>-0.04</v>
      </c>
    </row>
    <row r="356" spans="1:22">
      <c r="A356" s="3436"/>
      <c r="B356" s="931" t="s">
        <v>561</v>
      </c>
      <c r="C356" s="972">
        <f t="shared" si="208"/>
        <v>0</v>
      </c>
      <c r="D356" s="836">
        <f t="shared" ref="D356:P356" si="227">D287+D298+D309+D320+D334+D345</f>
        <v>0</v>
      </c>
      <c r="E356" s="848">
        <f t="shared" si="227"/>
        <v>0</v>
      </c>
      <c r="F356" s="835">
        <f t="shared" si="227"/>
        <v>0</v>
      </c>
      <c r="G356" s="848">
        <f t="shared" si="227"/>
        <v>0</v>
      </c>
      <c r="H356" s="836">
        <f t="shared" si="227"/>
        <v>0</v>
      </c>
      <c r="I356" s="848">
        <f t="shared" si="227"/>
        <v>0</v>
      </c>
      <c r="J356" s="835">
        <f t="shared" si="227"/>
        <v>0</v>
      </c>
      <c r="K356" s="848">
        <f t="shared" si="227"/>
        <v>0</v>
      </c>
      <c r="L356" s="836">
        <f t="shared" si="227"/>
        <v>0</v>
      </c>
      <c r="M356" s="848">
        <f t="shared" si="227"/>
        <v>0</v>
      </c>
      <c r="N356" s="835">
        <f t="shared" si="227"/>
        <v>0</v>
      </c>
      <c r="O356" s="848">
        <f t="shared" si="227"/>
        <v>0</v>
      </c>
      <c r="P356" s="835">
        <f t="shared" si="227"/>
        <v>0</v>
      </c>
      <c r="Q356" s="859" t="s">
        <v>16</v>
      </c>
      <c r="R356" s="858" t="s">
        <v>16</v>
      </c>
      <c r="S356" s="841">
        <f t="shared" ref="S356" si="228">S287+S298+S309+S320+S334+S345</f>
        <v>0</v>
      </c>
      <c r="U356" s="848">
        <f t="shared" si="206"/>
        <v>0</v>
      </c>
      <c r="V356" s="835">
        <f t="shared" si="207"/>
        <v>0</v>
      </c>
    </row>
    <row r="357" spans="1:22" ht="15.75" thickBot="1">
      <c r="A357" s="3436"/>
      <c r="B357" s="932" t="s">
        <v>562</v>
      </c>
      <c r="C357" s="1880">
        <f t="shared" si="208"/>
        <v>0</v>
      </c>
      <c r="D357" s="1881">
        <f t="shared" ref="D357:P357" si="229">D288+D299+D310+D321+D335+D346</f>
        <v>4.07</v>
      </c>
      <c r="E357" s="849">
        <f t="shared" si="229"/>
        <v>0</v>
      </c>
      <c r="F357" s="1885">
        <f t="shared" si="229"/>
        <v>3.98</v>
      </c>
      <c r="G357" s="849">
        <f t="shared" si="229"/>
        <v>0</v>
      </c>
      <c r="H357" s="1881">
        <f t="shared" si="229"/>
        <v>3.98</v>
      </c>
      <c r="I357" s="849">
        <f t="shared" si="229"/>
        <v>0</v>
      </c>
      <c r="J357" s="1885">
        <f t="shared" si="229"/>
        <v>3.98</v>
      </c>
      <c r="K357" s="849">
        <f t="shared" si="229"/>
        <v>0</v>
      </c>
      <c r="L357" s="1881">
        <f t="shared" si="229"/>
        <v>3.98</v>
      </c>
      <c r="M357" s="849">
        <f t="shared" si="229"/>
        <v>0</v>
      </c>
      <c r="N357" s="1885">
        <f t="shared" si="229"/>
        <v>3.98</v>
      </c>
      <c r="O357" s="849">
        <f t="shared" si="229"/>
        <v>0</v>
      </c>
      <c r="P357" s="1885">
        <f t="shared" si="229"/>
        <v>3.98</v>
      </c>
      <c r="Q357" s="1886" t="s">
        <v>16</v>
      </c>
      <c r="R357" s="1888">
        <f t="shared" si="210"/>
        <v>-0.02</v>
      </c>
      <c r="S357" s="846">
        <f t="shared" ref="S357" si="230">S288+S299+S310+S321+S335+S346</f>
        <v>3.98</v>
      </c>
      <c r="U357" s="849">
        <f t="shared" si="206"/>
        <v>0</v>
      </c>
      <c r="V357" s="1885">
        <f t="shared" si="207"/>
        <v>-0.09</v>
      </c>
    </row>
    <row r="358" spans="1:22" ht="16.5" thickTop="1" thickBot="1">
      <c r="A358" s="3437"/>
      <c r="B358" s="842" t="s">
        <v>18</v>
      </c>
      <c r="C358" s="973">
        <f t="shared" si="208"/>
        <v>48394</v>
      </c>
      <c r="D358" s="852">
        <f t="shared" ref="D358:P358" si="231">D289+D300+D311+D322+D336+D347</f>
        <v>57.99</v>
      </c>
      <c r="E358" s="850">
        <f t="shared" si="231"/>
        <v>59249</v>
      </c>
      <c r="F358" s="843">
        <f t="shared" si="231"/>
        <v>56</v>
      </c>
      <c r="G358" s="850">
        <f t="shared" si="231"/>
        <v>61959</v>
      </c>
      <c r="H358" s="852">
        <f t="shared" si="231"/>
        <v>59.89</v>
      </c>
      <c r="I358" s="850">
        <f t="shared" si="231"/>
        <v>64698</v>
      </c>
      <c r="J358" s="843">
        <f t="shared" si="231"/>
        <v>63.42</v>
      </c>
      <c r="K358" s="850">
        <f t="shared" si="231"/>
        <v>67031</v>
      </c>
      <c r="L358" s="852">
        <f t="shared" si="231"/>
        <v>66.900000000000006</v>
      </c>
      <c r="M358" s="850">
        <f t="shared" si="231"/>
        <v>69666</v>
      </c>
      <c r="N358" s="843">
        <f t="shared" si="231"/>
        <v>70.77</v>
      </c>
      <c r="O358" s="850">
        <f t="shared" si="231"/>
        <v>71989</v>
      </c>
      <c r="P358" s="843">
        <f t="shared" si="231"/>
        <v>74.27</v>
      </c>
      <c r="Q358" s="880">
        <f t="shared" si="213"/>
        <v>0.49</v>
      </c>
      <c r="R358" s="881">
        <f t="shared" si="210"/>
        <v>0.28000000000000003</v>
      </c>
      <c r="S358" s="855">
        <f t="shared" ref="S358" si="232">S289+S300+S311+S322+S336+S347</f>
        <v>94.11</v>
      </c>
      <c r="U358" s="850">
        <f t="shared" si="206"/>
        <v>23595</v>
      </c>
      <c r="V358" s="843">
        <f t="shared" si="207"/>
        <v>16.28</v>
      </c>
    </row>
    <row r="359" spans="1:22">
      <c r="A359" s="89" t="s">
        <v>35</v>
      </c>
    </row>
    <row r="360" spans="1:22">
      <c r="A360" s="1" t="s">
        <v>68</v>
      </c>
      <c r="Q360" t="s">
        <v>36</v>
      </c>
    </row>
    <row r="361" spans="1:22">
      <c r="A361" s="1" t="s">
        <v>69</v>
      </c>
      <c r="C361" s="935"/>
      <c r="E361" s="862"/>
      <c r="G361" s="862"/>
      <c r="I361" s="862"/>
      <c r="K361" s="862"/>
      <c r="M361" s="862"/>
    </row>
    <row r="362" spans="1:22" ht="15" customHeight="1">
      <c r="A362" s="3304" t="s">
        <v>572</v>
      </c>
      <c r="B362" s="3304"/>
      <c r="C362" s="3304"/>
      <c r="D362" s="3304"/>
      <c r="E362" s="3304"/>
      <c r="F362" s="3304"/>
      <c r="G362" s="3304"/>
      <c r="H362" s="3304"/>
      <c r="I362" s="3304"/>
      <c r="J362" s="3304"/>
      <c r="K362" s="3304"/>
      <c r="L362" s="3304"/>
      <c r="M362" s="3304"/>
      <c r="N362" s="3304"/>
      <c r="O362" s="3304"/>
      <c r="P362" s="3304"/>
      <c r="Q362" s="3304"/>
      <c r="R362" s="3304"/>
      <c r="S362" s="3304"/>
    </row>
    <row r="363" spans="1:22">
      <c r="A363" s="255" t="s">
        <v>535</v>
      </c>
      <c r="B363" s="3025"/>
      <c r="C363" s="3025"/>
      <c r="D363" s="3025"/>
      <c r="E363" s="3025"/>
      <c r="F363" s="3025"/>
      <c r="G363" s="3025"/>
      <c r="H363" s="3025"/>
      <c r="I363" s="3025"/>
      <c r="J363" s="3025"/>
      <c r="K363" s="3025"/>
      <c r="L363" s="3025"/>
      <c r="M363" s="3025"/>
      <c r="N363" s="3025"/>
      <c r="O363" s="3025"/>
      <c r="P363" s="3025"/>
      <c r="Q363" s="3025"/>
      <c r="R363" s="3025"/>
      <c r="S363" s="3025"/>
    </row>
    <row r="364" spans="1:22">
      <c r="A364" s="3304" t="s">
        <v>573</v>
      </c>
      <c r="B364" s="3304"/>
      <c r="C364" s="3304"/>
      <c r="D364" s="3304"/>
      <c r="E364" s="3304"/>
      <c r="F364" s="3304"/>
      <c r="G364" s="3304"/>
      <c r="H364" s="3304"/>
      <c r="I364" s="3304"/>
      <c r="J364" s="3304"/>
      <c r="K364" s="3304"/>
      <c r="L364" s="3304"/>
      <c r="M364" s="3304"/>
      <c r="N364" s="3304"/>
      <c r="O364" s="3304"/>
      <c r="P364" s="3304"/>
      <c r="Q364" s="3304"/>
      <c r="R364" s="3304"/>
      <c r="S364" s="3304"/>
    </row>
    <row r="365" spans="1:22">
      <c r="F365" s="863" t="s">
        <v>36</v>
      </c>
    </row>
  </sheetData>
  <mergeCells count="125">
    <mergeCell ref="A348:A358"/>
    <mergeCell ref="O71:P71"/>
    <mergeCell ref="O129:P129"/>
    <mergeCell ref="O187:P187"/>
    <mergeCell ref="O234:P234"/>
    <mergeCell ref="A279:A289"/>
    <mergeCell ref="A131:A141"/>
    <mergeCell ref="A142:A152"/>
    <mergeCell ref="E129:F129"/>
    <mergeCell ref="G129:H129"/>
    <mergeCell ref="A117:A127"/>
    <mergeCell ref="A290:A300"/>
    <mergeCell ref="A301:A311"/>
    <mergeCell ref="A153:A163"/>
    <mergeCell ref="A164:A174"/>
    <mergeCell ref="A128:S128"/>
    <mergeCell ref="A129:A130"/>
    <mergeCell ref="B129:B130"/>
    <mergeCell ref="C129:D129"/>
    <mergeCell ref="A84:A94"/>
    <mergeCell ref="A95:A105"/>
    <mergeCell ref="A106:A116"/>
    <mergeCell ref="S129:S130"/>
    <mergeCell ref="B71:B72"/>
    <mergeCell ref="M129:N129"/>
    <mergeCell ref="Q129:R129"/>
    <mergeCell ref="A15:A25"/>
    <mergeCell ref="A26:A36"/>
    <mergeCell ref="A37:A47"/>
    <mergeCell ref="A48:A58"/>
    <mergeCell ref="A59:A69"/>
    <mergeCell ref="A70:S70"/>
    <mergeCell ref="C71:D71"/>
    <mergeCell ref="E71:F71"/>
    <mergeCell ref="G71:H71"/>
    <mergeCell ref="I71:J71"/>
    <mergeCell ref="A73:A83"/>
    <mergeCell ref="K71:L71"/>
    <mergeCell ref="M71:N71"/>
    <mergeCell ref="Q71:R71"/>
    <mergeCell ref="I129:J129"/>
    <mergeCell ref="A71:A72"/>
    <mergeCell ref="A1:S1"/>
    <mergeCell ref="A4:A14"/>
    <mergeCell ref="C2:D2"/>
    <mergeCell ref="E2:F2"/>
    <mergeCell ref="G2:H2"/>
    <mergeCell ref="I2:J2"/>
    <mergeCell ref="K2:L2"/>
    <mergeCell ref="M2:N2"/>
    <mergeCell ref="Q2:R2"/>
    <mergeCell ref="S2:S3"/>
    <mergeCell ref="B2:B3"/>
    <mergeCell ref="A2:A3"/>
    <mergeCell ref="O2:P2"/>
    <mergeCell ref="A326:A336"/>
    <mergeCell ref="A175:A185"/>
    <mergeCell ref="A189:A199"/>
    <mergeCell ref="A186:S186"/>
    <mergeCell ref="A187:A188"/>
    <mergeCell ref="B187:B188"/>
    <mergeCell ref="C187:D187"/>
    <mergeCell ref="E187:F187"/>
    <mergeCell ref="G187:H187"/>
    <mergeCell ref="I187:J187"/>
    <mergeCell ref="K187:L187"/>
    <mergeCell ref="M187:N187"/>
    <mergeCell ref="Q187:R187"/>
    <mergeCell ref="S187:S188"/>
    <mergeCell ref="A200:A210"/>
    <mergeCell ref="A211:A221"/>
    <mergeCell ref="I277:J277"/>
    <mergeCell ref="K277:L277"/>
    <mergeCell ref="M277:N277"/>
    <mergeCell ref="O277:P277"/>
    <mergeCell ref="Q277:R277"/>
    <mergeCell ref="S277:S278"/>
    <mergeCell ref="A362:S362"/>
    <mergeCell ref="A364:S364"/>
    <mergeCell ref="A337:A347"/>
    <mergeCell ref="A222:A232"/>
    <mergeCell ref="A233:S233"/>
    <mergeCell ref="A234:A235"/>
    <mergeCell ref="B234:B235"/>
    <mergeCell ref="C234:D234"/>
    <mergeCell ref="E234:F234"/>
    <mergeCell ref="G234:H234"/>
    <mergeCell ref="I234:J234"/>
    <mergeCell ref="K234:L234"/>
    <mergeCell ref="M234:N234"/>
    <mergeCell ref="Q234:R234"/>
    <mergeCell ref="S234:S235"/>
    <mergeCell ref="A236:A246"/>
    <mergeCell ref="A247:A257"/>
    <mergeCell ref="A258:A268"/>
    <mergeCell ref="A272:S272"/>
    <mergeCell ref="A274:S274"/>
    <mergeCell ref="A276:S276"/>
    <mergeCell ref="A277:A278"/>
    <mergeCell ref="B277:B278"/>
    <mergeCell ref="C277:D277"/>
    <mergeCell ref="U2:V2"/>
    <mergeCell ref="U71:V71"/>
    <mergeCell ref="U129:V129"/>
    <mergeCell ref="U187:V187"/>
    <mergeCell ref="U234:V234"/>
    <mergeCell ref="U277:V277"/>
    <mergeCell ref="A323:S323"/>
    <mergeCell ref="A324:A325"/>
    <mergeCell ref="B324:B325"/>
    <mergeCell ref="C324:D324"/>
    <mergeCell ref="E324:F324"/>
    <mergeCell ref="G324:H324"/>
    <mergeCell ref="I324:J324"/>
    <mergeCell ref="K324:L324"/>
    <mergeCell ref="M324:N324"/>
    <mergeCell ref="O324:P324"/>
    <mergeCell ref="Q324:R324"/>
    <mergeCell ref="S324:S325"/>
    <mergeCell ref="U324:V324"/>
    <mergeCell ref="E277:F277"/>
    <mergeCell ref="G277:H277"/>
    <mergeCell ref="A312:A322"/>
    <mergeCell ref="S71:S72"/>
    <mergeCell ref="K129:L129"/>
  </mergeCells>
  <pageMargins left="0.7" right="0.7" top="0.75" bottom="0.75" header="0.3" footer="0.3"/>
  <pageSetup paperSize="3" scale="70" orientation="landscape" r:id="rId1"/>
  <rowBreaks count="6" manualBreakCount="6">
    <brk id="69" max="16383" man="1"/>
    <brk id="127" max="16383" man="1"/>
    <brk id="185" max="16383" man="1"/>
    <brk id="232" max="16383" man="1"/>
    <brk id="275" max="16383" man="1"/>
    <brk id="3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51"/>
  <sheetViews>
    <sheetView workbookViewId="0">
      <pane ySplit="1" topLeftCell="A2" activePane="bottomLeft" state="frozen"/>
      <selection pane="bottomLeft" activeCell="A54" sqref="A54"/>
    </sheetView>
  </sheetViews>
  <sheetFormatPr defaultColWidth="9.140625" defaultRowHeight="12.75"/>
  <cols>
    <col min="1" max="1" width="22.5703125" style="1" customWidth="1"/>
    <col min="2" max="2" width="15.140625" style="1" customWidth="1"/>
    <col min="3" max="5" width="14.140625" style="1" customWidth="1"/>
    <col min="6" max="6" width="14.140625" style="22" customWidth="1"/>
    <col min="7" max="9" width="14.140625" style="256" customWidth="1"/>
    <col min="10" max="10" width="14.140625" style="1" customWidth="1"/>
    <col min="11" max="11" width="11.7109375" style="1" customWidth="1"/>
    <col min="12" max="12" width="9.140625" style="1"/>
    <col min="13" max="13" width="0" style="1" hidden="1" customWidth="1"/>
    <col min="14" max="14" width="9.28515625" style="1" hidden="1" customWidth="1"/>
    <col min="15" max="16" width="12.140625" style="1" hidden="1" customWidth="1"/>
    <col min="17" max="18" width="0" style="1" hidden="1" customWidth="1"/>
    <col min="19" max="19" width="14.28515625" style="1" hidden="1" customWidth="1"/>
    <col min="20" max="16384" width="9.140625" style="1"/>
  </cols>
  <sheetData>
    <row r="1" spans="1:21" ht="27.75" customHeight="1" thickBot="1">
      <c r="A1" s="3224" t="s">
        <v>577</v>
      </c>
      <c r="B1" s="3224"/>
      <c r="C1" s="3224"/>
      <c r="D1" s="3224"/>
      <c r="E1" s="3224"/>
      <c r="F1" s="3224"/>
      <c r="G1" s="3224"/>
      <c r="H1" s="3224"/>
      <c r="I1" s="3224"/>
      <c r="J1" s="3224"/>
      <c r="K1" s="3224"/>
    </row>
    <row r="2" spans="1:21" ht="15" customHeight="1">
      <c r="A2" s="3204" t="s">
        <v>1</v>
      </c>
      <c r="B2" s="3206" t="s">
        <v>2</v>
      </c>
      <c r="C2" s="3446" t="s">
        <v>578</v>
      </c>
      <c r="D2" s="3447"/>
      <c r="E2" s="3447"/>
      <c r="F2" s="3448"/>
      <c r="G2" s="3446" t="s">
        <v>579</v>
      </c>
      <c r="H2" s="3447"/>
      <c r="I2" s="3447"/>
      <c r="J2" s="3448"/>
      <c r="K2" s="3442" t="s">
        <v>57</v>
      </c>
      <c r="M2" s="3365" t="s">
        <v>80</v>
      </c>
      <c r="N2" s="3366"/>
      <c r="O2" s="3366"/>
      <c r="P2" s="3318"/>
      <c r="Q2" s="3365" t="s">
        <v>580</v>
      </c>
      <c r="R2" s="3366"/>
      <c r="S2" s="3318"/>
    </row>
    <row r="3" spans="1:21" ht="13.5" thickBot="1">
      <c r="A3" s="3205"/>
      <c r="B3" s="3207"/>
      <c r="C3" s="3449"/>
      <c r="D3" s="3450"/>
      <c r="E3" s="3450"/>
      <c r="F3" s="3451"/>
      <c r="G3" s="3449"/>
      <c r="H3" s="3450"/>
      <c r="I3" s="3450"/>
      <c r="J3" s="3451"/>
      <c r="K3" s="3443"/>
      <c r="M3" s="3367"/>
      <c r="N3" s="3368"/>
      <c r="O3" s="3368"/>
      <c r="P3" s="3374"/>
      <c r="Q3" s="3367"/>
      <c r="R3" s="3368"/>
      <c r="S3" s="3374"/>
    </row>
    <row r="4" spans="1:21" ht="13.5" thickBot="1">
      <c r="A4" s="3485"/>
      <c r="B4" s="3208"/>
      <c r="C4" s="1130" t="s">
        <v>581</v>
      </c>
      <c r="D4" s="1697" t="s">
        <v>582</v>
      </c>
      <c r="E4" s="1131" t="s">
        <v>583</v>
      </c>
      <c r="F4" s="1132" t="s">
        <v>18</v>
      </c>
      <c r="G4" s="1130" t="s">
        <v>581</v>
      </c>
      <c r="H4" s="1697" t="s">
        <v>582</v>
      </c>
      <c r="I4" s="1131" t="s">
        <v>583</v>
      </c>
      <c r="J4" s="1132" t="s">
        <v>18</v>
      </c>
      <c r="K4" s="3444"/>
      <c r="M4" s="1945" t="s">
        <v>581</v>
      </c>
      <c r="N4" s="1682" t="s">
        <v>582</v>
      </c>
      <c r="O4" s="1707" t="s">
        <v>583</v>
      </c>
      <c r="P4" s="3042" t="s">
        <v>18</v>
      </c>
      <c r="Q4" s="3047" t="s">
        <v>581</v>
      </c>
      <c r="R4" s="994" t="s">
        <v>582</v>
      </c>
      <c r="S4" s="3048" t="s">
        <v>583</v>
      </c>
    </row>
    <row r="5" spans="1:21">
      <c r="A5" s="443" t="s">
        <v>14</v>
      </c>
      <c r="B5" s="443" t="s">
        <v>15</v>
      </c>
      <c r="C5" s="47">
        <f>(G5/J5)*F5</f>
        <v>0.06</v>
      </c>
      <c r="D5" s="181">
        <f t="shared" ref="D5:D6" si="0">(H5/J5)*F5</f>
        <v>0.13</v>
      </c>
      <c r="E5" s="14">
        <f t="shared" ref="E5:E6" si="1">(I5/J5)*F5</f>
        <v>0</v>
      </c>
      <c r="F5" s="15">
        <f>'Table 7a '!D13</f>
        <v>0.19</v>
      </c>
      <c r="G5" s="47">
        <v>0.06</v>
      </c>
      <c r="H5" s="181">
        <v>0.14000000000000001</v>
      </c>
      <c r="I5" s="14">
        <v>0</v>
      </c>
      <c r="J5" s="15">
        <f>'Table 7a '!P13</f>
        <v>0.2</v>
      </c>
      <c r="K5" s="211">
        <f>(J5-F5)/F5</f>
        <v>0.05</v>
      </c>
      <c r="L5" s="23"/>
      <c r="M5" s="47">
        <f>G5-C5</f>
        <v>0</v>
      </c>
      <c r="N5" s="181">
        <f>H5-D5</f>
        <v>0.01</v>
      </c>
      <c r="O5" s="14">
        <f>I5-E5</f>
        <v>0</v>
      </c>
      <c r="P5" s="15">
        <f>J5-F5</f>
        <v>0.01</v>
      </c>
      <c r="Q5" s="1717">
        <f>M5/C5</f>
        <v>0</v>
      </c>
      <c r="R5" s="1718">
        <f>N5/D5</f>
        <v>0.08</v>
      </c>
      <c r="S5" s="240" t="s">
        <v>16</v>
      </c>
    </row>
    <row r="6" spans="1:21" ht="13.5" thickBot="1">
      <c r="A6" s="579" t="s">
        <v>14</v>
      </c>
      <c r="B6" s="579" t="s">
        <v>17</v>
      </c>
      <c r="C6" s="48">
        <f>(G6/J6)*F6</f>
        <v>0.21</v>
      </c>
      <c r="D6" s="712">
        <f t="shared" si="0"/>
        <v>0.47</v>
      </c>
      <c r="E6" s="366">
        <f t="shared" si="1"/>
        <v>0.09</v>
      </c>
      <c r="F6" s="874">
        <f>'Table 7a '!D24</f>
        <v>0.76</v>
      </c>
      <c r="G6" s="48">
        <v>0.19</v>
      </c>
      <c r="H6" s="712">
        <v>0.43</v>
      </c>
      <c r="I6" s="366">
        <v>0.08</v>
      </c>
      <c r="J6" s="874">
        <f>'Table 7a '!P24</f>
        <v>0.7</v>
      </c>
      <c r="K6" s="1705">
        <f t="shared" ref="K6:K27" si="2">(J6-F6)/F6</f>
        <v>-0.08</v>
      </c>
      <c r="L6" s="23"/>
      <c r="M6" s="48">
        <f t="shared" ref="M6:M27" si="3">G6-C6</f>
        <v>-0.02</v>
      </c>
      <c r="N6" s="712">
        <f t="shared" ref="N6:N27" si="4">H6-D6</f>
        <v>-0.04</v>
      </c>
      <c r="O6" s="366">
        <f t="shared" ref="O6:O27" si="5">I6-E6</f>
        <v>-0.01</v>
      </c>
      <c r="P6" s="874">
        <f t="shared" ref="P6:P27" si="6">J6-F6</f>
        <v>-0.06</v>
      </c>
      <c r="Q6" s="1708">
        <f t="shared" ref="Q6:Q27" si="7">M6/C6</f>
        <v>-0.1</v>
      </c>
      <c r="R6" s="1713">
        <f t="shared" ref="R6:R27" si="8">N6/D6</f>
        <v>-0.09</v>
      </c>
      <c r="S6" s="1712">
        <f t="shared" ref="S6:S27" si="9">O6/E6</f>
        <v>-0.11</v>
      </c>
    </row>
    <row r="7" spans="1:21" ht="14.25" thickTop="1" thickBot="1">
      <c r="A7" s="476" t="s">
        <v>14</v>
      </c>
      <c r="B7" s="476" t="s">
        <v>18</v>
      </c>
      <c r="C7" s="139">
        <f t="shared" ref="C7:J7" si="10">SUM(C5:C6)</f>
        <v>0.27</v>
      </c>
      <c r="D7" s="701">
        <f t="shared" si="10"/>
        <v>0.6</v>
      </c>
      <c r="E7" s="104">
        <f t="shared" si="10"/>
        <v>0.09</v>
      </c>
      <c r="F7" s="61">
        <f t="shared" si="10"/>
        <v>0.95</v>
      </c>
      <c r="G7" s="139">
        <f t="shared" si="10"/>
        <v>0.25</v>
      </c>
      <c r="H7" s="701">
        <f t="shared" si="10"/>
        <v>0.56999999999999995</v>
      </c>
      <c r="I7" s="104">
        <f t="shared" si="10"/>
        <v>0.08</v>
      </c>
      <c r="J7" s="61">
        <f t="shared" si="10"/>
        <v>0.9</v>
      </c>
      <c r="K7" s="1698">
        <f t="shared" si="2"/>
        <v>-0.05</v>
      </c>
      <c r="L7" s="23"/>
      <c r="M7" s="139">
        <f t="shared" si="3"/>
        <v>-0.02</v>
      </c>
      <c r="N7" s="701">
        <f t="shared" si="4"/>
        <v>-0.03</v>
      </c>
      <c r="O7" s="104">
        <f t="shared" si="5"/>
        <v>-0.01</v>
      </c>
      <c r="P7" s="61">
        <f t="shared" si="6"/>
        <v>-0.05</v>
      </c>
      <c r="Q7" s="1719">
        <f t="shared" si="7"/>
        <v>-7.0000000000000007E-2</v>
      </c>
      <c r="R7" s="1720">
        <f t="shared" si="8"/>
        <v>-0.05</v>
      </c>
      <c r="S7" s="1721">
        <f t="shared" si="9"/>
        <v>-0.11</v>
      </c>
    </row>
    <row r="8" spans="1:21">
      <c r="A8" s="475" t="s">
        <v>19</v>
      </c>
      <c r="B8" s="475" t="s">
        <v>15</v>
      </c>
      <c r="C8" s="149">
        <v>0</v>
      </c>
      <c r="D8" s="702">
        <f>(H8/J8)*F8</f>
        <v>0.06</v>
      </c>
      <c r="E8" s="159">
        <f>(I8/J8)*F8</f>
        <v>0.02</v>
      </c>
      <c r="F8" s="150">
        <f>'Table 7a '!D46</f>
        <v>0.08</v>
      </c>
      <c r="G8" s="149">
        <v>0</v>
      </c>
      <c r="H8" s="702">
        <v>7.0000000000000007E-2</v>
      </c>
      <c r="I8" s="159">
        <v>0.03</v>
      </c>
      <c r="J8" s="150">
        <f>'Table 7a '!P46</f>
        <v>0.1</v>
      </c>
      <c r="K8" s="1702">
        <f t="shared" si="2"/>
        <v>0.25</v>
      </c>
      <c r="L8" s="23"/>
      <c r="M8" s="149">
        <f t="shared" si="3"/>
        <v>0</v>
      </c>
      <c r="N8" s="702">
        <f t="shared" si="4"/>
        <v>0.01</v>
      </c>
      <c r="O8" s="159">
        <f t="shared" si="5"/>
        <v>0.01</v>
      </c>
      <c r="P8" s="150">
        <f t="shared" si="6"/>
        <v>0.02</v>
      </c>
      <c r="Q8" s="1722" t="s">
        <v>16</v>
      </c>
      <c r="R8" s="1723">
        <f t="shared" si="8"/>
        <v>0.17</v>
      </c>
      <c r="S8" s="1724">
        <f t="shared" si="9"/>
        <v>0.5</v>
      </c>
    </row>
    <row r="9" spans="1:21" ht="13.5" thickBot="1">
      <c r="A9" s="579" t="s">
        <v>19</v>
      </c>
      <c r="B9" s="579" t="s">
        <v>17</v>
      </c>
      <c r="C9" s="48">
        <v>0</v>
      </c>
      <c r="D9" s="712">
        <v>0</v>
      </c>
      <c r="E9" s="366">
        <v>0</v>
      </c>
      <c r="F9" s="874">
        <f>'Table 7a '!F57</f>
        <v>0</v>
      </c>
      <c r="G9" s="48">
        <v>0</v>
      </c>
      <c r="H9" s="712">
        <v>0</v>
      </c>
      <c r="I9" s="366">
        <v>0</v>
      </c>
      <c r="J9" s="874">
        <f>'Table 7a '!P57</f>
        <v>0</v>
      </c>
      <c r="K9" s="1712" t="s">
        <v>16</v>
      </c>
      <c r="L9" s="23"/>
      <c r="M9" s="48">
        <f t="shared" si="3"/>
        <v>0</v>
      </c>
      <c r="N9" s="712">
        <f t="shared" si="4"/>
        <v>0</v>
      </c>
      <c r="O9" s="366">
        <f t="shared" si="5"/>
        <v>0</v>
      </c>
      <c r="P9" s="874">
        <f t="shared" si="6"/>
        <v>0</v>
      </c>
      <c r="Q9" s="1708" t="s">
        <v>16</v>
      </c>
      <c r="R9" s="1713" t="s">
        <v>16</v>
      </c>
      <c r="S9" s="1712" t="s">
        <v>16</v>
      </c>
    </row>
    <row r="10" spans="1:21" ht="14.25" thickTop="1" thickBot="1">
      <c r="A10" s="279" t="s">
        <v>19</v>
      </c>
      <c r="B10" s="279" t="s">
        <v>18</v>
      </c>
      <c r="C10" s="34">
        <f t="shared" ref="C10:J10" si="11">SUM(C8:C9)</f>
        <v>0</v>
      </c>
      <c r="D10" s="774">
        <f t="shared" si="11"/>
        <v>0.06</v>
      </c>
      <c r="E10" s="20">
        <f t="shared" si="11"/>
        <v>0.02</v>
      </c>
      <c r="F10" s="21">
        <f t="shared" si="11"/>
        <v>0.08</v>
      </c>
      <c r="G10" s="34">
        <f t="shared" si="11"/>
        <v>0</v>
      </c>
      <c r="H10" s="774">
        <f t="shared" si="11"/>
        <v>7.0000000000000007E-2</v>
      </c>
      <c r="I10" s="20">
        <f t="shared" si="11"/>
        <v>0.03</v>
      </c>
      <c r="J10" s="21">
        <f t="shared" si="11"/>
        <v>0.1</v>
      </c>
      <c r="K10" s="1699">
        <f t="shared" si="2"/>
        <v>0.25</v>
      </c>
      <c r="L10" s="23"/>
      <c r="M10" s="34">
        <f t="shared" si="3"/>
        <v>0</v>
      </c>
      <c r="N10" s="774">
        <f t="shared" si="4"/>
        <v>0.01</v>
      </c>
      <c r="O10" s="20">
        <f t="shared" si="5"/>
        <v>0.01</v>
      </c>
      <c r="P10" s="21">
        <f t="shared" si="6"/>
        <v>0.02</v>
      </c>
      <c r="Q10" s="1725" t="s">
        <v>16</v>
      </c>
      <c r="R10" s="1726">
        <f t="shared" si="8"/>
        <v>0.17</v>
      </c>
      <c r="S10" s="1727">
        <f t="shared" si="9"/>
        <v>0.5</v>
      </c>
    </row>
    <row r="11" spans="1:21">
      <c r="A11" s="475" t="s">
        <v>20</v>
      </c>
      <c r="B11" s="475" t="s">
        <v>15</v>
      </c>
      <c r="C11" s="47">
        <v>0</v>
      </c>
      <c r="D11" s="181">
        <v>0</v>
      </c>
      <c r="E11" s="14">
        <v>0</v>
      </c>
      <c r="F11" s="15">
        <f>'Table 7a '!D82</f>
        <v>0</v>
      </c>
      <c r="G11" s="47">
        <v>0</v>
      </c>
      <c r="H11" s="181">
        <v>0</v>
      </c>
      <c r="I11" s="14">
        <v>0</v>
      </c>
      <c r="J11" s="15">
        <f>'Table 7a '!P82</f>
        <v>0</v>
      </c>
      <c r="K11" s="1706" t="s">
        <v>16</v>
      </c>
      <c r="L11" s="23"/>
      <c r="M11" s="47">
        <f t="shared" si="3"/>
        <v>0</v>
      </c>
      <c r="N11" s="181">
        <f t="shared" si="4"/>
        <v>0</v>
      </c>
      <c r="O11" s="14">
        <f t="shared" si="5"/>
        <v>0</v>
      </c>
      <c r="P11" s="15">
        <f t="shared" si="6"/>
        <v>0</v>
      </c>
      <c r="Q11" s="1710" t="s">
        <v>16</v>
      </c>
      <c r="R11" s="1715" t="s">
        <v>16</v>
      </c>
      <c r="S11" s="1706" t="s">
        <v>16</v>
      </c>
    </row>
    <row r="12" spans="1:21" ht="13.5" thickBot="1">
      <c r="A12" s="579" t="s">
        <v>20</v>
      </c>
      <c r="B12" s="579" t="s">
        <v>17</v>
      </c>
      <c r="C12" s="48">
        <v>0</v>
      </c>
      <c r="D12" s="712">
        <f>(H12/J12)*F12</f>
        <v>0.13</v>
      </c>
      <c r="E12" s="366">
        <f>(I12/J12)*F12</f>
        <v>0.15</v>
      </c>
      <c r="F12" s="874">
        <f>'Table 7a '!D93</f>
        <v>0.28000000000000003</v>
      </c>
      <c r="G12" s="48">
        <v>0</v>
      </c>
      <c r="H12" s="712">
        <v>0.13</v>
      </c>
      <c r="I12" s="366">
        <v>0.16</v>
      </c>
      <c r="J12" s="874">
        <f>'Table 7a '!P93</f>
        <v>0.28999999999999998</v>
      </c>
      <c r="K12" s="1705">
        <f t="shared" si="2"/>
        <v>0.04</v>
      </c>
      <c r="L12" s="23"/>
      <c r="M12" s="48">
        <f t="shared" si="3"/>
        <v>0</v>
      </c>
      <c r="N12" s="712">
        <f t="shared" si="4"/>
        <v>0</v>
      </c>
      <c r="O12" s="366">
        <f t="shared" si="5"/>
        <v>0.01</v>
      </c>
      <c r="P12" s="874">
        <f t="shared" si="6"/>
        <v>0.01</v>
      </c>
      <c r="Q12" s="1708" t="s">
        <v>16</v>
      </c>
      <c r="R12" s="1713">
        <f t="shared" si="8"/>
        <v>0</v>
      </c>
      <c r="S12" s="1712">
        <f t="shared" si="9"/>
        <v>7.0000000000000007E-2</v>
      </c>
    </row>
    <row r="13" spans="1:21" ht="14.25" thickTop="1" thickBot="1">
      <c r="A13" s="939" t="s">
        <v>20</v>
      </c>
      <c r="B13" s="939" t="s">
        <v>18</v>
      </c>
      <c r="C13" s="184">
        <f t="shared" ref="C13:J13" si="12">SUM(C11:C12)</f>
        <v>0</v>
      </c>
      <c r="D13" s="721">
        <f t="shared" si="12"/>
        <v>0.13</v>
      </c>
      <c r="E13" s="323">
        <f t="shared" si="12"/>
        <v>0.15</v>
      </c>
      <c r="F13" s="320">
        <f t="shared" si="12"/>
        <v>0.28000000000000003</v>
      </c>
      <c r="G13" s="184">
        <f t="shared" si="12"/>
        <v>0</v>
      </c>
      <c r="H13" s="721">
        <f t="shared" si="12"/>
        <v>0.13</v>
      </c>
      <c r="I13" s="323">
        <f t="shared" si="12"/>
        <v>0.16</v>
      </c>
      <c r="J13" s="320">
        <f t="shared" si="12"/>
        <v>0.28999999999999998</v>
      </c>
      <c r="K13" s="1700">
        <f t="shared" si="2"/>
        <v>0.04</v>
      </c>
      <c r="L13" s="23"/>
      <c r="M13" s="184">
        <f t="shared" si="3"/>
        <v>0</v>
      </c>
      <c r="N13" s="721">
        <f t="shared" si="4"/>
        <v>0</v>
      </c>
      <c r="O13" s="323">
        <f t="shared" si="5"/>
        <v>0.01</v>
      </c>
      <c r="P13" s="320">
        <f t="shared" si="6"/>
        <v>0.01</v>
      </c>
      <c r="Q13" s="1728" t="s">
        <v>16</v>
      </c>
      <c r="R13" s="1729">
        <f t="shared" si="8"/>
        <v>0</v>
      </c>
      <c r="S13" s="1730">
        <f t="shared" si="9"/>
        <v>7.0000000000000007E-2</v>
      </c>
    </row>
    <row r="14" spans="1:21">
      <c r="A14" s="443" t="s">
        <v>21</v>
      </c>
      <c r="B14" s="443" t="s">
        <v>15</v>
      </c>
      <c r="C14" s="47">
        <v>0</v>
      </c>
      <c r="D14" s="181">
        <v>0.05</v>
      </c>
      <c r="E14" s="14">
        <v>0</v>
      </c>
      <c r="F14" s="15">
        <f>'Table 7a '!D115</f>
        <v>0.05</v>
      </c>
      <c r="G14" s="47">
        <v>0</v>
      </c>
      <c r="H14" s="181">
        <v>0.06</v>
      </c>
      <c r="I14" s="14">
        <v>0</v>
      </c>
      <c r="J14" s="15">
        <f>'Table 7a '!P115</f>
        <v>0.06</v>
      </c>
      <c r="K14" s="1703">
        <f t="shared" si="2"/>
        <v>0.2</v>
      </c>
      <c r="L14" s="23"/>
      <c r="M14" s="47">
        <f t="shared" si="3"/>
        <v>0</v>
      </c>
      <c r="N14" s="181">
        <f t="shared" si="4"/>
        <v>0.01</v>
      </c>
      <c r="O14" s="14">
        <f t="shared" si="5"/>
        <v>0</v>
      </c>
      <c r="P14" s="15">
        <f t="shared" si="6"/>
        <v>0.01</v>
      </c>
      <c r="Q14" s="1710" t="s">
        <v>16</v>
      </c>
      <c r="R14" s="1715">
        <f t="shared" si="8"/>
        <v>0.2</v>
      </c>
      <c r="S14" s="1706" t="s">
        <v>16</v>
      </c>
    </row>
    <row r="15" spans="1:21">
      <c r="A15" s="455" t="s">
        <v>22</v>
      </c>
      <c r="B15" s="455" t="s">
        <v>17</v>
      </c>
      <c r="C15" s="823">
        <v>0</v>
      </c>
      <c r="D15" s="802">
        <f t="shared" ref="D15:D18" si="13">(H15/J15)*F15</f>
        <v>0.37</v>
      </c>
      <c r="E15" s="322">
        <f t="shared" ref="E15:E16" si="14">(I15/J15)*F15</f>
        <v>0.02</v>
      </c>
      <c r="F15" s="830">
        <f>'Table 7a '!D126</f>
        <v>0.38</v>
      </c>
      <c r="G15" s="823">
        <v>0</v>
      </c>
      <c r="H15" s="802">
        <v>0.34</v>
      </c>
      <c r="I15" s="322">
        <v>0.02</v>
      </c>
      <c r="J15" s="830">
        <f>'Table 7a '!P126</f>
        <v>0.35</v>
      </c>
      <c r="K15" s="1704">
        <f t="shared" si="2"/>
        <v>-0.08</v>
      </c>
      <c r="L15" s="23"/>
      <c r="M15" s="823">
        <f t="shared" si="3"/>
        <v>0</v>
      </c>
      <c r="N15" s="802">
        <f t="shared" si="4"/>
        <v>-0.03</v>
      </c>
      <c r="O15" s="322">
        <f t="shared" si="5"/>
        <v>0</v>
      </c>
      <c r="P15" s="830">
        <f t="shared" si="6"/>
        <v>-0.03</v>
      </c>
      <c r="Q15" s="1731" t="s">
        <v>16</v>
      </c>
      <c r="R15" s="1732">
        <f t="shared" si="8"/>
        <v>-0.08</v>
      </c>
      <c r="S15" s="1733">
        <f t="shared" si="9"/>
        <v>0</v>
      </c>
    </row>
    <row r="16" spans="1:21">
      <c r="A16" s="455" t="s">
        <v>23</v>
      </c>
      <c r="B16" s="455" t="s">
        <v>15</v>
      </c>
      <c r="C16" s="823">
        <v>0</v>
      </c>
      <c r="D16" s="802">
        <f t="shared" si="13"/>
        <v>0.09</v>
      </c>
      <c r="E16" s="322">
        <f t="shared" si="14"/>
        <v>0.14000000000000001</v>
      </c>
      <c r="F16" s="830">
        <f>'Table 7a '!D140</f>
        <v>0.23</v>
      </c>
      <c r="G16" s="823">
        <v>0</v>
      </c>
      <c r="H16" s="802">
        <v>0.08</v>
      </c>
      <c r="I16" s="322">
        <v>0.13</v>
      </c>
      <c r="J16" s="830">
        <f>'Table 7a '!P140</f>
        <v>0.21</v>
      </c>
      <c r="K16" s="1704">
        <f t="shared" si="2"/>
        <v>-0.09</v>
      </c>
      <c r="L16" s="23"/>
      <c r="M16" s="823">
        <f t="shared" si="3"/>
        <v>0</v>
      </c>
      <c r="N16" s="802">
        <f t="shared" si="4"/>
        <v>-0.01</v>
      </c>
      <c r="O16" s="322">
        <f t="shared" si="5"/>
        <v>-0.01</v>
      </c>
      <c r="P16" s="830">
        <f t="shared" si="6"/>
        <v>-0.02</v>
      </c>
      <c r="Q16" s="1731" t="s">
        <v>16</v>
      </c>
      <c r="R16" s="1732">
        <f t="shared" si="8"/>
        <v>-0.11</v>
      </c>
      <c r="S16" s="1733">
        <f t="shared" si="9"/>
        <v>-7.0000000000000007E-2</v>
      </c>
      <c r="U16" s="1" t="s">
        <v>36</v>
      </c>
    </row>
    <row r="17" spans="1:19">
      <c r="A17" s="455" t="s">
        <v>24</v>
      </c>
      <c r="B17" s="455" t="s">
        <v>15</v>
      </c>
      <c r="C17" s="823">
        <v>0</v>
      </c>
      <c r="D17" s="802">
        <f t="shared" si="13"/>
        <v>0.04</v>
      </c>
      <c r="E17" s="322">
        <v>0</v>
      </c>
      <c r="F17" s="830">
        <f>'Table 7a '!D151</f>
        <v>0.04</v>
      </c>
      <c r="G17" s="823">
        <v>0</v>
      </c>
      <c r="H17" s="802">
        <v>7.0000000000000007E-2</v>
      </c>
      <c r="I17" s="322">
        <v>0</v>
      </c>
      <c r="J17" s="830">
        <f>'Table 7a '!P151</f>
        <v>7.0000000000000007E-2</v>
      </c>
      <c r="K17" s="1704">
        <f t="shared" si="2"/>
        <v>0.75</v>
      </c>
      <c r="L17" s="23"/>
      <c r="M17" s="823">
        <f t="shared" si="3"/>
        <v>0</v>
      </c>
      <c r="N17" s="802">
        <f t="shared" si="4"/>
        <v>0.03</v>
      </c>
      <c r="O17" s="322">
        <f t="shared" si="5"/>
        <v>0</v>
      </c>
      <c r="P17" s="830">
        <f t="shared" si="6"/>
        <v>0.03</v>
      </c>
      <c r="Q17" s="1731" t="s">
        <v>16</v>
      </c>
      <c r="R17" s="1732">
        <f t="shared" si="8"/>
        <v>0.75</v>
      </c>
      <c r="S17" s="1733" t="s">
        <v>16</v>
      </c>
    </row>
    <row r="18" spans="1:19">
      <c r="A18" s="456" t="s">
        <v>533</v>
      </c>
      <c r="B18" s="456" t="s">
        <v>17</v>
      </c>
      <c r="C18" s="823">
        <f>(G18/J18)*F18</f>
        <v>1.78</v>
      </c>
      <c r="D18" s="802">
        <f t="shared" si="13"/>
        <v>0.45</v>
      </c>
      <c r="E18" s="322">
        <v>0</v>
      </c>
      <c r="F18" s="830">
        <f>'Table 7a '!D162</f>
        <v>2.13</v>
      </c>
      <c r="G18" s="823">
        <v>1.78</v>
      </c>
      <c r="H18" s="802">
        <v>0.45</v>
      </c>
      <c r="I18" s="322">
        <v>0</v>
      </c>
      <c r="J18" s="830">
        <f>'Table 7a '!P162</f>
        <v>2.13</v>
      </c>
      <c r="K18" s="1704">
        <f t="shared" si="2"/>
        <v>0</v>
      </c>
      <c r="L18" s="23"/>
      <c r="M18" s="823">
        <f t="shared" si="3"/>
        <v>0</v>
      </c>
      <c r="N18" s="802">
        <f t="shared" si="4"/>
        <v>0</v>
      </c>
      <c r="O18" s="322">
        <f t="shared" si="5"/>
        <v>0</v>
      </c>
      <c r="P18" s="830">
        <f t="shared" si="6"/>
        <v>0</v>
      </c>
      <c r="Q18" s="1731">
        <f t="shared" si="7"/>
        <v>0</v>
      </c>
      <c r="R18" s="1732">
        <f t="shared" si="8"/>
        <v>0</v>
      </c>
      <c r="S18" s="1733" t="s">
        <v>16</v>
      </c>
    </row>
    <row r="19" spans="1:19">
      <c r="A19" s="456" t="s">
        <v>26</v>
      </c>
      <c r="B19" s="456" t="s">
        <v>17</v>
      </c>
      <c r="C19" s="823">
        <v>0</v>
      </c>
      <c r="D19" s="802">
        <v>0.24</v>
      </c>
      <c r="E19" s="322">
        <v>0</v>
      </c>
      <c r="F19" s="830">
        <f>'Table 7a '!D173</f>
        <v>0.24</v>
      </c>
      <c r="G19" s="823">
        <v>0</v>
      </c>
      <c r="H19" s="802">
        <v>0.21</v>
      </c>
      <c r="I19" s="322">
        <v>0</v>
      </c>
      <c r="J19" s="830">
        <f>'Table 7a '!P173</f>
        <v>0.21</v>
      </c>
      <c r="K19" s="1704">
        <f t="shared" si="2"/>
        <v>-0.13</v>
      </c>
      <c r="L19" s="23"/>
      <c r="M19" s="823">
        <f t="shared" si="3"/>
        <v>0</v>
      </c>
      <c r="N19" s="802">
        <f t="shared" si="4"/>
        <v>-0.03</v>
      </c>
      <c r="O19" s="322">
        <f t="shared" si="5"/>
        <v>0</v>
      </c>
      <c r="P19" s="830">
        <f t="shared" si="6"/>
        <v>-0.03</v>
      </c>
      <c r="Q19" s="1731" t="s">
        <v>16</v>
      </c>
      <c r="R19" s="1732">
        <f t="shared" si="8"/>
        <v>-0.13</v>
      </c>
      <c r="S19" s="1733" t="s">
        <v>16</v>
      </c>
    </row>
    <row r="20" spans="1:19">
      <c r="A20" s="365" t="s">
        <v>27</v>
      </c>
      <c r="B20" s="365" t="s">
        <v>15</v>
      </c>
      <c r="C20" s="823">
        <f t="shared" ref="C20:C21" si="15">(G20/J20)*F20</f>
        <v>0.03</v>
      </c>
      <c r="D20" s="802">
        <f t="shared" ref="D20:D23" si="16">(H20/J20)*F20</f>
        <v>0.05</v>
      </c>
      <c r="E20" s="322">
        <f t="shared" ref="E20:E23" si="17">(I20/J20)*F20</f>
        <v>0.05</v>
      </c>
      <c r="F20" s="830">
        <f>'Table 7a '!D184</f>
        <v>0.13</v>
      </c>
      <c r="G20" s="823">
        <v>0.04</v>
      </c>
      <c r="H20" s="802">
        <v>0.08</v>
      </c>
      <c r="I20" s="322">
        <v>7.0000000000000007E-2</v>
      </c>
      <c r="J20" s="830">
        <f>'Table 7a '!P184</f>
        <v>0.19</v>
      </c>
      <c r="K20" s="1704">
        <f t="shared" si="2"/>
        <v>0.46</v>
      </c>
      <c r="L20" s="23"/>
      <c r="M20" s="823">
        <f t="shared" si="3"/>
        <v>0.01</v>
      </c>
      <c r="N20" s="802">
        <f t="shared" si="4"/>
        <v>0.03</v>
      </c>
      <c r="O20" s="322">
        <f t="shared" si="5"/>
        <v>0.02</v>
      </c>
      <c r="P20" s="830">
        <f t="shared" si="6"/>
        <v>0.06</v>
      </c>
      <c r="Q20" s="1731">
        <f t="shared" si="7"/>
        <v>0.33</v>
      </c>
      <c r="R20" s="1732">
        <f t="shared" si="8"/>
        <v>0.6</v>
      </c>
      <c r="S20" s="1733">
        <f t="shared" si="9"/>
        <v>0.4</v>
      </c>
    </row>
    <row r="21" spans="1:19">
      <c r="A21" s="365" t="s">
        <v>28</v>
      </c>
      <c r="B21" s="365" t="s">
        <v>15</v>
      </c>
      <c r="C21" s="823">
        <f t="shared" si="15"/>
        <v>0.13</v>
      </c>
      <c r="D21" s="802">
        <f t="shared" si="16"/>
        <v>0.14000000000000001</v>
      </c>
      <c r="E21" s="322">
        <f t="shared" si="17"/>
        <v>0.19</v>
      </c>
      <c r="F21" s="830">
        <f>'Table 7a '!D198</f>
        <v>0.46</v>
      </c>
      <c r="G21" s="823">
        <v>0.14000000000000001</v>
      </c>
      <c r="H21" s="802">
        <v>0.15</v>
      </c>
      <c r="I21" s="322">
        <v>0.21</v>
      </c>
      <c r="J21" s="830">
        <f>'Table 7a '!P198</f>
        <v>0.5</v>
      </c>
      <c r="K21" s="1704">
        <f t="shared" si="2"/>
        <v>0.09</v>
      </c>
      <c r="L21" s="23"/>
      <c r="M21" s="823">
        <f t="shared" si="3"/>
        <v>0.01</v>
      </c>
      <c r="N21" s="802">
        <f t="shared" si="4"/>
        <v>0.01</v>
      </c>
      <c r="O21" s="322">
        <f t="shared" si="5"/>
        <v>0.02</v>
      </c>
      <c r="P21" s="830">
        <f t="shared" si="6"/>
        <v>0.04</v>
      </c>
      <c r="Q21" s="1731">
        <f t="shared" si="7"/>
        <v>0.08</v>
      </c>
      <c r="R21" s="1732">
        <f t="shared" si="8"/>
        <v>7.0000000000000007E-2</v>
      </c>
      <c r="S21" s="1733">
        <f t="shared" si="9"/>
        <v>0.11</v>
      </c>
    </row>
    <row r="22" spans="1:19">
      <c r="A22" s="365" t="s">
        <v>29</v>
      </c>
      <c r="B22" s="365" t="s">
        <v>15</v>
      </c>
      <c r="C22" s="823">
        <v>0</v>
      </c>
      <c r="D22" s="802">
        <f t="shared" si="16"/>
        <v>0.03</v>
      </c>
      <c r="E22" s="322">
        <f t="shared" si="17"/>
        <v>0.01</v>
      </c>
      <c r="F22" s="830">
        <f>'Table 7a '!D209</f>
        <v>0.04</v>
      </c>
      <c r="G22" s="823">
        <v>0</v>
      </c>
      <c r="H22" s="802">
        <v>0.04</v>
      </c>
      <c r="I22" s="322">
        <v>0.02</v>
      </c>
      <c r="J22" s="830">
        <f>'Table 7a '!P209</f>
        <v>0.06</v>
      </c>
      <c r="K22" s="1704">
        <f t="shared" si="2"/>
        <v>0.5</v>
      </c>
      <c r="L22" s="23"/>
      <c r="M22" s="823">
        <f t="shared" si="3"/>
        <v>0</v>
      </c>
      <c r="N22" s="802">
        <f t="shared" si="4"/>
        <v>0.01</v>
      </c>
      <c r="O22" s="322">
        <f t="shared" si="5"/>
        <v>0.01</v>
      </c>
      <c r="P22" s="830">
        <f t="shared" si="6"/>
        <v>0.02</v>
      </c>
      <c r="Q22" s="1731" t="s">
        <v>16</v>
      </c>
      <c r="R22" s="1732">
        <f t="shared" si="8"/>
        <v>0.33</v>
      </c>
      <c r="S22" s="1733">
        <f t="shared" si="9"/>
        <v>1</v>
      </c>
    </row>
    <row r="23" spans="1:19">
      <c r="A23" s="357" t="s">
        <v>30</v>
      </c>
      <c r="B23" s="357" t="s">
        <v>17</v>
      </c>
      <c r="C23" s="823">
        <f>(G23/J23)*F23</f>
        <v>1.04</v>
      </c>
      <c r="D23" s="802">
        <f t="shared" si="16"/>
        <v>1.1599999999999999</v>
      </c>
      <c r="E23" s="322">
        <f t="shared" si="17"/>
        <v>0.01</v>
      </c>
      <c r="F23" s="830">
        <f>'Table 7a '!D220</f>
        <v>2.21</v>
      </c>
      <c r="G23" s="823">
        <v>1.1200000000000001</v>
      </c>
      <c r="H23" s="802">
        <v>1.24</v>
      </c>
      <c r="I23" s="322">
        <v>0.01</v>
      </c>
      <c r="J23" s="830">
        <f>'Table 7a '!P220</f>
        <v>2.37</v>
      </c>
      <c r="K23" s="1704">
        <f t="shared" si="2"/>
        <v>7.0000000000000007E-2</v>
      </c>
      <c r="L23" s="23"/>
      <c r="M23" s="823">
        <f t="shared" si="3"/>
        <v>0.08</v>
      </c>
      <c r="N23" s="802">
        <f t="shared" si="4"/>
        <v>0.08</v>
      </c>
      <c r="O23" s="322">
        <f t="shared" si="5"/>
        <v>0</v>
      </c>
      <c r="P23" s="830">
        <f t="shared" si="6"/>
        <v>0.16</v>
      </c>
      <c r="Q23" s="1731">
        <f t="shared" si="7"/>
        <v>0.08</v>
      </c>
      <c r="R23" s="1732">
        <f t="shared" si="8"/>
        <v>7.0000000000000007E-2</v>
      </c>
      <c r="S23" s="1733">
        <f t="shared" si="9"/>
        <v>0</v>
      </c>
    </row>
    <row r="24" spans="1:19" ht="13.5" thickBot="1">
      <c r="A24" s="357" t="s">
        <v>31</v>
      </c>
      <c r="B24" s="133" t="s">
        <v>17</v>
      </c>
      <c r="C24" s="48">
        <v>0</v>
      </c>
      <c r="D24" s="712">
        <v>0.15</v>
      </c>
      <c r="E24" s="366">
        <v>0</v>
      </c>
      <c r="F24" s="874">
        <f>'Table 7a '!D231</f>
        <v>0.15</v>
      </c>
      <c r="G24" s="48">
        <v>0</v>
      </c>
      <c r="H24" s="712">
        <v>0.15</v>
      </c>
      <c r="I24" s="366">
        <v>0.16</v>
      </c>
      <c r="J24" s="874">
        <f>'Table 7a '!P231</f>
        <v>0.16</v>
      </c>
      <c r="K24" s="1705">
        <f t="shared" si="2"/>
        <v>7.0000000000000007E-2</v>
      </c>
      <c r="L24" s="23"/>
      <c r="M24" s="48">
        <f t="shared" si="3"/>
        <v>0</v>
      </c>
      <c r="N24" s="712">
        <f t="shared" si="4"/>
        <v>0</v>
      </c>
      <c r="O24" s="366">
        <f t="shared" si="5"/>
        <v>0.16</v>
      </c>
      <c r="P24" s="874">
        <f t="shared" si="6"/>
        <v>0.01</v>
      </c>
      <c r="Q24" s="1708" t="s">
        <v>16</v>
      </c>
      <c r="R24" s="1713">
        <f t="shared" si="8"/>
        <v>0</v>
      </c>
      <c r="S24" s="1712" t="s">
        <v>16</v>
      </c>
    </row>
    <row r="25" spans="1:19" ht="14.25" thickTop="1" thickBot="1">
      <c r="A25" s="3409" t="s">
        <v>32</v>
      </c>
      <c r="B25" s="3408"/>
      <c r="C25" s="34">
        <f>C5+C8+C11+C14+C16+C17+C20+C21+C22</f>
        <v>0.22</v>
      </c>
      <c r="D25" s="774">
        <f t="shared" ref="D25:F25" si="18">D5+D8+D11+D14+D16+D17+D20+D21+D22</f>
        <v>0.59</v>
      </c>
      <c r="E25" s="20">
        <f t="shared" si="18"/>
        <v>0.41</v>
      </c>
      <c r="F25" s="21">
        <f t="shared" si="18"/>
        <v>1.22</v>
      </c>
      <c r="G25" s="34">
        <f t="shared" ref="G25:I25" si="19">G5+G8+G11+G14+G16+G17+G20+G21+G22</f>
        <v>0.24</v>
      </c>
      <c r="H25" s="774">
        <f t="shared" si="19"/>
        <v>0.69</v>
      </c>
      <c r="I25" s="20">
        <f t="shared" si="19"/>
        <v>0.46</v>
      </c>
      <c r="J25" s="21">
        <f t="shared" ref="J25" si="20">J5+J8+J11+J14+J16+J17+J20+J21+J22</f>
        <v>1.39</v>
      </c>
      <c r="K25" s="1699">
        <f t="shared" si="2"/>
        <v>0.14000000000000001</v>
      </c>
      <c r="L25" s="23"/>
      <c r="M25" s="34">
        <f t="shared" si="3"/>
        <v>0.02</v>
      </c>
      <c r="N25" s="774">
        <f t="shared" si="4"/>
        <v>0.1</v>
      </c>
      <c r="O25" s="20">
        <f t="shared" si="5"/>
        <v>0.05</v>
      </c>
      <c r="P25" s="21">
        <f t="shared" si="6"/>
        <v>0.17</v>
      </c>
      <c r="Q25" s="1709">
        <f t="shared" si="7"/>
        <v>0.09</v>
      </c>
      <c r="R25" s="1714">
        <f t="shared" si="8"/>
        <v>0.17</v>
      </c>
      <c r="S25" s="1699">
        <f t="shared" si="9"/>
        <v>0.12</v>
      </c>
    </row>
    <row r="26" spans="1:19" ht="13.5" thickBot="1">
      <c r="A26" s="3427" t="s">
        <v>33</v>
      </c>
      <c r="B26" s="3428"/>
      <c r="C26" s="192">
        <f>C6+C9+C12+C15+C18+C19+C23+C24</f>
        <v>3.03</v>
      </c>
      <c r="D26" s="706">
        <f t="shared" ref="D26:F26" si="21">D6+D9+D12+D15+D18+D19+D23+D24</f>
        <v>2.97</v>
      </c>
      <c r="E26" s="253">
        <f t="shared" si="21"/>
        <v>0.27</v>
      </c>
      <c r="F26" s="191">
        <f t="shared" si="21"/>
        <v>6.15</v>
      </c>
      <c r="G26" s="192">
        <f t="shared" ref="G26:I26" si="22">G6+G9+G12+G15+G18+G19+G23+G24</f>
        <v>3.09</v>
      </c>
      <c r="H26" s="706">
        <f t="shared" si="22"/>
        <v>2.95</v>
      </c>
      <c r="I26" s="253">
        <f t="shared" si="22"/>
        <v>0.43</v>
      </c>
      <c r="J26" s="191">
        <f t="shared" ref="J26" si="23">J6+J9+J12+J15+J18+J19+J23+J24</f>
        <v>6.21</v>
      </c>
      <c r="K26" s="1701">
        <f t="shared" si="2"/>
        <v>0.01</v>
      </c>
      <c r="L26" s="23"/>
      <c r="M26" s="192">
        <f t="shared" si="3"/>
        <v>0.06</v>
      </c>
      <c r="N26" s="706">
        <f t="shared" si="4"/>
        <v>-0.02</v>
      </c>
      <c r="O26" s="253">
        <f t="shared" si="5"/>
        <v>0.16</v>
      </c>
      <c r="P26" s="191">
        <f t="shared" si="6"/>
        <v>0.06</v>
      </c>
      <c r="Q26" s="1711">
        <f t="shared" si="7"/>
        <v>0.02</v>
      </c>
      <c r="R26" s="1716">
        <f t="shared" si="8"/>
        <v>-0.01</v>
      </c>
      <c r="S26" s="1701">
        <f t="shared" si="9"/>
        <v>0.59</v>
      </c>
    </row>
    <row r="27" spans="1:19" ht="13.5" thickBot="1">
      <c r="A27" s="3427" t="s">
        <v>34</v>
      </c>
      <c r="B27" s="3445"/>
      <c r="C27" s="34">
        <f>C25+C26</f>
        <v>3.25</v>
      </c>
      <c r="D27" s="774">
        <f t="shared" ref="D27:F27" si="24">D25+D26</f>
        <v>3.56</v>
      </c>
      <c r="E27" s="20">
        <f t="shared" si="24"/>
        <v>0.68</v>
      </c>
      <c r="F27" s="21">
        <f t="shared" si="24"/>
        <v>7.37</v>
      </c>
      <c r="G27" s="34">
        <f t="shared" ref="G27" si="25">G25+G26</f>
        <v>3.33</v>
      </c>
      <c r="H27" s="774">
        <f t="shared" ref="H27" si="26">H25+H26</f>
        <v>3.64</v>
      </c>
      <c r="I27" s="20">
        <f t="shared" ref="I27:J27" si="27">I25+I26</f>
        <v>0.89</v>
      </c>
      <c r="J27" s="21">
        <f t="shared" si="27"/>
        <v>7.6</v>
      </c>
      <c r="K27" s="1699">
        <f t="shared" si="2"/>
        <v>0.03</v>
      </c>
      <c r="L27" s="23"/>
      <c r="M27" s="34">
        <f t="shared" si="3"/>
        <v>0.08</v>
      </c>
      <c r="N27" s="774">
        <f t="shared" si="4"/>
        <v>0.08</v>
      </c>
      <c r="O27" s="20">
        <f t="shared" si="5"/>
        <v>0.21</v>
      </c>
      <c r="P27" s="21">
        <f t="shared" si="6"/>
        <v>0.23</v>
      </c>
      <c r="Q27" s="1709">
        <f t="shared" si="7"/>
        <v>0.02</v>
      </c>
      <c r="R27" s="1714">
        <f t="shared" si="8"/>
        <v>0.02</v>
      </c>
      <c r="S27" s="1699">
        <f t="shared" si="9"/>
        <v>0.31</v>
      </c>
    </row>
    <row r="28" spans="1:19">
      <c r="A28" s="89" t="s">
        <v>35</v>
      </c>
      <c r="H28" s="256" t="s">
        <v>36</v>
      </c>
    </row>
    <row r="29" spans="1:19">
      <c r="A29" s="1" t="s">
        <v>68</v>
      </c>
    </row>
    <row r="30" spans="1:19">
      <c r="A30" s="1" t="s">
        <v>69</v>
      </c>
    </row>
    <row r="31" spans="1:19">
      <c r="A31" s="3304" t="s">
        <v>584</v>
      </c>
      <c r="B31" s="3304"/>
      <c r="C31" s="3304"/>
      <c r="D31" s="3304"/>
      <c r="E31" s="3304"/>
      <c r="F31" s="3304"/>
      <c r="G31" s="3304"/>
      <c r="H31" s="3304"/>
      <c r="I31" s="3304"/>
      <c r="J31" s="3304"/>
      <c r="K31" s="3304"/>
      <c r="L31" s="570"/>
      <c r="M31" s="570"/>
      <c r="N31" s="570"/>
      <c r="O31" s="570"/>
      <c r="P31" s="570"/>
      <c r="Q31" s="570"/>
      <c r="R31" s="570"/>
      <c r="S31" s="570"/>
    </row>
    <row r="32" spans="1:19">
      <c r="A32" s="3304" t="s">
        <v>585</v>
      </c>
      <c r="B32" s="3304"/>
      <c r="C32" s="3304"/>
      <c r="D32" s="3304"/>
      <c r="E32" s="3304"/>
      <c r="F32" s="3304"/>
      <c r="G32" s="3304"/>
      <c r="H32" s="3304"/>
      <c r="I32" s="3304"/>
      <c r="J32" s="3304"/>
      <c r="K32" s="3304"/>
      <c r="P32" s="1" t="s">
        <v>36</v>
      </c>
    </row>
    <row r="33" spans="1:19">
      <c r="A33" s="3304" t="s">
        <v>586</v>
      </c>
      <c r="B33" s="3304"/>
      <c r="C33" s="3304"/>
      <c r="D33" s="3304"/>
      <c r="E33" s="3304"/>
      <c r="F33" s="3304"/>
      <c r="G33" s="3304"/>
      <c r="H33" s="3304"/>
      <c r="I33" s="3304"/>
      <c r="J33" s="3304"/>
      <c r="K33" s="3304"/>
    </row>
    <row r="35" spans="1:19" ht="28.5" customHeight="1" thickBot="1">
      <c r="A35" s="3224" t="s">
        <v>587</v>
      </c>
      <c r="B35" s="3224"/>
      <c r="C35" s="3224"/>
      <c r="D35" s="3224"/>
      <c r="E35" s="3224"/>
      <c r="F35" s="3224"/>
      <c r="G35" s="3224"/>
      <c r="H35" s="3224"/>
      <c r="I35" s="3224"/>
      <c r="J35" s="3224"/>
    </row>
    <row r="36" spans="1:19">
      <c r="A36" s="3204" t="s">
        <v>1</v>
      </c>
      <c r="B36" s="3206" t="s">
        <v>2</v>
      </c>
      <c r="C36" s="3446" t="s">
        <v>578</v>
      </c>
      <c r="D36" s="3447"/>
      <c r="E36" s="3447"/>
      <c r="F36" s="3448"/>
      <c r="G36" s="3446" t="s">
        <v>579</v>
      </c>
      <c r="H36" s="3447"/>
      <c r="I36" s="3447"/>
      <c r="J36" s="3448"/>
      <c r="K36" s="3442" t="s">
        <v>57</v>
      </c>
      <c r="M36" s="3365" t="s">
        <v>80</v>
      </c>
      <c r="N36" s="3366"/>
      <c r="O36" s="3366"/>
      <c r="P36" s="3318"/>
      <c r="Q36" s="3365" t="s">
        <v>580</v>
      </c>
      <c r="R36" s="3366"/>
      <c r="S36" s="3318"/>
    </row>
    <row r="37" spans="1:19" ht="13.5" thickBot="1">
      <c r="A37" s="3205"/>
      <c r="B37" s="3207"/>
      <c r="C37" s="3449"/>
      <c r="D37" s="3450"/>
      <c r="E37" s="3450"/>
      <c r="F37" s="3451"/>
      <c r="G37" s="3449"/>
      <c r="H37" s="3450"/>
      <c r="I37" s="3450"/>
      <c r="J37" s="3451"/>
      <c r="K37" s="3443"/>
      <c r="M37" s="3367"/>
      <c r="N37" s="3368"/>
      <c r="O37" s="3368"/>
      <c r="P37" s="3374"/>
      <c r="Q37" s="3367"/>
      <c r="R37" s="3368"/>
      <c r="S37" s="3374"/>
    </row>
    <row r="38" spans="1:19" ht="13.5" thickBot="1">
      <c r="A38" s="3485"/>
      <c r="B38" s="3208"/>
      <c r="C38" s="1130" t="s">
        <v>581</v>
      </c>
      <c r="D38" s="1697" t="s">
        <v>582</v>
      </c>
      <c r="E38" s="1131" t="s">
        <v>583</v>
      </c>
      <c r="F38" s="1132" t="s">
        <v>18</v>
      </c>
      <c r="G38" s="1130" t="s">
        <v>581</v>
      </c>
      <c r="H38" s="1697" t="s">
        <v>582</v>
      </c>
      <c r="I38" s="1131" t="s">
        <v>583</v>
      </c>
      <c r="J38" s="1132" t="s">
        <v>18</v>
      </c>
      <c r="K38" s="3444"/>
      <c r="M38" s="1945" t="s">
        <v>581</v>
      </c>
      <c r="N38" s="1682" t="s">
        <v>582</v>
      </c>
      <c r="O38" s="1707" t="s">
        <v>583</v>
      </c>
      <c r="P38" s="3042" t="s">
        <v>18</v>
      </c>
      <c r="Q38" s="3047" t="s">
        <v>581</v>
      </c>
      <c r="R38" s="994" t="s">
        <v>582</v>
      </c>
      <c r="S38" s="3048" t="s">
        <v>583</v>
      </c>
    </row>
    <row r="39" spans="1:19">
      <c r="A39" s="443" t="s">
        <v>46</v>
      </c>
      <c r="B39" s="443" t="s">
        <v>17</v>
      </c>
      <c r="C39" s="47">
        <v>0</v>
      </c>
      <c r="D39" s="181">
        <f t="shared" ref="D39:D41" si="28">(H39/J39)*F39</f>
        <v>0.06</v>
      </c>
      <c r="E39" s="14">
        <f t="shared" ref="E39:E41" si="29">(I39/J39)*F39</f>
        <v>0.05</v>
      </c>
      <c r="F39" s="15">
        <f>'Table 7a '!D288</f>
        <v>0.12</v>
      </c>
      <c r="G39" s="47">
        <v>0</v>
      </c>
      <c r="H39" s="181">
        <v>0.05</v>
      </c>
      <c r="I39" s="14">
        <v>0.04</v>
      </c>
      <c r="J39" s="784">
        <f>'Table 7a '!P288</f>
        <v>0.1</v>
      </c>
      <c r="K39" s="193">
        <f>(J39-F39)/F39</f>
        <v>-0.17</v>
      </c>
      <c r="L39" s="23"/>
      <c r="M39" s="47">
        <f>G39-C39</f>
        <v>0</v>
      </c>
      <c r="N39" s="181">
        <f>H39-D39</f>
        <v>-0.01</v>
      </c>
      <c r="O39" s="14">
        <f>I39-E39</f>
        <v>-0.01</v>
      </c>
      <c r="P39" s="15">
        <f>J39-F39</f>
        <v>-0.02</v>
      </c>
      <c r="Q39" s="1717" t="s">
        <v>16</v>
      </c>
      <c r="R39" s="1718">
        <f>N39/D39</f>
        <v>-0.17</v>
      </c>
      <c r="S39" s="240">
        <f t="shared" ref="S39:S45" si="30">O39/E39</f>
        <v>-0.2</v>
      </c>
    </row>
    <row r="40" spans="1:19">
      <c r="A40" s="455" t="s">
        <v>47</v>
      </c>
      <c r="B40" s="455" t="s">
        <v>17</v>
      </c>
      <c r="C40" s="823">
        <v>0</v>
      </c>
      <c r="D40" s="802">
        <f t="shared" si="28"/>
        <v>0.18</v>
      </c>
      <c r="E40" s="322">
        <f t="shared" si="29"/>
        <v>0.06</v>
      </c>
      <c r="F40" s="830">
        <f>'Table 7a '!D299</f>
        <v>0.25</v>
      </c>
      <c r="G40" s="823">
        <v>0</v>
      </c>
      <c r="H40" s="802">
        <v>0.15</v>
      </c>
      <c r="I40" s="322">
        <v>0.05</v>
      </c>
      <c r="J40" s="998">
        <f>'Table 7a '!P299</f>
        <v>0.21</v>
      </c>
      <c r="K40" s="319">
        <f t="shared" ref="K40:K45" si="31">(J40-F40)/F40</f>
        <v>-0.16</v>
      </c>
      <c r="L40" s="23"/>
      <c r="M40" s="47">
        <f t="shared" ref="M40:M45" si="32">G40-C40</f>
        <v>0</v>
      </c>
      <c r="N40" s="181">
        <f t="shared" ref="N40:N45" si="33">H40-D40</f>
        <v>-0.03</v>
      </c>
      <c r="O40" s="14">
        <f t="shared" ref="O40:O45" si="34">I40-E40</f>
        <v>-0.01</v>
      </c>
      <c r="P40" s="15">
        <f t="shared" ref="P40:P45" si="35">J40-F40</f>
        <v>-0.04</v>
      </c>
      <c r="Q40" s="1717" t="s">
        <v>16</v>
      </c>
      <c r="R40" s="1718">
        <f t="shared" ref="R40:R45" si="36">N40/D40</f>
        <v>-0.17</v>
      </c>
      <c r="S40" s="240">
        <f t="shared" si="30"/>
        <v>-0.17</v>
      </c>
    </row>
    <row r="41" spans="1:19">
      <c r="A41" s="455" t="s">
        <v>48</v>
      </c>
      <c r="B41" s="455" t="s">
        <v>17</v>
      </c>
      <c r="C41" s="823">
        <f>(G41/J41)*F41</f>
        <v>1.3</v>
      </c>
      <c r="D41" s="802">
        <f t="shared" si="28"/>
        <v>0.42</v>
      </c>
      <c r="E41" s="322">
        <f t="shared" si="29"/>
        <v>0.01</v>
      </c>
      <c r="F41" s="830">
        <f>'Table 7a '!D310</f>
        <v>1.72</v>
      </c>
      <c r="G41" s="823">
        <v>1.26</v>
      </c>
      <c r="H41" s="802">
        <v>0.41</v>
      </c>
      <c r="I41" s="322">
        <v>0.01</v>
      </c>
      <c r="J41" s="998">
        <f>'Table 7a '!P310</f>
        <v>1.67</v>
      </c>
      <c r="K41" s="319">
        <f t="shared" si="31"/>
        <v>-0.03</v>
      </c>
      <c r="L41" s="23"/>
      <c r="M41" s="47">
        <f t="shared" si="32"/>
        <v>-0.04</v>
      </c>
      <c r="N41" s="181">
        <f t="shared" si="33"/>
        <v>-0.01</v>
      </c>
      <c r="O41" s="14">
        <f t="shared" si="34"/>
        <v>0</v>
      </c>
      <c r="P41" s="15">
        <f t="shared" si="35"/>
        <v>-0.05</v>
      </c>
      <c r="Q41" s="1717">
        <f t="shared" ref="Q41:Q45" si="37">M41/C41</f>
        <v>-0.03</v>
      </c>
      <c r="R41" s="1718">
        <f t="shared" si="36"/>
        <v>-0.02</v>
      </c>
      <c r="S41" s="240">
        <f t="shared" si="30"/>
        <v>0</v>
      </c>
    </row>
    <row r="42" spans="1:19">
      <c r="A42" s="134" t="s">
        <v>539</v>
      </c>
      <c r="B42" s="134" t="s">
        <v>17</v>
      </c>
      <c r="C42" s="47">
        <v>0</v>
      </c>
      <c r="D42" s="181">
        <v>0.71</v>
      </c>
      <c r="E42" s="14">
        <v>0</v>
      </c>
      <c r="F42" s="15">
        <f>'Table 7a '!D321</f>
        <v>0.72</v>
      </c>
      <c r="G42" s="47">
        <v>0</v>
      </c>
      <c r="H42" s="181">
        <v>0.69</v>
      </c>
      <c r="I42" s="14">
        <v>0</v>
      </c>
      <c r="J42" s="784">
        <f>'Table 7a '!P321</f>
        <v>0.69</v>
      </c>
      <c r="K42" s="319">
        <f t="shared" si="31"/>
        <v>-0.04</v>
      </c>
      <c r="L42" s="23"/>
      <c r="M42" s="47">
        <f t="shared" si="32"/>
        <v>0</v>
      </c>
      <c r="N42" s="181">
        <f t="shared" si="33"/>
        <v>-0.02</v>
      </c>
      <c r="O42" s="14">
        <f t="shared" si="34"/>
        <v>0</v>
      </c>
      <c r="P42" s="15">
        <f t="shared" si="35"/>
        <v>-0.03</v>
      </c>
      <c r="Q42" s="1717" t="s">
        <v>16</v>
      </c>
      <c r="R42" s="1718">
        <f t="shared" si="36"/>
        <v>-0.03</v>
      </c>
      <c r="S42" s="240" t="s">
        <v>16</v>
      </c>
    </row>
    <row r="43" spans="1:19">
      <c r="A43" s="365" t="s">
        <v>50</v>
      </c>
      <c r="B43" s="365" t="s">
        <v>17</v>
      </c>
      <c r="C43" s="823">
        <f>(G43/J43)*F43</f>
        <v>0.69</v>
      </c>
      <c r="D43" s="802">
        <f t="shared" ref="D43:D44" si="38">(H43/J43)*F43</f>
        <v>0.47</v>
      </c>
      <c r="E43" s="322">
        <f t="shared" ref="E43:E44" si="39">(I43/J43)*F43</f>
        <v>0.02</v>
      </c>
      <c r="F43" s="830">
        <f>'Table 7a '!D335</f>
        <v>1.18</v>
      </c>
      <c r="G43" s="823">
        <v>0.71</v>
      </c>
      <c r="H43" s="802">
        <v>0.49</v>
      </c>
      <c r="I43" s="322">
        <v>0.02</v>
      </c>
      <c r="J43" s="998">
        <f>'Table 7a '!P335</f>
        <v>1.22</v>
      </c>
      <c r="K43" s="319">
        <f t="shared" si="31"/>
        <v>0.03</v>
      </c>
      <c r="L43" s="23"/>
      <c r="M43" s="47">
        <f t="shared" si="32"/>
        <v>0.02</v>
      </c>
      <c r="N43" s="181">
        <f t="shared" si="33"/>
        <v>0.02</v>
      </c>
      <c r="O43" s="14">
        <f t="shared" si="34"/>
        <v>0</v>
      </c>
      <c r="P43" s="15">
        <f t="shared" si="35"/>
        <v>0.04</v>
      </c>
      <c r="Q43" s="1717">
        <f t="shared" si="37"/>
        <v>0.03</v>
      </c>
      <c r="R43" s="1718">
        <f t="shared" si="36"/>
        <v>0.04</v>
      </c>
      <c r="S43" s="240">
        <f t="shared" si="30"/>
        <v>0</v>
      </c>
    </row>
    <row r="44" spans="1:19" ht="13.5" thickBot="1">
      <c r="A44" s="133" t="s">
        <v>51</v>
      </c>
      <c r="B44" s="133" t="s">
        <v>17</v>
      </c>
      <c r="C44" s="48">
        <v>0</v>
      </c>
      <c r="D44" s="712">
        <f t="shared" si="38"/>
        <v>7.0000000000000007E-2</v>
      </c>
      <c r="E44" s="366">
        <f t="shared" si="39"/>
        <v>0.01</v>
      </c>
      <c r="F44" s="874">
        <f>'Table 7a '!D346</f>
        <v>0.08</v>
      </c>
      <c r="G44" s="48">
        <v>0</v>
      </c>
      <c r="H44" s="712">
        <v>0.08</v>
      </c>
      <c r="I44" s="366">
        <v>0.01</v>
      </c>
      <c r="J44" s="1734">
        <f>'Table 7a '!P346</f>
        <v>0.09</v>
      </c>
      <c r="K44" s="194">
        <f t="shared" si="31"/>
        <v>0.13</v>
      </c>
      <c r="L44" s="23"/>
      <c r="M44" s="48">
        <f t="shared" si="32"/>
        <v>0</v>
      </c>
      <c r="N44" s="712">
        <f t="shared" si="33"/>
        <v>0.01</v>
      </c>
      <c r="O44" s="366">
        <f t="shared" si="34"/>
        <v>0</v>
      </c>
      <c r="P44" s="874">
        <f t="shared" si="35"/>
        <v>0.01</v>
      </c>
      <c r="Q44" s="1735" t="s">
        <v>16</v>
      </c>
      <c r="R44" s="1736">
        <f t="shared" si="36"/>
        <v>0.14000000000000001</v>
      </c>
      <c r="S44" s="1737">
        <f t="shared" si="30"/>
        <v>0</v>
      </c>
    </row>
    <row r="45" spans="1:19" ht="14.25" thickTop="1" thickBot="1">
      <c r="A45" s="3406" t="s">
        <v>52</v>
      </c>
      <c r="B45" s="3408"/>
      <c r="C45" s="34">
        <f>SUM(C39:C44)</f>
        <v>1.99</v>
      </c>
      <c r="D45" s="774">
        <f t="shared" ref="D45:J45" si="40">SUM(D39:D44)</f>
        <v>1.91</v>
      </c>
      <c r="E45" s="20">
        <f t="shared" si="40"/>
        <v>0.15</v>
      </c>
      <c r="F45" s="21">
        <f t="shared" si="40"/>
        <v>4.07</v>
      </c>
      <c r="G45" s="34">
        <f t="shared" si="40"/>
        <v>1.97</v>
      </c>
      <c r="H45" s="774">
        <f t="shared" si="40"/>
        <v>1.87</v>
      </c>
      <c r="I45" s="20">
        <f t="shared" si="40"/>
        <v>0.13</v>
      </c>
      <c r="J45" s="303">
        <f t="shared" si="40"/>
        <v>3.98</v>
      </c>
      <c r="K45" s="195">
        <f t="shared" si="31"/>
        <v>-0.02</v>
      </c>
      <c r="L45" s="23"/>
      <c r="M45" s="34">
        <f t="shared" si="32"/>
        <v>-0.02</v>
      </c>
      <c r="N45" s="774">
        <f t="shared" si="33"/>
        <v>-0.04</v>
      </c>
      <c r="O45" s="20">
        <f t="shared" si="34"/>
        <v>-0.02</v>
      </c>
      <c r="P45" s="21">
        <f t="shared" si="35"/>
        <v>-0.09</v>
      </c>
      <c r="Q45" s="1738">
        <f t="shared" si="37"/>
        <v>-0.01</v>
      </c>
      <c r="R45" s="1739">
        <f t="shared" si="36"/>
        <v>-0.02</v>
      </c>
      <c r="S45" s="334">
        <f t="shared" si="30"/>
        <v>-0.13</v>
      </c>
    </row>
    <row r="46" spans="1:19">
      <c r="A46" s="89" t="s">
        <v>35</v>
      </c>
      <c r="H46" s="256" t="s">
        <v>36</v>
      </c>
    </row>
    <row r="47" spans="1:19">
      <c r="A47" s="1" t="s">
        <v>68</v>
      </c>
    </row>
    <row r="48" spans="1:19">
      <c r="A48" s="1" t="s">
        <v>69</v>
      </c>
    </row>
    <row r="49" spans="1:11" ht="12.75" customHeight="1">
      <c r="A49" s="3304" t="s">
        <v>584</v>
      </c>
      <c r="B49" s="3304"/>
      <c r="C49" s="3304"/>
      <c r="D49" s="3304"/>
      <c r="E49" s="3304"/>
      <c r="F49" s="3304"/>
      <c r="G49" s="3304"/>
      <c r="H49" s="3304"/>
      <c r="I49" s="3304"/>
      <c r="J49" s="3304"/>
      <c r="K49" s="3304"/>
    </row>
    <row r="50" spans="1:11">
      <c r="A50" s="3304" t="s">
        <v>585</v>
      </c>
      <c r="B50" s="3304"/>
      <c r="C50" s="3304"/>
      <c r="D50" s="3304"/>
      <c r="E50" s="3304"/>
      <c r="F50" s="3304"/>
      <c r="G50" s="3304"/>
      <c r="H50" s="3304"/>
      <c r="I50" s="3304"/>
      <c r="J50" s="3304"/>
      <c r="K50" s="3304"/>
    </row>
    <row r="51" spans="1:11">
      <c r="A51" s="3304" t="s">
        <v>586</v>
      </c>
      <c r="B51" s="3304"/>
      <c r="C51" s="3304"/>
      <c r="D51" s="3304"/>
      <c r="E51" s="3304"/>
      <c r="F51" s="3304"/>
      <c r="G51" s="3304"/>
      <c r="H51" s="3304"/>
      <c r="I51" s="3304"/>
      <c r="J51" s="3304"/>
      <c r="K51" s="3304"/>
    </row>
  </sheetData>
  <mergeCells count="26">
    <mergeCell ref="A49:K49"/>
    <mergeCell ref="K36:K38"/>
    <mergeCell ref="A51:K51"/>
    <mergeCell ref="A50:K50"/>
    <mergeCell ref="A31:K31"/>
    <mergeCell ref="A32:K32"/>
    <mergeCell ref="A35:J35"/>
    <mergeCell ref="B36:B38"/>
    <mergeCell ref="C36:F37"/>
    <mergeCell ref="G36:J37"/>
    <mergeCell ref="A25:B25"/>
    <mergeCell ref="A26:B26"/>
    <mergeCell ref="A27:B27"/>
    <mergeCell ref="C2:F3"/>
    <mergeCell ref="G2:J3"/>
    <mergeCell ref="K2:K4"/>
    <mergeCell ref="A1:K1"/>
    <mergeCell ref="M2:P3"/>
    <mergeCell ref="Q2:S3"/>
    <mergeCell ref="A2:A4"/>
    <mergeCell ref="B2:B4"/>
    <mergeCell ref="M36:P37"/>
    <mergeCell ref="Q36:S37"/>
    <mergeCell ref="A45:B45"/>
    <mergeCell ref="A36:A38"/>
    <mergeCell ref="A33:K33"/>
  </mergeCells>
  <pageMargins left="0.7" right="0.7" top="0.75" bottom="0.75" header="0.3" footer="0.3"/>
  <pageSetup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52"/>
  <sheetViews>
    <sheetView workbookViewId="0">
      <pane xSplit="1" ySplit="4" topLeftCell="B34" activePane="bottomRight" state="frozen"/>
      <selection pane="bottomRight" activeCell="A34" sqref="A34"/>
      <selection pane="bottomLeft" activeCell="A5" sqref="A5"/>
      <selection pane="topRight" activeCell="B1" sqref="B1"/>
    </sheetView>
  </sheetViews>
  <sheetFormatPr defaultColWidth="9.140625" defaultRowHeight="12.75"/>
  <cols>
    <col min="1" max="1" width="13.42578125" style="1" customWidth="1"/>
    <col min="2" max="7" width="9.140625" style="1" customWidth="1"/>
    <col min="8" max="19" width="9.140625" style="1"/>
    <col min="20" max="23" width="9.140625" style="1" customWidth="1"/>
    <col min="24" max="24" width="10.28515625" style="1" customWidth="1"/>
    <col min="25" max="25" width="9.7109375" style="1" customWidth="1"/>
    <col min="26" max="26" width="9.140625" style="1" customWidth="1"/>
    <col min="27" max="27" width="9" style="1" customWidth="1"/>
    <col min="28" max="28" width="11.140625" style="1" customWidth="1"/>
    <col min="29" max="29" width="11.140625" style="1" hidden="1" customWidth="1"/>
    <col min="30" max="34" width="9.140625" style="1" customWidth="1"/>
    <col min="35" max="35" width="9.140625" style="1"/>
    <col min="36" max="39" width="10.7109375" style="1" hidden="1" customWidth="1"/>
    <col min="40" max="16384" width="9.140625" style="1"/>
  </cols>
  <sheetData>
    <row r="1" spans="1:39" ht="26.25" customHeight="1" thickBot="1">
      <c r="A1" s="3402" t="s">
        <v>588</v>
      </c>
      <c r="B1" s="3402"/>
      <c r="C1" s="3402"/>
      <c r="D1" s="3402"/>
      <c r="E1" s="3402"/>
      <c r="F1" s="3402"/>
      <c r="G1" s="3402"/>
      <c r="H1" s="3402"/>
      <c r="I1" s="3402"/>
      <c r="J1" s="3402"/>
      <c r="K1" s="3402"/>
      <c r="L1" s="3402"/>
      <c r="M1" s="3402"/>
      <c r="N1" s="3402"/>
      <c r="O1" s="3402"/>
      <c r="P1" s="3402"/>
      <c r="Q1" s="3402"/>
      <c r="R1" s="3402"/>
      <c r="S1" s="3402"/>
      <c r="T1" s="3402"/>
      <c r="U1" s="3402"/>
      <c r="V1" s="3402"/>
      <c r="W1" s="3402"/>
      <c r="X1" s="3402"/>
      <c r="Y1" s="3402"/>
      <c r="Z1" s="3402"/>
      <c r="AA1" s="3402"/>
      <c r="AJ1" s="3416" t="s">
        <v>528</v>
      </c>
      <c r="AK1" s="3416"/>
      <c r="AL1" s="3416" t="s">
        <v>529</v>
      </c>
      <c r="AM1" s="3416"/>
    </row>
    <row r="2" spans="1:39" ht="15.75" customHeight="1" thickBot="1">
      <c r="A2" s="3181" t="s">
        <v>1</v>
      </c>
      <c r="B2" s="3362" t="s">
        <v>2</v>
      </c>
      <c r="C2" s="3262" t="s">
        <v>55</v>
      </c>
      <c r="D2" s="3262"/>
      <c r="E2" s="3263"/>
      <c r="F2" s="3261" t="s">
        <v>56</v>
      </c>
      <c r="G2" s="3262"/>
      <c r="H2" s="3262"/>
      <c r="I2" s="3262"/>
      <c r="J2" s="3262"/>
      <c r="K2" s="3262"/>
      <c r="L2" s="3262"/>
      <c r="M2" s="3262"/>
      <c r="N2" s="3262"/>
      <c r="O2" s="3262"/>
      <c r="P2" s="3262"/>
      <c r="Q2" s="3262"/>
      <c r="R2" s="3262"/>
      <c r="S2" s="3262"/>
      <c r="T2" s="3262"/>
      <c r="U2" s="3262"/>
      <c r="V2" s="3262"/>
      <c r="W2" s="3263"/>
      <c r="X2" s="3300" t="s">
        <v>57</v>
      </c>
      <c r="Y2" s="3261" t="s">
        <v>58</v>
      </c>
      <c r="Z2" s="3262"/>
      <c r="AA2" s="3263"/>
      <c r="AB2" s="185"/>
      <c r="AC2" s="3300" t="s">
        <v>80</v>
      </c>
    </row>
    <row r="3" spans="1:39" ht="15" customHeight="1">
      <c r="A3" s="3361"/>
      <c r="B3" s="3363"/>
      <c r="C3" s="3351">
        <v>2015</v>
      </c>
      <c r="D3" s="3352"/>
      <c r="E3" s="3353"/>
      <c r="F3" s="3373">
        <v>2020</v>
      </c>
      <c r="G3" s="3349"/>
      <c r="H3" s="3350"/>
      <c r="I3" s="3351">
        <v>2025</v>
      </c>
      <c r="J3" s="3352"/>
      <c r="K3" s="3353"/>
      <c r="L3" s="3258">
        <v>2030</v>
      </c>
      <c r="M3" s="3264"/>
      <c r="N3" s="3245"/>
      <c r="O3" s="3351">
        <v>2035</v>
      </c>
      <c r="P3" s="3352"/>
      <c r="Q3" s="3353"/>
      <c r="R3" s="3373">
        <v>2040</v>
      </c>
      <c r="S3" s="3349"/>
      <c r="T3" s="3350"/>
      <c r="U3" s="3373">
        <v>2045</v>
      </c>
      <c r="V3" s="3349"/>
      <c r="W3" s="3350"/>
      <c r="X3" s="3301"/>
      <c r="Y3" s="3357">
        <v>2045</v>
      </c>
      <c r="Z3" s="3357"/>
      <c r="AA3" s="3358"/>
      <c r="AC3" s="3301"/>
    </row>
    <row r="4" spans="1:39" ht="15.75" customHeight="1" thickBot="1">
      <c r="A4" s="3488"/>
      <c r="B4" s="3364"/>
      <c r="C4" s="1127" t="s">
        <v>60</v>
      </c>
      <c r="D4" s="1128" t="s">
        <v>61</v>
      </c>
      <c r="E4" s="1129" t="s">
        <v>18</v>
      </c>
      <c r="F4" s="1130" t="s">
        <v>60</v>
      </c>
      <c r="G4" s="1131" t="s">
        <v>61</v>
      </c>
      <c r="H4" s="1132" t="s">
        <v>18</v>
      </c>
      <c r="I4" s="1127" t="s">
        <v>60</v>
      </c>
      <c r="J4" s="1128" t="s">
        <v>61</v>
      </c>
      <c r="K4" s="1129" t="s">
        <v>18</v>
      </c>
      <c r="L4" s="1130" t="s">
        <v>60</v>
      </c>
      <c r="M4" s="1131" t="s">
        <v>61</v>
      </c>
      <c r="N4" s="1132" t="s">
        <v>18</v>
      </c>
      <c r="O4" s="1127" t="s">
        <v>60</v>
      </c>
      <c r="P4" s="1128" t="s">
        <v>61</v>
      </c>
      <c r="Q4" s="1129" t="s">
        <v>18</v>
      </c>
      <c r="R4" s="1130" t="s">
        <v>60</v>
      </c>
      <c r="S4" s="1131" t="s">
        <v>61</v>
      </c>
      <c r="T4" s="1132" t="s">
        <v>18</v>
      </c>
      <c r="U4" s="1130" t="s">
        <v>60</v>
      </c>
      <c r="V4" s="1131" t="s">
        <v>61</v>
      </c>
      <c r="W4" s="1132" t="s">
        <v>18</v>
      </c>
      <c r="X4" s="3302"/>
      <c r="Y4" s="1133" t="s">
        <v>60</v>
      </c>
      <c r="Z4" s="1134" t="s">
        <v>61</v>
      </c>
      <c r="AA4" s="1135" t="s">
        <v>18</v>
      </c>
      <c r="AC4" s="3302"/>
    </row>
    <row r="5" spans="1:39">
      <c r="A5" s="443" t="s">
        <v>278</v>
      </c>
      <c r="B5" s="1120" t="s">
        <v>15</v>
      </c>
      <c r="C5" s="1121">
        <v>0.19</v>
      </c>
      <c r="D5" s="1122">
        <f>E5-C5</f>
        <v>0.08</v>
      </c>
      <c r="E5" s="1123">
        <f>'Table 8a'!D4</f>
        <v>0.27</v>
      </c>
      <c r="F5" s="1124">
        <f>H5-G5</f>
        <v>0.2</v>
      </c>
      <c r="G5" s="1125">
        <f>($D5/$E5)*H5</f>
        <v>0.08</v>
      </c>
      <c r="H5" s="1126">
        <f>E5+'Table 8a'!AD4</f>
        <v>0.28000000000000003</v>
      </c>
      <c r="I5" s="1121">
        <f>K5-J5</f>
        <v>0.2</v>
      </c>
      <c r="J5" s="1122">
        <f>($D5/$E5)*K5</f>
        <v>0.08</v>
      </c>
      <c r="K5" s="1123">
        <f>H5+'Table 8a'!AE4</f>
        <v>0.28000000000000003</v>
      </c>
      <c r="L5" s="1124">
        <f>N5-M5</f>
        <v>0.2</v>
      </c>
      <c r="M5" s="1125">
        <f>($D5/$E5)*N5</f>
        <v>0.08</v>
      </c>
      <c r="N5" s="1126">
        <f>K5+'Table 8a'!AF4</f>
        <v>0.28000000000000003</v>
      </c>
      <c r="O5" s="584">
        <f>Q5-P5</f>
        <v>0.2</v>
      </c>
      <c r="P5" s="445">
        <f>($D5/$E5)*Q5</f>
        <v>0.08</v>
      </c>
      <c r="Q5" s="449">
        <f>N5+'Table 8a'!AG4</f>
        <v>0.28000000000000003</v>
      </c>
      <c r="R5" s="444">
        <f>T5-S5</f>
        <v>0.2</v>
      </c>
      <c r="S5" s="585">
        <f>($D5/$E5)*T5</f>
        <v>0.08</v>
      </c>
      <c r="T5" s="450">
        <f>Q5+'Table 8a'!AH4</f>
        <v>0.28000000000000003</v>
      </c>
      <c r="U5" s="444">
        <f>W5-V5</f>
        <v>0.2</v>
      </c>
      <c r="V5" s="585">
        <f>($D5/$E5)*W5</f>
        <v>0.08</v>
      </c>
      <c r="W5" s="450">
        <f>T5+'Table 8a'!AI4</f>
        <v>0.28000000000000003</v>
      </c>
      <c r="X5" s="744">
        <f>(W5-E5)/E5</f>
        <v>0.04</v>
      </c>
      <c r="Y5" s="47">
        <f>AA5-Z5</f>
        <v>0.34</v>
      </c>
      <c r="Z5" s="761">
        <f>($D5/$E5)*AA5</f>
        <v>0.14000000000000001</v>
      </c>
      <c r="AA5" s="141">
        <f>(W5*'Table 8a'!J4)+'Table 8'!W5</f>
        <v>0.48</v>
      </c>
      <c r="AC5" s="1597">
        <f>W5-E5</f>
        <v>0.01</v>
      </c>
    </row>
    <row r="6" spans="1:39" ht="13.5" thickBot="1">
      <c r="A6" s="607" t="s">
        <v>278</v>
      </c>
      <c r="B6" s="608" t="s">
        <v>17</v>
      </c>
      <c r="C6" s="609">
        <v>1.04</v>
      </c>
      <c r="D6" s="610">
        <f>E6-C6</f>
        <v>0</v>
      </c>
      <c r="E6" s="611">
        <f>'Table 8a'!D5</f>
        <v>1.04</v>
      </c>
      <c r="F6" s="612">
        <f>H6-G6</f>
        <v>1.21</v>
      </c>
      <c r="G6" s="613">
        <f>($D6/$E6)*H6</f>
        <v>0</v>
      </c>
      <c r="H6" s="614">
        <f>E6+'Table 8a'!AD5</f>
        <v>1.21</v>
      </c>
      <c r="I6" s="609">
        <f>K6-J6</f>
        <v>1.34</v>
      </c>
      <c r="J6" s="610">
        <f>($D6/$E6)*K6</f>
        <v>0</v>
      </c>
      <c r="K6" s="611">
        <f>H6+'Table 8a'!AE5</f>
        <v>1.34</v>
      </c>
      <c r="L6" s="612">
        <f>N6-M6</f>
        <v>1.45</v>
      </c>
      <c r="M6" s="613">
        <f>($D6/$E6)*N6</f>
        <v>0</v>
      </c>
      <c r="N6" s="614">
        <f>K6+'Table 8a'!AF5</f>
        <v>1.45</v>
      </c>
      <c r="O6" s="615">
        <f>Q6-P6</f>
        <v>1.6</v>
      </c>
      <c r="P6" s="616">
        <f>($D6/$E6)*Q6</f>
        <v>0</v>
      </c>
      <c r="Q6" s="617">
        <f>N6+'Table 8a'!AG5</f>
        <v>1.6</v>
      </c>
      <c r="R6" s="556">
        <f>T6-S6</f>
        <v>1.7</v>
      </c>
      <c r="S6" s="557">
        <f>($D6/$E6)*T6</f>
        <v>0</v>
      </c>
      <c r="T6" s="558">
        <f>Q6+'Table 8a'!AH5</f>
        <v>1.7</v>
      </c>
      <c r="U6" s="556">
        <f>W6-V6</f>
        <v>1.78</v>
      </c>
      <c r="V6" s="557">
        <f>($D6/$E6)*W6</f>
        <v>0</v>
      </c>
      <c r="W6" s="558">
        <f>T6+'Table 8a'!AI5</f>
        <v>1.78</v>
      </c>
      <c r="X6" s="648">
        <f t="shared" ref="X6:X27" si="0">(W6-E6)/E6</f>
        <v>0.71</v>
      </c>
      <c r="Y6" s="136">
        <f>AA6-Z6</f>
        <v>1.8</v>
      </c>
      <c r="Z6" s="604">
        <f>($D6/$E6)*AA6</f>
        <v>0</v>
      </c>
      <c r="AA6" s="327">
        <f>(W6*'Table 8a'!J5)+'Table 8'!W6</f>
        <v>1.8</v>
      </c>
      <c r="AC6" s="1595">
        <f t="shared" ref="AC6:AC27" si="1">W6-E6</f>
        <v>0.74</v>
      </c>
    </row>
    <row r="7" spans="1:39" s="22" customFormat="1" ht="14.25" thickTop="1" thickBot="1">
      <c r="A7" s="476" t="s">
        <v>278</v>
      </c>
      <c r="B7" s="618" t="s">
        <v>18</v>
      </c>
      <c r="C7" s="619">
        <f>SUM(C5:C6)</f>
        <v>1.23</v>
      </c>
      <c r="D7" s="620">
        <f t="shared" ref="D7:W7" si="2">SUM(D5:D6)</f>
        <v>0.08</v>
      </c>
      <c r="E7" s="621">
        <f t="shared" si="2"/>
        <v>1.31</v>
      </c>
      <c r="F7" s="622">
        <f t="shared" si="2"/>
        <v>1.41</v>
      </c>
      <c r="G7" s="623">
        <f t="shared" si="2"/>
        <v>0.08</v>
      </c>
      <c r="H7" s="624">
        <f t="shared" si="2"/>
        <v>1.49</v>
      </c>
      <c r="I7" s="619">
        <f t="shared" si="2"/>
        <v>1.54</v>
      </c>
      <c r="J7" s="620">
        <f>SUM(J5:J6)</f>
        <v>0.08</v>
      </c>
      <c r="K7" s="621">
        <f t="shared" si="2"/>
        <v>1.62</v>
      </c>
      <c r="L7" s="622">
        <f t="shared" si="2"/>
        <v>1.65</v>
      </c>
      <c r="M7" s="623">
        <f>SUM(M5:M6)</f>
        <v>0.08</v>
      </c>
      <c r="N7" s="624">
        <f t="shared" si="2"/>
        <v>1.73</v>
      </c>
      <c r="O7" s="587">
        <f t="shared" si="2"/>
        <v>1.8</v>
      </c>
      <c r="P7" s="483">
        <f>SUM(P5:P6)</f>
        <v>0.08</v>
      </c>
      <c r="Q7" s="484">
        <f t="shared" si="2"/>
        <v>1.88</v>
      </c>
      <c r="R7" s="482">
        <f t="shared" si="2"/>
        <v>1.9</v>
      </c>
      <c r="S7" s="554">
        <f>SUM(S5:S6)</f>
        <v>0.08</v>
      </c>
      <c r="T7" s="486">
        <f t="shared" si="2"/>
        <v>1.98</v>
      </c>
      <c r="U7" s="482">
        <f t="shared" si="2"/>
        <v>1.98</v>
      </c>
      <c r="V7" s="554">
        <f t="shared" si="2"/>
        <v>0.08</v>
      </c>
      <c r="W7" s="486">
        <f t="shared" si="2"/>
        <v>2.06</v>
      </c>
      <c r="X7" s="649">
        <f t="shared" si="0"/>
        <v>0.56999999999999995</v>
      </c>
      <c r="Y7" s="139">
        <f>SUM(Y5:Y6)</f>
        <v>2.14</v>
      </c>
      <c r="Z7" s="758">
        <f>SUM(Z5:Z6)</f>
        <v>0.14000000000000001</v>
      </c>
      <c r="AA7" s="105">
        <f>SUM(AA5:AA6)</f>
        <v>2.2799999999999998</v>
      </c>
      <c r="AC7" s="1596">
        <f t="shared" si="1"/>
        <v>0.75</v>
      </c>
    </row>
    <row r="8" spans="1:39">
      <c r="A8" s="475" t="s">
        <v>294</v>
      </c>
      <c r="B8" s="163" t="s">
        <v>15</v>
      </c>
      <c r="C8" s="625">
        <v>0</v>
      </c>
      <c r="D8" s="511">
        <f t="shared" ref="D8:D9" si="3">E8-C8</f>
        <v>0</v>
      </c>
      <c r="E8" s="521">
        <f>'Table 8a'!D7</f>
        <v>0</v>
      </c>
      <c r="F8" s="510">
        <v>0</v>
      </c>
      <c r="G8" s="626">
        <v>0</v>
      </c>
      <c r="H8" s="519">
        <f>E8+'Table 8a'!AD7</f>
        <v>0</v>
      </c>
      <c r="I8" s="625">
        <f>K8-J8</f>
        <v>0</v>
      </c>
      <c r="J8" s="511">
        <v>0</v>
      </c>
      <c r="K8" s="521">
        <f>H8+'Table 8a'!AE7</f>
        <v>0</v>
      </c>
      <c r="L8" s="510">
        <f>N8-M8</f>
        <v>0</v>
      </c>
      <c r="M8" s="626">
        <v>0</v>
      </c>
      <c r="N8" s="519">
        <f>K8+'Table 8a'!AF7</f>
        <v>0</v>
      </c>
      <c r="O8" s="588">
        <f>Q8-P8</f>
        <v>0</v>
      </c>
      <c r="P8" s="465">
        <v>0</v>
      </c>
      <c r="Q8" s="520">
        <f>N8+'Table 8a'!AG7</f>
        <v>0</v>
      </c>
      <c r="R8" s="464">
        <f>T8-S8</f>
        <v>0</v>
      </c>
      <c r="S8" s="559">
        <v>0</v>
      </c>
      <c r="T8" s="518">
        <f>Q8+'Table 8a'!AH7</f>
        <v>0</v>
      </c>
      <c r="U8" s="464">
        <f t="shared" ref="U8:U9" si="4">W8-V8</f>
        <v>0</v>
      </c>
      <c r="V8" s="559">
        <v>0</v>
      </c>
      <c r="W8" s="518">
        <f>T8+'Table 8a'!AI7</f>
        <v>0</v>
      </c>
      <c r="X8" s="226" t="s">
        <v>16</v>
      </c>
      <c r="Y8" s="149">
        <f>AA8-Z8</f>
        <v>0</v>
      </c>
      <c r="Z8" s="605">
        <v>0</v>
      </c>
      <c r="AA8" s="141">
        <f>(W8*'Table 8a'!J7)+'Table 8'!W8</f>
        <v>0</v>
      </c>
      <c r="AC8" s="1597">
        <f t="shared" si="1"/>
        <v>0</v>
      </c>
    </row>
    <row r="9" spans="1:39" ht="13.5" thickBot="1">
      <c r="A9" s="607" t="s">
        <v>294</v>
      </c>
      <c r="B9" s="608" t="s">
        <v>17</v>
      </c>
      <c r="C9" s="609">
        <v>0</v>
      </c>
      <c r="D9" s="610">
        <f t="shared" si="3"/>
        <v>0</v>
      </c>
      <c r="E9" s="611">
        <f>'Table 8a'!D8</f>
        <v>0</v>
      </c>
      <c r="F9" s="612">
        <v>0</v>
      </c>
      <c r="G9" s="613">
        <v>0</v>
      </c>
      <c r="H9" s="614">
        <f>E9+'Table 8a'!AD8</f>
        <v>0</v>
      </c>
      <c r="I9" s="609">
        <f>K9-J9</f>
        <v>0</v>
      </c>
      <c r="J9" s="610">
        <v>0</v>
      </c>
      <c r="K9" s="611">
        <f>H9+'Table 8a'!AE8</f>
        <v>0</v>
      </c>
      <c r="L9" s="612">
        <f>N9-M9</f>
        <v>0</v>
      </c>
      <c r="M9" s="613">
        <v>0</v>
      </c>
      <c r="N9" s="614">
        <f>K9+'Table 8a'!AF8</f>
        <v>0</v>
      </c>
      <c r="O9" s="615">
        <f>Q9-P9</f>
        <v>0</v>
      </c>
      <c r="P9" s="616">
        <v>0</v>
      </c>
      <c r="Q9" s="617">
        <f>N9+'Table 8a'!AG8</f>
        <v>0</v>
      </c>
      <c r="R9" s="556">
        <f>T9-S9</f>
        <v>0</v>
      </c>
      <c r="S9" s="557">
        <v>0</v>
      </c>
      <c r="T9" s="558">
        <f>Q9+'Table 8a'!AH8</f>
        <v>0</v>
      </c>
      <c r="U9" s="556">
        <f t="shared" si="4"/>
        <v>0</v>
      </c>
      <c r="V9" s="557">
        <v>0</v>
      </c>
      <c r="W9" s="558">
        <f>T9+'Table 8a'!AI8</f>
        <v>0</v>
      </c>
      <c r="X9" s="713" t="s">
        <v>16</v>
      </c>
      <c r="Y9" s="136">
        <f>AA9-Z9</f>
        <v>0</v>
      </c>
      <c r="Z9" s="606">
        <v>0</v>
      </c>
      <c r="AA9" s="49">
        <f>(W9*'Table 8a'!J8)+'Table 8'!W9</f>
        <v>0</v>
      </c>
      <c r="AC9" s="1595">
        <f t="shared" si="1"/>
        <v>0</v>
      </c>
    </row>
    <row r="10" spans="1:39" s="22" customFormat="1" ht="14.25" thickTop="1" thickBot="1">
      <c r="A10" s="476" t="s">
        <v>294</v>
      </c>
      <c r="B10" s="618" t="s">
        <v>18</v>
      </c>
      <c r="C10" s="619">
        <f>SUM(C8:C9)</f>
        <v>0</v>
      </c>
      <c r="D10" s="620">
        <f t="shared" ref="D10:W10" si="5">SUM(D8:D9)</f>
        <v>0</v>
      </c>
      <c r="E10" s="621">
        <f t="shared" si="5"/>
        <v>0</v>
      </c>
      <c r="F10" s="622">
        <f t="shared" si="5"/>
        <v>0</v>
      </c>
      <c r="G10" s="623">
        <f t="shared" si="5"/>
        <v>0</v>
      </c>
      <c r="H10" s="624">
        <f t="shared" si="5"/>
        <v>0</v>
      </c>
      <c r="I10" s="619">
        <f t="shared" si="5"/>
        <v>0</v>
      </c>
      <c r="J10" s="620">
        <f>SUM(J8:J9)</f>
        <v>0</v>
      </c>
      <c r="K10" s="621">
        <f t="shared" si="5"/>
        <v>0</v>
      </c>
      <c r="L10" s="622">
        <f t="shared" si="5"/>
        <v>0</v>
      </c>
      <c r="M10" s="623">
        <f>SUM(M8:M9)</f>
        <v>0</v>
      </c>
      <c r="N10" s="624">
        <f t="shared" si="5"/>
        <v>0</v>
      </c>
      <c r="O10" s="587">
        <f t="shared" si="5"/>
        <v>0</v>
      </c>
      <c r="P10" s="483">
        <f>SUM(P8:P9)</f>
        <v>0</v>
      </c>
      <c r="Q10" s="484">
        <f t="shared" si="5"/>
        <v>0</v>
      </c>
      <c r="R10" s="482">
        <f t="shared" si="5"/>
        <v>0</v>
      </c>
      <c r="S10" s="554">
        <f>SUM(S8:S9)</f>
        <v>0</v>
      </c>
      <c r="T10" s="486">
        <f t="shared" si="5"/>
        <v>0</v>
      </c>
      <c r="U10" s="482">
        <f t="shared" si="5"/>
        <v>0</v>
      </c>
      <c r="V10" s="554">
        <f t="shared" si="5"/>
        <v>0</v>
      </c>
      <c r="W10" s="486">
        <f t="shared" si="5"/>
        <v>0</v>
      </c>
      <c r="X10" s="225" t="s">
        <v>16</v>
      </c>
      <c r="Y10" s="34">
        <f>SUM(Y8:Y9)</f>
        <v>0</v>
      </c>
      <c r="Z10" s="103">
        <f>SUM(Z8:Z9)</f>
        <v>0</v>
      </c>
      <c r="AA10" s="56">
        <f>SUM(AA8:AA9)</f>
        <v>0</v>
      </c>
      <c r="AC10" s="1596">
        <f t="shared" si="1"/>
        <v>0</v>
      </c>
    </row>
    <row r="11" spans="1:39">
      <c r="A11" s="475" t="s">
        <v>297</v>
      </c>
      <c r="B11" s="163" t="s">
        <v>15</v>
      </c>
      <c r="C11" s="625">
        <v>0</v>
      </c>
      <c r="D11" s="511">
        <f t="shared" ref="D11:D12" si="6">E11-C11</f>
        <v>0</v>
      </c>
      <c r="E11" s="521">
        <f>'Table 8a'!D10</f>
        <v>0</v>
      </c>
      <c r="F11" s="510">
        <v>0</v>
      </c>
      <c r="G11" s="626">
        <v>0</v>
      </c>
      <c r="H11" s="519">
        <f>E11+'Table 8a'!AD10</f>
        <v>0</v>
      </c>
      <c r="I11" s="625">
        <f>K11-J11</f>
        <v>0</v>
      </c>
      <c r="J11" s="511">
        <v>0</v>
      </c>
      <c r="K11" s="521">
        <f>H11+'Table 8a'!AE10</f>
        <v>0</v>
      </c>
      <c r="L11" s="510">
        <f>N11-M11</f>
        <v>0</v>
      </c>
      <c r="M11" s="626">
        <v>0</v>
      </c>
      <c r="N11" s="519">
        <f>K11+'Table 8a'!AF10</f>
        <v>0</v>
      </c>
      <c r="O11" s="588">
        <f>Q11-P11</f>
        <v>0</v>
      </c>
      <c r="P11" s="465">
        <v>0</v>
      </c>
      <c r="Q11" s="520">
        <f>N11+'Table 8a'!AG10</f>
        <v>0</v>
      </c>
      <c r="R11" s="464">
        <f>T11-S11</f>
        <v>0</v>
      </c>
      <c r="S11" s="559">
        <v>0</v>
      </c>
      <c r="T11" s="518">
        <f>Q11+'Table 8a'!AH10</f>
        <v>0</v>
      </c>
      <c r="U11" s="464">
        <f t="shared" ref="U11:U12" si="7">W11-V11</f>
        <v>0</v>
      </c>
      <c r="V11" s="559">
        <v>0</v>
      </c>
      <c r="W11" s="518">
        <f>T11+'Table 8a'!AI10</f>
        <v>0</v>
      </c>
      <c r="X11" s="226" t="s">
        <v>16</v>
      </c>
      <c r="Y11" s="149">
        <f>AA11-Z11</f>
        <v>0</v>
      </c>
      <c r="Z11" s="757">
        <v>0</v>
      </c>
      <c r="AA11" s="160">
        <f>(W11*'Table 8a'!J10)+'Table 8'!W11</f>
        <v>0</v>
      </c>
      <c r="AC11" s="1597">
        <f t="shared" si="1"/>
        <v>0</v>
      </c>
    </row>
    <row r="12" spans="1:39" ht="13.5" thickBot="1">
      <c r="A12" s="579" t="s">
        <v>297</v>
      </c>
      <c r="B12" s="1262" t="s">
        <v>17</v>
      </c>
      <c r="C12" s="1253">
        <v>0.3</v>
      </c>
      <c r="D12" s="541">
        <f t="shared" si="6"/>
        <v>0</v>
      </c>
      <c r="E12" s="542">
        <f>'Table 8a'!D11</f>
        <v>0.3</v>
      </c>
      <c r="F12" s="41">
        <f>H12-G12</f>
        <v>0.3</v>
      </c>
      <c r="G12" s="627">
        <f>($D12/$E12)*H12</f>
        <v>0</v>
      </c>
      <c r="H12" s="1546">
        <f>E12+'Table 8a'!AD11</f>
        <v>0.3</v>
      </c>
      <c r="I12" s="1253">
        <f>K12-J12</f>
        <v>0.3</v>
      </c>
      <c r="J12" s="541">
        <f>($D12/$E12)*K12</f>
        <v>0</v>
      </c>
      <c r="K12" s="542">
        <f>H12+'Table 8a'!AE11</f>
        <v>0.3</v>
      </c>
      <c r="L12" s="41">
        <f>N12-M12</f>
        <v>0.3</v>
      </c>
      <c r="M12" s="627">
        <f>($D12/$E12)*N12</f>
        <v>0</v>
      </c>
      <c r="N12" s="1546">
        <f>K12+'Table 8a'!AF11</f>
        <v>0.3</v>
      </c>
      <c r="O12" s="1137">
        <f>Q12-P12</f>
        <v>0.3</v>
      </c>
      <c r="P12" s="531">
        <f>($D12/$E12)*Q12</f>
        <v>0</v>
      </c>
      <c r="Q12" s="523">
        <f>N12+'Table 8a'!AG11</f>
        <v>0.3</v>
      </c>
      <c r="R12" s="467">
        <f>T12-S12</f>
        <v>0.3</v>
      </c>
      <c r="S12" s="562">
        <f>($D12/$E12)*T12</f>
        <v>0</v>
      </c>
      <c r="T12" s="943">
        <f>Q12+'Table 8a'!AH11</f>
        <v>0.3</v>
      </c>
      <c r="U12" s="467">
        <f t="shared" si="7"/>
        <v>0.3</v>
      </c>
      <c r="V12" s="562">
        <f>($D12/$E12)*W12</f>
        <v>0</v>
      </c>
      <c r="W12" s="943">
        <f>T12+'Table 8a'!AI11</f>
        <v>0.3</v>
      </c>
      <c r="X12" s="227">
        <f t="shared" si="0"/>
        <v>0</v>
      </c>
      <c r="Y12" s="48">
        <f>AA12-Z12</f>
        <v>0.35</v>
      </c>
      <c r="Z12" s="366">
        <f>($D12/$E12)*AA12</f>
        <v>0</v>
      </c>
      <c r="AA12" s="49">
        <f>(W12*'Table 8a'!J11)+'Table 8'!W12</f>
        <v>0.35</v>
      </c>
      <c r="AC12" s="1741">
        <f t="shared" si="1"/>
        <v>0</v>
      </c>
    </row>
    <row r="13" spans="1:39" s="22" customFormat="1" ht="14.25" thickTop="1" thickBot="1">
      <c r="A13" s="279" t="s">
        <v>297</v>
      </c>
      <c r="B13" s="628" t="s">
        <v>18</v>
      </c>
      <c r="C13" s="592">
        <f>SUM(C11:C12)</f>
        <v>0.3</v>
      </c>
      <c r="D13" s="536">
        <f t="shared" ref="D13:W13" si="8">SUM(D11:D12)</f>
        <v>0</v>
      </c>
      <c r="E13" s="537">
        <f t="shared" si="8"/>
        <v>0.3</v>
      </c>
      <c r="F13" s="535">
        <f t="shared" si="8"/>
        <v>0.3</v>
      </c>
      <c r="G13" s="593">
        <f t="shared" si="8"/>
        <v>0</v>
      </c>
      <c r="H13" s="539">
        <f t="shared" si="8"/>
        <v>0.3</v>
      </c>
      <c r="I13" s="592">
        <f t="shared" si="8"/>
        <v>0.3</v>
      </c>
      <c r="J13" s="536">
        <f>SUM(J11:J12)</f>
        <v>0</v>
      </c>
      <c r="K13" s="537">
        <f t="shared" si="8"/>
        <v>0.3</v>
      </c>
      <c r="L13" s="535">
        <f t="shared" si="8"/>
        <v>0.3</v>
      </c>
      <c r="M13" s="593">
        <f>SUM(M11:M12)</f>
        <v>0</v>
      </c>
      <c r="N13" s="539">
        <f t="shared" si="8"/>
        <v>0.3</v>
      </c>
      <c r="O13" s="589">
        <f t="shared" si="8"/>
        <v>0.3</v>
      </c>
      <c r="P13" s="471">
        <f>SUM(P11:P12)</f>
        <v>0</v>
      </c>
      <c r="Q13" s="472">
        <f t="shared" si="8"/>
        <v>0.3</v>
      </c>
      <c r="R13" s="470">
        <f t="shared" si="8"/>
        <v>0.3</v>
      </c>
      <c r="S13" s="555">
        <f>SUM(S11:S12)</f>
        <v>0</v>
      </c>
      <c r="T13" s="474">
        <f t="shared" si="8"/>
        <v>0.3</v>
      </c>
      <c r="U13" s="470">
        <f t="shared" si="8"/>
        <v>0.3</v>
      </c>
      <c r="V13" s="555">
        <f t="shared" si="8"/>
        <v>0</v>
      </c>
      <c r="W13" s="474">
        <f t="shared" si="8"/>
        <v>0.3</v>
      </c>
      <c r="X13" s="714">
        <f t="shared" si="0"/>
        <v>0</v>
      </c>
      <c r="Y13" s="34">
        <f>SUM(Y11:Y12)</f>
        <v>0.35</v>
      </c>
      <c r="Z13" s="758">
        <f>SUM(Z11:Z12)</f>
        <v>0</v>
      </c>
      <c r="AA13" s="105">
        <f>SUM(AA11:AA12)</f>
        <v>0.35</v>
      </c>
      <c r="AC13" s="1598">
        <f t="shared" si="1"/>
        <v>0</v>
      </c>
    </row>
    <row r="14" spans="1:39">
      <c r="A14" s="455" t="s">
        <v>302</v>
      </c>
      <c r="B14" s="1138" t="s">
        <v>15</v>
      </c>
      <c r="C14" s="1139">
        <v>0.21</v>
      </c>
      <c r="D14" s="1140">
        <f t="shared" ref="D14:D24" si="9">E14-C14</f>
        <v>0.2</v>
      </c>
      <c r="E14" s="629">
        <f>'Table 8a'!D13</f>
        <v>0.41</v>
      </c>
      <c r="F14" s="1141">
        <f t="shared" ref="F14:F17" si="10">H14-G14</f>
        <v>0.23</v>
      </c>
      <c r="G14" s="630">
        <f t="shared" ref="G14:G23" si="11">($D14/$E14)*H14</f>
        <v>0.22</v>
      </c>
      <c r="H14" s="1142">
        <f>E14+'Table 8a'!AD13</f>
        <v>0.45</v>
      </c>
      <c r="I14" s="1139">
        <f t="shared" ref="I14:I19" si="12">K14-J14</f>
        <v>0.26</v>
      </c>
      <c r="J14" s="1140">
        <f t="shared" ref="J14:J23" si="13">($D14/$E14)*K14</f>
        <v>0.24</v>
      </c>
      <c r="K14" s="629">
        <f>H14+'Table 8a'!AE13</f>
        <v>0.5</v>
      </c>
      <c r="L14" s="1141">
        <f t="shared" ref="L14:L19" si="14">N14-M14</f>
        <v>0.28000000000000003</v>
      </c>
      <c r="M14" s="630">
        <f t="shared" ref="M14:M23" si="15">($D14/$E14)*N14</f>
        <v>0.26</v>
      </c>
      <c r="N14" s="1142">
        <f>K14+'Table 8a'!AF13</f>
        <v>0.54</v>
      </c>
      <c r="O14" s="915">
        <f t="shared" ref="O14:O19" si="16">Q14-P14</f>
        <v>0.3</v>
      </c>
      <c r="P14" s="916">
        <f t="shared" ref="P14:P23" si="17">($D14/$E14)*Q14</f>
        <v>0.28999999999999998</v>
      </c>
      <c r="Q14" s="454">
        <f>N14+'Table 8a'!AG13</f>
        <v>0.59</v>
      </c>
      <c r="R14" s="827">
        <f t="shared" ref="R14:R19" si="18">T14-S14</f>
        <v>0.32</v>
      </c>
      <c r="S14" s="560">
        <f t="shared" ref="S14:S23" si="19">($D14/$E14)*T14</f>
        <v>0.3</v>
      </c>
      <c r="T14" s="940">
        <f>Q14+'Table 8a'!AH13</f>
        <v>0.62</v>
      </c>
      <c r="U14" s="827">
        <f t="shared" ref="U14:U24" si="20">W14-V14</f>
        <v>0.33</v>
      </c>
      <c r="V14" s="560">
        <f t="shared" ref="V14:V23" si="21">($D14/$E14)*W14</f>
        <v>0.32</v>
      </c>
      <c r="W14" s="940">
        <f>T14+'Table 8a'!AI13</f>
        <v>0.65</v>
      </c>
      <c r="X14" s="715">
        <f t="shared" si="0"/>
        <v>0.59</v>
      </c>
      <c r="Y14" s="823">
        <f t="shared" ref="Y14:Y19" si="22">AA14-Z14</f>
        <v>0.46</v>
      </c>
      <c r="Z14" s="860">
        <f t="shared" ref="Z14:Z23" si="23">($D14/$E14)*AA14</f>
        <v>0.44</v>
      </c>
      <c r="AA14" s="367">
        <f>(W14*'Table 8a'!J13)+'Table 8'!W14</f>
        <v>0.9</v>
      </c>
      <c r="AC14" s="1599">
        <f t="shared" si="1"/>
        <v>0.24</v>
      </c>
      <c r="AE14" s="1" t="s">
        <v>36</v>
      </c>
    </row>
    <row r="15" spans="1:39">
      <c r="A15" s="455" t="s">
        <v>22</v>
      </c>
      <c r="B15" s="1138" t="s">
        <v>17</v>
      </c>
      <c r="C15" s="1139">
        <v>0.73</v>
      </c>
      <c r="D15" s="1140">
        <f t="shared" si="9"/>
        <v>0</v>
      </c>
      <c r="E15" s="629">
        <f>'Table 8a'!D14</f>
        <v>0.73</v>
      </c>
      <c r="F15" s="1141">
        <f t="shared" si="10"/>
        <v>0.76</v>
      </c>
      <c r="G15" s="630">
        <f t="shared" si="11"/>
        <v>0</v>
      </c>
      <c r="H15" s="1142">
        <f>E15+'Table 8a'!AD14</f>
        <v>0.76</v>
      </c>
      <c r="I15" s="1139">
        <f t="shared" si="12"/>
        <v>0.79</v>
      </c>
      <c r="J15" s="1140">
        <f t="shared" si="13"/>
        <v>0</v>
      </c>
      <c r="K15" s="629">
        <f>H15+'Table 8a'!AE14</f>
        <v>0.79</v>
      </c>
      <c r="L15" s="1141">
        <f t="shared" si="14"/>
        <v>0.82</v>
      </c>
      <c r="M15" s="630">
        <f t="shared" si="15"/>
        <v>0</v>
      </c>
      <c r="N15" s="1142">
        <f>K15+'Table 8a'!AF14</f>
        <v>0.82</v>
      </c>
      <c r="O15" s="915">
        <f t="shared" si="16"/>
        <v>0.84</v>
      </c>
      <c r="P15" s="916">
        <f t="shared" si="17"/>
        <v>0</v>
      </c>
      <c r="Q15" s="454">
        <f>N15+'Table 8a'!AG14</f>
        <v>0.84</v>
      </c>
      <c r="R15" s="827">
        <f t="shared" si="18"/>
        <v>0.86</v>
      </c>
      <c r="S15" s="560">
        <f t="shared" si="19"/>
        <v>0</v>
      </c>
      <c r="T15" s="940">
        <f>Q15+'Table 8a'!AH14</f>
        <v>0.86</v>
      </c>
      <c r="U15" s="827">
        <f t="shared" si="20"/>
        <v>0.88</v>
      </c>
      <c r="V15" s="560">
        <f t="shared" si="21"/>
        <v>0</v>
      </c>
      <c r="W15" s="940">
        <f>T15+'Table 8a'!AI14</f>
        <v>0.88</v>
      </c>
      <c r="X15" s="715">
        <f t="shared" si="0"/>
        <v>0.21</v>
      </c>
      <c r="Y15" s="823">
        <f t="shared" si="22"/>
        <v>0.91</v>
      </c>
      <c r="Z15" s="860">
        <f t="shared" si="23"/>
        <v>0</v>
      </c>
      <c r="AA15" s="367">
        <f>(W15*'Table 8a'!J14)+'Table 8'!W15</f>
        <v>0.91</v>
      </c>
      <c r="AC15" s="1599">
        <f t="shared" si="1"/>
        <v>0.15</v>
      </c>
    </row>
    <row r="16" spans="1:39">
      <c r="A16" s="455" t="s">
        <v>589</v>
      </c>
      <c r="B16" s="1138" t="s">
        <v>15</v>
      </c>
      <c r="C16" s="1139">
        <v>1.64</v>
      </c>
      <c r="D16" s="1140">
        <f t="shared" si="9"/>
        <v>3.19</v>
      </c>
      <c r="E16" s="629">
        <f>'Table 8a'!D15</f>
        <v>4.83</v>
      </c>
      <c r="F16" s="1141">
        <f t="shared" si="10"/>
        <v>1.75</v>
      </c>
      <c r="G16" s="630">
        <f t="shared" si="11"/>
        <v>3.4</v>
      </c>
      <c r="H16" s="1142">
        <f>E16+'Table 8a'!AD15</f>
        <v>5.15</v>
      </c>
      <c r="I16" s="1139">
        <f t="shared" si="12"/>
        <v>1.86</v>
      </c>
      <c r="J16" s="1140">
        <f t="shared" si="13"/>
        <v>3.62</v>
      </c>
      <c r="K16" s="629">
        <f>H16+'Table 8a'!AE15</f>
        <v>5.48</v>
      </c>
      <c r="L16" s="1141">
        <f t="shared" si="14"/>
        <v>1.95</v>
      </c>
      <c r="M16" s="630">
        <f t="shared" si="15"/>
        <v>3.79</v>
      </c>
      <c r="N16" s="1142">
        <f>K16+'Table 8a'!AF15</f>
        <v>5.74</v>
      </c>
      <c r="O16" s="915">
        <f t="shared" si="16"/>
        <v>2.02</v>
      </c>
      <c r="P16" s="916">
        <f t="shared" si="17"/>
        <v>3.94</v>
      </c>
      <c r="Q16" s="454">
        <f>N16+'Table 8a'!AG15</f>
        <v>5.96</v>
      </c>
      <c r="R16" s="827">
        <f t="shared" si="18"/>
        <v>2.08</v>
      </c>
      <c r="S16" s="560">
        <f t="shared" si="19"/>
        <v>4.0599999999999996</v>
      </c>
      <c r="T16" s="940">
        <f>Q16+'Table 8a'!AH15</f>
        <v>6.14</v>
      </c>
      <c r="U16" s="827">
        <f t="shared" si="20"/>
        <v>2.14</v>
      </c>
      <c r="V16" s="560">
        <f t="shared" si="21"/>
        <v>4.16</v>
      </c>
      <c r="W16" s="940">
        <f>T16+'Table 8a'!AI15</f>
        <v>6.3</v>
      </c>
      <c r="X16" s="715">
        <f t="shared" si="0"/>
        <v>0.3</v>
      </c>
      <c r="Y16" s="823">
        <f t="shared" si="22"/>
        <v>2.95</v>
      </c>
      <c r="Z16" s="860">
        <f t="shared" si="23"/>
        <v>5.74</v>
      </c>
      <c r="AA16" s="367">
        <f>(W16*'Table 8a'!J15)+'Table 8'!W16</f>
        <v>8.69</v>
      </c>
      <c r="AC16" s="1599">
        <f t="shared" si="1"/>
        <v>1.47</v>
      </c>
    </row>
    <row r="17" spans="1:29">
      <c r="A17" s="455" t="s">
        <v>309</v>
      </c>
      <c r="B17" s="1138" t="s">
        <v>15</v>
      </c>
      <c r="C17" s="1139">
        <v>0.43</v>
      </c>
      <c r="D17" s="1140">
        <f t="shared" si="9"/>
        <v>1.41</v>
      </c>
      <c r="E17" s="629">
        <f>'Table 8a'!D16</f>
        <v>1.84</v>
      </c>
      <c r="F17" s="1141">
        <f t="shared" si="10"/>
        <v>0.48</v>
      </c>
      <c r="G17" s="630">
        <f t="shared" si="11"/>
        <v>1.59</v>
      </c>
      <c r="H17" s="1142">
        <f>E17+'Table 8a'!AD16</f>
        <v>2.0699999999999998</v>
      </c>
      <c r="I17" s="1139">
        <f t="shared" si="12"/>
        <v>0.54</v>
      </c>
      <c r="J17" s="1140">
        <f t="shared" si="13"/>
        <v>1.75</v>
      </c>
      <c r="K17" s="629">
        <f>H17+'Table 8a'!AE16</f>
        <v>2.29</v>
      </c>
      <c r="L17" s="1141">
        <f t="shared" si="14"/>
        <v>0.57999999999999996</v>
      </c>
      <c r="M17" s="630">
        <f t="shared" si="15"/>
        <v>1.9</v>
      </c>
      <c r="N17" s="1142">
        <f>K17+'Table 8a'!AF16</f>
        <v>2.48</v>
      </c>
      <c r="O17" s="915">
        <f t="shared" si="16"/>
        <v>0.61</v>
      </c>
      <c r="P17" s="916">
        <f t="shared" si="17"/>
        <v>2.02</v>
      </c>
      <c r="Q17" s="454">
        <f>N17+'Table 8a'!AG16</f>
        <v>2.63</v>
      </c>
      <c r="R17" s="827">
        <f t="shared" si="18"/>
        <v>0.64</v>
      </c>
      <c r="S17" s="560">
        <f t="shared" si="19"/>
        <v>2.09</v>
      </c>
      <c r="T17" s="940">
        <f>Q17+'Table 8a'!AH16</f>
        <v>2.73</v>
      </c>
      <c r="U17" s="827">
        <f t="shared" si="20"/>
        <v>0.66</v>
      </c>
      <c r="V17" s="560">
        <f t="shared" si="21"/>
        <v>2.15</v>
      </c>
      <c r="W17" s="940">
        <f>T17+'Table 8a'!AI16</f>
        <v>2.81</v>
      </c>
      <c r="X17" s="715">
        <f t="shared" si="0"/>
        <v>0.53</v>
      </c>
      <c r="Y17" s="823">
        <f t="shared" si="22"/>
        <v>0.76</v>
      </c>
      <c r="Z17" s="860">
        <f t="shared" si="23"/>
        <v>2.5</v>
      </c>
      <c r="AA17" s="367">
        <f>(W17*'Table 8a'!J16)+'Table 8'!W17</f>
        <v>3.26</v>
      </c>
      <c r="AC17" s="1599">
        <f t="shared" si="1"/>
        <v>0.97</v>
      </c>
    </row>
    <row r="18" spans="1:29">
      <c r="A18" s="456" t="s">
        <v>25</v>
      </c>
      <c r="B18" s="1892" t="s">
        <v>17</v>
      </c>
      <c r="C18" s="1250">
        <v>0.16</v>
      </c>
      <c r="D18" s="1249">
        <f t="shared" si="9"/>
        <v>0</v>
      </c>
      <c r="E18" s="631">
        <f>'Table 8a'!D17</f>
        <v>0.16</v>
      </c>
      <c r="F18" s="1248">
        <v>0</v>
      </c>
      <c r="G18" s="1893">
        <v>0</v>
      </c>
      <c r="H18" s="1894">
        <f>E18+'Table 8a'!AD17</f>
        <v>0.17</v>
      </c>
      <c r="I18" s="1250">
        <f t="shared" si="12"/>
        <v>0.18</v>
      </c>
      <c r="J18" s="1249">
        <v>0</v>
      </c>
      <c r="K18" s="631">
        <f>H18+'Table 8a'!AE17</f>
        <v>0.18</v>
      </c>
      <c r="L18" s="1248">
        <f t="shared" si="14"/>
        <v>0.19</v>
      </c>
      <c r="M18" s="1893">
        <v>0</v>
      </c>
      <c r="N18" s="1894">
        <f>K18+'Table 8a'!AF17</f>
        <v>0.19</v>
      </c>
      <c r="O18" s="1136">
        <f t="shared" si="16"/>
        <v>0.2</v>
      </c>
      <c r="P18" s="1055">
        <v>0</v>
      </c>
      <c r="Q18" s="522">
        <f>N18+'Table 8a'!AG17</f>
        <v>0.2</v>
      </c>
      <c r="R18" s="1050">
        <f t="shared" si="18"/>
        <v>0.21</v>
      </c>
      <c r="S18" s="1594">
        <v>0</v>
      </c>
      <c r="T18" s="1856">
        <f>Q18+'Table 8a'!AH17</f>
        <v>0.21</v>
      </c>
      <c r="U18" s="1050">
        <f t="shared" si="20"/>
        <v>0.22</v>
      </c>
      <c r="V18" s="1594">
        <v>0</v>
      </c>
      <c r="W18" s="1856">
        <f>T18+'Table 8a'!AI17</f>
        <v>0.22</v>
      </c>
      <c r="X18" s="716">
        <f t="shared" si="0"/>
        <v>0.38</v>
      </c>
      <c r="Y18" s="820">
        <f t="shared" si="22"/>
        <v>0.23</v>
      </c>
      <c r="Z18" s="1895">
        <v>0</v>
      </c>
      <c r="AA18" s="603">
        <f>(W18*'Table 8a'!J17)+'Table 8'!W18</f>
        <v>0.23</v>
      </c>
      <c r="AC18" s="1742">
        <f t="shared" si="1"/>
        <v>0.06</v>
      </c>
    </row>
    <row r="19" spans="1:29">
      <c r="A19" s="456" t="s">
        <v>26</v>
      </c>
      <c r="B19" s="1892" t="s">
        <v>17</v>
      </c>
      <c r="C19" s="1250">
        <v>0.1</v>
      </c>
      <c r="D19" s="1249">
        <f t="shared" si="9"/>
        <v>0</v>
      </c>
      <c r="E19" s="631">
        <f>'Table 8a'!D18</f>
        <v>0.1</v>
      </c>
      <c r="F19" s="1248">
        <v>0</v>
      </c>
      <c r="G19" s="1893">
        <v>0</v>
      </c>
      <c r="H19" s="1894">
        <f>E19+'Table 8a'!AD18</f>
        <v>0.1</v>
      </c>
      <c r="I19" s="1250">
        <f t="shared" si="12"/>
        <v>0.1</v>
      </c>
      <c r="J19" s="1249">
        <v>0</v>
      </c>
      <c r="K19" s="631">
        <f>H19+'Table 8a'!AE18</f>
        <v>0.1</v>
      </c>
      <c r="L19" s="1248">
        <f t="shared" si="14"/>
        <v>0.1</v>
      </c>
      <c r="M19" s="1893">
        <v>0</v>
      </c>
      <c r="N19" s="1894">
        <f>K19+'Table 8a'!AF18</f>
        <v>0.1</v>
      </c>
      <c r="O19" s="1136">
        <f t="shared" si="16"/>
        <v>0.1</v>
      </c>
      <c r="P19" s="1594">
        <v>0</v>
      </c>
      <c r="Q19" s="1896">
        <f>N19+'Table 8a'!AG18</f>
        <v>0.1</v>
      </c>
      <c r="R19" s="1050">
        <f t="shared" si="18"/>
        <v>0.1</v>
      </c>
      <c r="S19" s="1594">
        <v>0</v>
      </c>
      <c r="T19" s="1856">
        <f>Q19+'Table 8a'!AH18</f>
        <v>0.1</v>
      </c>
      <c r="U19" s="1050">
        <f t="shared" si="20"/>
        <v>0.1</v>
      </c>
      <c r="V19" s="1594">
        <v>0</v>
      </c>
      <c r="W19" s="1856">
        <f>T19+'Table 8a'!AI18</f>
        <v>0.1</v>
      </c>
      <c r="X19" s="716">
        <f t="shared" si="0"/>
        <v>0</v>
      </c>
      <c r="Y19" s="820">
        <f t="shared" si="22"/>
        <v>0.17</v>
      </c>
      <c r="Z19" s="1895">
        <v>0</v>
      </c>
      <c r="AA19" s="603">
        <f>(W19*'Table 8a'!J18)+'Table 8'!W19</f>
        <v>0.17</v>
      </c>
      <c r="AC19" s="1742">
        <f t="shared" si="1"/>
        <v>0</v>
      </c>
    </row>
    <row r="20" spans="1:29">
      <c r="A20" s="455" t="s">
        <v>322</v>
      </c>
      <c r="B20" s="455" t="s">
        <v>15</v>
      </c>
      <c r="C20" s="915">
        <v>0.86</v>
      </c>
      <c r="D20" s="916">
        <f t="shared" si="9"/>
        <v>1.64</v>
      </c>
      <c r="E20" s="641">
        <f>'Table 8a'!D19</f>
        <v>2.5</v>
      </c>
      <c r="F20" s="915">
        <f t="shared" ref="F20:F23" si="24">H20-G20</f>
        <v>0.95</v>
      </c>
      <c r="G20" s="560">
        <f t="shared" si="11"/>
        <v>1.8</v>
      </c>
      <c r="H20" s="910">
        <f>E20+'Table 8a'!AD19</f>
        <v>2.75</v>
      </c>
      <c r="I20" s="827">
        <f t="shared" ref="I20:I24" si="25">K20-J20</f>
        <v>1.05</v>
      </c>
      <c r="J20" s="916">
        <f t="shared" si="13"/>
        <v>1.99</v>
      </c>
      <c r="K20" s="641">
        <f>H20+'Table 8a'!AE19</f>
        <v>3.04</v>
      </c>
      <c r="L20" s="915">
        <f t="shared" ref="L20:L24" si="26">N20-M20</f>
        <v>1.1200000000000001</v>
      </c>
      <c r="M20" s="916">
        <f t="shared" si="15"/>
        <v>2.14</v>
      </c>
      <c r="N20" s="454">
        <f>K20+'Table 8a'!AF19</f>
        <v>3.26</v>
      </c>
      <c r="O20" s="827">
        <f t="shared" ref="O20:O24" si="27">Q20-P20</f>
        <v>1.19</v>
      </c>
      <c r="P20" s="560">
        <f t="shared" si="17"/>
        <v>2.2599999999999998</v>
      </c>
      <c r="Q20" s="940">
        <f>N20+'Table 8a'!AG19</f>
        <v>3.45</v>
      </c>
      <c r="R20" s="827">
        <f t="shared" ref="R20:R24" si="28">T20-S20</f>
        <v>1.24</v>
      </c>
      <c r="S20" s="916">
        <f t="shared" si="19"/>
        <v>2.37</v>
      </c>
      <c r="T20" s="641">
        <f>Q20+'Table 8a'!AH19</f>
        <v>3.61</v>
      </c>
      <c r="U20" s="827">
        <f t="shared" si="20"/>
        <v>1.29</v>
      </c>
      <c r="V20" s="916">
        <f t="shared" si="21"/>
        <v>2.46</v>
      </c>
      <c r="W20" s="641">
        <f>T20+'Table 8a'!AI19</f>
        <v>3.75</v>
      </c>
      <c r="X20" s="715">
        <f t="shared" si="0"/>
        <v>0.5</v>
      </c>
      <c r="Y20" s="823">
        <f t="shared" ref="Y20:Y24" si="29">AA20-Z20</f>
        <v>1.58</v>
      </c>
      <c r="Z20" s="322">
        <f t="shared" si="23"/>
        <v>3</v>
      </c>
      <c r="AA20" s="830">
        <f>(W20*'Table 8a'!J19)+'Table 8'!W20</f>
        <v>4.58</v>
      </c>
      <c r="AC20" s="1599">
        <f t="shared" si="1"/>
        <v>1.25</v>
      </c>
    </row>
    <row r="21" spans="1:29">
      <c r="A21" s="455" t="s">
        <v>326</v>
      </c>
      <c r="B21" s="455" t="s">
        <v>15</v>
      </c>
      <c r="C21" s="915">
        <v>0.37</v>
      </c>
      <c r="D21" s="916">
        <f t="shared" si="9"/>
        <v>0.49</v>
      </c>
      <c r="E21" s="641">
        <f>'Table 8a'!D20</f>
        <v>0.86</v>
      </c>
      <c r="F21" s="915">
        <f t="shared" si="24"/>
        <v>0.37</v>
      </c>
      <c r="G21" s="560">
        <f t="shared" si="11"/>
        <v>0.5</v>
      </c>
      <c r="H21" s="910">
        <f>E21+'Table 8a'!AD20</f>
        <v>0.87</v>
      </c>
      <c r="I21" s="827">
        <f t="shared" si="25"/>
        <v>0.37</v>
      </c>
      <c r="J21" s="916">
        <f t="shared" si="13"/>
        <v>0.5</v>
      </c>
      <c r="K21" s="641">
        <f>H21+'Table 8a'!AE20</f>
        <v>0.87</v>
      </c>
      <c r="L21" s="915">
        <f t="shared" si="26"/>
        <v>0.37</v>
      </c>
      <c r="M21" s="916">
        <f t="shared" si="15"/>
        <v>0.5</v>
      </c>
      <c r="N21" s="454">
        <f>K21+'Table 8a'!AF20</f>
        <v>0.87</v>
      </c>
      <c r="O21" s="827">
        <f t="shared" si="27"/>
        <v>0.37</v>
      </c>
      <c r="P21" s="916">
        <f t="shared" si="17"/>
        <v>0.5</v>
      </c>
      <c r="Q21" s="641">
        <f>N21+'Table 8a'!AG20</f>
        <v>0.87</v>
      </c>
      <c r="R21" s="827">
        <f t="shared" si="28"/>
        <v>0.37</v>
      </c>
      <c r="S21" s="916">
        <f t="shared" si="19"/>
        <v>0.5</v>
      </c>
      <c r="T21" s="641">
        <f>Q21+'Table 8a'!AH20</f>
        <v>0.87</v>
      </c>
      <c r="U21" s="827">
        <f t="shared" si="20"/>
        <v>0.37</v>
      </c>
      <c r="V21" s="916">
        <f t="shared" si="21"/>
        <v>0.5</v>
      </c>
      <c r="W21" s="641">
        <f>T21+'Table 8a'!AI20</f>
        <v>0.87</v>
      </c>
      <c r="X21" s="715">
        <f t="shared" si="0"/>
        <v>0.01</v>
      </c>
      <c r="Y21" s="823">
        <f t="shared" si="29"/>
        <v>0.68</v>
      </c>
      <c r="Z21" s="322">
        <f t="shared" si="23"/>
        <v>0.9</v>
      </c>
      <c r="AA21" s="830">
        <f>(W21*'Table 8a'!J20)+'Table 8'!W21</f>
        <v>1.58</v>
      </c>
      <c r="AC21" s="1599">
        <f t="shared" si="1"/>
        <v>0.01</v>
      </c>
    </row>
    <row r="22" spans="1:29">
      <c r="A22" s="455" t="s">
        <v>330</v>
      </c>
      <c r="B22" s="455" t="s">
        <v>15</v>
      </c>
      <c r="C22" s="915">
        <v>0.52</v>
      </c>
      <c r="D22" s="916">
        <f t="shared" si="9"/>
        <v>4.1900000000000004</v>
      </c>
      <c r="E22" s="641">
        <f>'Table 8a'!D21</f>
        <v>4.71</v>
      </c>
      <c r="F22" s="915">
        <f t="shared" si="24"/>
        <v>0.61</v>
      </c>
      <c r="G22" s="916">
        <f t="shared" si="11"/>
        <v>4.93</v>
      </c>
      <c r="H22" s="454">
        <f>E22+'Table 8a'!AD21</f>
        <v>5.54</v>
      </c>
      <c r="I22" s="827">
        <f t="shared" si="25"/>
        <v>0.72</v>
      </c>
      <c r="J22" s="916">
        <f t="shared" si="13"/>
        <v>5.81</v>
      </c>
      <c r="K22" s="641">
        <f>H22+'Table 8a'!AE21</f>
        <v>6.53</v>
      </c>
      <c r="L22" s="915">
        <f t="shared" si="26"/>
        <v>0.81</v>
      </c>
      <c r="M22" s="916">
        <f t="shared" si="15"/>
        <v>6.57</v>
      </c>
      <c r="N22" s="454">
        <f>K22+'Table 8a'!AF21</f>
        <v>7.38</v>
      </c>
      <c r="O22" s="827">
        <f t="shared" si="27"/>
        <v>0.89</v>
      </c>
      <c r="P22" s="916">
        <f t="shared" si="17"/>
        <v>7.18</v>
      </c>
      <c r="Q22" s="641">
        <f>N22+'Table 8a'!AG21</f>
        <v>8.07</v>
      </c>
      <c r="R22" s="827">
        <f t="shared" si="28"/>
        <v>0.96</v>
      </c>
      <c r="S22" s="916">
        <f t="shared" si="19"/>
        <v>7.74</v>
      </c>
      <c r="T22" s="641">
        <f>Q22+'Table 8a'!AH21</f>
        <v>8.6999999999999993</v>
      </c>
      <c r="U22" s="827">
        <f t="shared" si="20"/>
        <v>1.03</v>
      </c>
      <c r="V22" s="916">
        <f t="shared" si="21"/>
        <v>8.27</v>
      </c>
      <c r="W22" s="641">
        <f>T22+'Table 8a'!AI21</f>
        <v>9.3000000000000007</v>
      </c>
      <c r="X22" s="715">
        <f t="shared" si="0"/>
        <v>0.97</v>
      </c>
      <c r="Y22" s="823">
        <f t="shared" si="29"/>
        <v>1.23</v>
      </c>
      <c r="Z22" s="322">
        <f t="shared" si="23"/>
        <v>9.93</v>
      </c>
      <c r="AA22" s="830">
        <f>(W22*'Table 8a'!J21)+'Table 8'!W22</f>
        <v>11.16</v>
      </c>
      <c r="AC22" s="1599">
        <f t="shared" si="1"/>
        <v>4.59</v>
      </c>
    </row>
    <row r="23" spans="1:29">
      <c r="A23" s="456" t="s">
        <v>30</v>
      </c>
      <c r="B23" s="456" t="s">
        <v>17</v>
      </c>
      <c r="C23" s="1136">
        <v>0.41</v>
      </c>
      <c r="D23" s="1055">
        <f t="shared" si="9"/>
        <v>0</v>
      </c>
      <c r="E23" s="643">
        <f>'Table 8a'!D22</f>
        <v>0.41</v>
      </c>
      <c r="F23" s="1136">
        <f t="shared" si="24"/>
        <v>0.43</v>
      </c>
      <c r="G23" s="1055">
        <f t="shared" si="11"/>
        <v>0</v>
      </c>
      <c r="H23" s="522">
        <f>E23+'Table 8a'!AD22</f>
        <v>0.43</v>
      </c>
      <c r="I23" s="1050">
        <f t="shared" si="25"/>
        <v>0.45</v>
      </c>
      <c r="J23" s="1055">
        <f t="shared" si="13"/>
        <v>0</v>
      </c>
      <c r="K23" s="643">
        <f>H23+'Table 8a'!AE22</f>
        <v>0.45</v>
      </c>
      <c r="L23" s="1136">
        <f t="shared" si="26"/>
        <v>0.47</v>
      </c>
      <c r="M23" s="1055">
        <f t="shared" si="15"/>
        <v>0</v>
      </c>
      <c r="N23" s="522">
        <f>K23+'Table 8a'!AF22</f>
        <v>0.47</v>
      </c>
      <c r="O23" s="1050">
        <f t="shared" si="27"/>
        <v>0.49</v>
      </c>
      <c r="P23" s="1055">
        <f t="shared" si="17"/>
        <v>0</v>
      </c>
      <c r="Q23" s="643">
        <f>N23+'Table 8a'!AG22</f>
        <v>0.49</v>
      </c>
      <c r="R23" s="1050">
        <f t="shared" si="28"/>
        <v>0.5</v>
      </c>
      <c r="S23" s="1055">
        <f t="shared" si="19"/>
        <v>0</v>
      </c>
      <c r="T23" s="643">
        <f>Q23+'Table 8a'!AH22</f>
        <v>0.5</v>
      </c>
      <c r="U23" s="1050">
        <f t="shared" si="20"/>
        <v>0.51</v>
      </c>
      <c r="V23" s="1055">
        <f t="shared" si="21"/>
        <v>0</v>
      </c>
      <c r="W23" s="643">
        <f>T23+'Table 8a'!AI22</f>
        <v>0.51</v>
      </c>
      <c r="X23" s="716">
        <f t="shared" si="0"/>
        <v>0.24</v>
      </c>
      <c r="Y23" s="820">
        <f t="shared" si="29"/>
        <v>0.62</v>
      </c>
      <c r="Z23" s="1872">
        <f t="shared" si="23"/>
        <v>0</v>
      </c>
      <c r="AA23" s="1002">
        <f>(W23*'Table 8a'!J22)+'Table 8'!W23</f>
        <v>0.62</v>
      </c>
      <c r="AC23" s="1742">
        <f t="shared" si="1"/>
        <v>0.1</v>
      </c>
    </row>
    <row r="24" spans="1:29">
      <c r="A24" s="579" t="s">
        <v>31</v>
      </c>
      <c r="B24" s="579" t="s">
        <v>17</v>
      </c>
      <c r="C24" s="1137">
        <v>0.1</v>
      </c>
      <c r="D24" s="531">
        <f t="shared" si="9"/>
        <v>0</v>
      </c>
      <c r="E24" s="644">
        <f>'Table 8a'!D23</f>
        <v>0.1</v>
      </c>
      <c r="F24" s="1137">
        <v>0</v>
      </c>
      <c r="G24" s="531">
        <v>0</v>
      </c>
      <c r="H24" s="523">
        <f>E24+'Table 8a'!AD23</f>
        <v>0.1</v>
      </c>
      <c r="I24" s="467">
        <f t="shared" si="25"/>
        <v>0.1</v>
      </c>
      <c r="J24" s="531">
        <v>0</v>
      </c>
      <c r="K24" s="644">
        <f>H24+'Table 8a'!AE23</f>
        <v>0.1</v>
      </c>
      <c r="L24" s="1137">
        <f t="shared" si="26"/>
        <v>0.1</v>
      </c>
      <c r="M24" s="531">
        <v>0</v>
      </c>
      <c r="N24" s="523">
        <f>K24+'Table 8a'!AF23</f>
        <v>0.1</v>
      </c>
      <c r="O24" s="467">
        <f t="shared" si="27"/>
        <v>0.1</v>
      </c>
      <c r="P24" s="531">
        <v>0</v>
      </c>
      <c r="Q24" s="644">
        <f>N24+'Table 8a'!AG23</f>
        <v>0.1</v>
      </c>
      <c r="R24" s="467">
        <f t="shared" si="28"/>
        <v>0.1</v>
      </c>
      <c r="S24" s="531">
        <v>0</v>
      </c>
      <c r="T24" s="644">
        <f>Q24+'Table 8a'!AH23</f>
        <v>0.1</v>
      </c>
      <c r="U24" s="467">
        <f t="shared" si="20"/>
        <v>0.1</v>
      </c>
      <c r="V24" s="531">
        <v>0</v>
      </c>
      <c r="W24" s="644">
        <f>T24+'Table 8a'!AI23</f>
        <v>0.1</v>
      </c>
      <c r="X24" s="227">
        <f t="shared" si="0"/>
        <v>0</v>
      </c>
      <c r="Y24" s="48">
        <f t="shared" si="29"/>
        <v>0.14000000000000001</v>
      </c>
      <c r="Z24" s="366">
        <v>0</v>
      </c>
      <c r="AA24" s="874">
        <f>(W24*'Table 8a'!J23)+'Table 8'!W24</f>
        <v>0.14000000000000001</v>
      </c>
      <c r="AC24" s="1741">
        <f t="shared" si="1"/>
        <v>0</v>
      </c>
    </row>
    <row r="25" spans="1:29" ht="14.25" thickTop="1" thickBot="1">
      <c r="A25" s="3202" t="s">
        <v>32</v>
      </c>
      <c r="B25" s="3203"/>
      <c r="C25" s="589">
        <f>C5+C8+C11+C14+C16+C17+C20+C21+C22</f>
        <v>4.22</v>
      </c>
      <c r="D25" s="639">
        <f t="shared" ref="D25:W25" si="30">D5+D8+D11+D14+D16+D17+D20+D21+D22</f>
        <v>11.2</v>
      </c>
      <c r="E25" s="640">
        <f t="shared" si="30"/>
        <v>15.42</v>
      </c>
      <c r="F25" s="587">
        <f t="shared" si="30"/>
        <v>4.59</v>
      </c>
      <c r="G25" s="639">
        <f t="shared" si="30"/>
        <v>12.52</v>
      </c>
      <c r="H25" s="484">
        <f t="shared" si="30"/>
        <v>17.11</v>
      </c>
      <c r="I25" s="482">
        <f t="shared" si="30"/>
        <v>5</v>
      </c>
      <c r="J25" s="639">
        <f t="shared" si="30"/>
        <v>13.99</v>
      </c>
      <c r="K25" s="640">
        <f t="shared" si="30"/>
        <v>18.989999999999998</v>
      </c>
      <c r="L25" s="587">
        <f t="shared" si="30"/>
        <v>5.31</v>
      </c>
      <c r="M25" s="639">
        <f t="shared" si="30"/>
        <v>15.24</v>
      </c>
      <c r="N25" s="484">
        <f t="shared" si="30"/>
        <v>20.55</v>
      </c>
      <c r="O25" s="482">
        <f t="shared" si="30"/>
        <v>5.58</v>
      </c>
      <c r="P25" s="639">
        <f t="shared" si="30"/>
        <v>16.27</v>
      </c>
      <c r="Q25" s="640">
        <f t="shared" si="30"/>
        <v>21.85</v>
      </c>
      <c r="R25" s="482">
        <f t="shared" si="30"/>
        <v>5.81</v>
      </c>
      <c r="S25" s="639">
        <f t="shared" si="30"/>
        <v>17.14</v>
      </c>
      <c r="T25" s="640">
        <f t="shared" si="30"/>
        <v>22.95</v>
      </c>
      <c r="U25" s="482">
        <f t="shared" si="30"/>
        <v>6.02</v>
      </c>
      <c r="V25" s="639">
        <f t="shared" si="30"/>
        <v>17.940000000000001</v>
      </c>
      <c r="W25" s="640">
        <f t="shared" si="30"/>
        <v>23.96</v>
      </c>
      <c r="X25" s="649">
        <f t="shared" si="0"/>
        <v>0.55000000000000004</v>
      </c>
      <c r="Y25" s="139">
        <f t="shared" ref="Y25:AA25" si="31">Y5+Y8+Y11+Y14+Y16+Y17+Y20+Y21+Y22</f>
        <v>8</v>
      </c>
      <c r="Z25" s="104">
        <f t="shared" si="31"/>
        <v>22.65</v>
      </c>
      <c r="AA25" s="61">
        <f t="shared" si="31"/>
        <v>30.65</v>
      </c>
      <c r="AC25" s="1596">
        <f t="shared" si="1"/>
        <v>8.5399999999999991</v>
      </c>
    </row>
    <row r="26" spans="1:29" ht="13.5" thickBot="1">
      <c r="A26" s="3229" t="s">
        <v>33</v>
      </c>
      <c r="B26" s="3230"/>
      <c r="C26" s="650">
        <f>C6+C9+C12+C15+C18+C19+C23+C24</f>
        <v>2.84</v>
      </c>
      <c r="D26" s="651">
        <f t="shared" ref="D26:W26" si="32">D6+D9+D12+D15+D18+D19+D23+D24</f>
        <v>0</v>
      </c>
      <c r="E26" s="645">
        <f t="shared" si="32"/>
        <v>2.84</v>
      </c>
      <c r="F26" s="650">
        <f t="shared" si="32"/>
        <v>2.7</v>
      </c>
      <c r="G26" s="651">
        <f t="shared" si="32"/>
        <v>0</v>
      </c>
      <c r="H26" s="495">
        <f t="shared" si="32"/>
        <v>3.07</v>
      </c>
      <c r="I26" s="493">
        <f t="shared" si="32"/>
        <v>3.26</v>
      </c>
      <c r="J26" s="651">
        <f t="shared" si="32"/>
        <v>0</v>
      </c>
      <c r="K26" s="645">
        <f t="shared" si="32"/>
        <v>3.26</v>
      </c>
      <c r="L26" s="650">
        <f t="shared" si="32"/>
        <v>3.43</v>
      </c>
      <c r="M26" s="651">
        <f t="shared" si="32"/>
        <v>0</v>
      </c>
      <c r="N26" s="495">
        <f t="shared" si="32"/>
        <v>3.43</v>
      </c>
      <c r="O26" s="493">
        <f t="shared" si="32"/>
        <v>3.63</v>
      </c>
      <c r="P26" s="651">
        <f t="shared" si="32"/>
        <v>0</v>
      </c>
      <c r="Q26" s="645">
        <f t="shared" si="32"/>
        <v>3.63</v>
      </c>
      <c r="R26" s="493">
        <f t="shared" si="32"/>
        <v>3.77</v>
      </c>
      <c r="S26" s="651">
        <f t="shared" si="32"/>
        <v>0</v>
      </c>
      <c r="T26" s="645">
        <f t="shared" si="32"/>
        <v>3.77</v>
      </c>
      <c r="U26" s="493">
        <f t="shared" si="32"/>
        <v>3.89</v>
      </c>
      <c r="V26" s="651">
        <f t="shared" si="32"/>
        <v>0</v>
      </c>
      <c r="W26" s="645">
        <f t="shared" si="32"/>
        <v>3.89</v>
      </c>
      <c r="X26" s="652">
        <f t="shared" si="0"/>
        <v>0.37</v>
      </c>
      <c r="Y26" s="192">
        <f t="shared" ref="Y26:AA26" si="33">Y6+Y9+Y12+Y15+Y18+Y19+Y23+Y24</f>
        <v>4.22</v>
      </c>
      <c r="Z26" s="253">
        <f t="shared" si="33"/>
        <v>0</v>
      </c>
      <c r="AA26" s="191">
        <f t="shared" si="33"/>
        <v>4.22</v>
      </c>
      <c r="AC26" s="1600">
        <f t="shared" si="1"/>
        <v>1.05</v>
      </c>
    </row>
    <row r="27" spans="1:29" s="22" customFormat="1" ht="13.5" thickBot="1">
      <c r="A27" s="3229" t="s">
        <v>34</v>
      </c>
      <c r="B27" s="3230"/>
      <c r="C27" s="592">
        <f>C25+C26</f>
        <v>7.06</v>
      </c>
      <c r="D27" s="646">
        <f t="shared" ref="D27:W27" si="34">D25+D26</f>
        <v>11.2</v>
      </c>
      <c r="E27" s="647">
        <f t="shared" si="34"/>
        <v>18.260000000000002</v>
      </c>
      <c r="F27" s="592">
        <f t="shared" si="34"/>
        <v>7.29</v>
      </c>
      <c r="G27" s="646">
        <f t="shared" si="34"/>
        <v>12.52</v>
      </c>
      <c r="H27" s="537">
        <f t="shared" si="34"/>
        <v>20.18</v>
      </c>
      <c r="I27" s="535">
        <f t="shared" si="34"/>
        <v>8.26</v>
      </c>
      <c r="J27" s="646">
        <f t="shared" si="34"/>
        <v>13.99</v>
      </c>
      <c r="K27" s="647">
        <f t="shared" si="34"/>
        <v>22.25</v>
      </c>
      <c r="L27" s="592">
        <f t="shared" si="34"/>
        <v>8.74</v>
      </c>
      <c r="M27" s="646">
        <f t="shared" si="34"/>
        <v>15.24</v>
      </c>
      <c r="N27" s="537">
        <f t="shared" si="34"/>
        <v>23.98</v>
      </c>
      <c r="O27" s="535">
        <f t="shared" si="34"/>
        <v>9.2100000000000009</v>
      </c>
      <c r="P27" s="646">
        <f t="shared" si="34"/>
        <v>16.27</v>
      </c>
      <c r="Q27" s="647">
        <f t="shared" si="34"/>
        <v>25.48</v>
      </c>
      <c r="R27" s="535">
        <f t="shared" si="34"/>
        <v>9.58</v>
      </c>
      <c r="S27" s="646">
        <f t="shared" si="34"/>
        <v>17.14</v>
      </c>
      <c r="T27" s="647">
        <f t="shared" si="34"/>
        <v>26.72</v>
      </c>
      <c r="U27" s="535">
        <f t="shared" si="34"/>
        <v>9.91</v>
      </c>
      <c r="V27" s="646">
        <f t="shared" si="34"/>
        <v>17.940000000000001</v>
      </c>
      <c r="W27" s="647">
        <f t="shared" si="34"/>
        <v>27.85</v>
      </c>
      <c r="X27" s="233">
        <f t="shared" si="0"/>
        <v>0.53</v>
      </c>
      <c r="Y27" s="25">
        <f t="shared" ref="Y27:AA27" si="35">Y25+Y26</f>
        <v>12.22</v>
      </c>
      <c r="Z27" s="29">
        <f t="shared" si="35"/>
        <v>22.65</v>
      </c>
      <c r="AA27" s="30">
        <f t="shared" si="35"/>
        <v>34.869999999999997</v>
      </c>
      <c r="AC27" s="1580">
        <f t="shared" si="1"/>
        <v>9.59</v>
      </c>
    </row>
    <row r="28" spans="1:29">
      <c r="A28" s="89" t="s">
        <v>35</v>
      </c>
    </row>
    <row r="29" spans="1:29">
      <c r="A29" s="1" t="s">
        <v>68</v>
      </c>
      <c r="B29" s="23"/>
      <c r="C29" s="23"/>
      <c r="D29" s="23"/>
      <c r="E29" s="23"/>
      <c r="F29" s="23"/>
      <c r="G29" s="23"/>
      <c r="H29" s="23"/>
      <c r="I29" s="23"/>
      <c r="J29" s="23"/>
      <c r="K29" s="23"/>
      <c r="L29" s="23"/>
      <c r="M29" s="23"/>
      <c r="N29" s="42"/>
      <c r="O29" s="42"/>
      <c r="P29" s="42"/>
    </row>
    <row r="30" spans="1:29">
      <c r="A30" s="1" t="s">
        <v>69</v>
      </c>
      <c r="J30" s="23"/>
    </row>
    <row r="31" spans="1:29">
      <c r="A31" s="3304" t="s">
        <v>590</v>
      </c>
      <c r="B31" s="3304"/>
      <c r="C31" s="3304"/>
      <c r="D31" s="3304"/>
      <c r="E31" s="3304"/>
      <c r="F31" s="3304"/>
      <c r="G31" s="3304"/>
      <c r="H31" s="3304"/>
      <c r="I31" s="3304"/>
      <c r="J31" s="3304"/>
      <c r="K31" s="3304"/>
      <c r="L31" s="3304"/>
      <c r="M31" s="3304"/>
      <c r="N31" s="3304"/>
      <c r="O31" s="3304"/>
      <c r="P31" s="3304"/>
      <c r="Q31" s="3304"/>
      <c r="R31" s="3304"/>
      <c r="S31" s="3304"/>
    </row>
    <row r="32" spans="1:29">
      <c r="A32" s="2" t="s">
        <v>591</v>
      </c>
      <c r="J32" s="23"/>
      <c r="V32" s="1" t="s">
        <v>36</v>
      </c>
    </row>
    <row r="33" spans="1:29" s="2" customFormat="1">
      <c r="A33" s="2" t="s">
        <v>592</v>
      </c>
    </row>
    <row r="35" spans="1:29" ht="13.5" thickBot="1">
      <c r="A35" s="800" t="s">
        <v>593</v>
      </c>
      <c r="B35" s="800"/>
      <c r="C35" s="800"/>
      <c r="D35" s="800"/>
      <c r="E35" s="800"/>
      <c r="F35" s="800"/>
      <c r="G35" s="800"/>
      <c r="H35" s="800"/>
      <c r="I35" s="800"/>
      <c r="J35" s="800"/>
      <c r="K35" s="800"/>
      <c r="L35" s="800"/>
      <c r="M35" s="800"/>
      <c r="N35" s="800"/>
      <c r="O35" s="800"/>
      <c r="P35" s="800"/>
      <c r="Q35" s="800"/>
      <c r="R35" s="800"/>
      <c r="T35" s="800"/>
      <c r="U35" s="800"/>
      <c r="V35" s="800"/>
      <c r="W35" s="800"/>
      <c r="X35" s="800"/>
      <c r="Y35" s="800"/>
      <c r="Z35" s="800"/>
    </row>
    <row r="36" spans="1:29" ht="15.75" customHeight="1" thickBot="1">
      <c r="A36" s="3181" t="s">
        <v>1</v>
      </c>
      <c r="B36" s="3362" t="s">
        <v>2</v>
      </c>
      <c r="C36" s="3262" t="s">
        <v>55</v>
      </c>
      <c r="D36" s="3262"/>
      <c r="E36" s="3263"/>
      <c r="F36" s="3261" t="s">
        <v>56</v>
      </c>
      <c r="G36" s="3262"/>
      <c r="H36" s="3262"/>
      <c r="I36" s="3262"/>
      <c r="J36" s="3262"/>
      <c r="K36" s="3262"/>
      <c r="L36" s="3262"/>
      <c r="M36" s="3262"/>
      <c r="N36" s="3262"/>
      <c r="O36" s="3262"/>
      <c r="P36" s="3262"/>
      <c r="Q36" s="3262"/>
      <c r="R36" s="3262"/>
      <c r="S36" s="3262"/>
      <c r="T36" s="3262"/>
      <c r="U36" s="3262"/>
      <c r="V36" s="3262"/>
      <c r="W36" s="3263"/>
      <c r="X36" s="3300" t="s">
        <v>57</v>
      </c>
      <c r="Y36" s="3261" t="s">
        <v>58</v>
      </c>
      <c r="Z36" s="3262"/>
      <c r="AA36" s="3263"/>
      <c r="AB36" s="185"/>
      <c r="AC36" s="3300" t="s">
        <v>80</v>
      </c>
    </row>
    <row r="37" spans="1:29" ht="15" customHeight="1">
      <c r="A37" s="3361"/>
      <c r="B37" s="3363"/>
      <c r="C37" s="3351">
        <v>2015</v>
      </c>
      <c r="D37" s="3352"/>
      <c r="E37" s="3353"/>
      <c r="F37" s="3373">
        <v>2020</v>
      </c>
      <c r="G37" s="3349"/>
      <c r="H37" s="3350"/>
      <c r="I37" s="3351">
        <v>2025</v>
      </c>
      <c r="J37" s="3352"/>
      <c r="K37" s="3353"/>
      <c r="L37" s="3258">
        <v>2030</v>
      </c>
      <c r="M37" s="3264"/>
      <c r="N37" s="3245"/>
      <c r="O37" s="3351">
        <v>2035</v>
      </c>
      <c r="P37" s="3352"/>
      <c r="Q37" s="3353"/>
      <c r="R37" s="3373">
        <v>2040</v>
      </c>
      <c r="S37" s="3349"/>
      <c r="T37" s="3350"/>
      <c r="U37" s="3373">
        <v>2045</v>
      </c>
      <c r="V37" s="3349"/>
      <c r="W37" s="3350"/>
      <c r="X37" s="3301"/>
      <c r="Y37" s="3357">
        <v>2045</v>
      </c>
      <c r="Z37" s="3357"/>
      <c r="AA37" s="3358"/>
      <c r="AC37" s="3301"/>
    </row>
    <row r="38" spans="1:29" ht="15.75" customHeight="1" thickBot="1">
      <c r="A38" s="3488"/>
      <c r="B38" s="3364"/>
      <c r="C38" s="1127" t="s">
        <v>60</v>
      </c>
      <c r="D38" s="1128" t="s">
        <v>61</v>
      </c>
      <c r="E38" s="1129" t="s">
        <v>18</v>
      </c>
      <c r="F38" s="1130" t="s">
        <v>60</v>
      </c>
      <c r="G38" s="1131" t="s">
        <v>61</v>
      </c>
      <c r="H38" s="1132" t="s">
        <v>18</v>
      </c>
      <c r="I38" s="1127" t="s">
        <v>60</v>
      </c>
      <c r="J38" s="1128" t="s">
        <v>61</v>
      </c>
      <c r="K38" s="1129" t="s">
        <v>18</v>
      </c>
      <c r="L38" s="1130" t="s">
        <v>60</v>
      </c>
      <c r="M38" s="1131" t="s">
        <v>61</v>
      </c>
      <c r="N38" s="1132" t="s">
        <v>18</v>
      </c>
      <c r="O38" s="1127" t="s">
        <v>60</v>
      </c>
      <c r="P38" s="1128" t="s">
        <v>61</v>
      </c>
      <c r="Q38" s="1129" t="s">
        <v>18</v>
      </c>
      <c r="R38" s="1130" t="s">
        <v>60</v>
      </c>
      <c r="S38" s="1131" t="s">
        <v>61</v>
      </c>
      <c r="T38" s="1132" t="s">
        <v>18</v>
      </c>
      <c r="U38" s="1130" t="s">
        <v>60</v>
      </c>
      <c r="V38" s="1131" t="s">
        <v>61</v>
      </c>
      <c r="W38" s="1132" t="s">
        <v>18</v>
      </c>
      <c r="X38" s="3302"/>
      <c r="Y38" s="1133" t="s">
        <v>60</v>
      </c>
      <c r="Z38" s="1134" t="s">
        <v>61</v>
      </c>
      <c r="AA38" s="1135" t="s">
        <v>18</v>
      </c>
      <c r="AC38" s="3302"/>
    </row>
    <row r="39" spans="1:29">
      <c r="A39" s="443" t="s">
        <v>46</v>
      </c>
      <c r="B39" s="1120" t="s">
        <v>17</v>
      </c>
      <c r="C39" s="1121">
        <v>0.12</v>
      </c>
      <c r="D39" s="1122">
        <f t="shared" ref="D39:D44" si="36">E39-C39</f>
        <v>0</v>
      </c>
      <c r="E39" s="1123">
        <f>'Table 8a'!D37</f>
        <v>0.12</v>
      </c>
      <c r="F39" s="1124">
        <v>0</v>
      </c>
      <c r="G39" s="1125">
        <v>0</v>
      </c>
      <c r="H39" s="1126">
        <f>E39+'Table 8a'!AD37</f>
        <v>0.12</v>
      </c>
      <c r="I39" s="1121">
        <f t="shared" ref="I39:I44" si="37">K39-J39</f>
        <v>0.12</v>
      </c>
      <c r="J39" s="1122">
        <v>0</v>
      </c>
      <c r="K39" s="1123">
        <f>H39+'Table 8a'!AE37</f>
        <v>0.12</v>
      </c>
      <c r="L39" s="1124">
        <f t="shared" ref="L39:L44" si="38">N39-M39</f>
        <v>0.12</v>
      </c>
      <c r="M39" s="1125">
        <v>0</v>
      </c>
      <c r="N39" s="1126">
        <f>K39+'Table 8a'!AF37</f>
        <v>0.12</v>
      </c>
      <c r="O39" s="584">
        <f t="shared" ref="O39:O44" si="39">Q39-P39</f>
        <v>0.12</v>
      </c>
      <c r="P39" s="445">
        <v>0</v>
      </c>
      <c r="Q39" s="449">
        <f>N39+'Table 8a'!AG37</f>
        <v>0.12</v>
      </c>
      <c r="R39" s="444">
        <f t="shared" ref="R39:R44" si="40">T39-S39</f>
        <v>0.12</v>
      </c>
      <c r="S39" s="585">
        <v>0</v>
      </c>
      <c r="T39" s="450">
        <f>Q39+'Table 8a'!AH37</f>
        <v>0.12</v>
      </c>
      <c r="U39" s="464">
        <f t="shared" ref="U39:U44" si="41">W39-V39</f>
        <v>0.12</v>
      </c>
      <c r="V39" s="585">
        <v>0</v>
      </c>
      <c r="W39" s="450">
        <f>T39+'Table 8a'!AI37</f>
        <v>0.12</v>
      </c>
      <c r="X39" s="1740">
        <f t="shared" ref="X39:X44" si="42">(W39-E39)/E39</f>
        <v>0</v>
      </c>
      <c r="Y39" s="47">
        <f t="shared" ref="Y39:Y44" si="43">AA39-Z39</f>
        <v>0.12</v>
      </c>
      <c r="Z39" s="761">
        <v>0</v>
      </c>
      <c r="AA39" s="141">
        <f>(W39*'Table 8a'!J37)+'Table 8'!W39</f>
        <v>0.12</v>
      </c>
      <c r="AC39" s="1597">
        <f>W39-E39</f>
        <v>0</v>
      </c>
    </row>
    <row r="40" spans="1:29">
      <c r="A40" s="455" t="s">
        <v>47</v>
      </c>
      <c r="B40" s="1138" t="s">
        <v>17</v>
      </c>
      <c r="C40" s="1139">
        <v>0.09</v>
      </c>
      <c r="D40" s="1140">
        <f t="shared" si="36"/>
        <v>0</v>
      </c>
      <c r="E40" s="629">
        <f>'Table 8a'!D38</f>
        <v>0.09</v>
      </c>
      <c r="F40" s="1141">
        <f>H40-G40</f>
        <v>0.09</v>
      </c>
      <c r="G40" s="630">
        <f>($D40/$E40)*H40</f>
        <v>0</v>
      </c>
      <c r="H40" s="1142">
        <f>E40+'Table 8a'!AD38</f>
        <v>0.09</v>
      </c>
      <c r="I40" s="1139">
        <f t="shared" si="37"/>
        <v>0.09</v>
      </c>
      <c r="J40" s="1140">
        <f>($D40/$E40)*K40</f>
        <v>0</v>
      </c>
      <c r="K40" s="629">
        <f>H40+'Table 8a'!AE38</f>
        <v>0.09</v>
      </c>
      <c r="L40" s="1141">
        <f t="shared" si="38"/>
        <v>0.09</v>
      </c>
      <c r="M40" s="1140">
        <f>($D40/$E40)*N40</f>
        <v>0</v>
      </c>
      <c r="N40" s="633">
        <f>K40+'Table 8a'!AF38</f>
        <v>0.09</v>
      </c>
      <c r="O40" s="915">
        <f t="shared" si="39"/>
        <v>0.09</v>
      </c>
      <c r="P40" s="560">
        <f>($D40/$E40)*Q40</f>
        <v>0</v>
      </c>
      <c r="Q40" s="910">
        <f>N40+'Table 8a'!AG38</f>
        <v>0.09</v>
      </c>
      <c r="R40" s="827">
        <f t="shared" si="40"/>
        <v>0.09</v>
      </c>
      <c r="S40" s="560">
        <f>($D40/$E40)*T40</f>
        <v>0</v>
      </c>
      <c r="T40" s="940">
        <f>Q40+'Table 8a'!AH38</f>
        <v>0.09</v>
      </c>
      <c r="U40" s="827">
        <f t="shared" si="41"/>
        <v>0.09</v>
      </c>
      <c r="V40" s="560">
        <f>($D40/$E40)*W40</f>
        <v>0</v>
      </c>
      <c r="W40" s="940">
        <f>T40+'Table 8a'!AI38</f>
        <v>0.09</v>
      </c>
      <c r="X40" s="715">
        <f t="shared" si="42"/>
        <v>0</v>
      </c>
      <c r="Y40" s="823">
        <f t="shared" si="43"/>
        <v>0.12</v>
      </c>
      <c r="Z40" s="322">
        <f>($D40/$E40)*AA40</f>
        <v>0</v>
      </c>
      <c r="AA40" s="830">
        <f>(W40*'Table 8a'!J38)+'Table 8'!W40</f>
        <v>0.12</v>
      </c>
      <c r="AC40" s="1599">
        <f t="shared" ref="AC40:AC45" si="44">W40-E40</f>
        <v>0</v>
      </c>
    </row>
    <row r="41" spans="1:29">
      <c r="A41" s="455" t="s">
        <v>48</v>
      </c>
      <c r="B41" s="1138" t="s">
        <v>17</v>
      </c>
      <c r="C41" s="1139">
        <v>0.06</v>
      </c>
      <c r="D41" s="1140">
        <f t="shared" si="36"/>
        <v>0</v>
      </c>
      <c r="E41" s="629">
        <f>'Table 8a'!D39</f>
        <v>0.06</v>
      </c>
      <c r="F41" s="1141">
        <v>0</v>
      </c>
      <c r="G41" s="630">
        <v>0</v>
      </c>
      <c r="H41" s="1142">
        <f>E41+'Table 8a'!AD39</f>
        <v>0.06</v>
      </c>
      <c r="I41" s="1139">
        <f t="shared" si="37"/>
        <v>0.06</v>
      </c>
      <c r="J41" s="1140">
        <v>0</v>
      </c>
      <c r="K41" s="629">
        <f>H41+'Table 8a'!AE39</f>
        <v>0.06</v>
      </c>
      <c r="L41" s="1141">
        <f t="shared" si="38"/>
        <v>0.06</v>
      </c>
      <c r="M41" s="1140">
        <v>0</v>
      </c>
      <c r="N41" s="633">
        <f>K41+'Table 8a'!AF39</f>
        <v>0.06</v>
      </c>
      <c r="O41" s="915">
        <f t="shared" si="39"/>
        <v>0.06</v>
      </c>
      <c r="P41" s="560">
        <v>0</v>
      </c>
      <c r="Q41" s="910">
        <f>N41+'Table 8a'!AG39</f>
        <v>0.06</v>
      </c>
      <c r="R41" s="827">
        <f t="shared" si="40"/>
        <v>0.06</v>
      </c>
      <c r="S41" s="560">
        <v>0</v>
      </c>
      <c r="T41" s="940">
        <f>Q41+'Table 8a'!AH39</f>
        <v>0.06</v>
      </c>
      <c r="U41" s="827">
        <f t="shared" si="41"/>
        <v>0.06</v>
      </c>
      <c r="V41" s="560">
        <v>0</v>
      </c>
      <c r="W41" s="940">
        <f>T41+'Table 8a'!AI39</f>
        <v>0.06</v>
      </c>
      <c r="X41" s="715">
        <f t="shared" si="42"/>
        <v>0</v>
      </c>
      <c r="Y41" s="823">
        <f t="shared" si="43"/>
        <v>0.06</v>
      </c>
      <c r="Z41" s="322">
        <v>0</v>
      </c>
      <c r="AA41" s="830">
        <f>(W41*'Table 8a'!J39)+'Table 8'!W41</f>
        <v>0.06</v>
      </c>
      <c r="AC41" s="1599">
        <f t="shared" si="44"/>
        <v>0</v>
      </c>
    </row>
    <row r="42" spans="1:29">
      <c r="A42" s="458" t="s">
        <v>49</v>
      </c>
      <c r="B42" s="458" t="s">
        <v>17</v>
      </c>
      <c r="C42" s="591">
        <v>0.21</v>
      </c>
      <c r="D42" s="460">
        <f t="shared" si="36"/>
        <v>0</v>
      </c>
      <c r="E42" s="640">
        <f>'Table 8a'!D40</f>
        <v>0.21</v>
      </c>
      <c r="F42" s="591">
        <f>H42-G42</f>
        <v>0.21</v>
      </c>
      <c r="G42" s="590">
        <f>($D42/$E42)*H42</f>
        <v>0</v>
      </c>
      <c r="H42" s="639">
        <f>E42+'Table 8a'!AD40</f>
        <v>0.21</v>
      </c>
      <c r="I42" s="459">
        <f t="shared" si="37"/>
        <v>0.22</v>
      </c>
      <c r="J42" s="460">
        <f>($D42/$E42)*K42</f>
        <v>0</v>
      </c>
      <c r="K42" s="640">
        <f>H42+'Table 8a'!AE40</f>
        <v>0.22</v>
      </c>
      <c r="L42" s="591">
        <f t="shared" si="38"/>
        <v>0.22</v>
      </c>
      <c r="M42" s="460">
        <f>($D42/$E42)*N42</f>
        <v>0</v>
      </c>
      <c r="N42" s="484">
        <f>K42+'Table 8a'!AF40</f>
        <v>0.22</v>
      </c>
      <c r="O42" s="459">
        <f t="shared" si="39"/>
        <v>0.22</v>
      </c>
      <c r="P42" s="590">
        <f>($D42/$E42)*Q42</f>
        <v>0</v>
      </c>
      <c r="Q42" s="486">
        <f>N42+'Table 8a'!AG40</f>
        <v>0.22</v>
      </c>
      <c r="R42" s="459">
        <f t="shared" si="40"/>
        <v>0.22</v>
      </c>
      <c r="S42" s="590">
        <f>($D42/$E42)*T42</f>
        <v>0</v>
      </c>
      <c r="T42" s="486">
        <f>Q42+'Table 8a'!AH40</f>
        <v>0.22</v>
      </c>
      <c r="U42" s="459">
        <f t="shared" si="41"/>
        <v>0.22</v>
      </c>
      <c r="V42" s="590">
        <f>($D42/$E42)*W42</f>
        <v>0</v>
      </c>
      <c r="W42" s="486">
        <f>T42+'Table 8a'!AI40</f>
        <v>0.22</v>
      </c>
      <c r="X42" s="717">
        <f t="shared" si="42"/>
        <v>0.05</v>
      </c>
      <c r="Y42" s="245">
        <f t="shared" si="43"/>
        <v>0.26</v>
      </c>
      <c r="Z42" s="360">
        <f>($D42/$E42)*AA42</f>
        <v>0</v>
      </c>
      <c r="AA42" s="61">
        <f>(W42*'Table 8a'!J40)+'Table 8'!W42</f>
        <v>0.26</v>
      </c>
      <c r="AC42" s="1602">
        <f t="shared" si="44"/>
        <v>0.01</v>
      </c>
    </row>
    <row r="43" spans="1:29">
      <c r="A43" s="455" t="s">
        <v>50</v>
      </c>
      <c r="B43" s="455" t="s">
        <v>17</v>
      </c>
      <c r="C43" s="915">
        <v>0.32</v>
      </c>
      <c r="D43" s="916">
        <f t="shared" si="36"/>
        <v>0</v>
      </c>
      <c r="E43" s="641">
        <f>'Table 8a'!D41</f>
        <v>0.32</v>
      </c>
      <c r="F43" s="915">
        <f>H43-G43</f>
        <v>0.32</v>
      </c>
      <c r="G43" s="560">
        <f>($D43/$E43)*H43</f>
        <v>0</v>
      </c>
      <c r="H43" s="910">
        <f>E43+'Table 8a'!AD41</f>
        <v>0.32</v>
      </c>
      <c r="I43" s="827">
        <f t="shared" si="37"/>
        <v>0.33</v>
      </c>
      <c r="J43" s="916">
        <f>($D43/$E43)*K43</f>
        <v>0</v>
      </c>
      <c r="K43" s="641">
        <f>H43+'Table 8a'!AE41</f>
        <v>0.33</v>
      </c>
      <c r="L43" s="915">
        <f t="shared" si="38"/>
        <v>0.33</v>
      </c>
      <c r="M43" s="916">
        <f>($D43/$E43)*N43</f>
        <v>0</v>
      </c>
      <c r="N43" s="454">
        <f>K43+'Table 8a'!AF41</f>
        <v>0.33</v>
      </c>
      <c r="O43" s="827">
        <f t="shared" si="39"/>
        <v>0.33</v>
      </c>
      <c r="P43" s="560">
        <f>($D43/$E43)*Q43</f>
        <v>0</v>
      </c>
      <c r="Q43" s="940">
        <f>N43+'Table 8a'!AG41</f>
        <v>0.33</v>
      </c>
      <c r="R43" s="827">
        <f t="shared" si="40"/>
        <v>0.33</v>
      </c>
      <c r="S43" s="560">
        <f>($D43/$E43)*T43</f>
        <v>0</v>
      </c>
      <c r="T43" s="940">
        <f>Q43+'Table 8a'!AH41</f>
        <v>0.33</v>
      </c>
      <c r="U43" s="827">
        <f t="shared" si="41"/>
        <v>0.33</v>
      </c>
      <c r="V43" s="560">
        <f>($D43/$E43)*W43</f>
        <v>0</v>
      </c>
      <c r="W43" s="940">
        <f>T43+'Table 8a'!AI41</f>
        <v>0.33</v>
      </c>
      <c r="X43" s="715">
        <f t="shared" si="42"/>
        <v>0.03</v>
      </c>
      <c r="Y43" s="870">
        <f t="shared" si="43"/>
        <v>0.35</v>
      </c>
      <c r="Z43" s="322">
        <f>($D43/$E43)*AA43</f>
        <v>0</v>
      </c>
      <c r="AA43" s="830">
        <f>(W43*'Table 8a'!J41)+'Table 8'!W43</f>
        <v>0.35</v>
      </c>
      <c r="AC43" s="1599">
        <f t="shared" si="44"/>
        <v>0.01</v>
      </c>
    </row>
    <row r="44" spans="1:29">
      <c r="A44" s="579" t="s">
        <v>51</v>
      </c>
      <c r="B44" s="579" t="s">
        <v>17</v>
      </c>
      <c r="C44" s="1137">
        <v>0.35</v>
      </c>
      <c r="D44" s="531">
        <f t="shared" si="36"/>
        <v>0</v>
      </c>
      <c r="E44" s="644">
        <f>'Table 8a'!D42</f>
        <v>0.35</v>
      </c>
      <c r="F44" s="1137">
        <f>H44-G44</f>
        <v>0.36</v>
      </c>
      <c r="G44" s="531">
        <f>($D44/$E44)*H44</f>
        <v>0</v>
      </c>
      <c r="H44" s="523">
        <f>E44+'Table 8a'!AD42</f>
        <v>0.36</v>
      </c>
      <c r="I44" s="467">
        <f t="shared" si="37"/>
        <v>0.37</v>
      </c>
      <c r="J44" s="531">
        <f>($D44/$E44)*K44</f>
        <v>0</v>
      </c>
      <c r="K44" s="644">
        <f>H44+'Table 8a'!AE42</f>
        <v>0.37</v>
      </c>
      <c r="L44" s="1137">
        <f t="shared" si="38"/>
        <v>0.38</v>
      </c>
      <c r="M44" s="531">
        <f>($D44/$E44)*N44</f>
        <v>0</v>
      </c>
      <c r="N44" s="523">
        <f>K44+'Table 8a'!AF42</f>
        <v>0.38</v>
      </c>
      <c r="O44" s="467">
        <f t="shared" si="39"/>
        <v>0.39</v>
      </c>
      <c r="P44" s="531">
        <f>($D44/$E44)*Q44</f>
        <v>0</v>
      </c>
      <c r="Q44" s="644">
        <f>N44+'Table 8a'!AG42</f>
        <v>0.39</v>
      </c>
      <c r="R44" s="467">
        <f t="shared" si="40"/>
        <v>0.39</v>
      </c>
      <c r="S44" s="531">
        <f>($D44/$E44)*T44</f>
        <v>0</v>
      </c>
      <c r="T44" s="644">
        <f>Q44+'Table 8a'!AH42</f>
        <v>0.39</v>
      </c>
      <c r="U44" s="467">
        <f t="shared" si="41"/>
        <v>0.4</v>
      </c>
      <c r="V44" s="562">
        <f>($D44/$E44)*W44</f>
        <v>0</v>
      </c>
      <c r="W44" s="943">
        <f>T44+'Table 8a'!AI42</f>
        <v>0.4</v>
      </c>
      <c r="X44" s="227">
        <f t="shared" si="42"/>
        <v>0.14000000000000001</v>
      </c>
      <c r="Y44" s="48">
        <f t="shared" si="43"/>
        <v>0.45</v>
      </c>
      <c r="Z44" s="366">
        <f>($D44/$E44)*AA44</f>
        <v>0</v>
      </c>
      <c r="AA44" s="874">
        <f>(W44*'Table 8a'!J42)+'Table 8'!W44</f>
        <v>0.45</v>
      </c>
      <c r="AC44" s="1741">
        <f t="shared" si="44"/>
        <v>0.05</v>
      </c>
    </row>
    <row r="45" spans="1:29" s="22" customFormat="1" ht="27" customHeight="1" thickTop="1" thickBot="1">
      <c r="A45" s="3236" t="s">
        <v>52</v>
      </c>
      <c r="B45" s="3237"/>
      <c r="C45" s="589">
        <f>SUM(C39:C44)</f>
        <v>1.1499999999999999</v>
      </c>
      <c r="D45" s="471">
        <f t="shared" ref="D45:AA45" si="45">SUM(D39:D44)</f>
        <v>0</v>
      </c>
      <c r="E45" s="657">
        <f t="shared" si="45"/>
        <v>1.1499999999999999</v>
      </c>
      <c r="F45" s="589">
        <f t="shared" si="45"/>
        <v>0.98</v>
      </c>
      <c r="G45" s="471">
        <f t="shared" si="45"/>
        <v>0</v>
      </c>
      <c r="H45" s="472">
        <f t="shared" si="45"/>
        <v>1.1599999999999999</v>
      </c>
      <c r="I45" s="470">
        <f t="shared" si="45"/>
        <v>1.19</v>
      </c>
      <c r="J45" s="471">
        <f t="shared" si="45"/>
        <v>0</v>
      </c>
      <c r="K45" s="657">
        <f t="shared" si="45"/>
        <v>1.19</v>
      </c>
      <c r="L45" s="589">
        <f t="shared" si="45"/>
        <v>1.2</v>
      </c>
      <c r="M45" s="471">
        <f t="shared" si="45"/>
        <v>0</v>
      </c>
      <c r="N45" s="472">
        <f t="shared" si="45"/>
        <v>1.2</v>
      </c>
      <c r="O45" s="470">
        <f t="shared" si="45"/>
        <v>1.21</v>
      </c>
      <c r="P45" s="471">
        <f t="shared" si="45"/>
        <v>0</v>
      </c>
      <c r="Q45" s="657">
        <f t="shared" si="45"/>
        <v>1.21</v>
      </c>
      <c r="R45" s="470">
        <f t="shared" si="45"/>
        <v>1.21</v>
      </c>
      <c r="S45" s="471">
        <f t="shared" si="45"/>
        <v>0</v>
      </c>
      <c r="T45" s="657">
        <f t="shared" si="45"/>
        <v>1.21</v>
      </c>
      <c r="U45" s="470">
        <f t="shared" si="45"/>
        <v>1.22</v>
      </c>
      <c r="V45" s="555">
        <f t="shared" si="45"/>
        <v>0</v>
      </c>
      <c r="W45" s="474">
        <f t="shared" si="45"/>
        <v>1.22</v>
      </c>
      <c r="X45" s="714">
        <f t="shared" si="45"/>
        <v>0.22</v>
      </c>
      <c r="Y45" s="34">
        <f t="shared" si="45"/>
        <v>1.36</v>
      </c>
      <c r="Z45" s="20">
        <f t="shared" si="45"/>
        <v>0</v>
      </c>
      <c r="AA45" s="21">
        <f t="shared" si="45"/>
        <v>1.36</v>
      </c>
      <c r="AC45" s="1598">
        <f t="shared" si="44"/>
        <v>7.0000000000000007E-2</v>
      </c>
    </row>
    <row r="46" spans="1:29">
      <c r="A46" s="89" t="s">
        <v>35</v>
      </c>
    </row>
    <row r="47" spans="1:29">
      <c r="A47" s="1" t="s">
        <v>68</v>
      </c>
      <c r="B47" s="23"/>
      <c r="C47" s="23"/>
      <c r="D47" s="23"/>
      <c r="E47" s="23"/>
      <c r="F47" s="23"/>
      <c r="G47" s="23"/>
      <c r="H47" s="23"/>
      <c r="I47" s="23"/>
      <c r="J47" s="23"/>
      <c r="K47" s="23"/>
      <c r="L47" s="23"/>
      <c r="M47" s="23"/>
      <c r="N47" s="42"/>
      <c r="O47" s="42"/>
      <c r="P47" s="42"/>
      <c r="Z47" s="1" t="s">
        <v>36</v>
      </c>
    </row>
    <row r="48" spans="1:29">
      <c r="A48" s="1" t="s">
        <v>69</v>
      </c>
      <c r="J48" s="23"/>
    </row>
    <row r="49" spans="1:19">
      <c r="A49" s="3304" t="s">
        <v>590</v>
      </c>
      <c r="B49" s="3304"/>
      <c r="C49" s="3304"/>
      <c r="D49" s="3304"/>
      <c r="E49" s="3304"/>
      <c r="F49" s="3304"/>
      <c r="G49" s="3304"/>
      <c r="H49" s="3304"/>
      <c r="I49" s="3304"/>
      <c r="J49" s="3304"/>
      <c r="K49" s="3304"/>
      <c r="L49" s="3304"/>
      <c r="M49" s="3304"/>
      <c r="N49" s="3304"/>
      <c r="O49" s="3304"/>
      <c r="P49" s="3304"/>
      <c r="Q49" s="3304"/>
      <c r="R49" s="3304"/>
      <c r="S49" s="3304"/>
    </row>
    <row r="50" spans="1:19">
      <c r="A50" s="2" t="s">
        <v>591</v>
      </c>
      <c r="J50" s="23"/>
    </row>
    <row r="51" spans="1:19">
      <c r="A51" s="2" t="s">
        <v>592</v>
      </c>
      <c r="B51" s="2"/>
      <c r="C51" s="2"/>
      <c r="D51" s="2"/>
      <c r="E51" s="2"/>
      <c r="F51" s="2"/>
      <c r="G51" s="2"/>
      <c r="H51" s="2"/>
      <c r="I51" s="2"/>
      <c r="J51" s="2"/>
      <c r="K51" s="2"/>
      <c r="L51" s="2"/>
      <c r="M51" s="2"/>
      <c r="N51" s="2"/>
      <c r="O51" s="2"/>
      <c r="P51" s="2"/>
      <c r="Q51" s="2"/>
      <c r="R51" s="2"/>
      <c r="S51" s="2"/>
    </row>
    <row r="52" spans="1:19">
      <c r="O52" s="1" t="s">
        <v>36</v>
      </c>
    </row>
  </sheetData>
  <mergeCells count="39">
    <mergeCell ref="A49:S49"/>
    <mergeCell ref="AJ1:AK1"/>
    <mergeCell ref="A45:B45"/>
    <mergeCell ref="A36:A38"/>
    <mergeCell ref="B36:B38"/>
    <mergeCell ref="C36:E36"/>
    <mergeCell ref="F36:W36"/>
    <mergeCell ref="X36:X38"/>
    <mergeCell ref="Y36:AA36"/>
    <mergeCell ref="C37:E37"/>
    <mergeCell ref="F37:H37"/>
    <mergeCell ref="I37:K37"/>
    <mergeCell ref="L37:N37"/>
    <mergeCell ref="I3:K3"/>
    <mergeCell ref="AC2:AC4"/>
    <mergeCell ref="AC36:AC38"/>
    <mergeCell ref="AL1:AM1"/>
    <mergeCell ref="Y3:AA3"/>
    <mergeCell ref="U3:W3"/>
    <mergeCell ref="F2:W2"/>
    <mergeCell ref="A31:S31"/>
    <mergeCell ref="A1:AA1"/>
    <mergeCell ref="X2:X4"/>
    <mergeCell ref="C2:E2"/>
    <mergeCell ref="Y2:AA2"/>
    <mergeCell ref="A25:B25"/>
    <mergeCell ref="A26:B26"/>
    <mergeCell ref="A27:B27"/>
    <mergeCell ref="A2:A4"/>
    <mergeCell ref="B2:B4"/>
    <mergeCell ref="C3:E3"/>
    <mergeCell ref="F3:H3"/>
    <mergeCell ref="U37:W37"/>
    <mergeCell ref="Y37:AA37"/>
    <mergeCell ref="L3:N3"/>
    <mergeCell ref="O3:Q3"/>
    <mergeCell ref="R3:T3"/>
    <mergeCell ref="O37:Q37"/>
    <mergeCell ref="R37:T37"/>
  </mergeCells>
  <pageMargins left="0.7" right="0.7" top="0.75" bottom="0.75" header="0.3" footer="0.3"/>
  <pageSetup paperSize="3" scale="70" fitToHeight="0" pageOrder="overThenDown"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I49"/>
  <sheetViews>
    <sheetView workbookViewId="0">
      <pane xSplit="2" ySplit="3" topLeftCell="C4" activePane="bottomRight" state="frozen"/>
      <selection pane="bottomRight" activeCell="O37" sqref="O37"/>
      <selection pane="bottomLeft" activeCell="A4" sqref="A4"/>
      <selection pane="topRight" activeCell="C1" sqref="C1"/>
    </sheetView>
  </sheetViews>
  <sheetFormatPr defaultColWidth="9.140625" defaultRowHeight="12.75"/>
  <cols>
    <col min="1" max="1" width="13.28515625" style="1" customWidth="1"/>
    <col min="2" max="8" width="9.140625" style="1"/>
    <col min="9" max="9" width="10.28515625" style="1" customWidth="1"/>
    <col min="10" max="10" width="10.140625" style="1" customWidth="1"/>
    <col min="11" max="11" width="12.7109375" style="1" customWidth="1"/>
    <col min="12" max="12" width="14.85546875" style="1" customWidth="1"/>
    <col min="13" max="15" width="10.28515625" style="1" customWidth="1"/>
    <col min="16" max="16" width="10.140625" style="1" customWidth="1"/>
    <col min="17" max="17" width="9.42578125" style="1" customWidth="1"/>
    <col min="18" max="18" width="10" style="1" customWidth="1"/>
    <col min="19" max="24" width="9.7109375" style="1" customWidth="1"/>
    <col min="25" max="16384" width="9.140625" style="1"/>
  </cols>
  <sheetData>
    <row r="1" spans="1:35" ht="13.5" thickBot="1">
      <c r="A1" s="1" t="s">
        <v>594</v>
      </c>
    </row>
    <row r="2" spans="1:35" ht="27" customHeight="1">
      <c r="A2" s="3181" t="s">
        <v>1</v>
      </c>
      <c r="B2" s="3460" t="s">
        <v>2</v>
      </c>
      <c r="C2" s="3344" t="s">
        <v>595</v>
      </c>
      <c r="D2" s="3334"/>
      <c r="E2" s="3334"/>
      <c r="F2" s="3334"/>
      <c r="G2" s="3334"/>
      <c r="H2" s="3373" t="s">
        <v>596</v>
      </c>
      <c r="I2" s="3447" t="s">
        <v>597</v>
      </c>
      <c r="J2" s="3350" t="s">
        <v>598</v>
      </c>
      <c r="K2" s="3305" t="s">
        <v>599</v>
      </c>
      <c r="L2" s="3281"/>
      <c r="M2" s="3281"/>
      <c r="N2" s="3281"/>
      <c r="O2" s="3281"/>
      <c r="P2" s="3209" t="s">
        <v>600</v>
      </c>
      <c r="Q2" s="3305" t="s">
        <v>601</v>
      </c>
      <c r="R2" s="3281"/>
      <c r="S2" s="3281"/>
      <c r="T2" s="3281"/>
      <c r="U2" s="3281"/>
      <c r="V2" s="3281"/>
      <c r="W2" s="3282"/>
      <c r="X2" s="3281" t="s">
        <v>602</v>
      </c>
      <c r="Y2" s="3281"/>
      <c r="Z2" s="3281"/>
      <c r="AA2" s="3281"/>
      <c r="AB2" s="3281"/>
      <c r="AC2" s="3281"/>
      <c r="AD2" s="3265" t="s">
        <v>603</v>
      </c>
      <c r="AE2" s="3266"/>
      <c r="AF2" s="3266"/>
      <c r="AG2" s="3266"/>
      <c r="AH2" s="3266"/>
      <c r="AI2" s="3267"/>
    </row>
    <row r="3" spans="1:35" ht="27" customHeight="1" thickBot="1">
      <c r="A3" s="3182"/>
      <c r="B3" s="3461"/>
      <c r="C3" s="1670">
        <v>2014</v>
      </c>
      <c r="D3" s="1743">
        <v>2015</v>
      </c>
      <c r="E3" s="1743">
        <v>2016</v>
      </c>
      <c r="F3" s="1743">
        <v>2017</v>
      </c>
      <c r="G3" s="1744">
        <v>2018</v>
      </c>
      <c r="H3" s="3452"/>
      <c r="I3" s="3455"/>
      <c r="J3" s="3421"/>
      <c r="K3" s="1133">
        <v>2014</v>
      </c>
      <c r="L3" s="3049">
        <v>2015</v>
      </c>
      <c r="M3" s="3049">
        <v>2016</v>
      </c>
      <c r="N3" s="3049">
        <v>2017</v>
      </c>
      <c r="O3" s="1745">
        <v>2018</v>
      </c>
      <c r="P3" s="3211"/>
      <c r="Q3" s="1133">
        <v>2015</v>
      </c>
      <c r="R3" s="3049">
        <v>2020</v>
      </c>
      <c r="S3" s="3049">
        <v>2025</v>
      </c>
      <c r="T3" s="3049">
        <v>2030</v>
      </c>
      <c r="U3" s="1745">
        <v>2035</v>
      </c>
      <c r="V3" s="3049">
        <v>2040</v>
      </c>
      <c r="W3" s="1135">
        <v>2045</v>
      </c>
      <c r="X3" s="1746" t="s">
        <v>604</v>
      </c>
      <c r="Y3" s="3049" t="s">
        <v>605</v>
      </c>
      <c r="Z3" s="3049" t="s">
        <v>606</v>
      </c>
      <c r="AA3" s="1745" t="s">
        <v>607</v>
      </c>
      <c r="AB3" s="1745" t="s">
        <v>608</v>
      </c>
      <c r="AC3" s="1747" t="s">
        <v>609</v>
      </c>
      <c r="AD3" s="1133">
        <v>2020</v>
      </c>
      <c r="AE3" s="3049">
        <v>2025</v>
      </c>
      <c r="AF3" s="3049">
        <v>2030</v>
      </c>
      <c r="AG3" s="1745">
        <v>2035</v>
      </c>
      <c r="AH3" s="3049">
        <v>2040</v>
      </c>
      <c r="AI3" s="1135">
        <v>2045</v>
      </c>
    </row>
    <row r="4" spans="1:35">
      <c r="A4" s="295" t="s">
        <v>14</v>
      </c>
      <c r="B4" s="296" t="s">
        <v>15</v>
      </c>
      <c r="C4" s="47">
        <v>0.39</v>
      </c>
      <c r="D4" s="181">
        <v>0.27</v>
      </c>
      <c r="E4" s="181">
        <v>0.17</v>
      </c>
      <c r="F4" s="181">
        <v>0.2</v>
      </c>
      <c r="G4" s="761">
        <v>0.13</v>
      </c>
      <c r="H4" s="47">
        <f t="shared" ref="H4:H23" si="0">AVERAGE(C4:G4)</f>
        <v>0.23</v>
      </c>
      <c r="I4" s="181">
        <f>C4</f>
        <v>0.39</v>
      </c>
      <c r="J4" s="43">
        <f>(I4-H4)/H4</f>
        <v>0.7</v>
      </c>
      <c r="K4" s="168">
        <v>195065</v>
      </c>
      <c r="L4" s="249">
        <f>'Table 1'!E4</f>
        <v>197466</v>
      </c>
      <c r="M4" s="249">
        <v>197528</v>
      </c>
      <c r="N4" s="249">
        <v>199613</v>
      </c>
      <c r="O4" s="125">
        <v>201523</v>
      </c>
      <c r="P4" s="795">
        <f>(C4+D4+E4+F4+G4)/(K4+L4+M4+N4+O4)*1000000</f>
        <v>1</v>
      </c>
      <c r="Q4" s="168">
        <f>'Table 1'!E4</f>
        <v>197466</v>
      </c>
      <c r="R4" s="249">
        <f>'Table 1'!J4</f>
        <v>203981</v>
      </c>
      <c r="S4" s="249">
        <f>'Table 1'!O4</f>
        <v>208575</v>
      </c>
      <c r="T4" s="249">
        <f>'Table 1'!T4</f>
        <v>212384</v>
      </c>
      <c r="U4" s="125">
        <f>'Table 1'!Y4</f>
        <v>212473</v>
      </c>
      <c r="V4" s="249">
        <f>'Table 1'!AD4</f>
        <v>214246</v>
      </c>
      <c r="W4" s="291">
        <f>'Table 1'!AI4</f>
        <v>215828</v>
      </c>
      <c r="X4" s="247">
        <f>R4-Q4</f>
        <v>6515</v>
      </c>
      <c r="Y4" s="249">
        <f t="shared" ref="Y4:AC4" si="1">S4-R4</f>
        <v>4594</v>
      </c>
      <c r="Z4" s="249">
        <f t="shared" si="1"/>
        <v>3809</v>
      </c>
      <c r="AA4" s="249">
        <f t="shared" si="1"/>
        <v>89</v>
      </c>
      <c r="AB4" s="249">
        <f t="shared" si="1"/>
        <v>1773</v>
      </c>
      <c r="AC4" s="243">
        <f t="shared" si="1"/>
        <v>1582</v>
      </c>
      <c r="AD4" s="47">
        <f t="shared" ref="AD4:AI4" si="2">$P4*X4/1000000</f>
        <v>0.01</v>
      </c>
      <c r="AE4" s="181">
        <f t="shared" si="2"/>
        <v>0</v>
      </c>
      <c r="AF4" s="181">
        <f t="shared" si="2"/>
        <v>0</v>
      </c>
      <c r="AG4" s="761">
        <f t="shared" si="2"/>
        <v>0</v>
      </c>
      <c r="AH4" s="181">
        <f t="shared" si="2"/>
        <v>0</v>
      </c>
      <c r="AI4" s="1107">
        <f t="shared" si="2"/>
        <v>0</v>
      </c>
    </row>
    <row r="5" spans="1:35" ht="13.5" thickBot="1">
      <c r="A5" s="1827" t="s">
        <v>14</v>
      </c>
      <c r="B5" s="1897" t="s">
        <v>17</v>
      </c>
      <c r="C5" s="48">
        <v>1.05</v>
      </c>
      <c r="D5" s="712">
        <v>1.04</v>
      </c>
      <c r="E5" s="712">
        <v>1.04</v>
      </c>
      <c r="F5" s="712">
        <v>1.03</v>
      </c>
      <c r="G5" s="755">
        <v>1.03</v>
      </c>
      <c r="H5" s="48">
        <f t="shared" si="0"/>
        <v>1.04</v>
      </c>
      <c r="I5" s="712">
        <f>C5</f>
        <v>1.05</v>
      </c>
      <c r="J5" s="720">
        <f t="shared" ref="J5:J26" si="3">(I5-H5)/H5</f>
        <v>0.01</v>
      </c>
      <c r="K5" s="861">
        <f>'Table 5a'!K15+'Table 5a'!K6+31882</f>
        <v>54285</v>
      </c>
      <c r="L5" s="368">
        <f>'Table 1'!E5</f>
        <v>55728</v>
      </c>
      <c r="M5" s="368">
        <f>'Table 5a'!M15+'Table 5a'!M6+34894</f>
        <v>58180</v>
      </c>
      <c r="N5" s="368">
        <f>'Table 5a'!N15+'Table 5a'!N6+35404</f>
        <v>59075</v>
      </c>
      <c r="O5" s="711">
        <f>'Table 5a'!O15+'Table 5a'!O6+36592</f>
        <v>60547</v>
      </c>
      <c r="P5" s="704">
        <f t="shared" ref="P5:P23" si="4">(C5+D5+E5+F5+G5)/(K5+L5+M5+N5+O5)*1000000</f>
        <v>18</v>
      </c>
      <c r="Q5" s="861">
        <f>'Table 1'!E5</f>
        <v>55728</v>
      </c>
      <c r="R5" s="368">
        <f>'Table 1'!J5</f>
        <v>65450</v>
      </c>
      <c r="S5" s="368">
        <f>'Table 1'!O5</f>
        <v>72431</v>
      </c>
      <c r="T5" s="368">
        <f>'Table 1'!T5</f>
        <v>78722</v>
      </c>
      <c r="U5" s="711">
        <f>'Table 1'!Y5</f>
        <v>87233</v>
      </c>
      <c r="V5" s="368">
        <f>'Table 1'!AD5</f>
        <v>92660</v>
      </c>
      <c r="W5" s="1011">
        <f>'Table 1'!AI5</f>
        <v>96978</v>
      </c>
      <c r="X5" s="1101">
        <f>R5-Q5</f>
        <v>9722</v>
      </c>
      <c r="Y5" s="368">
        <f t="shared" ref="Y5" si="5">S5-R5</f>
        <v>6981</v>
      </c>
      <c r="Z5" s="368">
        <f t="shared" ref="Z5" si="6">T5-S5</f>
        <v>6291</v>
      </c>
      <c r="AA5" s="368">
        <f t="shared" ref="AA5" si="7">U5-T5</f>
        <v>8511</v>
      </c>
      <c r="AB5" s="368">
        <f t="shared" ref="AB5" si="8">V5-U5</f>
        <v>5427</v>
      </c>
      <c r="AC5" s="801">
        <f t="shared" ref="AC5" si="9">W5-V5</f>
        <v>4318</v>
      </c>
      <c r="AD5" s="48">
        <f t="shared" ref="AD5:AD23" si="10">$P5*X5/1000000</f>
        <v>0.17</v>
      </c>
      <c r="AE5" s="712">
        <f>$P5*Y5/1000000</f>
        <v>0.13</v>
      </c>
      <c r="AF5" s="712">
        <f>$P5*Z5/1000000</f>
        <v>0.11</v>
      </c>
      <c r="AG5" s="755">
        <f>$P5*AA5/1000000</f>
        <v>0.15</v>
      </c>
      <c r="AH5" s="712">
        <f>$P5*AB5/1000000</f>
        <v>0.1</v>
      </c>
      <c r="AI5" s="1108">
        <f>$P5*AC5/1000000</f>
        <v>0.08</v>
      </c>
    </row>
    <row r="6" spans="1:35" ht="14.25" thickTop="1" thickBot="1">
      <c r="A6" s="341" t="s">
        <v>14</v>
      </c>
      <c r="B6" s="342" t="s">
        <v>18</v>
      </c>
      <c r="C6" s="139">
        <f>SUM(C4:C5)</f>
        <v>1.44</v>
      </c>
      <c r="D6" s="701">
        <f t="shared" ref="D6:G6" si="11">SUM(D4:D5)</f>
        <v>1.31</v>
      </c>
      <c r="E6" s="701">
        <f t="shared" si="11"/>
        <v>1.21</v>
      </c>
      <c r="F6" s="701">
        <f t="shared" si="11"/>
        <v>1.23</v>
      </c>
      <c r="G6" s="756">
        <f t="shared" si="11"/>
        <v>1.1599999999999999</v>
      </c>
      <c r="H6" s="139">
        <f t="shared" si="0"/>
        <v>1.27</v>
      </c>
      <c r="I6" s="701">
        <f>C6</f>
        <v>1.44</v>
      </c>
      <c r="J6" s="244">
        <f t="shared" si="3"/>
        <v>0.13</v>
      </c>
      <c r="K6" s="856">
        <f t="shared" ref="K6:O6" si="12">SUM(K4:K5)</f>
        <v>249350</v>
      </c>
      <c r="L6" s="172">
        <f t="shared" si="12"/>
        <v>253194</v>
      </c>
      <c r="M6" s="172">
        <f t="shared" si="12"/>
        <v>255708</v>
      </c>
      <c r="N6" s="172">
        <f t="shared" si="12"/>
        <v>258688</v>
      </c>
      <c r="O6" s="62">
        <f t="shared" si="12"/>
        <v>262070</v>
      </c>
      <c r="P6" s="1117" t="s">
        <v>16</v>
      </c>
      <c r="Q6" s="856">
        <f>SUM(Q4:Q5)</f>
        <v>253194</v>
      </c>
      <c r="R6" s="172">
        <f t="shared" ref="R6:W6" si="13">SUM(R4:R5)</f>
        <v>269431</v>
      </c>
      <c r="S6" s="172">
        <f t="shared" si="13"/>
        <v>281006</v>
      </c>
      <c r="T6" s="172">
        <f t="shared" si="13"/>
        <v>291106</v>
      </c>
      <c r="U6" s="62">
        <f t="shared" si="13"/>
        <v>299706</v>
      </c>
      <c r="V6" s="172">
        <f t="shared" si="13"/>
        <v>306906</v>
      </c>
      <c r="W6" s="290">
        <f t="shared" si="13"/>
        <v>312806</v>
      </c>
      <c r="X6" s="58">
        <f t="shared" ref="X6" si="14">SUM(X4:X5)</f>
        <v>16237</v>
      </c>
      <c r="Y6" s="172">
        <f t="shared" ref="Y6" si="15">SUM(Y4:Y5)</f>
        <v>11575</v>
      </c>
      <c r="Z6" s="172">
        <f t="shared" ref="Z6" si="16">SUM(Z4:Z5)</f>
        <v>10100</v>
      </c>
      <c r="AA6" s="172">
        <f t="shared" ref="AA6" si="17">SUM(AA4:AA5)</f>
        <v>8600</v>
      </c>
      <c r="AB6" s="172">
        <f t="shared" ref="AB6" si="18">SUM(AB4:AB5)</f>
        <v>7200</v>
      </c>
      <c r="AC6" s="126">
        <f t="shared" ref="AC6" si="19">SUM(AC4:AC5)</f>
        <v>5900</v>
      </c>
      <c r="AD6" s="139">
        <f t="shared" ref="AD6:AI6" si="20">SUM(AD4:AD5)</f>
        <v>0.18</v>
      </c>
      <c r="AE6" s="701">
        <f t="shared" si="20"/>
        <v>0.13</v>
      </c>
      <c r="AF6" s="701">
        <f t="shared" si="20"/>
        <v>0.11</v>
      </c>
      <c r="AG6" s="756">
        <f t="shared" si="20"/>
        <v>0.15</v>
      </c>
      <c r="AH6" s="701">
        <f t="shared" si="20"/>
        <v>0.1</v>
      </c>
      <c r="AI6" s="61">
        <f t="shared" si="20"/>
        <v>0.08</v>
      </c>
    </row>
    <row r="7" spans="1:35">
      <c r="A7" s="292" t="s">
        <v>19</v>
      </c>
      <c r="B7" s="262" t="s">
        <v>15</v>
      </c>
      <c r="C7" s="149">
        <v>0</v>
      </c>
      <c r="D7" s="702">
        <v>0</v>
      </c>
      <c r="E7" s="702">
        <v>0</v>
      </c>
      <c r="F7" s="702">
        <v>0</v>
      </c>
      <c r="G7" s="757">
        <v>0</v>
      </c>
      <c r="H7" s="149">
        <f t="shared" si="0"/>
        <v>0</v>
      </c>
      <c r="I7" s="702">
        <v>0</v>
      </c>
      <c r="J7" s="362">
        <v>0</v>
      </c>
      <c r="K7" s="170">
        <v>26532</v>
      </c>
      <c r="L7" s="169">
        <f>'Table 1'!E7</f>
        <v>26556</v>
      </c>
      <c r="M7" s="169">
        <v>26506</v>
      </c>
      <c r="N7" s="169">
        <v>26729</v>
      </c>
      <c r="O7" s="127">
        <v>27189</v>
      </c>
      <c r="P7" s="703">
        <f t="shared" si="4"/>
        <v>0</v>
      </c>
      <c r="Q7" s="170">
        <f>'Table 1'!E7</f>
        <v>26556</v>
      </c>
      <c r="R7" s="169">
        <f>'Table 1'!J7</f>
        <v>27440</v>
      </c>
      <c r="S7" s="169">
        <f>'Table 1'!O7</f>
        <v>28838</v>
      </c>
      <c r="T7" s="169">
        <f>'Table 1'!T7</f>
        <v>30026</v>
      </c>
      <c r="U7" s="127">
        <f>'Table 1'!Y7</f>
        <v>30922</v>
      </c>
      <c r="V7" s="169">
        <f>'Table 1'!AD7</f>
        <v>31667</v>
      </c>
      <c r="W7" s="270">
        <f>'Table 1'!AI7</f>
        <v>32394</v>
      </c>
      <c r="X7" s="324">
        <f t="shared" ref="X7:X8" si="21">R7-Q7</f>
        <v>884</v>
      </c>
      <c r="Y7" s="169">
        <f t="shared" ref="Y7:Y8" si="22">S7-R7</f>
        <v>1398</v>
      </c>
      <c r="Z7" s="169">
        <f t="shared" ref="Z7:Z8" si="23">T7-S7</f>
        <v>1188</v>
      </c>
      <c r="AA7" s="169">
        <f t="shared" ref="AA7:AA8" si="24">U7-T7</f>
        <v>896</v>
      </c>
      <c r="AB7" s="169">
        <f t="shared" ref="AB7:AB8" si="25">V7-U7</f>
        <v>745</v>
      </c>
      <c r="AC7" s="748">
        <f t="shared" ref="AC7:AC8" si="26">W7-V7</f>
        <v>727</v>
      </c>
      <c r="AD7" s="149">
        <f t="shared" si="10"/>
        <v>0</v>
      </c>
      <c r="AE7" s="702">
        <f t="shared" ref="AE7:AH8" si="27">$P7*Y7/1000000</f>
        <v>0</v>
      </c>
      <c r="AF7" s="702">
        <f t="shared" si="27"/>
        <v>0</v>
      </c>
      <c r="AG7" s="757">
        <f t="shared" si="27"/>
        <v>0</v>
      </c>
      <c r="AH7" s="702">
        <f t="shared" si="27"/>
        <v>0</v>
      </c>
      <c r="AI7" s="1109">
        <f t="shared" ref="AI7:AI8" si="28">$P7*AC7/1000000</f>
        <v>0</v>
      </c>
    </row>
    <row r="8" spans="1:35" ht="13.5" thickBot="1">
      <c r="A8" s="1037" t="s">
        <v>19</v>
      </c>
      <c r="B8" s="275" t="s">
        <v>17</v>
      </c>
      <c r="C8" s="48">
        <v>0</v>
      </c>
      <c r="D8" s="712">
        <v>0</v>
      </c>
      <c r="E8" s="712">
        <v>0</v>
      </c>
      <c r="F8" s="712">
        <v>0</v>
      </c>
      <c r="G8" s="755">
        <v>0</v>
      </c>
      <c r="H8" s="48">
        <f t="shared" si="0"/>
        <v>0</v>
      </c>
      <c r="I8" s="712">
        <v>0</v>
      </c>
      <c r="J8" s="745">
        <v>0</v>
      </c>
      <c r="K8" s="861">
        <v>503</v>
      </c>
      <c r="L8" s="368">
        <f>'Table 1'!E8</f>
        <v>503</v>
      </c>
      <c r="M8" s="368">
        <v>489</v>
      </c>
      <c r="N8" s="368">
        <v>498</v>
      </c>
      <c r="O8" s="711">
        <v>507</v>
      </c>
      <c r="P8" s="704">
        <f t="shared" si="4"/>
        <v>0</v>
      </c>
      <c r="Q8" s="861">
        <f>'Table 1'!E8</f>
        <v>503</v>
      </c>
      <c r="R8" s="368">
        <f>'Table 1'!J8</f>
        <v>521</v>
      </c>
      <c r="S8" s="368">
        <f>'Table 1'!O8</f>
        <v>549</v>
      </c>
      <c r="T8" s="368">
        <f>'Table 1'!T8</f>
        <v>573</v>
      </c>
      <c r="U8" s="711">
        <f>'Table 1'!Y8</f>
        <v>591</v>
      </c>
      <c r="V8" s="368">
        <f>'Table 1'!AD8</f>
        <v>609</v>
      </c>
      <c r="W8" s="1011">
        <f>'Table 1'!AI8</f>
        <v>623</v>
      </c>
      <c r="X8" s="1101">
        <f t="shared" si="21"/>
        <v>18</v>
      </c>
      <c r="Y8" s="368">
        <f t="shared" si="22"/>
        <v>28</v>
      </c>
      <c r="Z8" s="368">
        <f t="shared" si="23"/>
        <v>24</v>
      </c>
      <c r="AA8" s="368">
        <f t="shared" si="24"/>
        <v>18</v>
      </c>
      <c r="AB8" s="368">
        <f t="shared" si="25"/>
        <v>18</v>
      </c>
      <c r="AC8" s="801">
        <f t="shared" si="26"/>
        <v>14</v>
      </c>
      <c r="AD8" s="48">
        <f t="shared" si="10"/>
        <v>0</v>
      </c>
      <c r="AE8" s="712">
        <f t="shared" si="27"/>
        <v>0</v>
      </c>
      <c r="AF8" s="712">
        <f t="shared" si="27"/>
        <v>0</v>
      </c>
      <c r="AG8" s="755">
        <f t="shared" si="27"/>
        <v>0</v>
      </c>
      <c r="AH8" s="712">
        <f t="shared" si="27"/>
        <v>0</v>
      </c>
      <c r="AI8" s="1108">
        <f t="shared" si="28"/>
        <v>0</v>
      </c>
    </row>
    <row r="9" spans="1:35" ht="14.25" thickTop="1" thickBot="1">
      <c r="A9" s="339" t="s">
        <v>19</v>
      </c>
      <c r="B9" s="2554" t="s">
        <v>18</v>
      </c>
      <c r="C9" s="34">
        <f>SUM(C7:C8)</f>
        <v>0</v>
      </c>
      <c r="D9" s="774">
        <f t="shared" ref="D9:G9" si="29">SUM(D7:D8)</f>
        <v>0</v>
      </c>
      <c r="E9" s="774">
        <f t="shared" si="29"/>
        <v>0</v>
      </c>
      <c r="F9" s="774">
        <f t="shared" si="29"/>
        <v>0</v>
      </c>
      <c r="G9" s="758">
        <f t="shared" si="29"/>
        <v>0</v>
      </c>
      <c r="H9" s="34">
        <f t="shared" si="0"/>
        <v>0</v>
      </c>
      <c r="I9" s="774">
        <v>0</v>
      </c>
      <c r="J9" s="363">
        <v>0</v>
      </c>
      <c r="K9" s="857">
        <f t="shared" ref="K9:O9" si="30">SUM(K7:K8)</f>
        <v>27035</v>
      </c>
      <c r="L9" s="251">
        <f t="shared" si="30"/>
        <v>27059</v>
      </c>
      <c r="M9" s="251">
        <f t="shared" si="30"/>
        <v>26995</v>
      </c>
      <c r="N9" s="251">
        <f t="shared" si="30"/>
        <v>27227</v>
      </c>
      <c r="O9" s="77">
        <f t="shared" si="30"/>
        <v>27696</v>
      </c>
      <c r="P9" s="1118" t="s">
        <v>16</v>
      </c>
      <c r="Q9" s="857">
        <f>SUM(Q7:Q8)</f>
        <v>27059</v>
      </c>
      <c r="R9" s="251">
        <f t="shared" ref="R9:W9" si="31">SUM(R7:R8)</f>
        <v>27961</v>
      </c>
      <c r="S9" s="251">
        <f t="shared" si="31"/>
        <v>29387</v>
      </c>
      <c r="T9" s="251">
        <f t="shared" si="31"/>
        <v>30599</v>
      </c>
      <c r="U9" s="77">
        <f t="shared" si="31"/>
        <v>31513</v>
      </c>
      <c r="V9" s="251">
        <f t="shared" si="31"/>
        <v>32276</v>
      </c>
      <c r="W9" s="97">
        <f t="shared" si="31"/>
        <v>33017</v>
      </c>
      <c r="X9" s="254">
        <f t="shared" ref="X9" si="32">SUM(X7:X8)</f>
        <v>902</v>
      </c>
      <c r="Y9" s="251">
        <f t="shared" ref="Y9" si="33">SUM(Y7:Y8)</f>
        <v>1426</v>
      </c>
      <c r="Z9" s="251">
        <f t="shared" ref="Z9" si="34">SUM(Z7:Z8)</f>
        <v>1212</v>
      </c>
      <c r="AA9" s="251">
        <f t="shared" ref="AA9" si="35">SUM(AA7:AA8)</f>
        <v>914</v>
      </c>
      <c r="AB9" s="251">
        <f t="shared" ref="AB9" si="36">SUM(AB7:AB8)</f>
        <v>763</v>
      </c>
      <c r="AC9" s="213">
        <f t="shared" ref="AC9" si="37">SUM(AC7:AC8)</f>
        <v>741</v>
      </c>
      <c r="AD9" s="34">
        <f t="shared" ref="AD9:AI9" si="38">SUM(AD7:AD8)</f>
        <v>0</v>
      </c>
      <c r="AE9" s="774">
        <f t="shared" si="38"/>
        <v>0</v>
      </c>
      <c r="AF9" s="774">
        <f t="shared" si="38"/>
        <v>0</v>
      </c>
      <c r="AG9" s="758">
        <f t="shared" si="38"/>
        <v>0</v>
      </c>
      <c r="AH9" s="774">
        <f t="shared" si="38"/>
        <v>0</v>
      </c>
      <c r="AI9" s="21">
        <f t="shared" si="38"/>
        <v>0</v>
      </c>
    </row>
    <row r="10" spans="1:35">
      <c r="A10" s="295" t="s">
        <v>20</v>
      </c>
      <c r="B10" s="296" t="s">
        <v>15</v>
      </c>
      <c r="C10" s="149">
        <v>0</v>
      </c>
      <c r="D10" s="702">
        <v>0</v>
      </c>
      <c r="E10" s="702">
        <v>0</v>
      </c>
      <c r="F10" s="702">
        <v>0</v>
      </c>
      <c r="G10" s="757">
        <v>0</v>
      </c>
      <c r="H10" s="149">
        <f t="shared" si="0"/>
        <v>0</v>
      </c>
      <c r="I10" s="702">
        <v>0</v>
      </c>
      <c r="J10" s="153">
        <v>0</v>
      </c>
      <c r="K10" s="168">
        <v>2301</v>
      </c>
      <c r="L10" s="249">
        <f>'Table 1'!E10</f>
        <v>2289</v>
      </c>
      <c r="M10" s="249">
        <v>2312</v>
      </c>
      <c r="N10" s="249">
        <v>2319</v>
      </c>
      <c r="O10" s="125">
        <v>2366</v>
      </c>
      <c r="P10" s="795">
        <f t="shared" si="4"/>
        <v>0</v>
      </c>
      <c r="Q10" s="170">
        <f>'Table 1'!E10</f>
        <v>2289</v>
      </c>
      <c r="R10" s="169">
        <f>'Table 1'!J10</f>
        <v>2475</v>
      </c>
      <c r="S10" s="169">
        <f>'Table 1'!O10</f>
        <v>2872</v>
      </c>
      <c r="T10" s="169">
        <f>'Table 1'!T10</f>
        <v>3069</v>
      </c>
      <c r="U10" s="127">
        <f>'Table 1'!Y10</f>
        <v>3069</v>
      </c>
      <c r="V10" s="249">
        <f>'Table 1'!AD10</f>
        <v>3234</v>
      </c>
      <c r="W10" s="291">
        <f>'Table 1'!AI10</f>
        <v>3418</v>
      </c>
      <c r="X10" s="247">
        <f t="shared" ref="X10:X11" si="39">R10-Q10</f>
        <v>186</v>
      </c>
      <c r="Y10" s="249">
        <f t="shared" ref="Y10:Y11" si="40">S10-R10</f>
        <v>397</v>
      </c>
      <c r="Z10" s="249">
        <f t="shared" ref="Z10:Z11" si="41">T10-S10</f>
        <v>197</v>
      </c>
      <c r="AA10" s="249">
        <f t="shared" ref="AA10:AA11" si="42">U10-T10</f>
        <v>0</v>
      </c>
      <c r="AB10" s="249">
        <f t="shared" ref="AB10:AB11" si="43">V10-U10</f>
        <v>165</v>
      </c>
      <c r="AC10" s="243">
        <f t="shared" ref="AC10:AC11" si="44">W10-V10</f>
        <v>184</v>
      </c>
      <c r="AD10" s="47">
        <f t="shared" si="10"/>
        <v>0</v>
      </c>
      <c r="AE10" s="181">
        <f t="shared" ref="AE10:AH11" si="45">$P10*Y10/1000000</f>
        <v>0</v>
      </c>
      <c r="AF10" s="181">
        <f t="shared" si="45"/>
        <v>0</v>
      </c>
      <c r="AG10" s="761">
        <f t="shared" si="45"/>
        <v>0</v>
      </c>
      <c r="AH10" s="181">
        <f t="shared" si="45"/>
        <v>0</v>
      </c>
      <c r="AI10" s="1107">
        <f t="shared" ref="AI10:AI11" si="46">$P10*AC10/1000000</f>
        <v>0</v>
      </c>
    </row>
    <row r="11" spans="1:35" ht="13.5" thickBot="1">
      <c r="A11" s="1037" t="s">
        <v>20</v>
      </c>
      <c r="B11" s="1864" t="s">
        <v>17</v>
      </c>
      <c r="C11" s="48">
        <v>0.3</v>
      </c>
      <c r="D11" s="712">
        <v>0.3</v>
      </c>
      <c r="E11" s="712">
        <v>0.3</v>
      </c>
      <c r="F11" s="712">
        <v>0.3</v>
      </c>
      <c r="G11" s="755">
        <v>0.09</v>
      </c>
      <c r="H11" s="48">
        <f t="shared" si="0"/>
        <v>0.26</v>
      </c>
      <c r="I11" s="712">
        <f>F11</f>
        <v>0.3</v>
      </c>
      <c r="J11" s="720">
        <f t="shared" si="3"/>
        <v>0.15</v>
      </c>
      <c r="K11" s="861">
        <f>'Table 5a'!K21+'Table 6c'!K10+12572</f>
        <v>20803</v>
      </c>
      <c r="L11" s="368">
        <f>'Table 1'!E11</f>
        <v>20712</v>
      </c>
      <c r="M11" s="368">
        <f>'Table 5a'!M21+'Table 6c'!M10+12647</f>
        <v>20853</v>
      </c>
      <c r="N11" s="368">
        <f>'Table 5a'!N21+'Table 6c'!N10+12767</f>
        <v>20962</v>
      </c>
      <c r="O11" s="711">
        <f>'Table 5a'!O21+'Table 6c'!O10+12338</f>
        <v>20741</v>
      </c>
      <c r="P11" s="1116">
        <f t="shared" si="4"/>
        <v>12</v>
      </c>
      <c r="Q11" s="861">
        <f>'Table 1'!E11</f>
        <v>20712</v>
      </c>
      <c r="R11" s="368">
        <f>'Table 1'!J11</f>
        <v>21080</v>
      </c>
      <c r="S11" s="368">
        <f>'Table 1'!O11</f>
        <v>21083</v>
      </c>
      <c r="T11" s="368">
        <f>'Table 1'!T11</f>
        <v>21094</v>
      </c>
      <c r="U11" s="711">
        <f>'Table 1'!Y11</f>
        <v>21168</v>
      </c>
      <c r="V11" s="368">
        <f>'Table 1'!AD11</f>
        <v>21088</v>
      </c>
      <c r="W11" s="1011">
        <f>'Table 1'!AI11</f>
        <v>20956</v>
      </c>
      <c r="X11" s="1101">
        <f t="shared" si="39"/>
        <v>368</v>
      </c>
      <c r="Y11" s="368">
        <f t="shared" si="40"/>
        <v>3</v>
      </c>
      <c r="Z11" s="368">
        <f t="shared" si="41"/>
        <v>11</v>
      </c>
      <c r="AA11" s="368">
        <f t="shared" si="42"/>
        <v>74</v>
      </c>
      <c r="AB11" s="368">
        <f t="shared" si="43"/>
        <v>-80</v>
      </c>
      <c r="AC11" s="801">
        <f t="shared" si="44"/>
        <v>-132</v>
      </c>
      <c r="AD11" s="48">
        <f t="shared" si="10"/>
        <v>0</v>
      </c>
      <c r="AE11" s="712">
        <f t="shared" si="45"/>
        <v>0</v>
      </c>
      <c r="AF11" s="712">
        <f t="shared" si="45"/>
        <v>0</v>
      </c>
      <c r="AG11" s="755">
        <f t="shared" si="45"/>
        <v>0</v>
      </c>
      <c r="AH11" s="712">
        <f t="shared" si="45"/>
        <v>0</v>
      </c>
      <c r="AI11" s="1108">
        <f t="shared" si="46"/>
        <v>0</v>
      </c>
    </row>
    <row r="12" spans="1:35" ht="14.25" thickTop="1" thickBot="1">
      <c r="A12" s="339" t="s">
        <v>20</v>
      </c>
      <c r="B12" s="2554" t="s">
        <v>18</v>
      </c>
      <c r="C12" s="34">
        <f>SUM(C10:C11)</f>
        <v>0.3</v>
      </c>
      <c r="D12" s="774">
        <f t="shared" ref="D12:G12" si="47">SUM(D10:D11)</f>
        <v>0.3</v>
      </c>
      <c r="E12" s="774">
        <f t="shared" si="47"/>
        <v>0.3</v>
      </c>
      <c r="F12" s="774">
        <f t="shared" si="47"/>
        <v>0.3</v>
      </c>
      <c r="G12" s="758">
        <f t="shared" si="47"/>
        <v>0.09</v>
      </c>
      <c r="H12" s="34">
        <f t="shared" si="0"/>
        <v>0.26</v>
      </c>
      <c r="I12" s="774">
        <f>F12</f>
        <v>0.3</v>
      </c>
      <c r="J12" s="44">
        <f t="shared" si="3"/>
        <v>0.15</v>
      </c>
      <c r="K12" s="857">
        <f t="shared" ref="K12:O12" si="48">SUM(K10:K11)</f>
        <v>23104</v>
      </c>
      <c r="L12" s="251">
        <f t="shared" si="48"/>
        <v>23001</v>
      </c>
      <c r="M12" s="251">
        <f t="shared" si="48"/>
        <v>23165</v>
      </c>
      <c r="N12" s="251">
        <f t="shared" si="48"/>
        <v>23281</v>
      </c>
      <c r="O12" s="77">
        <f t="shared" si="48"/>
        <v>23107</v>
      </c>
      <c r="P12" s="1118" t="s">
        <v>16</v>
      </c>
      <c r="Q12" s="857">
        <f>SUM(Q10:Q11)</f>
        <v>23001</v>
      </c>
      <c r="R12" s="251">
        <f t="shared" ref="R12:W12" si="49">SUM(R10:R11)</f>
        <v>23555</v>
      </c>
      <c r="S12" s="251">
        <f t="shared" si="49"/>
        <v>23955</v>
      </c>
      <c r="T12" s="251">
        <f t="shared" si="49"/>
        <v>24163</v>
      </c>
      <c r="U12" s="77">
        <f t="shared" si="49"/>
        <v>24237</v>
      </c>
      <c r="V12" s="251">
        <f t="shared" si="49"/>
        <v>24322</v>
      </c>
      <c r="W12" s="97">
        <f t="shared" si="49"/>
        <v>24374</v>
      </c>
      <c r="X12" s="254">
        <f t="shared" ref="X12" si="50">SUM(X10:X11)</f>
        <v>554</v>
      </c>
      <c r="Y12" s="251">
        <f t="shared" ref="Y12" si="51">SUM(Y10:Y11)</f>
        <v>400</v>
      </c>
      <c r="Z12" s="251">
        <f t="shared" ref="Z12" si="52">SUM(Z10:Z11)</f>
        <v>208</v>
      </c>
      <c r="AA12" s="251">
        <f t="shared" ref="AA12" si="53">SUM(AA10:AA11)</f>
        <v>74</v>
      </c>
      <c r="AB12" s="251">
        <f t="shared" ref="AB12" si="54">SUM(AB10:AB11)</f>
        <v>85</v>
      </c>
      <c r="AC12" s="213">
        <f t="shared" ref="AC12" si="55">SUM(AC10:AC11)</f>
        <v>52</v>
      </c>
      <c r="AD12" s="34">
        <f t="shared" ref="AD12:AI12" si="56">SUM(AD10:AD11)</f>
        <v>0</v>
      </c>
      <c r="AE12" s="774">
        <f t="shared" si="56"/>
        <v>0</v>
      </c>
      <c r="AF12" s="774">
        <f t="shared" si="56"/>
        <v>0</v>
      </c>
      <c r="AG12" s="758">
        <f t="shared" si="56"/>
        <v>0</v>
      </c>
      <c r="AH12" s="774">
        <f t="shared" si="56"/>
        <v>0</v>
      </c>
      <c r="AI12" s="21">
        <f t="shared" si="56"/>
        <v>0</v>
      </c>
    </row>
    <row r="13" spans="1:35">
      <c r="A13" s="295" t="s">
        <v>21</v>
      </c>
      <c r="B13" s="296" t="s">
        <v>15</v>
      </c>
      <c r="C13" s="47">
        <v>0.32</v>
      </c>
      <c r="D13" s="181">
        <v>0.41</v>
      </c>
      <c r="E13" s="181">
        <v>0.94</v>
      </c>
      <c r="F13" s="181">
        <v>1.23</v>
      </c>
      <c r="G13" s="761">
        <v>0.48</v>
      </c>
      <c r="H13" s="47">
        <f t="shared" si="0"/>
        <v>0.68</v>
      </c>
      <c r="I13" s="181">
        <f>E13</f>
        <v>0.94</v>
      </c>
      <c r="J13" s="43">
        <f t="shared" si="3"/>
        <v>0.38</v>
      </c>
      <c r="K13" s="168">
        <v>198718</v>
      </c>
      <c r="L13" s="249">
        <f>'Table 1'!E13</f>
        <v>202600</v>
      </c>
      <c r="M13" s="249">
        <v>206498</v>
      </c>
      <c r="N13" s="249">
        <v>209718</v>
      </c>
      <c r="O13" s="125">
        <v>213169</v>
      </c>
      <c r="P13" s="795">
        <f t="shared" si="4"/>
        <v>3</v>
      </c>
      <c r="Q13" s="168">
        <f>'Table 1'!E13</f>
        <v>202600</v>
      </c>
      <c r="R13" s="249">
        <f>'Table 1'!J13</f>
        <v>217009</v>
      </c>
      <c r="S13" s="249">
        <f>'Table 1'!O13</f>
        <v>234658</v>
      </c>
      <c r="T13" s="249">
        <f>'Table 1'!T13</f>
        <v>247691</v>
      </c>
      <c r="U13" s="125">
        <f>'Table 1'!Y13</f>
        <v>262835</v>
      </c>
      <c r="V13" s="249">
        <f>'Table 1'!AD13</f>
        <v>272476</v>
      </c>
      <c r="W13" s="291">
        <f>'Table 1'!AI13</f>
        <v>282960</v>
      </c>
      <c r="X13" s="247">
        <f t="shared" ref="X13:X23" si="57">R13-Q13</f>
        <v>14409</v>
      </c>
      <c r="Y13" s="249">
        <f t="shared" ref="Y13:Y23" si="58">S13-R13</f>
        <v>17649</v>
      </c>
      <c r="Z13" s="249">
        <f t="shared" ref="Z13:Z23" si="59">T13-S13</f>
        <v>13033</v>
      </c>
      <c r="AA13" s="249">
        <f t="shared" ref="AA13:AA23" si="60">U13-T13</f>
        <v>15144</v>
      </c>
      <c r="AB13" s="249">
        <f t="shared" ref="AB13:AB23" si="61">V13-U13</f>
        <v>9641</v>
      </c>
      <c r="AC13" s="243">
        <f t="shared" ref="AC13:AC23" si="62">W13-V13</f>
        <v>10484</v>
      </c>
      <c r="AD13" s="47">
        <f t="shared" si="10"/>
        <v>0.04</v>
      </c>
      <c r="AE13" s="181">
        <f t="shared" ref="AE13:AE18" si="63">$P13*Y13/1000000</f>
        <v>0.05</v>
      </c>
      <c r="AF13" s="181">
        <f t="shared" ref="AF13:AF18" si="64">$P13*Z13/1000000</f>
        <v>0.04</v>
      </c>
      <c r="AG13" s="761">
        <f t="shared" ref="AG13:AG18" si="65">$P13*AA13/1000000</f>
        <v>0.05</v>
      </c>
      <c r="AH13" s="181">
        <f t="shared" ref="AH13:AH18" si="66">$P13*AB13/1000000</f>
        <v>0.03</v>
      </c>
      <c r="AI13" s="1107">
        <f t="shared" ref="AI13:AI23" si="67">$P13*AC13/1000000</f>
        <v>0.03</v>
      </c>
    </row>
    <row r="14" spans="1:35">
      <c r="A14" s="364" t="s">
        <v>22</v>
      </c>
      <c r="B14" s="296" t="s">
        <v>17</v>
      </c>
      <c r="C14" s="823">
        <v>0.72</v>
      </c>
      <c r="D14" s="802">
        <v>0.73</v>
      </c>
      <c r="E14" s="802">
        <v>0.7</v>
      </c>
      <c r="F14" s="802">
        <v>0.7</v>
      </c>
      <c r="G14" s="860">
        <v>0.7</v>
      </c>
      <c r="H14" s="823">
        <f t="shared" si="0"/>
        <v>0.71</v>
      </c>
      <c r="I14" s="802">
        <f>D14</f>
        <v>0.73</v>
      </c>
      <c r="J14" s="988">
        <f t="shared" si="3"/>
        <v>0.03</v>
      </c>
      <c r="K14" s="864">
        <f>'Table 5a'!K29+'Table 6c'!K33+42730</f>
        <v>63720</v>
      </c>
      <c r="L14" s="872">
        <f>'Table 1'!E14</f>
        <v>64037</v>
      </c>
      <c r="M14" s="872">
        <f>'Table 5a'!M29+'Table 6c'!M33+43397</f>
        <v>64529</v>
      </c>
      <c r="N14" s="872">
        <f>'Table 5a'!N29+'Table 6c'!N33+43704</f>
        <v>64999</v>
      </c>
      <c r="O14" s="1100">
        <f>'Table 5a'!O29+'Table 6c'!O33+44210</f>
        <v>65710</v>
      </c>
      <c r="P14" s="796">
        <f t="shared" si="4"/>
        <v>11</v>
      </c>
      <c r="Q14" s="864">
        <f>'Table 1'!E14</f>
        <v>64037</v>
      </c>
      <c r="R14" s="872">
        <f>'Table 1'!J14</f>
        <v>66323</v>
      </c>
      <c r="S14" s="872">
        <f>'Table 1'!O14</f>
        <v>69323</v>
      </c>
      <c r="T14" s="872">
        <f>'Table 1'!T14</f>
        <v>71823</v>
      </c>
      <c r="U14" s="1100">
        <f>'Table 1'!Y14</f>
        <v>73823</v>
      </c>
      <c r="V14" s="872">
        <f>'Table 1'!AD14</f>
        <v>75523</v>
      </c>
      <c r="W14" s="995">
        <f>'Table 1'!AI14</f>
        <v>77023</v>
      </c>
      <c r="X14" s="1102">
        <f t="shared" si="57"/>
        <v>2286</v>
      </c>
      <c r="Y14" s="872">
        <f t="shared" si="58"/>
        <v>3000</v>
      </c>
      <c r="Z14" s="872">
        <f t="shared" si="59"/>
        <v>2500</v>
      </c>
      <c r="AA14" s="872">
        <f t="shared" si="60"/>
        <v>2000</v>
      </c>
      <c r="AB14" s="872">
        <f t="shared" si="61"/>
        <v>1700</v>
      </c>
      <c r="AC14" s="871">
        <f t="shared" si="62"/>
        <v>1500</v>
      </c>
      <c r="AD14" s="823">
        <f t="shared" si="10"/>
        <v>0.03</v>
      </c>
      <c r="AE14" s="802">
        <f t="shared" si="63"/>
        <v>0.03</v>
      </c>
      <c r="AF14" s="802">
        <f t="shared" si="64"/>
        <v>0.03</v>
      </c>
      <c r="AG14" s="860">
        <f t="shared" si="65"/>
        <v>0.02</v>
      </c>
      <c r="AH14" s="802">
        <f t="shared" si="66"/>
        <v>0.02</v>
      </c>
      <c r="AI14" s="1047">
        <f t="shared" si="67"/>
        <v>0.02</v>
      </c>
    </row>
    <row r="15" spans="1:35">
      <c r="A15" s="364" t="s">
        <v>23</v>
      </c>
      <c r="B15" s="296" t="s">
        <v>15</v>
      </c>
      <c r="C15" s="823">
        <v>4.5999999999999996</v>
      </c>
      <c r="D15" s="802">
        <v>4.83</v>
      </c>
      <c r="E15" s="802">
        <v>6.81</v>
      </c>
      <c r="F15" s="802">
        <v>4.82</v>
      </c>
      <c r="G15" s="860">
        <v>3.69</v>
      </c>
      <c r="H15" s="823">
        <f t="shared" si="0"/>
        <v>4.95</v>
      </c>
      <c r="I15" s="802">
        <f>E15</f>
        <v>6.81</v>
      </c>
      <c r="J15" s="989">
        <f t="shared" si="3"/>
        <v>0.38</v>
      </c>
      <c r="K15" s="864">
        <v>896665</v>
      </c>
      <c r="L15" s="872">
        <f>'Table 1'!E15</f>
        <v>904905</v>
      </c>
      <c r="M15" s="872">
        <v>946637</v>
      </c>
      <c r="N15" s="872">
        <v>959764</v>
      </c>
      <c r="O15" s="1100">
        <v>975386</v>
      </c>
      <c r="P15" s="796">
        <f t="shared" si="4"/>
        <v>5</v>
      </c>
      <c r="Q15" s="864">
        <f>'Table 1'!E15</f>
        <v>904905</v>
      </c>
      <c r="R15" s="872">
        <f>'Table 1'!J15</f>
        <v>968706</v>
      </c>
      <c r="S15" s="872">
        <f>'Table 1'!O15</f>
        <v>1035102</v>
      </c>
      <c r="T15" s="872">
        <f>'Table 1'!T15</f>
        <v>1086502</v>
      </c>
      <c r="U15" s="1100">
        <f>'Table 1'!Y15</f>
        <v>1131472</v>
      </c>
      <c r="V15" s="872">
        <f>'Table 1'!AD15</f>
        <v>1167975</v>
      </c>
      <c r="W15" s="995">
        <f>'Table 1'!AI15</f>
        <v>1199413</v>
      </c>
      <c r="X15" s="1102">
        <f t="shared" si="57"/>
        <v>63801</v>
      </c>
      <c r="Y15" s="872">
        <f t="shared" si="58"/>
        <v>66396</v>
      </c>
      <c r="Z15" s="872">
        <f t="shared" si="59"/>
        <v>51400</v>
      </c>
      <c r="AA15" s="872">
        <f t="shared" si="60"/>
        <v>44970</v>
      </c>
      <c r="AB15" s="872">
        <f t="shared" si="61"/>
        <v>36503</v>
      </c>
      <c r="AC15" s="871">
        <f t="shared" si="62"/>
        <v>31438</v>
      </c>
      <c r="AD15" s="823">
        <f t="shared" si="10"/>
        <v>0.32</v>
      </c>
      <c r="AE15" s="802">
        <f t="shared" si="63"/>
        <v>0.33</v>
      </c>
      <c r="AF15" s="802">
        <f t="shared" si="64"/>
        <v>0.26</v>
      </c>
      <c r="AG15" s="860">
        <f t="shared" si="65"/>
        <v>0.22</v>
      </c>
      <c r="AH15" s="802">
        <f t="shared" si="66"/>
        <v>0.18</v>
      </c>
      <c r="AI15" s="1047">
        <f t="shared" si="67"/>
        <v>0.16</v>
      </c>
    </row>
    <row r="16" spans="1:35">
      <c r="A16" s="364" t="s">
        <v>24</v>
      </c>
      <c r="B16" s="296" t="s">
        <v>15</v>
      </c>
      <c r="C16" s="823">
        <v>1.85</v>
      </c>
      <c r="D16" s="802">
        <v>1.84</v>
      </c>
      <c r="E16" s="802">
        <v>2.11</v>
      </c>
      <c r="F16" s="802">
        <v>1.98</v>
      </c>
      <c r="G16" s="860">
        <v>1.32</v>
      </c>
      <c r="H16" s="823">
        <f t="shared" si="0"/>
        <v>1.82</v>
      </c>
      <c r="I16" s="802">
        <f>E16</f>
        <v>2.11</v>
      </c>
      <c r="J16" s="989">
        <f t="shared" si="3"/>
        <v>0.16</v>
      </c>
      <c r="K16" s="864">
        <v>103993</v>
      </c>
      <c r="L16" s="872">
        <f>'Table 1'!E16</f>
        <v>99769</v>
      </c>
      <c r="M16" s="872">
        <v>106175</v>
      </c>
      <c r="N16" s="872">
        <v>107946</v>
      </c>
      <c r="O16" s="1100">
        <v>115564</v>
      </c>
      <c r="P16" s="796">
        <f t="shared" si="4"/>
        <v>17</v>
      </c>
      <c r="Q16" s="864">
        <f>'Table 1'!E16</f>
        <v>99769</v>
      </c>
      <c r="R16" s="872">
        <f>'Table 1'!J16</f>
        <v>113387</v>
      </c>
      <c r="S16" s="872">
        <f>'Table 1'!O16</f>
        <v>126488</v>
      </c>
      <c r="T16" s="872">
        <f>'Table 1'!T16</f>
        <v>137761</v>
      </c>
      <c r="U16" s="1100">
        <f>'Table 1'!Y16</f>
        <v>146696</v>
      </c>
      <c r="V16" s="872">
        <f>'Table 1'!AD16</f>
        <v>152470</v>
      </c>
      <c r="W16" s="995">
        <f>'Table 1'!AI16</f>
        <v>157026</v>
      </c>
      <c r="X16" s="1102">
        <f t="shared" si="57"/>
        <v>13618</v>
      </c>
      <c r="Y16" s="872">
        <f t="shared" si="58"/>
        <v>13101</v>
      </c>
      <c r="Z16" s="872">
        <f t="shared" si="59"/>
        <v>11273</v>
      </c>
      <c r="AA16" s="872">
        <f t="shared" si="60"/>
        <v>8935</v>
      </c>
      <c r="AB16" s="872">
        <f t="shared" si="61"/>
        <v>5774</v>
      </c>
      <c r="AC16" s="871">
        <f t="shared" si="62"/>
        <v>4556</v>
      </c>
      <c r="AD16" s="823">
        <f t="shared" si="10"/>
        <v>0.23</v>
      </c>
      <c r="AE16" s="802">
        <f t="shared" si="63"/>
        <v>0.22</v>
      </c>
      <c r="AF16" s="802">
        <f t="shared" si="64"/>
        <v>0.19</v>
      </c>
      <c r="AG16" s="860">
        <f t="shared" si="65"/>
        <v>0.15</v>
      </c>
      <c r="AH16" s="802">
        <f t="shared" si="66"/>
        <v>0.1</v>
      </c>
      <c r="AI16" s="1047">
        <f t="shared" si="67"/>
        <v>0.08</v>
      </c>
    </row>
    <row r="17" spans="1:35">
      <c r="A17" s="364" t="s">
        <v>25</v>
      </c>
      <c r="B17" s="296" t="s">
        <v>17</v>
      </c>
      <c r="C17" s="823">
        <v>0.17</v>
      </c>
      <c r="D17" s="802">
        <v>0.16</v>
      </c>
      <c r="E17" s="802">
        <v>0.16</v>
      </c>
      <c r="F17" s="802">
        <v>0.16</v>
      </c>
      <c r="G17" s="860">
        <v>0.15</v>
      </c>
      <c r="H17" s="823">
        <f t="shared" si="0"/>
        <v>0.16</v>
      </c>
      <c r="I17" s="802">
        <f>C17</f>
        <v>0.17</v>
      </c>
      <c r="J17" s="989">
        <f t="shared" si="3"/>
        <v>0.06</v>
      </c>
      <c r="K17" s="864">
        <f>'Table 5a'!K47+13879</f>
        <v>16007</v>
      </c>
      <c r="L17" s="872">
        <f>'Table 1'!E17</f>
        <v>16158</v>
      </c>
      <c r="M17" s="872">
        <f>'Table 5a'!M47+14206</f>
        <v>16340</v>
      </c>
      <c r="N17" s="872">
        <f>'Table 5a'!N47+14336</f>
        <v>16475</v>
      </c>
      <c r="O17" s="1100">
        <f>'Table 5a'!O47+14503</f>
        <v>16704</v>
      </c>
      <c r="P17" s="796">
        <f t="shared" si="4"/>
        <v>10</v>
      </c>
      <c r="Q17" s="864">
        <f>'Table 1'!E17</f>
        <v>16158</v>
      </c>
      <c r="R17" s="872">
        <f>'Table 1'!J17</f>
        <v>17214</v>
      </c>
      <c r="S17" s="872">
        <f>'Table 1'!O17</f>
        <v>18114</v>
      </c>
      <c r="T17" s="872">
        <f>'Table 1'!T17</f>
        <v>18914</v>
      </c>
      <c r="U17" s="1100">
        <f>'Table 1'!Y17</f>
        <v>19614</v>
      </c>
      <c r="V17" s="872">
        <f>'Table 1'!AD17</f>
        <v>20114</v>
      </c>
      <c r="W17" s="995">
        <f>'Table 1'!AI17</f>
        <v>20614</v>
      </c>
      <c r="X17" s="1102">
        <f t="shared" si="57"/>
        <v>1056</v>
      </c>
      <c r="Y17" s="872">
        <f t="shared" si="58"/>
        <v>900</v>
      </c>
      <c r="Z17" s="872">
        <f t="shared" si="59"/>
        <v>800</v>
      </c>
      <c r="AA17" s="872">
        <f t="shared" si="60"/>
        <v>700</v>
      </c>
      <c r="AB17" s="872">
        <f t="shared" si="61"/>
        <v>500</v>
      </c>
      <c r="AC17" s="871">
        <f t="shared" si="62"/>
        <v>500</v>
      </c>
      <c r="AD17" s="823">
        <f t="shared" si="10"/>
        <v>0.01</v>
      </c>
      <c r="AE17" s="802">
        <f t="shared" si="63"/>
        <v>0.01</v>
      </c>
      <c r="AF17" s="802">
        <f t="shared" si="64"/>
        <v>0.01</v>
      </c>
      <c r="AG17" s="860">
        <f t="shared" si="65"/>
        <v>0.01</v>
      </c>
      <c r="AH17" s="802">
        <f t="shared" si="66"/>
        <v>0.01</v>
      </c>
      <c r="AI17" s="1047">
        <f t="shared" si="67"/>
        <v>0.01</v>
      </c>
    </row>
    <row r="18" spans="1:35">
      <c r="A18" s="364" t="s">
        <v>26</v>
      </c>
      <c r="B18" s="296" t="s">
        <v>17</v>
      </c>
      <c r="C18" s="823">
        <v>0.19</v>
      </c>
      <c r="D18" s="802">
        <v>0.1</v>
      </c>
      <c r="E18" s="802">
        <v>0.1</v>
      </c>
      <c r="F18" s="802">
        <v>0.08</v>
      </c>
      <c r="G18" s="860">
        <v>0.08</v>
      </c>
      <c r="H18" s="823">
        <f t="shared" si="0"/>
        <v>0.11</v>
      </c>
      <c r="I18" s="802">
        <f>C18</f>
        <v>0.19</v>
      </c>
      <c r="J18" s="989">
        <f t="shared" si="3"/>
        <v>0.73</v>
      </c>
      <c r="K18" s="864">
        <f>'Table 5a'!K52+'Table 6c'!K39+6542</f>
        <v>12064</v>
      </c>
      <c r="L18" s="872">
        <f>'Table 1'!E18</f>
        <v>12141</v>
      </c>
      <c r="M18" s="872">
        <f>'Table 5a'!M52+'Table 6c'!M39+6675</f>
        <v>12146</v>
      </c>
      <c r="N18" s="872">
        <f>'Table 5a'!N52+'Table 6c'!N39+6691</f>
        <v>12106</v>
      </c>
      <c r="O18" s="1100">
        <f>'Table 5a'!O52+'Table 6c'!O39+6520</f>
        <v>12162</v>
      </c>
      <c r="P18" s="796">
        <f t="shared" si="4"/>
        <v>9</v>
      </c>
      <c r="Q18" s="864">
        <f>'Table 1'!E18</f>
        <v>12141</v>
      </c>
      <c r="R18" s="872">
        <f>'Table 1'!J18</f>
        <v>12081</v>
      </c>
      <c r="S18" s="872">
        <f>'Table 1'!O18</f>
        <v>12281</v>
      </c>
      <c r="T18" s="872">
        <f>'Table 1'!T18</f>
        <v>12381</v>
      </c>
      <c r="U18" s="1100">
        <f>'Table 1'!Y18</f>
        <v>12381</v>
      </c>
      <c r="V18" s="872">
        <f>'Table 1'!AD18</f>
        <v>12381</v>
      </c>
      <c r="W18" s="995">
        <f>'Table 1'!AI18</f>
        <v>12481</v>
      </c>
      <c r="X18" s="1102">
        <f t="shared" si="57"/>
        <v>-60</v>
      </c>
      <c r="Y18" s="872">
        <f t="shared" si="58"/>
        <v>200</v>
      </c>
      <c r="Z18" s="872">
        <f t="shared" si="59"/>
        <v>100</v>
      </c>
      <c r="AA18" s="872">
        <f t="shared" si="60"/>
        <v>0</v>
      </c>
      <c r="AB18" s="872">
        <f t="shared" si="61"/>
        <v>0</v>
      </c>
      <c r="AC18" s="871">
        <f t="shared" si="62"/>
        <v>100</v>
      </c>
      <c r="AD18" s="823">
        <f t="shared" si="10"/>
        <v>0</v>
      </c>
      <c r="AE18" s="802">
        <f t="shared" si="63"/>
        <v>0</v>
      </c>
      <c r="AF18" s="802">
        <f t="shared" si="64"/>
        <v>0</v>
      </c>
      <c r="AG18" s="860">
        <f t="shared" si="65"/>
        <v>0</v>
      </c>
      <c r="AH18" s="802">
        <f t="shared" si="66"/>
        <v>0</v>
      </c>
      <c r="AI18" s="1047">
        <f t="shared" si="67"/>
        <v>0</v>
      </c>
    </row>
    <row r="19" spans="1:35">
      <c r="A19" s="364" t="s">
        <v>27</v>
      </c>
      <c r="B19" s="296" t="s">
        <v>15</v>
      </c>
      <c r="C19" s="823">
        <v>2.34</v>
      </c>
      <c r="D19" s="802">
        <v>2.5</v>
      </c>
      <c r="E19" s="802">
        <v>3.01</v>
      </c>
      <c r="F19" s="802">
        <v>2.61</v>
      </c>
      <c r="G19" s="860">
        <v>2.08</v>
      </c>
      <c r="H19" s="823">
        <f t="shared" si="0"/>
        <v>2.5099999999999998</v>
      </c>
      <c r="I19" s="802">
        <v>3.05</v>
      </c>
      <c r="J19" s="988">
        <f t="shared" si="3"/>
        <v>0.22</v>
      </c>
      <c r="K19" s="824">
        <v>76619</v>
      </c>
      <c r="L19" s="814">
        <f>'Table 1'!E19</f>
        <v>77817</v>
      </c>
      <c r="M19" s="814">
        <v>79234</v>
      </c>
      <c r="N19" s="814">
        <v>81833</v>
      </c>
      <c r="O19" s="807">
        <v>84155</v>
      </c>
      <c r="P19" s="796">
        <f t="shared" si="4"/>
        <v>31</v>
      </c>
      <c r="Q19" s="864">
        <f>'Table 1'!E19</f>
        <v>77817</v>
      </c>
      <c r="R19" s="872">
        <f>'Table 1'!J19</f>
        <v>85974</v>
      </c>
      <c r="S19" s="872">
        <f>'Table 1'!O19</f>
        <v>95334</v>
      </c>
      <c r="T19" s="872">
        <f>'Table 1'!T19</f>
        <v>102440</v>
      </c>
      <c r="U19" s="1100">
        <f>'Table 1'!Y19</f>
        <v>108633</v>
      </c>
      <c r="V19" s="872">
        <f>'Table 1'!AD19</f>
        <v>113803</v>
      </c>
      <c r="W19" s="995">
        <f>'Table 1'!AI19</f>
        <v>118436</v>
      </c>
      <c r="X19" s="1102">
        <f t="shared" si="57"/>
        <v>8157</v>
      </c>
      <c r="Y19" s="872">
        <f t="shared" si="58"/>
        <v>9360</v>
      </c>
      <c r="Z19" s="872">
        <f t="shared" si="59"/>
        <v>7106</v>
      </c>
      <c r="AA19" s="872">
        <f t="shared" si="60"/>
        <v>6193</v>
      </c>
      <c r="AB19" s="872">
        <f t="shared" si="61"/>
        <v>5170</v>
      </c>
      <c r="AC19" s="871">
        <f t="shared" si="62"/>
        <v>4633</v>
      </c>
      <c r="AD19" s="823">
        <f t="shared" si="10"/>
        <v>0.25</v>
      </c>
      <c r="AE19" s="802">
        <f t="shared" ref="AE19:AE23" si="68">$P19*Y19/1000000</f>
        <v>0.28999999999999998</v>
      </c>
      <c r="AF19" s="802">
        <f t="shared" ref="AF19:AF23" si="69">$P19*Z19/1000000</f>
        <v>0.22</v>
      </c>
      <c r="AG19" s="860">
        <f t="shared" ref="AG19:AG23" si="70">$P19*AA19/1000000</f>
        <v>0.19</v>
      </c>
      <c r="AH19" s="802">
        <f t="shared" ref="AH19:AH23" si="71">$P19*AB19/1000000</f>
        <v>0.16</v>
      </c>
      <c r="AI19" s="1047">
        <f t="shared" si="67"/>
        <v>0.14000000000000001</v>
      </c>
    </row>
    <row r="20" spans="1:35">
      <c r="A20" s="364" t="s">
        <v>28</v>
      </c>
      <c r="B20" s="296" t="s">
        <v>15</v>
      </c>
      <c r="C20" s="823">
        <v>0.52</v>
      </c>
      <c r="D20" s="802">
        <v>0.86</v>
      </c>
      <c r="E20" s="802">
        <v>0.62</v>
      </c>
      <c r="F20" s="802">
        <v>1.77</v>
      </c>
      <c r="G20" s="860">
        <v>1.0900000000000001</v>
      </c>
      <c r="H20" s="823">
        <f t="shared" si="0"/>
        <v>0.97</v>
      </c>
      <c r="I20" s="802">
        <f>F20</f>
        <v>1.77</v>
      </c>
      <c r="J20" s="988">
        <f t="shared" si="3"/>
        <v>0.82</v>
      </c>
      <c r="K20" s="864">
        <v>78327</v>
      </c>
      <c r="L20" s="872">
        <f>'Table 1'!E20</f>
        <v>76784</v>
      </c>
      <c r="M20" s="872">
        <v>78876</v>
      </c>
      <c r="N20" s="872">
        <v>79171</v>
      </c>
      <c r="O20" s="1100">
        <v>79125</v>
      </c>
      <c r="P20" s="796">
        <f t="shared" si="4"/>
        <v>12</v>
      </c>
      <c r="Q20" s="864">
        <f>'Table 1'!E20</f>
        <v>76784</v>
      </c>
      <c r="R20" s="872">
        <f>'Table 1'!J20</f>
        <v>77241</v>
      </c>
      <c r="S20" s="872">
        <f>'Table 1'!O20</f>
        <v>77513</v>
      </c>
      <c r="T20" s="872">
        <f>'Table 1'!T20</f>
        <v>77598</v>
      </c>
      <c r="U20" s="1100">
        <f>'Table 1'!Y20</f>
        <v>77772</v>
      </c>
      <c r="V20" s="872">
        <f>'Table 1'!AD20</f>
        <v>77933</v>
      </c>
      <c r="W20" s="995">
        <f>'Table 1'!AI20</f>
        <v>78117</v>
      </c>
      <c r="X20" s="1102">
        <f t="shared" si="57"/>
        <v>457</v>
      </c>
      <c r="Y20" s="872">
        <f t="shared" si="58"/>
        <v>272</v>
      </c>
      <c r="Z20" s="872">
        <f t="shared" si="59"/>
        <v>85</v>
      </c>
      <c r="AA20" s="872">
        <f t="shared" si="60"/>
        <v>174</v>
      </c>
      <c r="AB20" s="872">
        <f t="shared" si="61"/>
        <v>161</v>
      </c>
      <c r="AC20" s="871">
        <f t="shared" si="62"/>
        <v>184</v>
      </c>
      <c r="AD20" s="823">
        <f t="shared" si="10"/>
        <v>0.01</v>
      </c>
      <c r="AE20" s="802">
        <f t="shared" si="68"/>
        <v>0</v>
      </c>
      <c r="AF20" s="802">
        <f t="shared" si="69"/>
        <v>0</v>
      </c>
      <c r="AG20" s="860">
        <f t="shared" si="70"/>
        <v>0</v>
      </c>
      <c r="AH20" s="802">
        <f t="shared" si="71"/>
        <v>0</v>
      </c>
      <c r="AI20" s="1047">
        <f t="shared" si="67"/>
        <v>0</v>
      </c>
    </row>
    <row r="21" spans="1:35">
      <c r="A21" s="364" t="s">
        <v>29</v>
      </c>
      <c r="B21" s="907" t="s">
        <v>15</v>
      </c>
      <c r="C21" s="823">
        <v>4.3</v>
      </c>
      <c r="D21" s="802">
        <v>4.71</v>
      </c>
      <c r="E21" s="802">
        <v>6.03</v>
      </c>
      <c r="F21" s="802">
        <v>5.91</v>
      </c>
      <c r="G21" s="860">
        <v>4.17</v>
      </c>
      <c r="H21" s="823">
        <f t="shared" si="0"/>
        <v>5.0199999999999996</v>
      </c>
      <c r="I21" s="802">
        <f>E21</f>
        <v>6.03</v>
      </c>
      <c r="J21" s="988">
        <f t="shared" si="3"/>
        <v>0.2</v>
      </c>
      <c r="K21" s="864">
        <v>210162</v>
      </c>
      <c r="L21" s="872">
        <f>'Table 1'!E21</f>
        <v>216513</v>
      </c>
      <c r="M21" s="872">
        <v>223181</v>
      </c>
      <c r="N21" s="872">
        <v>232997</v>
      </c>
      <c r="O21" s="1100">
        <v>244161</v>
      </c>
      <c r="P21" s="796">
        <f t="shared" si="4"/>
        <v>22</v>
      </c>
      <c r="Q21" s="864">
        <f>'Table 1'!E21</f>
        <v>216513</v>
      </c>
      <c r="R21" s="872">
        <f>'Table 1'!J21</f>
        <v>254045</v>
      </c>
      <c r="S21" s="872">
        <f>'Table 1'!O21</f>
        <v>299210</v>
      </c>
      <c r="T21" s="872">
        <f>'Table 1'!T21</f>
        <v>337685</v>
      </c>
      <c r="U21" s="1100">
        <f>'Table 1'!Y21</f>
        <v>369057</v>
      </c>
      <c r="V21" s="872">
        <f>'Table 1'!AD21</f>
        <v>397902</v>
      </c>
      <c r="W21" s="995">
        <f>'Table 1'!AI21</f>
        <v>424994</v>
      </c>
      <c r="X21" s="1102">
        <f t="shared" si="57"/>
        <v>37532</v>
      </c>
      <c r="Y21" s="872">
        <f t="shared" si="58"/>
        <v>45165</v>
      </c>
      <c r="Z21" s="872">
        <f t="shared" si="59"/>
        <v>38475</v>
      </c>
      <c r="AA21" s="872">
        <f t="shared" si="60"/>
        <v>31372</v>
      </c>
      <c r="AB21" s="872">
        <f t="shared" si="61"/>
        <v>28845</v>
      </c>
      <c r="AC21" s="871">
        <f t="shared" si="62"/>
        <v>27092</v>
      </c>
      <c r="AD21" s="823">
        <f t="shared" si="10"/>
        <v>0.83</v>
      </c>
      <c r="AE21" s="802">
        <f t="shared" si="68"/>
        <v>0.99</v>
      </c>
      <c r="AF21" s="802">
        <f t="shared" si="69"/>
        <v>0.85</v>
      </c>
      <c r="AG21" s="860">
        <f t="shared" si="70"/>
        <v>0.69</v>
      </c>
      <c r="AH21" s="802">
        <f t="shared" si="71"/>
        <v>0.63</v>
      </c>
      <c r="AI21" s="1047">
        <f t="shared" si="67"/>
        <v>0.6</v>
      </c>
    </row>
    <row r="22" spans="1:35">
      <c r="A22" s="908" t="s">
        <v>30</v>
      </c>
      <c r="B22" s="296" t="s">
        <v>17</v>
      </c>
      <c r="C22" s="823">
        <v>0.45</v>
      </c>
      <c r="D22" s="802">
        <v>0.41</v>
      </c>
      <c r="E22" s="802">
        <v>0.41</v>
      </c>
      <c r="F22" s="802">
        <v>0.32</v>
      </c>
      <c r="G22" s="860">
        <v>0.28000000000000003</v>
      </c>
      <c r="H22" s="823">
        <f t="shared" si="0"/>
        <v>0.37</v>
      </c>
      <c r="I22" s="802">
        <f>C22</f>
        <v>0.45</v>
      </c>
      <c r="J22" s="988">
        <f t="shared" si="3"/>
        <v>0.22</v>
      </c>
      <c r="K22" s="864">
        <f>'Table 5a'!K81+'Table 6c'!K66+33433</f>
        <v>41219</v>
      </c>
      <c r="L22" s="872">
        <f>'Table 1'!E22</f>
        <v>41532</v>
      </c>
      <c r="M22" s="872">
        <f>'Table 5a'!M81+'Table 6c'!M66+33536</f>
        <v>41644</v>
      </c>
      <c r="N22" s="872">
        <f>'Table 5a'!N81+'Table 6c'!N66+33959</f>
        <v>42097</v>
      </c>
      <c r="O22" s="1100">
        <f>'Table 5a'!O81+'Table 6c'!O66+34405</f>
        <v>42817</v>
      </c>
      <c r="P22" s="796">
        <f t="shared" si="4"/>
        <v>9</v>
      </c>
      <c r="Q22" s="864">
        <f>'Table 1'!E22</f>
        <v>41532</v>
      </c>
      <c r="R22" s="872">
        <f>'Table 1'!J22</f>
        <v>43899</v>
      </c>
      <c r="S22" s="872">
        <f>'Table 1'!O22</f>
        <v>46299</v>
      </c>
      <c r="T22" s="872">
        <f>'Table 1'!T22</f>
        <v>48399</v>
      </c>
      <c r="U22" s="1100">
        <f>'Table 1'!Y22</f>
        <v>50099</v>
      </c>
      <c r="V22" s="872">
        <f>'Table 1'!AD22</f>
        <v>51499</v>
      </c>
      <c r="W22" s="995">
        <f>'Table 1'!AI22</f>
        <v>52699</v>
      </c>
      <c r="X22" s="1102">
        <f t="shared" si="57"/>
        <v>2367</v>
      </c>
      <c r="Y22" s="872">
        <f t="shared" si="58"/>
        <v>2400</v>
      </c>
      <c r="Z22" s="872">
        <f t="shared" si="59"/>
        <v>2100</v>
      </c>
      <c r="AA22" s="872">
        <f t="shared" si="60"/>
        <v>1700</v>
      </c>
      <c r="AB22" s="872">
        <f t="shared" si="61"/>
        <v>1400</v>
      </c>
      <c r="AC22" s="871">
        <f t="shared" si="62"/>
        <v>1200</v>
      </c>
      <c r="AD22" s="823">
        <f t="shared" si="10"/>
        <v>0.02</v>
      </c>
      <c r="AE22" s="802">
        <f t="shared" si="68"/>
        <v>0.02</v>
      </c>
      <c r="AF22" s="802">
        <f t="shared" si="69"/>
        <v>0.02</v>
      </c>
      <c r="AG22" s="860">
        <f t="shared" si="70"/>
        <v>0.02</v>
      </c>
      <c r="AH22" s="802">
        <f t="shared" si="71"/>
        <v>0.01</v>
      </c>
      <c r="AI22" s="1047">
        <f t="shared" si="67"/>
        <v>0.01</v>
      </c>
    </row>
    <row r="23" spans="1:35" ht="13.5" thickBot="1">
      <c r="A23" s="1037" t="s">
        <v>31</v>
      </c>
      <c r="B23" s="275" t="s">
        <v>17</v>
      </c>
      <c r="C23" s="48">
        <v>0.14000000000000001</v>
      </c>
      <c r="D23" s="712">
        <v>0.1</v>
      </c>
      <c r="E23" s="712">
        <v>0.09</v>
      </c>
      <c r="F23" s="712">
        <v>0.09</v>
      </c>
      <c r="G23" s="755">
        <v>0.09</v>
      </c>
      <c r="H23" s="48">
        <f t="shared" si="0"/>
        <v>0.1</v>
      </c>
      <c r="I23" s="712">
        <f>C23</f>
        <v>0.14000000000000001</v>
      </c>
      <c r="J23" s="745">
        <f t="shared" si="3"/>
        <v>0.4</v>
      </c>
      <c r="K23" s="1104">
        <f>'Table 5a'!K82+'Table 6c'!K71+8968</f>
        <v>10804</v>
      </c>
      <c r="L23" s="1105">
        <f>'Table 1'!E23</f>
        <v>11015</v>
      </c>
      <c r="M23" s="1105">
        <f>'Table 5a'!M82+'Table 6c'!M71+9063</f>
        <v>10898</v>
      </c>
      <c r="N23" s="1105">
        <f>'Table 5a'!N82+'Table 6c'!N71+8913</f>
        <v>10735</v>
      </c>
      <c r="O23" s="711">
        <f>'Table 5a'!O82+'Table 6c'!O71+8824</f>
        <v>10767</v>
      </c>
      <c r="P23" s="704">
        <f t="shared" si="4"/>
        <v>9</v>
      </c>
      <c r="Q23" s="861">
        <f>'Table 1'!E23</f>
        <v>11015</v>
      </c>
      <c r="R23" s="368">
        <f>'Table 1'!J23</f>
        <v>10767</v>
      </c>
      <c r="S23" s="368">
        <f>'Table 1'!O23</f>
        <v>10867</v>
      </c>
      <c r="T23" s="368">
        <f>'Table 1'!T23</f>
        <v>10867</v>
      </c>
      <c r="U23" s="711">
        <f>'Table 1'!Y23</f>
        <v>10967</v>
      </c>
      <c r="V23" s="368">
        <f>'Table 1'!AD23</f>
        <v>10967</v>
      </c>
      <c r="W23" s="1011">
        <f>'Table 1'!AI23</f>
        <v>10967</v>
      </c>
      <c r="X23" s="1101">
        <f t="shared" si="57"/>
        <v>-248</v>
      </c>
      <c r="Y23" s="368">
        <f t="shared" si="58"/>
        <v>100</v>
      </c>
      <c r="Z23" s="368">
        <f t="shared" si="59"/>
        <v>0</v>
      </c>
      <c r="AA23" s="368">
        <f t="shared" si="60"/>
        <v>100</v>
      </c>
      <c r="AB23" s="368">
        <f t="shared" si="61"/>
        <v>0</v>
      </c>
      <c r="AC23" s="801">
        <f t="shared" si="62"/>
        <v>0</v>
      </c>
      <c r="AD23" s="48">
        <f t="shared" si="10"/>
        <v>0</v>
      </c>
      <c r="AE23" s="712">
        <f t="shared" si="68"/>
        <v>0</v>
      </c>
      <c r="AF23" s="712">
        <f t="shared" si="69"/>
        <v>0</v>
      </c>
      <c r="AG23" s="755">
        <f t="shared" si="70"/>
        <v>0</v>
      </c>
      <c r="AH23" s="712">
        <f t="shared" si="71"/>
        <v>0</v>
      </c>
      <c r="AI23" s="1108">
        <f t="shared" si="67"/>
        <v>0</v>
      </c>
    </row>
    <row r="24" spans="1:35" ht="14.25" thickTop="1" thickBot="1">
      <c r="A24" s="3456" t="s">
        <v>32</v>
      </c>
      <c r="B24" s="3457"/>
      <c r="C24" s="139">
        <f t="shared" ref="C24:H24" si="72">C4+C7+C10+C13+C15+C16+C19+C20+C21</f>
        <v>14.32</v>
      </c>
      <c r="D24" s="701">
        <f t="shared" si="72"/>
        <v>15.42</v>
      </c>
      <c r="E24" s="701">
        <f t="shared" si="72"/>
        <v>19.690000000000001</v>
      </c>
      <c r="F24" s="701">
        <f t="shared" si="72"/>
        <v>18.52</v>
      </c>
      <c r="G24" s="756">
        <f t="shared" si="72"/>
        <v>12.96</v>
      </c>
      <c r="H24" s="139">
        <f t="shared" si="72"/>
        <v>16.18</v>
      </c>
      <c r="I24" s="701">
        <f>E24</f>
        <v>19.690000000000001</v>
      </c>
      <c r="J24" s="244">
        <f t="shared" si="3"/>
        <v>0.22</v>
      </c>
      <c r="K24" s="856">
        <f>K4+K7+K10+K13+K15+K16+K19+K20+K21</f>
        <v>1788382</v>
      </c>
      <c r="L24" s="172">
        <f>L4+L7+L10+L13+L15+L16+L19+L20+L21</f>
        <v>1804699</v>
      </c>
      <c r="M24" s="172">
        <f>M4+M7+M10+M13+M15+M16+M19+M20+M21</f>
        <v>1866947</v>
      </c>
      <c r="N24" s="172">
        <f>N4+N7+N10+N13+N15+N16+N19+N20+N21</f>
        <v>1900090</v>
      </c>
      <c r="O24" s="62">
        <f>O4+O7+O10+O13+O15+O16+O19+O20+O21</f>
        <v>1942638</v>
      </c>
      <c r="P24" s="1117" t="s">
        <v>16</v>
      </c>
      <c r="Q24" s="857">
        <f>Q4+Q7+Q10+Q13+Q15+Q16+Q19+Q20+Q21</f>
        <v>1804699</v>
      </c>
      <c r="R24" s="213">
        <f t="shared" ref="R24:W24" si="73">R4+R7+R10+R13+R15+R16+R19+R20+R21</f>
        <v>1950258</v>
      </c>
      <c r="S24" s="251">
        <f t="shared" si="73"/>
        <v>2108590</v>
      </c>
      <c r="T24" s="251">
        <f t="shared" si="73"/>
        <v>2235156</v>
      </c>
      <c r="U24" s="213">
        <f t="shared" si="73"/>
        <v>2342929</v>
      </c>
      <c r="V24" s="172">
        <f t="shared" si="73"/>
        <v>2431706</v>
      </c>
      <c r="W24" s="290">
        <f t="shared" si="73"/>
        <v>2512586</v>
      </c>
      <c r="X24" s="58">
        <f t="shared" ref="X24:AC24" si="74">X4+X7+X10+X13+X15+X16+X19+X20+X21</f>
        <v>145559</v>
      </c>
      <c r="Y24" s="172">
        <f t="shared" si="74"/>
        <v>158332</v>
      </c>
      <c r="Z24" s="172">
        <f t="shared" si="74"/>
        <v>126566</v>
      </c>
      <c r="AA24" s="172">
        <f t="shared" si="74"/>
        <v>107773</v>
      </c>
      <c r="AB24" s="172">
        <f t="shared" si="74"/>
        <v>88777</v>
      </c>
      <c r="AC24" s="126">
        <f t="shared" si="74"/>
        <v>80880</v>
      </c>
      <c r="AD24" s="34">
        <f t="shared" ref="AD24:AI24" si="75">AD4+AD7+AD10+AD13+AD15+AD16+AD19+AD20+AD21</f>
        <v>1.69</v>
      </c>
      <c r="AE24" s="774">
        <f t="shared" si="75"/>
        <v>1.88</v>
      </c>
      <c r="AF24" s="774">
        <f t="shared" si="75"/>
        <v>1.56</v>
      </c>
      <c r="AG24" s="758">
        <f t="shared" si="75"/>
        <v>1.3</v>
      </c>
      <c r="AH24" s="774">
        <f t="shared" si="75"/>
        <v>1.1000000000000001</v>
      </c>
      <c r="AI24" s="21">
        <f t="shared" si="75"/>
        <v>1.01</v>
      </c>
    </row>
    <row r="25" spans="1:35" ht="13.5" thickBot="1">
      <c r="A25" s="3458" t="s">
        <v>33</v>
      </c>
      <c r="B25" s="3459"/>
      <c r="C25" s="192">
        <f>C5+C8+C11+C14+C17+C18+C22+C23</f>
        <v>3.02</v>
      </c>
      <c r="D25" s="706">
        <f t="shared" ref="D25:H25" si="76">D5+D8+D11+D14+D17+D18+D22+D23</f>
        <v>2.84</v>
      </c>
      <c r="E25" s="706">
        <f t="shared" si="76"/>
        <v>2.8</v>
      </c>
      <c r="F25" s="706">
        <f t="shared" si="76"/>
        <v>2.68</v>
      </c>
      <c r="G25" s="248">
        <f t="shared" si="76"/>
        <v>2.42</v>
      </c>
      <c r="H25" s="192">
        <f t="shared" si="76"/>
        <v>2.75</v>
      </c>
      <c r="I25" s="706">
        <f>C25</f>
        <v>3.02</v>
      </c>
      <c r="J25" s="722">
        <f t="shared" si="3"/>
        <v>0.1</v>
      </c>
      <c r="K25" s="189">
        <f>K5+K8+K11+K14+K17+K18+K22+K23</f>
        <v>219405</v>
      </c>
      <c r="L25" s="190">
        <f>L5+L8+L11+L14+L17+L18+L22+L23</f>
        <v>221826</v>
      </c>
      <c r="M25" s="190">
        <f>M5+M8+M11+M14+M17+M18+M22+M23</f>
        <v>225079</v>
      </c>
      <c r="N25" s="190">
        <f>N5+N8+N11+N14+N17+N18+N22+N23</f>
        <v>226947</v>
      </c>
      <c r="O25" s="188">
        <f>O5+O8+O11+O14+O17+O18+O22+O23</f>
        <v>229955</v>
      </c>
      <c r="P25" s="1119" t="s">
        <v>16</v>
      </c>
      <c r="Q25" s="189">
        <f t="shared" ref="Q25:AI25" si="77">Q5+Q8+Q11+Q14+Q17+Q18+Q22+Q23</f>
        <v>221826</v>
      </c>
      <c r="R25" s="710">
        <f t="shared" ref="R25:W25" si="78">R5+R8+R11+R14+R17+R18+R22+R23</f>
        <v>237335</v>
      </c>
      <c r="S25" s="190">
        <f t="shared" si="78"/>
        <v>250947</v>
      </c>
      <c r="T25" s="190">
        <f t="shared" si="78"/>
        <v>262773</v>
      </c>
      <c r="U25" s="710">
        <f t="shared" si="78"/>
        <v>275876</v>
      </c>
      <c r="V25" s="190">
        <f t="shared" si="78"/>
        <v>284841</v>
      </c>
      <c r="W25" s="709">
        <f t="shared" si="78"/>
        <v>292341</v>
      </c>
      <c r="X25" s="997">
        <f t="shared" ref="X25:AC25" si="79">X5+X8+X11+X14+X17+X18+X22+X23</f>
        <v>15509</v>
      </c>
      <c r="Y25" s="190">
        <f t="shared" si="79"/>
        <v>13612</v>
      </c>
      <c r="Z25" s="190">
        <f t="shared" si="79"/>
        <v>11826</v>
      </c>
      <c r="AA25" s="190">
        <f t="shared" si="79"/>
        <v>13103</v>
      </c>
      <c r="AB25" s="190">
        <f t="shared" si="79"/>
        <v>8965</v>
      </c>
      <c r="AC25" s="710">
        <f t="shared" si="79"/>
        <v>7500</v>
      </c>
      <c r="AD25" s="192">
        <f t="shared" si="77"/>
        <v>0.23</v>
      </c>
      <c r="AE25" s="706">
        <f t="shared" si="77"/>
        <v>0.19</v>
      </c>
      <c r="AF25" s="706">
        <f t="shared" si="77"/>
        <v>0.17</v>
      </c>
      <c r="AG25" s="248">
        <f t="shared" si="77"/>
        <v>0.2</v>
      </c>
      <c r="AH25" s="706">
        <f t="shared" si="77"/>
        <v>0.14000000000000001</v>
      </c>
      <c r="AI25" s="191">
        <f t="shared" si="77"/>
        <v>0.12</v>
      </c>
    </row>
    <row r="26" spans="1:35" ht="13.5" thickBot="1">
      <c r="A26" s="3462" t="s">
        <v>34</v>
      </c>
      <c r="B26" s="3463"/>
      <c r="C26" s="34">
        <f t="shared" ref="C26:G26" si="80">C24+C25</f>
        <v>17.34</v>
      </c>
      <c r="D26" s="774">
        <f t="shared" si="80"/>
        <v>18.260000000000002</v>
      </c>
      <c r="E26" s="774">
        <f t="shared" si="80"/>
        <v>22.49</v>
      </c>
      <c r="F26" s="774">
        <f t="shared" si="80"/>
        <v>21.2</v>
      </c>
      <c r="G26" s="758">
        <f t="shared" si="80"/>
        <v>15.38</v>
      </c>
      <c r="H26" s="34">
        <f>AVERAGE(C26:G26)</f>
        <v>18.93</v>
      </c>
      <c r="I26" s="774">
        <f>SUM(I24:I25)</f>
        <v>22.71</v>
      </c>
      <c r="J26" s="44">
        <f t="shared" si="3"/>
        <v>0.2</v>
      </c>
      <c r="K26" s="857">
        <f t="shared" ref="K26:O26" si="81">K24+K25</f>
        <v>2007787</v>
      </c>
      <c r="L26" s="251">
        <f t="shared" si="81"/>
        <v>2026525</v>
      </c>
      <c r="M26" s="251">
        <f t="shared" si="81"/>
        <v>2092026</v>
      </c>
      <c r="N26" s="251">
        <f t="shared" si="81"/>
        <v>2127037</v>
      </c>
      <c r="O26" s="77">
        <f t="shared" si="81"/>
        <v>2172593</v>
      </c>
      <c r="P26" s="1118" t="s">
        <v>16</v>
      </c>
      <c r="Q26" s="857">
        <f>Q24+Q25</f>
        <v>2026525</v>
      </c>
      <c r="R26" s="213">
        <f t="shared" ref="R26:W26" si="82">R24+R25</f>
        <v>2187593</v>
      </c>
      <c r="S26" s="251">
        <f t="shared" si="82"/>
        <v>2359537</v>
      </c>
      <c r="T26" s="251">
        <f t="shared" si="82"/>
        <v>2497929</v>
      </c>
      <c r="U26" s="213">
        <f t="shared" si="82"/>
        <v>2618805</v>
      </c>
      <c r="V26" s="251">
        <f t="shared" si="82"/>
        <v>2716547</v>
      </c>
      <c r="W26" s="97">
        <f t="shared" si="82"/>
        <v>2804927</v>
      </c>
      <c r="X26" s="254">
        <f t="shared" ref="X26" si="83">X24+X25</f>
        <v>161068</v>
      </c>
      <c r="Y26" s="251">
        <f t="shared" ref="Y26" si="84">Y24+Y25</f>
        <v>171944</v>
      </c>
      <c r="Z26" s="251">
        <f t="shared" ref="Z26" si="85">Z24+Z25</f>
        <v>138392</v>
      </c>
      <c r="AA26" s="251">
        <f t="shared" ref="AA26" si="86">AA24+AA25</f>
        <v>120876</v>
      </c>
      <c r="AB26" s="251">
        <f t="shared" ref="AB26" si="87">AB24+AB25</f>
        <v>97742</v>
      </c>
      <c r="AC26" s="213">
        <f t="shared" ref="AC26" si="88">AC24+AC25</f>
        <v>88380</v>
      </c>
      <c r="AD26" s="34">
        <f t="shared" ref="AD26:AI26" si="89">AD24+AD25</f>
        <v>1.92</v>
      </c>
      <c r="AE26" s="774">
        <f t="shared" si="89"/>
        <v>2.0699999999999998</v>
      </c>
      <c r="AF26" s="774">
        <f t="shared" si="89"/>
        <v>1.73</v>
      </c>
      <c r="AG26" s="758">
        <f t="shared" si="89"/>
        <v>1.5</v>
      </c>
      <c r="AH26" s="774">
        <f t="shared" si="89"/>
        <v>1.24</v>
      </c>
      <c r="AI26" s="21">
        <f t="shared" si="89"/>
        <v>1.1299999999999999</v>
      </c>
    </row>
    <row r="27" spans="1:35">
      <c r="A27" s="89" t="s">
        <v>35</v>
      </c>
    </row>
    <row r="28" spans="1:35">
      <c r="A28" s="1" t="s">
        <v>68</v>
      </c>
      <c r="J28" s="1" t="s">
        <v>36</v>
      </c>
      <c r="K28" s="23" t="s">
        <v>36</v>
      </c>
    </row>
    <row r="29" spans="1:35">
      <c r="A29" s="1" t="s">
        <v>69</v>
      </c>
      <c r="H29" s="1" t="s">
        <v>36</v>
      </c>
    </row>
    <row r="30" spans="1:35" ht="12.6" customHeight="1">
      <c r="A30" s="1" t="s">
        <v>610</v>
      </c>
      <c r="B30" s="570"/>
      <c r="C30" s="570"/>
      <c r="D30" s="570"/>
      <c r="E30" s="570"/>
      <c r="F30" s="570"/>
      <c r="G30" s="570"/>
      <c r="H30" s="570"/>
      <c r="I30" s="570"/>
      <c r="J30" s="570"/>
      <c r="K30" s="570"/>
      <c r="L30" s="570"/>
      <c r="M30" s="570"/>
      <c r="N30" s="570"/>
      <c r="O30" s="570"/>
      <c r="P30" s="570"/>
      <c r="Q30" s="570"/>
      <c r="R30" s="570"/>
      <c r="S30" s="570"/>
      <c r="U30" s="1" t="s">
        <v>36</v>
      </c>
    </row>
    <row r="31" spans="1:35">
      <c r="A31" s="2" t="s">
        <v>611</v>
      </c>
    </row>
    <row r="32" spans="1:35">
      <c r="A32" s="1" t="s">
        <v>612</v>
      </c>
    </row>
    <row r="33" spans="1:35">
      <c r="A33" s="174"/>
    </row>
    <row r="34" spans="1:35" ht="13.5" thickBot="1">
      <c r="A34" s="800" t="s">
        <v>613</v>
      </c>
    </row>
    <row r="35" spans="1:35" ht="27" customHeight="1">
      <c r="A35" s="3181" t="s">
        <v>1</v>
      </c>
      <c r="B35" s="3460" t="s">
        <v>2</v>
      </c>
      <c r="C35" s="3305" t="s">
        <v>595</v>
      </c>
      <c r="D35" s="3281"/>
      <c r="E35" s="3281"/>
      <c r="F35" s="3281"/>
      <c r="G35" s="3282"/>
      <c r="H35" s="3373" t="s">
        <v>596</v>
      </c>
      <c r="I35" s="3447" t="s">
        <v>597</v>
      </c>
      <c r="J35" s="3350" t="s">
        <v>598</v>
      </c>
      <c r="K35" s="3305" t="s">
        <v>599</v>
      </c>
      <c r="L35" s="3281"/>
      <c r="M35" s="3281"/>
      <c r="N35" s="3281"/>
      <c r="O35" s="3282"/>
      <c r="P35" s="3209" t="s">
        <v>600</v>
      </c>
      <c r="Q35" s="3281" t="s">
        <v>601</v>
      </c>
      <c r="R35" s="3281"/>
      <c r="S35" s="3281"/>
      <c r="T35" s="3281"/>
      <c r="U35" s="3281"/>
      <c r="V35" s="3281"/>
      <c r="W35" s="3281"/>
      <c r="X35" s="3305" t="s">
        <v>602</v>
      </c>
      <c r="Y35" s="3281"/>
      <c r="Z35" s="3281"/>
      <c r="AA35" s="3281"/>
      <c r="AB35" s="3281"/>
      <c r="AC35" s="3282"/>
      <c r="AD35" s="3258" t="s">
        <v>603</v>
      </c>
      <c r="AE35" s="3264"/>
      <c r="AF35" s="3264"/>
      <c r="AG35" s="3264"/>
      <c r="AH35" s="3264"/>
      <c r="AI35" s="3245"/>
    </row>
    <row r="36" spans="1:35" ht="27" customHeight="1" thickBot="1">
      <c r="A36" s="3182"/>
      <c r="B36" s="3461"/>
      <c r="C36" s="1133">
        <v>2014</v>
      </c>
      <c r="D36" s="3049">
        <v>2015</v>
      </c>
      <c r="E36" s="3049">
        <v>2016</v>
      </c>
      <c r="F36" s="3049">
        <v>2017</v>
      </c>
      <c r="G36" s="1748">
        <v>2018</v>
      </c>
      <c r="H36" s="3452"/>
      <c r="I36" s="3455"/>
      <c r="J36" s="3421"/>
      <c r="K36" s="1133">
        <v>2014</v>
      </c>
      <c r="L36" s="3049">
        <v>2015</v>
      </c>
      <c r="M36" s="3049">
        <v>2016</v>
      </c>
      <c r="N36" s="3049">
        <v>2017</v>
      </c>
      <c r="O36" s="1748">
        <v>2018</v>
      </c>
      <c r="P36" s="3211"/>
      <c r="Q36" s="1747">
        <v>2015</v>
      </c>
      <c r="R36" s="3049">
        <v>2020</v>
      </c>
      <c r="S36" s="3049">
        <v>2025</v>
      </c>
      <c r="T36" s="3049">
        <v>2030</v>
      </c>
      <c r="U36" s="3049">
        <v>2035</v>
      </c>
      <c r="V36" s="3049">
        <v>2040</v>
      </c>
      <c r="W36" s="1747">
        <v>2045</v>
      </c>
      <c r="X36" s="1133" t="s">
        <v>604</v>
      </c>
      <c r="Y36" s="3049" t="s">
        <v>605</v>
      </c>
      <c r="Z36" s="3049" t="s">
        <v>606</v>
      </c>
      <c r="AA36" s="1745" t="s">
        <v>607</v>
      </c>
      <c r="AB36" s="3049" t="s">
        <v>608</v>
      </c>
      <c r="AC36" s="1135" t="s">
        <v>609</v>
      </c>
      <c r="AD36" s="3035">
        <v>2020</v>
      </c>
      <c r="AE36" s="1750">
        <v>2025</v>
      </c>
      <c r="AF36" s="1750">
        <v>2030</v>
      </c>
      <c r="AG36" s="3035">
        <v>2035</v>
      </c>
      <c r="AH36" s="1750">
        <v>2040</v>
      </c>
      <c r="AI36" s="3036">
        <v>2045</v>
      </c>
    </row>
    <row r="37" spans="1:35">
      <c r="A37" s="295" t="s">
        <v>46</v>
      </c>
      <c r="B37" s="296" t="s">
        <v>17</v>
      </c>
      <c r="C37" s="47">
        <v>0.12</v>
      </c>
      <c r="D37" s="181">
        <v>0.12</v>
      </c>
      <c r="E37" s="181">
        <v>0.11</v>
      </c>
      <c r="F37" s="181">
        <v>0.12</v>
      </c>
      <c r="G37" s="57">
        <v>0.12</v>
      </c>
      <c r="H37" s="47">
        <f t="shared" ref="H37:H43" si="90">AVERAGE(C37:G37)</f>
        <v>0.12</v>
      </c>
      <c r="I37" s="181">
        <f>G37</f>
        <v>0.12</v>
      </c>
      <c r="J37" s="43">
        <f t="shared" ref="J37:J39" si="91">(I37-H37)/H37</f>
        <v>0</v>
      </c>
      <c r="K37" s="168">
        <f>'Table 5a'!K100+'Table 6c'!K87+12433</f>
        <v>15066</v>
      </c>
      <c r="L37" s="249">
        <f>'Table 1'!E40</f>
        <v>14932</v>
      </c>
      <c r="M37" s="249">
        <f>'Table 5a'!M100+'Table 6c'!M87+12495</f>
        <v>15091</v>
      </c>
      <c r="N37" s="249">
        <f>'Table 5a'!N100+'Table 6c'!N87+12491</f>
        <v>15076</v>
      </c>
      <c r="O37" s="250">
        <f>'Table 5a'!O100+'Table 6c'!O87+12101</f>
        <v>14818</v>
      </c>
      <c r="P37" s="795">
        <f t="shared" ref="P37:P42" si="92">(C37+D37+E37+F37+G37)/(K37+L37+M37+N37+O37)*1000000</f>
        <v>8</v>
      </c>
      <c r="Q37" s="243">
        <f>'Table 1'!E40</f>
        <v>14932</v>
      </c>
      <c r="R37" s="249">
        <f>'Table 1'!J40</f>
        <v>15042</v>
      </c>
      <c r="S37" s="249">
        <f>'Table 1'!O40</f>
        <v>15242</v>
      </c>
      <c r="T37" s="249">
        <f>'Table 1'!T40</f>
        <v>15342</v>
      </c>
      <c r="U37" s="249">
        <f>'Table 1'!Y40</f>
        <v>15442</v>
      </c>
      <c r="V37" s="249">
        <f>'Table 1'!AD40</f>
        <v>15442</v>
      </c>
      <c r="W37" s="243">
        <f>'Table 1'!AI40</f>
        <v>15442</v>
      </c>
      <c r="X37" s="168">
        <f t="shared" ref="X37:X42" si="93">R37-Q37</f>
        <v>110</v>
      </c>
      <c r="Y37" s="249">
        <f t="shared" ref="Y37:Y42" si="94">S37-R37</f>
        <v>200</v>
      </c>
      <c r="Z37" s="249">
        <f t="shared" ref="Z37:Z42" si="95">T37-S37</f>
        <v>100</v>
      </c>
      <c r="AA37" s="249">
        <f t="shared" ref="AA37:AA42" si="96">U37-T37</f>
        <v>100</v>
      </c>
      <c r="AB37" s="249">
        <f t="shared" ref="AB37:AB42" si="97">V37-U37</f>
        <v>0</v>
      </c>
      <c r="AC37" s="291">
        <f t="shared" ref="AC37:AC42" si="98">W37-V37</f>
        <v>0</v>
      </c>
      <c r="AD37" s="1113">
        <f t="shared" ref="AD37:AI42" si="99">$P37*X37/1000000</f>
        <v>0</v>
      </c>
      <c r="AE37" s="181">
        <f t="shared" si="99"/>
        <v>0</v>
      </c>
      <c r="AF37" s="181">
        <f t="shared" si="99"/>
        <v>0</v>
      </c>
      <c r="AG37" s="1113">
        <f t="shared" si="99"/>
        <v>0</v>
      </c>
      <c r="AH37" s="181">
        <f t="shared" si="99"/>
        <v>0</v>
      </c>
      <c r="AI37" s="1107">
        <f t="shared" si="99"/>
        <v>0</v>
      </c>
    </row>
    <row r="38" spans="1:35">
      <c r="A38" s="364" t="s">
        <v>47</v>
      </c>
      <c r="B38" s="296" t="s">
        <v>17</v>
      </c>
      <c r="C38" s="823">
        <v>0.13</v>
      </c>
      <c r="D38" s="802">
        <v>0.09</v>
      </c>
      <c r="E38" s="802">
        <v>0.09</v>
      </c>
      <c r="F38" s="802">
        <v>0.09</v>
      </c>
      <c r="G38" s="1106">
        <v>0.09</v>
      </c>
      <c r="H38" s="823">
        <f t="shared" si="90"/>
        <v>0.1</v>
      </c>
      <c r="I38" s="802">
        <f>C38</f>
        <v>0.13</v>
      </c>
      <c r="J38" s="43">
        <f t="shared" si="91"/>
        <v>0.3</v>
      </c>
      <c r="K38" s="824">
        <f>'Table 5a'!K102+'Table 6c'!K89+2847</f>
        <v>3574</v>
      </c>
      <c r="L38" s="814">
        <f>'Table 1'!E41</f>
        <v>3557</v>
      </c>
      <c r="M38" s="814">
        <f>'Table 5a'!M102+'Table 6c'!M89+2846</f>
        <v>3554</v>
      </c>
      <c r="N38" s="814">
        <f>'Table 5a'!N102+'Table 6c'!N89+2796</f>
        <v>3552</v>
      </c>
      <c r="O38" s="813">
        <f>'Table 5a'!O102+'Table 6c'!O89+2818</f>
        <v>3600</v>
      </c>
      <c r="P38" s="796">
        <f t="shared" si="92"/>
        <v>27</v>
      </c>
      <c r="Q38" s="871">
        <f>'Table 1'!E41</f>
        <v>3557</v>
      </c>
      <c r="R38" s="872">
        <f>'Table 1'!J41</f>
        <v>3621</v>
      </c>
      <c r="S38" s="872">
        <f>'Table 1'!O41</f>
        <v>3701</v>
      </c>
      <c r="T38" s="872">
        <f>'Table 1'!T41</f>
        <v>3753</v>
      </c>
      <c r="U38" s="872">
        <f>'Table 1'!Y41</f>
        <v>3780</v>
      </c>
      <c r="V38" s="872">
        <f>'Table 1'!AD41</f>
        <v>3833</v>
      </c>
      <c r="W38" s="871">
        <f>'Table 1'!AI41</f>
        <v>3859</v>
      </c>
      <c r="X38" s="864">
        <f t="shared" si="93"/>
        <v>64</v>
      </c>
      <c r="Y38" s="872">
        <f t="shared" si="94"/>
        <v>80</v>
      </c>
      <c r="Z38" s="872">
        <f t="shared" si="95"/>
        <v>52</v>
      </c>
      <c r="AA38" s="872">
        <f t="shared" si="96"/>
        <v>27</v>
      </c>
      <c r="AB38" s="872">
        <f t="shared" si="97"/>
        <v>53</v>
      </c>
      <c r="AC38" s="995">
        <f t="shared" si="98"/>
        <v>26</v>
      </c>
      <c r="AD38" s="1112">
        <f t="shared" si="99"/>
        <v>0</v>
      </c>
      <c r="AE38" s="802">
        <f t="shared" si="99"/>
        <v>0</v>
      </c>
      <c r="AF38" s="802">
        <f t="shared" si="99"/>
        <v>0</v>
      </c>
      <c r="AG38" s="1112">
        <f t="shared" si="99"/>
        <v>0</v>
      </c>
      <c r="AH38" s="802">
        <f t="shared" si="99"/>
        <v>0</v>
      </c>
      <c r="AI38" s="1047">
        <f t="shared" si="99"/>
        <v>0</v>
      </c>
    </row>
    <row r="39" spans="1:35">
      <c r="A39" s="364" t="s">
        <v>48</v>
      </c>
      <c r="B39" s="907" t="s">
        <v>17</v>
      </c>
      <c r="C39" s="823">
        <v>0.06</v>
      </c>
      <c r="D39" s="802">
        <v>0.06</v>
      </c>
      <c r="E39" s="802">
        <v>0.06</v>
      </c>
      <c r="F39" s="802">
        <v>0.06</v>
      </c>
      <c r="G39" s="1106">
        <v>0.04</v>
      </c>
      <c r="H39" s="823">
        <f t="shared" si="90"/>
        <v>0.06</v>
      </c>
      <c r="I39" s="802">
        <f>C39</f>
        <v>0.06</v>
      </c>
      <c r="J39" s="988">
        <f t="shared" si="91"/>
        <v>0</v>
      </c>
      <c r="K39" s="864">
        <f>'Table 5a'!K104+5777</f>
        <v>6972</v>
      </c>
      <c r="L39" s="872">
        <f>'Table 1'!E42</f>
        <v>7017</v>
      </c>
      <c r="M39" s="872">
        <f>'Table 5a'!M104+5818</f>
        <v>7000</v>
      </c>
      <c r="N39" s="872">
        <f>'Table 5a'!N104+5902</f>
        <v>7085</v>
      </c>
      <c r="O39" s="873">
        <f>'Table 5a'!O104+5886</f>
        <v>7094</v>
      </c>
      <c r="P39" s="796">
        <f t="shared" si="92"/>
        <v>8</v>
      </c>
      <c r="Q39" s="871">
        <f>'Table 1'!E42</f>
        <v>7017</v>
      </c>
      <c r="R39" s="872">
        <f>'Table 1'!J42</f>
        <v>7509</v>
      </c>
      <c r="S39" s="872">
        <f>'Table 1'!O42</f>
        <v>7909</v>
      </c>
      <c r="T39" s="872">
        <f>'Table 1'!T42</f>
        <v>8209</v>
      </c>
      <c r="U39" s="872">
        <f>'Table 1'!Y42</f>
        <v>8509</v>
      </c>
      <c r="V39" s="872">
        <f>'Table 1'!AD42</f>
        <v>8709</v>
      </c>
      <c r="W39" s="871">
        <f>'Table 1'!AI42</f>
        <v>8909</v>
      </c>
      <c r="X39" s="864">
        <f t="shared" si="93"/>
        <v>492</v>
      </c>
      <c r="Y39" s="872">
        <f t="shared" si="94"/>
        <v>400</v>
      </c>
      <c r="Z39" s="872">
        <f t="shared" si="95"/>
        <v>300</v>
      </c>
      <c r="AA39" s="872">
        <f t="shared" si="96"/>
        <v>300</v>
      </c>
      <c r="AB39" s="872">
        <f t="shared" si="97"/>
        <v>200</v>
      </c>
      <c r="AC39" s="995">
        <f t="shared" si="98"/>
        <v>200</v>
      </c>
      <c r="AD39" s="1112">
        <f t="shared" si="99"/>
        <v>0</v>
      </c>
      <c r="AE39" s="802">
        <f t="shared" si="99"/>
        <v>0</v>
      </c>
      <c r="AF39" s="802">
        <f t="shared" si="99"/>
        <v>0</v>
      </c>
      <c r="AG39" s="1112">
        <f t="shared" si="99"/>
        <v>0</v>
      </c>
      <c r="AH39" s="802">
        <f t="shared" si="99"/>
        <v>0</v>
      </c>
      <c r="AI39" s="1047">
        <f t="shared" si="99"/>
        <v>0</v>
      </c>
    </row>
    <row r="40" spans="1:35">
      <c r="A40" s="295" t="s">
        <v>49</v>
      </c>
      <c r="B40" s="296" t="s">
        <v>17</v>
      </c>
      <c r="C40" s="47">
        <v>0.22</v>
      </c>
      <c r="D40" s="181">
        <v>0.21</v>
      </c>
      <c r="E40" s="181">
        <v>0.2</v>
      </c>
      <c r="F40" s="181">
        <v>0.18</v>
      </c>
      <c r="G40" s="57">
        <v>0.16</v>
      </c>
      <c r="H40" s="47">
        <f t="shared" si="90"/>
        <v>0.19</v>
      </c>
      <c r="I40" s="181">
        <f>C40</f>
        <v>0.22</v>
      </c>
      <c r="J40" s="43">
        <f>(I40-H40)/H40</f>
        <v>0.16</v>
      </c>
      <c r="K40" s="72">
        <f>'Table 5a'!K109+'Table 6c'!K96+11257</f>
        <v>18289</v>
      </c>
      <c r="L40" s="76">
        <f>'Table 1'!E43</f>
        <v>18287</v>
      </c>
      <c r="M40" s="76">
        <f>'Table 5a'!M109+'Table 6c'!M96+11297</f>
        <v>18325</v>
      </c>
      <c r="N40" s="76">
        <f>'Table 5a'!N109+'Table 6c'!N96+11525</f>
        <v>18643</v>
      </c>
      <c r="O40" s="335">
        <f>'Table 5a'!O109+'Table 6c'!O96+11166</f>
        <v>18337</v>
      </c>
      <c r="P40" s="795">
        <f t="shared" si="92"/>
        <v>11</v>
      </c>
      <c r="Q40" s="243">
        <f>'Table 1'!E43</f>
        <v>18287</v>
      </c>
      <c r="R40" s="249">
        <f>'Table 1'!J43</f>
        <v>18581</v>
      </c>
      <c r="S40" s="249">
        <f>'Table 1'!O43</f>
        <v>19072</v>
      </c>
      <c r="T40" s="249">
        <f>'Table 1'!T43</f>
        <v>19474</v>
      </c>
      <c r="U40" s="249">
        <f>'Table 1'!Y43</f>
        <v>19787</v>
      </c>
      <c r="V40" s="249">
        <f>'Table 1'!AD43</f>
        <v>20055</v>
      </c>
      <c r="W40" s="243">
        <f>'Table 1'!AI43</f>
        <v>20323</v>
      </c>
      <c r="X40" s="168">
        <f t="shared" si="93"/>
        <v>294</v>
      </c>
      <c r="Y40" s="249">
        <f t="shared" si="94"/>
        <v>491</v>
      </c>
      <c r="Z40" s="249">
        <f t="shared" si="95"/>
        <v>402</v>
      </c>
      <c r="AA40" s="249">
        <f t="shared" si="96"/>
        <v>313</v>
      </c>
      <c r="AB40" s="249">
        <f t="shared" si="97"/>
        <v>268</v>
      </c>
      <c r="AC40" s="291">
        <f t="shared" si="98"/>
        <v>268</v>
      </c>
      <c r="AD40" s="1113">
        <f t="shared" si="99"/>
        <v>0</v>
      </c>
      <c r="AE40" s="181">
        <f t="shared" si="99"/>
        <v>0.01</v>
      </c>
      <c r="AF40" s="181">
        <f t="shared" si="99"/>
        <v>0</v>
      </c>
      <c r="AG40" s="1113">
        <f t="shared" si="99"/>
        <v>0</v>
      </c>
      <c r="AH40" s="181">
        <f t="shared" si="99"/>
        <v>0</v>
      </c>
      <c r="AI40" s="1107">
        <f t="shared" si="99"/>
        <v>0</v>
      </c>
    </row>
    <row r="41" spans="1:35">
      <c r="A41" s="364" t="s">
        <v>50</v>
      </c>
      <c r="B41" s="907" t="s">
        <v>17</v>
      </c>
      <c r="C41" s="823">
        <v>0.34</v>
      </c>
      <c r="D41" s="802">
        <v>0.32</v>
      </c>
      <c r="E41" s="802">
        <v>0.31</v>
      </c>
      <c r="F41" s="802">
        <v>0.31</v>
      </c>
      <c r="G41" s="1106">
        <v>0.31</v>
      </c>
      <c r="H41" s="823">
        <f t="shared" si="90"/>
        <v>0.32</v>
      </c>
      <c r="I41" s="802">
        <f>C41</f>
        <v>0.34</v>
      </c>
      <c r="J41" s="988">
        <f>(I41-H41)/H41</f>
        <v>0.06</v>
      </c>
      <c r="K41" s="824">
        <f>'Table 5a'!K114+'Table 6c'!K99+12083</f>
        <v>17663</v>
      </c>
      <c r="L41" s="814">
        <f>'Table 1'!E44</f>
        <v>17615</v>
      </c>
      <c r="M41" s="814">
        <f>'Table 5a'!M114+'Table 6c'!M99+12192</f>
        <v>17713</v>
      </c>
      <c r="N41" s="814">
        <f>'Table 5a'!N114+'Table 6c'!N99+12219</f>
        <v>17704</v>
      </c>
      <c r="O41" s="813">
        <f>'Table 5a'!O114+'Table 6c'!O99+12002</f>
        <v>17812</v>
      </c>
      <c r="P41" s="796">
        <f t="shared" si="92"/>
        <v>18</v>
      </c>
      <c r="Q41" s="871">
        <f>'Table 1'!E44</f>
        <v>17615</v>
      </c>
      <c r="R41" s="872">
        <f>'Table 1'!J44</f>
        <v>17812</v>
      </c>
      <c r="S41" s="872">
        <f>'Table 1'!O44</f>
        <v>18112</v>
      </c>
      <c r="T41" s="872">
        <f>'Table 1'!T44</f>
        <v>18312</v>
      </c>
      <c r="U41" s="872">
        <f>'Table 1'!Y44</f>
        <v>18412</v>
      </c>
      <c r="V41" s="872">
        <f>'Table 1'!AD44</f>
        <v>18612</v>
      </c>
      <c r="W41" s="871">
        <f>'Table 1'!AI44</f>
        <v>18712</v>
      </c>
      <c r="X41" s="864">
        <f t="shared" si="93"/>
        <v>197</v>
      </c>
      <c r="Y41" s="872">
        <f t="shared" si="94"/>
        <v>300</v>
      </c>
      <c r="Z41" s="872">
        <f t="shared" si="95"/>
        <v>200</v>
      </c>
      <c r="AA41" s="872">
        <f t="shared" si="96"/>
        <v>100</v>
      </c>
      <c r="AB41" s="872">
        <f t="shared" si="97"/>
        <v>200</v>
      </c>
      <c r="AC41" s="995">
        <f t="shared" si="98"/>
        <v>100</v>
      </c>
      <c r="AD41" s="1112">
        <f t="shared" si="99"/>
        <v>0</v>
      </c>
      <c r="AE41" s="802">
        <f t="shared" si="99"/>
        <v>0.01</v>
      </c>
      <c r="AF41" s="802">
        <f t="shared" si="99"/>
        <v>0</v>
      </c>
      <c r="AG41" s="1112">
        <f t="shared" si="99"/>
        <v>0</v>
      </c>
      <c r="AH41" s="802">
        <f t="shared" si="99"/>
        <v>0</v>
      </c>
      <c r="AI41" s="1047">
        <f t="shared" si="99"/>
        <v>0</v>
      </c>
    </row>
    <row r="42" spans="1:35" ht="13.5" thickBot="1">
      <c r="A42" s="1037" t="s">
        <v>51</v>
      </c>
      <c r="B42" s="275" t="s">
        <v>17</v>
      </c>
      <c r="C42" s="48">
        <v>0.28000000000000003</v>
      </c>
      <c r="D42" s="712">
        <v>0.35</v>
      </c>
      <c r="E42" s="712">
        <v>0.32</v>
      </c>
      <c r="F42" s="712">
        <v>0.31</v>
      </c>
      <c r="G42" s="692">
        <v>0.31</v>
      </c>
      <c r="H42" s="48">
        <f t="shared" si="90"/>
        <v>0.31</v>
      </c>
      <c r="I42" s="712">
        <f>D42</f>
        <v>0.35</v>
      </c>
      <c r="J42" s="720">
        <f>(I42-H42)/H42</f>
        <v>0.13</v>
      </c>
      <c r="K42" s="1104">
        <f>'Table 5a'!K118+'Table 6c'!K102+8462</f>
        <v>19760</v>
      </c>
      <c r="L42" s="1105">
        <f>'Table 1'!E45</f>
        <v>19766</v>
      </c>
      <c r="M42" s="1105">
        <f>'Table 5a'!M118+'Table 6c'!M102+8572</f>
        <v>19698</v>
      </c>
      <c r="N42" s="1105">
        <f>'Table 5a'!N118+'Table 6c'!N102+8753</f>
        <v>19866</v>
      </c>
      <c r="O42" s="369">
        <f>'Table 5a'!O118+'Table 6c'!O102+8488</f>
        <v>20068</v>
      </c>
      <c r="P42" s="704">
        <f t="shared" si="92"/>
        <v>16</v>
      </c>
      <c r="Q42" s="801">
        <f>'Table 1'!E45</f>
        <v>19766</v>
      </c>
      <c r="R42" s="368">
        <f>'Table 1'!J45</f>
        <v>20378</v>
      </c>
      <c r="S42" s="368">
        <f>'Table 1'!O45</f>
        <v>20978</v>
      </c>
      <c r="T42" s="368">
        <f>'Table 1'!T45</f>
        <v>21378</v>
      </c>
      <c r="U42" s="368">
        <f>'Table 1'!Y45</f>
        <v>21778</v>
      </c>
      <c r="V42" s="368">
        <f>'Table 1'!AD45</f>
        <v>22078</v>
      </c>
      <c r="W42" s="801">
        <f>'Table 1'!AI45</f>
        <v>22478</v>
      </c>
      <c r="X42" s="861">
        <f t="shared" si="93"/>
        <v>612</v>
      </c>
      <c r="Y42" s="368">
        <f t="shared" si="94"/>
        <v>600</v>
      </c>
      <c r="Z42" s="368">
        <f t="shared" si="95"/>
        <v>400</v>
      </c>
      <c r="AA42" s="368">
        <f t="shared" si="96"/>
        <v>400</v>
      </c>
      <c r="AB42" s="368">
        <f t="shared" si="97"/>
        <v>300</v>
      </c>
      <c r="AC42" s="1011">
        <f t="shared" si="98"/>
        <v>400</v>
      </c>
      <c r="AD42" s="1114">
        <f t="shared" si="99"/>
        <v>0.01</v>
      </c>
      <c r="AE42" s="712">
        <f t="shared" si="99"/>
        <v>0.01</v>
      </c>
      <c r="AF42" s="712">
        <f t="shared" si="99"/>
        <v>0.01</v>
      </c>
      <c r="AG42" s="1114">
        <f t="shared" si="99"/>
        <v>0.01</v>
      </c>
      <c r="AH42" s="712">
        <f t="shared" si="99"/>
        <v>0</v>
      </c>
      <c r="AI42" s="1108">
        <f t="shared" si="99"/>
        <v>0.01</v>
      </c>
    </row>
    <row r="43" spans="1:35" s="22" customFormat="1" ht="26.25" customHeight="1" thickTop="1" thickBot="1">
      <c r="A43" s="3453" t="s">
        <v>52</v>
      </c>
      <c r="B43" s="3454"/>
      <c r="C43" s="184">
        <f>SUM(C37:C42)</f>
        <v>1.1499999999999999</v>
      </c>
      <c r="D43" s="721">
        <f t="shared" ref="D43:G43" si="100">SUM(D37:D42)</f>
        <v>1.1499999999999999</v>
      </c>
      <c r="E43" s="721">
        <f t="shared" si="100"/>
        <v>1.0900000000000001</v>
      </c>
      <c r="F43" s="721">
        <f t="shared" si="100"/>
        <v>1.07</v>
      </c>
      <c r="G43" s="21">
        <f t="shared" si="100"/>
        <v>1.03</v>
      </c>
      <c r="H43" s="34">
        <f t="shared" si="90"/>
        <v>1.1000000000000001</v>
      </c>
      <c r="I43" s="303">
        <f>C43</f>
        <v>1.1499999999999999</v>
      </c>
      <c r="J43" s="44">
        <f>(I43-H43)/H43</f>
        <v>0.05</v>
      </c>
      <c r="K43" s="1115">
        <f t="shared" ref="K43:AH43" si="101">SUM(K37:K42)</f>
        <v>81324</v>
      </c>
      <c r="L43" s="96">
        <f t="shared" si="101"/>
        <v>81174</v>
      </c>
      <c r="M43" s="96">
        <f t="shared" si="101"/>
        <v>81381</v>
      </c>
      <c r="N43" s="96">
        <f t="shared" si="101"/>
        <v>81926</v>
      </c>
      <c r="O43" s="97">
        <f t="shared" si="101"/>
        <v>81729</v>
      </c>
      <c r="P43" s="1118" t="s">
        <v>16</v>
      </c>
      <c r="Q43" s="213">
        <f t="shared" si="101"/>
        <v>81174</v>
      </c>
      <c r="R43" s="251">
        <f t="shared" si="101"/>
        <v>82943</v>
      </c>
      <c r="S43" s="251">
        <f t="shared" si="101"/>
        <v>85014</v>
      </c>
      <c r="T43" s="251">
        <f t="shared" si="101"/>
        <v>86468</v>
      </c>
      <c r="U43" s="251">
        <f t="shared" si="101"/>
        <v>87708</v>
      </c>
      <c r="V43" s="251">
        <f t="shared" si="101"/>
        <v>88729</v>
      </c>
      <c r="W43" s="213">
        <f t="shared" si="101"/>
        <v>89723</v>
      </c>
      <c r="X43" s="1115">
        <f t="shared" si="101"/>
        <v>1769</v>
      </c>
      <c r="Y43" s="96">
        <f t="shared" si="101"/>
        <v>2071</v>
      </c>
      <c r="Z43" s="96">
        <f t="shared" si="101"/>
        <v>1454</v>
      </c>
      <c r="AA43" s="96">
        <f t="shared" si="101"/>
        <v>1240</v>
      </c>
      <c r="AB43" s="96">
        <f t="shared" si="101"/>
        <v>1021</v>
      </c>
      <c r="AC43" s="97">
        <f t="shared" si="101"/>
        <v>994</v>
      </c>
      <c r="AD43" s="161">
        <f t="shared" si="101"/>
        <v>0.01</v>
      </c>
      <c r="AE43" s="1111">
        <f t="shared" si="101"/>
        <v>0.03</v>
      </c>
      <c r="AF43" s="1111">
        <f t="shared" si="101"/>
        <v>0.01</v>
      </c>
      <c r="AG43" s="161">
        <f t="shared" si="101"/>
        <v>0.01</v>
      </c>
      <c r="AH43" s="774">
        <f t="shared" si="101"/>
        <v>0</v>
      </c>
      <c r="AI43" s="1110">
        <f t="shared" ref="AI43" si="102">SUM(AI37:AI42)</f>
        <v>0.01</v>
      </c>
    </row>
    <row r="44" spans="1:35">
      <c r="A44" s="89" t="s">
        <v>35</v>
      </c>
    </row>
    <row r="45" spans="1:35">
      <c r="A45" s="1" t="s">
        <v>68</v>
      </c>
      <c r="M45" s="1" t="s">
        <v>36</v>
      </c>
      <c r="AB45" s="1" t="s">
        <v>36</v>
      </c>
    </row>
    <row r="46" spans="1:35">
      <c r="A46" s="1" t="s">
        <v>69</v>
      </c>
      <c r="P46" s="1" t="s">
        <v>36</v>
      </c>
    </row>
    <row r="47" spans="1:35">
      <c r="A47" s="1" t="s">
        <v>610</v>
      </c>
      <c r="M47" s="1" t="s">
        <v>36</v>
      </c>
    </row>
    <row r="48" spans="1:35">
      <c r="A48" s="2" t="s">
        <v>611</v>
      </c>
    </row>
    <row r="49" spans="1:1">
      <c r="A49" s="1" t="s">
        <v>612</v>
      </c>
    </row>
  </sheetData>
  <mergeCells count="26">
    <mergeCell ref="AD2:AI2"/>
    <mergeCell ref="B35:B36"/>
    <mergeCell ref="C35:G35"/>
    <mergeCell ref="I35:I36"/>
    <mergeCell ref="J35:J36"/>
    <mergeCell ref="K35:O35"/>
    <mergeCell ref="P35:P36"/>
    <mergeCell ref="X35:AC35"/>
    <mergeCell ref="AD35:AI35"/>
    <mergeCell ref="C2:G2"/>
    <mergeCell ref="K2:O2"/>
    <mergeCell ref="P2:P3"/>
    <mergeCell ref="Q35:W35"/>
    <mergeCell ref="A26:B26"/>
    <mergeCell ref="A35:A36"/>
    <mergeCell ref="H35:H36"/>
    <mergeCell ref="H2:H3"/>
    <mergeCell ref="A43:B43"/>
    <mergeCell ref="X2:AC2"/>
    <mergeCell ref="I2:I3"/>
    <mergeCell ref="J2:J3"/>
    <mergeCell ref="A24:B24"/>
    <mergeCell ref="A25:B25"/>
    <mergeCell ref="Q2:W2"/>
    <mergeCell ref="A2:A3"/>
    <mergeCell ref="B2:B3"/>
  </mergeCells>
  <pageMargins left="0.7" right="0.7" top="0.75" bottom="0.75" header="0.3" footer="0.3"/>
  <pageSetup paperSize="3" scale="5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51"/>
  <sheetViews>
    <sheetView workbookViewId="0">
      <selection activeCell="B20" sqref="B20"/>
    </sheetView>
  </sheetViews>
  <sheetFormatPr defaultColWidth="9.140625" defaultRowHeight="12.75"/>
  <cols>
    <col min="1" max="1" width="14.7109375" style="1" customWidth="1"/>
    <col min="2" max="2" width="11.7109375" style="1" customWidth="1"/>
    <col min="3" max="23" width="10.140625" style="1" customWidth="1"/>
    <col min="24" max="24" width="11.28515625" style="1" customWidth="1"/>
    <col min="25" max="25" width="10.140625" style="1" customWidth="1"/>
    <col min="26" max="26" width="10.28515625" style="1" hidden="1" customWidth="1"/>
    <col min="27" max="27" width="10.7109375" style="1" customWidth="1"/>
    <col min="28" max="28" width="11" style="1" customWidth="1"/>
    <col min="29" max="29" width="9.140625" style="1"/>
    <col min="30" max="30" width="11.42578125" style="1" customWidth="1"/>
    <col min="31" max="31" width="12.85546875" style="1" customWidth="1"/>
    <col min="32" max="16384" width="9.140625" style="1"/>
  </cols>
  <sheetData>
    <row r="1" spans="1:26" ht="27" customHeight="1" thickBot="1">
      <c r="A1" s="3224" t="s">
        <v>614</v>
      </c>
      <c r="B1" s="3224"/>
      <c r="C1" s="3224"/>
      <c r="D1" s="3224"/>
      <c r="E1" s="3224"/>
      <c r="F1" s="3224"/>
      <c r="G1" s="3224"/>
      <c r="H1" s="3224"/>
      <c r="I1" s="3224"/>
      <c r="J1" s="3224"/>
      <c r="K1" s="3224"/>
      <c r="L1" s="3224"/>
      <c r="M1" s="3224"/>
      <c r="N1" s="3224"/>
      <c r="O1" s="3224"/>
      <c r="P1" s="3224"/>
      <c r="Q1" s="3224"/>
      <c r="R1" s="3224"/>
      <c r="S1" s="3224"/>
      <c r="T1" s="3224"/>
      <c r="U1" s="3224"/>
      <c r="V1" s="3224"/>
      <c r="W1" s="3224"/>
      <c r="X1" s="3224"/>
      <c r="Y1" s="256"/>
      <c r="Z1" s="256"/>
    </row>
    <row r="2" spans="1:26" ht="15.75" customHeight="1" thickBot="1">
      <c r="A2" s="3204" t="s">
        <v>1</v>
      </c>
      <c r="B2" s="3206" t="s">
        <v>2</v>
      </c>
      <c r="C2" s="3221" t="s">
        <v>55</v>
      </c>
      <c r="D2" s="3222"/>
      <c r="E2" s="3223"/>
      <c r="F2" s="3221" t="s">
        <v>56</v>
      </c>
      <c r="G2" s="3222"/>
      <c r="H2" s="3222"/>
      <c r="I2" s="3222"/>
      <c r="J2" s="3222"/>
      <c r="K2" s="3222"/>
      <c r="L2" s="3222"/>
      <c r="M2" s="3222"/>
      <c r="N2" s="3222"/>
      <c r="O2" s="3222"/>
      <c r="P2" s="3222"/>
      <c r="Q2" s="3222"/>
      <c r="R2" s="3222"/>
      <c r="S2" s="3222"/>
      <c r="T2" s="3222"/>
      <c r="U2" s="3222"/>
      <c r="V2" s="3222"/>
      <c r="W2" s="3223"/>
      <c r="X2" s="3209" t="s">
        <v>57</v>
      </c>
      <c r="Z2" s="3209" t="s">
        <v>80</v>
      </c>
    </row>
    <row r="3" spans="1:26" ht="15" customHeight="1">
      <c r="A3" s="3205"/>
      <c r="B3" s="3207"/>
      <c r="C3" s="3212">
        <v>2015</v>
      </c>
      <c r="D3" s="3213"/>
      <c r="E3" s="3215"/>
      <c r="F3" s="3219">
        <v>2020</v>
      </c>
      <c r="G3" s="3213"/>
      <c r="H3" s="3214"/>
      <c r="I3" s="3212">
        <v>2025</v>
      </c>
      <c r="J3" s="3213"/>
      <c r="K3" s="3215"/>
      <c r="L3" s="3216">
        <v>2030</v>
      </c>
      <c r="M3" s="3217"/>
      <c r="N3" s="3218"/>
      <c r="O3" s="3417">
        <v>2035</v>
      </c>
      <c r="P3" s="3418"/>
      <c r="Q3" s="3419"/>
      <c r="R3" s="3212">
        <v>2040</v>
      </c>
      <c r="S3" s="3213"/>
      <c r="T3" s="3214"/>
      <c r="U3" s="3212">
        <v>2045</v>
      </c>
      <c r="V3" s="3213"/>
      <c r="W3" s="3214"/>
      <c r="X3" s="3228"/>
      <c r="Z3" s="3228"/>
    </row>
    <row r="4" spans="1:26" s="2" customFormat="1" ht="15.75" customHeight="1" thickBot="1">
      <c r="A4" s="3485"/>
      <c r="B4" s="3208"/>
      <c r="C4" s="1655" t="s">
        <v>60</v>
      </c>
      <c r="D4" s="1017" t="s">
        <v>61</v>
      </c>
      <c r="E4" s="1659" t="s">
        <v>18</v>
      </c>
      <c r="F4" s="1669" t="s">
        <v>60</v>
      </c>
      <c r="G4" s="1657" t="s">
        <v>61</v>
      </c>
      <c r="H4" s="1661" t="s">
        <v>18</v>
      </c>
      <c r="I4" s="1655" t="s">
        <v>60</v>
      </c>
      <c r="J4" s="1017" t="s">
        <v>61</v>
      </c>
      <c r="K4" s="1659" t="s">
        <v>18</v>
      </c>
      <c r="L4" s="1655" t="s">
        <v>60</v>
      </c>
      <c r="M4" s="1657" t="s">
        <v>61</v>
      </c>
      <c r="N4" s="1658" t="s">
        <v>18</v>
      </c>
      <c r="O4" s="1669" t="s">
        <v>60</v>
      </c>
      <c r="P4" s="1017" t="s">
        <v>61</v>
      </c>
      <c r="Q4" s="1659" t="s">
        <v>18</v>
      </c>
      <c r="R4" s="1655" t="s">
        <v>60</v>
      </c>
      <c r="S4" s="1017" t="s">
        <v>61</v>
      </c>
      <c r="T4" s="1656" t="s">
        <v>18</v>
      </c>
      <c r="U4" s="1655" t="s">
        <v>60</v>
      </c>
      <c r="V4" s="1017" t="s">
        <v>61</v>
      </c>
      <c r="W4" s="1656" t="s">
        <v>18</v>
      </c>
      <c r="X4" s="3211"/>
      <c r="Z4" s="3464"/>
    </row>
    <row r="5" spans="1:26">
      <c r="A5" s="443" t="s">
        <v>278</v>
      </c>
      <c r="B5" s="1672" t="s">
        <v>15</v>
      </c>
      <c r="C5" s="158">
        <f>E5-D5</f>
        <v>0.11</v>
      </c>
      <c r="D5" s="354">
        <v>0</v>
      </c>
      <c r="E5" s="315">
        <f>'Table 9a'!D4</f>
        <v>0.11</v>
      </c>
      <c r="F5" s="569">
        <f>H5-G5</f>
        <v>0.12</v>
      </c>
      <c r="G5" s="355">
        <f>($D5/$E5)*H5</f>
        <v>0</v>
      </c>
      <c r="H5" s="317">
        <f>E5+'Table 9a'!AA4</f>
        <v>0.12</v>
      </c>
      <c r="I5" s="158">
        <f>K5-J5</f>
        <v>0.12</v>
      </c>
      <c r="J5" s="354">
        <f>($D5/$E5)*K5</f>
        <v>0</v>
      </c>
      <c r="K5" s="315">
        <f>H5+'Table 9a'!AB4</f>
        <v>0.12</v>
      </c>
      <c r="L5" s="158">
        <f>N5-M5</f>
        <v>0.12</v>
      </c>
      <c r="M5" s="355">
        <f>($D5/$E5)*N5</f>
        <v>0</v>
      </c>
      <c r="N5" s="353">
        <f>K5+'Table 9a'!AC4</f>
        <v>0.12</v>
      </c>
      <c r="O5" s="591">
        <f>Q5-P5</f>
        <v>0.12</v>
      </c>
      <c r="P5" s="460">
        <f>($D5/$E5)*Q5</f>
        <v>0</v>
      </c>
      <c r="Q5" s="449">
        <f>N5+'Table 9a'!AD4</f>
        <v>0.12</v>
      </c>
      <c r="R5" s="444">
        <f>T5-S5</f>
        <v>0.12</v>
      </c>
      <c r="S5" s="445">
        <f>($D5/$E5)*T5</f>
        <v>0</v>
      </c>
      <c r="T5" s="449">
        <f>Q5+'Table 9a'!AE4</f>
        <v>0.12</v>
      </c>
      <c r="U5" s="444">
        <f>W5-V5</f>
        <v>0.12</v>
      </c>
      <c r="V5" s="445">
        <f>($D5/$E5)*W5</f>
        <v>0</v>
      </c>
      <c r="W5" s="449">
        <f>T5+'Table 9a'!AF4</f>
        <v>0.12</v>
      </c>
      <c r="X5" s="314">
        <f>(W5-E5)/E5</f>
        <v>0.09</v>
      </c>
      <c r="Z5" s="1597">
        <f>W5-E5</f>
        <v>0.01</v>
      </c>
    </row>
    <row r="6" spans="1:26" ht="13.5" thickBot="1">
      <c r="A6" s="579" t="s">
        <v>278</v>
      </c>
      <c r="B6" s="1850" t="s">
        <v>17</v>
      </c>
      <c r="C6" s="18">
        <f>E6-D6</f>
        <v>0.36</v>
      </c>
      <c r="D6" s="410">
        <v>0</v>
      </c>
      <c r="E6" s="50">
        <f>'Table 9a'!D5</f>
        <v>0.36</v>
      </c>
      <c r="F6" s="875">
        <f>H6-G6</f>
        <v>0.42</v>
      </c>
      <c r="G6" s="412">
        <f>($D6/$E6)*H6</f>
        <v>0</v>
      </c>
      <c r="H6" s="1150">
        <f>E6+'Table 9a'!AA5</f>
        <v>0.42</v>
      </c>
      <c r="I6" s="18">
        <f>K6-J6</f>
        <v>0.46</v>
      </c>
      <c r="J6" s="410">
        <f>($D6/$E6)*K6</f>
        <v>0</v>
      </c>
      <c r="K6" s="50">
        <f>H6+'Table 9a'!AB5</f>
        <v>0.46</v>
      </c>
      <c r="L6" s="18">
        <f>N6-M6</f>
        <v>0.5</v>
      </c>
      <c r="M6" s="412">
        <f>($D6/$E6)*N6</f>
        <v>0</v>
      </c>
      <c r="N6" s="876">
        <f>K6+'Table 9a'!AC5</f>
        <v>0.5</v>
      </c>
      <c r="O6" s="1137">
        <f>Q6-P6</f>
        <v>0.55000000000000004</v>
      </c>
      <c r="P6" s="562">
        <f>($D6/$E6)*Q6</f>
        <v>0</v>
      </c>
      <c r="Q6" s="523">
        <f>N6+'Table 9a'!AD5</f>
        <v>0.55000000000000004</v>
      </c>
      <c r="R6" s="467">
        <f>T6-S6</f>
        <v>0.57999999999999996</v>
      </c>
      <c r="S6" s="531">
        <f>($D6/$E6)*T6</f>
        <v>0</v>
      </c>
      <c r="T6" s="523">
        <f>Q6+'Table 9a'!AE5</f>
        <v>0.57999999999999996</v>
      </c>
      <c r="U6" s="467">
        <f>W6-V6</f>
        <v>0.61</v>
      </c>
      <c r="V6" s="531">
        <f>($D6/$E6)*W6</f>
        <v>0</v>
      </c>
      <c r="W6" s="523">
        <f>T6+'Table 9a'!AF5</f>
        <v>0.61</v>
      </c>
      <c r="X6" s="312">
        <f t="shared" ref="X6:X27" si="0">(W6-E6)/E6</f>
        <v>0.69</v>
      </c>
      <c r="Z6" s="1741">
        <f t="shared" ref="Z6:Z27" si="1">W6-E6</f>
        <v>0.25</v>
      </c>
    </row>
    <row r="7" spans="1:26" ht="14.25" thickTop="1" thickBot="1">
      <c r="A7" s="476" t="s">
        <v>14</v>
      </c>
      <c r="B7" s="3020" t="s">
        <v>18</v>
      </c>
      <c r="C7" s="356">
        <f>SUM(C5:C6)</f>
        <v>0.47</v>
      </c>
      <c r="D7" s="318">
        <f t="shared" ref="D7:W7" si="2">SUM(D5:D6)</f>
        <v>0</v>
      </c>
      <c r="E7" s="315">
        <f t="shared" si="2"/>
        <v>0.47</v>
      </c>
      <c r="F7" s="586">
        <f t="shared" si="2"/>
        <v>0.54</v>
      </c>
      <c r="G7" s="316">
        <f t="shared" si="2"/>
        <v>0</v>
      </c>
      <c r="H7" s="317">
        <f t="shared" si="2"/>
        <v>0.54</v>
      </c>
      <c r="I7" s="356">
        <f t="shared" si="2"/>
        <v>0.57999999999999996</v>
      </c>
      <c r="J7" s="318">
        <f t="shared" si="2"/>
        <v>0</v>
      </c>
      <c r="K7" s="315">
        <f t="shared" si="2"/>
        <v>0.57999999999999996</v>
      </c>
      <c r="L7" s="356">
        <f t="shared" si="2"/>
        <v>0.62</v>
      </c>
      <c r="M7" s="316">
        <f t="shared" si="2"/>
        <v>0</v>
      </c>
      <c r="N7" s="353">
        <f t="shared" si="2"/>
        <v>0.62</v>
      </c>
      <c r="O7" s="587">
        <f t="shared" si="2"/>
        <v>0.67</v>
      </c>
      <c r="P7" s="483">
        <f t="shared" si="2"/>
        <v>0</v>
      </c>
      <c r="Q7" s="484">
        <f t="shared" si="2"/>
        <v>0.67</v>
      </c>
      <c r="R7" s="482">
        <f t="shared" si="2"/>
        <v>0.7</v>
      </c>
      <c r="S7" s="483">
        <f>SUM(S5:S6)</f>
        <v>0</v>
      </c>
      <c r="T7" s="484">
        <f t="shared" si="2"/>
        <v>0.7</v>
      </c>
      <c r="U7" s="482">
        <f t="shared" ref="U7" si="3">SUM(U5:U6)</f>
        <v>0.73</v>
      </c>
      <c r="V7" s="483">
        <f>SUM(V5:V6)</f>
        <v>0</v>
      </c>
      <c r="W7" s="484">
        <f t="shared" si="2"/>
        <v>0.73</v>
      </c>
      <c r="X7" s="311">
        <f t="shared" si="0"/>
        <v>0.55000000000000004</v>
      </c>
      <c r="Y7" s="22"/>
      <c r="Z7" s="1596">
        <f t="shared" si="1"/>
        <v>0.26</v>
      </c>
    </row>
    <row r="8" spans="1:26">
      <c r="A8" s="475" t="s">
        <v>294</v>
      </c>
      <c r="B8" s="509" t="s">
        <v>15</v>
      </c>
      <c r="C8" s="151">
        <f t="shared" ref="C8:C9" si="4">E8-D8</f>
        <v>0.15</v>
      </c>
      <c r="D8" s="113">
        <v>0.27</v>
      </c>
      <c r="E8" s="146">
        <f>'Table 9a'!D7</f>
        <v>0.42</v>
      </c>
      <c r="F8" s="442">
        <f>H8-G8</f>
        <v>0.15</v>
      </c>
      <c r="G8" s="123">
        <f>($D8/$E8)*H8</f>
        <v>0.28000000000000003</v>
      </c>
      <c r="H8" s="654">
        <f>E8+'Table 9a'!AA7</f>
        <v>0.43</v>
      </c>
      <c r="I8" s="151">
        <f>K8-J8</f>
        <v>0.16</v>
      </c>
      <c r="J8" s="113">
        <f>($D8/$E8)*K8</f>
        <v>0.28999999999999998</v>
      </c>
      <c r="K8" s="146">
        <f>H8+'Table 9a'!AB7</f>
        <v>0.45</v>
      </c>
      <c r="L8" s="151">
        <f>N8-M8</f>
        <v>0.17</v>
      </c>
      <c r="M8" s="123">
        <f>($D8/$E8)*N8</f>
        <v>0.3</v>
      </c>
      <c r="N8" s="152">
        <f>K8+'Table 9a'!AC7</f>
        <v>0.47</v>
      </c>
      <c r="O8" s="588">
        <f>Q8-P8</f>
        <v>0.17</v>
      </c>
      <c r="P8" s="465">
        <f>($D8/$E8)*Q8</f>
        <v>0.31</v>
      </c>
      <c r="Q8" s="520">
        <f>N8+'Table 9a'!AD7</f>
        <v>0.48</v>
      </c>
      <c r="R8" s="464">
        <f>T8-S8</f>
        <v>0.17</v>
      </c>
      <c r="S8" s="465">
        <f>($D8/$E8)*T8</f>
        <v>0.32</v>
      </c>
      <c r="T8" s="520">
        <f>Q8+'Table 9a'!AE7</f>
        <v>0.49</v>
      </c>
      <c r="U8" s="464">
        <f>W8-V8</f>
        <v>0.18</v>
      </c>
      <c r="V8" s="465">
        <f>($D8/$E8)*W8</f>
        <v>0.32</v>
      </c>
      <c r="W8" s="520">
        <f>T8+'Table 9a'!AF7</f>
        <v>0.5</v>
      </c>
      <c r="X8" s="220">
        <f t="shared" si="0"/>
        <v>0.19</v>
      </c>
      <c r="Z8" s="1597">
        <f t="shared" si="1"/>
        <v>0.08</v>
      </c>
    </row>
    <row r="9" spans="1:26" ht="13.5" thickBot="1">
      <c r="A9" s="579" t="s">
        <v>294</v>
      </c>
      <c r="B9" s="1850" t="s">
        <v>17</v>
      </c>
      <c r="C9" s="18">
        <f t="shared" si="4"/>
        <v>0.21</v>
      </c>
      <c r="D9" s="410">
        <v>0</v>
      </c>
      <c r="E9" s="50">
        <f>'Table 9a'!D8</f>
        <v>0.21</v>
      </c>
      <c r="F9" s="875">
        <f>H9-G9</f>
        <v>0.22</v>
      </c>
      <c r="G9" s="412">
        <f>($D9/$E9)*H9</f>
        <v>0</v>
      </c>
      <c r="H9" s="1150">
        <f>E9+'Table 9a'!AA8</f>
        <v>0.22</v>
      </c>
      <c r="I9" s="18">
        <f>K9-J9</f>
        <v>0.23</v>
      </c>
      <c r="J9" s="410">
        <f>($D9/$E9)*K9</f>
        <v>0</v>
      </c>
      <c r="K9" s="50">
        <f>H9+'Table 9a'!AB8</f>
        <v>0.23</v>
      </c>
      <c r="L9" s="18">
        <f>N9-M9</f>
        <v>0.24</v>
      </c>
      <c r="M9" s="412">
        <f>($D9/$E9)*N9</f>
        <v>0</v>
      </c>
      <c r="N9" s="876">
        <f>K9+'Table 9a'!AC8</f>
        <v>0.24</v>
      </c>
      <c r="O9" s="1137">
        <f>Q9-P9</f>
        <v>0.25</v>
      </c>
      <c r="P9" s="531">
        <f>($D9/$E9)*Q9</f>
        <v>0</v>
      </c>
      <c r="Q9" s="523">
        <f>N9+'Table 9a'!AD8</f>
        <v>0.25</v>
      </c>
      <c r="R9" s="467">
        <f>T9-S9</f>
        <v>0.26</v>
      </c>
      <c r="S9" s="531">
        <f>($D9/$E9)*T9</f>
        <v>0</v>
      </c>
      <c r="T9" s="523">
        <f>Q9+'Table 9a'!AE8</f>
        <v>0.26</v>
      </c>
      <c r="U9" s="467">
        <f>W9-V9</f>
        <v>0.27</v>
      </c>
      <c r="V9" s="531">
        <f>($D9/$E9)*W9</f>
        <v>0</v>
      </c>
      <c r="W9" s="523">
        <f>T9+'Table 9a'!AF8</f>
        <v>0.27</v>
      </c>
      <c r="X9" s="312">
        <f t="shared" si="0"/>
        <v>0.28999999999999998</v>
      </c>
      <c r="Z9" s="1741">
        <f t="shared" si="1"/>
        <v>0.06</v>
      </c>
    </row>
    <row r="10" spans="1:26" ht="14.25" thickTop="1" thickBot="1">
      <c r="A10" s="279" t="s">
        <v>294</v>
      </c>
      <c r="B10" s="3018" t="s">
        <v>18</v>
      </c>
      <c r="C10" s="36">
        <f>SUM(C8:C9)</f>
        <v>0.36</v>
      </c>
      <c r="D10" s="32">
        <f t="shared" ref="D10:W10" si="5">SUM(D8:D9)</f>
        <v>0.27</v>
      </c>
      <c r="E10" s="154">
        <f t="shared" si="5"/>
        <v>0.63</v>
      </c>
      <c r="F10" s="31">
        <f t="shared" si="5"/>
        <v>0.37</v>
      </c>
      <c r="G10" s="165">
        <f t="shared" si="5"/>
        <v>0.28000000000000003</v>
      </c>
      <c r="H10" s="147">
        <f t="shared" si="5"/>
        <v>0.65</v>
      </c>
      <c r="I10" s="36">
        <f t="shared" si="5"/>
        <v>0.39</v>
      </c>
      <c r="J10" s="32">
        <f t="shared" si="5"/>
        <v>0.28999999999999998</v>
      </c>
      <c r="K10" s="154">
        <f t="shared" si="5"/>
        <v>0.68</v>
      </c>
      <c r="L10" s="36">
        <f t="shared" si="5"/>
        <v>0.41</v>
      </c>
      <c r="M10" s="165">
        <f t="shared" si="5"/>
        <v>0.3</v>
      </c>
      <c r="N10" s="38">
        <f t="shared" si="5"/>
        <v>0.71</v>
      </c>
      <c r="O10" s="589">
        <f t="shared" si="5"/>
        <v>0.42</v>
      </c>
      <c r="P10" s="471">
        <f t="shared" si="5"/>
        <v>0.31</v>
      </c>
      <c r="Q10" s="472">
        <f t="shared" si="5"/>
        <v>0.73</v>
      </c>
      <c r="R10" s="470">
        <f t="shared" si="5"/>
        <v>0.43</v>
      </c>
      <c r="S10" s="471">
        <f t="shared" si="5"/>
        <v>0.32</v>
      </c>
      <c r="T10" s="472">
        <f t="shared" si="5"/>
        <v>0.75</v>
      </c>
      <c r="U10" s="470">
        <f t="shared" ref="U10:V10" si="6">SUM(U8:U9)</f>
        <v>0.45</v>
      </c>
      <c r="V10" s="471">
        <f t="shared" si="6"/>
        <v>0.32</v>
      </c>
      <c r="W10" s="472">
        <f t="shared" si="5"/>
        <v>0.77</v>
      </c>
      <c r="X10" s="313">
        <f t="shared" si="0"/>
        <v>0.22</v>
      </c>
      <c r="Y10" s="22"/>
      <c r="Z10" s="1598">
        <f t="shared" si="1"/>
        <v>0.14000000000000001</v>
      </c>
    </row>
    <row r="11" spans="1:26">
      <c r="A11" s="475" t="s">
        <v>297</v>
      </c>
      <c r="B11" s="509" t="s">
        <v>15</v>
      </c>
      <c r="C11" s="151">
        <f t="shared" ref="C11:C12" si="7">E11-D11</f>
        <v>0</v>
      </c>
      <c r="D11" s="113">
        <v>0</v>
      </c>
      <c r="E11" s="146">
        <f>'Table 9a'!D10</f>
        <v>0</v>
      </c>
      <c r="F11" s="442">
        <f>H11-G11</f>
        <v>0</v>
      </c>
      <c r="G11" s="123">
        <v>0</v>
      </c>
      <c r="H11" s="654">
        <f>E11+'Table 9a'!AA10</f>
        <v>0</v>
      </c>
      <c r="I11" s="151">
        <f>K11-J11</f>
        <v>0</v>
      </c>
      <c r="J11" s="113">
        <v>0</v>
      </c>
      <c r="K11" s="146">
        <f>H11+'Table 9a'!AB10</f>
        <v>0</v>
      </c>
      <c r="L11" s="151">
        <f>N11-M11</f>
        <v>0</v>
      </c>
      <c r="M11" s="123">
        <v>0</v>
      </c>
      <c r="N11" s="152">
        <f>K11+'Table 9a'!AC10</f>
        <v>0</v>
      </c>
      <c r="O11" s="588">
        <f>Q11-P11</f>
        <v>0</v>
      </c>
      <c r="P11" s="465">
        <v>0</v>
      </c>
      <c r="Q11" s="520">
        <f>N11+'Table 9a'!AD10</f>
        <v>0</v>
      </c>
      <c r="R11" s="464">
        <f>T11-S11</f>
        <v>0</v>
      </c>
      <c r="S11" s="465">
        <v>0</v>
      </c>
      <c r="T11" s="520">
        <f>Q11+'Table 9a'!AE10</f>
        <v>0</v>
      </c>
      <c r="U11" s="464">
        <f>W11-V11</f>
        <v>0</v>
      </c>
      <c r="V11" s="465">
        <v>0</v>
      </c>
      <c r="W11" s="520">
        <f>T11+'Table 9a'!AF10</f>
        <v>0</v>
      </c>
      <c r="X11" s="310" t="s">
        <v>16</v>
      </c>
      <c r="Z11" s="1597">
        <f t="shared" si="1"/>
        <v>0</v>
      </c>
    </row>
    <row r="12" spans="1:26" ht="13.5" thickBot="1">
      <c r="A12" s="579" t="s">
        <v>297</v>
      </c>
      <c r="B12" s="540" t="s">
        <v>17</v>
      </c>
      <c r="C12" s="156">
        <f t="shared" si="7"/>
        <v>1.04</v>
      </c>
      <c r="D12" s="658">
        <v>0</v>
      </c>
      <c r="E12" s="50">
        <f>'Table 9a'!D11</f>
        <v>1.04</v>
      </c>
      <c r="F12" s="659">
        <f>H12-G12</f>
        <v>1.06</v>
      </c>
      <c r="G12" s="660">
        <f>($D12/$E12)*H12</f>
        <v>0</v>
      </c>
      <c r="H12" s="661">
        <f>E12+'Table 9a'!AA11</f>
        <v>1.06</v>
      </c>
      <c r="I12" s="156">
        <f>K12-J12</f>
        <v>1.06</v>
      </c>
      <c r="J12" s="658">
        <f>($D12/$E12)*K12</f>
        <v>0</v>
      </c>
      <c r="K12" s="411">
        <f>H12+'Table 9a'!AB11</f>
        <v>1.06</v>
      </c>
      <c r="L12" s="156">
        <f>N12-M12</f>
        <v>1.06</v>
      </c>
      <c r="M12" s="660">
        <f>($D12/$E12)*N12</f>
        <v>0</v>
      </c>
      <c r="N12" s="413">
        <f>K12+'Table 9a'!AC11</f>
        <v>1.06</v>
      </c>
      <c r="O12" s="615">
        <f>Q12-P12</f>
        <v>1.06</v>
      </c>
      <c r="P12" s="616">
        <f>($D12/$E12)*Q12</f>
        <v>0</v>
      </c>
      <c r="Q12" s="617">
        <f>N12+'Table 9a'!AD11</f>
        <v>1.06</v>
      </c>
      <c r="R12" s="556">
        <f>T12-S12</f>
        <v>1.06</v>
      </c>
      <c r="S12" s="616">
        <f>($D12/$E12)*T12</f>
        <v>0</v>
      </c>
      <c r="T12" s="617">
        <f>Q12+'Table 9a'!AE11</f>
        <v>1.06</v>
      </c>
      <c r="U12" s="556">
        <f>W12-V12</f>
        <v>1.05</v>
      </c>
      <c r="V12" s="616">
        <f>($D12/$E12)*W12</f>
        <v>0</v>
      </c>
      <c r="W12" s="617">
        <f>T12+'Table 9a'!AF11</f>
        <v>1.05</v>
      </c>
      <c r="X12" s="312">
        <f t="shared" si="0"/>
        <v>0.01</v>
      </c>
      <c r="Z12" s="1595">
        <f t="shared" si="1"/>
        <v>0.01</v>
      </c>
    </row>
    <row r="13" spans="1:26" ht="14.25" thickTop="1" thickBot="1">
      <c r="A13" s="279" t="s">
        <v>297</v>
      </c>
      <c r="B13" s="668" t="s">
        <v>18</v>
      </c>
      <c r="C13" s="36">
        <f>SUM(C11:C12)</f>
        <v>1.04</v>
      </c>
      <c r="D13" s="32">
        <f t="shared" ref="D13:W13" si="8">SUM(D11:D12)</f>
        <v>0</v>
      </c>
      <c r="E13" s="154">
        <f t="shared" si="8"/>
        <v>1.04</v>
      </c>
      <c r="F13" s="31">
        <f t="shared" si="8"/>
        <v>1.06</v>
      </c>
      <c r="G13" s="165">
        <f t="shared" si="8"/>
        <v>0</v>
      </c>
      <c r="H13" s="147">
        <f t="shared" si="8"/>
        <v>1.06</v>
      </c>
      <c r="I13" s="36">
        <f t="shared" si="8"/>
        <v>1.06</v>
      </c>
      <c r="J13" s="32">
        <f t="shared" si="8"/>
        <v>0</v>
      </c>
      <c r="K13" s="154">
        <f t="shared" si="8"/>
        <v>1.06</v>
      </c>
      <c r="L13" s="36">
        <f t="shared" si="8"/>
        <v>1.06</v>
      </c>
      <c r="M13" s="165">
        <f t="shared" si="8"/>
        <v>0</v>
      </c>
      <c r="N13" s="38">
        <f t="shared" si="8"/>
        <v>1.06</v>
      </c>
      <c r="O13" s="589">
        <f t="shared" si="8"/>
        <v>1.06</v>
      </c>
      <c r="P13" s="471">
        <f t="shared" si="8"/>
        <v>0</v>
      </c>
      <c r="Q13" s="657">
        <f t="shared" si="8"/>
        <v>1.06</v>
      </c>
      <c r="R13" s="470">
        <f t="shared" si="8"/>
        <v>1.06</v>
      </c>
      <c r="S13" s="471">
        <f t="shared" si="8"/>
        <v>0</v>
      </c>
      <c r="T13" s="472">
        <f t="shared" si="8"/>
        <v>1.06</v>
      </c>
      <c r="U13" s="470">
        <f t="shared" ref="U13:V13" si="9">SUM(U11:U12)</f>
        <v>1.05</v>
      </c>
      <c r="V13" s="471">
        <f t="shared" si="9"/>
        <v>0</v>
      </c>
      <c r="W13" s="472">
        <f t="shared" si="8"/>
        <v>1.05</v>
      </c>
      <c r="X13" s="313">
        <f t="shared" si="0"/>
        <v>0.01</v>
      </c>
      <c r="Y13" s="22"/>
      <c r="Z13" s="1598">
        <f t="shared" si="1"/>
        <v>0.01</v>
      </c>
    </row>
    <row r="14" spans="1:26">
      <c r="A14" s="455" t="s">
        <v>302</v>
      </c>
      <c r="B14" s="1075" t="s">
        <v>15</v>
      </c>
      <c r="C14" s="883">
        <f t="shared" ref="C14:C24" si="10">E14-D14</f>
        <v>0.31</v>
      </c>
      <c r="D14" s="884">
        <v>0</v>
      </c>
      <c r="E14" s="392">
        <f>'Table 9a'!D13</f>
        <v>0.31</v>
      </c>
      <c r="F14" s="885">
        <f t="shared" ref="F14:F19" si="11">H14-G14</f>
        <v>0.32</v>
      </c>
      <c r="G14" s="321">
        <f t="shared" ref="G14:G19" si="12">($D14/$E14)*H14</f>
        <v>0</v>
      </c>
      <c r="H14" s="1753">
        <f>E14+'Table 9a'!AA13</f>
        <v>0.32</v>
      </c>
      <c r="I14" s="883">
        <f t="shared" ref="I14:I19" si="13">K14-J14</f>
        <v>0.34</v>
      </c>
      <c r="J14" s="884">
        <f t="shared" ref="J14:J19" si="14">($D14/$E14)*K14</f>
        <v>0</v>
      </c>
      <c r="K14" s="392">
        <f>H14+'Table 9a'!AB13</f>
        <v>0.34</v>
      </c>
      <c r="L14" s="883">
        <f t="shared" ref="L14:L19" si="15">N14-M14</f>
        <v>0.35</v>
      </c>
      <c r="M14" s="321">
        <f t="shared" ref="M14:M19" si="16">($D14/$E14)*N14</f>
        <v>0</v>
      </c>
      <c r="N14" s="914">
        <f>K14+'Table 9a'!AC13</f>
        <v>0.35</v>
      </c>
      <c r="O14" s="915">
        <f t="shared" ref="O14:O19" si="17">Q14-P14</f>
        <v>0.37</v>
      </c>
      <c r="P14" s="916">
        <f t="shared" ref="P14:P19" si="18">($D14/$E14)*Q14</f>
        <v>0</v>
      </c>
      <c r="Q14" s="454">
        <f>N14+'Table 9a'!AD13</f>
        <v>0.37</v>
      </c>
      <c r="R14" s="827">
        <f t="shared" ref="R14:R19" si="19">T14-S14</f>
        <v>0.38</v>
      </c>
      <c r="S14" s="916">
        <f t="shared" ref="S14:S19" si="20">($D14/$E14)*T14</f>
        <v>0</v>
      </c>
      <c r="T14" s="454">
        <f>Q14+'Table 9a'!AE13</f>
        <v>0.38</v>
      </c>
      <c r="U14" s="827">
        <f t="shared" ref="U14:U24" si="21">W14-V14</f>
        <v>0.39</v>
      </c>
      <c r="V14" s="916">
        <f t="shared" ref="V14:V16" si="22">($D14/$E14)*W14</f>
        <v>0</v>
      </c>
      <c r="W14" s="454">
        <f>T14+'Table 9a'!AF13</f>
        <v>0.39</v>
      </c>
      <c r="X14" s="1233">
        <f t="shared" si="0"/>
        <v>0.26</v>
      </c>
      <c r="Z14" s="1599">
        <f t="shared" si="1"/>
        <v>0.08</v>
      </c>
    </row>
    <row r="15" spans="1:26">
      <c r="A15" s="455" t="s">
        <v>22</v>
      </c>
      <c r="B15" s="1075" t="s">
        <v>17</v>
      </c>
      <c r="C15" s="883">
        <f t="shared" si="10"/>
        <v>0.41</v>
      </c>
      <c r="D15" s="884">
        <v>0</v>
      </c>
      <c r="E15" s="392">
        <f>'Table 9a'!D14</f>
        <v>0.41</v>
      </c>
      <c r="F15" s="885">
        <f t="shared" si="11"/>
        <v>0.42</v>
      </c>
      <c r="G15" s="321">
        <f t="shared" si="12"/>
        <v>0</v>
      </c>
      <c r="H15" s="1753">
        <f>E15+'Table 9a'!AA14</f>
        <v>0.42</v>
      </c>
      <c r="I15" s="883">
        <f t="shared" si="13"/>
        <v>0.44</v>
      </c>
      <c r="J15" s="884">
        <f t="shared" si="14"/>
        <v>0</v>
      </c>
      <c r="K15" s="392">
        <f>H15+'Table 9a'!AB14</f>
        <v>0.44</v>
      </c>
      <c r="L15" s="883">
        <f t="shared" si="15"/>
        <v>0.46</v>
      </c>
      <c r="M15" s="321">
        <f t="shared" si="16"/>
        <v>0</v>
      </c>
      <c r="N15" s="914">
        <f>K15+'Table 9a'!AC14</f>
        <v>0.46</v>
      </c>
      <c r="O15" s="915">
        <f t="shared" si="17"/>
        <v>0.47</v>
      </c>
      <c r="P15" s="916">
        <f t="shared" si="18"/>
        <v>0</v>
      </c>
      <c r="Q15" s="454">
        <f>N15+'Table 9a'!AD14</f>
        <v>0.47</v>
      </c>
      <c r="R15" s="827">
        <f t="shared" si="19"/>
        <v>0.48</v>
      </c>
      <c r="S15" s="916">
        <f t="shared" si="20"/>
        <v>0</v>
      </c>
      <c r="T15" s="454">
        <f>Q15+'Table 9a'!AE14</f>
        <v>0.48</v>
      </c>
      <c r="U15" s="827">
        <f t="shared" si="21"/>
        <v>0.49</v>
      </c>
      <c r="V15" s="916">
        <f t="shared" si="22"/>
        <v>0</v>
      </c>
      <c r="W15" s="454">
        <f>T15+'Table 9a'!AF14</f>
        <v>0.49</v>
      </c>
      <c r="X15" s="1233">
        <f t="shared" si="0"/>
        <v>0.2</v>
      </c>
      <c r="Z15" s="1599">
        <f t="shared" si="1"/>
        <v>0.08</v>
      </c>
    </row>
    <row r="16" spans="1:26">
      <c r="A16" s="455" t="s">
        <v>589</v>
      </c>
      <c r="B16" s="1075" t="s">
        <v>15</v>
      </c>
      <c r="C16" s="883">
        <f t="shared" si="10"/>
        <v>14.16</v>
      </c>
      <c r="D16" s="884">
        <v>0.79</v>
      </c>
      <c r="E16" s="392">
        <f>'Table 9a'!D15</f>
        <v>14.95</v>
      </c>
      <c r="F16" s="885">
        <f t="shared" si="11"/>
        <v>15.07</v>
      </c>
      <c r="G16" s="321">
        <f t="shared" si="12"/>
        <v>0.84</v>
      </c>
      <c r="H16" s="1753">
        <f>E16+'Table 9a'!AA15</f>
        <v>15.91</v>
      </c>
      <c r="I16" s="883">
        <f t="shared" si="13"/>
        <v>16.02</v>
      </c>
      <c r="J16" s="884">
        <f t="shared" si="14"/>
        <v>0.89</v>
      </c>
      <c r="K16" s="392">
        <f>H16+'Table 9a'!AB15</f>
        <v>16.91</v>
      </c>
      <c r="L16" s="883">
        <f t="shared" si="15"/>
        <v>16.75</v>
      </c>
      <c r="M16" s="321">
        <f t="shared" si="16"/>
        <v>0.93</v>
      </c>
      <c r="N16" s="914">
        <f>K16+'Table 9a'!AC15</f>
        <v>17.68</v>
      </c>
      <c r="O16" s="915">
        <f t="shared" si="17"/>
        <v>17.38</v>
      </c>
      <c r="P16" s="916">
        <f t="shared" si="18"/>
        <v>0.97</v>
      </c>
      <c r="Q16" s="454">
        <f>N16+'Table 9a'!AD15</f>
        <v>18.350000000000001</v>
      </c>
      <c r="R16" s="827">
        <f t="shared" si="19"/>
        <v>17.899999999999999</v>
      </c>
      <c r="S16" s="916">
        <f t="shared" si="20"/>
        <v>1</v>
      </c>
      <c r="T16" s="454">
        <f>Q16+'Table 9a'!AE15</f>
        <v>18.899999999999999</v>
      </c>
      <c r="U16" s="827">
        <f t="shared" si="21"/>
        <v>18.350000000000001</v>
      </c>
      <c r="V16" s="916">
        <f t="shared" si="22"/>
        <v>1.02</v>
      </c>
      <c r="W16" s="454">
        <f>T16+'Table 9a'!AF15</f>
        <v>19.37</v>
      </c>
      <c r="X16" s="1233">
        <f t="shared" si="0"/>
        <v>0.3</v>
      </c>
      <c r="Z16" s="1599">
        <f t="shared" si="1"/>
        <v>4.42</v>
      </c>
    </row>
    <row r="17" spans="1:26">
      <c r="A17" s="455" t="s">
        <v>309</v>
      </c>
      <c r="B17" s="1075" t="s">
        <v>15</v>
      </c>
      <c r="C17" s="883">
        <f t="shared" si="10"/>
        <v>0.26</v>
      </c>
      <c r="D17" s="884">
        <v>0</v>
      </c>
      <c r="E17" s="392">
        <f>'Table 9a'!D16</f>
        <v>0.26</v>
      </c>
      <c r="F17" s="885">
        <f t="shared" si="11"/>
        <v>0.27</v>
      </c>
      <c r="G17" s="321">
        <v>0</v>
      </c>
      <c r="H17" s="1753">
        <f>E17+'Table 9a'!AA16</f>
        <v>0.27</v>
      </c>
      <c r="I17" s="883">
        <f t="shared" si="13"/>
        <v>0.28000000000000003</v>
      </c>
      <c r="J17" s="884">
        <v>0</v>
      </c>
      <c r="K17" s="392">
        <f>H17+'Table 9a'!AB16</f>
        <v>0.28000000000000003</v>
      </c>
      <c r="L17" s="883">
        <f t="shared" si="15"/>
        <v>0.28999999999999998</v>
      </c>
      <c r="M17" s="321">
        <v>0</v>
      </c>
      <c r="N17" s="914">
        <f>K17+'Table 9a'!AC16</f>
        <v>0.28999999999999998</v>
      </c>
      <c r="O17" s="915">
        <f t="shared" si="17"/>
        <v>0.3</v>
      </c>
      <c r="P17" s="916">
        <v>0</v>
      </c>
      <c r="Q17" s="454">
        <f>N17+'Table 9a'!AD16</f>
        <v>0.3</v>
      </c>
      <c r="R17" s="827">
        <f t="shared" si="19"/>
        <v>0.31</v>
      </c>
      <c r="S17" s="916">
        <v>0</v>
      </c>
      <c r="T17" s="454">
        <f>Q17+'Table 9a'!AE16</f>
        <v>0.31</v>
      </c>
      <c r="U17" s="827">
        <f t="shared" si="21"/>
        <v>0.31</v>
      </c>
      <c r="V17" s="916">
        <v>0</v>
      </c>
      <c r="W17" s="454">
        <f>T17+'Table 9a'!AF16</f>
        <v>0.31</v>
      </c>
      <c r="X17" s="1898">
        <f t="shared" si="0"/>
        <v>0.19</v>
      </c>
      <c r="Z17" s="1599">
        <f t="shared" si="1"/>
        <v>0.05</v>
      </c>
    </row>
    <row r="18" spans="1:26">
      <c r="A18" s="456" t="s">
        <v>25</v>
      </c>
      <c r="B18" s="662" t="s">
        <v>17</v>
      </c>
      <c r="C18" s="923">
        <f t="shared" si="10"/>
        <v>0.37</v>
      </c>
      <c r="D18" s="1866">
        <v>0</v>
      </c>
      <c r="E18" s="358">
        <f>'Table 9a'!D17</f>
        <v>0.37</v>
      </c>
      <c r="F18" s="1046">
        <f t="shared" si="11"/>
        <v>0.4</v>
      </c>
      <c r="G18" s="1867">
        <f t="shared" si="12"/>
        <v>0</v>
      </c>
      <c r="H18" s="1899">
        <f>E18+'Table 9a'!AA17</f>
        <v>0.4</v>
      </c>
      <c r="I18" s="923">
        <f t="shared" si="13"/>
        <v>0.42</v>
      </c>
      <c r="J18" s="1866">
        <f t="shared" si="14"/>
        <v>0</v>
      </c>
      <c r="K18" s="358">
        <f>H18+'Table 9a'!AB17</f>
        <v>0.42</v>
      </c>
      <c r="L18" s="923">
        <f t="shared" si="15"/>
        <v>0.44</v>
      </c>
      <c r="M18" s="1867">
        <f t="shared" si="16"/>
        <v>0</v>
      </c>
      <c r="N18" s="1868">
        <f>K18+'Table 9a'!AC17</f>
        <v>0.44</v>
      </c>
      <c r="O18" s="1136">
        <f t="shared" si="17"/>
        <v>0.46</v>
      </c>
      <c r="P18" s="1055">
        <f t="shared" si="18"/>
        <v>0</v>
      </c>
      <c r="Q18" s="522">
        <f>N18+'Table 9a'!AD17</f>
        <v>0.46</v>
      </c>
      <c r="R18" s="1050">
        <f t="shared" si="19"/>
        <v>0.47</v>
      </c>
      <c r="S18" s="1055">
        <f t="shared" si="20"/>
        <v>0</v>
      </c>
      <c r="T18" s="522">
        <f>Q18+'Table 9a'!AE17</f>
        <v>0.47</v>
      </c>
      <c r="U18" s="1050">
        <f t="shared" si="21"/>
        <v>0.48</v>
      </c>
      <c r="V18" s="1055">
        <f t="shared" ref="V18:V24" si="23">($D18/$E18)*W18</f>
        <v>0</v>
      </c>
      <c r="W18" s="522">
        <f>T18+'Table 9a'!AF17</f>
        <v>0.48</v>
      </c>
      <c r="X18" s="1233">
        <f t="shared" si="0"/>
        <v>0.3</v>
      </c>
      <c r="Z18" s="1742">
        <f t="shared" si="1"/>
        <v>0.11</v>
      </c>
    </row>
    <row r="19" spans="1:26">
      <c r="A19" s="456" t="s">
        <v>26</v>
      </c>
      <c r="B19" s="662" t="s">
        <v>17</v>
      </c>
      <c r="C19" s="923">
        <f t="shared" si="10"/>
        <v>22.94</v>
      </c>
      <c r="D19" s="1866">
        <v>17.190000000000001</v>
      </c>
      <c r="E19" s="358">
        <v>40.130000000000003</v>
      </c>
      <c r="F19" s="1046">
        <f t="shared" si="11"/>
        <v>22.94</v>
      </c>
      <c r="G19" s="1867">
        <f t="shared" si="12"/>
        <v>17.190000000000001</v>
      </c>
      <c r="H19" s="1899">
        <f>E19+'Table 9a'!AA18</f>
        <v>40.130000000000003</v>
      </c>
      <c r="I19" s="923">
        <f t="shared" si="13"/>
        <v>22.94</v>
      </c>
      <c r="J19" s="1866">
        <f t="shared" si="14"/>
        <v>17.190000000000001</v>
      </c>
      <c r="K19" s="358">
        <f>H19+'Table 9a'!AB18</f>
        <v>40.130000000000003</v>
      </c>
      <c r="L19" s="923">
        <f t="shared" si="15"/>
        <v>22.94</v>
      </c>
      <c r="M19" s="1867">
        <f t="shared" si="16"/>
        <v>17.190000000000001</v>
      </c>
      <c r="N19" s="1868">
        <f>K19+'Table 9a'!AC18</f>
        <v>40.130000000000003</v>
      </c>
      <c r="O19" s="1136">
        <f t="shared" si="17"/>
        <v>22.94</v>
      </c>
      <c r="P19" s="1055">
        <f t="shared" si="18"/>
        <v>17.190000000000001</v>
      </c>
      <c r="Q19" s="522">
        <f>N19+'Table 9a'!AD18</f>
        <v>40.130000000000003</v>
      </c>
      <c r="R19" s="1050">
        <f t="shared" si="19"/>
        <v>22.94</v>
      </c>
      <c r="S19" s="1055">
        <f t="shared" si="20"/>
        <v>17.190000000000001</v>
      </c>
      <c r="T19" s="522">
        <f>Q19+'Table 9a'!AE18</f>
        <v>40.130000000000003</v>
      </c>
      <c r="U19" s="1050">
        <f t="shared" si="21"/>
        <v>22.94</v>
      </c>
      <c r="V19" s="1055">
        <f t="shared" si="23"/>
        <v>17.190000000000001</v>
      </c>
      <c r="W19" s="522">
        <f>T19+'Table 9a'!AF18</f>
        <v>40.130000000000003</v>
      </c>
      <c r="X19" s="1233">
        <f t="shared" si="0"/>
        <v>0</v>
      </c>
      <c r="Z19" s="1742">
        <f t="shared" si="1"/>
        <v>0</v>
      </c>
    </row>
    <row r="20" spans="1:26">
      <c r="A20" s="455" t="s">
        <v>322</v>
      </c>
      <c r="B20" s="1075" t="s">
        <v>15</v>
      </c>
      <c r="C20" s="883">
        <f t="shared" si="10"/>
        <v>33.06</v>
      </c>
      <c r="D20" s="884">
        <v>0.05</v>
      </c>
      <c r="E20" s="392">
        <v>33.11</v>
      </c>
      <c r="F20" s="885">
        <f t="shared" ref="F20:F24" si="24">H20-G20</f>
        <v>33.090000000000003</v>
      </c>
      <c r="G20" s="321">
        <f t="shared" ref="G20:G24" si="25">($D20/$E20)*H20</f>
        <v>0.05</v>
      </c>
      <c r="H20" s="1753">
        <f>E20+'Table 9a'!AA19</f>
        <v>33.14</v>
      </c>
      <c r="I20" s="883">
        <f t="shared" ref="I20:I24" si="26">K20-J20</f>
        <v>33.130000000000003</v>
      </c>
      <c r="J20" s="884">
        <f t="shared" ref="J20:J24" si="27">($D20/$E20)*K20</f>
        <v>0.05</v>
      </c>
      <c r="K20" s="392">
        <f>H20+'Table 9a'!AB19</f>
        <v>33.18</v>
      </c>
      <c r="L20" s="883">
        <f t="shared" ref="L20:L24" si="28">N20-M20</f>
        <v>33.159999999999997</v>
      </c>
      <c r="M20" s="321">
        <f t="shared" ref="M20:M24" si="29">($D20/$E20)*N20</f>
        <v>0.05</v>
      </c>
      <c r="N20" s="914">
        <f>K20+'Table 9a'!AC19</f>
        <v>33.21</v>
      </c>
      <c r="O20" s="915">
        <f t="shared" ref="O20:O24" si="30">Q20-P20</f>
        <v>33.18</v>
      </c>
      <c r="P20" s="916">
        <f t="shared" ref="P20:P24" si="31">($D20/$E20)*Q20</f>
        <v>0.05</v>
      </c>
      <c r="Q20" s="454">
        <f>N20+'Table 9a'!AD19</f>
        <v>33.229999999999997</v>
      </c>
      <c r="R20" s="827">
        <f t="shared" ref="R20:R24" si="32">T20-S20</f>
        <v>33.200000000000003</v>
      </c>
      <c r="S20" s="916">
        <f t="shared" ref="S20:S24" si="33">($D20/$E20)*T20</f>
        <v>0.05</v>
      </c>
      <c r="T20" s="454">
        <f>Q20+'Table 9a'!AE19</f>
        <v>33.25</v>
      </c>
      <c r="U20" s="827">
        <f t="shared" si="21"/>
        <v>33.22</v>
      </c>
      <c r="V20" s="916">
        <f t="shared" si="23"/>
        <v>0.05</v>
      </c>
      <c r="W20" s="454">
        <f>T20+'Table 9a'!AF19</f>
        <v>33.270000000000003</v>
      </c>
      <c r="X20" s="1233">
        <f t="shared" si="0"/>
        <v>0</v>
      </c>
      <c r="Z20" s="1599">
        <f t="shared" si="1"/>
        <v>0.16</v>
      </c>
    </row>
    <row r="21" spans="1:26">
      <c r="A21" s="455" t="s">
        <v>326</v>
      </c>
      <c r="B21" s="1075" t="s">
        <v>15</v>
      </c>
      <c r="C21" s="883">
        <f t="shared" si="10"/>
        <v>3.69</v>
      </c>
      <c r="D21" s="884">
        <v>23.85</v>
      </c>
      <c r="E21" s="392">
        <v>27.54</v>
      </c>
      <c r="F21" s="885">
        <f t="shared" si="24"/>
        <v>3.69</v>
      </c>
      <c r="G21" s="321">
        <f t="shared" si="25"/>
        <v>23.87</v>
      </c>
      <c r="H21" s="1753">
        <f>E21+'Table 9a'!AA20</f>
        <v>27.56</v>
      </c>
      <c r="I21" s="883">
        <f t="shared" si="26"/>
        <v>3.69</v>
      </c>
      <c r="J21" s="884">
        <f t="shared" si="27"/>
        <v>23.88</v>
      </c>
      <c r="K21" s="392">
        <f>H21+'Table 9a'!AB20</f>
        <v>27.57</v>
      </c>
      <c r="L21" s="883">
        <f t="shared" si="28"/>
        <v>3.69</v>
      </c>
      <c r="M21" s="321">
        <f t="shared" si="29"/>
        <v>23.88</v>
      </c>
      <c r="N21" s="914">
        <f>K21+'Table 9a'!AC20</f>
        <v>27.57</v>
      </c>
      <c r="O21" s="915">
        <f t="shared" si="30"/>
        <v>3.7</v>
      </c>
      <c r="P21" s="916">
        <f t="shared" si="31"/>
        <v>23.88</v>
      </c>
      <c r="Q21" s="454">
        <f>N21+'Table 9a'!AD20</f>
        <v>27.58</v>
      </c>
      <c r="R21" s="827">
        <f t="shared" si="32"/>
        <v>3.7</v>
      </c>
      <c r="S21" s="916">
        <f t="shared" si="33"/>
        <v>23.89</v>
      </c>
      <c r="T21" s="454">
        <f>Q21+'Table 9a'!AE20</f>
        <v>27.59</v>
      </c>
      <c r="U21" s="827">
        <f t="shared" si="21"/>
        <v>3.7</v>
      </c>
      <c r="V21" s="916">
        <f t="shared" si="23"/>
        <v>23.9</v>
      </c>
      <c r="W21" s="454">
        <f>T21+'Table 9a'!AF20</f>
        <v>27.6</v>
      </c>
      <c r="X21" s="1233">
        <f t="shared" si="0"/>
        <v>0</v>
      </c>
      <c r="Z21" s="1599">
        <f t="shared" si="1"/>
        <v>0.06</v>
      </c>
    </row>
    <row r="22" spans="1:26">
      <c r="A22" s="455" t="s">
        <v>330</v>
      </c>
      <c r="B22" s="1075" t="s">
        <v>15</v>
      </c>
      <c r="C22" s="883">
        <f t="shared" si="10"/>
        <v>0.56000000000000005</v>
      </c>
      <c r="D22" s="884">
        <v>0.2</v>
      </c>
      <c r="E22" s="392">
        <f>'Table 9a'!D21</f>
        <v>0.76</v>
      </c>
      <c r="F22" s="885">
        <f t="shared" si="24"/>
        <v>0.64</v>
      </c>
      <c r="G22" s="321">
        <f t="shared" si="25"/>
        <v>0.23</v>
      </c>
      <c r="H22" s="1753">
        <f>E22+'Table 9a'!AA21</f>
        <v>0.87</v>
      </c>
      <c r="I22" s="883">
        <f t="shared" si="26"/>
        <v>0.74</v>
      </c>
      <c r="J22" s="884">
        <f t="shared" si="27"/>
        <v>0.27</v>
      </c>
      <c r="K22" s="392">
        <f>H22+'Table 9a'!AB21</f>
        <v>1.01</v>
      </c>
      <c r="L22" s="883">
        <f t="shared" si="28"/>
        <v>0.83</v>
      </c>
      <c r="M22" s="321">
        <f t="shared" si="29"/>
        <v>0.3</v>
      </c>
      <c r="N22" s="914">
        <f>K22+'Table 9a'!AC21</f>
        <v>1.1299999999999999</v>
      </c>
      <c r="O22" s="915">
        <f t="shared" si="30"/>
        <v>0.9</v>
      </c>
      <c r="P22" s="916">
        <f t="shared" si="31"/>
        <v>0.32</v>
      </c>
      <c r="Q22" s="454">
        <f>N22+'Table 9a'!AD21</f>
        <v>1.22</v>
      </c>
      <c r="R22" s="827">
        <f t="shared" si="32"/>
        <v>0.97</v>
      </c>
      <c r="S22" s="916">
        <f t="shared" si="33"/>
        <v>0.34</v>
      </c>
      <c r="T22" s="454">
        <f>Q22+'Table 9a'!AE21</f>
        <v>1.31</v>
      </c>
      <c r="U22" s="827">
        <f t="shared" si="21"/>
        <v>1.02</v>
      </c>
      <c r="V22" s="916">
        <f t="shared" si="23"/>
        <v>0.37</v>
      </c>
      <c r="W22" s="454">
        <f>T22+'Table 9a'!AF21</f>
        <v>1.39</v>
      </c>
      <c r="X22" s="1233">
        <f t="shared" si="0"/>
        <v>0.83</v>
      </c>
      <c r="Z22" s="1599">
        <f t="shared" si="1"/>
        <v>0.63</v>
      </c>
    </row>
    <row r="23" spans="1:26">
      <c r="A23" s="456" t="s">
        <v>30</v>
      </c>
      <c r="B23" s="662" t="s">
        <v>17</v>
      </c>
      <c r="C23" s="923">
        <f t="shared" si="10"/>
        <v>3.73</v>
      </c>
      <c r="D23" s="884">
        <v>0</v>
      </c>
      <c r="E23" s="358">
        <f>'Table 9a'!D22</f>
        <v>3.73</v>
      </c>
      <c r="F23" s="1046">
        <f t="shared" si="24"/>
        <v>3.94</v>
      </c>
      <c r="G23" s="1867">
        <f t="shared" si="25"/>
        <v>0</v>
      </c>
      <c r="H23" s="1899">
        <f>E23+'Table 9a'!AA22</f>
        <v>3.94</v>
      </c>
      <c r="I23" s="923">
        <f t="shared" si="26"/>
        <v>4.1500000000000004</v>
      </c>
      <c r="J23" s="1866">
        <f t="shared" si="27"/>
        <v>0</v>
      </c>
      <c r="K23" s="358">
        <f>H23+'Table 9a'!AB22</f>
        <v>4.1500000000000004</v>
      </c>
      <c r="L23" s="923">
        <f t="shared" si="28"/>
        <v>4.34</v>
      </c>
      <c r="M23" s="1867">
        <f t="shared" si="29"/>
        <v>0</v>
      </c>
      <c r="N23" s="1868">
        <f>K23+'Table 9a'!AC22</f>
        <v>4.34</v>
      </c>
      <c r="O23" s="1136">
        <f t="shared" si="30"/>
        <v>4.49</v>
      </c>
      <c r="P23" s="1055">
        <f t="shared" si="31"/>
        <v>0</v>
      </c>
      <c r="Q23" s="522">
        <f>N23+'Table 9a'!AD22</f>
        <v>4.49</v>
      </c>
      <c r="R23" s="1050">
        <f t="shared" si="32"/>
        <v>4.6100000000000003</v>
      </c>
      <c r="S23" s="1055">
        <f t="shared" si="33"/>
        <v>0</v>
      </c>
      <c r="T23" s="522">
        <f>Q23+'Table 9a'!AE22</f>
        <v>4.6100000000000003</v>
      </c>
      <c r="U23" s="1050">
        <f t="shared" si="21"/>
        <v>4.72</v>
      </c>
      <c r="V23" s="1055">
        <f t="shared" si="23"/>
        <v>0</v>
      </c>
      <c r="W23" s="522">
        <f>T23+'Table 9a'!AF22</f>
        <v>4.72</v>
      </c>
      <c r="X23" s="1233">
        <f t="shared" si="0"/>
        <v>0.27</v>
      </c>
      <c r="Z23" s="1742">
        <f t="shared" si="1"/>
        <v>0.99</v>
      </c>
    </row>
    <row r="24" spans="1:26" ht="13.5" thickBot="1">
      <c r="A24" s="579" t="s">
        <v>31</v>
      </c>
      <c r="B24" s="1850" t="s">
        <v>17</v>
      </c>
      <c r="C24" s="18">
        <f t="shared" si="10"/>
        <v>0.51</v>
      </c>
      <c r="D24" s="410">
        <v>0</v>
      </c>
      <c r="E24" s="50">
        <f>'Table 9a'!D23</f>
        <v>0.51</v>
      </c>
      <c r="F24" s="875">
        <f t="shared" si="24"/>
        <v>0.5</v>
      </c>
      <c r="G24" s="412">
        <f t="shared" si="25"/>
        <v>0</v>
      </c>
      <c r="H24" s="1150">
        <f>E24+'Table 9a'!AA23</f>
        <v>0.5</v>
      </c>
      <c r="I24" s="18">
        <f t="shared" si="26"/>
        <v>0.5</v>
      </c>
      <c r="J24" s="410">
        <f t="shared" si="27"/>
        <v>0</v>
      </c>
      <c r="K24" s="50">
        <f>H24+'Table 9a'!AB23</f>
        <v>0.5</v>
      </c>
      <c r="L24" s="18">
        <f t="shared" si="28"/>
        <v>0.5</v>
      </c>
      <c r="M24" s="412">
        <f t="shared" si="29"/>
        <v>0</v>
      </c>
      <c r="N24" s="876">
        <f>K24+'Table 9a'!AC23</f>
        <v>0.5</v>
      </c>
      <c r="O24" s="1137">
        <f t="shared" si="30"/>
        <v>0.5</v>
      </c>
      <c r="P24" s="531">
        <f t="shared" si="31"/>
        <v>0</v>
      </c>
      <c r="Q24" s="523">
        <f>N24+'Table 9a'!AD23</f>
        <v>0.5</v>
      </c>
      <c r="R24" s="467">
        <f t="shared" si="32"/>
        <v>0.5</v>
      </c>
      <c r="S24" s="531">
        <f t="shared" si="33"/>
        <v>0</v>
      </c>
      <c r="T24" s="523">
        <f>Q24+'Table 9a'!AE23</f>
        <v>0.5</v>
      </c>
      <c r="U24" s="467">
        <f t="shared" si="21"/>
        <v>0.5</v>
      </c>
      <c r="V24" s="531">
        <f t="shared" si="23"/>
        <v>0</v>
      </c>
      <c r="W24" s="523">
        <f>T24+'Table 9a'!AF23</f>
        <v>0.5</v>
      </c>
      <c r="X24" s="312">
        <f t="shared" si="0"/>
        <v>-0.02</v>
      </c>
      <c r="Z24" s="1741">
        <f t="shared" si="1"/>
        <v>-0.01</v>
      </c>
    </row>
    <row r="25" spans="1:26" s="22" customFormat="1" ht="14.25" thickTop="1" thickBot="1">
      <c r="A25" s="3231" t="s">
        <v>32</v>
      </c>
      <c r="B25" s="3232"/>
      <c r="C25" s="663">
        <f>C5+C8+C11+C14+C16+C17+C20+C21+C22</f>
        <v>52.3</v>
      </c>
      <c r="D25" s="318">
        <f t="shared" ref="D25:W25" si="34">D5+D8+D11+D14+D16+D17+D20+D21+D22</f>
        <v>25.16</v>
      </c>
      <c r="E25" s="565">
        <f t="shared" si="34"/>
        <v>77.459999999999994</v>
      </c>
      <c r="F25" s="663">
        <f t="shared" si="34"/>
        <v>53.35</v>
      </c>
      <c r="G25" s="316">
        <f t="shared" si="34"/>
        <v>25.27</v>
      </c>
      <c r="H25" s="317">
        <f t="shared" si="34"/>
        <v>78.62</v>
      </c>
      <c r="I25" s="663">
        <f t="shared" si="34"/>
        <v>54.48</v>
      </c>
      <c r="J25" s="316">
        <f t="shared" si="34"/>
        <v>25.38</v>
      </c>
      <c r="K25" s="317">
        <f t="shared" si="34"/>
        <v>79.86</v>
      </c>
      <c r="L25" s="663">
        <f t="shared" si="34"/>
        <v>55.36</v>
      </c>
      <c r="M25" s="316">
        <f t="shared" si="34"/>
        <v>25.46</v>
      </c>
      <c r="N25" s="353">
        <f t="shared" si="34"/>
        <v>80.819999999999993</v>
      </c>
      <c r="O25" s="639">
        <f t="shared" si="34"/>
        <v>56.12</v>
      </c>
      <c r="P25" s="483">
        <f t="shared" si="34"/>
        <v>25.53</v>
      </c>
      <c r="Q25" s="484">
        <f t="shared" si="34"/>
        <v>81.650000000000006</v>
      </c>
      <c r="R25" s="1149">
        <f t="shared" si="34"/>
        <v>56.75</v>
      </c>
      <c r="S25" s="554">
        <f t="shared" si="34"/>
        <v>25.6</v>
      </c>
      <c r="T25" s="639">
        <f t="shared" si="34"/>
        <v>82.35</v>
      </c>
      <c r="U25" s="1149">
        <f t="shared" si="34"/>
        <v>57.29</v>
      </c>
      <c r="V25" s="554">
        <f t="shared" si="34"/>
        <v>25.66</v>
      </c>
      <c r="W25" s="639">
        <f t="shared" si="34"/>
        <v>82.95</v>
      </c>
      <c r="X25" s="311">
        <f t="shared" si="0"/>
        <v>7.0000000000000007E-2</v>
      </c>
      <c r="Z25" s="1596">
        <f t="shared" si="1"/>
        <v>5.49</v>
      </c>
    </row>
    <row r="26" spans="1:26" s="22" customFormat="1" ht="13.5" thickBot="1">
      <c r="A26" s="3229" t="s">
        <v>33</v>
      </c>
      <c r="B26" s="3230"/>
      <c r="C26" s="665">
        <f>C6+C9+C12+C15+C18+C19+C23+C24</f>
        <v>29.57</v>
      </c>
      <c r="D26" s="501">
        <f t="shared" ref="D26:W26" si="35">D6+D9+D12+D15+D18+D19+D23+D24</f>
        <v>17.190000000000001</v>
      </c>
      <c r="E26" s="575">
        <f t="shared" si="35"/>
        <v>46.76</v>
      </c>
      <c r="F26" s="665">
        <f t="shared" si="35"/>
        <v>29.9</v>
      </c>
      <c r="G26" s="504">
        <f t="shared" si="35"/>
        <v>17.190000000000001</v>
      </c>
      <c r="H26" s="505">
        <f t="shared" si="35"/>
        <v>47.09</v>
      </c>
      <c r="I26" s="665">
        <f t="shared" si="35"/>
        <v>30.2</v>
      </c>
      <c r="J26" s="504">
        <f t="shared" si="35"/>
        <v>17.190000000000001</v>
      </c>
      <c r="K26" s="505">
        <f t="shared" si="35"/>
        <v>47.39</v>
      </c>
      <c r="L26" s="665">
        <f t="shared" si="35"/>
        <v>30.48</v>
      </c>
      <c r="M26" s="504">
        <f t="shared" si="35"/>
        <v>17.190000000000001</v>
      </c>
      <c r="N26" s="525">
        <f t="shared" si="35"/>
        <v>47.67</v>
      </c>
      <c r="O26" s="651">
        <f t="shared" si="35"/>
        <v>30.72</v>
      </c>
      <c r="P26" s="494">
        <f t="shared" si="35"/>
        <v>17.190000000000001</v>
      </c>
      <c r="Q26" s="495">
        <f t="shared" si="35"/>
        <v>47.91</v>
      </c>
      <c r="R26" s="666">
        <f t="shared" si="35"/>
        <v>30.9</v>
      </c>
      <c r="S26" s="561">
        <f t="shared" si="35"/>
        <v>17.190000000000001</v>
      </c>
      <c r="T26" s="651">
        <f t="shared" si="35"/>
        <v>48.09</v>
      </c>
      <c r="U26" s="666">
        <f t="shared" si="35"/>
        <v>31.06</v>
      </c>
      <c r="V26" s="561">
        <f t="shared" si="35"/>
        <v>17.190000000000001</v>
      </c>
      <c r="W26" s="651">
        <f t="shared" si="35"/>
        <v>48.25</v>
      </c>
      <c r="X26" s="563">
        <f t="shared" si="0"/>
        <v>0.03</v>
      </c>
      <c r="Z26" s="1600">
        <f t="shared" si="1"/>
        <v>1.49</v>
      </c>
    </row>
    <row r="27" spans="1:26" s="22" customFormat="1" ht="13.5" thickBot="1">
      <c r="A27" s="3202" t="s">
        <v>34</v>
      </c>
      <c r="B27" s="3203"/>
      <c r="C27" s="664">
        <f>C25+C26</f>
        <v>81.87</v>
      </c>
      <c r="D27" s="536">
        <f t="shared" ref="D27:W27" si="36">D25+D26</f>
        <v>42.35</v>
      </c>
      <c r="E27" s="537">
        <f t="shared" si="36"/>
        <v>124.22</v>
      </c>
      <c r="F27" s="664">
        <f t="shared" si="36"/>
        <v>83.25</v>
      </c>
      <c r="G27" s="593">
        <f t="shared" si="36"/>
        <v>42.46</v>
      </c>
      <c r="H27" s="592">
        <f t="shared" si="36"/>
        <v>125.71</v>
      </c>
      <c r="I27" s="664">
        <f t="shared" si="36"/>
        <v>84.68</v>
      </c>
      <c r="J27" s="593">
        <f t="shared" si="36"/>
        <v>42.57</v>
      </c>
      <c r="K27" s="592">
        <f t="shared" si="36"/>
        <v>127.25</v>
      </c>
      <c r="L27" s="664">
        <f t="shared" si="36"/>
        <v>85.84</v>
      </c>
      <c r="M27" s="593">
        <f t="shared" si="36"/>
        <v>42.65</v>
      </c>
      <c r="N27" s="539">
        <f t="shared" si="36"/>
        <v>128.49</v>
      </c>
      <c r="O27" s="646">
        <f t="shared" si="36"/>
        <v>86.84</v>
      </c>
      <c r="P27" s="536">
        <f t="shared" si="36"/>
        <v>42.72</v>
      </c>
      <c r="Q27" s="667">
        <f t="shared" si="36"/>
        <v>129.56</v>
      </c>
      <c r="R27" s="664">
        <f t="shared" si="36"/>
        <v>87.65</v>
      </c>
      <c r="S27" s="593">
        <f t="shared" si="36"/>
        <v>42.79</v>
      </c>
      <c r="T27" s="592">
        <f t="shared" si="36"/>
        <v>130.44</v>
      </c>
      <c r="U27" s="664">
        <f t="shared" si="36"/>
        <v>88.35</v>
      </c>
      <c r="V27" s="593">
        <f t="shared" si="36"/>
        <v>42.85</v>
      </c>
      <c r="W27" s="592">
        <f t="shared" si="36"/>
        <v>131.19999999999999</v>
      </c>
      <c r="X27" s="223">
        <f t="shared" si="0"/>
        <v>0.06</v>
      </c>
      <c r="Z27" s="1580">
        <f t="shared" si="1"/>
        <v>6.98</v>
      </c>
    </row>
    <row r="28" spans="1:26">
      <c r="A28" s="89" t="s">
        <v>35</v>
      </c>
      <c r="E28" s="2"/>
      <c r="F28" s="2"/>
      <c r="G28" s="2"/>
    </row>
    <row r="29" spans="1:26">
      <c r="A29" s="1" t="s">
        <v>68</v>
      </c>
      <c r="B29" s="23"/>
      <c r="C29" s="23"/>
      <c r="D29" s="23"/>
      <c r="E29" s="23"/>
      <c r="F29" s="23"/>
      <c r="G29" s="23"/>
      <c r="H29" s="23"/>
      <c r="I29" s="23"/>
      <c r="J29" s="23"/>
      <c r="K29" s="23"/>
      <c r="L29" s="23"/>
      <c r="M29" s="23"/>
    </row>
    <row r="30" spans="1:26">
      <c r="A30" s="1" t="s">
        <v>69</v>
      </c>
      <c r="D30" s="23"/>
    </row>
    <row r="31" spans="1:26">
      <c r="A31" s="1" t="s">
        <v>615</v>
      </c>
    </row>
    <row r="32" spans="1:26">
      <c r="A32" s="2" t="s">
        <v>616</v>
      </c>
    </row>
    <row r="33" spans="1:26">
      <c r="A33" s="2" t="s">
        <v>617</v>
      </c>
    </row>
    <row r="35" spans="1:26" ht="13.5" customHeight="1" thickBot="1">
      <c r="A35" s="2" t="s">
        <v>618</v>
      </c>
      <c r="B35" s="2"/>
      <c r="C35" s="2"/>
      <c r="D35" s="2"/>
      <c r="E35" s="2"/>
      <c r="F35" s="2"/>
      <c r="G35" s="2"/>
      <c r="H35" s="2"/>
      <c r="I35" s="2"/>
      <c r="J35" s="2"/>
      <c r="K35" s="2"/>
      <c r="L35" s="2"/>
      <c r="M35" s="2"/>
      <c r="N35" s="2"/>
      <c r="O35" s="2"/>
      <c r="P35" s="2"/>
      <c r="Q35" s="2"/>
      <c r="R35" s="2"/>
      <c r="S35" s="2"/>
      <c r="T35" s="2"/>
      <c r="U35" s="2"/>
      <c r="V35" s="2"/>
      <c r="W35" s="2"/>
      <c r="X35" s="256"/>
      <c r="Y35" s="256"/>
      <c r="Z35" s="256"/>
    </row>
    <row r="36" spans="1:26" ht="15.75" customHeight="1" thickBot="1">
      <c r="A36" s="3204" t="s">
        <v>1</v>
      </c>
      <c r="B36" s="3206" t="s">
        <v>2</v>
      </c>
      <c r="C36" s="3221" t="s">
        <v>55</v>
      </c>
      <c r="D36" s="3222"/>
      <c r="E36" s="3223"/>
      <c r="F36" s="3221" t="s">
        <v>56</v>
      </c>
      <c r="G36" s="3222"/>
      <c r="H36" s="3222"/>
      <c r="I36" s="3222"/>
      <c r="J36" s="3222"/>
      <c r="K36" s="3222"/>
      <c r="L36" s="3222"/>
      <c r="M36" s="3222"/>
      <c r="N36" s="3222"/>
      <c r="O36" s="3222"/>
      <c r="P36" s="3222"/>
      <c r="Q36" s="3222"/>
      <c r="R36" s="3222"/>
      <c r="S36" s="3222"/>
      <c r="T36" s="3222"/>
      <c r="U36" s="3222"/>
      <c r="V36" s="3222"/>
      <c r="W36" s="3223"/>
      <c r="X36" s="3209" t="s">
        <v>57</v>
      </c>
      <c r="Z36" s="3209" t="s">
        <v>80</v>
      </c>
    </row>
    <row r="37" spans="1:26" ht="15" customHeight="1">
      <c r="A37" s="3205"/>
      <c r="B37" s="3207"/>
      <c r="C37" s="3212">
        <v>2015</v>
      </c>
      <c r="D37" s="3213"/>
      <c r="E37" s="3215"/>
      <c r="F37" s="3219">
        <v>2020</v>
      </c>
      <c r="G37" s="3213"/>
      <c r="H37" s="3214"/>
      <c r="I37" s="3212">
        <v>2025</v>
      </c>
      <c r="J37" s="3213"/>
      <c r="K37" s="3215"/>
      <c r="L37" s="3216">
        <v>2030</v>
      </c>
      <c r="M37" s="3217"/>
      <c r="N37" s="3218"/>
      <c r="O37" s="3417">
        <v>2035</v>
      </c>
      <c r="P37" s="3418"/>
      <c r="Q37" s="3419"/>
      <c r="R37" s="3212">
        <v>2040</v>
      </c>
      <c r="S37" s="3213"/>
      <c r="T37" s="3215"/>
      <c r="U37" s="3212">
        <v>2045</v>
      </c>
      <c r="V37" s="3213"/>
      <c r="W37" s="3215"/>
      <c r="X37" s="3228"/>
      <c r="Z37" s="3228"/>
    </row>
    <row r="38" spans="1:26" ht="15.75" customHeight="1" thickBot="1">
      <c r="A38" s="3485"/>
      <c r="B38" s="3208"/>
      <c r="C38" s="1655" t="s">
        <v>60</v>
      </c>
      <c r="D38" s="1017" t="s">
        <v>61</v>
      </c>
      <c r="E38" s="1659" t="s">
        <v>18</v>
      </c>
      <c r="F38" s="1669" t="s">
        <v>60</v>
      </c>
      <c r="G38" s="1657" t="s">
        <v>61</v>
      </c>
      <c r="H38" s="1661" t="s">
        <v>18</v>
      </c>
      <c r="I38" s="1655" t="s">
        <v>60</v>
      </c>
      <c r="J38" s="1017" t="s">
        <v>61</v>
      </c>
      <c r="K38" s="1659" t="s">
        <v>18</v>
      </c>
      <c r="L38" s="1655" t="s">
        <v>60</v>
      </c>
      <c r="M38" s="1657" t="s">
        <v>61</v>
      </c>
      <c r="N38" s="1658" t="s">
        <v>18</v>
      </c>
      <c r="O38" s="1669" t="s">
        <v>60</v>
      </c>
      <c r="P38" s="1017" t="s">
        <v>61</v>
      </c>
      <c r="Q38" s="1659" t="s">
        <v>18</v>
      </c>
      <c r="R38" s="1655" t="s">
        <v>60</v>
      </c>
      <c r="S38" s="1017" t="s">
        <v>61</v>
      </c>
      <c r="T38" s="1659" t="s">
        <v>18</v>
      </c>
      <c r="U38" s="1655" t="s">
        <v>60</v>
      </c>
      <c r="V38" s="1017" t="s">
        <v>61</v>
      </c>
      <c r="W38" s="1659" t="s">
        <v>18</v>
      </c>
      <c r="X38" s="3211"/>
      <c r="Z38" s="3464"/>
    </row>
    <row r="39" spans="1:26">
      <c r="A39" s="443" t="s">
        <v>46</v>
      </c>
      <c r="B39" s="507" t="s">
        <v>17</v>
      </c>
      <c r="C39" s="9">
        <f t="shared" ref="C39:C44" si="37">E39-D39</f>
        <v>0.2</v>
      </c>
      <c r="D39" s="7">
        <v>0</v>
      </c>
      <c r="E39" s="53">
        <f>'Table 9a'!D38</f>
        <v>0.2</v>
      </c>
      <c r="F39" s="6">
        <f t="shared" ref="F39:F44" si="38">H39-G39</f>
        <v>0.2</v>
      </c>
      <c r="G39" s="10">
        <v>0</v>
      </c>
      <c r="H39" s="1752">
        <f>E39+'Table 9a'!AA38</f>
        <v>0.2</v>
      </c>
      <c r="I39" s="9">
        <f t="shared" ref="I39:I44" si="39">K39-J39</f>
        <v>0.2</v>
      </c>
      <c r="J39" s="7">
        <v>0</v>
      </c>
      <c r="K39" s="53">
        <f>H39+'Table 9a'!AB38</f>
        <v>0.2</v>
      </c>
      <c r="L39" s="9">
        <f t="shared" ref="L39:L44" si="40">N39-M39</f>
        <v>0.2</v>
      </c>
      <c r="M39" s="10">
        <v>0</v>
      </c>
      <c r="N39" s="11">
        <f>K39+'Table 9a'!AC38</f>
        <v>0.2</v>
      </c>
      <c r="O39" s="1121">
        <f t="shared" ref="O39:O44" si="41">Q39-P39</f>
        <v>0.2</v>
      </c>
      <c r="P39" s="1122">
        <v>0</v>
      </c>
      <c r="Q39" s="1123">
        <f>N39+'Table 9a'!AD38</f>
        <v>0.2</v>
      </c>
      <c r="R39" s="1124">
        <f t="shared" ref="R39:R44" si="42">T39-S39</f>
        <v>0.2</v>
      </c>
      <c r="S39" s="1122">
        <v>0</v>
      </c>
      <c r="T39" s="1024">
        <f>Q39+'Table 9a'!AE38</f>
        <v>0.2</v>
      </c>
      <c r="U39" s="1124">
        <f t="shared" ref="U39:U44" si="43">W39-V39</f>
        <v>0.2</v>
      </c>
      <c r="V39" s="1122">
        <v>0</v>
      </c>
      <c r="W39" s="1024">
        <f>T39+'Table 9a'!AF38</f>
        <v>0.2</v>
      </c>
      <c r="X39" s="1751">
        <f t="shared" ref="X39:X45" si="44">(W39-E39)/E39</f>
        <v>0</v>
      </c>
      <c r="Z39" s="1597">
        <f>W39-E39</f>
        <v>0</v>
      </c>
    </row>
    <row r="40" spans="1:26">
      <c r="A40" s="455" t="s">
        <v>47</v>
      </c>
      <c r="B40" s="1075" t="s">
        <v>17</v>
      </c>
      <c r="C40" s="883">
        <f t="shared" si="37"/>
        <v>0.16</v>
      </c>
      <c r="D40" s="884">
        <v>0</v>
      </c>
      <c r="E40" s="392">
        <f>'Table 9a'!D39</f>
        <v>0.16</v>
      </c>
      <c r="F40" s="885">
        <f t="shared" si="38"/>
        <v>0.16</v>
      </c>
      <c r="G40" s="321">
        <f>($D40/$E40)*H40</f>
        <v>0</v>
      </c>
      <c r="H40" s="1753">
        <f>E40+'Table 9a'!AA39</f>
        <v>0.16</v>
      </c>
      <c r="I40" s="883">
        <f t="shared" si="39"/>
        <v>0.16</v>
      </c>
      <c r="J40" s="884">
        <f>($D40/$E40)*K40</f>
        <v>0</v>
      </c>
      <c r="K40" s="392">
        <f>H40+'Table 9a'!AB39</f>
        <v>0.16</v>
      </c>
      <c r="L40" s="883">
        <f t="shared" si="40"/>
        <v>0.16</v>
      </c>
      <c r="M40" s="321">
        <f>($D40/$E40)*N40</f>
        <v>0</v>
      </c>
      <c r="N40" s="914">
        <f>K40+'Table 9a'!AC39</f>
        <v>0.16</v>
      </c>
      <c r="O40" s="1139">
        <f t="shared" si="41"/>
        <v>0.16</v>
      </c>
      <c r="P40" s="1140">
        <f>($D40/$E40)*Q40</f>
        <v>0</v>
      </c>
      <c r="Q40" s="629">
        <f>N40+'Table 9a'!AD39</f>
        <v>0.16</v>
      </c>
      <c r="R40" s="1141">
        <f t="shared" si="42"/>
        <v>0.16</v>
      </c>
      <c r="S40" s="1140">
        <f>($D40/$E40)*T40</f>
        <v>0</v>
      </c>
      <c r="T40" s="633">
        <f>Q40+'Table 9a'!AE39</f>
        <v>0.16</v>
      </c>
      <c r="U40" s="1141">
        <f t="shared" si="43"/>
        <v>0.16</v>
      </c>
      <c r="V40" s="1140">
        <f>($D40/$E40)*W40</f>
        <v>0</v>
      </c>
      <c r="W40" s="633">
        <f>T40+'Table 9a'!AF39</f>
        <v>0.16</v>
      </c>
      <c r="X40" s="1754">
        <f t="shared" si="44"/>
        <v>0</v>
      </c>
      <c r="Y40" s="1" t="s">
        <v>36</v>
      </c>
      <c r="Z40" s="1599">
        <f t="shared" ref="Z40:Z45" si="45">W40-E40</f>
        <v>0</v>
      </c>
    </row>
    <row r="41" spans="1:26">
      <c r="A41" s="455" t="s">
        <v>48</v>
      </c>
      <c r="B41" s="1075" t="s">
        <v>17</v>
      </c>
      <c r="C41" s="883">
        <f t="shared" si="37"/>
        <v>0.33</v>
      </c>
      <c r="D41" s="884">
        <v>0</v>
      </c>
      <c r="E41" s="392">
        <f>'Table 9a'!D40</f>
        <v>0.33</v>
      </c>
      <c r="F41" s="885">
        <f t="shared" si="38"/>
        <v>0.35</v>
      </c>
      <c r="G41" s="321">
        <f>($D41/$E41)*H41</f>
        <v>0</v>
      </c>
      <c r="H41" s="1753">
        <f>E41+'Table 9a'!AA40</f>
        <v>0.35</v>
      </c>
      <c r="I41" s="883">
        <f t="shared" si="39"/>
        <v>0.37</v>
      </c>
      <c r="J41" s="884">
        <f>($D41/$E41)*K41</f>
        <v>0</v>
      </c>
      <c r="K41" s="392">
        <f>H41+'Table 9a'!AB40</f>
        <v>0.37</v>
      </c>
      <c r="L41" s="883">
        <f t="shared" si="40"/>
        <v>0.38</v>
      </c>
      <c r="M41" s="321">
        <f>($D41/$E41)*N41</f>
        <v>0</v>
      </c>
      <c r="N41" s="914">
        <f>K41+'Table 9a'!AC40</f>
        <v>0.38</v>
      </c>
      <c r="O41" s="1139">
        <f t="shared" si="41"/>
        <v>0.39</v>
      </c>
      <c r="P41" s="1140">
        <f>($D41/$E41)*Q41</f>
        <v>0</v>
      </c>
      <c r="Q41" s="629">
        <f>N41+'Table 9a'!AD40</f>
        <v>0.39</v>
      </c>
      <c r="R41" s="1141">
        <f t="shared" si="42"/>
        <v>0.4</v>
      </c>
      <c r="S41" s="1140">
        <f>($D41/$E41)*T41</f>
        <v>0</v>
      </c>
      <c r="T41" s="633">
        <f>Q41+'Table 9a'!AE40</f>
        <v>0.4</v>
      </c>
      <c r="U41" s="1141">
        <f t="shared" si="43"/>
        <v>0.41</v>
      </c>
      <c r="V41" s="1140">
        <f>($D41/$E41)*W41</f>
        <v>0</v>
      </c>
      <c r="W41" s="633">
        <f>T41+'Table 9a'!AF40</f>
        <v>0.41</v>
      </c>
      <c r="X41" s="1754">
        <f t="shared" si="44"/>
        <v>0.24</v>
      </c>
      <c r="Z41" s="1599">
        <f t="shared" si="45"/>
        <v>0.08</v>
      </c>
    </row>
    <row r="42" spans="1:26" s="22" customFormat="1">
      <c r="A42" s="458" t="s">
        <v>49</v>
      </c>
      <c r="B42" s="506" t="s">
        <v>17</v>
      </c>
      <c r="C42" s="158">
        <f t="shared" si="37"/>
        <v>0.16</v>
      </c>
      <c r="D42" s="354">
        <v>0</v>
      </c>
      <c r="E42" s="315">
        <f>'Table 9a'!D41</f>
        <v>0.16</v>
      </c>
      <c r="F42" s="569">
        <f t="shared" si="38"/>
        <v>0.16</v>
      </c>
      <c r="G42" s="355">
        <f>($D42/$E42)*H42</f>
        <v>0</v>
      </c>
      <c r="H42" s="317">
        <f>E42+'Table 9a'!AA41</f>
        <v>0.16</v>
      </c>
      <c r="I42" s="158">
        <f t="shared" si="39"/>
        <v>0.16</v>
      </c>
      <c r="J42" s="354">
        <f>($D42/$E42)*K42</f>
        <v>0</v>
      </c>
      <c r="K42" s="315">
        <f>H42+'Table 9a'!AB41</f>
        <v>0.16</v>
      </c>
      <c r="L42" s="158">
        <f t="shared" si="40"/>
        <v>0.16</v>
      </c>
      <c r="M42" s="355">
        <f>($D42/$E42)*N42</f>
        <v>0</v>
      </c>
      <c r="N42" s="353">
        <f>K42+'Table 9a'!AC41</f>
        <v>0.16</v>
      </c>
      <c r="O42" s="634">
        <f t="shared" si="41"/>
        <v>0.16</v>
      </c>
      <c r="P42" s="635">
        <f>($D42/$E42)*Q42</f>
        <v>0</v>
      </c>
      <c r="Q42" s="621">
        <f>N42+'Table 9a'!AD41</f>
        <v>0.16</v>
      </c>
      <c r="R42" s="636">
        <f t="shared" si="42"/>
        <v>0.16</v>
      </c>
      <c r="S42" s="635">
        <f>($D42/$E42)*T42</f>
        <v>0</v>
      </c>
      <c r="T42" s="638">
        <f>Q42+'Table 9a'!AE41</f>
        <v>0.16</v>
      </c>
      <c r="U42" s="636">
        <f t="shared" si="43"/>
        <v>0.16</v>
      </c>
      <c r="V42" s="635">
        <f>($D42/$E42)*W42</f>
        <v>0</v>
      </c>
      <c r="W42" s="638">
        <f>T42+'Table 9a'!AF41</f>
        <v>0.16</v>
      </c>
      <c r="X42" s="1755">
        <f t="shared" si="44"/>
        <v>0</v>
      </c>
      <c r="Y42" s="22" t="s">
        <v>36</v>
      </c>
      <c r="Z42" s="1602">
        <f t="shared" si="45"/>
        <v>0</v>
      </c>
    </row>
    <row r="43" spans="1:26" s="22" customFormat="1">
      <c r="A43" s="455" t="s">
        <v>50</v>
      </c>
      <c r="B43" s="1075" t="s">
        <v>17</v>
      </c>
      <c r="C43" s="883">
        <f t="shared" si="37"/>
        <v>1</v>
      </c>
      <c r="D43" s="884">
        <v>0</v>
      </c>
      <c r="E43" s="392">
        <f>'Table 9a'!D42</f>
        <v>1</v>
      </c>
      <c r="F43" s="885">
        <f t="shared" si="38"/>
        <v>1.01</v>
      </c>
      <c r="G43" s="321">
        <f>($D43/$E43)*H43</f>
        <v>0</v>
      </c>
      <c r="H43" s="1753">
        <f>E43+'Table 9a'!AA42</f>
        <v>1.01</v>
      </c>
      <c r="I43" s="883">
        <f t="shared" si="39"/>
        <v>1.03</v>
      </c>
      <c r="J43" s="884">
        <f>($D43/$E43)*K43</f>
        <v>0</v>
      </c>
      <c r="K43" s="392">
        <f>H43+'Table 9a'!AB42</f>
        <v>1.03</v>
      </c>
      <c r="L43" s="883">
        <f t="shared" si="40"/>
        <v>1.04</v>
      </c>
      <c r="M43" s="321">
        <f>($D43/$E43)*N43</f>
        <v>0</v>
      </c>
      <c r="N43" s="914">
        <f>K43+'Table 9a'!AC42</f>
        <v>1.04</v>
      </c>
      <c r="O43" s="1139">
        <f t="shared" si="41"/>
        <v>1.05</v>
      </c>
      <c r="P43" s="1140">
        <f>($D43/$E43)*Q43</f>
        <v>0</v>
      </c>
      <c r="Q43" s="629">
        <f>N43+'Table 9a'!AD42</f>
        <v>1.05</v>
      </c>
      <c r="R43" s="1141">
        <f t="shared" si="42"/>
        <v>1.06</v>
      </c>
      <c r="S43" s="1140">
        <f>($D43/$E43)*T43</f>
        <v>0</v>
      </c>
      <c r="T43" s="633">
        <f>Q43+'Table 9a'!AE42</f>
        <v>1.06</v>
      </c>
      <c r="U43" s="1141">
        <f t="shared" si="43"/>
        <v>1.07</v>
      </c>
      <c r="V43" s="1140">
        <f>($D43/$E43)*W43</f>
        <v>0</v>
      </c>
      <c r="W43" s="633">
        <f>T43+'Table 9a'!AF42</f>
        <v>1.07</v>
      </c>
      <c r="X43" s="1754">
        <f t="shared" si="44"/>
        <v>7.0000000000000007E-2</v>
      </c>
      <c r="Z43" s="1599">
        <f t="shared" si="45"/>
        <v>7.0000000000000007E-2</v>
      </c>
    </row>
    <row r="44" spans="1:26" ht="13.5" thickBot="1">
      <c r="A44" s="579" t="s">
        <v>51</v>
      </c>
      <c r="B44" s="1850" t="s">
        <v>17</v>
      </c>
      <c r="C44" s="18">
        <f t="shared" si="37"/>
        <v>39.51</v>
      </c>
      <c r="D44" s="410">
        <v>0.17</v>
      </c>
      <c r="E44" s="50">
        <v>39.68</v>
      </c>
      <c r="F44" s="875">
        <f t="shared" si="38"/>
        <v>39.53</v>
      </c>
      <c r="G44" s="412">
        <f>($D44/$E44)*H44</f>
        <v>0.17</v>
      </c>
      <c r="H44" s="1150">
        <f>E44+'Table 9a'!AA43</f>
        <v>39.700000000000003</v>
      </c>
      <c r="I44" s="18">
        <f t="shared" si="39"/>
        <v>39.549999999999997</v>
      </c>
      <c r="J44" s="410">
        <f>($D44/$E44)*K44</f>
        <v>0.17</v>
      </c>
      <c r="K44" s="50">
        <f>H44+'Table 9a'!AB43</f>
        <v>39.72</v>
      </c>
      <c r="L44" s="18">
        <f t="shared" si="40"/>
        <v>39.56</v>
      </c>
      <c r="M44" s="412">
        <f>($D44/$E44)*N44</f>
        <v>0.17</v>
      </c>
      <c r="N44" s="876">
        <f>K44+'Table 9a'!AC43</f>
        <v>39.729999999999997</v>
      </c>
      <c r="O44" s="1253">
        <f t="shared" si="41"/>
        <v>39.57</v>
      </c>
      <c r="P44" s="541">
        <f>($D44/$E44)*Q44</f>
        <v>0.17</v>
      </c>
      <c r="Q44" s="542">
        <f>N44+'Table 9a'!AD43</f>
        <v>39.74</v>
      </c>
      <c r="R44" s="41">
        <f t="shared" si="42"/>
        <v>39.58</v>
      </c>
      <c r="S44" s="541">
        <f>($D44/$E44)*T44</f>
        <v>0.17</v>
      </c>
      <c r="T44" s="51">
        <f>Q44+'Table 9a'!AE43</f>
        <v>39.75</v>
      </c>
      <c r="U44" s="41">
        <f t="shared" si="43"/>
        <v>39.590000000000003</v>
      </c>
      <c r="V44" s="541">
        <f>($D44/$E44)*W44</f>
        <v>0.17</v>
      </c>
      <c r="W44" s="51">
        <f>T44+'Table 9a'!AF43</f>
        <v>39.76</v>
      </c>
      <c r="X44" s="1756">
        <f t="shared" si="44"/>
        <v>0</v>
      </c>
      <c r="Z44" s="1741">
        <f t="shared" si="45"/>
        <v>0.08</v>
      </c>
    </row>
    <row r="45" spans="1:26" s="22" customFormat="1" ht="26.25" customHeight="1" thickTop="1" thickBot="1">
      <c r="A45" s="3236" t="s">
        <v>52</v>
      </c>
      <c r="B45" s="3237"/>
      <c r="C45" s="36">
        <f>SUM(C39:C44)</f>
        <v>41.36</v>
      </c>
      <c r="D45" s="32">
        <f t="shared" ref="D45:W45" si="46">SUM(D39:D44)</f>
        <v>0.17</v>
      </c>
      <c r="E45" s="154">
        <f t="shared" si="46"/>
        <v>41.53</v>
      </c>
      <c r="F45" s="31">
        <f t="shared" si="46"/>
        <v>41.41</v>
      </c>
      <c r="G45" s="165">
        <f t="shared" si="46"/>
        <v>0.17</v>
      </c>
      <c r="H45" s="147">
        <f t="shared" si="46"/>
        <v>41.58</v>
      </c>
      <c r="I45" s="36">
        <f t="shared" si="46"/>
        <v>41.47</v>
      </c>
      <c r="J45" s="32">
        <f t="shared" si="46"/>
        <v>0.17</v>
      </c>
      <c r="K45" s="154">
        <f t="shared" si="46"/>
        <v>41.64</v>
      </c>
      <c r="L45" s="36">
        <f t="shared" si="46"/>
        <v>41.5</v>
      </c>
      <c r="M45" s="165">
        <f t="shared" si="46"/>
        <v>0.17</v>
      </c>
      <c r="N45" s="38">
        <f t="shared" si="46"/>
        <v>41.67</v>
      </c>
      <c r="O45" s="592">
        <f t="shared" si="46"/>
        <v>41.53</v>
      </c>
      <c r="P45" s="536">
        <f t="shared" si="46"/>
        <v>0.17</v>
      </c>
      <c r="Q45" s="537">
        <f t="shared" si="46"/>
        <v>41.7</v>
      </c>
      <c r="R45" s="535">
        <f t="shared" si="46"/>
        <v>41.56</v>
      </c>
      <c r="S45" s="536">
        <f t="shared" si="46"/>
        <v>0.17</v>
      </c>
      <c r="T45" s="647">
        <f t="shared" si="46"/>
        <v>41.73</v>
      </c>
      <c r="U45" s="535">
        <f t="shared" si="46"/>
        <v>41.59</v>
      </c>
      <c r="V45" s="536">
        <f t="shared" si="46"/>
        <v>0.17</v>
      </c>
      <c r="W45" s="647">
        <f t="shared" si="46"/>
        <v>41.76</v>
      </c>
      <c r="X45" s="223">
        <f t="shared" si="44"/>
        <v>0.01</v>
      </c>
      <c r="Z45" s="1598">
        <f t="shared" si="45"/>
        <v>0.23</v>
      </c>
    </row>
    <row r="46" spans="1:26">
      <c r="A46" s="89" t="s">
        <v>35</v>
      </c>
      <c r="C46" s="1" t="s">
        <v>36</v>
      </c>
    </row>
    <row r="47" spans="1:26">
      <c r="A47" s="1" t="s">
        <v>68</v>
      </c>
      <c r="U47" s="1" t="s">
        <v>36</v>
      </c>
    </row>
    <row r="48" spans="1:26">
      <c r="A48" s="1" t="s">
        <v>69</v>
      </c>
    </row>
    <row r="49" spans="1:1">
      <c r="A49" s="1" t="s">
        <v>615</v>
      </c>
    </row>
    <row r="50" spans="1:1">
      <c r="A50" s="2" t="s">
        <v>616</v>
      </c>
    </row>
    <row r="51" spans="1:1">
      <c r="A51" s="2" t="s">
        <v>617</v>
      </c>
    </row>
  </sheetData>
  <mergeCells count="31">
    <mergeCell ref="A25:B25"/>
    <mergeCell ref="A26:B26"/>
    <mergeCell ref="A27:B27"/>
    <mergeCell ref="X2:X4"/>
    <mergeCell ref="U3:W3"/>
    <mergeCell ref="F2:W2"/>
    <mergeCell ref="A2:A4"/>
    <mergeCell ref="C3:E3"/>
    <mergeCell ref="F3:H3"/>
    <mergeCell ref="I3:K3"/>
    <mergeCell ref="L3:N3"/>
    <mergeCell ref="O3:Q3"/>
    <mergeCell ref="R3:T3"/>
    <mergeCell ref="C2:E2"/>
    <mergeCell ref="B2:B4"/>
    <mergeCell ref="Z2:Z4"/>
    <mergeCell ref="Z36:Z38"/>
    <mergeCell ref="A1:X1"/>
    <mergeCell ref="A45:B45"/>
    <mergeCell ref="A36:A38"/>
    <mergeCell ref="B36:B38"/>
    <mergeCell ref="C36:E36"/>
    <mergeCell ref="F36:W36"/>
    <mergeCell ref="X36:X38"/>
    <mergeCell ref="C37:E37"/>
    <mergeCell ref="F37:H37"/>
    <mergeCell ref="I37:K37"/>
    <mergeCell ref="L37:N37"/>
    <mergeCell ref="O37:Q37"/>
    <mergeCell ref="R37:T37"/>
    <mergeCell ref="U37:W37"/>
  </mergeCells>
  <pageMargins left="0.7" right="0.7" top="0.75" bottom="0.75" header="0.3" footer="0.3"/>
  <pageSetup paperSize="3" scale="76" fitToHeight="0"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F50"/>
  <sheetViews>
    <sheetView workbookViewId="0">
      <pane xSplit="2" ySplit="3" topLeftCell="G21" activePane="bottomRight" state="frozen"/>
      <selection pane="bottomRight" activeCell="G21" sqref="G21"/>
      <selection pane="bottomLeft" activeCell="A4" sqref="A4"/>
      <selection pane="topRight" activeCell="C1" sqref="C1"/>
    </sheetView>
  </sheetViews>
  <sheetFormatPr defaultColWidth="9.140625" defaultRowHeight="12.75"/>
  <cols>
    <col min="1" max="1" width="13.140625" style="1" customWidth="1"/>
    <col min="2" max="2" width="10.42578125" style="1" customWidth="1"/>
    <col min="3" max="8" width="9.140625" style="1"/>
    <col min="9" max="9" width="9.140625" style="1" customWidth="1"/>
    <col min="10" max="12" width="9.140625" style="1"/>
    <col min="13" max="13" width="11.28515625" style="1" customWidth="1"/>
    <col min="14" max="15" width="9.7109375" style="1" customWidth="1"/>
    <col min="16" max="22" width="10.140625" style="1" customWidth="1"/>
    <col min="23" max="16384" width="9.140625" style="1"/>
  </cols>
  <sheetData>
    <row r="1" spans="1:32" ht="28.5" customHeight="1" thickBot="1">
      <c r="A1" s="3402" t="s">
        <v>619</v>
      </c>
      <c r="B1" s="3402"/>
      <c r="C1" s="3402"/>
      <c r="D1" s="3402"/>
      <c r="E1" s="3402"/>
      <c r="F1" s="3402"/>
      <c r="G1" s="3402"/>
      <c r="H1" s="3402"/>
      <c r="I1" s="3402"/>
      <c r="J1" s="3402"/>
      <c r="K1" s="3402"/>
      <c r="L1" s="3402"/>
      <c r="M1" s="3402"/>
      <c r="N1" s="3402"/>
      <c r="O1" s="3402"/>
      <c r="P1" s="3402"/>
      <c r="Q1" s="3402"/>
      <c r="R1" s="3402"/>
      <c r="S1" s="3402"/>
      <c r="T1" s="3402"/>
      <c r="U1" s="3402"/>
      <c r="V1" s="3402"/>
      <c r="W1" s="3402"/>
      <c r="X1" s="3402"/>
      <c r="Y1" s="3402"/>
      <c r="Z1" s="3402"/>
      <c r="AA1" s="3402"/>
      <c r="AB1" s="3402"/>
      <c r="AC1" s="3402"/>
      <c r="AD1" s="3402"/>
      <c r="AE1" s="3402"/>
      <c r="AF1" s="3402"/>
    </row>
    <row r="2" spans="1:32" ht="34.5" customHeight="1" thickBot="1">
      <c r="A2" s="3466" t="s">
        <v>1</v>
      </c>
      <c r="B2" s="3468" t="s">
        <v>2</v>
      </c>
      <c r="C2" s="3286" t="s">
        <v>595</v>
      </c>
      <c r="D2" s="3287"/>
      <c r="E2" s="3287"/>
      <c r="F2" s="3287"/>
      <c r="G2" s="3287"/>
      <c r="H2" s="3286" t="s">
        <v>599</v>
      </c>
      <c r="I2" s="3287"/>
      <c r="J2" s="3287"/>
      <c r="K2" s="3287"/>
      <c r="L2" s="3288"/>
      <c r="M2" s="3216" t="s">
        <v>600</v>
      </c>
      <c r="N2" s="3286" t="s">
        <v>601</v>
      </c>
      <c r="O2" s="3287"/>
      <c r="P2" s="3287"/>
      <c r="Q2" s="3287"/>
      <c r="R2" s="3287"/>
      <c r="S2" s="3287"/>
      <c r="T2" s="3287"/>
      <c r="U2" s="3286" t="s">
        <v>602</v>
      </c>
      <c r="V2" s="3287"/>
      <c r="W2" s="3287"/>
      <c r="X2" s="3287"/>
      <c r="Y2" s="3287"/>
      <c r="Z2" s="3288"/>
      <c r="AA2" s="3221" t="s">
        <v>620</v>
      </c>
      <c r="AB2" s="3222"/>
      <c r="AC2" s="3222"/>
      <c r="AD2" s="3222"/>
      <c r="AE2" s="3222"/>
      <c r="AF2" s="3223"/>
    </row>
    <row r="3" spans="1:32" ht="31.5" customHeight="1" thickBot="1">
      <c r="A3" s="3467"/>
      <c r="B3" s="3469"/>
      <c r="C3" s="1757">
        <v>2014</v>
      </c>
      <c r="D3" s="1750">
        <v>2015</v>
      </c>
      <c r="E3" s="1750">
        <v>2016</v>
      </c>
      <c r="F3" s="1750">
        <v>2017</v>
      </c>
      <c r="G3" s="1758">
        <v>2018</v>
      </c>
      <c r="H3" s="1757">
        <v>2014</v>
      </c>
      <c r="I3" s="1750">
        <v>2015</v>
      </c>
      <c r="J3" s="1750">
        <v>2016</v>
      </c>
      <c r="K3" s="1750">
        <v>2017</v>
      </c>
      <c r="L3" s="1759">
        <v>2018</v>
      </c>
      <c r="M3" s="3465"/>
      <c r="N3" s="1757">
        <v>2015</v>
      </c>
      <c r="O3" s="1750">
        <v>2020</v>
      </c>
      <c r="P3" s="1750">
        <v>2025</v>
      </c>
      <c r="Q3" s="1750">
        <v>2030</v>
      </c>
      <c r="R3" s="1758">
        <v>2035</v>
      </c>
      <c r="S3" s="1750">
        <v>2040</v>
      </c>
      <c r="T3" s="3035">
        <v>2045</v>
      </c>
      <c r="U3" s="1757" t="s">
        <v>604</v>
      </c>
      <c r="V3" s="1750" t="s">
        <v>605</v>
      </c>
      <c r="W3" s="1750" t="s">
        <v>606</v>
      </c>
      <c r="X3" s="1758" t="s">
        <v>607</v>
      </c>
      <c r="Y3" s="1750" t="s">
        <v>608</v>
      </c>
      <c r="Z3" s="3036" t="s">
        <v>609</v>
      </c>
      <c r="AA3" s="1760">
        <v>2020</v>
      </c>
      <c r="AB3" s="1761">
        <v>2025</v>
      </c>
      <c r="AC3" s="1761">
        <v>2030</v>
      </c>
      <c r="AD3" s="1761">
        <v>2035</v>
      </c>
      <c r="AE3" s="1762">
        <v>2040</v>
      </c>
      <c r="AF3" s="1944">
        <v>2045</v>
      </c>
    </row>
    <row r="4" spans="1:32">
      <c r="A4" s="176" t="s">
        <v>14</v>
      </c>
      <c r="B4" s="730" t="s">
        <v>15</v>
      </c>
      <c r="C4" s="9">
        <v>0.1</v>
      </c>
      <c r="D4" s="1144">
        <v>0.11</v>
      </c>
      <c r="E4" s="1144">
        <v>0.11</v>
      </c>
      <c r="F4" s="1144">
        <v>0.12</v>
      </c>
      <c r="G4" s="7">
        <v>0.06</v>
      </c>
      <c r="H4" s="168">
        <f>'Table 8a'!K4</f>
        <v>195065</v>
      </c>
      <c r="I4" s="249">
        <f>'Table 8a'!L4</f>
        <v>197466</v>
      </c>
      <c r="J4" s="249">
        <f>'Table 8a'!M4</f>
        <v>197528</v>
      </c>
      <c r="K4" s="249">
        <f>'Table 8a'!N4</f>
        <v>199613</v>
      </c>
      <c r="L4" s="250">
        <f>'Table 8a'!O4</f>
        <v>201523</v>
      </c>
      <c r="M4" s="795">
        <f>(C4+D4+E4+F4+G4)/(H4+I4+J4+K4+L4)*1000000</f>
        <v>1</v>
      </c>
      <c r="N4" s="247">
        <f>'Table 8a'!Q4</f>
        <v>197466</v>
      </c>
      <c r="O4" s="249">
        <f>'Table 8a'!R4</f>
        <v>203981</v>
      </c>
      <c r="P4" s="249">
        <f>'Table 8a'!S4</f>
        <v>208575</v>
      </c>
      <c r="Q4" s="249">
        <f>'Table 8a'!T4</f>
        <v>212384</v>
      </c>
      <c r="R4" s="125">
        <f>'Table 8a'!U4</f>
        <v>212473</v>
      </c>
      <c r="S4" s="249">
        <f>'Table 8a'!V4</f>
        <v>214246</v>
      </c>
      <c r="T4" s="243">
        <f>'Table 8a'!W4</f>
        <v>215828</v>
      </c>
      <c r="U4" s="168">
        <f>'Table 8a'!X4</f>
        <v>6515</v>
      </c>
      <c r="V4" s="249">
        <f>'Table 8a'!Y4</f>
        <v>4594</v>
      </c>
      <c r="W4" s="249">
        <f>'Table 8a'!Z4</f>
        <v>3809</v>
      </c>
      <c r="X4" s="249">
        <f>'Table 8a'!AA4</f>
        <v>89</v>
      </c>
      <c r="Y4" s="125">
        <f>'Table 8a'!AB4</f>
        <v>1773</v>
      </c>
      <c r="Z4" s="250">
        <f>'Table 8a'!AC4</f>
        <v>1582</v>
      </c>
      <c r="AA4" s="47">
        <f t="shared" ref="AA4:AF5" si="0">$M4*U4/1000000</f>
        <v>0.01</v>
      </c>
      <c r="AB4" s="181">
        <f t="shared" si="0"/>
        <v>0</v>
      </c>
      <c r="AC4" s="181">
        <f t="shared" si="0"/>
        <v>0</v>
      </c>
      <c r="AD4" s="181">
        <f t="shared" si="0"/>
        <v>0</v>
      </c>
      <c r="AE4" s="181">
        <f t="shared" si="0"/>
        <v>0</v>
      </c>
      <c r="AF4" s="1107">
        <f t="shared" si="0"/>
        <v>0</v>
      </c>
    </row>
    <row r="5" spans="1:32" ht="13.5" thickBot="1">
      <c r="A5" s="1763" t="s">
        <v>14</v>
      </c>
      <c r="B5" s="734" t="s">
        <v>17</v>
      </c>
      <c r="C5" s="18">
        <v>0.37</v>
      </c>
      <c r="D5" s="1147">
        <v>0.36</v>
      </c>
      <c r="E5" s="1147">
        <v>0.36</v>
      </c>
      <c r="F5" s="1147">
        <v>0.35</v>
      </c>
      <c r="G5" s="410">
        <v>0.34</v>
      </c>
      <c r="H5" s="861">
        <f>'Table 8a'!K5</f>
        <v>54285</v>
      </c>
      <c r="I5" s="368">
        <f>'Table 8a'!L5</f>
        <v>55728</v>
      </c>
      <c r="J5" s="368">
        <f>'Table 8a'!M5</f>
        <v>58180</v>
      </c>
      <c r="K5" s="368">
        <f>'Table 8a'!N5</f>
        <v>59075</v>
      </c>
      <c r="L5" s="369">
        <f>'Table 8a'!O5</f>
        <v>60547</v>
      </c>
      <c r="M5" s="704">
        <f t="shared" ref="M5:M26" si="1">(C5+D5+E5+F5+G5)/(H5+I5+J5+K5+L5)*1000000</f>
        <v>6</v>
      </c>
      <c r="N5" s="1101">
        <f>'Table 8a'!Q5</f>
        <v>55728</v>
      </c>
      <c r="O5" s="368">
        <f>'Table 8a'!R5</f>
        <v>65450</v>
      </c>
      <c r="P5" s="368">
        <f>'Table 8a'!S5</f>
        <v>72431</v>
      </c>
      <c r="Q5" s="368">
        <f>'Table 8a'!T5</f>
        <v>78722</v>
      </c>
      <c r="R5" s="711">
        <f>'Table 8a'!U5</f>
        <v>87233</v>
      </c>
      <c r="S5" s="368">
        <f>'Table 8a'!V5</f>
        <v>92660</v>
      </c>
      <c r="T5" s="801">
        <f>'Table 8a'!W5</f>
        <v>96978</v>
      </c>
      <c r="U5" s="861">
        <f>'Table 8a'!X5</f>
        <v>9722</v>
      </c>
      <c r="V5" s="368">
        <f>'Table 8a'!Y5</f>
        <v>6981</v>
      </c>
      <c r="W5" s="368">
        <f>'Table 8a'!Z5</f>
        <v>6291</v>
      </c>
      <c r="X5" s="368">
        <f>'Table 8a'!AA5</f>
        <v>8511</v>
      </c>
      <c r="Y5" s="711">
        <f>'Table 8a'!AB5</f>
        <v>5427</v>
      </c>
      <c r="Z5" s="369">
        <f>'Table 8a'!AC5</f>
        <v>4318</v>
      </c>
      <c r="AA5" s="48">
        <f t="shared" si="0"/>
        <v>0.06</v>
      </c>
      <c r="AB5" s="712">
        <f t="shared" si="0"/>
        <v>0.04</v>
      </c>
      <c r="AC5" s="712">
        <f t="shared" si="0"/>
        <v>0.04</v>
      </c>
      <c r="AD5" s="712">
        <f t="shared" si="0"/>
        <v>0.05</v>
      </c>
      <c r="AE5" s="712">
        <f t="shared" si="0"/>
        <v>0.03</v>
      </c>
      <c r="AF5" s="1108">
        <f t="shared" si="0"/>
        <v>0.03</v>
      </c>
    </row>
    <row r="6" spans="1:32" s="22" customFormat="1" ht="14.25" thickTop="1" thickBot="1">
      <c r="A6" s="732" t="s">
        <v>14</v>
      </c>
      <c r="B6" s="733" t="s">
        <v>18</v>
      </c>
      <c r="C6" s="36">
        <f t="shared" ref="C6:G6" si="2">SUM(C4:C5)</f>
        <v>0.47</v>
      </c>
      <c r="D6" s="1148">
        <f t="shared" si="2"/>
        <v>0.47</v>
      </c>
      <c r="E6" s="1148">
        <f t="shared" si="2"/>
        <v>0.47</v>
      </c>
      <c r="F6" s="1148">
        <f t="shared" si="2"/>
        <v>0.47</v>
      </c>
      <c r="G6" s="32">
        <f t="shared" si="2"/>
        <v>0.4</v>
      </c>
      <c r="H6" s="857">
        <f>'Table 8a'!K6</f>
        <v>249350</v>
      </c>
      <c r="I6" s="251">
        <f>'Table 8a'!L6</f>
        <v>253194</v>
      </c>
      <c r="J6" s="251">
        <f>'Table 8a'!M6</f>
        <v>255708</v>
      </c>
      <c r="K6" s="251">
        <f>'Table 8a'!N6</f>
        <v>258688</v>
      </c>
      <c r="L6" s="167">
        <f>'Table 8a'!O6</f>
        <v>262070</v>
      </c>
      <c r="M6" s="705">
        <f t="shared" si="1"/>
        <v>2</v>
      </c>
      <c r="N6" s="254">
        <f>'Table 8a'!Q6</f>
        <v>253194</v>
      </c>
      <c r="O6" s="251">
        <f>'Table 8a'!R6</f>
        <v>269431</v>
      </c>
      <c r="P6" s="251">
        <f>'Table 8a'!S6</f>
        <v>281006</v>
      </c>
      <c r="Q6" s="251">
        <f>'Table 8a'!T6</f>
        <v>291106</v>
      </c>
      <c r="R6" s="77">
        <f>'Table 8a'!U6</f>
        <v>299706</v>
      </c>
      <c r="S6" s="251">
        <f>'Table 8a'!V6</f>
        <v>306906</v>
      </c>
      <c r="T6" s="213">
        <f>'Table 8a'!W6</f>
        <v>312806</v>
      </c>
      <c r="U6" s="857">
        <f>'Table 8a'!X6</f>
        <v>16237</v>
      </c>
      <c r="V6" s="251">
        <f>'Table 8a'!Y6</f>
        <v>11575</v>
      </c>
      <c r="W6" s="251">
        <f>'Table 8a'!Z6</f>
        <v>10100</v>
      </c>
      <c r="X6" s="251">
        <f>'Table 8a'!AA6</f>
        <v>8600</v>
      </c>
      <c r="Y6" s="77">
        <f>'Table 8a'!AB6</f>
        <v>7200</v>
      </c>
      <c r="Z6" s="167">
        <f>'Table 8a'!AC6</f>
        <v>5900</v>
      </c>
      <c r="AA6" s="34">
        <f t="shared" ref="AA6:AF6" si="3">SUM(AA4:AA5)</f>
        <v>7.0000000000000007E-2</v>
      </c>
      <c r="AB6" s="774">
        <f t="shared" si="3"/>
        <v>0.04</v>
      </c>
      <c r="AC6" s="774">
        <f t="shared" si="3"/>
        <v>0.04</v>
      </c>
      <c r="AD6" s="774">
        <f t="shared" si="3"/>
        <v>0.05</v>
      </c>
      <c r="AE6" s="774">
        <f t="shared" si="3"/>
        <v>0.03</v>
      </c>
      <c r="AF6" s="21">
        <f t="shared" si="3"/>
        <v>0.03</v>
      </c>
    </row>
    <row r="7" spans="1:32">
      <c r="A7" s="728" t="s">
        <v>19</v>
      </c>
      <c r="B7" s="267" t="s">
        <v>15</v>
      </c>
      <c r="C7" s="151">
        <v>0.47</v>
      </c>
      <c r="D7" s="1145">
        <v>0.42</v>
      </c>
      <c r="E7" s="1145">
        <v>0.34</v>
      </c>
      <c r="F7" s="1145">
        <v>0.39</v>
      </c>
      <c r="G7" s="113">
        <v>0.35</v>
      </c>
      <c r="H7" s="170">
        <f>'Table 8a'!K7</f>
        <v>26532</v>
      </c>
      <c r="I7" s="169">
        <f>'Table 8a'!L7</f>
        <v>26556</v>
      </c>
      <c r="J7" s="169">
        <f>'Table 8a'!M7</f>
        <v>26506</v>
      </c>
      <c r="K7" s="169">
        <f>'Table 8a'!N7</f>
        <v>26729</v>
      </c>
      <c r="L7" s="171">
        <f>'Table 8a'!O7</f>
        <v>27189</v>
      </c>
      <c r="M7" s="703">
        <f t="shared" si="1"/>
        <v>15</v>
      </c>
      <c r="N7" s="324">
        <f>'Table 8a'!Q7</f>
        <v>26556</v>
      </c>
      <c r="O7" s="169">
        <f>'Table 8a'!R7</f>
        <v>27440</v>
      </c>
      <c r="P7" s="169">
        <f>'Table 8a'!S7</f>
        <v>28838</v>
      </c>
      <c r="Q7" s="169">
        <f>'Table 8a'!T7</f>
        <v>30026</v>
      </c>
      <c r="R7" s="127">
        <f>'Table 8a'!U7</f>
        <v>30922</v>
      </c>
      <c r="S7" s="169">
        <f>'Table 8a'!V7</f>
        <v>31667</v>
      </c>
      <c r="T7" s="748">
        <f>'Table 8a'!W7</f>
        <v>32394</v>
      </c>
      <c r="U7" s="170">
        <f>'Table 8a'!X7</f>
        <v>884</v>
      </c>
      <c r="V7" s="169">
        <f>'Table 8a'!Y7</f>
        <v>1398</v>
      </c>
      <c r="W7" s="169">
        <f>'Table 8a'!Z7</f>
        <v>1188</v>
      </c>
      <c r="X7" s="169">
        <f>'Table 8a'!AA7</f>
        <v>896</v>
      </c>
      <c r="Y7" s="127">
        <f>'Table 8a'!AB7</f>
        <v>745</v>
      </c>
      <c r="Z7" s="171">
        <f>'Table 8a'!AC7</f>
        <v>727</v>
      </c>
      <c r="AA7" s="149">
        <f t="shared" ref="AA7:AF8" si="4">$M7*U7/1000000</f>
        <v>0.01</v>
      </c>
      <c r="AB7" s="702">
        <f t="shared" si="4"/>
        <v>0.02</v>
      </c>
      <c r="AC7" s="702">
        <f t="shared" si="4"/>
        <v>0.02</v>
      </c>
      <c r="AD7" s="702">
        <f t="shared" si="4"/>
        <v>0.01</v>
      </c>
      <c r="AE7" s="702">
        <f t="shared" si="4"/>
        <v>0.01</v>
      </c>
      <c r="AF7" s="1109">
        <f t="shared" si="4"/>
        <v>0.01</v>
      </c>
    </row>
    <row r="8" spans="1:32" ht="13.5" thickBot="1">
      <c r="A8" s="1764" t="s">
        <v>19</v>
      </c>
      <c r="B8" s="268" t="s">
        <v>17</v>
      </c>
      <c r="C8" s="18">
        <v>0.2</v>
      </c>
      <c r="D8" s="1147">
        <v>0.21</v>
      </c>
      <c r="E8" s="1147">
        <v>0.19</v>
      </c>
      <c r="F8" s="1147">
        <v>0.18</v>
      </c>
      <c r="G8" s="410">
        <v>0.19</v>
      </c>
      <c r="H8" s="861">
        <f>'Table 8a'!K8</f>
        <v>503</v>
      </c>
      <c r="I8" s="368">
        <f>'Table 8a'!L8</f>
        <v>503</v>
      </c>
      <c r="J8" s="368">
        <f>'Table 8a'!M8</f>
        <v>489</v>
      </c>
      <c r="K8" s="368">
        <f>'Table 8a'!N8</f>
        <v>498</v>
      </c>
      <c r="L8" s="369">
        <f>'Table 8a'!O8</f>
        <v>507</v>
      </c>
      <c r="M8" s="704">
        <f t="shared" si="1"/>
        <v>388</v>
      </c>
      <c r="N8" s="1101">
        <f>'Table 8a'!Q8</f>
        <v>503</v>
      </c>
      <c r="O8" s="368">
        <f>'Table 8a'!R8</f>
        <v>521</v>
      </c>
      <c r="P8" s="368">
        <f>'Table 8a'!S8</f>
        <v>549</v>
      </c>
      <c r="Q8" s="368">
        <f>'Table 8a'!T8</f>
        <v>573</v>
      </c>
      <c r="R8" s="711">
        <f>'Table 8a'!U8</f>
        <v>591</v>
      </c>
      <c r="S8" s="368">
        <f>'Table 8a'!V8</f>
        <v>609</v>
      </c>
      <c r="T8" s="801">
        <f>'Table 8a'!W8</f>
        <v>623</v>
      </c>
      <c r="U8" s="861">
        <f>'Table 8a'!X8</f>
        <v>18</v>
      </c>
      <c r="V8" s="368">
        <f>'Table 8a'!Y8</f>
        <v>28</v>
      </c>
      <c r="W8" s="368">
        <f>'Table 8a'!Z8</f>
        <v>24</v>
      </c>
      <c r="X8" s="368">
        <f>'Table 8a'!AA8</f>
        <v>18</v>
      </c>
      <c r="Y8" s="711">
        <f>'Table 8a'!AB8</f>
        <v>18</v>
      </c>
      <c r="Z8" s="369">
        <f>'Table 8a'!AC8</f>
        <v>14</v>
      </c>
      <c r="AA8" s="48">
        <f t="shared" si="4"/>
        <v>0.01</v>
      </c>
      <c r="AB8" s="712">
        <f t="shared" si="4"/>
        <v>0.01</v>
      </c>
      <c r="AC8" s="712">
        <f t="shared" si="4"/>
        <v>0.01</v>
      </c>
      <c r="AD8" s="712">
        <f t="shared" si="4"/>
        <v>0.01</v>
      </c>
      <c r="AE8" s="712">
        <f t="shared" si="4"/>
        <v>0.01</v>
      </c>
      <c r="AF8" s="1108">
        <f t="shared" si="4"/>
        <v>0.01</v>
      </c>
    </row>
    <row r="9" spans="1:32" s="22" customFormat="1" ht="14.25" thickTop="1" thickBot="1">
      <c r="A9" s="735" t="s">
        <v>19</v>
      </c>
      <c r="B9" s="731" t="s">
        <v>18</v>
      </c>
      <c r="C9" s="36">
        <f t="shared" ref="C9:G9" si="5">SUM(C7:C8)</f>
        <v>0.67</v>
      </c>
      <c r="D9" s="1148">
        <f t="shared" si="5"/>
        <v>0.63</v>
      </c>
      <c r="E9" s="1148">
        <f t="shared" si="5"/>
        <v>0.53</v>
      </c>
      <c r="F9" s="1148">
        <f t="shared" si="5"/>
        <v>0.56999999999999995</v>
      </c>
      <c r="G9" s="32">
        <f t="shared" si="5"/>
        <v>0.54</v>
      </c>
      <c r="H9" s="857">
        <f>'Table 8a'!K9</f>
        <v>27035</v>
      </c>
      <c r="I9" s="251">
        <f>'Table 8a'!L9</f>
        <v>27059</v>
      </c>
      <c r="J9" s="251">
        <f>'Table 8a'!M9</f>
        <v>26995</v>
      </c>
      <c r="K9" s="251">
        <f>'Table 8a'!N9</f>
        <v>27227</v>
      </c>
      <c r="L9" s="167">
        <f>'Table 8a'!O9</f>
        <v>27696</v>
      </c>
      <c r="M9" s="705">
        <f t="shared" si="1"/>
        <v>22</v>
      </c>
      <c r="N9" s="254">
        <f>'Table 8a'!Q9</f>
        <v>27059</v>
      </c>
      <c r="O9" s="251">
        <f>'Table 8a'!R9</f>
        <v>27961</v>
      </c>
      <c r="P9" s="251">
        <f>'Table 8a'!S9</f>
        <v>29387</v>
      </c>
      <c r="Q9" s="251">
        <f>'Table 8a'!T9</f>
        <v>30599</v>
      </c>
      <c r="R9" s="77">
        <f>'Table 8a'!U9</f>
        <v>31513</v>
      </c>
      <c r="S9" s="251">
        <f>'Table 8a'!V9</f>
        <v>32276</v>
      </c>
      <c r="T9" s="213">
        <f>'Table 8a'!W9</f>
        <v>33017</v>
      </c>
      <c r="U9" s="857">
        <f>'Table 8a'!X9</f>
        <v>902</v>
      </c>
      <c r="V9" s="251">
        <f>'Table 8a'!Y9</f>
        <v>1426</v>
      </c>
      <c r="W9" s="251">
        <f>'Table 8a'!Z9</f>
        <v>1212</v>
      </c>
      <c r="X9" s="251">
        <f>'Table 8a'!AA9</f>
        <v>914</v>
      </c>
      <c r="Y9" s="77">
        <f>'Table 8a'!AB9</f>
        <v>763</v>
      </c>
      <c r="Z9" s="167">
        <f>'Table 8a'!AC9</f>
        <v>741</v>
      </c>
      <c r="AA9" s="34">
        <f t="shared" ref="AA9:AF9" si="6">SUM(AA7:AA8)</f>
        <v>0.02</v>
      </c>
      <c r="AB9" s="774">
        <f t="shared" si="6"/>
        <v>0.03</v>
      </c>
      <c r="AC9" s="774">
        <f t="shared" si="6"/>
        <v>0.03</v>
      </c>
      <c r="AD9" s="774">
        <f t="shared" si="6"/>
        <v>0.02</v>
      </c>
      <c r="AE9" s="774">
        <f t="shared" si="6"/>
        <v>0.02</v>
      </c>
      <c r="AF9" s="21">
        <f t="shared" si="6"/>
        <v>0.02</v>
      </c>
    </row>
    <row r="10" spans="1:32">
      <c r="A10" s="728" t="s">
        <v>20</v>
      </c>
      <c r="B10" s="267" t="s">
        <v>15</v>
      </c>
      <c r="C10" s="151">
        <v>0.01</v>
      </c>
      <c r="D10" s="1145">
        <v>0</v>
      </c>
      <c r="E10" s="1145">
        <v>0</v>
      </c>
      <c r="F10" s="1145">
        <v>0</v>
      </c>
      <c r="G10" s="113">
        <v>0</v>
      </c>
      <c r="H10" s="170">
        <f>'Table 8a'!K10</f>
        <v>2301</v>
      </c>
      <c r="I10" s="169">
        <f>'Table 8a'!L10</f>
        <v>2289</v>
      </c>
      <c r="J10" s="169">
        <f>'Table 8a'!M10</f>
        <v>2312</v>
      </c>
      <c r="K10" s="169">
        <f>'Table 8a'!N10</f>
        <v>2319</v>
      </c>
      <c r="L10" s="171">
        <f>'Table 8a'!O10</f>
        <v>2366</v>
      </c>
      <c r="M10" s="703">
        <f t="shared" si="1"/>
        <v>1</v>
      </c>
      <c r="N10" s="324">
        <f>'Table 8a'!Q10</f>
        <v>2289</v>
      </c>
      <c r="O10" s="169">
        <f>'Table 8a'!R10</f>
        <v>2475</v>
      </c>
      <c r="P10" s="169">
        <f>'Table 8a'!S10</f>
        <v>2872</v>
      </c>
      <c r="Q10" s="169">
        <f>'Table 8a'!T10</f>
        <v>3069</v>
      </c>
      <c r="R10" s="127">
        <f>'Table 8a'!U10</f>
        <v>3069</v>
      </c>
      <c r="S10" s="169">
        <f>'Table 8a'!V10</f>
        <v>3234</v>
      </c>
      <c r="T10" s="748">
        <f>'Table 8a'!W10</f>
        <v>3418</v>
      </c>
      <c r="U10" s="170">
        <f>'Table 8a'!X10</f>
        <v>186</v>
      </c>
      <c r="V10" s="169">
        <f>'Table 8a'!Y10</f>
        <v>397</v>
      </c>
      <c r="W10" s="169">
        <f>'Table 8a'!Z10</f>
        <v>197</v>
      </c>
      <c r="X10" s="169">
        <f>'Table 8a'!AA10</f>
        <v>0</v>
      </c>
      <c r="Y10" s="127">
        <f>'Table 8a'!AB10</f>
        <v>165</v>
      </c>
      <c r="Z10" s="171">
        <f>'Table 8a'!AC10</f>
        <v>184</v>
      </c>
      <c r="AA10" s="149">
        <f t="shared" ref="AA10:AF11" si="7">$M10*U10/1000000</f>
        <v>0</v>
      </c>
      <c r="AB10" s="702">
        <f t="shared" si="7"/>
        <v>0</v>
      </c>
      <c r="AC10" s="702">
        <f t="shared" si="7"/>
        <v>0</v>
      </c>
      <c r="AD10" s="702">
        <f t="shared" si="7"/>
        <v>0</v>
      </c>
      <c r="AE10" s="702">
        <f t="shared" si="7"/>
        <v>0</v>
      </c>
      <c r="AF10" s="1109">
        <f t="shared" si="7"/>
        <v>0</v>
      </c>
    </row>
    <row r="11" spans="1:32" ht="13.5" thickBot="1">
      <c r="A11" s="1764" t="s">
        <v>20</v>
      </c>
      <c r="B11" s="268" t="s">
        <v>17</v>
      </c>
      <c r="C11" s="18">
        <v>0.9</v>
      </c>
      <c r="D11" s="1147">
        <v>1.04</v>
      </c>
      <c r="E11" s="1147">
        <v>1.02</v>
      </c>
      <c r="F11" s="1147">
        <v>1.01</v>
      </c>
      <c r="G11" s="410">
        <v>1.06</v>
      </c>
      <c r="H11" s="861">
        <f>'Table 8a'!K11</f>
        <v>20803</v>
      </c>
      <c r="I11" s="368">
        <f>'Table 8a'!L11</f>
        <v>20712</v>
      </c>
      <c r="J11" s="368">
        <f>'Table 8a'!M11</f>
        <v>20853</v>
      </c>
      <c r="K11" s="368">
        <f>'Table 8a'!N11</f>
        <v>20962</v>
      </c>
      <c r="L11" s="369">
        <f>'Table 8a'!O11</f>
        <v>20741</v>
      </c>
      <c r="M11" s="704">
        <f t="shared" si="1"/>
        <v>48</v>
      </c>
      <c r="N11" s="1101">
        <f>'Table 8a'!Q11</f>
        <v>20712</v>
      </c>
      <c r="O11" s="368">
        <f>'Table 8a'!R11</f>
        <v>21080</v>
      </c>
      <c r="P11" s="368">
        <f>'Table 8a'!S11</f>
        <v>21083</v>
      </c>
      <c r="Q11" s="368">
        <f>'Table 8a'!T11</f>
        <v>21094</v>
      </c>
      <c r="R11" s="711">
        <f>'Table 8a'!U11</f>
        <v>21168</v>
      </c>
      <c r="S11" s="368">
        <f>'Table 8a'!V11</f>
        <v>21088</v>
      </c>
      <c r="T11" s="801">
        <f>'Table 8a'!W11</f>
        <v>20956</v>
      </c>
      <c r="U11" s="861">
        <f>'Table 8a'!X11</f>
        <v>368</v>
      </c>
      <c r="V11" s="368">
        <f>'Table 8a'!Y11</f>
        <v>3</v>
      </c>
      <c r="W11" s="368">
        <f>'Table 8a'!Z11</f>
        <v>11</v>
      </c>
      <c r="X11" s="368">
        <f>'Table 8a'!AA11</f>
        <v>74</v>
      </c>
      <c r="Y11" s="711">
        <f>'Table 8a'!AB11</f>
        <v>-80</v>
      </c>
      <c r="Z11" s="369">
        <f>'Table 8a'!AC11</f>
        <v>-132</v>
      </c>
      <c r="AA11" s="48">
        <f t="shared" si="7"/>
        <v>0.02</v>
      </c>
      <c r="AB11" s="712">
        <f t="shared" si="7"/>
        <v>0</v>
      </c>
      <c r="AC11" s="712">
        <f t="shared" si="7"/>
        <v>0</v>
      </c>
      <c r="AD11" s="712">
        <f t="shared" si="7"/>
        <v>0</v>
      </c>
      <c r="AE11" s="712">
        <f t="shared" si="7"/>
        <v>0</v>
      </c>
      <c r="AF11" s="1108">
        <f t="shared" si="7"/>
        <v>-0.01</v>
      </c>
    </row>
    <row r="12" spans="1:32" s="22" customFormat="1" ht="14.25" thickTop="1" thickBot="1">
      <c r="A12" s="735" t="s">
        <v>20</v>
      </c>
      <c r="B12" s="731" t="s">
        <v>18</v>
      </c>
      <c r="C12" s="36">
        <f t="shared" ref="C12:G12" si="8">SUM(C10:C11)</f>
        <v>0.91</v>
      </c>
      <c r="D12" s="1148">
        <f t="shared" si="8"/>
        <v>1.04</v>
      </c>
      <c r="E12" s="1148">
        <f t="shared" si="8"/>
        <v>1.02</v>
      </c>
      <c r="F12" s="1148">
        <f t="shared" si="8"/>
        <v>1.01</v>
      </c>
      <c r="G12" s="32">
        <f t="shared" si="8"/>
        <v>1.06</v>
      </c>
      <c r="H12" s="857">
        <f>'Table 8a'!K12</f>
        <v>23104</v>
      </c>
      <c r="I12" s="251">
        <f>'Table 8a'!L12</f>
        <v>23001</v>
      </c>
      <c r="J12" s="251">
        <f>'Table 8a'!M12</f>
        <v>23165</v>
      </c>
      <c r="K12" s="251">
        <f>'Table 8a'!N12</f>
        <v>23281</v>
      </c>
      <c r="L12" s="167">
        <f>'Table 8a'!O12</f>
        <v>23107</v>
      </c>
      <c r="M12" s="705">
        <f t="shared" si="1"/>
        <v>44</v>
      </c>
      <c r="N12" s="254">
        <f>'Table 8a'!Q12</f>
        <v>23001</v>
      </c>
      <c r="O12" s="251">
        <f>'Table 8a'!R12</f>
        <v>23555</v>
      </c>
      <c r="P12" s="251">
        <f>'Table 8a'!S12</f>
        <v>23955</v>
      </c>
      <c r="Q12" s="251">
        <f>'Table 8a'!T12</f>
        <v>24163</v>
      </c>
      <c r="R12" s="77">
        <f>'Table 8a'!U12</f>
        <v>24237</v>
      </c>
      <c r="S12" s="251">
        <f>'Table 8a'!V12</f>
        <v>24322</v>
      </c>
      <c r="T12" s="213">
        <f>'Table 8a'!W12</f>
        <v>24374</v>
      </c>
      <c r="U12" s="857">
        <f>'Table 8a'!X12</f>
        <v>554</v>
      </c>
      <c r="V12" s="251">
        <f>'Table 8a'!Y12</f>
        <v>400</v>
      </c>
      <c r="W12" s="251">
        <f>'Table 8a'!Z12</f>
        <v>208</v>
      </c>
      <c r="X12" s="251">
        <f>'Table 8a'!AA12</f>
        <v>74</v>
      </c>
      <c r="Y12" s="77">
        <f>'Table 8a'!AB12</f>
        <v>85</v>
      </c>
      <c r="Z12" s="167">
        <f>'Table 8a'!AC12</f>
        <v>52</v>
      </c>
      <c r="AA12" s="34">
        <f t="shared" ref="AA12:AF12" si="9">SUM(AA10:AA11)</f>
        <v>0.02</v>
      </c>
      <c r="AB12" s="774">
        <f t="shared" si="9"/>
        <v>0</v>
      </c>
      <c r="AC12" s="774">
        <f t="shared" si="9"/>
        <v>0</v>
      </c>
      <c r="AD12" s="774">
        <f t="shared" si="9"/>
        <v>0</v>
      </c>
      <c r="AE12" s="774">
        <f t="shared" si="9"/>
        <v>0</v>
      </c>
      <c r="AF12" s="21">
        <f t="shared" si="9"/>
        <v>-0.01</v>
      </c>
    </row>
    <row r="13" spans="1:32">
      <c r="A13" s="1143" t="s">
        <v>21</v>
      </c>
      <c r="B13" s="729" t="s">
        <v>15</v>
      </c>
      <c r="C13" s="883">
        <v>0.39</v>
      </c>
      <c r="D13" s="1146">
        <v>0.31</v>
      </c>
      <c r="E13" s="1146">
        <v>0.24</v>
      </c>
      <c r="F13" s="1146">
        <v>0.28000000000000003</v>
      </c>
      <c r="G13" s="884">
        <v>0.28000000000000003</v>
      </c>
      <c r="H13" s="864">
        <f>'Table 8a'!K13</f>
        <v>198718</v>
      </c>
      <c r="I13" s="872">
        <f>'Table 8a'!L13</f>
        <v>202600</v>
      </c>
      <c r="J13" s="872">
        <f>'Table 8a'!M13</f>
        <v>206498</v>
      </c>
      <c r="K13" s="872">
        <f>'Table 8a'!N13</f>
        <v>209718</v>
      </c>
      <c r="L13" s="873">
        <f>'Table 8a'!O13</f>
        <v>213169</v>
      </c>
      <c r="M13" s="796">
        <f t="shared" si="1"/>
        <v>1</v>
      </c>
      <c r="N13" s="1102">
        <f>'Table 8a'!Q13</f>
        <v>202600</v>
      </c>
      <c r="O13" s="872">
        <f>'Table 8a'!R13</f>
        <v>217009</v>
      </c>
      <c r="P13" s="872">
        <f>'Table 8a'!S13</f>
        <v>234658</v>
      </c>
      <c r="Q13" s="872">
        <f>'Table 8a'!T13</f>
        <v>247691</v>
      </c>
      <c r="R13" s="1100">
        <f>'Table 8a'!U13</f>
        <v>262835</v>
      </c>
      <c r="S13" s="872">
        <f>'Table 8a'!V13</f>
        <v>272476</v>
      </c>
      <c r="T13" s="871">
        <f>'Table 8a'!W13</f>
        <v>282960</v>
      </c>
      <c r="U13" s="864">
        <f>'Table 8a'!X13</f>
        <v>14409</v>
      </c>
      <c r="V13" s="872">
        <f>'Table 8a'!Y13</f>
        <v>17649</v>
      </c>
      <c r="W13" s="872">
        <f>'Table 8a'!Z13</f>
        <v>13033</v>
      </c>
      <c r="X13" s="872">
        <f>'Table 8a'!AA13</f>
        <v>15144</v>
      </c>
      <c r="Y13" s="1100">
        <f>'Table 8a'!AB13</f>
        <v>9641</v>
      </c>
      <c r="Z13" s="873">
        <f>'Table 8a'!AC13</f>
        <v>10484</v>
      </c>
      <c r="AA13" s="823">
        <f t="shared" ref="AA13:AA23" si="10">$M13*U13/1000000</f>
        <v>0.01</v>
      </c>
      <c r="AB13" s="802">
        <f t="shared" ref="AB13:AB23" si="11">$M13*V13/1000000</f>
        <v>0.02</v>
      </c>
      <c r="AC13" s="802">
        <f t="shared" ref="AC13:AC23" si="12">$M13*W13/1000000</f>
        <v>0.01</v>
      </c>
      <c r="AD13" s="802">
        <f t="shared" ref="AD13:AD23" si="13">$M13*X13/1000000</f>
        <v>0.02</v>
      </c>
      <c r="AE13" s="802">
        <f t="shared" ref="AE13:AE23" si="14">$M13*Y13/1000000</f>
        <v>0.01</v>
      </c>
      <c r="AF13" s="1047">
        <f t="shared" ref="AF13:AF23" si="15">$M13*Z13/1000000</f>
        <v>0.01</v>
      </c>
    </row>
    <row r="14" spans="1:32">
      <c r="A14" s="1143" t="s">
        <v>22</v>
      </c>
      <c r="B14" s="729" t="s">
        <v>17</v>
      </c>
      <c r="C14" s="883">
        <v>0.41</v>
      </c>
      <c r="D14" s="1146">
        <v>0.41</v>
      </c>
      <c r="E14" s="1146">
        <v>0.41</v>
      </c>
      <c r="F14" s="1146">
        <v>0.36</v>
      </c>
      <c r="G14" s="884">
        <v>0.35</v>
      </c>
      <c r="H14" s="864">
        <f>'Table 8a'!K14</f>
        <v>63720</v>
      </c>
      <c r="I14" s="872">
        <f>'Table 8a'!L14</f>
        <v>64037</v>
      </c>
      <c r="J14" s="872">
        <f>'Table 8a'!M14</f>
        <v>64529</v>
      </c>
      <c r="K14" s="872">
        <f>'Table 8a'!N14</f>
        <v>64999</v>
      </c>
      <c r="L14" s="873">
        <f>'Table 8a'!O14</f>
        <v>65710</v>
      </c>
      <c r="M14" s="796">
        <f t="shared" si="1"/>
        <v>6</v>
      </c>
      <c r="N14" s="1102">
        <f>'Table 8a'!Q14</f>
        <v>64037</v>
      </c>
      <c r="O14" s="872">
        <f>'Table 8a'!R14</f>
        <v>66323</v>
      </c>
      <c r="P14" s="872">
        <f>'Table 8a'!S14</f>
        <v>69323</v>
      </c>
      <c r="Q14" s="872">
        <f>'Table 8a'!T14</f>
        <v>71823</v>
      </c>
      <c r="R14" s="1100">
        <f>'Table 8a'!U14</f>
        <v>73823</v>
      </c>
      <c r="S14" s="872">
        <f>'Table 8a'!V14</f>
        <v>75523</v>
      </c>
      <c r="T14" s="871">
        <f>'Table 8a'!W14</f>
        <v>77023</v>
      </c>
      <c r="U14" s="864">
        <f>'Table 8a'!X14</f>
        <v>2286</v>
      </c>
      <c r="V14" s="872">
        <f>'Table 8a'!Y14</f>
        <v>3000</v>
      </c>
      <c r="W14" s="872">
        <f>'Table 8a'!Z14</f>
        <v>2500</v>
      </c>
      <c r="X14" s="872">
        <f>'Table 8a'!AA14</f>
        <v>2000</v>
      </c>
      <c r="Y14" s="1100">
        <f>'Table 8a'!AB14</f>
        <v>1700</v>
      </c>
      <c r="Z14" s="873">
        <f>'Table 8a'!AC14</f>
        <v>1500</v>
      </c>
      <c r="AA14" s="823">
        <f t="shared" si="10"/>
        <v>0.01</v>
      </c>
      <c r="AB14" s="802">
        <f t="shared" si="11"/>
        <v>0.02</v>
      </c>
      <c r="AC14" s="802">
        <f t="shared" si="12"/>
        <v>0.02</v>
      </c>
      <c r="AD14" s="802">
        <f t="shared" si="13"/>
        <v>0.01</v>
      </c>
      <c r="AE14" s="802">
        <f t="shared" si="14"/>
        <v>0.01</v>
      </c>
      <c r="AF14" s="1047">
        <f t="shared" si="15"/>
        <v>0.01</v>
      </c>
    </row>
    <row r="15" spans="1:32">
      <c r="A15" s="1143" t="s">
        <v>23</v>
      </c>
      <c r="B15" s="729" t="s">
        <v>15</v>
      </c>
      <c r="C15" s="883">
        <v>14.47</v>
      </c>
      <c r="D15" s="1146">
        <v>14.95</v>
      </c>
      <c r="E15" s="1146">
        <v>14.33</v>
      </c>
      <c r="F15" s="1146">
        <v>14.63</v>
      </c>
      <c r="G15" s="884">
        <v>12.5</v>
      </c>
      <c r="H15" s="864">
        <f>'Table 8a'!K15</f>
        <v>896665</v>
      </c>
      <c r="I15" s="872">
        <f>'Table 8a'!L15</f>
        <v>904905</v>
      </c>
      <c r="J15" s="872">
        <f>'Table 8a'!M15</f>
        <v>946637</v>
      </c>
      <c r="K15" s="872">
        <f>'Table 8a'!N15</f>
        <v>959764</v>
      </c>
      <c r="L15" s="873">
        <f>'Table 8a'!O15</f>
        <v>975386</v>
      </c>
      <c r="M15" s="796">
        <f t="shared" si="1"/>
        <v>15</v>
      </c>
      <c r="N15" s="1102">
        <f>'Table 8a'!Q15</f>
        <v>904905</v>
      </c>
      <c r="O15" s="872">
        <f>'Table 8a'!R15</f>
        <v>968706</v>
      </c>
      <c r="P15" s="872">
        <f>'Table 8a'!S15</f>
        <v>1035102</v>
      </c>
      <c r="Q15" s="872">
        <f>'Table 8a'!T15</f>
        <v>1086502</v>
      </c>
      <c r="R15" s="1100">
        <f>'Table 8a'!U15</f>
        <v>1131472</v>
      </c>
      <c r="S15" s="872">
        <f>'Table 8a'!V15</f>
        <v>1167975</v>
      </c>
      <c r="T15" s="871">
        <f>'Table 8a'!W15</f>
        <v>1199413</v>
      </c>
      <c r="U15" s="864">
        <f>'Table 8a'!X15</f>
        <v>63801</v>
      </c>
      <c r="V15" s="872">
        <f>'Table 8a'!Y15</f>
        <v>66396</v>
      </c>
      <c r="W15" s="872">
        <f>'Table 8a'!Z15</f>
        <v>51400</v>
      </c>
      <c r="X15" s="872">
        <f>'Table 8a'!AA15</f>
        <v>44970</v>
      </c>
      <c r="Y15" s="1100">
        <f>'Table 8a'!AB15</f>
        <v>36503</v>
      </c>
      <c r="Z15" s="873">
        <f>'Table 8a'!AC15</f>
        <v>31438</v>
      </c>
      <c r="AA15" s="823">
        <f t="shared" si="10"/>
        <v>0.96</v>
      </c>
      <c r="AB15" s="802">
        <f t="shared" si="11"/>
        <v>1</v>
      </c>
      <c r="AC15" s="802">
        <f t="shared" si="12"/>
        <v>0.77</v>
      </c>
      <c r="AD15" s="802">
        <f t="shared" si="13"/>
        <v>0.67</v>
      </c>
      <c r="AE15" s="802">
        <f t="shared" si="14"/>
        <v>0.55000000000000004</v>
      </c>
      <c r="AF15" s="1047">
        <f t="shared" si="15"/>
        <v>0.47</v>
      </c>
    </row>
    <row r="16" spans="1:32">
      <c r="A16" s="1143" t="s">
        <v>24</v>
      </c>
      <c r="B16" s="729" t="s">
        <v>15</v>
      </c>
      <c r="C16" s="883">
        <v>0.13</v>
      </c>
      <c r="D16" s="1146">
        <v>0.26</v>
      </c>
      <c r="E16" s="1146">
        <v>0</v>
      </c>
      <c r="F16" s="1146">
        <v>0</v>
      </c>
      <c r="G16" s="884">
        <v>0</v>
      </c>
      <c r="H16" s="864">
        <f>'Table 8a'!K16</f>
        <v>103993</v>
      </c>
      <c r="I16" s="872">
        <f>'Table 8a'!L16</f>
        <v>99769</v>
      </c>
      <c r="J16" s="872">
        <f>'Table 8a'!M16</f>
        <v>106175</v>
      </c>
      <c r="K16" s="872">
        <f>'Table 8a'!N16</f>
        <v>107946</v>
      </c>
      <c r="L16" s="873">
        <f>'Table 8a'!O16</f>
        <v>115564</v>
      </c>
      <c r="M16" s="796">
        <f t="shared" si="1"/>
        <v>1</v>
      </c>
      <c r="N16" s="1102">
        <f>'Table 8a'!Q16</f>
        <v>99769</v>
      </c>
      <c r="O16" s="872">
        <f>'Table 8a'!R16</f>
        <v>113387</v>
      </c>
      <c r="P16" s="872">
        <f>'Table 8a'!S16</f>
        <v>126488</v>
      </c>
      <c r="Q16" s="872">
        <f>'Table 8a'!T16</f>
        <v>137761</v>
      </c>
      <c r="R16" s="1100">
        <f>'Table 8a'!U16</f>
        <v>146696</v>
      </c>
      <c r="S16" s="872">
        <f>'Table 8a'!V16</f>
        <v>152470</v>
      </c>
      <c r="T16" s="871">
        <f>'Table 8a'!W16</f>
        <v>157026</v>
      </c>
      <c r="U16" s="864">
        <f>'Table 8a'!X16</f>
        <v>13618</v>
      </c>
      <c r="V16" s="872">
        <f>'Table 8a'!Y16</f>
        <v>13101</v>
      </c>
      <c r="W16" s="872">
        <f>'Table 8a'!Z16</f>
        <v>11273</v>
      </c>
      <c r="X16" s="872">
        <f>'Table 8a'!AA16</f>
        <v>8935</v>
      </c>
      <c r="Y16" s="1100">
        <f>'Table 8a'!AB16</f>
        <v>5774</v>
      </c>
      <c r="Z16" s="873">
        <f>'Table 8a'!AC16</f>
        <v>4556</v>
      </c>
      <c r="AA16" s="823">
        <f t="shared" si="10"/>
        <v>0.01</v>
      </c>
      <c r="AB16" s="802">
        <f t="shared" si="11"/>
        <v>0.01</v>
      </c>
      <c r="AC16" s="802">
        <f t="shared" si="12"/>
        <v>0.01</v>
      </c>
      <c r="AD16" s="802">
        <f t="shared" si="13"/>
        <v>0.01</v>
      </c>
      <c r="AE16" s="802">
        <f t="shared" si="14"/>
        <v>0.01</v>
      </c>
      <c r="AF16" s="1047">
        <f t="shared" si="15"/>
        <v>0</v>
      </c>
    </row>
    <row r="17" spans="1:32">
      <c r="A17" s="1143" t="s">
        <v>25</v>
      </c>
      <c r="B17" s="729" t="s">
        <v>17</v>
      </c>
      <c r="C17" s="883">
        <v>0.39</v>
      </c>
      <c r="D17" s="1146">
        <v>0.37</v>
      </c>
      <c r="E17" s="1146">
        <v>0.41</v>
      </c>
      <c r="F17" s="1146">
        <v>0.43</v>
      </c>
      <c r="G17" s="884">
        <v>0.54</v>
      </c>
      <c r="H17" s="864">
        <f>'Table 8a'!K17</f>
        <v>16007</v>
      </c>
      <c r="I17" s="872">
        <f>'Table 8a'!L17</f>
        <v>16158</v>
      </c>
      <c r="J17" s="872">
        <f>'Table 8a'!M17</f>
        <v>16340</v>
      </c>
      <c r="K17" s="872">
        <f>'Table 8a'!N17</f>
        <v>16475</v>
      </c>
      <c r="L17" s="873">
        <f>'Table 8a'!O17</f>
        <v>16704</v>
      </c>
      <c r="M17" s="796">
        <f t="shared" si="1"/>
        <v>26</v>
      </c>
      <c r="N17" s="1102">
        <f>'Table 8a'!Q17</f>
        <v>16158</v>
      </c>
      <c r="O17" s="872">
        <f>'Table 8a'!R17</f>
        <v>17214</v>
      </c>
      <c r="P17" s="872">
        <f>'Table 8a'!S17</f>
        <v>18114</v>
      </c>
      <c r="Q17" s="872">
        <f>'Table 8a'!T17</f>
        <v>18914</v>
      </c>
      <c r="R17" s="1100">
        <f>'Table 8a'!U17</f>
        <v>19614</v>
      </c>
      <c r="S17" s="872">
        <f>'Table 8a'!V17</f>
        <v>20114</v>
      </c>
      <c r="T17" s="871">
        <f>'Table 8a'!W17</f>
        <v>20614</v>
      </c>
      <c r="U17" s="864">
        <f>'Table 8a'!X17</f>
        <v>1056</v>
      </c>
      <c r="V17" s="872">
        <f>'Table 8a'!Y17</f>
        <v>900</v>
      </c>
      <c r="W17" s="872">
        <f>'Table 8a'!Z17</f>
        <v>800</v>
      </c>
      <c r="X17" s="872">
        <f>'Table 8a'!AA17</f>
        <v>700</v>
      </c>
      <c r="Y17" s="1100">
        <f>'Table 8a'!AB17</f>
        <v>500</v>
      </c>
      <c r="Z17" s="873">
        <f>'Table 8a'!AC17</f>
        <v>500</v>
      </c>
      <c r="AA17" s="823">
        <f t="shared" si="10"/>
        <v>0.03</v>
      </c>
      <c r="AB17" s="802">
        <f t="shared" si="11"/>
        <v>0.02</v>
      </c>
      <c r="AC17" s="802">
        <f t="shared" si="12"/>
        <v>0.02</v>
      </c>
      <c r="AD17" s="802">
        <f t="shared" si="13"/>
        <v>0.02</v>
      </c>
      <c r="AE17" s="802">
        <f t="shared" si="14"/>
        <v>0.01</v>
      </c>
      <c r="AF17" s="1047">
        <f t="shared" si="15"/>
        <v>0.01</v>
      </c>
    </row>
    <row r="18" spans="1:32">
      <c r="A18" s="1143" t="s">
        <v>26</v>
      </c>
      <c r="B18" s="729" t="s">
        <v>17</v>
      </c>
      <c r="C18" s="883">
        <v>0.05</v>
      </c>
      <c r="D18" s="883">
        <v>0.05</v>
      </c>
      <c r="E18" s="883">
        <v>0.05</v>
      </c>
      <c r="F18" s="883">
        <v>0.05</v>
      </c>
      <c r="G18" s="883">
        <v>0.05</v>
      </c>
      <c r="H18" s="864">
        <f>'Table 8a'!K18</f>
        <v>12064</v>
      </c>
      <c r="I18" s="872">
        <f>'Table 8a'!L18</f>
        <v>12141</v>
      </c>
      <c r="J18" s="872">
        <f>'Table 8a'!M18</f>
        <v>12146</v>
      </c>
      <c r="K18" s="872">
        <f>'Table 8a'!N18</f>
        <v>12106</v>
      </c>
      <c r="L18" s="873">
        <f>'Table 8a'!O18</f>
        <v>12162</v>
      </c>
      <c r="M18" s="305">
        <f t="shared" si="1"/>
        <v>4</v>
      </c>
      <c r="N18" s="1102">
        <f>'Table 8a'!Q18</f>
        <v>12141</v>
      </c>
      <c r="O18" s="872">
        <f>'Table 8a'!R18</f>
        <v>12081</v>
      </c>
      <c r="P18" s="872">
        <f>'Table 8a'!S18</f>
        <v>12281</v>
      </c>
      <c r="Q18" s="872">
        <f>'Table 8a'!T18</f>
        <v>12381</v>
      </c>
      <c r="R18" s="1100">
        <f>'Table 8a'!U18</f>
        <v>12381</v>
      </c>
      <c r="S18" s="872">
        <f>'Table 8a'!V18</f>
        <v>12381</v>
      </c>
      <c r="T18" s="871">
        <f>'Table 8a'!W18</f>
        <v>12481</v>
      </c>
      <c r="U18" s="864">
        <f>'Table 8a'!X18</f>
        <v>-60</v>
      </c>
      <c r="V18" s="872">
        <f>'Table 8a'!Y18</f>
        <v>200</v>
      </c>
      <c r="W18" s="872">
        <f>'Table 8a'!Z18</f>
        <v>100</v>
      </c>
      <c r="X18" s="872">
        <f>'Table 8a'!AA18</f>
        <v>0</v>
      </c>
      <c r="Y18" s="1100">
        <f>'Table 8a'!AB18</f>
        <v>0</v>
      </c>
      <c r="Z18" s="873">
        <f>'Table 8a'!AC18</f>
        <v>100</v>
      </c>
      <c r="AA18" s="823">
        <f t="shared" si="10"/>
        <v>0</v>
      </c>
      <c r="AB18" s="802">
        <f t="shared" si="11"/>
        <v>0</v>
      </c>
      <c r="AC18" s="802">
        <f t="shared" si="12"/>
        <v>0</v>
      </c>
      <c r="AD18" s="802">
        <f t="shared" si="13"/>
        <v>0</v>
      </c>
      <c r="AE18" s="802">
        <f t="shared" si="14"/>
        <v>0</v>
      </c>
      <c r="AF18" s="1047">
        <f t="shared" si="15"/>
        <v>0</v>
      </c>
    </row>
    <row r="19" spans="1:32">
      <c r="A19" s="364" t="s">
        <v>27</v>
      </c>
      <c r="B19" s="296" t="s">
        <v>15</v>
      </c>
      <c r="C19" s="883">
        <v>0.15</v>
      </c>
      <c r="D19" s="1146">
        <v>0.17</v>
      </c>
      <c r="E19" s="1146">
        <v>0.35</v>
      </c>
      <c r="F19" s="1146">
        <v>0.39</v>
      </c>
      <c r="G19" s="884">
        <v>0.38</v>
      </c>
      <c r="H19" s="864">
        <f>'Table 8a'!K19</f>
        <v>76619</v>
      </c>
      <c r="I19" s="872">
        <f>'Table 8a'!L19</f>
        <v>77817</v>
      </c>
      <c r="J19" s="872">
        <f>'Table 8a'!M19</f>
        <v>79234</v>
      </c>
      <c r="K19" s="872">
        <f>'Table 8a'!N19</f>
        <v>81833</v>
      </c>
      <c r="L19" s="873">
        <f>'Table 8a'!O19</f>
        <v>84155</v>
      </c>
      <c r="M19" s="1151">
        <f t="shared" si="1"/>
        <v>4</v>
      </c>
      <c r="N19" s="864">
        <f>'Table 8a'!Q19</f>
        <v>77817</v>
      </c>
      <c r="O19" s="872">
        <f>'Table 8a'!R19</f>
        <v>85974</v>
      </c>
      <c r="P19" s="872">
        <f>'Table 8a'!S19</f>
        <v>95334</v>
      </c>
      <c r="Q19" s="872">
        <f>'Table 8a'!T19</f>
        <v>102440</v>
      </c>
      <c r="R19" s="1100">
        <f>'Table 8a'!U19</f>
        <v>108633</v>
      </c>
      <c r="S19" s="872">
        <f>'Table 8a'!V19</f>
        <v>113803</v>
      </c>
      <c r="T19" s="871">
        <f>'Table 8a'!W19</f>
        <v>118436</v>
      </c>
      <c r="U19" s="864">
        <f>'Table 8a'!X19</f>
        <v>8157</v>
      </c>
      <c r="V19" s="872">
        <f>'Table 8a'!Y19</f>
        <v>9360</v>
      </c>
      <c r="W19" s="872">
        <f>'Table 8a'!Z19</f>
        <v>7106</v>
      </c>
      <c r="X19" s="872">
        <f>'Table 8a'!AA19</f>
        <v>6193</v>
      </c>
      <c r="Y19" s="1100">
        <f>'Table 8a'!AB19</f>
        <v>5170</v>
      </c>
      <c r="Z19" s="873">
        <f>'Table 8a'!AC19</f>
        <v>4633</v>
      </c>
      <c r="AA19" s="823">
        <f t="shared" si="10"/>
        <v>0.03</v>
      </c>
      <c r="AB19" s="802">
        <f t="shared" si="11"/>
        <v>0.04</v>
      </c>
      <c r="AC19" s="802">
        <f t="shared" si="12"/>
        <v>0.03</v>
      </c>
      <c r="AD19" s="802">
        <f t="shared" si="13"/>
        <v>0.02</v>
      </c>
      <c r="AE19" s="802">
        <f t="shared" si="14"/>
        <v>0.02</v>
      </c>
      <c r="AF19" s="1047">
        <f t="shared" si="15"/>
        <v>0.02</v>
      </c>
    </row>
    <row r="20" spans="1:32">
      <c r="A20" s="364" t="s">
        <v>28</v>
      </c>
      <c r="B20" s="296" t="s">
        <v>15</v>
      </c>
      <c r="C20" s="883">
        <v>2.73</v>
      </c>
      <c r="D20" s="1146">
        <v>3.59</v>
      </c>
      <c r="E20" s="1146">
        <v>3.67</v>
      </c>
      <c r="F20" s="1146">
        <v>3.74</v>
      </c>
      <c r="G20" s="884">
        <v>3.25</v>
      </c>
      <c r="H20" s="864">
        <f>'Table 8a'!K20</f>
        <v>78327</v>
      </c>
      <c r="I20" s="872">
        <f>'Table 8a'!L20</f>
        <v>76784</v>
      </c>
      <c r="J20" s="872">
        <f>'Table 8a'!M20</f>
        <v>78876</v>
      </c>
      <c r="K20" s="872">
        <f>'Table 8a'!N20</f>
        <v>79171</v>
      </c>
      <c r="L20" s="873">
        <f>'Table 8a'!O20</f>
        <v>79125</v>
      </c>
      <c r="M20" s="1151">
        <f t="shared" si="1"/>
        <v>43</v>
      </c>
      <c r="N20" s="864">
        <f>'Table 8a'!Q20</f>
        <v>76784</v>
      </c>
      <c r="O20" s="872">
        <f>'Table 8a'!R20</f>
        <v>77241</v>
      </c>
      <c r="P20" s="872">
        <f>'Table 8a'!S20</f>
        <v>77513</v>
      </c>
      <c r="Q20" s="872">
        <f>'Table 8a'!T20</f>
        <v>77598</v>
      </c>
      <c r="R20" s="1100">
        <f>'Table 8a'!U20</f>
        <v>77772</v>
      </c>
      <c r="S20" s="872">
        <f>'Table 8a'!V20</f>
        <v>77933</v>
      </c>
      <c r="T20" s="871">
        <f>'Table 8a'!W20</f>
        <v>78117</v>
      </c>
      <c r="U20" s="864">
        <f>'Table 8a'!X20</f>
        <v>457</v>
      </c>
      <c r="V20" s="872">
        <f>'Table 8a'!Y20</f>
        <v>272</v>
      </c>
      <c r="W20" s="872">
        <f>'Table 8a'!Z20</f>
        <v>85</v>
      </c>
      <c r="X20" s="872">
        <f>'Table 8a'!AA20</f>
        <v>174</v>
      </c>
      <c r="Y20" s="1100">
        <f>'Table 8a'!AB20</f>
        <v>161</v>
      </c>
      <c r="Z20" s="873">
        <f>'Table 8a'!AC20</f>
        <v>184</v>
      </c>
      <c r="AA20" s="823">
        <f t="shared" si="10"/>
        <v>0.02</v>
      </c>
      <c r="AB20" s="802">
        <f t="shared" si="11"/>
        <v>0.01</v>
      </c>
      <c r="AC20" s="802">
        <f t="shared" si="12"/>
        <v>0</v>
      </c>
      <c r="AD20" s="802">
        <f t="shared" si="13"/>
        <v>0.01</v>
      </c>
      <c r="AE20" s="802">
        <f t="shared" si="14"/>
        <v>0.01</v>
      </c>
      <c r="AF20" s="1047">
        <f t="shared" si="15"/>
        <v>0.01</v>
      </c>
    </row>
    <row r="21" spans="1:32">
      <c r="A21" s="364" t="s">
        <v>29</v>
      </c>
      <c r="B21" s="907" t="s">
        <v>15</v>
      </c>
      <c r="C21" s="883">
        <v>0.57999999999999996</v>
      </c>
      <c r="D21" s="1146">
        <v>0.76</v>
      </c>
      <c r="E21" s="1146">
        <v>0.72</v>
      </c>
      <c r="F21" s="1146">
        <v>0.57999999999999996</v>
      </c>
      <c r="G21" s="884">
        <v>0.56000000000000005</v>
      </c>
      <c r="H21" s="864">
        <f>'Table 8a'!K21</f>
        <v>210162</v>
      </c>
      <c r="I21" s="872">
        <f>'Table 8a'!L21</f>
        <v>216513</v>
      </c>
      <c r="J21" s="872">
        <f>'Table 8a'!M21</f>
        <v>223181</v>
      </c>
      <c r="K21" s="872">
        <f>'Table 8a'!N21</f>
        <v>232997</v>
      </c>
      <c r="L21" s="873">
        <f>'Table 8a'!O21</f>
        <v>244161</v>
      </c>
      <c r="M21" s="1151">
        <f t="shared" si="1"/>
        <v>3</v>
      </c>
      <c r="N21" s="864">
        <f>'Table 8a'!Q21</f>
        <v>216513</v>
      </c>
      <c r="O21" s="872">
        <f>'Table 8a'!R21</f>
        <v>254045</v>
      </c>
      <c r="P21" s="872">
        <f>'Table 8a'!S21</f>
        <v>299210</v>
      </c>
      <c r="Q21" s="872">
        <f>'Table 8a'!T21</f>
        <v>337685</v>
      </c>
      <c r="R21" s="1100">
        <f>'Table 8a'!U21</f>
        <v>369057</v>
      </c>
      <c r="S21" s="872">
        <f>'Table 8a'!V21</f>
        <v>397902</v>
      </c>
      <c r="T21" s="871">
        <f>'Table 8a'!W21</f>
        <v>424994</v>
      </c>
      <c r="U21" s="864">
        <f>'Table 8a'!X21</f>
        <v>37532</v>
      </c>
      <c r="V21" s="872">
        <f>'Table 8a'!Y21</f>
        <v>45165</v>
      </c>
      <c r="W21" s="872">
        <f>'Table 8a'!Z21</f>
        <v>38475</v>
      </c>
      <c r="X21" s="872">
        <f>'Table 8a'!AA21</f>
        <v>31372</v>
      </c>
      <c r="Y21" s="1100">
        <f>'Table 8a'!AB21</f>
        <v>28845</v>
      </c>
      <c r="Z21" s="873">
        <f>'Table 8a'!AC21</f>
        <v>27092</v>
      </c>
      <c r="AA21" s="823">
        <f t="shared" si="10"/>
        <v>0.11</v>
      </c>
      <c r="AB21" s="802">
        <f t="shared" si="11"/>
        <v>0.14000000000000001</v>
      </c>
      <c r="AC21" s="802">
        <f t="shared" si="12"/>
        <v>0.12</v>
      </c>
      <c r="AD21" s="802">
        <f t="shared" si="13"/>
        <v>0.09</v>
      </c>
      <c r="AE21" s="802">
        <f t="shared" si="14"/>
        <v>0.09</v>
      </c>
      <c r="AF21" s="1047">
        <f t="shared" si="15"/>
        <v>0.08</v>
      </c>
    </row>
    <row r="22" spans="1:32">
      <c r="A22" s="908" t="s">
        <v>30</v>
      </c>
      <c r="B22" s="907" t="s">
        <v>17</v>
      </c>
      <c r="C22" s="883">
        <v>3.19</v>
      </c>
      <c r="D22" s="1146">
        <v>3.73</v>
      </c>
      <c r="E22" s="1146">
        <v>3.86</v>
      </c>
      <c r="F22" s="1146">
        <v>3.91</v>
      </c>
      <c r="G22" s="884">
        <v>3.96</v>
      </c>
      <c r="H22" s="864">
        <f>'Table 8a'!K22</f>
        <v>41219</v>
      </c>
      <c r="I22" s="872">
        <f>'Table 8a'!L22</f>
        <v>41532</v>
      </c>
      <c r="J22" s="872">
        <f>'Table 8a'!M22</f>
        <v>41644</v>
      </c>
      <c r="K22" s="872">
        <f>'Table 8a'!N22</f>
        <v>42097</v>
      </c>
      <c r="L22" s="873">
        <f>'Table 8a'!O22</f>
        <v>42817</v>
      </c>
      <c r="M22" s="1151">
        <f t="shared" si="1"/>
        <v>89</v>
      </c>
      <c r="N22" s="864">
        <f>'Table 8a'!Q22</f>
        <v>41532</v>
      </c>
      <c r="O22" s="872">
        <f>'Table 8a'!R22</f>
        <v>43899</v>
      </c>
      <c r="P22" s="872">
        <f>'Table 8a'!S22</f>
        <v>46299</v>
      </c>
      <c r="Q22" s="872">
        <f>'Table 8a'!T22</f>
        <v>48399</v>
      </c>
      <c r="R22" s="1100">
        <f>'Table 8a'!U22</f>
        <v>50099</v>
      </c>
      <c r="S22" s="872">
        <f>'Table 8a'!V22</f>
        <v>51499</v>
      </c>
      <c r="T22" s="871">
        <f>'Table 8a'!W22</f>
        <v>52699</v>
      </c>
      <c r="U22" s="864">
        <f>'Table 8a'!X22</f>
        <v>2367</v>
      </c>
      <c r="V22" s="872">
        <f>'Table 8a'!Y22</f>
        <v>2400</v>
      </c>
      <c r="W22" s="872">
        <f>'Table 8a'!Z22</f>
        <v>2100</v>
      </c>
      <c r="X22" s="872">
        <f>'Table 8a'!AA22</f>
        <v>1700</v>
      </c>
      <c r="Y22" s="1100">
        <f>'Table 8a'!AB22</f>
        <v>1400</v>
      </c>
      <c r="Z22" s="873">
        <f>'Table 8a'!AC22</f>
        <v>1200</v>
      </c>
      <c r="AA22" s="823">
        <f t="shared" si="10"/>
        <v>0.21</v>
      </c>
      <c r="AB22" s="802">
        <f t="shared" si="11"/>
        <v>0.21</v>
      </c>
      <c r="AC22" s="802">
        <f t="shared" si="12"/>
        <v>0.19</v>
      </c>
      <c r="AD22" s="802">
        <f t="shared" si="13"/>
        <v>0.15</v>
      </c>
      <c r="AE22" s="802">
        <f t="shared" si="14"/>
        <v>0.12</v>
      </c>
      <c r="AF22" s="1047">
        <f t="shared" si="15"/>
        <v>0.11</v>
      </c>
    </row>
    <row r="23" spans="1:32" ht="13.5" thickBot="1">
      <c r="A23" s="1037" t="s">
        <v>31</v>
      </c>
      <c r="B23" s="275" t="s">
        <v>17</v>
      </c>
      <c r="C23" s="18">
        <v>0.53</v>
      </c>
      <c r="D23" s="1147">
        <v>0.51</v>
      </c>
      <c r="E23" s="1147">
        <v>0.53</v>
      </c>
      <c r="F23" s="1147">
        <v>0.52</v>
      </c>
      <c r="G23" s="410">
        <v>0.51</v>
      </c>
      <c r="H23" s="861">
        <f>'Table 8a'!K23</f>
        <v>10804</v>
      </c>
      <c r="I23" s="368">
        <f>'Table 8a'!L23</f>
        <v>11015</v>
      </c>
      <c r="J23" s="368">
        <f>'Table 8a'!M23</f>
        <v>10898</v>
      </c>
      <c r="K23" s="368">
        <f>'Table 8a'!N23</f>
        <v>10735</v>
      </c>
      <c r="L23" s="369">
        <f>'Table 8a'!O23</f>
        <v>10767</v>
      </c>
      <c r="M23" s="1765">
        <f t="shared" si="1"/>
        <v>48</v>
      </c>
      <c r="N23" s="861">
        <f>'Table 8a'!Q23</f>
        <v>11015</v>
      </c>
      <c r="O23" s="368">
        <f>'Table 8a'!R23</f>
        <v>10767</v>
      </c>
      <c r="P23" s="368">
        <f>'Table 8a'!S23</f>
        <v>10867</v>
      </c>
      <c r="Q23" s="368">
        <f>'Table 8a'!T23</f>
        <v>10867</v>
      </c>
      <c r="R23" s="711">
        <f>'Table 8a'!U23</f>
        <v>10967</v>
      </c>
      <c r="S23" s="368">
        <f>'Table 8a'!V23</f>
        <v>10967</v>
      </c>
      <c r="T23" s="801">
        <f>'Table 8a'!W23</f>
        <v>10967</v>
      </c>
      <c r="U23" s="861">
        <f>'Table 8a'!X23</f>
        <v>-248</v>
      </c>
      <c r="V23" s="368">
        <f>'Table 8a'!Y23</f>
        <v>100</v>
      </c>
      <c r="W23" s="368">
        <f>'Table 8a'!Z23</f>
        <v>0</v>
      </c>
      <c r="X23" s="368">
        <f>'Table 8a'!AA23</f>
        <v>100</v>
      </c>
      <c r="Y23" s="711">
        <f>'Table 8a'!AB23</f>
        <v>0</v>
      </c>
      <c r="Z23" s="369">
        <f>'Table 8a'!AC23</f>
        <v>0</v>
      </c>
      <c r="AA23" s="48">
        <f t="shared" si="10"/>
        <v>-0.01</v>
      </c>
      <c r="AB23" s="712">
        <f t="shared" si="11"/>
        <v>0</v>
      </c>
      <c r="AC23" s="712">
        <f t="shared" si="12"/>
        <v>0</v>
      </c>
      <c r="AD23" s="712">
        <f t="shared" si="13"/>
        <v>0</v>
      </c>
      <c r="AE23" s="712">
        <f t="shared" si="14"/>
        <v>0</v>
      </c>
      <c r="AF23" s="1108">
        <f t="shared" si="15"/>
        <v>0</v>
      </c>
    </row>
    <row r="24" spans="1:32" ht="14.25" thickTop="1" thickBot="1">
      <c r="A24" s="3456" t="s">
        <v>32</v>
      </c>
      <c r="B24" s="3457"/>
      <c r="C24" s="139">
        <f>C4+C7+C10+C13+C15+C16+C19+C20+C21</f>
        <v>19.03</v>
      </c>
      <c r="D24" s="701">
        <f t="shared" ref="D24:G24" si="16">D4+D7+D10+D13+D15+D16+D19+D20+D21</f>
        <v>20.57</v>
      </c>
      <c r="E24" s="701">
        <f t="shared" si="16"/>
        <v>19.760000000000002</v>
      </c>
      <c r="F24" s="701">
        <f t="shared" si="16"/>
        <v>20.13</v>
      </c>
      <c r="G24" s="756">
        <f t="shared" si="16"/>
        <v>17.38</v>
      </c>
      <c r="H24" s="856">
        <f>'Table 8a'!K24</f>
        <v>1788382</v>
      </c>
      <c r="I24" s="172">
        <f>'Table 8a'!L24</f>
        <v>1804699</v>
      </c>
      <c r="J24" s="172">
        <f>'Table 8a'!M24</f>
        <v>1866947</v>
      </c>
      <c r="K24" s="172">
        <f>'Table 8a'!N24</f>
        <v>1900090</v>
      </c>
      <c r="L24" s="173">
        <f>'Table 8a'!O24</f>
        <v>1942638</v>
      </c>
      <c r="M24" s="707">
        <f t="shared" si="1"/>
        <v>10</v>
      </c>
      <c r="N24" s="856">
        <f>'Table 8a'!Q24</f>
        <v>1804699</v>
      </c>
      <c r="O24" s="172">
        <f>'Table 8a'!R24</f>
        <v>1950258</v>
      </c>
      <c r="P24" s="172">
        <f>'Table 8a'!S24</f>
        <v>2108590</v>
      </c>
      <c r="Q24" s="172">
        <f>'Table 8a'!T24</f>
        <v>2235156</v>
      </c>
      <c r="R24" s="62">
        <f>'Table 8a'!U24</f>
        <v>2342929</v>
      </c>
      <c r="S24" s="172">
        <f>'Table 8a'!V24</f>
        <v>2431706</v>
      </c>
      <c r="T24" s="126">
        <f>'Table 8a'!W24</f>
        <v>2512586</v>
      </c>
      <c r="U24" s="856">
        <f>'Table 8a'!X24</f>
        <v>145559</v>
      </c>
      <c r="V24" s="172">
        <f>'Table 8a'!Y24</f>
        <v>158332</v>
      </c>
      <c r="W24" s="172">
        <f>'Table 8a'!Z24</f>
        <v>126566</v>
      </c>
      <c r="X24" s="172">
        <f>'Table 8a'!AA24</f>
        <v>107773</v>
      </c>
      <c r="Y24" s="62">
        <f>'Table 8a'!AB24</f>
        <v>88777</v>
      </c>
      <c r="Z24" s="173">
        <f>'Table 8a'!AC24</f>
        <v>80880</v>
      </c>
      <c r="AA24" s="139">
        <f t="shared" ref="AA24:AF24" si="17">AA4+AA7+AA10+AA13+AA15+AA16+AA19+AA20+AA21</f>
        <v>1.1599999999999999</v>
      </c>
      <c r="AB24" s="701">
        <f t="shared" si="17"/>
        <v>1.24</v>
      </c>
      <c r="AC24" s="701">
        <f t="shared" si="17"/>
        <v>0.96</v>
      </c>
      <c r="AD24" s="701">
        <f t="shared" si="17"/>
        <v>0.83</v>
      </c>
      <c r="AE24" s="701">
        <f t="shared" si="17"/>
        <v>0.7</v>
      </c>
      <c r="AF24" s="61">
        <f t="shared" si="17"/>
        <v>0.6</v>
      </c>
    </row>
    <row r="25" spans="1:32" ht="13.5" thickBot="1">
      <c r="A25" s="3458" t="s">
        <v>33</v>
      </c>
      <c r="B25" s="3459"/>
      <c r="C25" s="192">
        <f>C5+C8+C11+C14+C17+C18+C22+C23</f>
        <v>6.04</v>
      </c>
      <c r="D25" s="706">
        <f t="shared" ref="D25:G25" si="18">D5+D8+D11+D14+D17+D18+D22+D23</f>
        <v>6.68</v>
      </c>
      <c r="E25" s="706">
        <f t="shared" si="18"/>
        <v>6.83</v>
      </c>
      <c r="F25" s="706">
        <f t="shared" si="18"/>
        <v>6.81</v>
      </c>
      <c r="G25" s="248">
        <f t="shared" si="18"/>
        <v>7</v>
      </c>
      <c r="H25" s="189">
        <f>'Table 8a'!K25</f>
        <v>219405</v>
      </c>
      <c r="I25" s="190">
        <f>'Table 8a'!L25</f>
        <v>221826</v>
      </c>
      <c r="J25" s="190">
        <f>'Table 8a'!M25</f>
        <v>225079</v>
      </c>
      <c r="K25" s="190">
        <f>'Table 8a'!N25</f>
        <v>226947</v>
      </c>
      <c r="L25" s="332">
        <f>'Table 8a'!O25</f>
        <v>229955</v>
      </c>
      <c r="M25" s="797">
        <f t="shared" si="1"/>
        <v>30</v>
      </c>
      <c r="N25" s="189">
        <f>'Table 8a'!Q25</f>
        <v>221826</v>
      </c>
      <c r="O25" s="190">
        <f>'Table 8a'!R25</f>
        <v>237335</v>
      </c>
      <c r="P25" s="190">
        <f>'Table 8a'!S25</f>
        <v>250947</v>
      </c>
      <c r="Q25" s="190">
        <f>'Table 8a'!T25</f>
        <v>262773</v>
      </c>
      <c r="R25" s="188">
        <f>'Table 8a'!U25</f>
        <v>275876</v>
      </c>
      <c r="S25" s="190">
        <f>'Table 8a'!V25</f>
        <v>284841</v>
      </c>
      <c r="T25" s="710">
        <f>'Table 8a'!W25</f>
        <v>292341</v>
      </c>
      <c r="U25" s="189">
        <f>'Table 8a'!X25</f>
        <v>15509</v>
      </c>
      <c r="V25" s="190">
        <f>'Table 8a'!Y25</f>
        <v>13612</v>
      </c>
      <c r="W25" s="190">
        <f>'Table 8a'!Z25</f>
        <v>11826</v>
      </c>
      <c r="X25" s="190">
        <f>'Table 8a'!AA25</f>
        <v>13103</v>
      </c>
      <c r="Y25" s="188">
        <f>'Table 8a'!AB25</f>
        <v>8965</v>
      </c>
      <c r="Z25" s="332">
        <f>'Table 8a'!AC25</f>
        <v>7500</v>
      </c>
      <c r="AA25" s="192">
        <f t="shared" ref="AA25:AF25" si="19">AA5+AA8+AA11+AA14+AA17+AA18+AA22+AA23</f>
        <v>0.33</v>
      </c>
      <c r="AB25" s="706">
        <f t="shared" si="19"/>
        <v>0.3</v>
      </c>
      <c r="AC25" s="706">
        <f t="shared" si="19"/>
        <v>0.28000000000000003</v>
      </c>
      <c r="AD25" s="706">
        <f t="shared" si="19"/>
        <v>0.24</v>
      </c>
      <c r="AE25" s="706">
        <f t="shared" si="19"/>
        <v>0.18</v>
      </c>
      <c r="AF25" s="191">
        <f t="shared" si="19"/>
        <v>0.16</v>
      </c>
    </row>
    <row r="26" spans="1:32" ht="13.5" thickBot="1">
      <c r="A26" s="3462" t="s">
        <v>34</v>
      </c>
      <c r="B26" s="3463"/>
      <c r="C26" s="34">
        <f t="shared" ref="C26:G26" si="20">SUM(C24:C25)</f>
        <v>25.07</v>
      </c>
      <c r="D26" s="774">
        <f t="shared" si="20"/>
        <v>27.25</v>
      </c>
      <c r="E26" s="774">
        <f t="shared" si="20"/>
        <v>26.59</v>
      </c>
      <c r="F26" s="774">
        <f t="shared" si="20"/>
        <v>26.94</v>
      </c>
      <c r="G26" s="758">
        <f t="shared" si="20"/>
        <v>24.38</v>
      </c>
      <c r="H26" s="857">
        <f>'Table 8a'!K26</f>
        <v>2007787</v>
      </c>
      <c r="I26" s="251">
        <f>'Table 8a'!L26</f>
        <v>2026525</v>
      </c>
      <c r="J26" s="251">
        <f>'Table 8a'!M26</f>
        <v>2092026</v>
      </c>
      <c r="K26" s="251">
        <f>'Table 8a'!N26</f>
        <v>2127037</v>
      </c>
      <c r="L26" s="167">
        <f>'Table 8a'!O26</f>
        <v>2172593</v>
      </c>
      <c r="M26" s="708">
        <f t="shared" si="1"/>
        <v>12</v>
      </c>
      <c r="N26" s="857">
        <f>'Table 8a'!Q26</f>
        <v>2026525</v>
      </c>
      <c r="O26" s="251">
        <f>'Table 8a'!R26</f>
        <v>2187593</v>
      </c>
      <c r="P26" s="251">
        <f>'Table 8a'!S26</f>
        <v>2359537</v>
      </c>
      <c r="Q26" s="251">
        <f>'Table 8a'!T26</f>
        <v>2497929</v>
      </c>
      <c r="R26" s="77">
        <f>'Table 8a'!U26</f>
        <v>2618805</v>
      </c>
      <c r="S26" s="251">
        <f>'Table 8a'!V26</f>
        <v>2716547</v>
      </c>
      <c r="T26" s="213">
        <f>'Table 8a'!W26</f>
        <v>2804927</v>
      </c>
      <c r="U26" s="857">
        <f>'Table 8a'!X26</f>
        <v>161068</v>
      </c>
      <c r="V26" s="251">
        <f>'Table 8a'!Y26</f>
        <v>171944</v>
      </c>
      <c r="W26" s="251">
        <f>'Table 8a'!Z26</f>
        <v>138392</v>
      </c>
      <c r="X26" s="251">
        <f>'Table 8a'!AA26</f>
        <v>120876</v>
      </c>
      <c r="Y26" s="77">
        <f>'Table 8a'!AB26</f>
        <v>97742</v>
      </c>
      <c r="Z26" s="167">
        <f>'Table 8a'!AC26</f>
        <v>88380</v>
      </c>
      <c r="AA26" s="34">
        <f t="shared" ref="AA26:AF26" si="21">SUM(AA24:AA25)</f>
        <v>1.49</v>
      </c>
      <c r="AB26" s="774">
        <f t="shared" si="21"/>
        <v>1.54</v>
      </c>
      <c r="AC26" s="774">
        <f t="shared" si="21"/>
        <v>1.24</v>
      </c>
      <c r="AD26" s="774">
        <f t="shared" si="21"/>
        <v>1.07</v>
      </c>
      <c r="AE26" s="774">
        <f t="shared" si="21"/>
        <v>0.88</v>
      </c>
      <c r="AF26" s="21">
        <f t="shared" si="21"/>
        <v>0.76</v>
      </c>
    </row>
    <row r="27" spans="1:32">
      <c r="A27" s="89" t="s">
        <v>35</v>
      </c>
      <c r="C27" s="23"/>
      <c r="D27" s="23"/>
      <c r="E27" s="23"/>
      <c r="F27" s="23"/>
      <c r="G27" s="23"/>
    </row>
    <row r="28" spans="1:32">
      <c r="A28" s="1" t="s">
        <v>68</v>
      </c>
    </row>
    <row r="29" spans="1:32">
      <c r="A29" s="1" t="s">
        <v>69</v>
      </c>
      <c r="H29" s="23"/>
    </row>
    <row r="30" spans="1:32">
      <c r="A30" s="1" t="s">
        <v>621</v>
      </c>
    </row>
    <row r="31" spans="1:32">
      <c r="A31" s="2" t="s">
        <v>611</v>
      </c>
    </row>
    <row r="32" spans="1:32">
      <c r="A32" s="1" t="s">
        <v>612</v>
      </c>
    </row>
    <row r="33" spans="1:32">
      <c r="A33" s="1" t="s">
        <v>622</v>
      </c>
    </row>
    <row r="35" spans="1:32" ht="13.5" thickBot="1">
      <c r="A35" s="800" t="s">
        <v>623</v>
      </c>
    </row>
    <row r="36" spans="1:32" ht="27.6" customHeight="1" thickBot="1">
      <c r="A36" s="3466" t="s">
        <v>1</v>
      </c>
      <c r="B36" s="3468" t="s">
        <v>2</v>
      </c>
      <c r="C36" s="3286" t="s">
        <v>595</v>
      </c>
      <c r="D36" s="3287"/>
      <c r="E36" s="3287"/>
      <c r="F36" s="3287"/>
      <c r="G36" s="3287"/>
      <c r="H36" s="3286" t="s">
        <v>599</v>
      </c>
      <c r="I36" s="3287"/>
      <c r="J36" s="3287"/>
      <c r="K36" s="3287"/>
      <c r="L36" s="3288"/>
      <c r="M36" s="3216" t="s">
        <v>600</v>
      </c>
      <c r="N36" s="3286" t="s">
        <v>601</v>
      </c>
      <c r="O36" s="3287"/>
      <c r="P36" s="3287"/>
      <c r="Q36" s="3287"/>
      <c r="R36" s="3287"/>
      <c r="S36" s="3287"/>
      <c r="T36" s="3287"/>
      <c r="U36" s="3286" t="s">
        <v>602</v>
      </c>
      <c r="V36" s="3287"/>
      <c r="W36" s="3287"/>
      <c r="X36" s="3287"/>
      <c r="Y36" s="3287"/>
      <c r="Z36" s="3288"/>
      <c r="AA36" s="3221" t="s">
        <v>620</v>
      </c>
      <c r="AB36" s="3222"/>
      <c r="AC36" s="3222"/>
      <c r="AD36" s="3222"/>
      <c r="AE36" s="3222"/>
      <c r="AF36" s="3223"/>
    </row>
    <row r="37" spans="1:32" ht="27.6" customHeight="1" thickBot="1">
      <c r="A37" s="3467"/>
      <c r="B37" s="3469"/>
      <c r="C37" s="1757">
        <v>2014</v>
      </c>
      <c r="D37" s="1750">
        <v>2015</v>
      </c>
      <c r="E37" s="1750">
        <v>2016</v>
      </c>
      <c r="F37" s="1750">
        <v>2017</v>
      </c>
      <c r="G37" s="1758">
        <v>2018</v>
      </c>
      <c r="H37" s="1757">
        <v>2014</v>
      </c>
      <c r="I37" s="1750">
        <v>2015</v>
      </c>
      <c r="J37" s="1750">
        <v>2016</v>
      </c>
      <c r="K37" s="1750">
        <v>2017</v>
      </c>
      <c r="L37" s="1759">
        <v>2018</v>
      </c>
      <c r="M37" s="3465"/>
      <c r="N37" s="1757">
        <v>2015</v>
      </c>
      <c r="O37" s="1750">
        <v>2020</v>
      </c>
      <c r="P37" s="1750">
        <v>2025</v>
      </c>
      <c r="Q37" s="1750">
        <v>2030</v>
      </c>
      <c r="R37" s="1758">
        <v>2035</v>
      </c>
      <c r="S37" s="1750">
        <v>2040</v>
      </c>
      <c r="T37" s="3035">
        <v>2045</v>
      </c>
      <c r="U37" s="1757" t="s">
        <v>604</v>
      </c>
      <c r="V37" s="1750" t="s">
        <v>605</v>
      </c>
      <c r="W37" s="1750" t="s">
        <v>606</v>
      </c>
      <c r="X37" s="1758" t="s">
        <v>607</v>
      </c>
      <c r="Y37" s="1750" t="s">
        <v>608</v>
      </c>
      <c r="Z37" s="3036" t="s">
        <v>609</v>
      </c>
      <c r="AA37" s="1760">
        <v>2020</v>
      </c>
      <c r="AB37" s="1761">
        <v>2025</v>
      </c>
      <c r="AC37" s="1761">
        <v>2030</v>
      </c>
      <c r="AD37" s="1761">
        <v>2035</v>
      </c>
      <c r="AE37" s="1762">
        <v>2040</v>
      </c>
      <c r="AF37" s="1944">
        <v>2045</v>
      </c>
    </row>
    <row r="38" spans="1:32">
      <c r="A38" s="176" t="s">
        <v>46</v>
      </c>
      <c r="B38" s="730" t="s">
        <v>17</v>
      </c>
      <c r="C38" s="47">
        <v>0.2</v>
      </c>
      <c r="D38" s="181">
        <v>0.2</v>
      </c>
      <c r="E38" s="181">
        <v>0.21</v>
      </c>
      <c r="F38" s="181">
        <v>0.12</v>
      </c>
      <c r="G38" s="761">
        <v>0.12</v>
      </c>
      <c r="H38" s="168">
        <f>'Table 8a'!K37</f>
        <v>15066</v>
      </c>
      <c r="I38" s="249">
        <f>'Table 8a'!L37</f>
        <v>14932</v>
      </c>
      <c r="J38" s="249">
        <f>'Table 8a'!M37</f>
        <v>15091</v>
      </c>
      <c r="K38" s="249">
        <f>'Table 8a'!N37</f>
        <v>15076</v>
      </c>
      <c r="L38" s="250">
        <f>'Table 8a'!O37</f>
        <v>14818</v>
      </c>
      <c r="M38" s="795">
        <f t="shared" ref="M38:M44" si="22">(C38+D38+E38+F38+G38)/(H38+I38+J38+K38+L38)*1000000</f>
        <v>11</v>
      </c>
      <c r="N38" s="247">
        <f>'Table 8a'!Q37</f>
        <v>14932</v>
      </c>
      <c r="O38" s="249">
        <f>'Table 8a'!R37</f>
        <v>15042</v>
      </c>
      <c r="P38" s="249">
        <f>'Table 8a'!S37</f>
        <v>15242</v>
      </c>
      <c r="Q38" s="249">
        <f>'Table 8a'!T37</f>
        <v>15342</v>
      </c>
      <c r="R38" s="125">
        <f>'Table 8a'!U37</f>
        <v>15442</v>
      </c>
      <c r="S38" s="125">
        <f>'Table 8a'!V37</f>
        <v>15442</v>
      </c>
      <c r="T38" s="125">
        <f>'Table 8a'!W37</f>
        <v>15442</v>
      </c>
      <c r="U38" s="168">
        <f>'Table 8a'!X37</f>
        <v>110</v>
      </c>
      <c r="V38" s="249">
        <f>'Table 8a'!Y37</f>
        <v>200</v>
      </c>
      <c r="W38" s="249">
        <f>'Table 8a'!Z37</f>
        <v>100</v>
      </c>
      <c r="X38" s="249">
        <f>'Table 8a'!AA37</f>
        <v>100</v>
      </c>
      <c r="Y38" s="249">
        <f>'Table 8a'!AB37</f>
        <v>0</v>
      </c>
      <c r="Z38" s="291">
        <f>'Table 8a'!AC37</f>
        <v>0</v>
      </c>
      <c r="AA38" s="246">
        <f t="shared" ref="AA38:AF43" si="23">$M38*U38/1000000</f>
        <v>0</v>
      </c>
      <c r="AB38" s="181">
        <f t="shared" si="23"/>
        <v>0</v>
      </c>
      <c r="AC38" s="181">
        <f t="shared" si="23"/>
        <v>0</v>
      </c>
      <c r="AD38" s="181">
        <f t="shared" si="23"/>
        <v>0</v>
      </c>
      <c r="AE38" s="761">
        <f t="shared" si="23"/>
        <v>0</v>
      </c>
      <c r="AF38" s="57">
        <f t="shared" si="23"/>
        <v>0</v>
      </c>
    </row>
    <row r="39" spans="1:32">
      <c r="A39" s="1143" t="s">
        <v>47</v>
      </c>
      <c r="B39" s="730" t="s">
        <v>17</v>
      </c>
      <c r="C39" s="823">
        <v>0.22</v>
      </c>
      <c r="D39" s="802">
        <v>0.16</v>
      </c>
      <c r="E39" s="802">
        <v>0.18</v>
      </c>
      <c r="F39" s="802">
        <v>0.19</v>
      </c>
      <c r="G39" s="860">
        <v>0.17</v>
      </c>
      <c r="H39" s="864">
        <f>'Table 8a'!K38</f>
        <v>3574</v>
      </c>
      <c r="I39" s="872">
        <f>'Table 8a'!L38</f>
        <v>3557</v>
      </c>
      <c r="J39" s="872">
        <f>'Table 8a'!M38</f>
        <v>3554</v>
      </c>
      <c r="K39" s="872">
        <f>'Table 8a'!N38</f>
        <v>3552</v>
      </c>
      <c r="L39" s="873">
        <f>'Table 8a'!O38</f>
        <v>3600</v>
      </c>
      <c r="M39" s="796">
        <f t="shared" si="22"/>
        <v>52</v>
      </c>
      <c r="N39" s="1102">
        <f>'Table 8a'!Q38</f>
        <v>3557</v>
      </c>
      <c r="O39" s="872">
        <f>'Table 8a'!R38</f>
        <v>3621</v>
      </c>
      <c r="P39" s="872">
        <f>'Table 8a'!S38</f>
        <v>3701</v>
      </c>
      <c r="Q39" s="872">
        <f>'Table 8a'!T38</f>
        <v>3753</v>
      </c>
      <c r="R39" s="1100">
        <f>'Table 8a'!U38</f>
        <v>3780</v>
      </c>
      <c r="S39" s="1100">
        <f>'Table 8a'!V38</f>
        <v>3833</v>
      </c>
      <c r="T39" s="1100">
        <f>'Table 8a'!W38</f>
        <v>3859</v>
      </c>
      <c r="U39" s="864">
        <f>'Table 8a'!X38</f>
        <v>64</v>
      </c>
      <c r="V39" s="872">
        <f>'Table 8a'!Y38</f>
        <v>80</v>
      </c>
      <c r="W39" s="872">
        <f>'Table 8a'!Z38</f>
        <v>52</v>
      </c>
      <c r="X39" s="872">
        <f>'Table 8a'!AA38</f>
        <v>27</v>
      </c>
      <c r="Y39" s="872">
        <f>'Table 8a'!AB38</f>
        <v>53</v>
      </c>
      <c r="Z39" s="995">
        <f>'Table 8a'!AC38</f>
        <v>26</v>
      </c>
      <c r="AA39" s="870">
        <f t="shared" si="23"/>
        <v>0</v>
      </c>
      <c r="AB39" s="802">
        <f t="shared" si="23"/>
        <v>0</v>
      </c>
      <c r="AC39" s="802">
        <f t="shared" si="23"/>
        <v>0</v>
      </c>
      <c r="AD39" s="802">
        <f t="shared" si="23"/>
        <v>0</v>
      </c>
      <c r="AE39" s="860">
        <f t="shared" si="23"/>
        <v>0</v>
      </c>
      <c r="AF39" s="1106">
        <f t="shared" si="23"/>
        <v>0</v>
      </c>
    </row>
    <row r="40" spans="1:32">
      <c r="A40" s="1143" t="s">
        <v>48</v>
      </c>
      <c r="B40" s="729" t="s">
        <v>17</v>
      </c>
      <c r="C40" s="823">
        <v>0.32</v>
      </c>
      <c r="D40" s="802">
        <v>0.33</v>
      </c>
      <c r="E40" s="802">
        <v>0.32</v>
      </c>
      <c r="F40" s="802">
        <v>0.33</v>
      </c>
      <c r="G40" s="860">
        <v>0.28999999999999998</v>
      </c>
      <c r="H40" s="864">
        <f>'Table 8a'!K39</f>
        <v>6972</v>
      </c>
      <c r="I40" s="872">
        <f>'Table 8a'!L39</f>
        <v>7017</v>
      </c>
      <c r="J40" s="872">
        <f>'Table 8a'!M39</f>
        <v>7000</v>
      </c>
      <c r="K40" s="872">
        <f>'Table 8a'!N39</f>
        <v>7085</v>
      </c>
      <c r="L40" s="873">
        <f>'Table 8a'!O39</f>
        <v>7094</v>
      </c>
      <c r="M40" s="796">
        <f t="shared" si="22"/>
        <v>45</v>
      </c>
      <c r="N40" s="1102">
        <f>'Table 8a'!Q39</f>
        <v>7017</v>
      </c>
      <c r="O40" s="872">
        <f>'Table 8a'!R39</f>
        <v>7509</v>
      </c>
      <c r="P40" s="872">
        <f>'Table 8a'!S39</f>
        <v>7909</v>
      </c>
      <c r="Q40" s="872">
        <f>'Table 8a'!T39</f>
        <v>8209</v>
      </c>
      <c r="R40" s="1100">
        <f>'Table 8a'!U39</f>
        <v>8509</v>
      </c>
      <c r="S40" s="1100">
        <f>'Table 8a'!V39</f>
        <v>8709</v>
      </c>
      <c r="T40" s="1100">
        <f>'Table 8a'!W39</f>
        <v>8909</v>
      </c>
      <c r="U40" s="864">
        <f>'Table 8a'!X39</f>
        <v>492</v>
      </c>
      <c r="V40" s="872">
        <f>'Table 8a'!Y39</f>
        <v>400</v>
      </c>
      <c r="W40" s="872">
        <f>'Table 8a'!Z39</f>
        <v>300</v>
      </c>
      <c r="X40" s="872">
        <f>'Table 8a'!AA39</f>
        <v>300</v>
      </c>
      <c r="Y40" s="872">
        <f>'Table 8a'!AB39</f>
        <v>200</v>
      </c>
      <c r="Z40" s="995">
        <f>'Table 8a'!AC39</f>
        <v>200</v>
      </c>
      <c r="AA40" s="870">
        <f t="shared" si="23"/>
        <v>0.02</v>
      </c>
      <c r="AB40" s="802">
        <f t="shared" si="23"/>
        <v>0.02</v>
      </c>
      <c r="AC40" s="802">
        <f t="shared" si="23"/>
        <v>0.01</v>
      </c>
      <c r="AD40" s="802">
        <f t="shared" si="23"/>
        <v>0.01</v>
      </c>
      <c r="AE40" s="860">
        <f t="shared" si="23"/>
        <v>0.01</v>
      </c>
      <c r="AF40" s="1106">
        <f t="shared" si="23"/>
        <v>0.01</v>
      </c>
    </row>
    <row r="41" spans="1:32">
      <c r="A41" s="295" t="s">
        <v>49</v>
      </c>
      <c r="B41" s="296" t="s">
        <v>17</v>
      </c>
      <c r="C41" s="823">
        <v>0.15</v>
      </c>
      <c r="D41" s="802">
        <v>0.16</v>
      </c>
      <c r="E41" s="802">
        <v>0.14000000000000001</v>
      </c>
      <c r="F41" s="802">
        <v>0.13</v>
      </c>
      <c r="G41" s="860">
        <v>0.13</v>
      </c>
      <c r="H41" s="864">
        <f>'Table 8a'!K40</f>
        <v>18289</v>
      </c>
      <c r="I41" s="872">
        <f>'Table 8a'!L40</f>
        <v>18287</v>
      </c>
      <c r="J41" s="872">
        <f>'Table 8a'!M40</f>
        <v>18325</v>
      </c>
      <c r="K41" s="872">
        <f>'Table 8a'!N40</f>
        <v>18643</v>
      </c>
      <c r="L41" s="873">
        <f>'Table 8a'!O40</f>
        <v>18337</v>
      </c>
      <c r="M41" s="1151">
        <f t="shared" si="22"/>
        <v>8</v>
      </c>
      <c r="N41" s="864">
        <f>'Table 8a'!Q40</f>
        <v>18287</v>
      </c>
      <c r="O41" s="872">
        <f>'Table 8a'!R40</f>
        <v>18581</v>
      </c>
      <c r="P41" s="872">
        <f>'Table 8a'!S40</f>
        <v>19072</v>
      </c>
      <c r="Q41" s="872">
        <f>'Table 8a'!T40</f>
        <v>19474</v>
      </c>
      <c r="R41" s="1100">
        <f>'Table 8a'!U40</f>
        <v>19787</v>
      </c>
      <c r="S41" s="1100">
        <f>'Table 8a'!V40</f>
        <v>20055</v>
      </c>
      <c r="T41" s="1100">
        <f>'Table 8a'!W40</f>
        <v>20323</v>
      </c>
      <c r="U41" s="864">
        <f>'Table 8a'!X40</f>
        <v>294</v>
      </c>
      <c r="V41" s="872">
        <f>'Table 8a'!Y40</f>
        <v>491</v>
      </c>
      <c r="W41" s="872">
        <f>'Table 8a'!Z40</f>
        <v>402</v>
      </c>
      <c r="X41" s="872">
        <f>'Table 8a'!AA40</f>
        <v>313</v>
      </c>
      <c r="Y41" s="1100">
        <f>'Table 8a'!AB40</f>
        <v>268</v>
      </c>
      <c r="Z41" s="1100">
        <f>'Table 8a'!AC40</f>
        <v>268</v>
      </c>
      <c r="AA41" s="823">
        <f t="shared" si="23"/>
        <v>0</v>
      </c>
      <c r="AB41" s="802">
        <f t="shared" si="23"/>
        <v>0</v>
      </c>
      <c r="AC41" s="802">
        <f t="shared" si="23"/>
        <v>0</v>
      </c>
      <c r="AD41" s="802">
        <f t="shared" si="23"/>
        <v>0</v>
      </c>
      <c r="AE41" s="860">
        <f t="shared" si="23"/>
        <v>0</v>
      </c>
      <c r="AF41" s="1106">
        <f t="shared" si="23"/>
        <v>0</v>
      </c>
    </row>
    <row r="42" spans="1:32">
      <c r="A42" s="364" t="s">
        <v>50</v>
      </c>
      <c r="B42" s="907" t="s">
        <v>17</v>
      </c>
      <c r="C42" s="823">
        <v>0.83</v>
      </c>
      <c r="D42" s="802">
        <v>1</v>
      </c>
      <c r="E42" s="802">
        <v>0.87</v>
      </c>
      <c r="F42" s="802">
        <v>1</v>
      </c>
      <c r="G42" s="860">
        <v>0.9</v>
      </c>
      <c r="H42" s="864">
        <f>'Table 8a'!K41</f>
        <v>17663</v>
      </c>
      <c r="I42" s="872">
        <f>'Table 8a'!L41</f>
        <v>17615</v>
      </c>
      <c r="J42" s="872">
        <f>'Table 8a'!M41</f>
        <v>17713</v>
      </c>
      <c r="K42" s="872">
        <f>'Table 8a'!N41</f>
        <v>17704</v>
      </c>
      <c r="L42" s="873">
        <f>'Table 8a'!O41</f>
        <v>17812</v>
      </c>
      <c r="M42" s="1151">
        <f t="shared" si="22"/>
        <v>52</v>
      </c>
      <c r="N42" s="864">
        <f>'Table 8a'!Q41</f>
        <v>17615</v>
      </c>
      <c r="O42" s="872">
        <f>'Table 8a'!R41</f>
        <v>17812</v>
      </c>
      <c r="P42" s="872">
        <f>'Table 8a'!S41</f>
        <v>18112</v>
      </c>
      <c r="Q42" s="872">
        <f>'Table 8a'!T41</f>
        <v>18312</v>
      </c>
      <c r="R42" s="1100">
        <f>'Table 8a'!U41</f>
        <v>18412</v>
      </c>
      <c r="S42" s="1100">
        <f>'Table 8a'!V41</f>
        <v>18612</v>
      </c>
      <c r="T42" s="1100">
        <f>'Table 8a'!W41</f>
        <v>18712</v>
      </c>
      <c r="U42" s="864">
        <f>'Table 8a'!X41</f>
        <v>197</v>
      </c>
      <c r="V42" s="872">
        <f>'Table 8a'!Y41</f>
        <v>300</v>
      </c>
      <c r="W42" s="872">
        <f>'Table 8a'!Z41</f>
        <v>200</v>
      </c>
      <c r="X42" s="872">
        <f>'Table 8a'!AA41</f>
        <v>100</v>
      </c>
      <c r="Y42" s="1100">
        <f>'Table 8a'!AB41</f>
        <v>200</v>
      </c>
      <c r="Z42" s="1100">
        <f>'Table 8a'!AC41</f>
        <v>100</v>
      </c>
      <c r="AA42" s="823">
        <f t="shared" si="23"/>
        <v>0.01</v>
      </c>
      <c r="AB42" s="802">
        <f t="shared" si="23"/>
        <v>0.02</v>
      </c>
      <c r="AC42" s="802">
        <f t="shared" si="23"/>
        <v>0.01</v>
      </c>
      <c r="AD42" s="802">
        <f t="shared" si="23"/>
        <v>0.01</v>
      </c>
      <c r="AE42" s="860">
        <f t="shared" si="23"/>
        <v>0.01</v>
      </c>
      <c r="AF42" s="1106">
        <f t="shared" si="23"/>
        <v>0.01</v>
      </c>
    </row>
    <row r="43" spans="1:32" ht="13.5" thickBot="1">
      <c r="A43" s="1037" t="s">
        <v>51</v>
      </c>
      <c r="B43" s="275" t="s">
        <v>17</v>
      </c>
      <c r="C43" s="48">
        <v>2.14</v>
      </c>
      <c r="D43" s="712">
        <v>0.4</v>
      </c>
      <c r="E43" s="712">
        <v>0.39</v>
      </c>
      <c r="F43" s="712">
        <v>0.37</v>
      </c>
      <c r="G43" s="755">
        <v>0.37</v>
      </c>
      <c r="H43" s="861">
        <f>'Table 8a'!K42</f>
        <v>19760</v>
      </c>
      <c r="I43" s="368">
        <f>'Table 8a'!L42</f>
        <v>19766</v>
      </c>
      <c r="J43" s="368">
        <f>'Table 8a'!M42</f>
        <v>19698</v>
      </c>
      <c r="K43" s="368">
        <f>'Table 8a'!N42</f>
        <v>19866</v>
      </c>
      <c r="L43" s="369">
        <f>'Table 8a'!O42</f>
        <v>20068</v>
      </c>
      <c r="M43" s="1765">
        <f t="shared" si="22"/>
        <v>37</v>
      </c>
      <c r="N43" s="861">
        <f>'Table 8a'!Q42</f>
        <v>19766</v>
      </c>
      <c r="O43" s="368">
        <f>'Table 8a'!R42</f>
        <v>20378</v>
      </c>
      <c r="P43" s="368">
        <f>'Table 8a'!S42</f>
        <v>20978</v>
      </c>
      <c r="Q43" s="368">
        <f>'Table 8a'!T42</f>
        <v>21378</v>
      </c>
      <c r="R43" s="711">
        <f>'Table 8a'!U42</f>
        <v>21778</v>
      </c>
      <c r="S43" s="711">
        <f>'Table 8a'!V42</f>
        <v>22078</v>
      </c>
      <c r="T43" s="711">
        <f>'Table 8a'!W42</f>
        <v>22478</v>
      </c>
      <c r="U43" s="861">
        <f>'Table 8a'!X42</f>
        <v>612</v>
      </c>
      <c r="V43" s="368">
        <f>'Table 8a'!Y42</f>
        <v>600</v>
      </c>
      <c r="W43" s="368">
        <f>'Table 8a'!Z42</f>
        <v>400</v>
      </c>
      <c r="X43" s="368">
        <f>'Table 8a'!AA42</f>
        <v>400</v>
      </c>
      <c r="Y43" s="711">
        <f>'Table 8a'!AB42</f>
        <v>300</v>
      </c>
      <c r="Z43" s="711">
        <f>'Table 8a'!AC42</f>
        <v>400</v>
      </c>
      <c r="AA43" s="48">
        <f t="shared" si="23"/>
        <v>0.02</v>
      </c>
      <c r="AB43" s="712">
        <f t="shared" si="23"/>
        <v>0.02</v>
      </c>
      <c r="AC43" s="712">
        <f t="shared" si="23"/>
        <v>0.01</v>
      </c>
      <c r="AD43" s="712">
        <f t="shared" si="23"/>
        <v>0.01</v>
      </c>
      <c r="AE43" s="755">
        <f t="shared" si="23"/>
        <v>0.01</v>
      </c>
      <c r="AF43" s="692">
        <f t="shared" si="23"/>
        <v>0.01</v>
      </c>
    </row>
    <row r="44" spans="1:32" ht="28.5" customHeight="1" thickTop="1" thickBot="1">
      <c r="A44" s="3453" t="s">
        <v>52</v>
      </c>
      <c r="B44" s="3454"/>
      <c r="C44" s="34">
        <f>SUM(C38:C43)</f>
        <v>3.86</v>
      </c>
      <c r="D44" s="774">
        <f t="shared" ref="D44:L44" si="24">SUM(D38:D43)</f>
        <v>2.25</v>
      </c>
      <c r="E44" s="774">
        <f t="shared" si="24"/>
        <v>2.11</v>
      </c>
      <c r="F44" s="774">
        <f t="shared" si="24"/>
        <v>2.14</v>
      </c>
      <c r="G44" s="758">
        <f t="shared" si="24"/>
        <v>1.98</v>
      </c>
      <c r="H44" s="857">
        <f t="shared" si="24"/>
        <v>81324</v>
      </c>
      <c r="I44" s="251">
        <f t="shared" si="24"/>
        <v>81174</v>
      </c>
      <c r="J44" s="251">
        <f t="shared" si="24"/>
        <v>81381</v>
      </c>
      <c r="K44" s="251">
        <f t="shared" si="24"/>
        <v>81926</v>
      </c>
      <c r="L44" s="167">
        <f t="shared" si="24"/>
        <v>81729</v>
      </c>
      <c r="M44" s="708">
        <f t="shared" si="22"/>
        <v>30</v>
      </c>
      <c r="N44" s="857">
        <f t="shared" ref="N44" si="25">SUM(N38:N43)</f>
        <v>81174</v>
      </c>
      <c r="O44" s="251">
        <f t="shared" ref="O44" si="26">SUM(O38:O43)</f>
        <v>82943</v>
      </c>
      <c r="P44" s="251">
        <f t="shared" ref="P44" si="27">SUM(P38:P43)</f>
        <v>85014</v>
      </c>
      <c r="Q44" s="251">
        <f t="shared" ref="Q44" si="28">SUM(Q38:Q43)</f>
        <v>86468</v>
      </c>
      <c r="R44" s="77">
        <f t="shared" ref="R44" si="29">SUM(R38:R43)</f>
        <v>87708</v>
      </c>
      <c r="S44" s="77">
        <f t="shared" ref="S44" si="30">SUM(S38:S43)</f>
        <v>88729</v>
      </c>
      <c r="T44" s="77">
        <f t="shared" ref="T44" si="31">SUM(T38:T43)</f>
        <v>89723</v>
      </c>
      <c r="U44" s="857">
        <f>SUM(U38:U43)</f>
        <v>1769</v>
      </c>
      <c r="V44" s="251">
        <f t="shared" ref="V44:Z44" si="32">SUM(V38:V43)</f>
        <v>2071</v>
      </c>
      <c r="W44" s="251">
        <f t="shared" si="32"/>
        <v>1454</v>
      </c>
      <c r="X44" s="251">
        <f t="shared" si="32"/>
        <v>1240</v>
      </c>
      <c r="Y44" s="77">
        <f t="shared" si="32"/>
        <v>1021</v>
      </c>
      <c r="Z44" s="77">
        <f t="shared" si="32"/>
        <v>994</v>
      </c>
      <c r="AA44" s="34">
        <f t="shared" ref="AA44" si="33">SUM(AA38:AA43)</f>
        <v>0.05</v>
      </c>
      <c r="AB44" s="774">
        <f t="shared" ref="AB44" si="34">SUM(AB38:AB43)</f>
        <v>0.06</v>
      </c>
      <c r="AC44" s="774">
        <f t="shared" ref="AC44" si="35">SUM(AC38:AC43)</f>
        <v>0.03</v>
      </c>
      <c r="AD44" s="774">
        <f t="shared" ref="AD44" si="36">SUM(AD38:AD43)</f>
        <v>0.03</v>
      </c>
      <c r="AE44" s="758">
        <f t="shared" ref="AE44" si="37">SUM(AE38:AE43)</f>
        <v>0.03</v>
      </c>
      <c r="AF44" s="1153">
        <f t="shared" ref="AF44" si="38">SUM(AF38:AF43)</f>
        <v>0.03</v>
      </c>
    </row>
    <row r="45" spans="1:32">
      <c r="A45" s="1" t="s">
        <v>68</v>
      </c>
      <c r="C45" s="23"/>
      <c r="D45" s="23"/>
      <c r="E45" s="23"/>
      <c r="F45" s="23"/>
      <c r="G45" s="23"/>
      <c r="H45" s="55"/>
      <c r="I45" s="55"/>
      <c r="J45" s="55"/>
      <c r="K45" s="55"/>
      <c r="L45" s="55"/>
      <c r="M45" s="1152" t="s">
        <v>36</v>
      </c>
      <c r="N45" s="55"/>
      <c r="O45" s="55"/>
      <c r="P45" s="55"/>
      <c r="Q45" s="55"/>
      <c r="R45" s="55"/>
      <c r="S45" s="55"/>
      <c r="T45" s="55"/>
      <c r="U45" s="55"/>
      <c r="V45" s="55"/>
      <c r="W45" s="55"/>
      <c r="X45" s="55"/>
      <c r="Y45" s="55"/>
      <c r="Z45" s="55"/>
      <c r="AA45" s="23"/>
      <c r="AB45" s="23"/>
      <c r="AC45" s="23"/>
      <c r="AD45" s="23"/>
      <c r="AE45" s="23"/>
    </row>
    <row r="46" spans="1:32">
      <c r="A46" s="1" t="s">
        <v>69</v>
      </c>
    </row>
    <row r="47" spans="1:32">
      <c r="A47" s="1" t="s">
        <v>621</v>
      </c>
    </row>
    <row r="48" spans="1:32">
      <c r="A48" s="2" t="s">
        <v>611</v>
      </c>
    </row>
    <row r="49" spans="1:1">
      <c r="A49" s="1" t="s">
        <v>624</v>
      </c>
    </row>
    <row r="50" spans="1:1">
      <c r="A50" s="1" t="s">
        <v>625</v>
      </c>
    </row>
  </sheetData>
  <mergeCells count="21">
    <mergeCell ref="A44:B44"/>
    <mergeCell ref="A36:A37"/>
    <mergeCell ref="B36:B37"/>
    <mergeCell ref="C36:G36"/>
    <mergeCell ref="H36:L36"/>
    <mergeCell ref="A1:AF1"/>
    <mergeCell ref="M36:M37"/>
    <mergeCell ref="N36:T36"/>
    <mergeCell ref="U36:Z36"/>
    <mergeCell ref="AA36:AF36"/>
    <mergeCell ref="M2:M3"/>
    <mergeCell ref="A25:B25"/>
    <mergeCell ref="A26:B26"/>
    <mergeCell ref="N2:T2"/>
    <mergeCell ref="AA2:AF2"/>
    <mergeCell ref="U2:Z2"/>
    <mergeCell ref="A24:B24"/>
    <mergeCell ref="A2:A3"/>
    <mergeCell ref="B2:B3"/>
    <mergeCell ref="H2:L2"/>
    <mergeCell ref="C2:G2"/>
  </mergeCells>
  <pageMargins left="0.7" right="0.7" top="0.75" bottom="0.75" header="0.3" footer="0.3"/>
  <pageSetup paperSize="3" scale="64" fitToHeight="0" pageOrder="overThenDown"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G49"/>
  <sheetViews>
    <sheetView workbookViewId="0">
      <selection activeCell="C6" sqref="C6"/>
    </sheetView>
  </sheetViews>
  <sheetFormatPr defaultColWidth="9.140625" defaultRowHeight="12.75"/>
  <cols>
    <col min="1" max="1" width="13" style="1" customWidth="1"/>
    <col min="2" max="2" width="9.85546875" style="1" customWidth="1"/>
    <col min="3" max="19" width="8.42578125" style="1" customWidth="1"/>
    <col min="20" max="23" width="9.140625" style="1" customWidth="1"/>
    <col min="24" max="24" width="9.7109375" style="1" customWidth="1"/>
    <col min="25" max="32" width="9.140625" style="1" customWidth="1"/>
    <col min="33" max="33" width="10.7109375" style="1" hidden="1" customWidth="1"/>
    <col min="34" max="34" width="9.140625" style="1"/>
    <col min="35" max="36" width="9.140625" style="1" customWidth="1"/>
    <col min="37" max="16384" width="9.140625" style="1"/>
  </cols>
  <sheetData>
    <row r="1" spans="1:33" ht="13.5" thickBot="1">
      <c r="A1" s="2" t="s">
        <v>626</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row>
    <row r="2" spans="1:33" ht="27" customHeight="1" thickBot="1">
      <c r="A2" s="3204" t="s">
        <v>1</v>
      </c>
      <c r="B2" s="3206" t="s">
        <v>2</v>
      </c>
      <c r="C2" s="3221" t="s">
        <v>55</v>
      </c>
      <c r="D2" s="3222"/>
      <c r="E2" s="3223"/>
      <c r="F2" s="3221" t="s">
        <v>56</v>
      </c>
      <c r="G2" s="3222"/>
      <c r="H2" s="3222"/>
      <c r="I2" s="3222"/>
      <c r="J2" s="3222"/>
      <c r="K2" s="3222"/>
      <c r="L2" s="3222"/>
      <c r="M2" s="3222"/>
      <c r="N2" s="3222"/>
      <c r="O2" s="3222"/>
      <c r="P2" s="3222"/>
      <c r="Q2" s="3222"/>
      <c r="R2" s="3222"/>
      <c r="S2" s="3222"/>
      <c r="T2" s="3222"/>
      <c r="U2" s="3222"/>
      <c r="V2" s="3222"/>
      <c r="W2" s="3223"/>
      <c r="X2" s="3255" t="s">
        <v>57</v>
      </c>
      <c r="Y2" s="3265" t="s">
        <v>627</v>
      </c>
      <c r="Z2" s="3266"/>
      <c r="AA2" s="3266"/>
      <c r="AB2" s="3266"/>
      <c r="AC2" s="3266"/>
      <c r="AD2" s="3266"/>
      <c r="AE2" s="3267"/>
      <c r="AG2" s="3255" t="s">
        <v>80</v>
      </c>
    </row>
    <row r="3" spans="1:33" ht="27" customHeight="1" thickBot="1">
      <c r="A3" s="3205"/>
      <c r="B3" s="3207"/>
      <c r="C3" s="3212">
        <v>2015</v>
      </c>
      <c r="D3" s="3213"/>
      <c r="E3" s="3215"/>
      <c r="F3" s="3219">
        <v>2020</v>
      </c>
      <c r="G3" s="3213"/>
      <c r="H3" s="3214"/>
      <c r="I3" s="3212">
        <v>2025</v>
      </c>
      <c r="J3" s="3213"/>
      <c r="K3" s="3215"/>
      <c r="L3" s="3217">
        <v>2030</v>
      </c>
      <c r="M3" s="3217"/>
      <c r="N3" s="3217"/>
      <c r="O3" s="3212">
        <v>2035</v>
      </c>
      <c r="P3" s="3213"/>
      <c r="Q3" s="3215"/>
      <c r="R3" s="3219">
        <v>2040</v>
      </c>
      <c r="S3" s="3213"/>
      <c r="T3" s="3214"/>
      <c r="U3" s="3212">
        <v>2045</v>
      </c>
      <c r="V3" s="3213"/>
      <c r="W3" s="3215"/>
      <c r="X3" s="3256"/>
      <c r="Y3" s="3380"/>
      <c r="Z3" s="3280"/>
      <c r="AA3" s="3280"/>
      <c r="AB3" s="3280"/>
      <c r="AC3" s="3280"/>
      <c r="AD3" s="3280"/>
      <c r="AE3" s="3377"/>
      <c r="AG3" s="3256"/>
    </row>
    <row r="4" spans="1:33" ht="15.75" customHeight="1" thickBot="1">
      <c r="A4" s="3485"/>
      <c r="B4" s="3208"/>
      <c r="C4" s="1655" t="s">
        <v>60</v>
      </c>
      <c r="D4" s="1017" t="s">
        <v>61</v>
      </c>
      <c r="E4" s="1659" t="s">
        <v>18</v>
      </c>
      <c r="F4" s="1669" t="s">
        <v>60</v>
      </c>
      <c r="G4" s="1657" t="s">
        <v>61</v>
      </c>
      <c r="H4" s="1661" t="s">
        <v>18</v>
      </c>
      <c r="I4" s="1655" t="s">
        <v>60</v>
      </c>
      <c r="J4" s="1017" t="s">
        <v>61</v>
      </c>
      <c r="K4" s="1659" t="s">
        <v>18</v>
      </c>
      <c r="L4" s="1669" t="s">
        <v>60</v>
      </c>
      <c r="M4" s="1657" t="s">
        <v>61</v>
      </c>
      <c r="N4" s="1661" t="s">
        <v>18</v>
      </c>
      <c r="O4" s="1655" t="s">
        <v>60</v>
      </c>
      <c r="P4" s="1657" t="s">
        <v>61</v>
      </c>
      <c r="Q4" s="1658" t="s">
        <v>18</v>
      </c>
      <c r="R4" s="1669" t="s">
        <v>60</v>
      </c>
      <c r="S4" s="1017" t="s">
        <v>61</v>
      </c>
      <c r="T4" s="1656" t="s">
        <v>18</v>
      </c>
      <c r="U4" s="1655" t="s">
        <v>60</v>
      </c>
      <c r="V4" s="1017" t="s">
        <v>61</v>
      </c>
      <c r="W4" s="1659" t="s">
        <v>18</v>
      </c>
      <c r="X4" s="3257"/>
      <c r="Y4" s="1767">
        <v>2015</v>
      </c>
      <c r="Z4" s="1750">
        <v>2020</v>
      </c>
      <c r="AA4" s="1750">
        <v>2025</v>
      </c>
      <c r="AB4" s="1750">
        <v>2030</v>
      </c>
      <c r="AC4" s="1750">
        <v>2035</v>
      </c>
      <c r="AD4" s="1749">
        <v>2040</v>
      </c>
      <c r="AE4" s="3036">
        <v>2045</v>
      </c>
      <c r="AG4" s="3470"/>
    </row>
    <row r="5" spans="1:33">
      <c r="A5" s="443" t="s">
        <v>14</v>
      </c>
      <c r="B5" s="507" t="s">
        <v>15</v>
      </c>
      <c r="C5" s="1124">
        <f>'Table 10a'!D5</f>
        <v>0.51</v>
      </c>
      <c r="D5" s="1122">
        <f>'Table 10a'!E5</f>
        <v>0</v>
      </c>
      <c r="E5" s="1024">
        <f>C5+D5</f>
        <v>0.51</v>
      </c>
      <c r="F5" s="1121">
        <f>'Table 10a'!G5</f>
        <v>0.53</v>
      </c>
      <c r="G5" s="1125">
        <f>'Table 10a'!H5</f>
        <v>0</v>
      </c>
      <c r="H5" s="1766">
        <f>F5+G5</f>
        <v>0.53</v>
      </c>
      <c r="I5" s="1124">
        <f>'Table 10a'!J5</f>
        <v>0.55000000000000004</v>
      </c>
      <c r="J5" s="1122">
        <f>'Table 10a'!K5</f>
        <v>0</v>
      </c>
      <c r="K5" s="1024">
        <f>I5+J5</f>
        <v>0.55000000000000004</v>
      </c>
      <c r="L5" s="1121">
        <f>'Table 10a'!M5</f>
        <v>0.56000000000000005</v>
      </c>
      <c r="M5" s="1125">
        <f>'Table 10a'!N5</f>
        <v>0</v>
      </c>
      <c r="N5" s="1766">
        <f>L5+M5</f>
        <v>0.56000000000000005</v>
      </c>
      <c r="O5" s="444">
        <f>'Table 10a'!P5</f>
        <v>0.59</v>
      </c>
      <c r="P5" s="585">
        <f>'Table 10a'!Q5</f>
        <v>0</v>
      </c>
      <c r="Q5" s="450">
        <f>O5+P5</f>
        <v>0.59</v>
      </c>
      <c r="R5" s="674">
        <f>'Table 10a'!S5</f>
        <v>0.61</v>
      </c>
      <c r="S5" s="445">
        <f>'Table 10a'!T5</f>
        <v>0</v>
      </c>
      <c r="T5" s="449">
        <f>R5+S5</f>
        <v>0.61</v>
      </c>
      <c r="U5" s="1242">
        <f>'Table 10a'!V5</f>
        <v>0.63</v>
      </c>
      <c r="V5" s="445">
        <f>'Table 10a'!W5</f>
        <v>0</v>
      </c>
      <c r="W5" s="1689">
        <f>U5+V5</f>
        <v>0.63</v>
      </c>
      <c r="X5" s="203">
        <f>(W5-E5)/E5</f>
        <v>0.24</v>
      </c>
      <c r="Y5" s="4">
        <f>'Table 10a'!Z5</f>
        <v>0</v>
      </c>
      <c r="Z5" s="787">
        <f>'Table 10a'!AA5</f>
        <v>0</v>
      </c>
      <c r="AA5" s="787">
        <f>'Table 10a'!AB5</f>
        <v>0</v>
      </c>
      <c r="AB5" s="787">
        <f>'Table 10a'!AC5</f>
        <v>0</v>
      </c>
      <c r="AC5" s="787">
        <f>'Table 10a'!AD5</f>
        <v>0</v>
      </c>
      <c r="AD5" s="181">
        <f>'Table 10a'!AE5</f>
        <v>0</v>
      </c>
      <c r="AE5" s="1107">
        <f>'Table 10a'!AF5</f>
        <v>0</v>
      </c>
      <c r="AG5" s="656">
        <f>W5-E5</f>
        <v>0.12</v>
      </c>
    </row>
    <row r="6" spans="1:33" ht="13.5" thickBot="1">
      <c r="A6" s="458" t="s">
        <v>14</v>
      </c>
      <c r="B6" s="506" t="s">
        <v>17</v>
      </c>
      <c r="C6" s="636">
        <f>'Table 10a'!D6+'Table 10a'!D7</f>
        <v>1.77</v>
      </c>
      <c r="D6" s="635">
        <f>'Table 10a'!E7</f>
        <v>0</v>
      </c>
      <c r="E6" s="638">
        <f>C6+D6</f>
        <v>1.77</v>
      </c>
      <c r="F6" s="634">
        <f>'Table 10a'!G6+'Table 10a'!G7</f>
        <v>1.76</v>
      </c>
      <c r="G6" s="637">
        <f>'Table 10a'!H7</f>
        <v>0</v>
      </c>
      <c r="H6" s="671">
        <f>F6+G6</f>
        <v>1.76</v>
      </c>
      <c r="I6" s="636">
        <f>'Table 10a'!J6+'Table 10a'!J7</f>
        <v>1.67</v>
      </c>
      <c r="J6" s="635">
        <f>'Table 10a'!K7</f>
        <v>0</v>
      </c>
      <c r="K6" s="638">
        <f>I6+J6</f>
        <v>1.67</v>
      </c>
      <c r="L6" s="634">
        <f>'Table 10a'!M6+'Table 10a'!M7</f>
        <v>1.71</v>
      </c>
      <c r="M6" s="637">
        <f>'Table 10a'!N7</f>
        <v>0</v>
      </c>
      <c r="N6" s="671">
        <f>L6+M6</f>
        <v>1.71</v>
      </c>
      <c r="O6" s="459">
        <f>'Table 10a'!P6+'Table 10a'!P7</f>
        <v>1.78</v>
      </c>
      <c r="P6" s="590">
        <f>'Table 10a'!Q7</f>
        <v>0</v>
      </c>
      <c r="Q6" s="486">
        <f>O6+P6</f>
        <v>1.78</v>
      </c>
      <c r="R6" s="656">
        <f>'Table 10a'!S6+'Table 10a'!S7</f>
        <v>1.86</v>
      </c>
      <c r="S6" s="460">
        <f>'Table 10a'!T7</f>
        <v>0</v>
      </c>
      <c r="T6" s="484">
        <f>R6+S6</f>
        <v>1.86</v>
      </c>
      <c r="U6" s="1244">
        <f>'Table 10a'!V6+'Table 10a'!V7</f>
        <v>1.93</v>
      </c>
      <c r="V6" s="460">
        <f>'Table 10a'!W7</f>
        <v>0</v>
      </c>
      <c r="W6" s="640">
        <f>U6+V6</f>
        <v>1.93</v>
      </c>
      <c r="X6" s="547">
        <f t="shared" ref="X6:X27" si="0">(W6-E6)/E6</f>
        <v>0.09</v>
      </c>
      <c r="Y6" s="653">
        <f>'Table 10a'!Z6+'Table 10a'!Z7</f>
        <v>0</v>
      </c>
      <c r="Z6" s="653">
        <f>'Table 10a'!AA6+'Table 10a'!AA7</f>
        <v>0</v>
      </c>
      <c r="AA6" s="653">
        <f>'Table 10a'!AB6+'Table 10a'!AB7</f>
        <v>0</v>
      </c>
      <c r="AB6" s="653">
        <f>'Table 10a'!AC6+'Table 10a'!AC7</f>
        <v>0</v>
      </c>
      <c r="AC6" s="653">
        <f>'Table 10a'!AD6+'Table 10a'!AD7</f>
        <v>0</v>
      </c>
      <c r="AD6" s="653">
        <f>'Table 10a'!AE6+'Table 10a'!AE7</f>
        <v>0</v>
      </c>
      <c r="AE6" s="42">
        <f>'Table 10a'!AF6+'Table 10a'!AF7</f>
        <v>0</v>
      </c>
      <c r="AF6" s="185"/>
      <c r="AG6" s="656">
        <f t="shared" ref="AG6:AG27" si="1">W6-E6</f>
        <v>0.16</v>
      </c>
    </row>
    <row r="7" spans="1:33" s="22" customFormat="1" ht="14.25" thickTop="1" thickBot="1">
      <c r="A7" s="681" t="s">
        <v>14</v>
      </c>
      <c r="B7" s="693" t="s">
        <v>18</v>
      </c>
      <c r="C7" s="682">
        <f>SUM(C5:C6)</f>
        <v>2.2799999999999998</v>
      </c>
      <c r="D7" s="683">
        <f>SUM(D5:D6)</f>
        <v>0</v>
      </c>
      <c r="E7" s="673">
        <f t="shared" ref="E7:S7" si="2">SUM(E5:E6)</f>
        <v>2.2799999999999998</v>
      </c>
      <c r="F7" s="684">
        <f t="shared" si="2"/>
        <v>2.29</v>
      </c>
      <c r="G7" s="685">
        <f t="shared" si="2"/>
        <v>0</v>
      </c>
      <c r="H7" s="672">
        <f>SUM(H5:H6)</f>
        <v>2.29</v>
      </c>
      <c r="I7" s="682">
        <f t="shared" si="2"/>
        <v>2.2200000000000002</v>
      </c>
      <c r="J7" s="683">
        <f t="shared" si="2"/>
        <v>0</v>
      </c>
      <c r="K7" s="673">
        <f>SUM(K5:K6)</f>
        <v>2.2200000000000002</v>
      </c>
      <c r="L7" s="684">
        <f t="shared" si="2"/>
        <v>2.27</v>
      </c>
      <c r="M7" s="685">
        <f t="shared" si="2"/>
        <v>0</v>
      </c>
      <c r="N7" s="672">
        <f>SUM(N5:N6)</f>
        <v>2.27</v>
      </c>
      <c r="O7" s="686">
        <f t="shared" si="2"/>
        <v>2.37</v>
      </c>
      <c r="P7" s="1593">
        <f t="shared" si="2"/>
        <v>0</v>
      </c>
      <c r="Q7" s="1592">
        <f>SUM(Q5:Q6)</f>
        <v>2.37</v>
      </c>
      <c r="R7" s="687">
        <f t="shared" si="2"/>
        <v>2.4700000000000002</v>
      </c>
      <c r="S7" s="688">
        <f t="shared" si="2"/>
        <v>0</v>
      </c>
      <c r="T7" s="1290">
        <f>SUM(T5:T6)</f>
        <v>2.4700000000000002</v>
      </c>
      <c r="U7" s="1291">
        <f t="shared" ref="U7:V7" si="3">SUM(U5:U6)</f>
        <v>2.56</v>
      </c>
      <c r="V7" s="688">
        <f t="shared" si="3"/>
        <v>0</v>
      </c>
      <c r="W7" s="689">
        <f>SUM(W5:W6)</f>
        <v>2.56</v>
      </c>
      <c r="X7" s="596">
        <f t="shared" si="0"/>
        <v>0.12</v>
      </c>
      <c r="Y7" s="690">
        <f t="shared" ref="Y7:AD7" si="4">SUM(Y5:Y6)</f>
        <v>0</v>
      </c>
      <c r="Z7" s="788">
        <f t="shared" si="4"/>
        <v>0</v>
      </c>
      <c r="AA7" s="788">
        <f t="shared" si="4"/>
        <v>0</v>
      </c>
      <c r="AB7" s="788">
        <f t="shared" si="4"/>
        <v>0</v>
      </c>
      <c r="AC7" s="788">
        <f t="shared" si="4"/>
        <v>0</v>
      </c>
      <c r="AD7" s="1295">
        <f t="shared" si="4"/>
        <v>0</v>
      </c>
      <c r="AE7" s="1294">
        <f t="shared" ref="AE7" si="5">SUM(AE5:AE6)</f>
        <v>0</v>
      </c>
      <c r="AG7" s="639">
        <f t="shared" si="1"/>
        <v>0.28000000000000003</v>
      </c>
    </row>
    <row r="8" spans="1:33">
      <c r="A8" s="475" t="s">
        <v>19</v>
      </c>
      <c r="B8" s="509" t="s">
        <v>15</v>
      </c>
      <c r="C8" s="510">
        <v>0</v>
      </c>
      <c r="D8" s="511">
        <v>0</v>
      </c>
      <c r="E8" s="675">
        <f>C8+D8</f>
        <v>0</v>
      </c>
      <c r="F8" s="625">
        <v>0</v>
      </c>
      <c r="G8" s="626">
        <v>0</v>
      </c>
      <c r="H8" s="676">
        <f>F8+G8</f>
        <v>0</v>
      </c>
      <c r="I8" s="510">
        <v>0</v>
      </c>
      <c r="J8" s="511">
        <v>0</v>
      </c>
      <c r="K8" s="675">
        <f>I8+J8</f>
        <v>0</v>
      </c>
      <c r="L8" s="625">
        <v>0</v>
      </c>
      <c r="M8" s="626">
        <v>0</v>
      </c>
      <c r="N8" s="676">
        <f>L8+M8</f>
        <v>0</v>
      </c>
      <c r="O8" s="464">
        <v>0</v>
      </c>
      <c r="P8" s="559">
        <v>0</v>
      </c>
      <c r="Q8" s="518">
        <f>O8+P8</f>
        <v>0</v>
      </c>
      <c r="R8" s="677">
        <v>0</v>
      </c>
      <c r="S8" s="465">
        <v>0</v>
      </c>
      <c r="T8" s="520">
        <f>R8+S8</f>
        <v>0</v>
      </c>
      <c r="U8" s="1292">
        <v>0</v>
      </c>
      <c r="V8" s="465">
        <v>0</v>
      </c>
      <c r="W8" s="678">
        <f>U8+V8</f>
        <v>0</v>
      </c>
      <c r="X8" s="204" t="s">
        <v>16</v>
      </c>
      <c r="Y8" s="680">
        <v>0</v>
      </c>
      <c r="Z8" s="789">
        <v>0</v>
      </c>
      <c r="AA8" s="789">
        <v>0</v>
      </c>
      <c r="AB8" s="789">
        <v>0</v>
      </c>
      <c r="AC8" s="789">
        <v>0</v>
      </c>
      <c r="AD8" s="702">
        <v>0</v>
      </c>
      <c r="AE8" s="1109">
        <v>0</v>
      </c>
      <c r="AG8" s="1632">
        <f t="shared" si="1"/>
        <v>0</v>
      </c>
    </row>
    <row r="9" spans="1:33" ht="13.5" thickBot="1">
      <c r="A9" s="579" t="s">
        <v>19</v>
      </c>
      <c r="B9" s="1850" t="s">
        <v>17</v>
      </c>
      <c r="C9" s="41">
        <v>0</v>
      </c>
      <c r="D9" s="541">
        <v>0</v>
      </c>
      <c r="E9" s="51">
        <f>C9+D9</f>
        <v>0</v>
      </c>
      <c r="F9" s="1253">
        <v>0</v>
      </c>
      <c r="G9" s="627">
        <v>0</v>
      </c>
      <c r="H9" s="1254">
        <f>F9+G9</f>
        <v>0</v>
      </c>
      <c r="I9" s="41">
        <v>0</v>
      </c>
      <c r="J9" s="541">
        <v>0</v>
      </c>
      <c r="K9" s="51">
        <f>I9+J9</f>
        <v>0</v>
      </c>
      <c r="L9" s="1253">
        <v>0</v>
      </c>
      <c r="M9" s="627">
        <v>0</v>
      </c>
      <c r="N9" s="1254">
        <f>L9+M9</f>
        <v>0</v>
      </c>
      <c r="O9" s="467">
        <v>0</v>
      </c>
      <c r="P9" s="562">
        <v>0</v>
      </c>
      <c r="Q9" s="943">
        <f>O9+P9</f>
        <v>0</v>
      </c>
      <c r="R9" s="691">
        <v>0</v>
      </c>
      <c r="S9" s="616">
        <v>0</v>
      </c>
      <c r="T9" s="523">
        <f>R9+S9</f>
        <v>0</v>
      </c>
      <c r="U9" s="1293">
        <v>0</v>
      </c>
      <c r="V9" s="616">
        <v>0</v>
      </c>
      <c r="W9" s="644">
        <f>U9+V9</f>
        <v>0</v>
      </c>
      <c r="X9" s="205" t="s">
        <v>16</v>
      </c>
      <c r="Y9" s="927">
        <v>0</v>
      </c>
      <c r="Z9" s="790">
        <v>0</v>
      </c>
      <c r="AA9" s="790">
        <v>0</v>
      </c>
      <c r="AB9" s="790">
        <v>0</v>
      </c>
      <c r="AC9" s="790">
        <v>0</v>
      </c>
      <c r="AD9" s="712">
        <v>0</v>
      </c>
      <c r="AE9" s="1108">
        <v>0</v>
      </c>
      <c r="AG9" s="1595">
        <f t="shared" si="1"/>
        <v>0</v>
      </c>
    </row>
    <row r="10" spans="1:33" s="22" customFormat="1" ht="14.25" thickTop="1" thickBot="1">
      <c r="A10" s="279" t="s">
        <v>19</v>
      </c>
      <c r="B10" s="693" t="s">
        <v>18</v>
      </c>
      <c r="C10" s="535">
        <f>SUM(C8:C9)</f>
        <v>0</v>
      </c>
      <c r="D10" s="536">
        <f>SUM(D8:D9)</f>
        <v>0</v>
      </c>
      <c r="E10" s="647">
        <f t="shared" ref="E10:S10" si="6">SUM(E8:E9)</f>
        <v>0</v>
      </c>
      <c r="F10" s="592">
        <f t="shared" si="6"/>
        <v>0</v>
      </c>
      <c r="G10" s="593">
        <f t="shared" si="6"/>
        <v>0</v>
      </c>
      <c r="H10" s="646">
        <f>SUM(H8:H9)</f>
        <v>0</v>
      </c>
      <c r="I10" s="535">
        <f t="shared" si="6"/>
        <v>0</v>
      </c>
      <c r="J10" s="536">
        <f t="shared" si="6"/>
        <v>0</v>
      </c>
      <c r="K10" s="647">
        <f>SUM(K8:K9)</f>
        <v>0</v>
      </c>
      <c r="L10" s="592">
        <f t="shared" si="6"/>
        <v>0</v>
      </c>
      <c r="M10" s="593">
        <f t="shared" si="6"/>
        <v>0</v>
      </c>
      <c r="N10" s="646">
        <f>SUM(N8:N9)</f>
        <v>0</v>
      </c>
      <c r="O10" s="470">
        <f t="shared" si="6"/>
        <v>0</v>
      </c>
      <c r="P10" s="555">
        <f t="shared" si="6"/>
        <v>0</v>
      </c>
      <c r="Q10" s="474">
        <f>SUM(Q8:Q9)</f>
        <v>0</v>
      </c>
      <c r="R10" s="679">
        <f t="shared" si="6"/>
        <v>0</v>
      </c>
      <c r="S10" s="471">
        <f t="shared" si="6"/>
        <v>0</v>
      </c>
      <c r="T10" s="472">
        <f>SUM(T8:T9)</f>
        <v>0</v>
      </c>
      <c r="U10" s="1259">
        <f t="shared" ref="U10:V10" si="7">SUM(U8:U9)</f>
        <v>0</v>
      </c>
      <c r="V10" s="471">
        <f t="shared" si="7"/>
        <v>0</v>
      </c>
      <c r="W10" s="657">
        <f>SUM(W8:W9)</f>
        <v>0</v>
      </c>
      <c r="X10" s="206" t="s">
        <v>16</v>
      </c>
      <c r="Y10" s="142">
        <f t="shared" ref="Y10:AD10" si="8">SUM(Y8:Y9)</f>
        <v>0</v>
      </c>
      <c r="Z10" s="791">
        <f t="shared" si="8"/>
        <v>0</v>
      </c>
      <c r="AA10" s="791">
        <f t="shared" si="8"/>
        <v>0</v>
      </c>
      <c r="AB10" s="791">
        <f t="shared" si="8"/>
        <v>0</v>
      </c>
      <c r="AC10" s="791">
        <f t="shared" si="8"/>
        <v>0</v>
      </c>
      <c r="AD10" s="774">
        <f t="shared" si="8"/>
        <v>0</v>
      </c>
      <c r="AE10" s="21">
        <f t="shared" ref="AE10" si="9">SUM(AE8:AE9)</f>
        <v>0</v>
      </c>
      <c r="AG10" s="1598">
        <f t="shared" si="1"/>
        <v>0</v>
      </c>
    </row>
    <row r="11" spans="1:33">
      <c r="A11" s="475" t="s">
        <v>20</v>
      </c>
      <c r="B11" s="509" t="s">
        <v>15</v>
      </c>
      <c r="C11" s="510">
        <v>0</v>
      </c>
      <c r="D11" s="511">
        <v>0</v>
      </c>
      <c r="E11" s="675">
        <f>C11+D11</f>
        <v>0</v>
      </c>
      <c r="F11" s="625">
        <v>0</v>
      </c>
      <c r="G11" s="626">
        <v>0</v>
      </c>
      <c r="H11" s="676">
        <f>F11+G11</f>
        <v>0</v>
      </c>
      <c r="I11" s="510">
        <v>0</v>
      </c>
      <c r="J11" s="511">
        <v>0</v>
      </c>
      <c r="K11" s="675">
        <f>I11+J11</f>
        <v>0</v>
      </c>
      <c r="L11" s="625">
        <v>0</v>
      </c>
      <c r="M11" s="626">
        <v>0</v>
      </c>
      <c r="N11" s="676">
        <f>L11+M11</f>
        <v>0</v>
      </c>
      <c r="O11" s="464">
        <v>0</v>
      </c>
      <c r="P11" s="559">
        <v>0</v>
      </c>
      <c r="Q11" s="518">
        <f>O11+P11</f>
        <v>0</v>
      </c>
      <c r="R11" s="677">
        <v>0</v>
      </c>
      <c r="S11" s="465">
        <v>0</v>
      </c>
      <c r="T11" s="520">
        <f>R11+S11</f>
        <v>0</v>
      </c>
      <c r="U11" s="1292">
        <v>0</v>
      </c>
      <c r="V11" s="465">
        <v>0</v>
      </c>
      <c r="W11" s="678">
        <f>U11+V11</f>
        <v>0</v>
      </c>
      <c r="X11" s="204" t="s">
        <v>16</v>
      </c>
      <c r="Y11" s="680">
        <v>0</v>
      </c>
      <c r="Z11" s="789">
        <v>0</v>
      </c>
      <c r="AA11" s="789">
        <v>0</v>
      </c>
      <c r="AB11" s="789">
        <v>0</v>
      </c>
      <c r="AC11" s="789">
        <v>0</v>
      </c>
      <c r="AD11" s="702">
        <v>0</v>
      </c>
      <c r="AE11" s="1109">
        <v>0</v>
      </c>
      <c r="AG11" s="1597">
        <f t="shared" si="1"/>
        <v>0</v>
      </c>
    </row>
    <row r="12" spans="1:33" ht="13.5" thickBot="1">
      <c r="A12" s="579" t="s">
        <v>20</v>
      </c>
      <c r="B12" s="1850" t="s">
        <v>17</v>
      </c>
      <c r="C12" s="41">
        <v>0</v>
      </c>
      <c r="D12" s="541">
        <v>0</v>
      </c>
      <c r="E12" s="51">
        <f>C12+D12</f>
        <v>0</v>
      </c>
      <c r="F12" s="1253">
        <v>0</v>
      </c>
      <c r="G12" s="627">
        <v>0</v>
      </c>
      <c r="H12" s="1254">
        <f>F12+G12</f>
        <v>0</v>
      </c>
      <c r="I12" s="41">
        <v>0</v>
      </c>
      <c r="J12" s="541">
        <v>0</v>
      </c>
      <c r="K12" s="51">
        <f>I12+J12</f>
        <v>0</v>
      </c>
      <c r="L12" s="1253">
        <v>0</v>
      </c>
      <c r="M12" s="627">
        <v>0</v>
      </c>
      <c r="N12" s="1254">
        <f>L12+M12</f>
        <v>0</v>
      </c>
      <c r="O12" s="467">
        <v>0</v>
      </c>
      <c r="P12" s="562">
        <v>0</v>
      </c>
      <c r="Q12" s="943">
        <f>O12+P12</f>
        <v>0</v>
      </c>
      <c r="R12" s="691">
        <v>0</v>
      </c>
      <c r="S12" s="616">
        <v>0</v>
      </c>
      <c r="T12" s="523">
        <f>R12+S12</f>
        <v>0</v>
      </c>
      <c r="U12" s="1293">
        <v>0</v>
      </c>
      <c r="V12" s="616">
        <v>0</v>
      </c>
      <c r="W12" s="644">
        <f>U12+V12</f>
        <v>0</v>
      </c>
      <c r="X12" s="205" t="s">
        <v>16</v>
      </c>
      <c r="Y12" s="927">
        <v>0</v>
      </c>
      <c r="Z12" s="790">
        <v>0</v>
      </c>
      <c r="AA12" s="790">
        <v>0</v>
      </c>
      <c r="AB12" s="790">
        <v>0</v>
      </c>
      <c r="AC12" s="790">
        <v>0</v>
      </c>
      <c r="AD12" s="712">
        <v>0</v>
      </c>
      <c r="AE12" s="1108">
        <v>0</v>
      </c>
      <c r="AG12" s="1595">
        <f t="shared" si="1"/>
        <v>0</v>
      </c>
    </row>
    <row r="13" spans="1:33" s="22" customFormat="1" ht="14.25" thickTop="1" thickBot="1">
      <c r="A13" s="279" t="s">
        <v>20</v>
      </c>
      <c r="B13" s="668" t="s">
        <v>18</v>
      </c>
      <c r="C13" s="535">
        <f>SUM(C11:C12)</f>
        <v>0</v>
      </c>
      <c r="D13" s="536">
        <f>SUM(D11:D12)</f>
        <v>0</v>
      </c>
      <c r="E13" s="647">
        <f t="shared" ref="E13:S13" si="10">SUM(E11:E12)</f>
        <v>0</v>
      </c>
      <c r="F13" s="592">
        <f t="shared" si="10"/>
        <v>0</v>
      </c>
      <c r="G13" s="593">
        <f t="shared" si="10"/>
        <v>0</v>
      </c>
      <c r="H13" s="646">
        <f>SUM(H11:H12)</f>
        <v>0</v>
      </c>
      <c r="I13" s="535">
        <f t="shared" si="10"/>
        <v>0</v>
      </c>
      <c r="J13" s="536">
        <f t="shared" si="10"/>
        <v>0</v>
      </c>
      <c r="K13" s="647">
        <f>SUM(K11:K12)</f>
        <v>0</v>
      </c>
      <c r="L13" s="592">
        <f t="shared" si="10"/>
        <v>0</v>
      </c>
      <c r="M13" s="593">
        <f t="shared" si="10"/>
        <v>0</v>
      </c>
      <c r="N13" s="646">
        <f>SUM(N11:N12)</f>
        <v>0</v>
      </c>
      <c r="O13" s="470">
        <f t="shared" si="10"/>
        <v>0</v>
      </c>
      <c r="P13" s="555">
        <f t="shared" si="10"/>
        <v>0</v>
      </c>
      <c r="Q13" s="474">
        <f>SUM(Q11:Q12)</f>
        <v>0</v>
      </c>
      <c r="R13" s="679">
        <f t="shared" si="10"/>
        <v>0</v>
      </c>
      <c r="S13" s="471">
        <f t="shared" si="10"/>
        <v>0</v>
      </c>
      <c r="T13" s="472">
        <f>SUM(T11:T12)</f>
        <v>0</v>
      </c>
      <c r="U13" s="1259">
        <f t="shared" ref="U13:V13" si="11">SUM(U11:U12)</f>
        <v>0</v>
      </c>
      <c r="V13" s="471">
        <f t="shared" si="11"/>
        <v>0</v>
      </c>
      <c r="W13" s="657">
        <f>SUM(W11:W12)</f>
        <v>0</v>
      </c>
      <c r="X13" s="206" t="s">
        <v>16</v>
      </c>
      <c r="Y13" s="142">
        <f t="shared" ref="Y13:AD13" si="12">SUM(Y11:Y12)</f>
        <v>0</v>
      </c>
      <c r="Z13" s="791">
        <f t="shared" si="12"/>
        <v>0</v>
      </c>
      <c r="AA13" s="791">
        <f t="shared" si="12"/>
        <v>0</v>
      </c>
      <c r="AB13" s="791">
        <f t="shared" si="12"/>
        <v>0</v>
      </c>
      <c r="AC13" s="791">
        <f t="shared" si="12"/>
        <v>0</v>
      </c>
      <c r="AD13" s="774">
        <f t="shared" si="12"/>
        <v>0</v>
      </c>
      <c r="AE13" s="21">
        <f t="shared" ref="AE13" si="13">SUM(AE11:AE12)</f>
        <v>0</v>
      </c>
      <c r="AG13" s="1598">
        <f t="shared" si="1"/>
        <v>0</v>
      </c>
    </row>
    <row r="14" spans="1:33">
      <c r="A14" s="455" t="s">
        <v>21</v>
      </c>
      <c r="B14" s="1075" t="s">
        <v>15</v>
      </c>
      <c r="C14" s="1141">
        <v>0</v>
      </c>
      <c r="D14" s="1140">
        <v>0</v>
      </c>
      <c r="E14" s="633">
        <f t="shared" ref="E14:E19" si="14">C14+D14</f>
        <v>0</v>
      </c>
      <c r="F14" s="1139">
        <v>0</v>
      </c>
      <c r="G14" s="630">
        <v>0</v>
      </c>
      <c r="H14" s="1245">
        <f t="shared" ref="H14:H19" si="15">F14+G14</f>
        <v>0</v>
      </c>
      <c r="I14" s="1141">
        <v>0</v>
      </c>
      <c r="J14" s="1140">
        <v>0</v>
      </c>
      <c r="K14" s="633">
        <f t="shared" ref="K14:K19" si="16">I14+J14</f>
        <v>0</v>
      </c>
      <c r="L14" s="1139">
        <v>0</v>
      </c>
      <c r="M14" s="630">
        <v>0</v>
      </c>
      <c r="N14" s="1245">
        <f t="shared" ref="N14:N19" si="17">L14+M14</f>
        <v>0</v>
      </c>
      <c r="O14" s="827">
        <v>0</v>
      </c>
      <c r="P14" s="560">
        <v>0</v>
      </c>
      <c r="Q14" s="940">
        <f t="shared" ref="Q14:Q19" si="18">O14+P14</f>
        <v>0</v>
      </c>
      <c r="R14" s="674">
        <v>0</v>
      </c>
      <c r="S14" s="445">
        <v>0</v>
      </c>
      <c r="T14" s="454">
        <f t="shared" ref="T14:T19" si="19">R14+S14</f>
        <v>0</v>
      </c>
      <c r="U14" s="1242">
        <v>0</v>
      </c>
      <c r="V14" s="445">
        <v>0</v>
      </c>
      <c r="W14" s="641">
        <f t="shared" ref="W14:W24" si="20">U14+V14</f>
        <v>0</v>
      </c>
      <c r="X14" s="546" t="s">
        <v>16</v>
      </c>
      <c r="Y14" s="1246">
        <v>0</v>
      </c>
      <c r="Z14" s="1247">
        <v>0</v>
      </c>
      <c r="AA14" s="1247">
        <v>0</v>
      </c>
      <c r="AB14" s="1247">
        <v>0</v>
      </c>
      <c r="AC14" s="1247">
        <v>0</v>
      </c>
      <c r="AD14" s="1239">
        <v>0</v>
      </c>
      <c r="AE14" s="1236">
        <v>0</v>
      </c>
      <c r="AG14" s="1632">
        <f t="shared" si="1"/>
        <v>0</v>
      </c>
    </row>
    <row r="15" spans="1:33">
      <c r="A15" s="455" t="s">
        <v>22</v>
      </c>
      <c r="B15" s="1075" t="s">
        <v>17</v>
      </c>
      <c r="C15" s="1141">
        <v>0</v>
      </c>
      <c r="D15" s="1140">
        <v>0</v>
      </c>
      <c r="E15" s="633">
        <f t="shared" si="14"/>
        <v>0</v>
      </c>
      <c r="F15" s="1139">
        <v>0</v>
      </c>
      <c r="G15" s="630">
        <v>0</v>
      </c>
      <c r="H15" s="1245">
        <f t="shared" si="15"/>
        <v>0</v>
      </c>
      <c r="I15" s="1141">
        <v>0</v>
      </c>
      <c r="J15" s="1140">
        <v>0</v>
      </c>
      <c r="K15" s="633">
        <f t="shared" si="16"/>
        <v>0</v>
      </c>
      <c r="L15" s="1139">
        <v>0</v>
      </c>
      <c r="M15" s="630">
        <v>0</v>
      </c>
      <c r="N15" s="1245">
        <f t="shared" si="17"/>
        <v>0</v>
      </c>
      <c r="O15" s="827">
        <v>0</v>
      </c>
      <c r="P15" s="560">
        <v>0</v>
      </c>
      <c r="Q15" s="940">
        <f t="shared" si="18"/>
        <v>0</v>
      </c>
      <c r="R15" s="674">
        <v>0</v>
      </c>
      <c r="S15" s="445">
        <v>0</v>
      </c>
      <c r="T15" s="454">
        <f t="shared" si="19"/>
        <v>0</v>
      </c>
      <c r="U15" s="1242">
        <v>0</v>
      </c>
      <c r="V15" s="445">
        <v>0</v>
      </c>
      <c r="W15" s="641">
        <f t="shared" si="20"/>
        <v>0</v>
      </c>
      <c r="X15" s="546" t="s">
        <v>16</v>
      </c>
      <c r="Y15" s="1246">
        <v>0</v>
      </c>
      <c r="Z15" s="1247">
        <v>0</v>
      </c>
      <c r="AA15" s="1247">
        <v>0</v>
      </c>
      <c r="AB15" s="1247">
        <v>0</v>
      </c>
      <c r="AC15" s="1247">
        <v>0</v>
      </c>
      <c r="AD15" s="1239">
        <v>0</v>
      </c>
      <c r="AE15" s="1236">
        <v>0</v>
      </c>
      <c r="AG15" s="1632">
        <f t="shared" si="1"/>
        <v>0</v>
      </c>
    </row>
    <row r="16" spans="1:33">
      <c r="A16" s="455" t="s">
        <v>23</v>
      </c>
      <c r="B16" s="1075" t="s">
        <v>15</v>
      </c>
      <c r="C16" s="1141">
        <f>'Table 10a'!D13</f>
        <v>6.37</v>
      </c>
      <c r="D16" s="1140">
        <f>'Table 10a'!E13</f>
        <v>12.18</v>
      </c>
      <c r="E16" s="633">
        <f t="shared" si="14"/>
        <v>18.55</v>
      </c>
      <c r="F16" s="1139">
        <f>'Table 10a'!G13</f>
        <v>5.04</v>
      </c>
      <c r="G16" s="630">
        <f>'Table 10a'!H13</f>
        <v>13.08</v>
      </c>
      <c r="H16" s="1245">
        <f t="shared" si="15"/>
        <v>18.12</v>
      </c>
      <c r="I16" s="1141">
        <f>'Table 10a'!J13</f>
        <v>5.18</v>
      </c>
      <c r="J16" s="1140">
        <f>'Table 10a'!K13</f>
        <v>13.44</v>
      </c>
      <c r="K16" s="633">
        <f t="shared" si="16"/>
        <v>18.62</v>
      </c>
      <c r="L16" s="1139">
        <f>'Table 10a'!M13</f>
        <v>5.4</v>
      </c>
      <c r="M16" s="630">
        <f>'Table 10a'!N13</f>
        <v>13.99</v>
      </c>
      <c r="N16" s="1245">
        <f t="shared" si="17"/>
        <v>19.39</v>
      </c>
      <c r="O16" s="827">
        <f>'Table 10a'!P13</f>
        <v>5.8</v>
      </c>
      <c r="P16" s="560">
        <f>'Table 10a'!Q13</f>
        <v>15.07</v>
      </c>
      <c r="Q16" s="940">
        <f t="shared" si="18"/>
        <v>20.87</v>
      </c>
      <c r="R16" s="674">
        <f>'Table 10a'!S13</f>
        <v>6.25</v>
      </c>
      <c r="S16" s="445">
        <f>'Table 10a'!T13</f>
        <v>16.21</v>
      </c>
      <c r="T16" s="454">
        <f t="shared" si="19"/>
        <v>22.46</v>
      </c>
      <c r="U16" s="1242">
        <f>'Table 10a'!V13</f>
        <v>6.72</v>
      </c>
      <c r="V16" s="445">
        <f>'Table 10a'!W13</f>
        <v>17.440000000000001</v>
      </c>
      <c r="W16" s="641">
        <f t="shared" si="20"/>
        <v>24.16</v>
      </c>
      <c r="X16" s="546">
        <f t="shared" si="0"/>
        <v>0.3</v>
      </c>
      <c r="Y16" s="1246">
        <f>'Table 10a'!Z13</f>
        <v>609.08000000000004</v>
      </c>
      <c r="Z16" s="1247">
        <f>'Table 10a'!AA13</f>
        <v>654.01</v>
      </c>
      <c r="AA16" s="1247">
        <f>'Table 10a'!AB13</f>
        <v>671.8</v>
      </c>
      <c r="AB16" s="1247">
        <f>'Table 10a'!AC13</f>
        <v>699.89</v>
      </c>
      <c r="AC16" s="1247">
        <f>'Table 10a'!AD13</f>
        <v>753.3</v>
      </c>
      <c r="AD16" s="1239">
        <f>'Table 10a'!AE13</f>
        <v>810.49</v>
      </c>
      <c r="AE16" s="1236">
        <f>'Table 10a'!AF13</f>
        <v>872</v>
      </c>
      <c r="AG16" s="1632">
        <f t="shared" si="1"/>
        <v>5.61</v>
      </c>
    </row>
    <row r="17" spans="1:33">
      <c r="A17" s="455" t="s">
        <v>24</v>
      </c>
      <c r="B17" s="1075" t="s">
        <v>15</v>
      </c>
      <c r="C17" s="1141">
        <v>0</v>
      </c>
      <c r="D17" s="1140">
        <v>0</v>
      </c>
      <c r="E17" s="633">
        <f t="shared" si="14"/>
        <v>0</v>
      </c>
      <c r="F17" s="1139">
        <v>0</v>
      </c>
      <c r="G17" s="630">
        <v>0</v>
      </c>
      <c r="H17" s="1245">
        <f t="shared" si="15"/>
        <v>0</v>
      </c>
      <c r="I17" s="1141">
        <v>0</v>
      </c>
      <c r="J17" s="1140">
        <v>0</v>
      </c>
      <c r="K17" s="633">
        <f t="shared" si="16"/>
        <v>0</v>
      </c>
      <c r="L17" s="1139">
        <v>0</v>
      </c>
      <c r="M17" s="630">
        <v>0</v>
      </c>
      <c r="N17" s="1245">
        <f t="shared" si="17"/>
        <v>0</v>
      </c>
      <c r="O17" s="827">
        <v>0</v>
      </c>
      <c r="P17" s="560">
        <v>0</v>
      </c>
      <c r="Q17" s="940">
        <f t="shared" si="18"/>
        <v>0</v>
      </c>
      <c r="R17" s="674">
        <v>0</v>
      </c>
      <c r="S17" s="445">
        <v>0</v>
      </c>
      <c r="T17" s="454">
        <f t="shared" si="19"/>
        <v>0</v>
      </c>
      <c r="U17" s="1242">
        <v>0</v>
      </c>
      <c r="V17" s="445">
        <v>0</v>
      </c>
      <c r="W17" s="641">
        <f t="shared" si="20"/>
        <v>0</v>
      </c>
      <c r="X17" s="546" t="s">
        <v>16</v>
      </c>
      <c r="Y17" s="1246">
        <v>0</v>
      </c>
      <c r="Z17" s="1247">
        <v>0</v>
      </c>
      <c r="AA17" s="1247">
        <v>0</v>
      </c>
      <c r="AB17" s="1247">
        <v>0</v>
      </c>
      <c r="AC17" s="1247">
        <v>0</v>
      </c>
      <c r="AD17" s="1239">
        <v>0</v>
      </c>
      <c r="AE17" s="1236">
        <v>0</v>
      </c>
      <c r="AG17" s="1632">
        <f t="shared" si="1"/>
        <v>0</v>
      </c>
    </row>
    <row r="18" spans="1:33">
      <c r="A18" s="456" t="s">
        <v>25</v>
      </c>
      <c r="B18" s="662" t="s">
        <v>17</v>
      </c>
      <c r="C18" s="1248">
        <v>0</v>
      </c>
      <c r="D18" s="1249">
        <v>0</v>
      </c>
      <c r="E18" s="632">
        <f t="shared" si="14"/>
        <v>0</v>
      </c>
      <c r="F18" s="1250">
        <v>0</v>
      </c>
      <c r="G18" s="1893">
        <v>0</v>
      </c>
      <c r="H18" s="1900">
        <f t="shared" si="15"/>
        <v>0</v>
      </c>
      <c r="I18" s="1248">
        <v>0</v>
      </c>
      <c r="J18" s="1249">
        <v>0</v>
      </c>
      <c r="K18" s="632">
        <f t="shared" si="16"/>
        <v>0</v>
      </c>
      <c r="L18" s="1250">
        <v>0</v>
      </c>
      <c r="M18" s="1893">
        <v>0</v>
      </c>
      <c r="N18" s="1900">
        <f t="shared" si="17"/>
        <v>0</v>
      </c>
      <c r="O18" s="1050">
        <v>0</v>
      </c>
      <c r="P18" s="1594">
        <v>0</v>
      </c>
      <c r="Q18" s="1856">
        <f t="shared" si="18"/>
        <v>0</v>
      </c>
      <c r="R18" s="656">
        <v>0</v>
      </c>
      <c r="S18" s="460">
        <v>0</v>
      </c>
      <c r="T18" s="522">
        <f t="shared" si="19"/>
        <v>0</v>
      </c>
      <c r="U18" s="1244">
        <v>0</v>
      </c>
      <c r="V18" s="460">
        <v>0</v>
      </c>
      <c r="W18" s="643">
        <f t="shared" si="20"/>
        <v>0</v>
      </c>
      <c r="X18" s="546" t="s">
        <v>16</v>
      </c>
      <c r="Y18" s="1251">
        <v>0</v>
      </c>
      <c r="Z18" s="1252">
        <v>0</v>
      </c>
      <c r="AA18" s="1252">
        <v>0</v>
      </c>
      <c r="AB18" s="1252">
        <v>0</v>
      </c>
      <c r="AC18" s="1252">
        <v>0</v>
      </c>
      <c r="AD18" s="1241">
        <v>0</v>
      </c>
      <c r="AE18" s="1238">
        <v>0</v>
      </c>
      <c r="AG18" s="1602">
        <f t="shared" si="1"/>
        <v>0</v>
      </c>
    </row>
    <row r="19" spans="1:33">
      <c r="A19" s="456" t="s">
        <v>26</v>
      </c>
      <c r="B19" s="662" t="s">
        <v>17</v>
      </c>
      <c r="C19" s="1248">
        <v>0</v>
      </c>
      <c r="D19" s="1249">
        <v>0</v>
      </c>
      <c r="E19" s="632">
        <f t="shared" si="14"/>
        <v>0</v>
      </c>
      <c r="F19" s="1250">
        <v>0</v>
      </c>
      <c r="G19" s="1893">
        <v>0</v>
      </c>
      <c r="H19" s="1900">
        <f t="shared" si="15"/>
        <v>0</v>
      </c>
      <c r="I19" s="1248">
        <v>0</v>
      </c>
      <c r="J19" s="1249">
        <v>0</v>
      </c>
      <c r="K19" s="632">
        <f t="shared" si="16"/>
        <v>0</v>
      </c>
      <c r="L19" s="1250">
        <v>0</v>
      </c>
      <c r="M19" s="1893">
        <v>0</v>
      </c>
      <c r="N19" s="1900">
        <f t="shared" si="17"/>
        <v>0</v>
      </c>
      <c r="O19" s="1050">
        <v>0</v>
      </c>
      <c r="P19" s="1594">
        <v>0</v>
      </c>
      <c r="Q19" s="1856">
        <f t="shared" si="18"/>
        <v>0</v>
      </c>
      <c r="R19" s="1243">
        <v>0</v>
      </c>
      <c r="S19" s="560">
        <v>0</v>
      </c>
      <c r="T19" s="522">
        <f t="shared" si="19"/>
        <v>0</v>
      </c>
      <c r="U19" s="1243">
        <v>0</v>
      </c>
      <c r="V19" s="560">
        <v>0</v>
      </c>
      <c r="W19" s="643">
        <f t="shared" si="20"/>
        <v>0</v>
      </c>
      <c r="X19" s="546" t="s">
        <v>16</v>
      </c>
      <c r="Y19" s="1251">
        <v>0</v>
      </c>
      <c r="Z19" s="1252">
        <v>0</v>
      </c>
      <c r="AA19" s="1252">
        <v>0</v>
      </c>
      <c r="AB19" s="1252">
        <v>0</v>
      </c>
      <c r="AC19" s="1252">
        <v>0</v>
      </c>
      <c r="AD19" s="1241">
        <v>0</v>
      </c>
      <c r="AE19" s="1238">
        <v>0</v>
      </c>
      <c r="AG19" s="1599">
        <f t="shared" si="1"/>
        <v>0</v>
      </c>
    </row>
    <row r="20" spans="1:33">
      <c r="A20" s="455" t="s">
        <v>27</v>
      </c>
      <c r="B20" s="1075" t="s">
        <v>15</v>
      </c>
      <c r="C20" s="1141">
        <v>0</v>
      </c>
      <c r="D20" s="1140">
        <v>0</v>
      </c>
      <c r="E20" s="633">
        <f t="shared" ref="E20:E24" si="21">C20+D20</f>
        <v>0</v>
      </c>
      <c r="F20" s="1139">
        <v>0</v>
      </c>
      <c r="G20" s="630">
        <v>0</v>
      </c>
      <c r="H20" s="1245">
        <f t="shared" ref="H20:H24" si="22">F20+G20</f>
        <v>0</v>
      </c>
      <c r="I20" s="1141">
        <v>0</v>
      </c>
      <c r="J20" s="1140">
        <v>0</v>
      </c>
      <c r="K20" s="633">
        <f t="shared" ref="K20:K24" si="23">I20+J20</f>
        <v>0</v>
      </c>
      <c r="L20" s="1139">
        <v>0</v>
      </c>
      <c r="M20" s="630">
        <v>0</v>
      </c>
      <c r="N20" s="1245">
        <f t="shared" ref="N20:N24" si="24">L20+M20</f>
        <v>0</v>
      </c>
      <c r="O20" s="827">
        <v>0</v>
      </c>
      <c r="P20" s="560">
        <v>0</v>
      </c>
      <c r="Q20" s="940">
        <f t="shared" ref="Q20:Q24" si="25">O20+P20</f>
        <v>0</v>
      </c>
      <c r="R20" s="674">
        <v>0</v>
      </c>
      <c r="S20" s="445">
        <v>0</v>
      </c>
      <c r="T20" s="454">
        <f t="shared" ref="T20:T24" si="26">R20+S20</f>
        <v>0</v>
      </c>
      <c r="U20" s="1242">
        <v>0</v>
      </c>
      <c r="V20" s="445">
        <v>0</v>
      </c>
      <c r="W20" s="641">
        <f t="shared" si="20"/>
        <v>0</v>
      </c>
      <c r="X20" s="546" t="s">
        <v>16</v>
      </c>
      <c r="Y20" s="1246">
        <v>0</v>
      </c>
      <c r="Z20" s="1247">
        <v>0</v>
      </c>
      <c r="AA20" s="1247">
        <v>0</v>
      </c>
      <c r="AB20" s="1247">
        <v>0</v>
      </c>
      <c r="AC20" s="1247">
        <v>0</v>
      </c>
      <c r="AD20" s="1239">
        <v>0</v>
      </c>
      <c r="AE20" s="1236">
        <v>0</v>
      </c>
      <c r="AG20" s="1632">
        <f t="shared" si="1"/>
        <v>0</v>
      </c>
    </row>
    <row r="21" spans="1:33">
      <c r="A21" s="455" t="s">
        <v>28</v>
      </c>
      <c r="B21" s="1075" t="s">
        <v>15</v>
      </c>
      <c r="C21" s="1141">
        <f>'Table 10a'!D16</f>
        <v>0.45</v>
      </c>
      <c r="D21" s="1140">
        <f>'Table 10a'!E16</f>
        <v>0.3</v>
      </c>
      <c r="E21" s="633">
        <f t="shared" si="21"/>
        <v>0.75</v>
      </c>
      <c r="F21" s="1139">
        <f>'Table 10a'!G16</f>
        <v>0.48</v>
      </c>
      <c r="G21" s="1901">
        <f>'Table 10a'!H16</f>
        <v>0.32</v>
      </c>
      <c r="H21" s="1245">
        <f t="shared" si="22"/>
        <v>0.8</v>
      </c>
      <c r="I21" s="1141">
        <f>'Table 10a'!J16</f>
        <v>0.51</v>
      </c>
      <c r="J21" s="1140">
        <f>'Table 10a'!K16</f>
        <v>0.34</v>
      </c>
      <c r="K21" s="633">
        <f t="shared" si="23"/>
        <v>0.85</v>
      </c>
      <c r="L21" s="1139">
        <f>'Table 10a'!M16</f>
        <v>0.54</v>
      </c>
      <c r="M21" s="630">
        <f>'Table 10a'!N16</f>
        <v>0.36</v>
      </c>
      <c r="N21" s="1245">
        <f t="shared" si="24"/>
        <v>0.9</v>
      </c>
      <c r="O21" s="827">
        <f>'Table 10a'!P16</f>
        <v>0.56000000000000005</v>
      </c>
      <c r="P21" s="560">
        <f>'Table 10a'!Q16</f>
        <v>0.37</v>
      </c>
      <c r="Q21" s="940">
        <f t="shared" si="25"/>
        <v>0.93</v>
      </c>
      <c r="R21" s="674">
        <f>'Table 10a'!S16</f>
        <v>0.56999999999999995</v>
      </c>
      <c r="S21" s="445">
        <f>'Table 10a'!T16</f>
        <v>0.38</v>
      </c>
      <c r="T21" s="454">
        <f t="shared" si="26"/>
        <v>0.95</v>
      </c>
      <c r="U21" s="1242">
        <f>'Table 10a'!V16</f>
        <v>0.57999999999999996</v>
      </c>
      <c r="V21" s="445">
        <f>'Table 10a'!W16</f>
        <v>0.39</v>
      </c>
      <c r="W21" s="641">
        <f t="shared" si="20"/>
        <v>0.97</v>
      </c>
      <c r="X21" s="546">
        <f t="shared" si="0"/>
        <v>0.28999999999999998</v>
      </c>
      <c r="Y21" s="1246">
        <f>'Table 10a'!Z16</f>
        <v>14.98</v>
      </c>
      <c r="Z21" s="1247">
        <f>'Table 10a'!AA16</f>
        <v>15.9</v>
      </c>
      <c r="AA21" s="1247">
        <f>'Table 10a'!AB16</f>
        <v>17.059999999999999</v>
      </c>
      <c r="AB21" s="1247">
        <f>'Table 10a'!AC16</f>
        <v>18.02</v>
      </c>
      <c r="AC21" s="1247">
        <f>'Table 10a'!AD16</f>
        <v>18.48</v>
      </c>
      <c r="AD21" s="1239">
        <f>'Table 10a'!AE16</f>
        <v>18.95</v>
      </c>
      <c r="AE21" s="1236">
        <f>'Table 10a'!AF16</f>
        <v>19.440000000000001</v>
      </c>
      <c r="AG21" s="1632">
        <f t="shared" si="1"/>
        <v>0.22</v>
      </c>
    </row>
    <row r="22" spans="1:33">
      <c r="A22" s="455" t="s">
        <v>29</v>
      </c>
      <c r="B22" s="1075" t="s">
        <v>15</v>
      </c>
      <c r="C22" s="1141">
        <v>0</v>
      </c>
      <c r="D22" s="1140">
        <v>0</v>
      </c>
      <c r="E22" s="633">
        <f t="shared" si="21"/>
        <v>0</v>
      </c>
      <c r="F22" s="1139">
        <v>0</v>
      </c>
      <c r="G22" s="630">
        <v>0</v>
      </c>
      <c r="H22" s="1245">
        <f t="shared" si="22"/>
        <v>0</v>
      </c>
      <c r="I22" s="1141">
        <v>0</v>
      </c>
      <c r="J22" s="1140">
        <v>0</v>
      </c>
      <c r="K22" s="633">
        <f t="shared" si="23"/>
        <v>0</v>
      </c>
      <c r="L22" s="1139">
        <v>0</v>
      </c>
      <c r="M22" s="630">
        <v>0</v>
      </c>
      <c r="N22" s="1245">
        <f t="shared" si="24"/>
        <v>0</v>
      </c>
      <c r="O22" s="827">
        <v>0</v>
      </c>
      <c r="P22" s="560">
        <v>0</v>
      </c>
      <c r="Q22" s="940">
        <f t="shared" si="25"/>
        <v>0</v>
      </c>
      <c r="R22" s="674">
        <v>0</v>
      </c>
      <c r="S22" s="445">
        <v>0</v>
      </c>
      <c r="T22" s="454">
        <f t="shared" si="26"/>
        <v>0</v>
      </c>
      <c r="U22" s="1242">
        <v>0</v>
      </c>
      <c r="V22" s="445">
        <v>0</v>
      </c>
      <c r="W22" s="641">
        <f t="shared" si="20"/>
        <v>0</v>
      </c>
      <c r="X22" s="546" t="s">
        <v>16</v>
      </c>
      <c r="Y22" s="1246">
        <v>0</v>
      </c>
      <c r="Z22" s="1247">
        <v>0</v>
      </c>
      <c r="AA22" s="1247">
        <v>0</v>
      </c>
      <c r="AB22" s="1247">
        <v>0</v>
      </c>
      <c r="AC22" s="1247">
        <v>0</v>
      </c>
      <c r="AD22" s="1239">
        <v>0</v>
      </c>
      <c r="AE22" s="1236">
        <v>0</v>
      </c>
      <c r="AG22" s="1632">
        <f t="shared" si="1"/>
        <v>0</v>
      </c>
    </row>
    <row r="23" spans="1:33">
      <c r="A23" s="456" t="s">
        <v>30</v>
      </c>
      <c r="B23" s="662" t="s">
        <v>17</v>
      </c>
      <c r="C23" s="1248">
        <f>'Table 10a'!D18</f>
        <v>0.1</v>
      </c>
      <c r="D23" s="1249">
        <f>'Table 10a'!E18</f>
        <v>0.06</v>
      </c>
      <c r="E23" s="632">
        <f t="shared" si="21"/>
        <v>0.16</v>
      </c>
      <c r="F23" s="1250">
        <f>'Table 10a'!G18</f>
        <v>7.0000000000000007E-2</v>
      </c>
      <c r="G23" s="1893">
        <f>'Table 10a'!H18</f>
        <v>0.05</v>
      </c>
      <c r="H23" s="1900">
        <f t="shared" si="22"/>
        <v>0.12</v>
      </c>
      <c r="I23" s="1248">
        <f>'Table 10a'!J18</f>
        <v>7.0000000000000007E-2</v>
      </c>
      <c r="J23" s="1249">
        <f>'Table 10a'!K18</f>
        <v>0.05</v>
      </c>
      <c r="K23" s="632">
        <f t="shared" si="23"/>
        <v>0.12</v>
      </c>
      <c r="L23" s="1250">
        <f>'Table 10a'!M18</f>
        <v>7.0000000000000007E-2</v>
      </c>
      <c r="M23" s="1893">
        <f>'Table 10a'!N18</f>
        <v>0.05</v>
      </c>
      <c r="N23" s="1900">
        <f t="shared" si="24"/>
        <v>0.12</v>
      </c>
      <c r="O23" s="1050">
        <f>'Table 10a'!P18</f>
        <v>7.0000000000000007E-2</v>
      </c>
      <c r="P23" s="1594">
        <f>'Table 10a'!Q18</f>
        <v>0.05</v>
      </c>
      <c r="Q23" s="940">
        <f t="shared" si="25"/>
        <v>0.12</v>
      </c>
      <c r="R23" s="1591">
        <f>'Table 10a'!S18</f>
        <v>7.0000000000000007E-2</v>
      </c>
      <c r="S23" s="916">
        <f>'Table 10a'!T18</f>
        <v>0.05</v>
      </c>
      <c r="T23" s="454">
        <f t="shared" si="26"/>
        <v>0.12</v>
      </c>
      <c r="U23" s="1243">
        <f>'Table 10a'!V18</f>
        <v>7.0000000000000007E-2</v>
      </c>
      <c r="V23" s="916">
        <f>'Table 10a'!W18</f>
        <v>0.05</v>
      </c>
      <c r="W23" s="641">
        <f t="shared" si="20"/>
        <v>0.12</v>
      </c>
      <c r="X23" s="546">
        <f t="shared" si="0"/>
        <v>-0.25</v>
      </c>
      <c r="Y23" s="1251">
        <f>'Table 10a'!Z18</f>
        <v>3</v>
      </c>
      <c r="Z23" s="1252">
        <f>'Table 10a'!AA18</f>
        <v>2.25</v>
      </c>
      <c r="AA23" s="1252">
        <f>'Table 10a'!AB18</f>
        <v>2.25</v>
      </c>
      <c r="AB23" s="1252">
        <f>'Table 10a'!AC18</f>
        <v>2.25</v>
      </c>
      <c r="AC23" s="1252">
        <f>'Table 10a'!AD18</f>
        <v>2.25</v>
      </c>
      <c r="AD23" s="1241">
        <f>'Table 10a'!AE18</f>
        <v>2.25</v>
      </c>
      <c r="AE23" s="1238">
        <f>'Table 10a'!AF18</f>
        <v>2.25</v>
      </c>
      <c r="AG23" s="1599">
        <f t="shared" si="1"/>
        <v>-0.04</v>
      </c>
    </row>
    <row r="24" spans="1:33" ht="13.5" thickBot="1">
      <c r="A24" s="579" t="s">
        <v>31</v>
      </c>
      <c r="B24" s="1850" t="s">
        <v>17</v>
      </c>
      <c r="C24" s="41">
        <v>0</v>
      </c>
      <c r="D24" s="541">
        <v>0</v>
      </c>
      <c r="E24" s="51">
        <f t="shared" si="21"/>
        <v>0</v>
      </c>
      <c r="F24" s="1253">
        <v>0</v>
      </c>
      <c r="G24" s="627">
        <v>0</v>
      </c>
      <c r="H24" s="1254">
        <f t="shared" si="22"/>
        <v>0</v>
      </c>
      <c r="I24" s="41">
        <v>0</v>
      </c>
      <c r="J24" s="541">
        <v>0</v>
      </c>
      <c r="K24" s="51">
        <f t="shared" si="23"/>
        <v>0</v>
      </c>
      <c r="L24" s="1253">
        <v>0</v>
      </c>
      <c r="M24" s="627">
        <v>0</v>
      </c>
      <c r="N24" s="1254">
        <f t="shared" si="24"/>
        <v>0</v>
      </c>
      <c r="O24" s="467">
        <v>0</v>
      </c>
      <c r="P24" s="562">
        <v>0</v>
      </c>
      <c r="Q24" s="558">
        <f t="shared" si="25"/>
        <v>0</v>
      </c>
      <c r="R24" s="691">
        <v>0</v>
      </c>
      <c r="S24" s="616">
        <v>0</v>
      </c>
      <c r="T24" s="617">
        <f t="shared" si="26"/>
        <v>0</v>
      </c>
      <c r="U24" s="1293">
        <v>0</v>
      </c>
      <c r="V24" s="616">
        <v>0</v>
      </c>
      <c r="W24" s="1590">
        <f t="shared" si="20"/>
        <v>0</v>
      </c>
      <c r="X24" s="205" t="s">
        <v>16</v>
      </c>
      <c r="Y24" s="1255">
        <v>0</v>
      </c>
      <c r="Z24" s="1256">
        <v>0</v>
      </c>
      <c r="AA24" s="1256">
        <v>0</v>
      </c>
      <c r="AB24" s="1256">
        <v>0</v>
      </c>
      <c r="AC24" s="1256">
        <v>0</v>
      </c>
      <c r="AD24" s="1257">
        <v>0</v>
      </c>
      <c r="AE24" s="1258">
        <v>0</v>
      </c>
      <c r="AG24" s="1595">
        <f t="shared" si="1"/>
        <v>0</v>
      </c>
    </row>
    <row r="25" spans="1:33" s="22" customFormat="1" ht="14.25" thickTop="1" thickBot="1">
      <c r="A25" s="3231" t="s">
        <v>32</v>
      </c>
      <c r="B25" s="3232"/>
      <c r="C25" s="622">
        <f>C5+C8+C11+C14+C16+C17+C20+C21+C22</f>
        <v>7.33</v>
      </c>
      <c r="D25" s="620">
        <f t="shared" ref="D25:W25" si="27">D5+D8+D11+D14+D16+D17+D20+D21+D22</f>
        <v>12.48</v>
      </c>
      <c r="E25" s="638">
        <f t="shared" si="27"/>
        <v>19.809999999999999</v>
      </c>
      <c r="F25" s="619">
        <f t="shared" si="27"/>
        <v>6.05</v>
      </c>
      <c r="G25" s="623">
        <f t="shared" si="27"/>
        <v>13.4</v>
      </c>
      <c r="H25" s="671">
        <f t="shared" si="27"/>
        <v>19.45</v>
      </c>
      <c r="I25" s="622">
        <f t="shared" si="27"/>
        <v>6.24</v>
      </c>
      <c r="J25" s="620">
        <f t="shared" si="27"/>
        <v>13.78</v>
      </c>
      <c r="K25" s="638">
        <f t="shared" si="27"/>
        <v>20.02</v>
      </c>
      <c r="L25" s="619">
        <f t="shared" si="27"/>
        <v>6.5</v>
      </c>
      <c r="M25" s="623">
        <f t="shared" si="27"/>
        <v>14.35</v>
      </c>
      <c r="N25" s="671">
        <f t="shared" si="27"/>
        <v>20.85</v>
      </c>
      <c r="O25" s="482">
        <f t="shared" si="27"/>
        <v>6.95</v>
      </c>
      <c r="P25" s="554">
        <f t="shared" si="27"/>
        <v>15.44</v>
      </c>
      <c r="Q25" s="486">
        <f t="shared" si="27"/>
        <v>22.39</v>
      </c>
      <c r="R25" s="482">
        <f t="shared" si="27"/>
        <v>7.43</v>
      </c>
      <c r="S25" s="639">
        <f t="shared" si="27"/>
        <v>16.59</v>
      </c>
      <c r="T25" s="484">
        <f t="shared" si="27"/>
        <v>24.02</v>
      </c>
      <c r="U25" s="482">
        <f t="shared" si="27"/>
        <v>7.93</v>
      </c>
      <c r="V25" s="639">
        <f t="shared" si="27"/>
        <v>17.829999999999998</v>
      </c>
      <c r="W25" s="640">
        <f t="shared" si="27"/>
        <v>25.76</v>
      </c>
      <c r="X25" s="548">
        <f t="shared" si="0"/>
        <v>0.3</v>
      </c>
      <c r="Y25" s="670">
        <f t="shared" ref="Y25:AD25" si="28">Y5+Y8+Y11+Y14+Y16+Y17+Y20+Y21+Y22</f>
        <v>624.05999999999995</v>
      </c>
      <c r="Z25" s="793">
        <f t="shared" si="28"/>
        <v>669.91</v>
      </c>
      <c r="AA25" s="793">
        <f t="shared" si="28"/>
        <v>688.86</v>
      </c>
      <c r="AB25" s="793">
        <f t="shared" si="28"/>
        <v>717.91</v>
      </c>
      <c r="AC25" s="793">
        <f t="shared" si="28"/>
        <v>771.78</v>
      </c>
      <c r="AD25" s="1296">
        <f t="shared" si="28"/>
        <v>829.44</v>
      </c>
      <c r="AE25" s="59">
        <f t="shared" ref="AE25" si="29">AE5+AE8+AE11+AE14+AE16+AE17+AE20+AE21+AE22</f>
        <v>891.44</v>
      </c>
      <c r="AG25" s="1596">
        <f t="shared" si="1"/>
        <v>5.95</v>
      </c>
    </row>
    <row r="26" spans="1:33" s="22" customFormat="1" ht="13.5" thickBot="1">
      <c r="A26" s="3229" t="s">
        <v>512</v>
      </c>
      <c r="B26" s="3230"/>
      <c r="C26" s="694">
        <f>C6+C9+C12+C15+C18+C19+C23+C24</f>
        <v>1.87</v>
      </c>
      <c r="D26" s="695">
        <f t="shared" ref="D26:W26" si="30">D6+D9+D12+D15+D18+D19+D23+D24</f>
        <v>0.06</v>
      </c>
      <c r="E26" s="696">
        <f t="shared" si="30"/>
        <v>1.93</v>
      </c>
      <c r="F26" s="697">
        <f t="shared" si="30"/>
        <v>1.83</v>
      </c>
      <c r="G26" s="698">
        <f t="shared" si="30"/>
        <v>0.05</v>
      </c>
      <c r="H26" s="699">
        <f t="shared" si="30"/>
        <v>1.88</v>
      </c>
      <c r="I26" s="694">
        <f t="shared" si="30"/>
        <v>1.74</v>
      </c>
      <c r="J26" s="695">
        <f t="shared" si="30"/>
        <v>0.05</v>
      </c>
      <c r="K26" s="696">
        <f t="shared" si="30"/>
        <v>1.79</v>
      </c>
      <c r="L26" s="697">
        <f t="shared" si="30"/>
        <v>1.78</v>
      </c>
      <c r="M26" s="698">
        <f t="shared" si="30"/>
        <v>0.05</v>
      </c>
      <c r="N26" s="699">
        <f t="shared" si="30"/>
        <v>1.83</v>
      </c>
      <c r="O26" s="493">
        <f t="shared" si="30"/>
        <v>1.85</v>
      </c>
      <c r="P26" s="561">
        <f t="shared" si="30"/>
        <v>0.05</v>
      </c>
      <c r="Q26" s="497">
        <f t="shared" si="30"/>
        <v>1.9</v>
      </c>
      <c r="R26" s="493">
        <f t="shared" si="30"/>
        <v>1.93</v>
      </c>
      <c r="S26" s="651">
        <f t="shared" si="30"/>
        <v>0.05</v>
      </c>
      <c r="T26" s="495">
        <f t="shared" si="30"/>
        <v>1.98</v>
      </c>
      <c r="U26" s="493">
        <f t="shared" si="30"/>
        <v>2</v>
      </c>
      <c r="V26" s="651">
        <f t="shared" si="30"/>
        <v>0.05</v>
      </c>
      <c r="W26" s="645">
        <f t="shared" si="30"/>
        <v>2.0499999999999998</v>
      </c>
      <c r="X26" s="551">
        <f t="shared" si="0"/>
        <v>0.06</v>
      </c>
      <c r="Y26" s="700">
        <f t="shared" ref="Y26:AD26" si="31">Y6+Y9+Y12+Y15+Y18+Y19+Y23+Y24</f>
        <v>3</v>
      </c>
      <c r="Z26" s="786">
        <f t="shared" si="31"/>
        <v>2.25</v>
      </c>
      <c r="AA26" s="786">
        <f t="shared" si="31"/>
        <v>2.25</v>
      </c>
      <c r="AB26" s="786">
        <f t="shared" si="31"/>
        <v>2.25</v>
      </c>
      <c r="AC26" s="786">
        <f t="shared" si="31"/>
        <v>2.25</v>
      </c>
      <c r="AD26" s="1297">
        <f t="shared" si="31"/>
        <v>2.25</v>
      </c>
      <c r="AE26" s="182">
        <f t="shared" ref="AE26" si="32">AE6+AE9+AE12+AE15+AE18+AE19+AE23+AE24</f>
        <v>2.25</v>
      </c>
      <c r="AG26" s="1600">
        <f t="shared" si="1"/>
        <v>0.12</v>
      </c>
    </row>
    <row r="27" spans="1:33" s="22" customFormat="1" ht="13.5" customHeight="1" thickBot="1">
      <c r="A27" s="3406" t="s">
        <v>34</v>
      </c>
      <c r="B27" s="3408"/>
      <c r="C27" s="25">
        <f>C25+C26</f>
        <v>9.1999999999999993</v>
      </c>
      <c r="D27" s="26">
        <f t="shared" ref="D27:W27" si="33">D25+D26</f>
        <v>12.54</v>
      </c>
      <c r="E27" s="27">
        <f t="shared" si="33"/>
        <v>21.74</v>
      </c>
      <c r="F27" s="28">
        <f t="shared" si="33"/>
        <v>7.88</v>
      </c>
      <c r="G27" s="29">
        <f t="shared" si="33"/>
        <v>13.45</v>
      </c>
      <c r="H27" s="46">
        <f t="shared" si="33"/>
        <v>21.33</v>
      </c>
      <c r="I27" s="25">
        <f t="shared" si="33"/>
        <v>7.98</v>
      </c>
      <c r="J27" s="26">
        <f t="shared" si="33"/>
        <v>13.83</v>
      </c>
      <c r="K27" s="27">
        <f t="shared" si="33"/>
        <v>21.81</v>
      </c>
      <c r="L27" s="28">
        <f t="shared" si="33"/>
        <v>8.2799999999999994</v>
      </c>
      <c r="M27" s="29">
        <f t="shared" si="33"/>
        <v>14.4</v>
      </c>
      <c r="N27" s="46">
        <f t="shared" si="33"/>
        <v>22.68</v>
      </c>
      <c r="O27" s="25">
        <f t="shared" si="33"/>
        <v>8.8000000000000007</v>
      </c>
      <c r="P27" s="29">
        <f t="shared" si="33"/>
        <v>15.49</v>
      </c>
      <c r="Q27" s="30">
        <f t="shared" si="33"/>
        <v>24.29</v>
      </c>
      <c r="R27" s="25">
        <f t="shared" si="33"/>
        <v>9.36</v>
      </c>
      <c r="S27" s="46">
        <f t="shared" si="33"/>
        <v>16.64</v>
      </c>
      <c r="T27" s="39">
        <f t="shared" si="33"/>
        <v>26</v>
      </c>
      <c r="U27" s="25">
        <f t="shared" si="33"/>
        <v>9.93</v>
      </c>
      <c r="V27" s="46">
        <f t="shared" si="33"/>
        <v>17.88</v>
      </c>
      <c r="W27" s="27">
        <f t="shared" si="33"/>
        <v>27.81</v>
      </c>
      <c r="X27" s="207">
        <f t="shared" si="0"/>
        <v>0.28000000000000003</v>
      </c>
      <c r="Y27" s="52">
        <f t="shared" ref="Y27:AE27" si="34">Y25+Y26</f>
        <v>627.05999999999995</v>
      </c>
      <c r="Z27" s="794">
        <f t="shared" si="34"/>
        <v>672.16</v>
      </c>
      <c r="AA27" s="794">
        <f t="shared" si="34"/>
        <v>691.11</v>
      </c>
      <c r="AB27" s="794">
        <f t="shared" si="34"/>
        <v>720.16</v>
      </c>
      <c r="AC27" s="794">
        <f t="shared" si="34"/>
        <v>774.03</v>
      </c>
      <c r="AD27" s="781">
        <f t="shared" si="34"/>
        <v>831.69</v>
      </c>
      <c r="AE27" s="166">
        <f t="shared" si="34"/>
        <v>893.69</v>
      </c>
      <c r="AG27" s="1774">
        <f t="shared" si="1"/>
        <v>6.07</v>
      </c>
    </row>
    <row r="28" spans="1:33">
      <c r="A28" s="89" t="s">
        <v>35</v>
      </c>
    </row>
    <row r="29" spans="1:33">
      <c r="A29" s="1" t="s">
        <v>68</v>
      </c>
      <c r="B29" s="23"/>
      <c r="C29" s="23"/>
      <c r="D29" s="23"/>
      <c r="E29" s="23"/>
      <c r="F29" s="23"/>
      <c r="G29" s="23"/>
      <c r="H29" s="23"/>
      <c r="I29" s="23"/>
      <c r="J29" s="23"/>
      <c r="K29" s="23"/>
      <c r="L29" s="23"/>
      <c r="M29" s="23"/>
      <c r="AC29" s="1" t="s">
        <v>36</v>
      </c>
    </row>
    <row r="30" spans="1:33">
      <c r="A30" s="1" t="s">
        <v>69</v>
      </c>
    </row>
    <row r="31" spans="1:33">
      <c r="A31" s="2" t="s">
        <v>628</v>
      </c>
    </row>
    <row r="32" spans="1:33">
      <c r="A32" s="2" t="s">
        <v>629</v>
      </c>
    </row>
    <row r="33" spans="1:33">
      <c r="A33" s="1" t="s">
        <v>36</v>
      </c>
    </row>
    <row r="34" spans="1:33" ht="13.5" thickBot="1">
      <c r="A34" s="2" t="s">
        <v>630</v>
      </c>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row>
    <row r="35" spans="1:33" ht="27" customHeight="1" thickBot="1">
      <c r="A35" s="3204" t="s">
        <v>1</v>
      </c>
      <c r="B35" s="3206" t="s">
        <v>2</v>
      </c>
      <c r="C35" s="3221" t="s">
        <v>55</v>
      </c>
      <c r="D35" s="3222"/>
      <c r="E35" s="3223"/>
      <c r="F35" s="3221" t="s">
        <v>56</v>
      </c>
      <c r="G35" s="3222"/>
      <c r="H35" s="3222"/>
      <c r="I35" s="3222"/>
      <c r="J35" s="3222"/>
      <c r="K35" s="3222"/>
      <c r="L35" s="3222"/>
      <c r="M35" s="3222"/>
      <c r="N35" s="3222"/>
      <c r="O35" s="3222"/>
      <c r="P35" s="3222"/>
      <c r="Q35" s="3222"/>
      <c r="R35" s="3222"/>
      <c r="S35" s="3222"/>
      <c r="T35" s="3222"/>
      <c r="U35" s="3222"/>
      <c r="V35" s="3222"/>
      <c r="W35" s="3223"/>
      <c r="X35" s="3255" t="s">
        <v>57</v>
      </c>
      <c r="Y35" s="3265" t="s">
        <v>627</v>
      </c>
      <c r="Z35" s="3266"/>
      <c r="AA35" s="3266"/>
      <c r="AB35" s="3266"/>
      <c r="AC35" s="3266"/>
      <c r="AD35" s="3266"/>
      <c r="AE35" s="3267"/>
      <c r="AG35" s="3255" t="s">
        <v>80</v>
      </c>
    </row>
    <row r="36" spans="1:33" ht="27" customHeight="1" thickBot="1">
      <c r="A36" s="3205"/>
      <c r="B36" s="3207"/>
      <c r="C36" s="3212">
        <v>2015</v>
      </c>
      <c r="D36" s="3213"/>
      <c r="E36" s="3215"/>
      <c r="F36" s="3219">
        <v>2020</v>
      </c>
      <c r="G36" s="3213"/>
      <c r="H36" s="3214"/>
      <c r="I36" s="3212">
        <v>2025</v>
      </c>
      <c r="J36" s="3213"/>
      <c r="K36" s="3215"/>
      <c r="L36" s="3217">
        <v>2030</v>
      </c>
      <c r="M36" s="3217"/>
      <c r="N36" s="3217"/>
      <c r="O36" s="3212">
        <v>2035</v>
      </c>
      <c r="P36" s="3213"/>
      <c r="Q36" s="3215"/>
      <c r="R36" s="3212">
        <v>2040</v>
      </c>
      <c r="S36" s="3213"/>
      <c r="T36" s="3215"/>
      <c r="U36" s="3219">
        <v>2045</v>
      </c>
      <c r="V36" s="3213"/>
      <c r="W36" s="3214"/>
      <c r="X36" s="3256"/>
      <c r="Y36" s="3380"/>
      <c r="Z36" s="3280"/>
      <c r="AA36" s="3280"/>
      <c r="AB36" s="3280"/>
      <c r="AC36" s="3280"/>
      <c r="AD36" s="3280"/>
      <c r="AE36" s="3377"/>
      <c r="AG36" s="3256"/>
    </row>
    <row r="37" spans="1:33" ht="15.75" customHeight="1" thickBot="1">
      <c r="A37" s="3485"/>
      <c r="B37" s="3208"/>
      <c r="C37" s="1655" t="s">
        <v>60</v>
      </c>
      <c r="D37" s="1017" t="s">
        <v>61</v>
      </c>
      <c r="E37" s="1659" t="s">
        <v>18</v>
      </c>
      <c r="F37" s="1669" t="s">
        <v>60</v>
      </c>
      <c r="G37" s="1657" t="s">
        <v>61</v>
      </c>
      <c r="H37" s="1661" t="s">
        <v>18</v>
      </c>
      <c r="I37" s="1655" t="s">
        <v>60</v>
      </c>
      <c r="J37" s="1017" t="s">
        <v>61</v>
      </c>
      <c r="K37" s="1659" t="s">
        <v>18</v>
      </c>
      <c r="L37" s="1669" t="s">
        <v>60</v>
      </c>
      <c r="M37" s="1657" t="s">
        <v>61</v>
      </c>
      <c r="N37" s="1661" t="s">
        <v>18</v>
      </c>
      <c r="O37" s="1655" t="s">
        <v>60</v>
      </c>
      <c r="P37" s="1657" t="s">
        <v>61</v>
      </c>
      <c r="Q37" s="1658" t="s">
        <v>18</v>
      </c>
      <c r="R37" s="1655" t="s">
        <v>60</v>
      </c>
      <c r="S37" s="1017" t="s">
        <v>61</v>
      </c>
      <c r="T37" s="1659" t="s">
        <v>18</v>
      </c>
      <c r="U37" s="1661" t="s">
        <v>60</v>
      </c>
      <c r="V37" s="1657" t="s">
        <v>61</v>
      </c>
      <c r="W37" s="1658" t="s">
        <v>18</v>
      </c>
      <c r="X37" s="3257"/>
      <c r="Y37" s="1767">
        <v>2015</v>
      </c>
      <c r="Z37" s="1750">
        <v>2020</v>
      </c>
      <c r="AA37" s="1750">
        <v>2025</v>
      </c>
      <c r="AB37" s="1750">
        <v>2030</v>
      </c>
      <c r="AC37" s="1750">
        <v>2035</v>
      </c>
      <c r="AD37" s="1749">
        <v>2040</v>
      </c>
      <c r="AE37" s="3036">
        <v>2045</v>
      </c>
      <c r="AG37" s="3470"/>
    </row>
    <row r="38" spans="1:33">
      <c r="A38" s="443" t="s">
        <v>46</v>
      </c>
      <c r="B38" s="507" t="s">
        <v>17</v>
      </c>
      <c r="C38" s="1124">
        <v>0</v>
      </c>
      <c r="D38" s="1122">
        <v>0</v>
      </c>
      <c r="E38" s="1024">
        <f t="shared" ref="E38:E43" si="35">C38+D38</f>
        <v>0</v>
      </c>
      <c r="F38" s="1121">
        <v>0</v>
      </c>
      <c r="G38" s="1125">
        <v>0</v>
      </c>
      <c r="H38" s="1766">
        <f t="shared" ref="H38:H43" si="36">F38+G38</f>
        <v>0</v>
      </c>
      <c r="I38" s="1124">
        <v>0</v>
      </c>
      <c r="J38" s="1122">
        <v>0</v>
      </c>
      <c r="K38" s="1024">
        <f t="shared" ref="K38:K43" si="37">I38+J38</f>
        <v>0</v>
      </c>
      <c r="L38" s="1121">
        <v>0</v>
      </c>
      <c r="M38" s="1125">
        <v>0</v>
      </c>
      <c r="N38" s="1766">
        <f t="shared" ref="N38:N43" si="38">L38+M38</f>
        <v>0</v>
      </c>
      <c r="O38" s="444">
        <v>0</v>
      </c>
      <c r="P38" s="585">
        <v>0</v>
      </c>
      <c r="Q38" s="450">
        <f t="shared" ref="Q38:Q43" si="39">O38+P38</f>
        <v>0</v>
      </c>
      <c r="R38" s="1242">
        <v>0</v>
      </c>
      <c r="S38" s="445">
        <v>0</v>
      </c>
      <c r="T38" s="1689">
        <f t="shared" ref="T38:T43" si="40">R38+S38</f>
        <v>0</v>
      </c>
      <c r="U38" s="674">
        <v>0</v>
      </c>
      <c r="V38" s="585">
        <v>0</v>
      </c>
      <c r="W38" s="450">
        <v>0</v>
      </c>
      <c r="X38" s="203" t="s">
        <v>16</v>
      </c>
      <c r="Y38" s="1768">
        <v>0</v>
      </c>
      <c r="Z38" s="1769">
        <v>0</v>
      </c>
      <c r="AA38" s="1769">
        <v>0</v>
      </c>
      <c r="AB38" s="1769">
        <v>0</v>
      </c>
      <c r="AC38" s="1769">
        <v>0</v>
      </c>
      <c r="AD38" s="1770">
        <v>0</v>
      </c>
      <c r="AE38" s="1771">
        <v>0</v>
      </c>
      <c r="AG38" s="1597">
        <f>W38-E38</f>
        <v>0</v>
      </c>
    </row>
    <row r="39" spans="1:33">
      <c r="A39" s="455" t="s">
        <v>47</v>
      </c>
      <c r="B39" s="1075" t="s">
        <v>17</v>
      </c>
      <c r="C39" s="1141">
        <v>0</v>
      </c>
      <c r="D39" s="1140">
        <v>0</v>
      </c>
      <c r="E39" s="633">
        <f t="shared" si="35"/>
        <v>0</v>
      </c>
      <c r="F39" s="1139">
        <v>0</v>
      </c>
      <c r="G39" s="630">
        <v>0</v>
      </c>
      <c r="H39" s="1245">
        <f t="shared" si="36"/>
        <v>0</v>
      </c>
      <c r="I39" s="1141">
        <v>0</v>
      </c>
      <c r="J39" s="1140">
        <v>0</v>
      </c>
      <c r="K39" s="633">
        <f t="shared" si="37"/>
        <v>0</v>
      </c>
      <c r="L39" s="1139">
        <v>0</v>
      </c>
      <c r="M39" s="630">
        <v>0</v>
      </c>
      <c r="N39" s="1245">
        <f t="shared" si="38"/>
        <v>0</v>
      </c>
      <c r="O39" s="827">
        <v>0</v>
      </c>
      <c r="P39" s="560">
        <v>0</v>
      </c>
      <c r="Q39" s="940">
        <f t="shared" si="39"/>
        <v>0</v>
      </c>
      <c r="R39" s="1243">
        <v>0</v>
      </c>
      <c r="S39" s="916">
        <v>0</v>
      </c>
      <c r="T39" s="641">
        <f t="shared" si="40"/>
        <v>0</v>
      </c>
      <c r="U39" s="1591">
        <v>0</v>
      </c>
      <c r="V39" s="560">
        <v>0</v>
      </c>
      <c r="W39" s="940">
        <v>0</v>
      </c>
      <c r="X39" s="546" t="s">
        <v>16</v>
      </c>
      <c r="Y39" s="1246">
        <v>0</v>
      </c>
      <c r="Z39" s="1247">
        <v>0</v>
      </c>
      <c r="AA39" s="1247">
        <v>0</v>
      </c>
      <c r="AB39" s="1247">
        <v>0</v>
      </c>
      <c r="AC39" s="1247">
        <v>0</v>
      </c>
      <c r="AD39" s="1239">
        <v>0</v>
      </c>
      <c r="AE39" s="1236">
        <v>0</v>
      </c>
      <c r="AG39" s="1599">
        <f t="shared" ref="AG39:AG44" si="41">W39-E39</f>
        <v>0</v>
      </c>
    </row>
    <row r="40" spans="1:33">
      <c r="A40" s="455" t="s">
        <v>48</v>
      </c>
      <c r="B40" s="1075" t="s">
        <v>17</v>
      </c>
      <c r="C40" s="1141">
        <v>0</v>
      </c>
      <c r="D40" s="1140">
        <v>0</v>
      </c>
      <c r="E40" s="633">
        <f t="shared" si="35"/>
        <v>0</v>
      </c>
      <c r="F40" s="1139">
        <v>0</v>
      </c>
      <c r="G40" s="630">
        <v>0</v>
      </c>
      <c r="H40" s="1245">
        <f t="shared" si="36"/>
        <v>0</v>
      </c>
      <c r="I40" s="1141">
        <v>0</v>
      </c>
      <c r="J40" s="1140">
        <v>0</v>
      </c>
      <c r="K40" s="633">
        <f t="shared" si="37"/>
        <v>0</v>
      </c>
      <c r="L40" s="1139">
        <v>0</v>
      </c>
      <c r="M40" s="630">
        <v>0</v>
      </c>
      <c r="N40" s="1245">
        <f t="shared" si="38"/>
        <v>0</v>
      </c>
      <c r="O40" s="827">
        <v>0</v>
      </c>
      <c r="P40" s="560">
        <v>0</v>
      </c>
      <c r="Q40" s="940">
        <f t="shared" si="39"/>
        <v>0</v>
      </c>
      <c r="R40" s="1243">
        <v>0</v>
      </c>
      <c r="S40" s="916">
        <v>0</v>
      </c>
      <c r="T40" s="641">
        <f t="shared" si="40"/>
        <v>0</v>
      </c>
      <c r="U40" s="1591">
        <v>0</v>
      </c>
      <c r="V40" s="560">
        <v>0</v>
      </c>
      <c r="W40" s="940">
        <v>0</v>
      </c>
      <c r="X40" s="546" t="s">
        <v>16</v>
      </c>
      <c r="Y40" s="1246">
        <v>0</v>
      </c>
      <c r="Z40" s="1247">
        <v>0</v>
      </c>
      <c r="AA40" s="1247">
        <v>0</v>
      </c>
      <c r="AB40" s="1247">
        <v>0</v>
      </c>
      <c r="AC40" s="1247">
        <v>0</v>
      </c>
      <c r="AD40" s="1239">
        <v>0</v>
      </c>
      <c r="AE40" s="1236">
        <v>0</v>
      </c>
      <c r="AG40" s="1599">
        <f t="shared" si="41"/>
        <v>0</v>
      </c>
    </row>
    <row r="41" spans="1:33" s="22" customFormat="1">
      <c r="A41" s="458" t="s">
        <v>49</v>
      </c>
      <c r="B41" s="506" t="s">
        <v>17</v>
      </c>
      <c r="C41" s="636">
        <v>0</v>
      </c>
      <c r="D41" s="635">
        <v>0</v>
      </c>
      <c r="E41" s="638">
        <f t="shared" si="35"/>
        <v>0</v>
      </c>
      <c r="F41" s="634">
        <v>0</v>
      </c>
      <c r="G41" s="637">
        <v>0</v>
      </c>
      <c r="H41" s="671">
        <f t="shared" si="36"/>
        <v>0</v>
      </c>
      <c r="I41" s="636">
        <v>0</v>
      </c>
      <c r="J41" s="635">
        <v>0</v>
      </c>
      <c r="K41" s="638">
        <f t="shared" si="37"/>
        <v>0</v>
      </c>
      <c r="L41" s="634">
        <v>0</v>
      </c>
      <c r="M41" s="637">
        <v>0</v>
      </c>
      <c r="N41" s="671">
        <f t="shared" si="38"/>
        <v>0</v>
      </c>
      <c r="O41" s="459">
        <v>0</v>
      </c>
      <c r="P41" s="590">
        <v>0</v>
      </c>
      <c r="Q41" s="486">
        <f t="shared" si="39"/>
        <v>0</v>
      </c>
      <c r="R41" s="1244">
        <v>0</v>
      </c>
      <c r="S41" s="460">
        <v>0</v>
      </c>
      <c r="T41" s="640">
        <f t="shared" si="40"/>
        <v>0</v>
      </c>
      <c r="U41" s="656">
        <v>0</v>
      </c>
      <c r="V41" s="590">
        <v>0</v>
      </c>
      <c r="W41" s="486">
        <v>0</v>
      </c>
      <c r="X41" s="547" t="s">
        <v>16</v>
      </c>
      <c r="Y41" s="669">
        <v>0</v>
      </c>
      <c r="Z41" s="792">
        <v>0</v>
      </c>
      <c r="AA41" s="792">
        <v>0</v>
      </c>
      <c r="AB41" s="792">
        <v>0</v>
      </c>
      <c r="AC41" s="792">
        <v>0</v>
      </c>
      <c r="AD41" s="1240">
        <v>0</v>
      </c>
      <c r="AE41" s="1237">
        <v>0</v>
      </c>
      <c r="AG41" s="1599">
        <f t="shared" si="41"/>
        <v>0</v>
      </c>
    </row>
    <row r="42" spans="1:33" s="22" customFormat="1">
      <c r="A42" s="455" t="s">
        <v>50</v>
      </c>
      <c r="B42" s="1075" t="s">
        <v>17</v>
      </c>
      <c r="C42" s="1141">
        <v>0</v>
      </c>
      <c r="D42" s="1140">
        <v>0</v>
      </c>
      <c r="E42" s="633">
        <f t="shared" si="35"/>
        <v>0</v>
      </c>
      <c r="F42" s="1139">
        <v>0</v>
      </c>
      <c r="G42" s="630">
        <v>0</v>
      </c>
      <c r="H42" s="1245">
        <f t="shared" si="36"/>
        <v>0</v>
      </c>
      <c r="I42" s="1141">
        <v>0</v>
      </c>
      <c r="J42" s="1140">
        <v>0</v>
      </c>
      <c r="K42" s="633">
        <f t="shared" si="37"/>
        <v>0</v>
      </c>
      <c r="L42" s="1139">
        <v>0</v>
      </c>
      <c r="M42" s="630">
        <v>0</v>
      </c>
      <c r="N42" s="1245">
        <f t="shared" si="38"/>
        <v>0</v>
      </c>
      <c r="O42" s="827">
        <v>0</v>
      </c>
      <c r="P42" s="560">
        <v>0</v>
      </c>
      <c r="Q42" s="940">
        <f t="shared" si="39"/>
        <v>0</v>
      </c>
      <c r="R42" s="1243">
        <v>0</v>
      </c>
      <c r="S42" s="916">
        <v>0</v>
      </c>
      <c r="T42" s="641">
        <f t="shared" si="40"/>
        <v>0</v>
      </c>
      <c r="U42" s="1591">
        <v>0</v>
      </c>
      <c r="V42" s="560">
        <v>0</v>
      </c>
      <c r="W42" s="940">
        <v>0</v>
      </c>
      <c r="X42" s="546" t="s">
        <v>16</v>
      </c>
      <c r="Y42" s="1246">
        <v>0</v>
      </c>
      <c r="Z42" s="1247">
        <v>0</v>
      </c>
      <c r="AA42" s="1247">
        <v>0</v>
      </c>
      <c r="AB42" s="1247">
        <v>0</v>
      </c>
      <c r="AC42" s="1247">
        <v>0</v>
      </c>
      <c r="AD42" s="1239">
        <v>0</v>
      </c>
      <c r="AE42" s="1236">
        <v>0</v>
      </c>
      <c r="AG42" s="1599">
        <f t="shared" si="41"/>
        <v>0</v>
      </c>
    </row>
    <row r="43" spans="1:33" ht="13.5" thickBot="1">
      <c r="A43" s="579" t="s">
        <v>51</v>
      </c>
      <c r="B43" s="1850" t="s">
        <v>17</v>
      </c>
      <c r="C43" s="41">
        <v>0</v>
      </c>
      <c r="D43" s="541">
        <v>0</v>
      </c>
      <c r="E43" s="51">
        <f t="shared" si="35"/>
        <v>0</v>
      </c>
      <c r="F43" s="1253">
        <v>0</v>
      </c>
      <c r="G43" s="627">
        <v>0</v>
      </c>
      <c r="H43" s="1254">
        <f t="shared" si="36"/>
        <v>0</v>
      </c>
      <c r="I43" s="41">
        <v>0</v>
      </c>
      <c r="J43" s="541">
        <v>0</v>
      </c>
      <c r="K43" s="51">
        <f t="shared" si="37"/>
        <v>0</v>
      </c>
      <c r="L43" s="1253">
        <v>0</v>
      </c>
      <c r="M43" s="627">
        <v>0</v>
      </c>
      <c r="N43" s="1254">
        <f t="shared" si="38"/>
        <v>0</v>
      </c>
      <c r="O43" s="467">
        <v>0</v>
      </c>
      <c r="P43" s="562">
        <v>0</v>
      </c>
      <c r="Q43" s="943">
        <f t="shared" si="39"/>
        <v>0</v>
      </c>
      <c r="R43" s="1902">
        <v>0</v>
      </c>
      <c r="S43" s="562">
        <v>0</v>
      </c>
      <c r="T43" s="644">
        <f t="shared" si="40"/>
        <v>0</v>
      </c>
      <c r="U43" s="1603">
        <v>0</v>
      </c>
      <c r="V43" s="562">
        <v>0</v>
      </c>
      <c r="W43" s="943">
        <v>0</v>
      </c>
      <c r="X43" s="205" t="s">
        <v>16</v>
      </c>
      <c r="Y43" s="1255">
        <v>0</v>
      </c>
      <c r="Z43" s="1256">
        <v>0</v>
      </c>
      <c r="AA43" s="1256">
        <v>0</v>
      </c>
      <c r="AB43" s="1256">
        <v>0</v>
      </c>
      <c r="AC43" s="1256">
        <v>0</v>
      </c>
      <c r="AD43" s="1257">
        <v>0</v>
      </c>
      <c r="AE43" s="1258">
        <v>0</v>
      </c>
      <c r="AG43" s="1741">
        <f t="shared" si="41"/>
        <v>0</v>
      </c>
    </row>
    <row r="44" spans="1:33" s="22" customFormat="1" ht="27.75" customHeight="1" thickTop="1" thickBot="1">
      <c r="A44" s="3236" t="s">
        <v>526</v>
      </c>
      <c r="B44" s="3237"/>
      <c r="C44" s="535">
        <f>SUM(C38:C43)</f>
        <v>0</v>
      </c>
      <c r="D44" s="536">
        <f t="shared" ref="D44:W44" si="42">SUM(D38:D43)</f>
        <v>0</v>
      </c>
      <c r="E44" s="647">
        <f t="shared" si="42"/>
        <v>0</v>
      </c>
      <c r="F44" s="592">
        <f t="shared" si="42"/>
        <v>0</v>
      </c>
      <c r="G44" s="593">
        <f t="shared" si="42"/>
        <v>0</v>
      </c>
      <c r="H44" s="646">
        <f t="shared" si="42"/>
        <v>0</v>
      </c>
      <c r="I44" s="535">
        <f t="shared" si="42"/>
        <v>0</v>
      </c>
      <c r="J44" s="536">
        <f t="shared" si="42"/>
        <v>0</v>
      </c>
      <c r="K44" s="647">
        <f t="shared" si="42"/>
        <v>0</v>
      </c>
      <c r="L44" s="592">
        <f t="shared" si="42"/>
        <v>0</v>
      </c>
      <c r="M44" s="593">
        <f t="shared" si="42"/>
        <v>0</v>
      </c>
      <c r="N44" s="646">
        <f t="shared" si="42"/>
        <v>0</v>
      </c>
      <c r="O44" s="470">
        <f t="shared" si="42"/>
        <v>0</v>
      </c>
      <c r="P44" s="555">
        <f t="shared" si="42"/>
        <v>0</v>
      </c>
      <c r="Q44" s="474">
        <f t="shared" si="42"/>
        <v>0</v>
      </c>
      <c r="R44" s="1259">
        <f t="shared" si="42"/>
        <v>0</v>
      </c>
      <c r="S44" s="555">
        <f t="shared" si="42"/>
        <v>0</v>
      </c>
      <c r="T44" s="657">
        <f t="shared" si="42"/>
        <v>0</v>
      </c>
      <c r="U44" s="679">
        <f t="shared" si="42"/>
        <v>0</v>
      </c>
      <c r="V44" s="555">
        <f t="shared" si="42"/>
        <v>0</v>
      </c>
      <c r="W44" s="474">
        <f t="shared" si="42"/>
        <v>0</v>
      </c>
      <c r="X44" s="206" t="s">
        <v>16</v>
      </c>
      <c r="Y44" s="1260">
        <f t="shared" ref="Y44" si="43">SUM(Y38:Y43)</f>
        <v>0</v>
      </c>
      <c r="Z44" s="1261">
        <f t="shared" ref="Z44" si="44">SUM(Z38:Z43)</f>
        <v>0</v>
      </c>
      <c r="AA44" s="1261">
        <f t="shared" ref="AA44" si="45">SUM(AA38:AA43)</f>
        <v>0</v>
      </c>
      <c r="AB44" s="1261">
        <f t="shared" ref="AB44" si="46">SUM(AB38:AB43)</f>
        <v>0</v>
      </c>
      <c r="AC44" s="1261">
        <f t="shared" ref="AC44" si="47">SUM(AC38:AC43)</f>
        <v>0</v>
      </c>
      <c r="AD44" s="781">
        <f t="shared" ref="AD44" si="48">SUM(AD38:AD43)</f>
        <v>0</v>
      </c>
      <c r="AE44" s="166">
        <f t="shared" ref="AE44" si="49">SUM(AE38:AE43)</f>
        <v>0</v>
      </c>
      <c r="AG44" s="1598">
        <f t="shared" si="41"/>
        <v>0</v>
      </c>
    </row>
    <row r="45" spans="1:33">
      <c r="A45" s="89" t="s">
        <v>35</v>
      </c>
    </row>
    <row r="46" spans="1:33">
      <c r="A46" s="1" t="s">
        <v>68</v>
      </c>
    </row>
    <row r="47" spans="1:33">
      <c r="A47" s="1" t="s">
        <v>69</v>
      </c>
    </row>
    <row r="48" spans="1:33">
      <c r="A48" s="2" t="s">
        <v>628</v>
      </c>
    </row>
    <row r="49" spans="1:1">
      <c r="A49" s="2" t="s">
        <v>629</v>
      </c>
    </row>
  </sheetData>
  <mergeCells count="32">
    <mergeCell ref="O3:Q3"/>
    <mergeCell ref="R3:T3"/>
    <mergeCell ref="A44:B44"/>
    <mergeCell ref="Y35:AE36"/>
    <mergeCell ref="C36:E36"/>
    <mergeCell ref="F36:H36"/>
    <mergeCell ref="I36:K36"/>
    <mergeCell ref="L36:N36"/>
    <mergeCell ref="O36:Q36"/>
    <mergeCell ref="R36:T36"/>
    <mergeCell ref="U36:W36"/>
    <mergeCell ref="A35:A37"/>
    <mergeCell ref="B35:B37"/>
    <mergeCell ref="C35:E35"/>
    <mergeCell ref="F35:W35"/>
    <mergeCell ref="X35:X37"/>
    <mergeCell ref="AG2:AG4"/>
    <mergeCell ref="AG35:AG37"/>
    <mergeCell ref="A27:B27"/>
    <mergeCell ref="Y2:AE3"/>
    <mergeCell ref="U3:W3"/>
    <mergeCell ref="F2:W2"/>
    <mergeCell ref="A25:B25"/>
    <mergeCell ref="A26:B26"/>
    <mergeCell ref="A2:A4"/>
    <mergeCell ref="X2:X4"/>
    <mergeCell ref="C3:E3"/>
    <mergeCell ref="F3:H3"/>
    <mergeCell ref="I3:K3"/>
    <mergeCell ref="C2:E2"/>
    <mergeCell ref="B2:B4"/>
    <mergeCell ref="L3:N3"/>
  </mergeCells>
  <pageMargins left="0.7" right="0.7" top="0.75" bottom="0.75" header="0.3" footer="0.3"/>
  <pageSetup paperSize="3" scale="6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H33"/>
  <sheetViews>
    <sheetView workbookViewId="0">
      <pane xSplit="2" topLeftCell="C1" activePane="topRight" state="frozen"/>
      <selection pane="topRight" activeCell="G12" sqref="G12"/>
    </sheetView>
  </sheetViews>
  <sheetFormatPr defaultColWidth="9.140625" defaultRowHeight="12.75"/>
  <cols>
    <col min="1" max="1" width="10.85546875" style="1" customWidth="1"/>
    <col min="2" max="2" width="44.140625" style="1" customWidth="1"/>
    <col min="3" max="3" width="9.28515625" style="1" customWidth="1"/>
    <col min="4" max="20" width="8.5703125" style="1" customWidth="1"/>
    <col min="21" max="21" width="9.85546875" style="1" customWidth="1"/>
    <col min="22" max="24" width="9.140625" style="1" customWidth="1"/>
    <col min="25" max="25" width="10.28515625" style="1" customWidth="1"/>
    <col min="26" max="32" width="8.85546875" style="1" customWidth="1"/>
    <col min="33" max="33" width="9.140625" style="1"/>
    <col min="34" max="34" width="11" style="1" hidden="1" customWidth="1"/>
    <col min="35" max="16384" width="9.140625" style="1"/>
  </cols>
  <sheetData>
    <row r="1" spans="1:34" s="2" customFormat="1" ht="13.5" customHeight="1" thickBot="1">
      <c r="A1" s="573" t="s">
        <v>631</v>
      </c>
      <c r="B1" s="573"/>
      <c r="C1" s="573"/>
      <c r="D1" s="573"/>
      <c r="E1" s="573"/>
      <c r="F1" s="573"/>
      <c r="G1" s="573"/>
      <c r="H1" s="573"/>
      <c r="I1" s="573"/>
      <c r="J1" s="573"/>
      <c r="K1" s="573"/>
      <c r="L1" s="573"/>
      <c r="M1" s="573"/>
      <c r="N1" s="573"/>
      <c r="O1" s="573"/>
      <c r="P1" s="573"/>
      <c r="Q1" s="573"/>
      <c r="R1" s="573"/>
      <c r="S1" s="573"/>
      <c r="T1" s="573"/>
      <c r="U1" s="573"/>
      <c r="V1" s="573"/>
      <c r="W1" s="573"/>
      <c r="X1" s="573"/>
      <c r="Y1" s="573"/>
    </row>
    <row r="2" spans="1:34" s="2" customFormat="1" ht="26.25" customHeight="1" thickBot="1">
      <c r="A2" s="3233" t="s">
        <v>85</v>
      </c>
      <c r="B2" s="3238" t="s">
        <v>632</v>
      </c>
      <c r="C2" s="3238" t="s">
        <v>2</v>
      </c>
      <c r="D2" s="3221" t="s">
        <v>633</v>
      </c>
      <c r="E2" s="3222"/>
      <c r="F2" s="3223"/>
      <c r="G2" s="3221" t="s">
        <v>56</v>
      </c>
      <c r="H2" s="3222"/>
      <c r="I2" s="3222"/>
      <c r="J2" s="3222"/>
      <c r="K2" s="3222"/>
      <c r="L2" s="3222"/>
      <c r="M2" s="3222"/>
      <c r="N2" s="3222"/>
      <c r="O2" s="3222"/>
      <c r="P2" s="3222"/>
      <c r="Q2" s="3222"/>
      <c r="R2" s="3222"/>
      <c r="S2" s="3222"/>
      <c r="T2" s="3222"/>
      <c r="U2" s="3222"/>
      <c r="V2" s="3222"/>
      <c r="W2" s="3222"/>
      <c r="X2" s="3223"/>
      <c r="Y2" s="3255" t="s">
        <v>57</v>
      </c>
      <c r="Z2" s="3268" t="s">
        <v>634</v>
      </c>
      <c r="AA2" s="3269"/>
      <c r="AB2" s="3269"/>
      <c r="AC2" s="3269"/>
      <c r="AD2" s="3269"/>
      <c r="AE2" s="3269"/>
      <c r="AF2" s="3270"/>
      <c r="AH2" s="3255" t="s">
        <v>80</v>
      </c>
    </row>
    <row r="3" spans="1:34" s="2" customFormat="1" ht="26.25" customHeight="1" thickBot="1">
      <c r="A3" s="3234"/>
      <c r="B3" s="3239"/>
      <c r="C3" s="3239"/>
      <c r="D3" s="3212">
        <v>2015</v>
      </c>
      <c r="E3" s="3213"/>
      <c r="F3" s="3215"/>
      <c r="G3" s="3212">
        <v>2020</v>
      </c>
      <c r="H3" s="3213"/>
      <c r="I3" s="3215"/>
      <c r="J3" s="3219">
        <v>2025</v>
      </c>
      <c r="K3" s="3213"/>
      <c r="L3" s="3214"/>
      <c r="M3" s="3216">
        <v>2030</v>
      </c>
      <c r="N3" s="3217"/>
      <c r="O3" s="3218"/>
      <c r="P3" s="3219">
        <v>2035</v>
      </c>
      <c r="Q3" s="3213"/>
      <c r="R3" s="3214"/>
      <c r="S3" s="3212">
        <v>2040</v>
      </c>
      <c r="T3" s="3213"/>
      <c r="U3" s="3215"/>
      <c r="V3" s="3212">
        <v>2045</v>
      </c>
      <c r="W3" s="3213"/>
      <c r="X3" s="3215"/>
      <c r="Y3" s="3256"/>
      <c r="Z3" s="3320"/>
      <c r="AA3" s="3393"/>
      <c r="AB3" s="3393"/>
      <c r="AC3" s="3393"/>
      <c r="AD3" s="3393"/>
      <c r="AE3" s="3393"/>
      <c r="AF3" s="3394"/>
      <c r="AH3" s="3256"/>
    </row>
    <row r="4" spans="1:34" ht="15.75" customHeight="1">
      <c r="A4" s="3235"/>
      <c r="B4" s="3240"/>
      <c r="C4" s="3240"/>
      <c r="D4" s="1655" t="s">
        <v>60</v>
      </c>
      <c r="E4" s="1017" t="s">
        <v>61</v>
      </c>
      <c r="F4" s="1659" t="s">
        <v>18</v>
      </c>
      <c r="G4" s="1655" t="s">
        <v>60</v>
      </c>
      <c r="H4" s="1657" t="s">
        <v>61</v>
      </c>
      <c r="I4" s="1658" t="s">
        <v>18</v>
      </c>
      <c r="J4" s="1669" t="s">
        <v>60</v>
      </c>
      <c r="K4" s="1017" t="s">
        <v>61</v>
      </c>
      <c r="L4" s="1656" t="s">
        <v>18</v>
      </c>
      <c r="M4" s="1655" t="s">
        <v>60</v>
      </c>
      <c r="N4" s="1657" t="s">
        <v>61</v>
      </c>
      <c r="O4" s="1658" t="s">
        <v>18</v>
      </c>
      <c r="P4" s="1669" t="s">
        <v>60</v>
      </c>
      <c r="Q4" s="1017" t="s">
        <v>61</v>
      </c>
      <c r="R4" s="1656" t="s">
        <v>18</v>
      </c>
      <c r="S4" s="1655" t="s">
        <v>60</v>
      </c>
      <c r="T4" s="1017" t="s">
        <v>61</v>
      </c>
      <c r="U4" s="1659" t="s">
        <v>18</v>
      </c>
      <c r="V4" s="1655" t="s">
        <v>60</v>
      </c>
      <c r="W4" s="1017" t="s">
        <v>61</v>
      </c>
      <c r="X4" s="1659" t="s">
        <v>18</v>
      </c>
      <c r="Y4" s="3257"/>
      <c r="Z4" s="1772">
        <v>2015</v>
      </c>
      <c r="AA4" s="3027">
        <v>2020</v>
      </c>
      <c r="AB4" s="1773">
        <v>2025</v>
      </c>
      <c r="AC4" s="1773">
        <v>2030</v>
      </c>
      <c r="AD4" s="1767">
        <v>2035</v>
      </c>
      <c r="AE4" s="1749">
        <v>2040</v>
      </c>
      <c r="AF4" s="3036">
        <v>2045</v>
      </c>
      <c r="AH4" s="3257"/>
    </row>
    <row r="5" spans="1:34">
      <c r="A5" s="3297" t="s">
        <v>278</v>
      </c>
      <c r="B5" s="443" t="s">
        <v>635</v>
      </c>
      <c r="C5" s="2960" t="s">
        <v>15</v>
      </c>
      <c r="D5" s="47">
        <f>'Table 10b'!E4</f>
        <v>0.51</v>
      </c>
      <c r="E5" s="761">
        <f>'Table 10b'!J4</f>
        <v>0</v>
      </c>
      <c r="F5" s="141">
        <f>D5+E5</f>
        <v>0.51</v>
      </c>
      <c r="G5" s="47">
        <f>'Table 10b'!AH4</f>
        <v>0.53</v>
      </c>
      <c r="H5" s="761">
        <f>AA5*0.02</f>
        <v>0</v>
      </c>
      <c r="I5" s="141">
        <f>G5+H5</f>
        <v>0.53</v>
      </c>
      <c r="J5" s="246">
        <f>'Table 10b'!AI4</f>
        <v>0.55000000000000004</v>
      </c>
      <c r="K5" s="14">
        <f>AB5*0.02</f>
        <v>0</v>
      </c>
      <c r="L5" s="784">
        <f>J5+K5</f>
        <v>0.55000000000000004</v>
      </c>
      <c r="M5" s="47">
        <f>'Table 10b'!AJ4</f>
        <v>0.56000000000000005</v>
      </c>
      <c r="N5" s="14">
        <f>AC5*0.02</f>
        <v>0</v>
      </c>
      <c r="O5" s="15">
        <f>M5+N5</f>
        <v>0.56000000000000005</v>
      </c>
      <c r="P5" s="246">
        <f>'Table 10b'!AK4</f>
        <v>0.59</v>
      </c>
      <c r="Q5" s="761">
        <f>AD5*0.02</f>
        <v>0</v>
      </c>
      <c r="R5" s="179">
        <f>P5+Q5</f>
        <v>0.59</v>
      </c>
      <c r="S5" s="47">
        <f>'Table 10b'!AL4</f>
        <v>0.61</v>
      </c>
      <c r="T5" s="14">
        <f>AE5*0.02</f>
        <v>0</v>
      </c>
      <c r="U5" s="784">
        <f>S5+T5</f>
        <v>0.61</v>
      </c>
      <c r="V5" s="47">
        <f>'Table 10b'!AM4</f>
        <v>0.63</v>
      </c>
      <c r="W5" s="14">
        <f>AF5*0.02</f>
        <v>0</v>
      </c>
      <c r="X5" s="784">
        <f>V5+W5</f>
        <v>0.63</v>
      </c>
      <c r="Y5" s="229">
        <f>(X5-F5)/F5</f>
        <v>0.24</v>
      </c>
      <c r="Z5" s="767">
        <f>'Table 10b'!J4</f>
        <v>0</v>
      </c>
      <c r="AA5" s="778">
        <f>'Table 10b'!AN4</f>
        <v>0</v>
      </c>
      <c r="AB5" s="778">
        <f>'Table 10b'!AO4</f>
        <v>0</v>
      </c>
      <c r="AC5" s="778">
        <f>'Table 10b'!AP4</f>
        <v>0</v>
      </c>
      <c r="AD5" s="181">
        <f>'Table 10b'!AQ4</f>
        <v>0</v>
      </c>
      <c r="AE5" s="181">
        <f>'Table 10b'!AR4</f>
        <v>0</v>
      </c>
      <c r="AF5" s="1107">
        <f>'Table 10b'!AS4</f>
        <v>0</v>
      </c>
      <c r="AH5" s="1625">
        <f>X5-F5</f>
        <v>0.12</v>
      </c>
    </row>
    <row r="6" spans="1:34" ht="15" customHeight="1">
      <c r="A6" s="3298"/>
      <c r="B6" s="2970" t="s">
        <v>636</v>
      </c>
      <c r="C6" s="2972" t="s">
        <v>17</v>
      </c>
      <c r="D6" s="823">
        <f>'Table 10b'!E5</f>
        <v>0.28000000000000003</v>
      </c>
      <c r="E6" s="761">
        <f>'Table 10b'!J5</f>
        <v>0</v>
      </c>
      <c r="F6" s="141">
        <f>D6+E6</f>
        <v>0.28000000000000003</v>
      </c>
      <c r="G6" s="47">
        <f>'Table 10b'!AH5</f>
        <v>0.28000000000000003</v>
      </c>
      <c r="H6" s="761">
        <f>AA6*0.02</f>
        <v>0</v>
      </c>
      <c r="I6" s="141">
        <f>G6+H6</f>
        <v>0.28000000000000003</v>
      </c>
      <c r="J6" s="246">
        <f>'Table 10b'!AI5</f>
        <v>0.27</v>
      </c>
      <c r="K6" s="14">
        <f>AB6*0.02</f>
        <v>0</v>
      </c>
      <c r="L6" s="784">
        <f>J6+K6</f>
        <v>0.27</v>
      </c>
      <c r="M6" s="47">
        <f>'Table 10b'!AJ5</f>
        <v>0.27</v>
      </c>
      <c r="N6" s="14">
        <f>AC6*0.02</f>
        <v>0</v>
      </c>
      <c r="O6" s="15">
        <f>M6+N6</f>
        <v>0.27</v>
      </c>
      <c r="P6" s="246">
        <f>'Table 10b'!AK5</f>
        <v>0.28000000000000003</v>
      </c>
      <c r="Q6" s="761">
        <f>AD6*0.02</f>
        <v>0</v>
      </c>
      <c r="R6" s="179">
        <f>P6+Q6</f>
        <v>0.28000000000000003</v>
      </c>
      <c r="S6" s="47">
        <f>'Table 10b'!AL5</f>
        <v>0.3</v>
      </c>
      <c r="T6" s="14">
        <f>AE6*0.02</f>
        <v>0</v>
      </c>
      <c r="U6" s="784">
        <f>S6+T6</f>
        <v>0.3</v>
      </c>
      <c r="V6" s="47">
        <f>'Table 10b'!AM5</f>
        <v>0.31</v>
      </c>
      <c r="W6" s="14">
        <f>AF6*0.02</f>
        <v>0</v>
      </c>
      <c r="X6" s="784">
        <f>V6+W6</f>
        <v>0.31</v>
      </c>
      <c r="Y6" s="229">
        <f>(X6-F6)/F6</f>
        <v>0.11</v>
      </c>
      <c r="Z6" s="767">
        <f>'Table 10b'!J5</f>
        <v>0</v>
      </c>
      <c r="AA6" s="778">
        <f>'Table 10b'!AN5</f>
        <v>0</v>
      </c>
      <c r="AB6" s="778">
        <f>'Table 10b'!AO5</f>
        <v>0</v>
      </c>
      <c r="AC6" s="778">
        <f>'Table 10b'!AP5</f>
        <v>0</v>
      </c>
      <c r="AD6" s="181">
        <f>'Table 10b'!AQ5</f>
        <v>0</v>
      </c>
      <c r="AE6" s="181">
        <f>'Table 10b'!AR5</f>
        <v>0</v>
      </c>
      <c r="AF6" s="1107">
        <f>'Table 10b'!AS5</f>
        <v>0</v>
      </c>
      <c r="AH6" s="2607"/>
    </row>
    <row r="7" spans="1:34" ht="26.25" customHeight="1">
      <c r="A7" s="3298"/>
      <c r="B7" s="175" t="s">
        <v>637</v>
      </c>
      <c r="C7" s="608" t="s">
        <v>17</v>
      </c>
      <c r="D7" s="48">
        <f>'Table 10b'!E6</f>
        <v>1.49</v>
      </c>
      <c r="E7" s="755">
        <f>'Table 10b'!J6</f>
        <v>0</v>
      </c>
      <c r="F7" s="49">
        <f>D7+E7</f>
        <v>1.49</v>
      </c>
      <c r="G7" s="48">
        <f>'Table 10b'!AH6</f>
        <v>1.48</v>
      </c>
      <c r="H7" s="755">
        <f>AA7*0.02</f>
        <v>0</v>
      </c>
      <c r="I7" s="49">
        <f>G7+H7</f>
        <v>1.48</v>
      </c>
      <c r="J7" s="1006">
        <f>'Table 10b'!AI6</f>
        <v>1.4</v>
      </c>
      <c r="K7" s="366">
        <f>AB7*0.02</f>
        <v>0</v>
      </c>
      <c r="L7" s="1734">
        <f>J7+K7</f>
        <v>1.4</v>
      </c>
      <c r="M7" s="48">
        <f>'Table 10b'!AJ6</f>
        <v>1.44</v>
      </c>
      <c r="N7" s="366">
        <f>AC7*0.02</f>
        <v>0</v>
      </c>
      <c r="O7" s="874">
        <f>M7+N7</f>
        <v>1.44</v>
      </c>
      <c r="P7" s="1006">
        <f>'Table 10b'!AK6</f>
        <v>1.5</v>
      </c>
      <c r="Q7" s="755">
        <f>AD7*0.02</f>
        <v>0</v>
      </c>
      <c r="R7" s="180">
        <f>P7+Q7</f>
        <v>1.5</v>
      </c>
      <c r="S7" s="48">
        <f>'Table 10b'!AL6</f>
        <v>1.56</v>
      </c>
      <c r="T7" s="366">
        <f>AE7*0.02</f>
        <v>0</v>
      </c>
      <c r="U7" s="1734">
        <f>S7+T7</f>
        <v>1.56</v>
      </c>
      <c r="V7" s="48">
        <f>'Table 10b'!AM6</f>
        <v>1.62</v>
      </c>
      <c r="W7" s="366">
        <f>AF7*0.02</f>
        <v>0</v>
      </c>
      <c r="X7" s="1734">
        <f>V7+W7</f>
        <v>1.62</v>
      </c>
      <c r="Y7" s="216">
        <f t="shared" ref="Y7:Y21" si="0">(X7-F7)/F7</f>
        <v>0.09</v>
      </c>
      <c r="Z7" s="768">
        <f>'Table 10b'!J6</f>
        <v>0</v>
      </c>
      <c r="AA7" s="769">
        <f>'Table 10b'!AN6</f>
        <v>0</v>
      </c>
      <c r="AB7" s="769">
        <f>'Table 10b'!AO6</f>
        <v>0</v>
      </c>
      <c r="AC7" s="769">
        <f>'Table 10b'!AP6</f>
        <v>0</v>
      </c>
      <c r="AD7" s="712">
        <f>'Table 10b'!AQ6</f>
        <v>0</v>
      </c>
      <c r="AE7" s="712">
        <f>'Table 10b'!AR6</f>
        <v>0</v>
      </c>
      <c r="AF7" s="1108">
        <f>'Table 10b'!AS6</f>
        <v>0</v>
      </c>
      <c r="AH7" s="1623">
        <f t="shared" ref="AH7:AH21" si="1">X7-F7</f>
        <v>0.13</v>
      </c>
    </row>
    <row r="8" spans="1:34" ht="14.25" customHeight="1">
      <c r="A8" s="3299"/>
      <c r="B8" s="3406" t="s">
        <v>18</v>
      </c>
      <c r="C8" s="3408"/>
      <c r="D8" s="139">
        <f>SUM(D5:D7)</f>
        <v>2.2799999999999998</v>
      </c>
      <c r="E8" s="756">
        <f t="shared" ref="E8:F8" si="2">SUM(E5:E7)</f>
        <v>0</v>
      </c>
      <c r="F8" s="56">
        <f t="shared" si="2"/>
        <v>2.2799999999999998</v>
      </c>
      <c r="G8" s="139">
        <f t="shared" ref="G8:U8" si="3">SUM(G5:G7)</f>
        <v>2.29</v>
      </c>
      <c r="H8" s="756">
        <f t="shared" si="3"/>
        <v>0</v>
      </c>
      <c r="I8" s="56">
        <f t="shared" si="3"/>
        <v>2.29</v>
      </c>
      <c r="J8" s="140">
        <f t="shared" si="3"/>
        <v>2.2200000000000002</v>
      </c>
      <c r="K8" s="104">
        <f t="shared" si="3"/>
        <v>0</v>
      </c>
      <c r="L8" s="103">
        <f t="shared" si="3"/>
        <v>2.2200000000000002</v>
      </c>
      <c r="M8" s="139">
        <f t="shared" si="3"/>
        <v>2.27</v>
      </c>
      <c r="N8" s="104">
        <f t="shared" si="3"/>
        <v>0</v>
      </c>
      <c r="O8" s="61">
        <f t="shared" si="3"/>
        <v>2.27</v>
      </c>
      <c r="P8" s="140">
        <f t="shared" si="3"/>
        <v>2.37</v>
      </c>
      <c r="Q8" s="756">
        <f t="shared" si="3"/>
        <v>0</v>
      </c>
      <c r="R8" s="111">
        <f t="shared" si="3"/>
        <v>2.37</v>
      </c>
      <c r="S8" s="139">
        <f t="shared" si="3"/>
        <v>2.4700000000000002</v>
      </c>
      <c r="T8" s="104">
        <f t="shared" si="3"/>
        <v>0</v>
      </c>
      <c r="U8" s="103">
        <f t="shared" si="3"/>
        <v>2.4700000000000002</v>
      </c>
      <c r="V8" s="139">
        <f t="shared" ref="V8:X8" si="4">SUM(V5:V7)</f>
        <v>2.56</v>
      </c>
      <c r="W8" s="104">
        <f t="shared" si="4"/>
        <v>0</v>
      </c>
      <c r="X8" s="103">
        <f t="shared" si="4"/>
        <v>2.56</v>
      </c>
      <c r="Y8" s="231">
        <f t="shared" si="0"/>
        <v>0.12</v>
      </c>
      <c r="Z8" s="770">
        <f t="shared" ref="Z8:AE8" si="5">SUM(Z5:Z7)</f>
        <v>0</v>
      </c>
      <c r="AA8" s="701">
        <f t="shared" si="5"/>
        <v>0</v>
      </c>
      <c r="AB8" s="701">
        <f t="shared" si="5"/>
        <v>0</v>
      </c>
      <c r="AC8" s="701">
        <f t="shared" si="5"/>
        <v>0</v>
      </c>
      <c r="AD8" s="701">
        <f t="shared" si="5"/>
        <v>0</v>
      </c>
      <c r="AE8" s="701">
        <f t="shared" si="5"/>
        <v>0</v>
      </c>
      <c r="AF8" s="61">
        <f t="shared" ref="AF8" si="6">SUM(AF5:AF7)</f>
        <v>0</v>
      </c>
      <c r="AH8" s="1629">
        <f t="shared" si="1"/>
        <v>0.28000000000000003</v>
      </c>
    </row>
    <row r="9" spans="1:34">
      <c r="A9" s="3298" t="s">
        <v>589</v>
      </c>
      <c r="B9" s="1120" t="s">
        <v>638</v>
      </c>
      <c r="C9" s="1173" t="s">
        <v>15</v>
      </c>
      <c r="D9" s="149">
        <f>'Table 10b'!E8</f>
        <v>0.26</v>
      </c>
      <c r="E9" s="757">
        <f>'Table 10b'!J8*0.02</f>
        <v>12.18</v>
      </c>
      <c r="F9" s="160">
        <f>D9+E9</f>
        <v>12.44</v>
      </c>
      <c r="G9" s="149">
        <f>'Table 10b'!AH8</f>
        <v>0.28000000000000003</v>
      </c>
      <c r="H9" s="757">
        <f t="shared" ref="H9:H12" si="7">AA9*0.02</f>
        <v>12.56</v>
      </c>
      <c r="I9" s="160">
        <f>G9+H9</f>
        <v>12.84</v>
      </c>
      <c r="J9" s="186">
        <f>'Table 10b'!AI8</f>
        <v>0.28999999999999998</v>
      </c>
      <c r="K9" s="159">
        <f t="shared" ref="K9:K12" si="8">AB9*0.02</f>
        <v>12.91</v>
      </c>
      <c r="L9" s="765">
        <f t="shared" ref="L9:L12" si="9">J9+K9</f>
        <v>13.2</v>
      </c>
      <c r="M9" s="149">
        <f>'Table 10b'!AJ8</f>
        <v>0.3</v>
      </c>
      <c r="N9" s="159">
        <f t="shared" ref="N9:N12" si="10">AC9*0.02</f>
        <v>13.44</v>
      </c>
      <c r="O9" s="150">
        <f t="shared" ref="O9:O12" si="11">M9+N9</f>
        <v>13.74</v>
      </c>
      <c r="P9" s="186">
        <f>'Table 10b'!AK8</f>
        <v>0.32</v>
      </c>
      <c r="Q9" s="757">
        <f t="shared" ref="Q9:Q12" si="12">AD9*0.02</f>
        <v>14.47</v>
      </c>
      <c r="R9" s="766">
        <f t="shared" ref="R9:R12" si="13">P9+Q9</f>
        <v>14.79</v>
      </c>
      <c r="S9" s="149">
        <f>'Table 10b'!AL8</f>
        <v>0.35</v>
      </c>
      <c r="T9" s="159">
        <f t="shared" ref="T9:T12" si="14">AE9*0.02</f>
        <v>15.57</v>
      </c>
      <c r="U9" s="765">
        <f t="shared" ref="U9:U12" si="15">S9+T9</f>
        <v>15.92</v>
      </c>
      <c r="V9" s="149">
        <f>'Table 10b'!AM8</f>
        <v>0.37</v>
      </c>
      <c r="W9" s="159">
        <f>AF9*0.02</f>
        <v>16.75</v>
      </c>
      <c r="X9" s="765">
        <f t="shared" ref="X9:X12" si="16">V9+W9</f>
        <v>17.12</v>
      </c>
      <c r="Y9" s="218">
        <f t="shared" si="0"/>
        <v>0.38</v>
      </c>
      <c r="Z9" s="771">
        <f>'Table 10b'!J8</f>
        <v>609.08000000000004</v>
      </c>
      <c r="AA9" s="772">
        <f>'Table 10b'!AN8</f>
        <v>628.17999999999995</v>
      </c>
      <c r="AB9" s="772">
        <f>'Table 10b'!AO8</f>
        <v>645.28</v>
      </c>
      <c r="AC9" s="772">
        <f>'Table 10b'!AP8</f>
        <v>672.24</v>
      </c>
      <c r="AD9" s="702">
        <f>'Table 10b'!AQ8</f>
        <v>723.55</v>
      </c>
      <c r="AE9" s="702">
        <f>'Table 10b'!AR8</f>
        <v>778.49</v>
      </c>
      <c r="AF9" s="1109">
        <f>'Table 10b'!AS8</f>
        <v>837.57</v>
      </c>
      <c r="AH9" s="1625">
        <f t="shared" si="1"/>
        <v>4.68</v>
      </c>
    </row>
    <row r="10" spans="1:34">
      <c r="A10" s="3298"/>
      <c r="B10" s="1138" t="s">
        <v>639</v>
      </c>
      <c r="C10" s="1903" t="s">
        <v>15</v>
      </c>
      <c r="D10" s="823">
        <f>'Table 10b'!E9</f>
        <v>2.0299999999999998</v>
      </c>
      <c r="E10" s="860">
        <f>'Table 10b'!J9</f>
        <v>0</v>
      </c>
      <c r="F10" s="367">
        <f>D10+E10</f>
        <v>2.0299999999999998</v>
      </c>
      <c r="G10" s="823">
        <f>'Table 10b'!AH9</f>
        <v>2.02</v>
      </c>
      <c r="H10" s="860">
        <f t="shared" si="7"/>
        <v>0</v>
      </c>
      <c r="I10" s="367">
        <f>G10+H10</f>
        <v>2.02</v>
      </c>
      <c r="J10" s="870">
        <f>'Table 10b'!AI9</f>
        <v>2.08</v>
      </c>
      <c r="K10" s="322">
        <f t="shared" si="8"/>
        <v>0</v>
      </c>
      <c r="L10" s="998">
        <f t="shared" si="9"/>
        <v>2.08</v>
      </c>
      <c r="M10" s="823">
        <f>'Table 10b'!AJ9</f>
        <v>2.17</v>
      </c>
      <c r="N10" s="322">
        <f t="shared" si="10"/>
        <v>0</v>
      </c>
      <c r="O10" s="830">
        <f t="shared" si="11"/>
        <v>2.17</v>
      </c>
      <c r="P10" s="870">
        <f>'Table 10b'!AK9</f>
        <v>2.33</v>
      </c>
      <c r="Q10" s="860">
        <f t="shared" si="12"/>
        <v>0</v>
      </c>
      <c r="R10" s="759">
        <f t="shared" si="13"/>
        <v>2.33</v>
      </c>
      <c r="S10" s="823">
        <f>'Table 10b'!AL9</f>
        <v>2.5099999999999998</v>
      </c>
      <c r="T10" s="322">
        <f t="shared" si="14"/>
        <v>0</v>
      </c>
      <c r="U10" s="998">
        <f t="shared" si="15"/>
        <v>2.5099999999999998</v>
      </c>
      <c r="V10" s="823">
        <f>'Table 10b'!AM9</f>
        <v>2.7</v>
      </c>
      <c r="W10" s="322">
        <f>AF10*0.02</f>
        <v>0</v>
      </c>
      <c r="X10" s="998">
        <f t="shared" si="16"/>
        <v>2.7</v>
      </c>
      <c r="Y10" s="300">
        <f t="shared" si="0"/>
        <v>0.33</v>
      </c>
      <c r="Z10" s="1904">
        <f>'Table 10b'!J9</f>
        <v>0</v>
      </c>
      <c r="AA10" s="1905">
        <f>'Table 10b'!AN9</f>
        <v>0</v>
      </c>
      <c r="AB10" s="1905">
        <f>'Table 10b'!AO9</f>
        <v>0</v>
      </c>
      <c r="AC10" s="1905">
        <f>'Table 10b'!AP9</f>
        <v>0</v>
      </c>
      <c r="AD10" s="802">
        <f>'Table 10b'!AQ9</f>
        <v>0</v>
      </c>
      <c r="AE10" s="802">
        <f>'Table 10b'!AR9</f>
        <v>0</v>
      </c>
      <c r="AF10" s="1047">
        <f>'Table 10b'!AS9</f>
        <v>0</v>
      </c>
      <c r="AH10" s="1627">
        <f t="shared" si="1"/>
        <v>0.67</v>
      </c>
    </row>
    <row r="11" spans="1:34">
      <c r="A11" s="3298"/>
      <c r="B11" s="1892" t="s">
        <v>640</v>
      </c>
      <c r="C11" s="1903" t="s">
        <v>15</v>
      </c>
      <c r="D11" s="823">
        <f>'Table 10b'!E10</f>
        <v>3.48</v>
      </c>
      <c r="E11" s="860">
        <f>'Table 10b'!J9</f>
        <v>0</v>
      </c>
      <c r="F11" s="367">
        <f>D11+E11</f>
        <v>3.48</v>
      </c>
      <c r="G11" s="823">
        <f>'Table 10b'!AH10</f>
        <v>2.74</v>
      </c>
      <c r="H11" s="860">
        <f t="shared" si="7"/>
        <v>0.52</v>
      </c>
      <c r="I11" s="367">
        <f>G11+H11</f>
        <v>3.26</v>
      </c>
      <c r="J11" s="870">
        <f>'Table 10b'!AI10</f>
        <v>2.81</v>
      </c>
      <c r="K11" s="322">
        <f t="shared" si="8"/>
        <v>0.53</v>
      </c>
      <c r="L11" s="998">
        <f t="shared" si="9"/>
        <v>3.34</v>
      </c>
      <c r="M11" s="823">
        <f>'Table 10b'!AJ10</f>
        <v>2.93</v>
      </c>
      <c r="N11" s="322">
        <f t="shared" si="10"/>
        <v>0.55000000000000004</v>
      </c>
      <c r="O11" s="830">
        <f t="shared" si="11"/>
        <v>3.48</v>
      </c>
      <c r="P11" s="870">
        <f>'Table 10b'!AK10</f>
        <v>3.15</v>
      </c>
      <c r="Q11" s="860">
        <f t="shared" si="12"/>
        <v>0.6</v>
      </c>
      <c r="R11" s="759">
        <f t="shared" si="13"/>
        <v>3.75</v>
      </c>
      <c r="S11" s="823">
        <f>'Table 10b'!AL10</f>
        <v>3.39</v>
      </c>
      <c r="T11" s="322">
        <f t="shared" si="14"/>
        <v>0.64</v>
      </c>
      <c r="U11" s="998">
        <f t="shared" si="15"/>
        <v>4.03</v>
      </c>
      <c r="V11" s="823">
        <f>'Table 10b'!AM10</f>
        <v>3.65</v>
      </c>
      <c r="W11" s="322">
        <f>AF11*0.02</f>
        <v>0.69</v>
      </c>
      <c r="X11" s="998">
        <f t="shared" si="16"/>
        <v>4.34</v>
      </c>
      <c r="Y11" s="300">
        <f t="shared" si="0"/>
        <v>0.25</v>
      </c>
      <c r="Z11" s="1904">
        <f>'Table 10b'!J10</f>
        <v>0</v>
      </c>
      <c r="AA11" s="1905">
        <f>'Table 10b'!AN10</f>
        <v>25.83</v>
      </c>
      <c r="AB11" s="1905">
        <f>'Table 10b'!AO10</f>
        <v>26.52</v>
      </c>
      <c r="AC11" s="1905">
        <f>'Table 10b'!AP10</f>
        <v>27.65</v>
      </c>
      <c r="AD11" s="802">
        <f>'Table 10b'!AQ10</f>
        <v>29.75</v>
      </c>
      <c r="AE11" s="802">
        <f>'Table 10b'!AR10</f>
        <v>32</v>
      </c>
      <c r="AF11" s="1047">
        <f>'Table 10b'!AS10</f>
        <v>34.43</v>
      </c>
      <c r="AH11" s="1627">
        <f t="shared" si="1"/>
        <v>0.86</v>
      </c>
    </row>
    <row r="12" spans="1:34" ht="13.5" thickBot="1">
      <c r="A12" s="3298"/>
      <c r="B12" s="579" t="s">
        <v>641</v>
      </c>
      <c r="C12" s="1906" t="s">
        <v>15</v>
      </c>
      <c r="D12" s="48">
        <f>'Table 10b'!E11</f>
        <v>0.6</v>
      </c>
      <c r="E12" s="755">
        <f>'Table 10b'!J11</f>
        <v>0</v>
      </c>
      <c r="F12" s="49">
        <f>D12+E12</f>
        <v>0.6</v>
      </c>
      <c r="G12" s="48">
        <f>'Table 10b'!AH11</f>
        <v>0</v>
      </c>
      <c r="H12" s="755">
        <f t="shared" si="7"/>
        <v>0</v>
      </c>
      <c r="I12" s="49">
        <f>G12+H12</f>
        <v>0</v>
      </c>
      <c r="J12" s="1006">
        <f>'Table 10b'!AI11</f>
        <v>0</v>
      </c>
      <c r="K12" s="366">
        <f t="shared" si="8"/>
        <v>0</v>
      </c>
      <c r="L12" s="1734">
        <f t="shared" si="9"/>
        <v>0</v>
      </c>
      <c r="M12" s="48">
        <f>'Table 10b'!AJ11</f>
        <v>0</v>
      </c>
      <c r="N12" s="366">
        <f t="shared" si="10"/>
        <v>0</v>
      </c>
      <c r="O12" s="874">
        <f t="shared" si="11"/>
        <v>0</v>
      </c>
      <c r="P12" s="1006">
        <f>'Table 10b'!AK11</f>
        <v>0</v>
      </c>
      <c r="Q12" s="755">
        <f t="shared" si="12"/>
        <v>0</v>
      </c>
      <c r="R12" s="180">
        <f t="shared" si="13"/>
        <v>0</v>
      </c>
      <c r="S12" s="48">
        <f>'Table 10b'!AL11</f>
        <v>0</v>
      </c>
      <c r="T12" s="366">
        <f t="shared" si="14"/>
        <v>0</v>
      </c>
      <c r="U12" s="1734">
        <f t="shared" si="15"/>
        <v>0</v>
      </c>
      <c r="V12" s="48">
        <f>'Table 10b'!AM11</f>
        <v>0</v>
      </c>
      <c r="W12" s="366">
        <f>AF12*0.02</f>
        <v>0</v>
      </c>
      <c r="X12" s="1734">
        <f t="shared" si="16"/>
        <v>0</v>
      </c>
      <c r="Y12" s="216">
        <f t="shared" si="0"/>
        <v>-1</v>
      </c>
      <c r="Z12" s="768">
        <f>'Table 10b'!J11</f>
        <v>0</v>
      </c>
      <c r="AA12" s="769">
        <f>'Table 10b'!AN11</f>
        <v>0</v>
      </c>
      <c r="AB12" s="769">
        <f>'Table 10b'!AO11</f>
        <v>0</v>
      </c>
      <c r="AC12" s="769">
        <f>'Table 10b'!AP11</f>
        <v>0</v>
      </c>
      <c r="AD12" s="712">
        <f>'Table 10b'!AQ11</f>
        <v>0</v>
      </c>
      <c r="AE12" s="712">
        <f>'Table 10b'!AR11</f>
        <v>0</v>
      </c>
      <c r="AF12" s="1108">
        <f>'Table 10b'!AS11</f>
        <v>0</v>
      </c>
      <c r="AH12" s="1623">
        <f t="shared" si="1"/>
        <v>-0.6</v>
      </c>
    </row>
    <row r="13" spans="1:34" ht="14.25" thickTop="1" thickBot="1">
      <c r="A13" s="3299"/>
      <c r="B13" s="3202" t="s">
        <v>642</v>
      </c>
      <c r="C13" s="3401"/>
      <c r="D13" s="34">
        <f>SUM(D9:D12)</f>
        <v>6.37</v>
      </c>
      <c r="E13" s="758">
        <f t="shared" ref="E13:F13" si="17">SUM(E9:E12)</f>
        <v>12.18</v>
      </c>
      <c r="F13" s="105">
        <f t="shared" si="17"/>
        <v>18.55</v>
      </c>
      <c r="G13" s="34">
        <f t="shared" ref="G13:X13" si="18">SUM(G9:G12)</f>
        <v>5.04</v>
      </c>
      <c r="H13" s="758">
        <f t="shared" si="18"/>
        <v>13.08</v>
      </c>
      <c r="I13" s="105">
        <f t="shared" si="18"/>
        <v>18.12</v>
      </c>
      <c r="J13" s="35">
        <f t="shared" si="18"/>
        <v>5.18</v>
      </c>
      <c r="K13" s="20">
        <f t="shared" si="18"/>
        <v>13.44</v>
      </c>
      <c r="L13" s="303">
        <f t="shared" si="18"/>
        <v>18.62</v>
      </c>
      <c r="M13" s="34">
        <f t="shared" si="18"/>
        <v>5.4</v>
      </c>
      <c r="N13" s="20">
        <f t="shared" si="18"/>
        <v>13.99</v>
      </c>
      <c r="O13" s="21">
        <f t="shared" si="18"/>
        <v>19.39</v>
      </c>
      <c r="P13" s="35">
        <f t="shared" si="18"/>
        <v>5.8</v>
      </c>
      <c r="Q13" s="758">
        <f t="shared" si="18"/>
        <v>15.07</v>
      </c>
      <c r="R13" s="116">
        <f t="shared" si="18"/>
        <v>20.87</v>
      </c>
      <c r="S13" s="34">
        <f t="shared" si="18"/>
        <v>6.25</v>
      </c>
      <c r="T13" s="20">
        <f t="shared" si="18"/>
        <v>16.21</v>
      </c>
      <c r="U13" s="303">
        <f t="shared" si="18"/>
        <v>22.46</v>
      </c>
      <c r="V13" s="34">
        <f t="shared" si="18"/>
        <v>6.72</v>
      </c>
      <c r="W13" s="20">
        <f t="shared" si="18"/>
        <v>17.440000000000001</v>
      </c>
      <c r="X13" s="303">
        <f t="shared" si="18"/>
        <v>24.16</v>
      </c>
      <c r="Y13" s="217">
        <f t="shared" si="0"/>
        <v>0.3</v>
      </c>
      <c r="Z13" s="773">
        <f t="shared" ref="Z13:AF13" si="19">SUM(Z9:Z12)</f>
        <v>609.08000000000004</v>
      </c>
      <c r="AA13" s="774">
        <f t="shared" si="19"/>
        <v>654.01</v>
      </c>
      <c r="AB13" s="774">
        <f t="shared" si="19"/>
        <v>671.8</v>
      </c>
      <c r="AC13" s="774">
        <f t="shared" si="19"/>
        <v>699.89</v>
      </c>
      <c r="AD13" s="774">
        <f t="shared" si="19"/>
        <v>753.3</v>
      </c>
      <c r="AE13" s="774">
        <f t="shared" si="19"/>
        <v>810.49</v>
      </c>
      <c r="AF13" s="21">
        <f t="shared" si="19"/>
        <v>872</v>
      </c>
      <c r="AH13" s="1624">
        <f t="shared" si="1"/>
        <v>5.61</v>
      </c>
    </row>
    <row r="14" spans="1:34" ht="21.75" customHeight="1">
      <c r="A14" s="3297" t="s">
        <v>326</v>
      </c>
      <c r="B14" s="753" t="s">
        <v>643</v>
      </c>
      <c r="C14" s="325" t="s">
        <v>15</v>
      </c>
      <c r="D14" s="47">
        <f>'Table 10b'!E13</f>
        <v>0</v>
      </c>
      <c r="E14" s="761">
        <f>'Table 10b'!J13</f>
        <v>0</v>
      </c>
      <c r="F14" s="141">
        <f>D14+E14</f>
        <v>0</v>
      </c>
      <c r="G14" s="47">
        <f>'Table 10b'!AH13</f>
        <v>0</v>
      </c>
      <c r="H14" s="761">
        <f>AA14*0.02</f>
        <v>0</v>
      </c>
      <c r="I14" s="141">
        <f>G14+H14</f>
        <v>0</v>
      </c>
      <c r="J14" s="246">
        <f>'Table 10b'!AI13</f>
        <v>0</v>
      </c>
      <c r="K14" s="14">
        <f>AB14*0.02</f>
        <v>0</v>
      </c>
      <c r="L14" s="784">
        <f>J14+K14</f>
        <v>0</v>
      </c>
      <c r="M14" s="47">
        <f>'Table 10b'!AJ13</f>
        <v>0</v>
      </c>
      <c r="N14" s="14">
        <f>AC14*0.02</f>
        <v>0</v>
      </c>
      <c r="O14" s="15">
        <f>M14+N14</f>
        <v>0</v>
      </c>
      <c r="P14" s="246">
        <f>'Table 10b'!AK13</f>
        <v>0</v>
      </c>
      <c r="Q14" s="761">
        <f>AD14*0.02</f>
        <v>0</v>
      </c>
      <c r="R14" s="179">
        <f>P14+Q14</f>
        <v>0</v>
      </c>
      <c r="S14" s="47">
        <f>'Table 10b'!AL13</f>
        <v>0</v>
      </c>
      <c r="T14" s="14">
        <f>AE14*0.02</f>
        <v>0</v>
      </c>
      <c r="U14" s="784">
        <f>S14+T14</f>
        <v>0</v>
      </c>
      <c r="V14" s="47">
        <f>'Table 10b'!AM13</f>
        <v>0</v>
      </c>
      <c r="W14" s="14">
        <f>AF14*0.02</f>
        <v>0</v>
      </c>
      <c r="X14" s="784">
        <f>V14+W14</f>
        <v>0</v>
      </c>
      <c r="Y14" s="229" t="s">
        <v>16</v>
      </c>
      <c r="Z14" s="767">
        <f>'Table 10b'!J13</f>
        <v>0</v>
      </c>
      <c r="AA14" s="778">
        <f>'Table 10b'!AN13</f>
        <v>0</v>
      </c>
      <c r="AB14" s="778">
        <f>'Table 10b'!AO13</f>
        <v>0</v>
      </c>
      <c r="AC14" s="778">
        <f>'Table 10b'!AP13</f>
        <v>0</v>
      </c>
      <c r="AD14" s="181">
        <f>'Table 10b'!AQ13</f>
        <v>0</v>
      </c>
      <c r="AE14" s="181">
        <f>'Table 10b'!AR13</f>
        <v>0</v>
      </c>
      <c r="AF14" s="1107">
        <f>'Table 10b'!AS13</f>
        <v>0</v>
      </c>
      <c r="AH14" s="1626">
        <f t="shared" si="1"/>
        <v>0</v>
      </c>
    </row>
    <row r="15" spans="1:34" ht="21.75" customHeight="1">
      <c r="A15" s="3298"/>
      <c r="B15" s="1457" t="s">
        <v>644</v>
      </c>
      <c r="C15" s="1873" t="s">
        <v>15</v>
      </c>
      <c r="D15" s="48">
        <f>'Table 10b'!E14</f>
        <v>0.45</v>
      </c>
      <c r="E15" s="755">
        <f>'Table 10b'!J14*0.02</f>
        <v>0.3</v>
      </c>
      <c r="F15" s="49">
        <f>D15+E15</f>
        <v>0.75</v>
      </c>
      <c r="G15" s="48">
        <f>'Table 10b'!AH14</f>
        <v>0.48</v>
      </c>
      <c r="H15" s="755">
        <f>AA15*0.02</f>
        <v>0.32</v>
      </c>
      <c r="I15" s="49">
        <f>G15+H15</f>
        <v>0.8</v>
      </c>
      <c r="J15" s="1006">
        <f>'Table 10b'!AI14</f>
        <v>0.51</v>
      </c>
      <c r="K15" s="366">
        <f>AB15*0.02</f>
        <v>0.34</v>
      </c>
      <c r="L15" s="1734">
        <f>J15+K15</f>
        <v>0.85</v>
      </c>
      <c r="M15" s="48">
        <f>'Table 10b'!AJ14</f>
        <v>0.54</v>
      </c>
      <c r="N15" s="366">
        <f>AC15*0.02</f>
        <v>0.36</v>
      </c>
      <c r="O15" s="874">
        <f>M15+N15</f>
        <v>0.9</v>
      </c>
      <c r="P15" s="1006">
        <f>'Table 10b'!AK14</f>
        <v>0.56000000000000005</v>
      </c>
      <c r="Q15" s="755">
        <f>AD15*0.02</f>
        <v>0.37</v>
      </c>
      <c r="R15" s="180">
        <f>P15+Q15</f>
        <v>0.93</v>
      </c>
      <c r="S15" s="48">
        <f>'Table 10b'!AL14</f>
        <v>0.56999999999999995</v>
      </c>
      <c r="T15" s="366">
        <f>AE15*0.02</f>
        <v>0.38</v>
      </c>
      <c r="U15" s="1734">
        <f>S15+T15</f>
        <v>0.95</v>
      </c>
      <c r="V15" s="48">
        <f>'Table 10b'!AM14</f>
        <v>0.57999999999999996</v>
      </c>
      <c r="W15" s="366">
        <f>AF15*0.02</f>
        <v>0.39</v>
      </c>
      <c r="X15" s="1734">
        <f>V15+W15</f>
        <v>0.97</v>
      </c>
      <c r="Y15" s="216">
        <f t="shared" si="0"/>
        <v>0.28999999999999998</v>
      </c>
      <c r="Z15" s="768">
        <f>'Table 10b'!J14</f>
        <v>14.98</v>
      </c>
      <c r="AA15" s="769">
        <f>'Table 10b'!AN14</f>
        <v>15.9</v>
      </c>
      <c r="AB15" s="769">
        <f>'Table 10b'!AO14</f>
        <v>17.059999999999999</v>
      </c>
      <c r="AC15" s="769">
        <f>'Table 10b'!AP14</f>
        <v>18.02</v>
      </c>
      <c r="AD15" s="712">
        <f>'Table 10b'!AQ14</f>
        <v>18.48</v>
      </c>
      <c r="AE15" s="712">
        <f>'Table 10b'!AR14</f>
        <v>18.95</v>
      </c>
      <c r="AF15" s="1108">
        <f>'Table 10b'!AS14</f>
        <v>19.440000000000001</v>
      </c>
      <c r="AH15" s="1623">
        <f t="shared" si="1"/>
        <v>0.22</v>
      </c>
    </row>
    <row r="16" spans="1:34" ht="15.75" customHeight="1" thickTop="1" thickBot="1">
      <c r="A16" s="3298"/>
      <c r="B16" s="3369" t="s">
        <v>642</v>
      </c>
      <c r="C16" s="3405"/>
      <c r="D16" s="139">
        <f>SUM(D14:D15)</f>
        <v>0.45</v>
      </c>
      <c r="E16" s="756">
        <f t="shared" ref="E16:F16" si="20">SUM(E14:E15)</f>
        <v>0.3</v>
      </c>
      <c r="F16" s="56">
        <f t="shared" si="20"/>
        <v>0.75</v>
      </c>
      <c r="G16" s="139">
        <f t="shared" ref="G16:U16" si="21">SUM(G14:G15)</f>
        <v>0.48</v>
      </c>
      <c r="H16" s="756">
        <f t="shared" si="21"/>
        <v>0.32</v>
      </c>
      <c r="I16" s="56">
        <f t="shared" si="21"/>
        <v>0.8</v>
      </c>
      <c r="J16" s="140">
        <f t="shared" si="21"/>
        <v>0.51</v>
      </c>
      <c r="K16" s="104">
        <f t="shared" si="21"/>
        <v>0.34</v>
      </c>
      <c r="L16" s="103">
        <f t="shared" si="21"/>
        <v>0.85</v>
      </c>
      <c r="M16" s="139">
        <f t="shared" si="21"/>
        <v>0.54</v>
      </c>
      <c r="N16" s="104">
        <f t="shared" si="21"/>
        <v>0.36</v>
      </c>
      <c r="O16" s="61">
        <f t="shared" si="21"/>
        <v>0.9</v>
      </c>
      <c r="P16" s="140">
        <f t="shared" si="21"/>
        <v>0.56000000000000005</v>
      </c>
      <c r="Q16" s="756">
        <f t="shared" si="21"/>
        <v>0.37</v>
      </c>
      <c r="R16" s="111">
        <f t="shared" si="21"/>
        <v>0.93</v>
      </c>
      <c r="S16" s="139">
        <f t="shared" si="21"/>
        <v>0.56999999999999995</v>
      </c>
      <c r="T16" s="104">
        <f t="shared" si="21"/>
        <v>0.38</v>
      </c>
      <c r="U16" s="103">
        <f t="shared" si="21"/>
        <v>0.95</v>
      </c>
      <c r="V16" s="139">
        <f t="shared" ref="V16:X16" si="22">SUM(V14:V15)</f>
        <v>0.57999999999999996</v>
      </c>
      <c r="W16" s="104">
        <f t="shared" si="22"/>
        <v>0.39</v>
      </c>
      <c r="X16" s="103">
        <f t="shared" si="22"/>
        <v>0.97</v>
      </c>
      <c r="Y16" s="231">
        <f t="shared" si="0"/>
        <v>0.28999999999999998</v>
      </c>
      <c r="Z16" s="770">
        <f t="shared" ref="Z16:AE16" si="23">SUM(Z14:Z15)</f>
        <v>14.98</v>
      </c>
      <c r="AA16" s="701">
        <f t="shared" si="23"/>
        <v>15.9</v>
      </c>
      <c r="AB16" s="701">
        <f t="shared" si="23"/>
        <v>17.059999999999999</v>
      </c>
      <c r="AC16" s="701">
        <f t="shared" si="23"/>
        <v>18.02</v>
      </c>
      <c r="AD16" s="701">
        <f t="shared" si="23"/>
        <v>18.48</v>
      </c>
      <c r="AE16" s="701">
        <f t="shared" si="23"/>
        <v>18.95</v>
      </c>
      <c r="AF16" s="61">
        <f t="shared" ref="AF16" si="24">SUM(AF14:AF15)</f>
        <v>19.440000000000001</v>
      </c>
      <c r="AH16" s="1629">
        <f t="shared" si="1"/>
        <v>0.22</v>
      </c>
    </row>
    <row r="17" spans="1:34" ht="16.5" customHeight="1">
      <c r="A17" s="3297" t="s">
        <v>30</v>
      </c>
      <c r="B17" s="751" t="s">
        <v>645</v>
      </c>
      <c r="C17" s="326" t="s">
        <v>17</v>
      </c>
      <c r="D17" s="137">
        <f>'Table 10b'!E16</f>
        <v>0.1</v>
      </c>
      <c r="E17" s="760">
        <f>'Table 10b'!J16*0.02</f>
        <v>0.06</v>
      </c>
      <c r="F17" s="148">
        <f>D17+E17</f>
        <v>0.16</v>
      </c>
      <c r="G17" s="137">
        <f>'Table 10b'!AH16</f>
        <v>7.0000000000000007E-2</v>
      </c>
      <c r="H17" s="760">
        <f>AA17*0.02</f>
        <v>0.05</v>
      </c>
      <c r="I17" s="148">
        <f>G17+H17</f>
        <v>0.12</v>
      </c>
      <c r="J17" s="157">
        <f>'Table 10b'!AI16</f>
        <v>7.0000000000000007E-2</v>
      </c>
      <c r="K17" s="783">
        <f>AB17*0.02</f>
        <v>0.05</v>
      </c>
      <c r="L17" s="762">
        <f>J17+K17</f>
        <v>0.12</v>
      </c>
      <c r="M17" s="137">
        <f>'Table 10b'!AJ16</f>
        <v>7.0000000000000007E-2</v>
      </c>
      <c r="N17" s="783">
        <f>AC17*0.02</f>
        <v>0.05</v>
      </c>
      <c r="O17" s="763">
        <f>M17+N17</f>
        <v>0.12</v>
      </c>
      <c r="P17" s="157">
        <f>'Table 10b'!AK16</f>
        <v>7.0000000000000007E-2</v>
      </c>
      <c r="Q17" s="760">
        <f>AD17*0.02</f>
        <v>0.05</v>
      </c>
      <c r="R17" s="764">
        <f>P17+Q17</f>
        <v>0.12</v>
      </c>
      <c r="S17" s="137">
        <f>'Table 10b'!AL16</f>
        <v>7.0000000000000007E-2</v>
      </c>
      <c r="T17" s="783">
        <f>AE17*0.02</f>
        <v>0.05</v>
      </c>
      <c r="U17" s="762">
        <f>S17+T17</f>
        <v>0.12</v>
      </c>
      <c r="V17" s="137">
        <f>'Table 10b'!AM16</f>
        <v>7.0000000000000007E-2</v>
      </c>
      <c r="W17" s="783">
        <f>AF17*0.02</f>
        <v>0.05</v>
      </c>
      <c r="X17" s="762">
        <f>V17+W17</f>
        <v>0.12</v>
      </c>
      <c r="Y17" s="219">
        <f t="shared" si="0"/>
        <v>-0.25</v>
      </c>
      <c r="Z17" s="775">
        <f>'Table 10b'!J16</f>
        <v>3</v>
      </c>
      <c r="AA17" s="776">
        <f>'Table 10b'!AN16</f>
        <v>2.25</v>
      </c>
      <c r="AB17" s="776">
        <f>'Table 10b'!AO16</f>
        <v>2.25</v>
      </c>
      <c r="AC17" s="776">
        <f>'Table 10b'!AP16</f>
        <v>2.25</v>
      </c>
      <c r="AD17" s="777">
        <f>'Table 10b'!AQ16</f>
        <v>2.25</v>
      </c>
      <c r="AE17" s="777">
        <f>'Table 10b'!AR16</f>
        <v>2.25</v>
      </c>
      <c r="AF17" s="1298">
        <f>'Table 10b'!AS16</f>
        <v>2.25</v>
      </c>
      <c r="AH17" s="1631">
        <f t="shared" si="1"/>
        <v>-0.04</v>
      </c>
    </row>
    <row r="18" spans="1:34" ht="14.25" thickTop="1" thickBot="1">
      <c r="A18" s="3299"/>
      <c r="B18" s="3406" t="s">
        <v>642</v>
      </c>
      <c r="C18" s="3407"/>
      <c r="D18" s="34">
        <f>SUM(D17)</f>
        <v>0.1</v>
      </c>
      <c r="E18" s="758">
        <f t="shared" ref="E18:F18" si="25">SUM(E17)</f>
        <v>0.06</v>
      </c>
      <c r="F18" s="105">
        <f t="shared" si="25"/>
        <v>0.16</v>
      </c>
      <c r="G18" s="34">
        <f t="shared" ref="G18:U18" si="26">SUM(G17)</f>
        <v>7.0000000000000007E-2</v>
      </c>
      <c r="H18" s="758">
        <f t="shared" si="26"/>
        <v>0.05</v>
      </c>
      <c r="I18" s="105">
        <f t="shared" si="26"/>
        <v>0.12</v>
      </c>
      <c r="J18" s="35">
        <f t="shared" si="26"/>
        <v>7.0000000000000007E-2</v>
      </c>
      <c r="K18" s="20">
        <f t="shared" si="26"/>
        <v>0.05</v>
      </c>
      <c r="L18" s="303">
        <f t="shared" si="26"/>
        <v>0.12</v>
      </c>
      <c r="M18" s="34">
        <f t="shared" si="26"/>
        <v>7.0000000000000007E-2</v>
      </c>
      <c r="N18" s="20">
        <f t="shared" si="26"/>
        <v>0.05</v>
      </c>
      <c r="O18" s="21">
        <f t="shared" si="26"/>
        <v>0.12</v>
      </c>
      <c r="P18" s="35">
        <f t="shared" si="26"/>
        <v>7.0000000000000007E-2</v>
      </c>
      <c r="Q18" s="758">
        <f t="shared" si="26"/>
        <v>0.05</v>
      </c>
      <c r="R18" s="116">
        <f t="shared" si="26"/>
        <v>0.12</v>
      </c>
      <c r="S18" s="34">
        <f t="shared" si="26"/>
        <v>7.0000000000000007E-2</v>
      </c>
      <c r="T18" s="20">
        <f t="shared" si="26"/>
        <v>0.05</v>
      </c>
      <c r="U18" s="303">
        <f t="shared" si="26"/>
        <v>0.12</v>
      </c>
      <c r="V18" s="34">
        <f t="shared" ref="V18:X18" si="27">SUM(V17)</f>
        <v>7.0000000000000007E-2</v>
      </c>
      <c r="W18" s="20">
        <f t="shared" si="27"/>
        <v>0.05</v>
      </c>
      <c r="X18" s="303">
        <f t="shared" si="27"/>
        <v>0.12</v>
      </c>
      <c r="Y18" s="217">
        <f t="shared" si="0"/>
        <v>-0.25</v>
      </c>
      <c r="Z18" s="773">
        <f t="shared" ref="Z18:AE18" si="28">Z17</f>
        <v>3</v>
      </c>
      <c r="AA18" s="774">
        <f t="shared" si="28"/>
        <v>2.25</v>
      </c>
      <c r="AB18" s="774">
        <f t="shared" si="28"/>
        <v>2.25</v>
      </c>
      <c r="AC18" s="774">
        <f t="shared" si="28"/>
        <v>2.25</v>
      </c>
      <c r="AD18" s="774">
        <f t="shared" si="28"/>
        <v>2.25</v>
      </c>
      <c r="AE18" s="774">
        <f t="shared" si="28"/>
        <v>2.25</v>
      </c>
      <c r="AF18" s="21">
        <f t="shared" ref="AF18" si="29">AF17</f>
        <v>2.25</v>
      </c>
      <c r="AH18" s="1624">
        <f t="shared" si="1"/>
        <v>-0.04</v>
      </c>
    </row>
    <row r="19" spans="1:34" ht="13.5" thickBot="1">
      <c r="A19" s="3367" t="s">
        <v>32</v>
      </c>
      <c r="B19" s="3368"/>
      <c r="C19" s="3374"/>
      <c r="D19" s="34">
        <f>D5+D13+D16</f>
        <v>7.33</v>
      </c>
      <c r="E19" s="758">
        <f t="shared" ref="E19:F19" si="30">E5+E13+E16</f>
        <v>12.48</v>
      </c>
      <c r="F19" s="105">
        <f t="shared" si="30"/>
        <v>19.809999999999999</v>
      </c>
      <c r="G19" s="34">
        <f t="shared" ref="G19:X19" si="31">G5+G13+G16</f>
        <v>6.05</v>
      </c>
      <c r="H19" s="758">
        <f t="shared" si="31"/>
        <v>13.4</v>
      </c>
      <c r="I19" s="105">
        <f t="shared" si="31"/>
        <v>19.45</v>
      </c>
      <c r="J19" s="35">
        <f t="shared" si="31"/>
        <v>6.24</v>
      </c>
      <c r="K19" s="20">
        <f t="shared" si="31"/>
        <v>13.78</v>
      </c>
      <c r="L19" s="303">
        <f t="shared" si="31"/>
        <v>20.02</v>
      </c>
      <c r="M19" s="34">
        <f t="shared" si="31"/>
        <v>6.5</v>
      </c>
      <c r="N19" s="20">
        <f t="shared" si="31"/>
        <v>14.35</v>
      </c>
      <c r="O19" s="21">
        <f t="shared" si="31"/>
        <v>20.85</v>
      </c>
      <c r="P19" s="35">
        <f t="shared" si="31"/>
        <v>6.95</v>
      </c>
      <c r="Q19" s="758">
        <f t="shared" si="31"/>
        <v>15.44</v>
      </c>
      <c r="R19" s="116">
        <f t="shared" si="31"/>
        <v>22.39</v>
      </c>
      <c r="S19" s="34">
        <f t="shared" si="31"/>
        <v>7.43</v>
      </c>
      <c r="T19" s="20">
        <f t="shared" si="31"/>
        <v>16.59</v>
      </c>
      <c r="U19" s="303">
        <f t="shared" si="31"/>
        <v>24.02</v>
      </c>
      <c r="V19" s="34">
        <f t="shared" si="31"/>
        <v>7.93</v>
      </c>
      <c r="W19" s="20">
        <f t="shared" ref="W19" si="32">W5+W13+W16</f>
        <v>17.829999999999998</v>
      </c>
      <c r="X19" s="303">
        <f t="shared" si="31"/>
        <v>25.76</v>
      </c>
      <c r="Y19" s="217">
        <f t="shared" si="0"/>
        <v>0.3</v>
      </c>
      <c r="Z19" s="779">
        <f t="shared" ref="Z19:AE19" si="33">Z5+Z13+Z16</f>
        <v>624.05999999999995</v>
      </c>
      <c r="AA19" s="780">
        <f t="shared" si="33"/>
        <v>669.91</v>
      </c>
      <c r="AB19" s="780">
        <f t="shared" si="33"/>
        <v>688.86</v>
      </c>
      <c r="AC19" s="780">
        <f t="shared" si="33"/>
        <v>717.91</v>
      </c>
      <c r="AD19" s="781">
        <f t="shared" si="33"/>
        <v>771.78</v>
      </c>
      <c r="AE19" s="781">
        <f t="shared" si="33"/>
        <v>829.44</v>
      </c>
      <c r="AF19" s="166">
        <f t="shared" ref="AF19" si="34">AF5+AF13+AF16</f>
        <v>891.44</v>
      </c>
      <c r="AH19" s="1624">
        <f t="shared" si="1"/>
        <v>5.95</v>
      </c>
    </row>
    <row r="20" spans="1:34" ht="13.5" thickBot="1">
      <c r="A20" s="3286" t="s">
        <v>33</v>
      </c>
      <c r="B20" s="3287"/>
      <c r="C20" s="3288"/>
      <c r="D20" s="34">
        <f>D7+D18</f>
        <v>1.59</v>
      </c>
      <c r="E20" s="758">
        <f t="shared" ref="E20:F20" si="35">E7+E18</f>
        <v>0.06</v>
      </c>
      <c r="F20" s="105">
        <f t="shared" si="35"/>
        <v>1.65</v>
      </c>
      <c r="G20" s="34">
        <f t="shared" ref="G20:X20" si="36">G7+G18</f>
        <v>1.55</v>
      </c>
      <c r="H20" s="758">
        <f t="shared" si="36"/>
        <v>0.05</v>
      </c>
      <c r="I20" s="105">
        <f t="shared" si="36"/>
        <v>1.6</v>
      </c>
      <c r="J20" s="35">
        <f t="shared" si="36"/>
        <v>1.47</v>
      </c>
      <c r="K20" s="20">
        <f t="shared" si="36"/>
        <v>0.05</v>
      </c>
      <c r="L20" s="303">
        <f t="shared" si="36"/>
        <v>1.52</v>
      </c>
      <c r="M20" s="34">
        <f t="shared" si="36"/>
        <v>1.51</v>
      </c>
      <c r="N20" s="20">
        <f t="shared" si="36"/>
        <v>0.05</v>
      </c>
      <c r="O20" s="21">
        <f t="shared" si="36"/>
        <v>1.56</v>
      </c>
      <c r="P20" s="35">
        <f t="shared" si="36"/>
        <v>1.57</v>
      </c>
      <c r="Q20" s="758">
        <f t="shared" si="36"/>
        <v>0.05</v>
      </c>
      <c r="R20" s="116">
        <f t="shared" si="36"/>
        <v>1.62</v>
      </c>
      <c r="S20" s="34">
        <f t="shared" si="36"/>
        <v>1.63</v>
      </c>
      <c r="T20" s="20">
        <f t="shared" si="36"/>
        <v>0.05</v>
      </c>
      <c r="U20" s="303">
        <f t="shared" si="36"/>
        <v>1.68</v>
      </c>
      <c r="V20" s="34">
        <f t="shared" si="36"/>
        <v>1.69</v>
      </c>
      <c r="W20" s="20">
        <f t="shared" ref="W20" si="37">W7+W18</f>
        <v>0.05</v>
      </c>
      <c r="X20" s="303">
        <f t="shared" si="36"/>
        <v>1.74</v>
      </c>
      <c r="Y20" s="785">
        <f t="shared" si="0"/>
        <v>0.05</v>
      </c>
      <c r="Z20" s="779">
        <f t="shared" ref="Z20:AE20" si="38">Z7+Z18</f>
        <v>3</v>
      </c>
      <c r="AA20" s="782">
        <f t="shared" si="38"/>
        <v>2.25</v>
      </c>
      <c r="AB20" s="780">
        <f t="shared" si="38"/>
        <v>2.25</v>
      </c>
      <c r="AC20" s="780">
        <f t="shared" si="38"/>
        <v>2.25</v>
      </c>
      <c r="AD20" s="101">
        <f t="shared" si="38"/>
        <v>2.25</v>
      </c>
      <c r="AE20" s="781">
        <f t="shared" si="38"/>
        <v>2.25</v>
      </c>
      <c r="AF20" s="166">
        <f t="shared" ref="AF20" si="39">AF7+AF18</f>
        <v>2.25</v>
      </c>
      <c r="AH20" s="1624">
        <f t="shared" si="1"/>
        <v>0.09</v>
      </c>
    </row>
    <row r="21" spans="1:34" ht="13.5" thickBot="1">
      <c r="A21" s="3427" t="s">
        <v>513</v>
      </c>
      <c r="B21" s="3445"/>
      <c r="C21" s="3428"/>
      <c r="D21" s="34">
        <f>D19+D20</f>
        <v>8.92</v>
      </c>
      <c r="E21" s="758">
        <f t="shared" ref="E21:F21" si="40">E19+E20</f>
        <v>12.54</v>
      </c>
      <c r="F21" s="105">
        <f t="shared" si="40"/>
        <v>21.46</v>
      </c>
      <c r="G21" s="34">
        <f t="shared" ref="G21" si="41">G19+G20</f>
        <v>7.6</v>
      </c>
      <c r="H21" s="758">
        <f t="shared" ref="H21" si="42">H19+H20</f>
        <v>13.45</v>
      </c>
      <c r="I21" s="105">
        <f t="shared" ref="I21" si="43">I19+I20</f>
        <v>21.05</v>
      </c>
      <c r="J21" s="35">
        <f t="shared" ref="J21" si="44">J19+J20</f>
        <v>7.71</v>
      </c>
      <c r="K21" s="20">
        <f t="shared" ref="K21" si="45">K19+K20</f>
        <v>13.83</v>
      </c>
      <c r="L21" s="303">
        <f t="shared" ref="L21" si="46">L19+L20</f>
        <v>21.54</v>
      </c>
      <c r="M21" s="34">
        <f t="shared" ref="M21" si="47">M19+M20</f>
        <v>8.01</v>
      </c>
      <c r="N21" s="20">
        <f t="shared" ref="N21" si="48">N19+N20</f>
        <v>14.4</v>
      </c>
      <c r="O21" s="21">
        <f t="shared" ref="O21" si="49">O19+O20</f>
        <v>22.41</v>
      </c>
      <c r="P21" s="35">
        <f t="shared" ref="P21" si="50">P19+P20</f>
        <v>8.52</v>
      </c>
      <c r="Q21" s="758">
        <f t="shared" ref="Q21" si="51">Q19+Q20</f>
        <v>15.49</v>
      </c>
      <c r="R21" s="116">
        <f t="shared" ref="R21" si="52">R19+R20</f>
        <v>24.01</v>
      </c>
      <c r="S21" s="34">
        <f t="shared" ref="S21" si="53">S19+S20</f>
        <v>9.06</v>
      </c>
      <c r="T21" s="20">
        <f t="shared" ref="T21" si="54">T19+T20</f>
        <v>16.64</v>
      </c>
      <c r="U21" s="303">
        <f t="shared" ref="U21" si="55">U19+U20</f>
        <v>25.7</v>
      </c>
      <c r="V21" s="34">
        <f t="shared" ref="V21:W21" si="56">V19+V20</f>
        <v>9.6199999999999992</v>
      </c>
      <c r="W21" s="20">
        <f t="shared" si="56"/>
        <v>17.88</v>
      </c>
      <c r="X21" s="303">
        <f t="shared" ref="X21" si="57">X19+X20</f>
        <v>27.5</v>
      </c>
      <c r="Y21" s="785">
        <f t="shared" si="0"/>
        <v>0.28000000000000003</v>
      </c>
      <c r="Z21" s="779">
        <f t="shared" ref="Z21" si="58">Z19+Z20</f>
        <v>627.05999999999995</v>
      </c>
      <c r="AA21" s="782">
        <f t="shared" ref="AA21" si="59">AA19+AA20</f>
        <v>672.16</v>
      </c>
      <c r="AB21" s="780">
        <f t="shared" ref="AB21" si="60">AB19+AB20</f>
        <v>691.11</v>
      </c>
      <c r="AC21" s="780">
        <f t="shared" ref="AC21" si="61">AC19+AC20</f>
        <v>720.16</v>
      </c>
      <c r="AD21" s="101">
        <f t="shared" ref="AD21" si="62">AD19+AD20</f>
        <v>774.03</v>
      </c>
      <c r="AE21" s="781">
        <f t="shared" ref="AE21:AF21" si="63">AE19+AE20</f>
        <v>831.69</v>
      </c>
      <c r="AF21" s="166">
        <f t="shared" si="63"/>
        <v>893.69</v>
      </c>
      <c r="AH21" s="1624">
        <f t="shared" si="1"/>
        <v>6.04</v>
      </c>
    </row>
    <row r="22" spans="1:34">
      <c r="A22" s="89" t="s">
        <v>35</v>
      </c>
      <c r="B22" s="89"/>
    </row>
    <row r="23" spans="1:34">
      <c r="A23" s="1" t="s">
        <v>68</v>
      </c>
      <c r="M23" s="1" t="s">
        <v>36</v>
      </c>
      <c r="S23" s="1" t="s">
        <v>36</v>
      </c>
      <c r="Y23" s="1" t="s">
        <v>36</v>
      </c>
      <c r="AA23" s="23"/>
    </row>
    <row r="24" spans="1:34">
      <c r="A24" s="1" t="s">
        <v>69</v>
      </c>
      <c r="H24" s="1" t="s">
        <v>36</v>
      </c>
      <c r="S24" s="1" t="s">
        <v>36</v>
      </c>
    </row>
    <row r="25" spans="1:34">
      <c r="A25" s="1" t="s">
        <v>646</v>
      </c>
    </row>
    <row r="26" spans="1:34">
      <c r="A26" s="2" t="s">
        <v>629</v>
      </c>
    </row>
    <row r="27" spans="1:34">
      <c r="A27" s="2" t="s">
        <v>647</v>
      </c>
    </row>
    <row r="28" spans="1:34">
      <c r="X28" s="1" t="s">
        <v>36</v>
      </c>
    </row>
    <row r="33" spans="7:7">
      <c r="G33" s="1" t="s">
        <v>36</v>
      </c>
    </row>
  </sheetData>
  <mergeCells count="26">
    <mergeCell ref="A17:A18"/>
    <mergeCell ref="B18:C18"/>
    <mergeCell ref="A21:C21"/>
    <mergeCell ref="A19:C19"/>
    <mergeCell ref="A20:C20"/>
    <mergeCell ref="A14:A16"/>
    <mergeCell ref="B16:C16"/>
    <mergeCell ref="A2:A4"/>
    <mergeCell ref="B8:C8"/>
    <mergeCell ref="A9:A13"/>
    <mergeCell ref="B13:C13"/>
    <mergeCell ref="B2:B4"/>
    <mergeCell ref="A5:A8"/>
    <mergeCell ref="D2:F2"/>
    <mergeCell ref="C2:C4"/>
    <mergeCell ref="P3:R3"/>
    <mergeCell ref="D3:F3"/>
    <mergeCell ref="G3:I3"/>
    <mergeCell ref="J3:L3"/>
    <mergeCell ref="G2:X2"/>
    <mergeCell ref="AH2:AH4"/>
    <mergeCell ref="Y2:Y4"/>
    <mergeCell ref="M3:O3"/>
    <mergeCell ref="S3:U3"/>
    <mergeCell ref="V3:X3"/>
    <mergeCell ref="Z2:AF3"/>
  </mergeCells>
  <pageMargins left="0.7" right="0.7" top="0.75" bottom="0.75" header="0.3" footer="0.3"/>
  <pageSetup paperSize="3"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4"/>
  <sheetViews>
    <sheetView workbookViewId="0">
      <pane xSplit="1" topLeftCell="B1" activePane="topRight" state="frozen"/>
      <selection pane="topRight" activeCell="K5" sqref="K5"/>
    </sheetView>
  </sheetViews>
  <sheetFormatPr defaultColWidth="9.140625" defaultRowHeight="12.75"/>
  <cols>
    <col min="1" max="1" width="35.28515625" style="256" customWidth="1"/>
    <col min="2" max="2" width="10.42578125" style="256" customWidth="1"/>
    <col min="3" max="18" width="8.28515625" style="256" customWidth="1"/>
    <col min="19" max="19" width="8.7109375" style="256" customWidth="1"/>
    <col min="20" max="23" width="9.140625" style="256" customWidth="1"/>
    <col min="24" max="24" width="12.140625" style="256" customWidth="1"/>
    <col min="25" max="27" width="9.140625" style="256" customWidth="1"/>
    <col min="28" max="28" width="10.140625" style="256" customWidth="1"/>
    <col min="29" max="29" width="10.5703125" style="256" hidden="1" customWidth="1"/>
    <col min="30" max="30" width="11.5703125" style="256" customWidth="1"/>
    <col min="31" max="31" width="9.140625" style="256"/>
    <col min="32" max="32" width="9.140625" style="256" customWidth="1"/>
    <col min="33" max="37" width="9.140625" style="256"/>
    <col min="38" max="38" width="9.140625" style="256" customWidth="1"/>
    <col min="39" max="16384" width="9.140625" style="256"/>
  </cols>
  <sheetData>
    <row r="1" spans="1:29" s="2" customFormat="1" ht="29.25" customHeight="1" thickBot="1">
      <c r="A1" s="3224" t="s">
        <v>53</v>
      </c>
      <c r="B1" s="3224"/>
      <c r="C1" s="3224"/>
      <c r="D1" s="3224"/>
      <c r="E1" s="3224"/>
      <c r="F1" s="3224"/>
      <c r="G1" s="3224"/>
      <c r="H1" s="3224"/>
      <c r="I1" s="3224"/>
      <c r="J1" s="3224"/>
      <c r="K1" s="3224"/>
      <c r="L1" s="3224"/>
      <c r="M1" s="3224"/>
      <c r="N1" s="3224"/>
      <c r="O1" s="3224"/>
      <c r="P1" s="3224"/>
      <c r="Q1" s="3224"/>
      <c r="R1" s="3224"/>
      <c r="S1" s="3224"/>
      <c r="T1" s="3224"/>
      <c r="U1" s="3224"/>
      <c r="V1" s="3224"/>
      <c r="W1" s="3224"/>
      <c r="X1" s="3224"/>
      <c r="Y1" s="3224"/>
      <c r="Z1" s="3224"/>
      <c r="AA1" s="3224"/>
    </row>
    <row r="2" spans="1:29" s="2" customFormat="1" ht="15.75" customHeight="1" thickBot="1">
      <c r="A2" s="3204" t="s">
        <v>54</v>
      </c>
      <c r="B2" s="3206" t="s">
        <v>2</v>
      </c>
      <c r="C2" s="3221" t="s">
        <v>55</v>
      </c>
      <c r="D2" s="3222"/>
      <c r="E2" s="3223"/>
      <c r="F2" s="3221" t="s">
        <v>56</v>
      </c>
      <c r="G2" s="3222"/>
      <c r="H2" s="3222"/>
      <c r="I2" s="3222"/>
      <c r="J2" s="3222"/>
      <c r="K2" s="3222"/>
      <c r="L2" s="3222"/>
      <c r="M2" s="3222"/>
      <c r="N2" s="3222"/>
      <c r="O2" s="3222"/>
      <c r="P2" s="3222"/>
      <c r="Q2" s="3222"/>
      <c r="R2" s="3222"/>
      <c r="S2" s="3222"/>
      <c r="T2" s="3222"/>
      <c r="U2" s="3222"/>
      <c r="V2" s="3222"/>
      <c r="W2" s="3223"/>
      <c r="X2" s="3209" t="s">
        <v>57</v>
      </c>
      <c r="Y2" s="3221" t="s">
        <v>58</v>
      </c>
      <c r="Z2" s="3222"/>
      <c r="AA2" s="3223"/>
      <c r="AC2" s="3209" t="s">
        <v>59</v>
      </c>
    </row>
    <row r="3" spans="1:29" s="2" customFormat="1" ht="15" customHeight="1">
      <c r="A3" s="3205"/>
      <c r="B3" s="3207"/>
      <c r="C3" s="3212">
        <v>2015</v>
      </c>
      <c r="D3" s="3213"/>
      <c r="E3" s="3214"/>
      <c r="F3" s="3212">
        <v>2020</v>
      </c>
      <c r="G3" s="3213"/>
      <c r="H3" s="3215"/>
      <c r="I3" s="3212">
        <v>2025</v>
      </c>
      <c r="J3" s="3213"/>
      <c r="K3" s="3214"/>
      <c r="L3" s="3216">
        <v>2030</v>
      </c>
      <c r="M3" s="3217"/>
      <c r="N3" s="3218"/>
      <c r="O3" s="3212">
        <v>2035</v>
      </c>
      <c r="P3" s="3213"/>
      <c r="Q3" s="3215"/>
      <c r="R3" s="3212">
        <v>2040</v>
      </c>
      <c r="S3" s="3213"/>
      <c r="T3" s="3215"/>
      <c r="U3" s="3219">
        <v>2045</v>
      </c>
      <c r="V3" s="3213"/>
      <c r="W3" s="3220"/>
      <c r="X3" s="3210"/>
      <c r="Y3" s="3216">
        <v>2045</v>
      </c>
      <c r="Z3" s="3217"/>
      <c r="AA3" s="3218"/>
      <c r="AC3" s="3228"/>
    </row>
    <row r="4" spans="1:29" s="2" customFormat="1" ht="15.75" customHeight="1" thickBot="1">
      <c r="A4" s="3485"/>
      <c r="B4" s="3208"/>
      <c r="C4" s="1655" t="s">
        <v>60</v>
      </c>
      <c r="D4" s="1017" t="s">
        <v>61</v>
      </c>
      <c r="E4" s="1656" t="s">
        <v>18</v>
      </c>
      <c r="F4" s="1655" t="s">
        <v>60</v>
      </c>
      <c r="G4" s="1657" t="s">
        <v>61</v>
      </c>
      <c r="H4" s="1658" t="s">
        <v>18</v>
      </c>
      <c r="I4" s="1655" t="s">
        <v>60</v>
      </c>
      <c r="J4" s="1017" t="s">
        <v>61</v>
      </c>
      <c r="K4" s="1656" t="s">
        <v>18</v>
      </c>
      <c r="L4" s="1655" t="s">
        <v>60</v>
      </c>
      <c r="M4" s="1657" t="s">
        <v>61</v>
      </c>
      <c r="N4" s="1658" t="s">
        <v>18</v>
      </c>
      <c r="O4" s="1655" t="s">
        <v>60</v>
      </c>
      <c r="P4" s="1017" t="s">
        <v>61</v>
      </c>
      <c r="Q4" s="1659" t="s">
        <v>18</v>
      </c>
      <c r="R4" s="1655" t="s">
        <v>60</v>
      </c>
      <c r="S4" s="1657" t="s">
        <v>61</v>
      </c>
      <c r="T4" s="1658" t="s">
        <v>18</v>
      </c>
      <c r="U4" s="1655" t="s">
        <v>60</v>
      </c>
      <c r="V4" s="1660" t="s">
        <v>61</v>
      </c>
      <c r="W4" s="1661" t="s">
        <v>18</v>
      </c>
      <c r="X4" s="3211"/>
      <c r="Y4" s="1662" t="s">
        <v>60</v>
      </c>
      <c r="Z4" s="1663" t="s">
        <v>61</v>
      </c>
      <c r="AA4" s="1664" t="s">
        <v>18</v>
      </c>
      <c r="AC4" s="3211"/>
    </row>
    <row r="5" spans="1:29" s="2" customFormat="1">
      <c r="A5" s="1195" t="s">
        <v>62</v>
      </c>
      <c r="B5" s="1196" t="s">
        <v>15</v>
      </c>
      <c r="C5" s="1193">
        <f>'Table 4'!J25</f>
        <v>178.8</v>
      </c>
      <c r="D5" s="635">
        <f>'Table 4'!K25</f>
        <v>7.0000000000000007E-2</v>
      </c>
      <c r="E5" s="621">
        <f>'Table 4'!L25</f>
        <v>178.87</v>
      </c>
      <c r="F5" s="636">
        <f>'Table 4'!M25</f>
        <v>196.67</v>
      </c>
      <c r="G5" s="637">
        <f>'Table 4'!N25</f>
        <v>0.03</v>
      </c>
      <c r="H5" s="624">
        <f>'Table 4'!O25+'Table 4'!P25</f>
        <v>200.2</v>
      </c>
      <c r="I5" s="636">
        <f>'Table 4'!Q25</f>
        <v>212.11</v>
      </c>
      <c r="J5" s="635">
        <f>'Table 4'!R25</f>
        <v>0.03</v>
      </c>
      <c r="K5" s="621">
        <f>'Table 4'!S25+'Table 4'!T25</f>
        <v>217.27</v>
      </c>
      <c r="L5" s="636">
        <f>'Table 4'!U25</f>
        <v>220.2</v>
      </c>
      <c r="M5" s="635">
        <f>'Table 4'!V25</f>
        <v>0.03</v>
      </c>
      <c r="N5" s="638">
        <f>'Table 4'!W25+'Table 4'!X25</f>
        <v>229.92</v>
      </c>
      <c r="O5" s="636">
        <f>'Table 4'!Y25</f>
        <v>227.64</v>
      </c>
      <c r="P5" s="635">
        <f>'Table 4'!Z25</f>
        <v>0.03</v>
      </c>
      <c r="Q5" s="621">
        <f>'Table 4'!AA25+'Table 4'!AB25</f>
        <v>241.23</v>
      </c>
      <c r="R5" s="636">
        <f>'Table 4'!AC25</f>
        <v>233.18</v>
      </c>
      <c r="S5" s="637">
        <f>'Table 4'!AD25</f>
        <v>0.03</v>
      </c>
      <c r="T5" s="624">
        <f>'Table 4'!AE25+'Table 4'!AF25</f>
        <v>250.19</v>
      </c>
      <c r="U5" s="636">
        <f>'Table 4'!AG25</f>
        <v>238.39</v>
      </c>
      <c r="V5" s="1654">
        <f>'Table 4'!AH25</f>
        <v>0.03</v>
      </c>
      <c r="W5" s="671">
        <f>'Table 4'!AI25+'Table 4'!AJ25</f>
        <v>258.49</v>
      </c>
      <c r="X5" s="655">
        <f>(W5-E5)/E5</f>
        <v>0.45</v>
      </c>
      <c r="Y5" s="1184">
        <f>'Table 4'!AL25</f>
        <v>251.15</v>
      </c>
      <c r="Z5" s="1185">
        <f>'Table 4'!AM25</f>
        <v>0.03</v>
      </c>
      <c r="AA5" s="3177">
        <f>'Table 4'!AN25+'Table 4'!AO25</f>
        <v>273.99</v>
      </c>
      <c r="AC5" s="1577">
        <f>W5-E5</f>
        <v>79.62</v>
      </c>
    </row>
    <row r="6" spans="1:29" s="2" customFormat="1" ht="13.5" thickBot="1">
      <c r="A6" s="80" t="s">
        <v>62</v>
      </c>
      <c r="B6" s="1835" t="s">
        <v>17</v>
      </c>
      <c r="C6" s="1836">
        <f>'Table 4'!J26</f>
        <v>9.32</v>
      </c>
      <c r="D6" s="541">
        <f>'Table 4'!K26</f>
        <v>0</v>
      </c>
      <c r="E6" s="542">
        <f>'Table 4'!L26</f>
        <v>9.32</v>
      </c>
      <c r="F6" s="41">
        <f>'Table 4'!M26</f>
        <v>9.99</v>
      </c>
      <c r="G6" s="627">
        <f>'Table 4'!N26</f>
        <v>0</v>
      </c>
      <c r="H6" s="1546">
        <f>'Table 4'!O26</f>
        <v>9.99</v>
      </c>
      <c r="I6" s="41">
        <f>'Table 4'!Q26</f>
        <v>10.32</v>
      </c>
      <c r="J6" s="541">
        <f>'Table 4'!R26</f>
        <v>0</v>
      </c>
      <c r="K6" s="542">
        <f>'Table 4'!S26</f>
        <v>10.32</v>
      </c>
      <c r="L6" s="41">
        <f>'Table 4'!U26</f>
        <v>10.73</v>
      </c>
      <c r="M6" s="541">
        <f>'Table 4'!V26</f>
        <v>0</v>
      </c>
      <c r="N6" s="51">
        <f>'Table 4'!W26</f>
        <v>10.73</v>
      </c>
      <c r="O6" s="41">
        <f>'Table 4'!Y26</f>
        <v>11.1</v>
      </c>
      <c r="P6" s="541">
        <f>'Table 4'!Z26</f>
        <v>0</v>
      </c>
      <c r="Q6" s="542">
        <f>'Table 4'!AA26</f>
        <v>11.1</v>
      </c>
      <c r="R6" s="41">
        <f>'Table 4'!AC26</f>
        <v>11.33</v>
      </c>
      <c r="S6" s="627">
        <f>'Table 4'!AD26</f>
        <v>0</v>
      </c>
      <c r="T6" s="1546">
        <f>'Table 4'!AE26</f>
        <v>11.33</v>
      </c>
      <c r="U6" s="41">
        <f>'Table 4'!AG26</f>
        <v>11.52</v>
      </c>
      <c r="V6" s="543">
        <f>'Table 4'!AH26</f>
        <v>0</v>
      </c>
      <c r="W6" s="1254">
        <f>'Table 4'!AI26</f>
        <v>11.52</v>
      </c>
      <c r="X6" s="312">
        <f t="shared" ref="X6:X25" si="0">(W6-E6)/E6</f>
        <v>0.24</v>
      </c>
      <c r="Y6" s="1837">
        <f>'Table 4'!AL26</f>
        <v>12.22</v>
      </c>
      <c r="Z6" s="1186">
        <f>'Table 4'!AM26</f>
        <v>0</v>
      </c>
      <c r="AA6" s="1838">
        <f>'Table 4'!AN26</f>
        <v>12.22</v>
      </c>
      <c r="AC6" s="1839">
        <f t="shared" ref="AC6:AC25" si="1">W6-E6</f>
        <v>2.2000000000000002</v>
      </c>
    </row>
    <row r="7" spans="1:29" s="2" customFormat="1" ht="14.25" thickTop="1" thickBot="1">
      <c r="A7" s="1197" t="s">
        <v>62</v>
      </c>
      <c r="B7" s="1198" t="s">
        <v>18</v>
      </c>
      <c r="C7" s="1194">
        <f>'Table 4'!J27</f>
        <v>188.12</v>
      </c>
      <c r="D7" s="620">
        <f>'Table 4'!K27</f>
        <v>7.0000000000000007E-2</v>
      </c>
      <c r="E7" s="621">
        <f>'Table 4'!L27</f>
        <v>188.19</v>
      </c>
      <c r="F7" s="622">
        <f>'Table 4'!M27</f>
        <v>206.66</v>
      </c>
      <c r="G7" s="620">
        <f>'Table 4'!N27</f>
        <v>0.03</v>
      </c>
      <c r="H7" s="638">
        <f>'Table 4'!O27+'Table 4'!P25</f>
        <v>210.19</v>
      </c>
      <c r="I7" s="622">
        <f>'Table 4'!Q27</f>
        <v>222.43</v>
      </c>
      <c r="J7" s="620">
        <f>'Table 4'!R27</f>
        <v>0.03</v>
      </c>
      <c r="K7" s="621">
        <f>'Table 4'!S27+'Table 4'!T25</f>
        <v>227.59</v>
      </c>
      <c r="L7" s="622">
        <f>'Table 4'!U27</f>
        <v>230.93</v>
      </c>
      <c r="M7" s="620">
        <f>'Table 4'!V27</f>
        <v>0.03</v>
      </c>
      <c r="N7" s="638">
        <f>'Table 4'!W27+'Table 4'!X25</f>
        <v>240.65</v>
      </c>
      <c r="O7" s="622">
        <f>'Table 4'!Y27</f>
        <v>238.74</v>
      </c>
      <c r="P7" s="620">
        <f>'Table 4'!Z27</f>
        <v>0.03</v>
      </c>
      <c r="Q7" s="621">
        <f>'Table 4'!AA27+'Table 4'!AB25</f>
        <v>252.33</v>
      </c>
      <c r="R7" s="622">
        <f>'Table 4'!AC27</f>
        <v>244.51</v>
      </c>
      <c r="S7" s="620">
        <f>'Table 4'!AD27</f>
        <v>0.03</v>
      </c>
      <c r="T7" s="638">
        <f>'Table 4'!AE27+'Table 4'!AF25</f>
        <v>261.52</v>
      </c>
      <c r="U7" s="622">
        <f>'Table 4'!AG27</f>
        <v>249.91</v>
      </c>
      <c r="V7" s="671">
        <f>'Table 4'!AH27</f>
        <v>0.03</v>
      </c>
      <c r="W7" s="621">
        <f>'Table 4'!AI27+'Table 4'!AJ25</f>
        <v>270.01</v>
      </c>
      <c r="X7" s="311">
        <f t="shared" si="0"/>
        <v>0.43</v>
      </c>
      <c r="Y7" s="1187">
        <f>'Table 4'!AL27</f>
        <v>263.37</v>
      </c>
      <c r="Z7" s="1188">
        <f>'Table 4'!AM27</f>
        <v>0.03</v>
      </c>
      <c r="AA7" s="1189">
        <f>'Table 4'!AN27+'Table 4'!AO25</f>
        <v>286.20999999999998</v>
      </c>
      <c r="AB7" s="477"/>
      <c r="AC7" s="1578">
        <f t="shared" si="1"/>
        <v>81.819999999999993</v>
      </c>
    </row>
    <row r="8" spans="1:29" s="2" customFormat="1" ht="27.75" customHeight="1">
      <c r="A8" s="81" t="s">
        <v>63</v>
      </c>
      <c r="B8" s="1199" t="s">
        <v>15</v>
      </c>
      <c r="C8" s="1200">
        <f>'Table 6'!K25</f>
        <v>32.25</v>
      </c>
      <c r="D8" s="1201">
        <f>'Table 6'!L25</f>
        <v>0</v>
      </c>
      <c r="E8" s="521">
        <f>'Table 6'!M25</f>
        <v>32.25</v>
      </c>
      <c r="F8" s="510">
        <f>'Table 6'!N25</f>
        <v>40.21</v>
      </c>
      <c r="G8" s="1201">
        <f>'Table 6'!O25</f>
        <v>0</v>
      </c>
      <c r="H8" s="675">
        <f>'Table 6'!P25</f>
        <v>40.21</v>
      </c>
      <c r="I8" s="510">
        <f>'Table 6'!Q25</f>
        <v>43.59</v>
      </c>
      <c r="J8" s="1201">
        <f>'Table 6'!R25</f>
        <v>0</v>
      </c>
      <c r="K8" s="521">
        <f>'Table 6'!S25</f>
        <v>43.59</v>
      </c>
      <c r="L8" s="510">
        <f>'Table 6'!T25</f>
        <v>46.81</v>
      </c>
      <c r="M8" s="1201">
        <f>'Table 6'!U25</f>
        <v>0</v>
      </c>
      <c r="N8" s="675">
        <f>'Table 6'!V25</f>
        <v>46.81</v>
      </c>
      <c r="O8" s="510">
        <f>'Table 6'!W25</f>
        <v>49.12</v>
      </c>
      <c r="P8" s="1201">
        <f>'Table 6'!X25</f>
        <v>0</v>
      </c>
      <c r="Q8" s="521">
        <f>'Table 6'!Y25</f>
        <v>49.12</v>
      </c>
      <c r="R8" s="510">
        <f>'Table 6'!Z25</f>
        <v>51.21</v>
      </c>
      <c r="S8" s="1201">
        <f>'Table 6'!AA25</f>
        <v>0</v>
      </c>
      <c r="T8" s="675">
        <f>'Table 6'!AB25</f>
        <v>51.21</v>
      </c>
      <c r="U8" s="510">
        <f>'Table 6'!AC25</f>
        <v>53.12</v>
      </c>
      <c r="V8" s="1201">
        <f>'Table 6'!AD25</f>
        <v>0</v>
      </c>
      <c r="W8" s="521">
        <f>'Table 6'!AE25</f>
        <v>53.12</v>
      </c>
      <c r="X8" s="220">
        <f t="shared" si="0"/>
        <v>0.65</v>
      </c>
      <c r="Y8" s="1202">
        <f>'Table 6'!AG25</f>
        <v>56.29</v>
      </c>
      <c r="Z8" s="1203">
        <f>'Table 6'!AH25</f>
        <v>0</v>
      </c>
      <c r="AA8" s="1204">
        <f>'Table 6'!AI25</f>
        <v>56.29</v>
      </c>
      <c r="AB8" s="1205"/>
      <c r="AC8" s="1579">
        <f t="shared" si="1"/>
        <v>20.87</v>
      </c>
    </row>
    <row r="9" spans="1:29" s="2" customFormat="1" ht="27.75" customHeight="1" thickBot="1">
      <c r="A9" s="80" t="s">
        <v>63</v>
      </c>
      <c r="B9" s="1835" t="s">
        <v>17</v>
      </c>
      <c r="C9" s="1306">
        <f>'Table 6'!K26</f>
        <v>9.5299999999999994</v>
      </c>
      <c r="D9" s="1547">
        <f>'Table 6'!L26</f>
        <v>0</v>
      </c>
      <c r="E9" s="542">
        <f>'Table 6'!M26</f>
        <v>9.5299999999999994</v>
      </c>
      <c r="F9" s="41">
        <f>'Table 6'!N26</f>
        <v>10.16</v>
      </c>
      <c r="G9" s="1547">
        <f>'Table 6'!O26</f>
        <v>0</v>
      </c>
      <c r="H9" s="51">
        <f>'Table 6'!P26</f>
        <v>10.16</v>
      </c>
      <c r="I9" s="41">
        <f>'Table 6'!Q26</f>
        <v>10.79</v>
      </c>
      <c r="J9" s="1547">
        <f>'Table 6'!R26</f>
        <v>0</v>
      </c>
      <c r="K9" s="542">
        <f>'Table 6'!S26</f>
        <v>10.79</v>
      </c>
      <c r="L9" s="41">
        <f>'Table 6'!T26</f>
        <v>11.3</v>
      </c>
      <c r="M9" s="1547">
        <f>'Table 6'!U26</f>
        <v>0</v>
      </c>
      <c r="N9" s="51">
        <f>'Table 6'!V26</f>
        <v>11.3</v>
      </c>
      <c r="O9" s="41">
        <f>'Table 6'!W26</f>
        <v>11.88</v>
      </c>
      <c r="P9" s="1547">
        <f>'Table 6'!X26</f>
        <v>0</v>
      </c>
      <c r="Q9" s="542">
        <f>'Table 6'!Y26</f>
        <v>11.88</v>
      </c>
      <c r="R9" s="41">
        <f>'Table 6'!Z26</f>
        <v>12.34</v>
      </c>
      <c r="S9" s="1547">
        <f>'Table 6'!AA26</f>
        <v>0</v>
      </c>
      <c r="T9" s="51">
        <f>'Table 6'!AB26</f>
        <v>12.34</v>
      </c>
      <c r="U9" s="41">
        <f>'Table 6'!AC26</f>
        <v>12.7</v>
      </c>
      <c r="V9" s="1547">
        <f>'Table 6'!AD26</f>
        <v>0</v>
      </c>
      <c r="W9" s="542">
        <f>'Table 6'!AE26</f>
        <v>12.7</v>
      </c>
      <c r="X9" s="312">
        <f t="shared" si="0"/>
        <v>0.33</v>
      </c>
      <c r="Y9" s="1840">
        <f>'Table 6'!AG26</f>
        <v>13.35</v>
      </c>
      <c r="Z9" s="1206">
        <f>'Table 6'!AH26</f>
        <v>0</v>
      </c>
      <c r="AA9" s="1841">
        <f>'Table 6'!AI26</f>
        <v>13.35</v>
      </c>
      <c r="AB9" s="1205"/>
      <c r="AC9" s="1842">
        <f t="shared" si="1"/>
        <v>3.17</v>
      </c>
    </row>
    <row r="10" spans="1:29" s="2" customFormat="1" ht="27.75" customHeight="1" thickTop="1" thickBot="1">
      <c r="A10" s="1207" t="s">
        <v>63</v>
      </c>
      <c r="B10" s="1198" t="s">
        <v>18</v>
      </c>
      <c r="C10" s="36">
        <f>'Table 6'!K27</f>
        <v>41.78</v>
      </c>
      <c r="D10" s="646">
        <f>'Table 6'!L27</f>
        <v>0</v>
      </c>
      <c r="E10" s="537">
        <f>'Table 6'!M27</f>
        <v>41.78</v>
      </c>
      <c r="F10" s="535">
        <f>'Table 6'!N27</f>
        <v>50.37</v>
      </c>
      <c r="G10" s="646">
        <f>'Table 6'!O27</f>
        <v>0</v>
      </c>
      <c r="H10" s="647">
        <f>'Table 6'!P27</f>
        <v>50.37</v>
      </c>
      <c r="I10" s="535">
        <f>'Table 6'!Q27</f>
        <v>54.38</v>
      </c>
      <c r="J10" s="646">
        <f>'Table 6'!R27</f>
        <v>0</v>
      </c>
      <c r="K10" s="537">
        <f>'Table 6'!S27</f>
        <v>54.38</v>
      </c>
      <c r="L10" s="535">
        <f>'Table 6'!T27</f>
        <v>58.11</v>
      </c>
      <c r="M10" s="646">
        <f>'Table 6'!U27</f>
        <v>0</v>
      </c>
      <c r="N10" s="647">
        <f>'Table 6'!V27</f>
        <v>58.11</v>
      </c>
      <c r="O10" s="535">
        <f>'Table 6'!W27</f>
        <v>61</v>
      </c>
      <c r="P10" s="646">
        <f>'Table 6'!X27</f>
        <v>0</v>
      </c>
      <c r="Q10" s="537">
        <f>'Table 6'!Y27</f>
        <v>61</v>
      </c>
      <c r="R10" s="535">
        <f>'Table 6'!Z27</f>
        <v>63.55</v>
      </c>
      <c r="S10" s="646">
        <f>'Table 6'!AA27</f>
        <v>0</v>
      </c>
      <c r="T10" s="647">
        <f>'Table 6'!AB27</f>
        <v>63.55</v>
      </c>
      <c r="U10" s="535">
        <f>'Table 6'!AC27</f>
        <v>65.819999999999993</v>
      </c>
      <c r="V10" s="646">
        <f>'Table 6'!AD27</f>
        <v>0</v>
      </c>
      <c r="W10" s="537">
        <f>'Table 6'!AE27</f>
        <v>65.819999999999993</v>
      </c>
      <c r="X10" s="313">
        <f t="shared" si="0"/>
        <v>0.57999999999999996</v>
      </c>
      <c r="Y10" s="664">
        <f>'Table 6'!AG27</f>
        <v>69.64</v>
      </c>
      <c r="Z10" s="593">
        <f>'Table 6'!AH27</f>
        <v>0</v>
      </c>
      <c r="AA10" s="539">
        <f>'Table 6'!AI27</f>
        <v>69.64</v>
      </c>
      <c r="AB10" s="477"/>
      <c r="AC10" s="1580">
        <f t="shared" si="1"/>
        <v>24.04</v>
      </c>
    </row>
    <row r="11" spans="1:29" s="2" customFormat="1">
      <c r="A11" s="79" t="s">
        <v>64</v>
      </c>
      <c r="B11" s="1199" t="s">
        <v>15</v>
      </c>
      <c r="C11" s="9">
        <f>'Table 7'!C25</f>
        <v>45.35</v>
      </c>
      <c r="D11" s="1208">
        <f>'Table 7'!D25</f>
        <v>2.66</v>
      </c>
      <c r="E11" s="8">
        <f>'Table 7'!E25</f>
        <v>48.01</v>
      </c>
      <c r="F11" s="9">
        <f>'Table 7'!F25</f>
        <v>58.75</v>
      </c>
      <c r="G11" s="1208">
        <f>'Table 7'!G25</f>
        <v>2.75</v>
      </c>
      <c r="H11" s="53">
        <f>'Table 7'!H25</f>
        <v>61.5</v>
      </c>
      <c r="I11" s="9">
        <f>'Table 7'!I25</f>
        <v>59.32</v>
      </c>
      <c r="J11" s="1208">
        <f>'Table 7'!J25</f>
        <v>2.8</v>
      </c>
      <c r="K11" s="8">
        <f>'Table 7'!K25</f>
        <v>62.12</v>
      </c>
      <c r="L11" s="9">
        <f>'Table 7'!L25</f>
        <v>59.7</v>
      </c>
      <c r="M11" s="1208">
        <f>'Table 7'!M25</f>
        <v>2.81</v>
      </c>
      <c r="N11" s="53">
        <f>'Table 7'!N25</f>
        <v>62.51</v>
      </c>
      <c r="O11" s="9">
        <f>'Table 7'!O25</f>
        <v>60.22</v>
      </c>
      <c r="P11" s="1208">
        <f>'Table 7'!P25</f>
        <v>2.82</v>
      </c>
      <c r="Q11" s="8">
        <f>'Table 7'!Q25</f>
        <v>63.04</v>
      </c>
      <c r="R11" s="9">
        <f>'Table 7'!R25</f>
        <v>60.65</v>
      </c>
      <c r="S11" s="1208">
        <f>'Table 7'!S25</f>
        <v>2.84</v>
      </c>
      <c r="T11" s="53">
        <f>'Table 7'!T25</f>
        <v>63.49</v>
      </c>
      <c r="U11" s="9">
        <f>'Table 7'!U25</f>
        <v>61.24</v>
      </c>
      <c r="V11" s="1208">
        <f>'Table 7'!V25</f>
        <v>2.84</v>
      </c>
      <c r="W11" s="8">
        <f>'Table 7'!W25</f>
        <v>64.08</v>
      </c>
      <c r="X11" s="1190">
        <f t="shared" si="0"/>
        <v>0.33</v>
      </c>
      <c r="Y11" s="1209">
        <f>'Table 7'!AG25</f>
        <v>85.99</v>
      </c>
      <c r="Z11" s="10">
        <f>'Table 7'!AH25</f>
        <v>3.59</v>
      </c>
      <c r="AA11" s="11">
        <f>'Table 7'!AI25</f>
        <v>89.58</v>
      </c>
      <c r="AB11" s="1205"/>
      <c r="AC11" s="1360">
        <f t="shared" si="1"/>
        <v>16.07</v>
      </c>
    </row>
    <row r="12" spans="1:29" s="2" customFormat="1" ht="13.5" thickBot="1">
      <c r="A12" s="80" t="s">
        <v>64</v>
      </c>
      <c r="B12" s="1835" t="s">
        <v>17</v>
      </c>
      <c r="C12" s="18">
        <f>'Table 7'!C26</f>
        <v>88.93</v>
      </c>
      <c r="D12" s="1527">
        <f>'Table 7'!D26</f>
        <v>0</v>
      </c>
      <c r="E12" s="17">
        <f>'Table 7'!E26</f>
        <v>88.93</v>
      </c>
      <c r="F12" s="18">
        <f>'Table 7'!F26</f>
        <v>88.14</v>
      </c>
      <c r="G12" s="1527">
        <f>'Table 7'!G26</f>
        <v>0</v>
      </c>
      <c r="H12" s="50">
        <f>'Table 7'!H26</f>
        <v>88.14</v>
      </c>
      <c r="I12" s="18">
        <f>'Table 7'!I26</f>
        <v>93.13</v>
      </c>
      <c r="J12" s="1527">
        <f>'Table 7'!J26</f>
        <v>0</v>
      </c>
      <c r="K12" s="17">
        <f>'Table 7'!K26</f>
        <v>93.13</v>
      </c>
      <c r="L12" s="18">
        <f>'Table 7'!L26</f>
        <v>97.13</v>
      </c>
      <c r="M12" s="1527">
        <f>'Table 7'!M26</f>
        <v>0</v>
      </c>
      <c r="N12" s="50">
        <f>'Table 7'!N26</f>
        <v>97.13</v>
      </c>
      <c r="O12" s="18">
        <f>'Table 7'!O26</f>
        <v>101.79</v>
      </c>
      <c r="P12" s="1527">
        <f>'Table 7'!P26</f>
        <v>0</v>
      </c>
      <c r="Q12" s="17">
        <f>'Table 7'!Q26</f>
        <v>101.79</v>
      </c>
      <c r="R12" s="18">
        <f>'Table 7'!R26</f>
        <v>106.56</v>
      </c>
      <c r="S12" s="1527">
        <f>'Table 7'!S26</f>
        <v>0</v>
      </c>
      <c r="T12" s="50">
        <f>'Table 7'!T26</f>
        <v>106.56</v>
      </c>
      <c r="U12" s="18">
        <f>'Table 7'!U26</f>
        <v>111.5</v>
      </c>
      <c r="V12" s="1527">
        <f>'Table 7'!V26</f>
        <v>0</v>
      </c>
      <c r="W12" s="17">
        <f>'Table 7'!W26</f>
        <v>111.5</v>
      </c>
      <c r="X12" s="1843">
        <f t="shared" si="0"/>
        <v>0.25</v>
      </c>
      <c r="Y12" s="1844">
        <f>'Table 7'!AG26</f>
        <v>141.9</v>
      </c>
      <c r="Z12" s="412">
        <f>'Table 7'!AH26</f>
        <v>0</v>
      </c>
      <c r="AA12" s="876">
        <f>'Table 7'!AI26</f>
        <v>141.9</v>
      </c>
      <c r="AB12" s="1205"/>
      <c r="AC12" s="1312">
        <f t="shared" si="1"/>
        <v>22.57</v>
      </c>
    </row>
    <row r="13" spans="1:29" s="2" customFormat="1" ht="14.25" thickTop="1" thickBot="1">
      <c r="A13" s="1197" t="s">
        <v>64</v>
      </c>
      <c r="B13" s="1210" t="s">
        <v>18</v>
      </c>
      <c r="C13" s="356">
        <f>'Table 7'!C27</f>
        <v>134.28</v>
      </c>
      <c r="D13" s="317">
        <f>'Table 7'!D27</f>
        <v>2.66</v>
      </c>
      <c r="E13" s="565">
        <f>'Table 7'!E27</f>
        <v>136.94</v>
      </c>
      <c r="F13" s="356">
        <f>'Table 7'!F27</f>
        <v>146.88999999999999</v>
      </c>
      <c r="G13" s="317">
        <f>'Table 7'!G27</f>
        <v>2.75</v>
      </c>
      <c r="H13" s="315">
        <f>'Table 7'!H27</f>
        <v>149.63999999999999</v>
      </c>
      <c r="I13" s="356">
        <f>'Table 7'!I27</f>
        <v>152.44999999999999</v>
      </c>
      <c r="J13" s="317">
        <f>'Table 7'!J27</f>
        <v>2.8</v>
      </c>
      <c r="K13" s="565">
        <f>'Table 7'!K27</f>
        <v>155.25</v>
      </c>
      <c r="L13" s="356">
        <f>'Table 7'!L27</f>
        <v>156.83000000000001</v>
      </c>
      <c r="M13" s="317">
        <f>'Table 7'!M27</f>
        <v>2.81</v>
      </c>
      <c r="N13" s="315">
        <f>'Table 7'!N27</f>
        <v>159.63999999999999</v>
      </c>
      <c r="O13" s="356">
        <f>'Table 7'!O27</f>
        <v>162.01</v>
      </c>
      <c r="P13" s="317">
        <f>'Table 7'!P27</f>
        <v>2.82</v>
      </c>
      <c r="Q13" s="565">
        <f>'Table 7'!Q27</f>
        <v>164.83</v>
      </c>
      <c r="R13" s="356">
        <f>'Table 7'!R27</f>
        <v>167.21</v>
      </c>
      <c r="S13" s="317">
        <f>'Table 7'!S27</f>
        <v>2.84</v>
      </c>
      <c r="T13" s="315">
        <f>'Table 7'!T27</f>
        <v>170.05</v>
      </c>
      <c r="U13" s="356">
        <f>'Table 7'!U27</f>
        <v>172.74</v>
      </c>
      <c r="V13" s="317">
        <f>'Table 7'!V27</f>
        <v>2.84</v>
      </c>
      <c r="W13" s="565">
        <f>'Table 7'!W27</f>
        <v>175.58</v>
      </c>
      <c r="X13" s="311">
        <f t="shared" si="0"/>
        <v>0.28000000000000003</v>
      </c>
      <c r="Y13" s="480">
        <f>'Table 7'!AG27</f>
        <v>227.89</v>
      </c>
      <c r="Z13" s="481">
        <f>'Table 7'!AH27</f>
        <v>3.59</v>
      </c>
      <c r="AA13" s="353">
        <f>'Table 7'!AI27</f>
        <v>231.48</v>
      </c>
      <c r="AB13" s="477"/>
      <c r="AC13" s="1581">
        <f t="shared" si="1"/>
        <v>38.64</v>
      </c>
    </row>
    <row r="14" spans="1:29" s="2" customFormat="1">
      <c r="A14" s="81" t="s">
        <v>65</v>
      </c>
      <c r="B14" s="1196" t="s">
        <v>15</v>
      </c>
      <c r="C14" s="151">
        <f>'Table 8'!C25</f>
        <v>4.22</v>
      </c>
      <c r="D14" s="1211">
        <f>'Table 8'!D25</f>
        <v>11.2</v>
      </c>
      <c r="E14" s="143">
        <f>'Table 8'!E25</f>
        <v>15.42</v>
      </c>
      <c r="F14" s="151">
        <f>'Table 8'!F25</f>
        <v>4.59</v>
      </c>
      <c r="G14" s="1211">
        <f>'Table 8'!G25</f>
        <v>12.52</v>
      </c>
      <c r="H14" s="146">
        <f>'Table 8'!H25</f>
        <v>17.11</v>
      </c>
      <c r="I14" s="151">
        <f>'Table 8'!I25</f>
        <v>5</v>
      </c>
      <c r="J14" s="1211">
        <f>'Table 8'!J25</f>
        <v>13.99</v>
      </c>
      <c r="K14" s="143">
        <f>'Table 8'!K25</f>
        <v>18.989999999999998</v>
      </c>
      <c r="L14" s="151">
        <f>'Table 8'!L25</f>
        <v>5.31</v>
      </c>
      <c r="M14" s="1211">
        <f>'Table 8'!M25</f>
        <v>15.24</v>
      </c>
      <c r="N14" s="146">
        <f>'Table 8'!N25</f>
        <v>20.55</v>
      </c>
      <c r="O14" s="151">
        <f>'Table 8'!O25</f>
        <v>5.58</v>
      </c>
      <c r="P14" s="1211">
        <f>'Table 8'!P25</f>
        <v>16.27</v>
      </c>
      <c r="Q14" s="143">
        <f>'Table 8'!Q25</f>
        <v>21.85</v>
      </c>
      <c r="R14" s="151">
        <f>'Table 8'!R25</f>
        <v>5.81</v>
      </c>
      <c r="S14" s="1211">
        <f>'Table 8'!S25</f>
        <v>17.14</v>
      </c>
      <c r="T14" s="146">
        <f>'Table 8'!T25</f>
        <v>22.95</v>
      </c>
      <c r="U14" s="151">
        <f>'Table 8'!U25</f>
        <v>6.02</v>
      </c>
      <c r="V14" s="1211">
        <f>'Table 8'!V25</f>
        <v>17.940000000000001</v>
      </c>
      <c r="W14" s="143">
        <f>'Table 8'!W25</f>
        <v>23.96</v>
      </c>
      <c r="X14" s="220">
        <f t="shared" si="0"/>
        <v>0.55000000000000004</v>
      </c>
      <c r="Y14" s="99">
        <f>'Table 8'!Y25</f>
        <v>8</v>
      </c>
      <c r="Z14" s="463">
        <f>'Table 8'!Z25</f>
        <v>22.65</v>
      </c>
      <c r="AA14" s="152">
        <f>'Table 8'!AA25</f>
        <v>30.65</v>
      </c>
      <c r="AB14" s="1205"/>
      <c r="AC14" s="1582">
        <f t="shared" si="1"/>
        <v>8.5399999999999991</v>
      </c>
    </row>
    <row r="15" spans="1:29" s="2" customFormat="1" ht="13.5" thickBot="1">
      <c r="A15" s="80" t="s">
        <v>65</v>
      </c>
      <c r="B15" s="1835" t="s">
        <v>17</v>
      </c>
      <c r="C15" s="18">
        <f>'Table 8'!C26</f>
        <v>2.84</v>
      </c>
      <c r="D15" s="1527">
        <f>'Table 8'!D26</f>
        <v>0</v>
      </c>
      <c r="E15" s="17">
        <f>'Table 8'!E26</f>
        <v>2.84</v>
      </c>
      <c r="F15" s="18">
        <f>'Table 8'!F26</f>
        <v>2.7</v>
      </c>
      <c r="G15" s="1527">
        <f>'Table 8'!G26</f>
        <v>0</v>
      </c>
      <c r="H15" s="50">
        <f>'Table 8'!H26</f>
        <v>3.07</v>
      </c>
      <c r="I15" s="18">
        <f>'Table 8'!I26</f>
        <v>3.26</v>
      </c>
      <c r="J15" s="1527">
        <f>'Table 8'!J26</f>
        <v>0</v>
      </c>
      <c r="K15" s="17">
        <f>'Table 8'!K26</f>
        <v>3.26</v>
      </c>
      <c r="L15" s="18">
        <f>'Table 8'!L26</f>
        <v>3.43</v>
      </c>
      <c r="M15" s="1527">
        <f>'Table 8'!M26</f>
        <v>0</v>
      </c>
      <c r="N15" s="50">
        <f>'Table 8'!N26</f>
        <v>3.43</v>
      </c>
      <c r="O15" s="18">
        <f>'Table 8'!O26</f>
        <v>3.63</v>
      </c>
      <c r="P15" s="1527">
        <f>'Table 8'!P26</f>
        <v>0</v>
      </c>
      <c r="Q15" s="17">
        <f>'Table 8'!Q26</f>
        <v>3.63</v>
      </c>
      <c r="R15" s="18">
        <f>'Table 8'!R26</f>
        <v>3.77</v>
      </c>
      <c r="S15" s="1527">
        <f>'Table 8'!S26</f>
        <v>0</v>
      </c>
      <c r="T15" s="50">
        <f>'Table 8'!T26</f>
        <v>3.77</v>
      </c>
      <c r="U15" s="18">
        <f>'Table 8'!U26</f>
        <v>3.89</v>
      </c>
      <c r="V15" s="1527">
        <f>'Table 8'!V26</f>
        <v>0</v>
      </c>
      <c r="W15" s="17">
        <f>'Table 8'!W26</f>
        <v>3.89</v>
      </c>
      <c r="X15" s="1191">
        <f t="shared" si="0"/>
        <v>0.37</v>
      </c>
      <c r="Y15" s="124">
        <f>'Table 8'!Y26</f>
        <v>4.22</v>
      </c>
      <c r="Z15" s="1057">
        <f>'Table 8'!Z26</f>
        <v>0</v>
      </c>
      <c r="AA15" s="876">
        <f>'Table 8'!AA26</f>
        <v>4.22</v>
      </c>
      <c r="AB15" s="1205"/>
      <c r="AC15" s="1845">
        <f t="shared" si="1"/>
        <v>1.05</v>
      </c>
    </row>
    <row r="16" spans="1:29" s="2" customFormat="1" ht="27" thickTop="1" thickBot="1">
      <c r="A16" s="1207" t="s">
        <v>65</v>
      </c>
      <c r="B16" s="1198" t="s">
        <v>18</v>
      </c>
      <c r="C16" s="36">
        <f>'Table 8'!C27</f>
        <v>7.06</v>
      </c>
      <c r="D16" s="147">
        <f>'Table 8'!D27</f>
        <v>11.2</v>
      </c>
      <c r="E16" s="33">
        <f>'Table 8'!E27</f>
        <v>18.260000000000002</v>
      </c>
      <c r="F16" s="36">
        <f>'Table 8'!F27</f>
        <v>7.29</v>
      </c>
      <c r="G16" s="147">
        <f>'Table 8'!G27</f>
        <v>12.52</v>
      </c>
      <c r="H16" s="154">
        <f>'Table 8'!H27</f>
        <v>20.18</v>
      </c>
      <c r="I16" s="36">
        <f>'Table 8'!I27</f>
        <v>8.26</v>
      </c>
      <c r="J16" s="147">
        <f>'Table 8'!J27</f>
        <v>13.99</v>
      </c>
      <c r="K16" s="33">
        <f>'Table 8'!K27</f>
        <v>22.25</v>
      </c>
      <c r="L16" s="36">
        <f>'Table 8'!L27</f>
        <v>8.74</v>
      </c>
      <c r="M16" s="147">
        <f>'Table 8'!M27</f>
        <v>15.24</v>
      </c>
      <c r="N16" s="154">
        <f>'Table 8'!N27</f>
        <v>23.98</v>
      </c>
      <c r="O16" s="36">
        <f>'Table 8'!O27</f>
        <v>9.2100000000000009</v>
      </c>
      <c r="P16" s="147">
        <f>'Table 8'!P27</f>
        <v>16.27</v>
      </c>
      <c r="Q16" s="33">
        <f>'Table 8'!Q27</f>
        <v>25.48</v>
      </c>
      <c r="R16" s="36">
        <f>'Table 8'!R27</f>
        <v>9.58</v>
      </c>
      <c r="S16" s="147">
        <f>'Table 8'!S27</f>
        <v>17.14</v>
      </c>
      <c r="T16" s="154">
        <f>'Table 8'!T27</f>
        <v>26.72</v>
      </c>
      <c r="U16" s="36">
        <f>'Table 8'!U27</f>
        <v>9.91</v>
      </c>
      <c r="V16" s="147">
        <f>'Table 8'!V27</f>
        <v>17.940000000000001</v>
      </c>
      <c r="W16" s="33">
        <f>'Table 8'!W27</f>
        <v>27.85</v>
      </c>
      <c r="X16" s="313">
        <f t="shared" si="0"/>
        <v>0.53</v>
      </c>
      <c r="Y16" s="98">
        <f>'Table 8'!Y27</f>
        <v>12.22</v>
      </c>
      <c r="Z16" s="128">
        <f>'Table 8'!Z27</f>
        <v>22.65</v>
      </c>
      <c r="AA16" s="38">
        <f>'Table 8'!AA27</f>
        <v>34.869999999999997</v>
      </c>
      <c r="AB16" s="477"/>
      <c r="AC16" s="1583">
        <f t="shared" si="1"/>
        <v>9.59</v>
      </c>
    </row>
    <row r="17" spans="1:29" s="2" customFormat="1" ht="25.5">
      <c r="A17" s="81" t="s">
        <v>66</v>
      </c>
      <c r="B17" s="1199" t="s">
        <v>15</v>
      </c>
      <c r="C17" s="151">
        <f>'Table 9'!C25</f>
        <v>52.3</v>
      </c>
      <c r="D17" s="1211">
        <f>'Table 9'!D25</f>
        <v>25.16</v>
      </c>
      <c r="E17" s="143">
        <f>'Table 9'!E25</f>
        <v>77.459999999999994</v>
      </c>
      <c r="F17" s="151">
        <f>'Table 9'!F25</f>
        <v>53.35</v>
      </c>
      <c r="G17" s="1211">
        <f>'Table 9'!G25</f>
        <v>25.27</v>
      </c>
      <c r="H17" s="146">
        <f>'Table 9'!H25</f>
        <v>78.62</v>
      </c>
      <c r="I17" s="151">
        <f>'Table 9'!I25</f>
        <v>54.48</v>
      </c>
      <c r="J17" s="1211">
        <f>'Table 9'!J25</f>
        <v>25.38</v>
      </c>
      <c r="K17" s="143">
        <f>'Table 9'!K25</f>
        <v>79.86</v>
      </c>
      <c r="L17" s="151">
        <f>'Table 9'!L25</f>
        <v>55.36</v>
      </c>
      <c r="M17" s="1211">
        <f>'Table 9'!M25</f>
        <v>25.46</v>
      </c>
      <c r="N17" s="146">
        <f>'Table 9'!N25</f>
        <v>80.819999999999993</v>
      </c>
      <c r="O17" s="151">
        <f>'Table 9'!O25</f>
        <v>56.12</v>
      </c>
      <c r="P17" s="1211">
        <f>'Table 9'!P25</f>
        <v>25.53</v>
      </c>
      <c r="Q17" s="143">
        <f>'Table 9'!Q25</f>
        <v>81.650000000000006</v>
      </c>
      <c r="R17" s="151">
        <f>'Table 9'!R25</f>
        <v>56.75</v>
      </c>
      <c r="S17" s="1211">
        <f>'Table 9'!S25</f>
        <v>25.6</v>
      </c>
      <c r="T17" s="146">
        <f>'Table 9'!T25</f>
        <v>82.35</v>
      </c>
      <c r="U17" s="151">
        <f>'Table 9'!U25</f>
        <v>57.29</v>
      </c>
      <c r="V17" s="1211">
        <f>'Table 9'!V25</f>
        <v>25.66</v>
      </c>
      <c r="W17" s="143">
        <f>'Table 9'!W25</f>
        <v>82.95</v>
      </c>
      <c r="X17" s="220">
        <f t="shared" si="0"/>
        <v>7.0000000000000007E-2</v>
      </c>
      <c r="Y17" s="99">
        <f>U17</f>
        <v>57.29</v>
      </c>
      <c r="Z17" s="463">
        <f t="shared" ref="Z17:AA18" si="2">V17</f>
        <v>25.66</v>
      </c>
      <c r="AA17" s="152">
        <f t="shared" si="2"/>
        <v>82.95</v>
      </c>
      <c r="AB17" s="1205"/>
      <c r="AC17" s="1582">
        <f t="shared" si="1"/>
        <v>5.49</v>
      </c>
    </row>
    <row r="18" spans="1:29" s="2" customFormat="1" ht="26.25" thickBot="1">
      <c r="A18" s="80" t="s">
        <v>66</v>
      </c>
      <c r="B18" s="1835" t="s">
        <v>17</v>
      </c>
      <c r="C18" s="18">
        <f>'Table 9'!C26</f>
        <v>29.57</v>
      </c>
      <c r="D18" s="1527">
        <f>'Table 9'!D26</f>
        <v>17.190000000000001</v>
      </c>
      <c r="E18" s="17">
        <f>'Table 9'!E26</f>
        <v>46.76</v>
      </c>
      <c r="F18" s="18">
        <f>'Table 9'!F26</f>
        <v>29.9</v>
      </c>
      <c r="G18" s="1527">
        <f>'Table 9'!G26</f>
        <v>17.190000000000001</v>
      </c>
      <c r="H18" s="50">
        <f>'Table 9'!H26</f>
        <v>47.09</v>
      </c>
      <c r="I18" s="18">
        <f>'Table 9'!I26</f>
        <v>30.2</v>
      </c>
      <c r="J18" s="1527">
        <f>'Table 9'!J26</f>
        <v>17.190000000000001</v>
      </c>
      <c r="K18" s="17">
        <f>'Table 9'!K26</f>
        <v>47.39</v>
      </c>
      <c r="L18" s="18">
        <f>'Table 9'!L26</f>
        <v>30.48</v>
      </c>
      <c r="M18" s="1527">
        <f>'Table 9'!M26</f>
        <v>17.190000000000001</v>
      </c>
      <c r="N18" s="50">
        <f>'Table 9'!N26</f>
        <v>47.67</v>
      </c>
      <c r="O18" s="18">
        <f>'Table 9'!O26</f>
        <v>30.72</v>
      </c>
      <c r="P18" s="1527">
        <f>'Table 9'!P26</f>
        <v>17.190000000000001</v>
      </c>
      <c r="Q18" s="17">
        <f>'Table 9'!Q26</f>
        <v>47.91</v>
      </c>
      <c r="R18" s="18">
        <f>'Table 9'!R26</f>
        <v>30.9</v>
      </c>
      <c r="S18" s="1527">
        <f>'Table 9'!S26</f>
        <v>17.190000000000001</v>
      </c>
      <c r="T18" s="50">
        <f>'Table 9'!T26</f>
        <v>48.09</v>
      </c>
      <c r="U18" s="18">
        <f>'Table 9'!U26</f>
        <v>31.06</v>
      </c>
      <c r="V18" s="1527">
        <f>'Table 9'!V26</f>
        <v>17.190000000000001</v>
      </c>
      <c r="W18" s="17">
        <f>'Table 9'!W26</f>
        <v>48.25</v>
      </c>
      <c r="X18" s="1191">
        <f t="shared" si="0"/>
        <v>0.03</v>
      </c>
      <c r="Y18" s="124">
        <f>U18</f>
        <v>31.06</v>
      </c>
      <c r="Z18" s="1057">
        <f t="shared" si="2"/>
        <v>17.190000000000001</v>
      </c>
      <c r="AA18" s="876">
        <f t="shared" si="2"/>
        <v>48.25</v>
      </c>
      <c r="AB18" s="1205"/>
      <c r="AC18" s="1845">
        <f t="shared" si="1"/>
        <v>1.49</v>
      </c>
    </row>
    <row r="19" spans="1:29" s="2" customFormat="1" ht="27" thickTop="1" thickBot="1">
      <c r="A19" s="1197" t="s">
        <v>66</v>
      </c>
      <c r="B19" s="1198" t="s">
        <v>18</v>
      </c>
      <c r="C19" s="356">
        <f>'Table 9'!C27</f>
        <v>81.87</v>
      </c>
      <c r="D19" s="317">
        <f>'Table 9'!D27</f>
        <v>42.35</v>
      </c>
      <c r="E19" s="565">
        <f>'Table 9'!E27</f>
        <v>124.22</v>
      </c>
      <c r="F19" s="356">
        <f>'Table 9'!F27</f>
        <v>83.25</v>
      </c>
      <c r="G19" s="317">
        <f>'Table 9'!G27</f>
        <v>42.46</v>
      </c>
      <c r="H19" s="315">
        <f>'Table 9'!H27</f>
        <v>125.71</v>
      </c>
      <c r="I19" s="356">
        <f>'Table 9'!I27</f>
        <v>84.68</v>
      </c>
      <c r="J19" s="317">
        <f>'Table 9'!J27</f>
        <v>42.57</v>
      </c>
      <c r="K19" s="565">
        <f>'Table 9'!K27</f>
        <v>127.25</v>
      </c>
      <c r="L19" s="356">
        <f>'Table 9'!L27</f>
        <v>85.84</v>
      </c>
      <c r="M19" s="317">
        <f>'Table 9'!M27</f>
        <v>42.65</v>
      </c>
      <c r="N19" s="315">
        <f>'Table 9'!N27</f>
        <v>128.49</v>
      </c>
      <c r="O19" s="356">
        <f>'Table 9'!O27</f>
        <v>86.84</v>
      </c>
      <c r="P19" s="317">
        <f>'Table 9'!P27</f>
        <v>42.72</v>
      </c>
      <c r="Q19" s="565">
        <f>'Table 9'!Q27</f>
        <v>129.56</v>
      </c>
      <c r="R19" s="356">
        <f>'Table 9'!R27</f>
        <v>87.65</v>
      </c>
      <c r="S19" s="317">
        <f>'Table 9'!S27</f>
        <v>42.79</v>
      </c>
      <c r="T19" s="315">
        <f>'Table 9'!T27</f>
        <v>130.44</v>
      </c>
      <c r="U19" s="356">
        <f>'Table 9'!U27</f>
        <v>88.35</v>
      </c>
      <c r="V19" s="317">
        <f>'Table 9'!V27</f>
        <v>42.85</v>
      </c>
      <c r="W19" s="565">
        <f>'Table 9'!W27</f>
        <v>131.19999999999999</v>
      </c>
      <c r="X19" s="311">
        <f t="shared" si="0"/>
        <v>0.06</v>
      </c>
      <c r="Y19" s="480">
        <f>SUM(Y17:Y18)</f>
        <v>88.35</v>
      </c>
      <c r="Z19" s="481">
        <f t="shared" ref="Z19:AA19" si="3">SUM(Z17:Z18)</f>
        <v>42.85</v>
      </c>
      <c r="AA19" s="353">
        <f t="shared" si="3"/>
        <v>131.19999999999999</v>
      </c>
      <c r="AB19" s="477"/>
      <c r="AC19" s="1581">
        <f t="shared" si="1"/>
        <v>6.98</v>
      </c>
    </row>
    <row r="20" spans="1:29" s="2" customFormat="1">
      <c r="A20" s="81" t="s">
        <v>67</v>
      </c>
      <c r="B20" s="1217" t="s">
        <v>15</v>
      </c>
      <c r="C20" s="151">
        <f>'Table 10'!C25</f>
        <v>7.33</v>
      </c>
      <c r="D20" s="1211">
        <f>'Table 10'!D25</f>
        <v>12.48</v>
      </c>
      <c r="E20" s="143">
        <f>'Table 10'!E25</f>
        <v>19.809999999999999</v>
      </c>
      <c r="F20" s="151">
        <f>'Table 10'!F25</f>
        <v>6.05</v>
      </c>
      <c r="G20" s="1211">
        <f>'Table 10'!G25</f>
        <v>13.4</v>
      </c>
      <c r="H20" s="146">
        <f>'Table 10'!H25</f>
        <v>19.45</v>
      </c>
      <c r="I20" s="151">
        <f>'Table 10'!I25</f>
        <v>6.24</v>
      </c>
      <c r="J20" s="1211">
        <f>'Table 10'!J25</f>
        <v>13.78</v>
      </c>
      <c r="K20" s="143">
        <f>'Table 10'!K25</f>
        <v>20.02</v>
      </c>
      <c r="L20" s="151">
        <f>'Table 10'!L25</f>
        <v>6.5</v>
      </c>
      <c r="M20" s="1211">
        <f>'Table 10'!M25</f>
        <v>14.35</v>
      </c>
      <c r="N20" s="146">
        <f>'Table 10'!N25</f>
        <v>20.85</v>
      </c>
      <c r="O20" s="151">
        <f>'Table 10'!O25</f>
        <v>6.95</v>
      </c>
      <c r="P20" s="1211">
        <f>'Table 10'!P25</f>
        <v>15.44</v>
      </c>
      <c r="Q20" s="143">
        <f>'Table 10'!Q25</f>
        <v>22.39</v>
      </c>
      <c r="R20" s="151">
        <f>'Table 10'!R25</f>
        <v>7.43</v>
      </c>
      <c r="S20" s="1211">
        <f>'Table 10'!S25</f>
        <v>16.59</v>
      </c>
      <c r="T20" s="146">
        <f>'Table 10'!T25</f>
        <v>24.02</v>
      </c>
      <c r="U20" s="1588">
        <f>'Table 10'!U25</f>
        <v>7.93</v>
      </c>
      <c r="V20" s="1548">
        <f>'Table 10'!V25</f>
        <v>17.829999999999998</v>
      </c>
      <c r="W20" s="654">
        <f>'Table 10'!W25</f>
        <v>25.76</v>
      </c>
      <c r="X20" s="220">
        <f t="shared" si="0"/>
        <v>0.3</v>
      </c>
      <c r="Y20" s="99">
        <f>U20</f>
        <v>7.93</v>
      </c>
      <c r="Z20" s="463">
        <f t="shared" ref="Z20:Z21" si="4">V20</f>
        <v>17.829999999999998</v>
      </c>
      <c r="AA20" s="152">
        <f t="shared" ref="AA20:AA21" si="5">W20</f>
        <v>25.76</v>
      </c>
      <c r="AB20" s="1205"/>
      <c r="AC20" s="1582">
        <f t="shared" si="1"/>
        <v>5.95</v>
      </c>
    </row>
    <row r="21" spans="1:29" s="2" customFormat="1" ht="13.5" thickBot="1">
      <c r="A21" s="288" t="s">
        <v>67</v>
      </c>
      <c r="B21" s="1835" t="s">
        <v>17</v>
      </c>
      <c r="C21" s="156">
        <f>'Table 10'!C26</f>
        <v>1.87</v>
      </c>
      <c r="D21" s="1218">
        <f>'Table 10'!D26</f>
        <v>0.06</v>
      </c>
      <c r="E21" s="1219">
        <f>'Table 10'!E26</f>
        <v>1.93</v>
      </c>
      <c r="F21" s="156">
        <f>'Table 10'!F26</f>
        <v>1.83</v>
      </c>
      <c r="G21" s="1218">
        <f>'Table 10'!G26</f>
        <v>0.05</v>
      </c>
      <c r="H21" s="411">
        <f>'Table 10'!H26</f>
        <v>1.88</v>
      </c>
      <c r="I21" s="156">
        <f>'Table 10'!I26</f>
        <v>1.74</v>
      </c>
      <c r="J21" s="1218">
        <f>'Table 10'!J26</f>
        <v>0.05</v>
      </c>
      <c r="K21" s="1219">
        <f>'Table 10'!K26</f>
        <v>1.79</v>
      </c>
      <c r="L21" s="156">
        <f>'Table 10'!L26</f>
        <v>1.78</v>
      </c>
      <c r="M21" s="1218">
        <f>'Table 10'!M26</f>
        <v>0.05</v>
      </c>
      <c r="N21" s="411">
        <f>'Table 10'!N26</f>
        <v>1.83</v>
      </c>
      <c r="O21" s="156">
        <f>'Table 10'!O26</f>
        <v>1.85</v>
      </c>
      <c r="P21" s="1218">
        <f>'Table 10'!P26</f>
        <v>0.05</v>
      </c>
      <c r="Q21" s="1219">
        <f>'Table 10'!Q26</f>
        <v>1.9</v>
      </c>
      <c r="R21" s="156">
        <f>'Table 10'!R26</f>
        <v>1.93</v>
      </c>
      <c r="S21" s="1218">
        <f>'Table 10'!S26</f>
        <v>0.05</v>
      </c>
      <c r="T21" s="411">
        <f>'Table 10'!T26</f>
        <v>1.98</v>
      </c>
      <c r="U21" s="1589">
        <f>'Table 10'!U26</f>
        <v>2</v>
      </c>
      <c r="V21" s="1549">
        <f>'Table 10'!V26</f>
        <v>0.05</v>
      </c>
      <c r="W21" s="661">
        <f>'Table 10'!W26</f>
        <v>2.0499999999999998</v>
      </c>
      <c r="X21" s="1191">
        <f t="shared" si="0"/>
        <v>0.06</v>
      </c>
      <c r="Y21" s="1212">
        <f>U21</f>
        <v>2</v>
      </c>
      <c r="Z21" s="1213">
        <f t="shared" si="4"/>
        <v>0.05</v>
      </c>
      <c r="AA21" s="413">
        <f t="shared" si="5"/>
        <v>2.0499999999999998</v>
      </c>
      <c r="AB21" s="1205"/>
      <c r="AC21" s="1584">
        <f t="shared" si="1"/>
        <v>0.12</v>
      </c>
    </row>
    <row r="22" spans="1:29" s="2" customFormat="1" ht="14.25" thickTop="1" thickBot="1">
      <c r="A22" s="1220" t="s">
        <v>67</v>
      </c>
      <c r="B22" s="1221" t="s">
        <v>18</v>
      </c>
      <c r="C22" s="1222">
        <f>'Table 10'!C27</f>
        <v>9.1999999999999993</v>
      </c>
      <c r="D22" s="1223">
        <f>'Table 10'!D27</f>
        <v>12.54</v>
      </c>
      <c r="E22" s="1224">
        <f>'Table 10'!E27</f>
        <v>21.74</v>
      </c>
      <c r="F22" s="1222">
        <f>'Table 10'!F27</f>
        <v>7.88</v>
      </c>
      <c r="G22" s="1223">
        <f>'Table 10'!G27</f>
        <v>13.45</v>
      </c>
      <c r="H22" s="1225">
        <f>'Table 10'!H27</f>
        <v>21.33</v>
      </c>
      <c r="I22" s="1222">
        <f>'Table 10'!I27</f>
        <v>7.98</v>
      </c>
      <c r="J22" s="1223">
        <f>'Table 10'!J27</f>
        <v>13.83</v>
      </c>
      <c r="K22" s="1224">
        <f>'Table 10'!K27</f>
        <v>21.81</v>
      </c>
      <c r="L22" s="1222">
        <f>'Table 10'!L27</f>
        <v>8.2799999999999994</v>
      </c>
      <c r="M22" s="1223">
        <f>'Table 10'!M27</f>
        <v>14.4</v>
      </c>
      <c r="N22" s="1225">
        <f>'Table 10'!N27</f>
        <v>22.68</v>
      </c>
      <c r="O22" s="1222">
        <f>'Table 10'!O27</f>
        <v>8.8000000000000007</v>
      </c>
      <c r="P22" s="1223">
        <f>'Table 10'!P27</f>
        <v>15.49</v>
      </c>
      <c r="Q22" s="1224">
        <f>'Table 10'!Q27</f>
        <v>24.29</v>
      </c>
      <c r="R22" s="1222">
        <f>'Table 10'!R27</f>
        <v>9.36</v>
      </c>
      <c r="S22" s="1223">
        <f>'Table 10'!S27</f>
        <v>16.64</v>
      </c>
      <c r="T22" s="1225">
        <f>'Table 10'!T27</f>
        <v>26</v>
      </c>
      <c r="U22" s="1222">
        <f>'Table 10'!U27</f>
        <v>9.93</v>
      </c>
      <c r="V22" s="1550">
        <f>'Table 10'!V27</f>
        <v>17.88</v>
      </c>
      <c r="W22" s="1223">
        <f>'Table 10'!W27</f>
        <v>27.81</v>
      </c>
      <c r="X22" s="1192">
        <f t="shared" si="0"/>
        <v>0.28000000000000003</v>
      </c>
      <c r="Y22" s="1214">
        <f>SUM(Y20:Y21)</f>
        <v>9.93</v>
      </c>
      <c r="Z22" s="1215">
        <f t="shared" ref="Z22" si="6">SUM(Z20:Z21)</f>
        <v>17.88</v>
      </c>
      <c r="AA22" s="1216">
        <f t="shared" ref="AA22" si="7">SUM(AA20:AA21)</f>
        <v>27.81</v>
      </c>
      <c r="AB22" s="477"/>
      <c r="AC22" s="1585">
        <f t="shared" si="1"/>
        <v>6.07</v>
      </c>
    </row>
    <row r="23" spans="1:29" s="2" customFormat="1" ht="14.25" thickTop="1" thickBot="1">
      <c r="A23" s="3202" t="s">
        <v>32</v>
      </c>
      <c r="B23" s="3203"/>
      <c r="C23" s="356">
        <f>C5+C8+C11+C14+C17+C20</f>
        <v>320.25</v>
      </c>
      <c r="D23" s="317">
        <f t="shared" ref="D23:T23" si="8">D5+D8+D11+D14+D17+D20</f>
        <v>51.57</v>
      </c>
      <c r="E23" s="527">
        <f t="shared" si="8"/>
        <v>371.82</v>
      </c>
      <c r="F23" s="1226">
        <f t="shared" si="8"/>
        <v>359.62</v>
      </c>
      <c r="G23" s="477">
        <f t="shared" si="8"/>
        <v>53.97</v>
      </c>
      <c r="H23" s="526">
        <f t="shared" si="8"/>
        <v>417.09</v>
      </c>
      <c r="I23" s="1226">
        <f t="shared" si="8"/>
        <v>380.74</v>
      </c>
      <c r="J23" s="477">
        <f t="shared" si="8"/>
        <v>55.98</v>
      </c>
      <c r="K23" s="527">
        <f t="shared" si="8"/>
        <v>441.85</v>
      </c>
      <c r="L23" s="1226">
        <f t="shared" si="8"/>
        <v>393.88</v>
      </c>
      <c r="M23" s="317">
        <f t="shared" si="8"/>
        <v>57.89</v>
      </c>
      <c r="N23" s="526">
        <f t="shared" si="8"/>
        <v>461.46</v>
      </c>
      <c r="O23" s="1226">
        <f t="shared" si="8"/>
        <v>405.63</v>
      </c>
      <c r="P23" s="477">
        <f t="shared" si="8"/>
        <v>60.09</v>
      </c>
      <c r="Q23" s="527">
        <f t="shared" si="8"/>
        <v>479.28</v>
      </c>
      <c r="R23" s="1226">
        <f t="shared" si="8"/>
        <v>415.03</v>
      </c>
      <c r="S23" s="477">
        <f t="shared" si="8"/>
        <v>62.2</v>
      </c>
      <c r="T23" s="526">
        <f t="shared" si="8"/>
        <v>494.21</v>
      </c>
      <c r="U23" s="1226">
        <f t="shared" ref="U23:W23" si="9">U5+U8+U11+U14+U17+U20</f>
        <v>423.99</v>
      </c>
      <c r="V23" s="1551">
        <f t="shared" si="9"/>
        <v>64.3</v>
      </c>
      <c r="W23" s="477">
        <f t="shared" si="9"/>
        <v>508.36</v>
      </c>
      <c r="X23" s="311">
        <f t="shared" si="0"/>
        <v>0.37</v>
      </c>
      <c r="Y23" s="480">
        <f t="shared" ref="Y23:AA24" si="10">Y5+Y8+Y11+Y14+Y17+Y20</f>
        <v>466.65</v>
      </c>
      <c r="Z23" s="481">
        <f t="shared" si="10"/>
        <v>69.760000000000005</v>
      </c>
      <c r="AA23" s="447">
        <f t="shared" si="10"/>
        <v>559.22</v>
      </c>
      <c r="AB23" s="1205"/>
      <c r="AC23" s="1581">
        <f t="shared" si="1"/>
        <v>136.54</v>
      </c>
    </row>
    <row r="24" spans="1:29" s="2" customFormat="1" ht="13.5" thickBot="1">
      <c r="A24" s="3229" t="s">
        <v>33</v>
      </c>
      <c r="B24" s="3230"/>
      <c r="C24" s="503">
        <f>C6+C9+C12+C15+C18+C21</f>
        <v>142.06</v>
      </c>
      <c r="D24" s="505">
        <f t="shared" ref="D24:T24" si="11">D6+D9+D12+D15+D18+D21</f>
        <v>17.25</v>
      </c>
      <c r="E24" s="575">
        <f t="shared" si="11"/>
        <v>159.31</v>
      </c>
      <c r="F24" s="503">
        <f t="shared" si="11"/>
        <v>142.72</v>
      </c>
      <c r="G24" s="505">
        <f t="shared" si="11"/>
        <v>17.239999999999998</v>
      </c>
      <c r="H24" s="1227">
        <f t="shared" si="11"/>
        <v>160.33000000000001</v>
      </c>
      <c r="I24" s="503">
        <f t="shared" si="11"/>
        <v>149.44</v>
      </c>
      <c r="J24" s="505">
        <f t="shared" si="11"/>
        <v>17.239999999999998</v>
      </c>
      <c r="K24" s="575">
        <f t="shared" si="11"/>
        <v>166.68</v>
      </c>
      <c r="L24" s="503">
        <f t="shared" si="11"/>
        <v>154.85</v>
      </c>
      <c r="M24" s="505">
        <f t="shared" si="11"/>
        <v>17.239999999999998</v>
      </c>
      <c r="N24" s="1227">
        <f t="shared" si="11"/>
        <v>172.09</v>
      </c>
      <c r="O24" s="503">
        <f t="shared" si="11"/>
        <v>160.97</v>
      </c>
      <c r="P24" s="505">
        <f t="shared" si="11"/>
        <v>17.239999999999998</v>
      </c>
      <c r="Q24" s="575">
        <f t="shared" si="11"/>
        <v>178.21</v>
      </c>
      <c r="R24" s="503">
        <f t="shared" si="11"/>
        <v>166.83</v>
      </c>
      <c r="S24" s="505">
        <f t="shared" si="11"/>
        <v>17.239999999999998</v>
      </c>
      <c r="T24" s="1227">
        <f t="shared" si="11"/>
        <v>184.07</v>
      </c>
      <c r="U24" s="503">
        <f t="shared" ref="U24:W24" si="12">U6+U9+U12+U15+U18+U21</f>
        <v>172.67</v>
      </c>
      <c r="V24" s="1552">
        <f t="shared" si="12"/>
        <v>17.239999999999998</v>
      </c>
      <c r="W24" s="505">
        <f t="shared" si="12"/>
        <v>189.91</v>
      </c>
      <c r="X24" s="563">
        <f t="shared" si="0"/>
        <v>0.19</v>
      </c>
      <c r="Y24" s="491">
        <f t="shared" si="10"/>
        <v>204.75</v>
      </c>
      <c r="Z24" s="492">
        <f t="shared" si="10"/>
        <v>17.239999999999998</v>
      </c>
      <c r="AA24" s="525">
        <f t="shared" si="10"/>
        <v>221.99</v>
      </c>
      <c r="AB24" s="1205"/>
      <c r="AC24" s="1586">
        <f t="shared" si="1"/>
        <v>30.6</v>
      </c>
    </row>
    <row r="25" spans="1:29" s="67" customFormat="1" ht="13.5" thickBot="1">
      <c r="A25" s="3229" t="s">
        <v>34</v>
      </c>
      <c r="B25" s="3230"/>
      <c r="C25" s="1228">
        <f>C23+C24</f>
        <v>462.31</v>
      </c>
      <c r="D25" s="32">
        <f t="shared" ref="D25:T25" si="13">D23+D24</f>
        <v>68.819999999999993</v>
      </c>
      <c r="E25" s="534">
        <f t="shared" si="13"/>
        <v>531.13</v>
      </c>
      <c r="F25" s="1228">
        <f t="shared" si="13"/>
        <v>502.34</v>
      </c>
      <c r="G25" s="32">
        <f t="shared" si="13"/>
        <v>71.209999999999994</v>
      </c>
      <c r="H25" s="533">
        <f t="shared" si="13"/>
        <v>577.41999999999996</v>
      </c>
      <c r="I25" s="1228">
        <f t="shared" si="13"/>
        <v>530.17999999999995</v>
      </c>
      <c r="J25" s="32">
        <f t="shared" si="13"/>
        <v>73.22</v>
      </c>
      <c r="K25" s="534">
        <f t="shared" si="13"/>
        <v>608.53</v>
      </c>
      <c r="L25" s="1228">
        <f t="shared" si="13"/>
        <v>548.73</v>
      </c>
      <c r="M25" s="32">
        <f t="shared" si="13"/>
        <v>75.13</v>
      </c>
      <c r="N25" s="533">
        <f t="shared" si="13"/>
        <v>633.54999999999995</v>
      </c>
      <c r="O25" s="1228">
        <f t="shared" si="13"/>
        <v>566.6</v>
      </c>
      <c r="P25" s="32">
        <f t="shared" si="13"/>
        <v>77.33</v>
      </c>
      <c r="Q25" s="534">
        <f t="shared" si="13"/>
        <v>657.49</v>
      </c>
      <c r="R25" s="1228">
        <f t="shared" si="13"/>
        <v>581.86</v>
      </c>
      <c r="S25" s="32">
        <f t="shared" si="13"/>
        <v>79.44</v>
      </c>
      <c r="T25" s="533">
        <f t="shared" si="13"/>
        <v>678.28</v>
      </c>
      <c r="U25" s="1228">
        <f t="shared" ref="U25:W25" si="14">U23+U24</f>
        <v>596.66</v>
      </c>
      <c r="V25" s="1553">
        <f t="shared" si="14"/>
        <v>81.540000000000006</v>
      </c>
      <c r="W25" s="119">
        <f t="shared" si="14"/>
        <v>698.27</v>
      </c>
      <c r="X25" s="313">
        <f t="shared" si="0"/>
        <v>0.31</v>
      </c>
      <c r="Y25" s="98">
        <f>Y23+Y24</f>
        <v>671.4</v>
      </c>
      <c r="Z25" s="128">
        <f>Z23+Z24</f>
        <v>87</v>
      </c>
      <c r="AA25" s="469">
        <f>AA23+AA24</f>
        <v>781.21</v>
      </c>
      <c r="AB25" s="1205"/>
      <c r="AC25" s="1583">
        <f t="shared" si="1"/>
        <v>167.14</v>
      </c>
    </row>
    <row r="26" spans="1:29">
      <c r="A26" s="54" t="s">
        <v>35</v>
      </c>
    </row>
    <row r="27" spans="1:29">
      <c r="A27" s="2" t="s">
        <v>68</v>
      </c>
      <c r="B27" s="257"/>
      <c r="C27" s="257"/>
      <c r="D27" s="257"/>
      <c r="E27" s="257"/>
      <c r="F27" s="257"/>
      <c r="G27" s="257" t="s">
        <v>36</v>
      </c>
      <c r="H27" s="257"/>
      <c r="I27" s="257"/>
      <c r="J27" s="257"/>
      <c r="K27" s="257"/>
      <c r="L27" s="257"/>
      <c r="M27" s="257"/>
      <c r="S27" s="258"/>
    </row>
    <row r="28" spans="1:29">
      <c r="A28" s="2" t="s">
        <v>69</v>
      </c>
      <c r="D28" s="257"/>
      <c r="G28" s="257"/>
      <c r="J28" s="257"/>
      <c r="M28" s="257"/>
      <c r="S28" s="258"/>
    </row>
    <row r="29" spans="1:29">
      <c r="A29" s="1" t="s">
        <v>70</v>
      </c>
      <c r="D29" s="257"/>
      <c r="G29" s="257"/>
      <c r="J29" s="257"/>
      <c r="M29" s="257"/>
      <c r="S29" s="258"/>
    </row>
    <row r="31" spans="1:29" s="2" customFormat="1" ht="13.5" thickBot="1">
      <c r="A31" s="3224" t="s">
        <v>71</v>
      </c>
      <c r="B31" s="3224"/>
      <c r="C31" s="3224"/>
      <c r="D31" s="3224"/>
      <c r="E31" s="3224"/>
      <c r="F31" s="3224"/>
      <c r="G31" s="3224"/>
      <c r="H31" s="3224"/>
      <c r="I31" s="3224"/>
      <c r="J31" s="3224"/>
      <c r="K31" s="3224"/>
      <c r="L31" s="3224"/>
      <c r="M31" s="3224"/>
      <c r="N31" s="3224"/>
      <c r="O31" s="3224"/>
      <c r="P31" s="3224"/>
      <c r="Q31" s="3224"/>
      <c r="R31" s="3224"/>
      <c r="S31" s="3224"/>
      <c r="T31" s="3224"/>
      <c r="U31" s="3224"/>
      <c r="V31" s="3224"/>
      <c r="W31" s="3224"/>
      <c r="X31" s="3224"/>
      <c r="Y31" s="3224"/>
      <c r="Z31" s="3224"/>
      <c r="AA31" s="3224"/>
    </row>
    <row r="32" spans="1:29" s="2" customFormat="1" ht="15.75" customHeight="1" thickBot="1">
      <c r="A32" s="3204" t="s">
        <v>54</v>
      </c>
      <c r="B32" s="3225" t="s">
        <v>2</v>
      </c>
      <c r="C32" s="3221" t="s">
        <v>55</v>
      </c>
      <c r="D32" s="3222"/>
      <c r="E32" s="3223"/>
      <c r="F32" s="3221" t="s">
        <v>56</v>
      </c>
      <c r="G32" s="3222"/>
      <c r="H32" s="3222"/>
      <c r="I32" s="3222"/>
      <c r="J32" s="3222"/>
      <c r="K32" s="3222"/>
      <c r="L32" s="3222"/>
      <c r="M32" s="3222"/>
      <c r="N32" s="3222"/>
      <c r="O32" s="3222"/>
      <c r="P32" s="3222"/>
      <c r="Q32" s="3222"/>
      <c r="R32" s="3222"/>
      <c r="S32" s="3222"/>
      <c r="T32" s="3222"/>
      <c r="U32" s="3222"/>
      <c r="V32" s="3222"/>
      <c r="W32" s="3223"/>
      <c r="X32" s="3209" t="s">
        <v>57</v>
      </c>
      <c r="Y32" s="3222" t="s">
        <v>58</v>
      </c>
      <c r="Z32" s="3222"/>
      <c r="AA32" s="3223"/>
      <c r="AC32" s="3209" t="s">
        <v>59</v>
      </c>
    </row>
    <row r="33" spans="1:29" s="2" customFormat="1" ht="15" customHeight="1">
      <c r="A33" s="3205"/>
      <c r="B33" s="3226"/>
      <c r="C33" s="3212">
        <v>2015</v>
      </c>
      <c r="D33" s="3213"/>
      <c r="E33" s="3215"/>
      <c r="F33" s="3212">
        <v>2020</v>
      </c>
      <c r="G33" s="3213"/>
      <c r="H33" s="3215"/>
      <c r="I33" s="3212">
        <v>2025</v>
      </c>
      <c r="J33" s="3213"/>
      <c r="K33" s="3215"/>
      <c r="L33" s="3212">
        <v>2030</v>
      </c>
      <c r="M33" s="3213"/>
      <c r="N33" s="3215"/>
      <c r="O33" s="3212">
        <v>2035</v>
      </c>
      <c r="P33" s="3213"/>
      <c r="Q33" s="3215"/>
      <c r="R33" s="3212">
        <v>2040</v>
      </c>
      <c r="S33" s="3213"/>
      <c r="T33" s="3215"/>
      <c r="U33" s="3212">
        <v>2045</v>
      </c>
      <c r="V33" s="3213"/>
      <c r="W33" s="3215"/>
      <c r="X33" s="3228"/>
      <c r="Y33" s="3212">
        <v>2045</v>
      </c>
      <c r="Z33" s="3213"/>
      <c r="AA33" s="3215"/>
      <c r="AC33" s="3228"/>
    </row>
    <row r="34" spans="1:29" s="2" customFormat="1" ht="15.75" customHeight="1" thickBot="1">
      <c r="A34" s="3485"/>
      <c r="B34" s="3227"/>
      <c r="C34" s="1666" t="s">
        <v>60</v>
      </c>
      <c r="D34" s="1657" t="s">
        <v>61</v>
      </c>
      <c r="E34" s="1658" t="s">
        <v>18</v>
      </c>
      <c r="F34" s="1666" t="s">
        <v>60</v>
      </c>
      <c r="G34" s="1657" t="s">
        <v>61</v>
      </c>
      <c r="H34" s="1658" t="s">
        <v>18</v>
      </c>
      <c r="I34" s="1666" t="s">
        <v>60</v>
      </c>
      <c r="J34" s="1657" t="s">
        <v>61</v>
      </c>
      <c r="K34" s="1658" t="s">
        <v>18</v>
      </c>
      <c r="L34" s="1666" t="s">
        <v>60</v>
      </c>
      <c r="M34" s="1657" t="s">
        <v>61</v>
      </c>
      <c r="N34" s="1658" t="s">
        <v>18</v>
      </c>
      <c r="O34" s="1666" t="s">
        <v>60</v>
      </c>
      <c r="P34" s="1657" t="s">
        <v>61</v>
      </c>
      <c r="Q34" s="1658" t="s">
        <v>18</v>
      </c>
      <c r="R34" s="1666" t="s">
        <v>60</v>
      </c>
      <c r="S34" s="1657" t="s">
        <v>61</v>
      </c>
      <c r="T34" s="1658" t="s">
        <v>18</v>
      </c>
      <c r="U34" s="1666" t="s">
        <v>60</v>
      </c>
      <c r="V34" s="1657" t="s">
        <v>61</v>
      </c>
      <c r="W34" s="1658" t="s">
        <v>18</v>
      </c>
      <c r="X34" s="3211"/>
      <c r="Y34" s="1666" t="s">
        <v>60</v>
      </c>
      <c r="Z34" s="1657" t="s">
        <v>61</v>
      </c>
      <c r="AA34" s="1658" t="s">
        <v>18</v>
      </c>
      <c r="AC34" s="3211"/>
    </row>
    <row r="35" spans="1:29">
      <c r="A35" s="1195" t="s">
        <v>62</v>
      </c>
      <c r="B35" s="1665" t="s">
        <v>17</v>
      </c>
      <c r="C35" s="1230">
        <f>'Table 4'!J43</f>
        <v>4.3600000000000003</v>
      </c>
      <c r="D35" s="10">
        <f>'Table 4'!K43</f>
        <v>0</v>
      </c>
      <c r="E35" s="353">
        <f>'Table 4'!L43</f>
        <v>4.3600000000000003</v>
      </c>
      <c r="F35" s="1230">
        <f>'Table 4'!M43</f>
        <v>4.71</v>
      </c>
      <c r="G35" s="10">
        <f>'Table 4'!N43</f>
        <v>0</v>
      </c>
      <c r="H35" s="353">
        <f>'Table 4'!O43</f>
        <v>4.71</v>
      </c>
      <c r="I35" s="1230">
        <f>'Table 4'!Q43</f>
        <v>4.84</v>
      </c>
      <c r="J35" s="10">
        <f>'Table 4'!R43</f>
        <v>0</v>
      </c>
      <c r="K35" s="353">
        <f>'Table 4'!S43</f>
        <v>4.84</v>
      </c>
      <c r="L35" s="1230">
        <f>'Table 4'!U43</f>
        <v>4.95</v>
      </c>
      <c r="M35" s="10">
        <f>'Table 4'!V43</f>
        <v>0</v>
      </c>
      <c r="N35" s="353">
        <f>'Table 4'!W43</f>
        <v>4.95</v>
      </c>
      <c r="O35" s="1230">
        <f>'Table 4'!Y43</f>
        <v>4.9800000000000004</v>
      </c>
      <c r="P35" s="10">
        <f>'Table 4'!Z43</f>
        <v>0</v>
      </c>
      <c r="Q35" s="353">
        <f>'Table 4'!AA43</f>
        <v>4.9800000000000004</v>
      </c>
      <c r="R35" s="1230">
        <f>'Table 4'!AC43</f>
        <v>5.03</v>
      </c>
      <c r="S35" s="10">
        <f>'Table 4'!AD43</f>
        <v>0</v>
      </c>
      <c r="T35" s="353">
        <f>'Table 4'!AE43</f>
        <v>5.03</v>
      </c>
      <c r="U35" s="1230">
        <f>'Table 4'!AG43</f>
        <v>5.08</v>
      </c>
      <c r="V35" s="10">
        <f>'Table 4'!AH43</f>
        <v>0</v>
      </c>
      <c r="W35" s="353">
        <f>'Table 4'!AI43</f>
        <v>5.08</v>
      </c>
      <c r="X35" s="655">
        <f t="shared" ref="X35:X41" si="15">(W35-E35)/E35</f>
        <v>0.17</v>
      </c>
      <c r="Y35" s="1230">
        <f>'Table 4'!AL43</f>
        <v>5.38</v>
      </c>
      <c r="Z35" s="10">
        <f>'Table 4'!AM43</f>
        <v>0</v>
      </c>
      <c r="AA35" s="353">
        <f>'Table 4'!AN43</f>
        <v>5.33</v>
      </c>
      <c r="AC35" s="1587">
        <f>W35-E35</f>
        <v>0.72</v>
      </c>
    </row>
    <row r="36" spans="1:29" ht="25.5">
      <c r="A36" s="309" t="s">
        <v>63</v>
      </c>
      <c r="B36" s="1234" t="s">
        <v>17</v>
      </c>
      <c r="C36" s="1232">
        <f>'Table 6'!K44</f>
        <v>4.24</v>
      </c>
      <c r="D36" s="321">
        <f>'Table 6'!L44</f>
        <v>0</v>
      </c>
      <c r="E36" s="914">
        <f>'Table 6'!M44</f>
        <v>4.24</v>
      </c>
      <c r="F36" s="1232">
        <f>'Table 6'!N44</f>
        <v>4.21</v>
      </c>
      <c r="G36" s="321">
        <f>'Table 6'!O44</f>
        <v>0</v>
      </c>
      <c r="H36" s="914">
        <f>'Table 6'!P44</f>
        <v>4.21</v>
      </c>
      <c r="I36" s="1232">
        <f>'Table 6'!Q44</f>
        <v>4.28</v>
      </c>
      <c r="J36" s="321">
        <f>'Table 6'!R44</f>
        <v>0</v>
      </c>
      <c r="K36" s="914">
        <f>'Table 6'!S44</f>
        <v>4.28</v>
      </c>
      <c r="L36" s="1232">
        <f>'Table 6'!T44</f>
        <v>4.3499999999999996</v>
      </c>
      <c r="M36" s="321">
        <f>'Table 6'!U44</f>
        <v>0</v>
      </c>
      <c r="N36" s="914">
        <f>'Table 6'!V44</f>
        <v>4.3499999999999996</v>
      </c>
      <c r="O36" s="1232">
        <f>'Table 6'!W44</f>
        <v>4.4000000000000004</v>
      </c>
      <c r="P36" s="321">
        <f>'Table 6'!X44</f>
        <v>0</v>
      </c>
      <c r="Q36" s="914">
        <f>'Table 6'!Y44</f>
        <v>4.4000000000000004</v>
      </c>
      <c r="R36" s="1232">
        <f>'Table 6'!Z44</f>
        <v>4.46</v>
      </c>
      <c r="S36" s="321">
        <f>'Table 6'!AA44</f>
        <v>0</v>
      </c>
      <c r="T36" s="914">
        <f>'Table 6'!AB44</f>
        <v>4.46</v>
      </c>
      <c r="U36" s="1232">
        <f>'Table 6'!AC44</f>
        <v>4.49</v>
      </c>
      <c r="V36" s="321">
        <f>'Table 6'!AD44</f>
        <v>0</v>
      </c>
      <c r="W36" s="914">
        <f>'Table 6'!AE44</f>
        <v>4.49</v>
      </c>
      <c r="X36" s="1233">
        <f t="shared" si="15"/>
        <v>0.06</v>
      </c>
      <c r="Y36" s="1232">
        <f>'Table 6'!AG44</f>
        <v>4.74</v>
      </c>
      <c r="Z36" s="321">
        <f>'Table 6'!AH44</f>
        <v>0</v>
      </c>
      <c r="AA36" s="914">
        <f>'Table 6'!AI44</f>
        <v>4.74</v>
      </c>
      <c r="AC36" s="1337">
        <f t="shared" ref="AC36:AC41" si="16">W36-E36</f>
        <v>0.25</v>
      </c>
    </row>
    <row r="37" spans="1:29">
      <c r="A37" s="309" t="s">
        <v>64</v>
      </c>
      <c r="B37" s="1234" t="s">
        <v>17</v>
      </c>
      <c r="C37" s="1232">
        <f>'Table 7'!C46</f>
        <v>57.97</v>
      </c>
      <c r="D37" s="321">
        <f>'Table 7'!D46</f>
        <v>0.02</v>
      </c>
      <c r="E37" s="914">
        <f>'Table 7'!E46</f>
        <v>57.99</v>
      </c>
      <c r="F37" s="1232">
        <f>'Table 7'!F46</f>
        <v>55.98</v>
      </c>
      <c r="G37" s="321">
        <f>'Table 7'!G46</f>
        <v>0.02</v>
      </c>
      <c r="H37" s="914">
        <f>'Table 7'!H46</f>
        <v>56</v>
      </c>
      <c r="I37" s="1232">
        <f>'Table 7'!I46</f>
        <v>59.87</v>
      </c>
      <c r="J37" s="321">
        <f>'Table 7'!J46</f>
        <v>0.02</v>
      </c>
      <c r="K37" s="914">
        <f>'Table 7'!K46</f>
        <v>59.89</v>
      </c>
      <c r="L37" s="1232">
        <f>'Table 7'!L46</f>
        <v>63.4</v>
      </c>
      <c r="M37" s="321">
        <f>'Table 7'!M46</f>
        <v>0.02</v>
      </c>
      <c r="N37" s="914">
        <f>'Table 7'!N46</f>
        <v>63.42</v>
      </c>
      <c r="O37" s="1232">
        <f>'Table 7'!O46</f>
        <v>66.88</v>
      </c>
      <c r="P37" s="321">
        <f>'Table 7'!P46</f>
        <v>0.02</v>
      </c>
      <c r="Q37" s="914">
        <f>'Table 7'!Q46</f>
        <v>66.900000000000006</v>
      </c>
      <c r="R37" s="1232">
        <f>'Table 7'!R46</f>
        <v>70.75</v>
      </c>
      <c r="S37" s="321">
        <f>'Table 7'!S46</f>
        <v>0.02</v>
      </c>
      <c r="T37" s="914">
        <f>'Table 7'!T46</f>
        <v>70.77</v>
      </c>
      <c r="U37" s="1232">
        <f>'Table 7'!U46</f>
        <v>74.25</v>
      </c>
      <c r="V37" s="321">
        <f>'Table 7'!V46</f>
        <v>0.02</v>
      </c>
      <c r="W37" s="914">
        <f>'Table 7'!W46</f>
        <v>74.27</v>
      </c>
      <c r="X37" s="1233">
        <f t="shared" si="15"/>
        <v>0.28000000000000003</v>
      </c>
      <c r="Y37" s="1232">
        <f>'Table 7'!AG46</f>
        <v>94.09</v>
      </c>
      <c r="Z37" s="321">
        <f>'Table 7'!AH46</f>
        <v>0.02</v>
      </c>
      <c r="AA37" s="914">
        <f>'Table 7'!AI46</f>
        <v>94.11</v>
      </c>
      <c r="AC37" s="1337">
        <f t="shared" si="16"/>
        <v>16.28</v>
      </c>
    </row>
    <row r="38" spans="1:29">
      <c r="A38" s="309" t="s">
        <v>65</v>
      </c>
      <c r="B38" s="1234" t="s">
        <v>17</v>
      </c>
      <c r="C38" s="1232">
        <f>'Table 8'!C45</f>
        <v>1.1499999999999999</v>
      </c>
      <c r="D38" s="321">
        <f>'Table 8'!D45</f>
        <v>0</v>
      </c>
      <c r="E38" s="914">
        <f>'Table 8'!E45</f>
        <v>1.1499999999999999</v>
      </c>
      <c r="F38" s="1232">
        <f>'Table 8'!F45</f>
        <v>0.98</v>
      </c>
      <c r="G38" s="321">
        <f>'Table 8'!G45</f>
        <v>0</v>
      </c>
      <c r="H38" s="914">
        <f>'Table 8'!H45</f>
        <v>1.1599999999999999</v>
      </c>
      <c r="I38" s="1232">
        <f>'Table 8'!I45</f>
        <v>1.19</v>
      </c>
      <c r="J38" s="321">
        <f>'Table 8'!J45</f>
        <v>0</v>
      </c>
      <c r="K38" s="914">
        <f>'Table 8'!K45</f>
        <v>1.19</v>
      </c>
      <c r="L38" s="1232">
        <f>'Table 8'!L45</f>
        <v>1.2</v>
      </c>
      <c r="M38" s="321">
        <f>'Table 8'!M45</f>
        <v>0</v>
      </c>
      <c r="N38" s="914">
        <f>'Table 8'!N45</f>
        <v>1.2</v>
      </c>
      <c r="O38" s="1232">
        <f>'Table 8'!O45</f>
        <v>1.21</v>
      </c>
      <c r="P38" s="321">
        <f>'Table 8'!P45</f>
        <v>0</v>
      </c>
      <c r="Q38" s="914">
        <f>'Table 8'!Q45</f>
        <v>1.21</v>
      </c>
      <c r="R38" s="1232">
        <f>'Table 8'!R45</f>
        <v>1.21</v>
      </c>
      <c r="S38" s="321">
        <f>'Table 8'!S45</f>
        <v>0</v>
      </c>
      <c r="T38" s="914">
        <f>'Table 8'!T45</f>
        <v>1.21</v>
      </c>
      <c r="U38" s="1232">
        <f>'Table 8'!U45</f>
        <v>1.22</v>
      </c>
      <c r="V38" s="321">
        <f>'Table 8'!V45</f>
        <v>0</v>
      </c>
      <c r="W38" s="914">
        <f>'Table 8'!W45</f>
        <v>1.22</v>
      </c>
      <c r="X38" s="1233">
        <f t="shared" si="15"/>
        <v>0.06</v>
      </c>
      <c r="Y38" s="1232">
        <f>'Table 8'!Y45</f>
        <v>1.36</v>
      </c>
      <c r="Z38" s="321">
        <f>'Table 8'!Z45</f>
        <v>0</v>
      </c>
      <c r="AA38" s="914">
        <f>'Table 8'!AA45</f>
        <v>1.36</v>
      </c>
      <c r="AC38" s="1337">
        <f t="shared" si="16"/>
        <v>7.0000000000000007E-2</v>
      </c>
    </row>
    <row r="39" spans="1:29" ht="25.5">
      <c r="A39" s="309" t="s">
        <v>66</v>
      </c>
      <c r="B39" s="1234" t="s">
        <v>17</v>
      </c>
      <c r="C39" s="1232">
        <f>'Table 9'!C45</f>
        <v>41.36</v>
      </c>
      <c r="D39" s="321">
        <f>'Table 9'!D45</f>
        <v>0.17</v>
      </c>
      <c r="E39" s="914">
        <f>'Table 9'!E45</f>
        <v>41.53</v>
      </c>
      <c r="F39" s="1232">
        <f>'Table 9'!F45</f>
        <v>41.41</v>
      </c>
      <c r="G39" s="321">
        <f>'Table 9'!G45</f>
        <v>0.17</v>
      </c>
      <c r="H39" s="914">
        <f>'Table 9'!H45</f>
        <v>41.58</v>
      </c>
      <c r="I39" s="1232">
        <f>'Table 9'!I45</f>
        <v>41.47</v>
      </c>
      <c r="J39" s="321">
        <f>'Table 9'!J45</f>
        <v>0.17</v>
      </c>
      <c r="K39" s="914">
        <f>'Table 9'!K45</f>
        <v>41.64</v>
      </c>
      <c r="L39" s="1232">
        <f>'Table 9'!L45</f>
        <v>41.5</v>
      </c>
      <c r="M39" s="321">
        <f>'Table 9'!M45</f>
        <v>0.17</v>
      </c>
      <c r="N39" s="914">
        <f>'Table 9'!N45</f>
        <v>41.67</v>
      </c>
      <c r="O39" s="1232">
        <f>'Table 9'!O45</f>
        <v>41.53</v>
      </c>
      <c r="P39" s="321">
        <f>'Table 9'!P45</f>
        <v>0.17</v>
      </c>
      <c r="Q39" s="914">
        <f>'Table 9'!Q45</f>
        <v>41.7</v>
      </c>
      <c r="R39" s="1232">
        <f>'Table 9'!R45</f>
        <v>41.56</v>
      </c>
      <c r="S39" s="321">
        <f>'Table 9'!S45</f>
        <v>0.17</v>
      </c>
      <c r="T39" s="914">
        <f>'Table 9'!T45</f>
        <v>41.73</v>
      </c>
      <c r="U39" s="1232">
        <f>'Table 9'!U45</f>
        <v>41.59</v>
      </c>
      <c r="V39" s="321">
        <f>'Table 9'!V45</f>
        <v>0.17</v>
      </c>
      <c r="W39" s="914">
        <f>'Table 9'!W45</f>
        <v>41.76</v>
      </c>
      <c r="X39" s="1233">
        <f t="shared" si="15"/>
        <v>0.01</v>
      </c>
      <c r="Y39" s="1232">
        <f>U39</f>
        <v>41.59</v>
      </c>
      <c r="Z39" s="321">
        <f t="shared" ref="Z39:AA40" si="17">V39</f>
        <v>0.17</v>
      </c>
      <c r="AA39" s="914">
        <f t="shared" si="17"/>
        <v>41.76</v>
      </c>
      <c r="AC39" s="1337">
        <f t="shared" si="16"/>
        <v>0.23</v>
      </c>
    </row>
    <row r="40" spans="1:29" ht="13.5" thickBot="1">
      <c r="A40" s="80" t="s">
        <v>67</v>
      </c>
      <c r="B40" s="1235" t="s">
        <v>17</v>
      </c>
      <c r="C40" s="1844">
        <f>'Table 10'!C44</f>
        <v>0</v>
      </c>
      <c r="D40" s="412">
        <f>'Table 10'!D44</f>
        <v>0</v>
      </c>
      <c r="E40" s="876">
        <f>'Table 10'!E44</f>
        <v>0</v>
      </c>
      <c r="F40" s="1844">
        <f>'Table 10'!F44</f>
        <v>0</v>
      </c>
      <c r="G40" s="412">
        <f>'Table 10'!G44</f>
        <v>0</v>
      </c>
      <c r="H40" s="876">
        <f>'Table 10'!H44</f>
        <v>0</v>
      </c>
      <c r="I40" s="1844">
        <f>'Table 10'!I44</f>
        <v>0</v>
      </c>
      <c r="J40" s="412">
        <f>'Table 10'!J44</f>
        <v>0</v>
      </c>
      <c r="K40" s="876">
        <f>'Table 10'!K44</f>
        <v>0</v>
      </c>
      <c r="L40" s="1844">
        <f>'Table 10'!L44</f>
        <v>0</v>
      </c>
      <c r="M40" s="412">
        <f>'Table 10'!M44</f>
        <v>0</v>
      </c>
      <c r="N40" s="876">
        <f>'Table 10'!N44</f>
        <v>0</v>
      </c>
      <c r="O40" s="1844">
        <f>'Table 10'!O44</f>
        <v>0</v>
      </c>
      <c r="P40" s="412">
        <f>'Table 10'!P44</f>
        <v>0</v>
      </c>
      <c r="Q40" s="876">
        <f>'Table 10'!Q44</f>
        <v>0</v>
      </c>
      <c r="R40" s="1844">
        <f>'Table 10'!R44</f>
        <v>0</v>
      </c>
      <c r="S40" s="412">
        <f>'Table 10'!S44</f>
        <v>0</v>
      </c>
      <c r="T40" s="876">
        <f>'Table 10'!T44</f>
        <v>0</v>
      </c>
      <c r="U40" s="1844">
        <f>'Table 10'!U44</f>
        <v>0</v>
      </c>
      <c r="V40" s="412">
        <f>'Table 10'!V44</f>
        <v>0</v>
      </c>
      <c r="W40" s="876">
        <f>'Table 10'!W44</f>
        <v>0</v>
      </c>
      <c r="X40" s="1846" t="s">
        <v>16</v>
      </c>
      <c r="Y40" s="1844">
        <f>U40</f>
        <v>0</v>
      </c>
      <c r="Z40" s="412">
        <f t="shared" si="17"/>
        <v>0</v>
      </c>
      <c r="AA40" s="876">
        <f t="shared" si="17"/>
        <v>0</v>
      </c>
      <c r="AC40" s="1312">
        <f t="shared" si="16"/>
        <v>0</v>
      </c>
    </row>
    <row r="41" spans="1:29" ht="14.25" thickTop="1" thickBot="1">
      <c r="A41" s="3202" t="s">
        <v>52</v>
      </c>
      <c r="B41" s="3203"/>
      <c r="C41" s="1231">
        <f>SUM(C35:C40)</f>
        <v>109.08</v>
      </c>
      <c r="D41" s="165">
        <f t="shared" ref="D41:W41" si="18">SUM(D35:D40)</f>
        <v>0.19</v>
      </c>
      <c r="E41" s="38">
        <f t="shared" si="18"/>
        <v>109.27</v>
      </c>
      <c r="F41" s="1231">
        <f t="shared" si="18"/>
        <v>107.29</v>
      </c>
      <c r="G41" s="165">
        <f t="shared" si="18"/>
        <v>0.19</v>
      </c>
      <c r="H41" s="38">
        <f t="shared" si="18"/>
        <v>107.66</v>
      </c>
      <c r="I41" s="1231">
        <f t="shared" si="18"/>
        <v>111.65</v>
      </c>
      <c r="J41" s="165">
        <f t="shared" si="18"/>
        <v>0.19</v>
      </c>
      <c r="K41" s="38">
        <f t="shared" si="18"/>
        <v>111.84</v>
      </c>
      <c r="L41" s="1231">
        <f t="shared" si="18"/>
        <v>115.4</v>
      </c>
      <c r="M41" s="165">
        <f t="shared" si="18"/>
        <v>0.19</v>
      </c>
      <c r="N41" s="38">
        <f t="shared" si="18"/>
        <v>115.59</v>
      </c>
      <c r="O41" s="1231">
        <f t="shared" si="18"/>
        <v>119</v>
      </c>
      <c r="P41" s="165">
        <f t="shared" si="18"/>
        <v>0.19</v>
      </c>
      <c r="Q41" s="38">
        <f t="shared" si="18"/>
        <v>119.19</v>
      </c>
      <c r="R41" s="1231">
        <f t="shared" si="18"/>
        <v>123.01</v>
      </c>
      <c r="S41" s="165">
        <f t="shared" si="18"/>
        <v>0.19</v>
      </c>
      <c r="T41" s="38">
        <f t="shared" si="18"/>
        <v>123.2</v>
      </c>
      <c r="U41" s="1231">
        <f t="shared" si="18"/>
        <v>126.63</v>
      </c>
      <c r="V41" s="165">
        <f t="shared" si="18"/>
        <v>0.19</v>
      </c>
      <c r="W41" s="38">
        <f t="shared" si="18"/>
        <v>126.82</v>
      </c>
      <c r="X41" s="313">
        <f t="shared" si="15"/>
        <v>0.16</v>
      </c>
      <c r="Y41" s="1231">
        <f t="shared" ref="Y41" si="19">SUM(Y35:Y40)</f>
        <v>147.16</v>
      </c>
      <c r="Z41" s="165">
        <f t="shared" ref="Z41" si="20">SUM(Z35:Z40)</f>
        <v>0.19</v>
      </c>
      <c r="AA41" s="38">
        <f t="shared" ref="AA41" si="21">SUM(AA35:AA40)</f>
        <v>147.30000000000001</v>
      </c>
      <c r="AC41" s="1335">
        <f t="shared" si="16"/>
        <v>17.55</v>
      </c>
    </row>
    <row r="42" spans="1:29">
      <c r="A42" s="54" t="s">
        <v>35</v>
      </c>
    </row>
    <row r="43" spans="1:29">
      <c r="A43" s="2" t="s">
        <v>68</v>
      </c>
    </row>
    <row r="44" spans="1:29">
      <c r="A44" s="2" t="s">
        <v>69</v>
      </c>
      <c r="Z44" s="256" t="s">
        <v>36</v>
      </c>
    </row>
  </sheetData>
  <mergeCells count="36">
    <mergeCell ref="AC2:AC4"/>
    <mergeCell ref="AC32:AC34"/>
    <mergeCell ref="R33:T33"/>
    <mergeCell ref="U33:W33"/>
    <mergeCell ref="C2:E2"/>
    <mergeCell ref="Y33:AA33"/>
    <mergeCell ref="Y3:AA3"/>
    <mergeCell ref="Y2:AA2"/>
    <mergeCell ref="A41:B41"/>
    <mergeCell ref="A1:AA1"/>
    <mergeCell ref="A31:AA31"/>
    <mergeCell ref="A32:A34"/>
    <mergeCell ref="B32:B34"/>
    <mergeCell ref="C32:E32"/>
    <mergeCell ref="F32:W32"/>
    <mergeCell ref="X32:X34"/>
    <mergeCell ref="Y32:AA32"/>
    <mergeCell ref="C33:E33"/>
    <mergeCell ref="F33:H33"/>
    <mergeCell ref="I33:K33"/>
    <mergeCell ref="L33:N33"/>
    <mergeCell ref="O33:Q33"/>
    <mergeCell ref="A24:B24"/>
    <mergeCell ref="A25:B25"/>
    <mergeCell ref="A23:B23"/>
    <mergeCell ref="A2:A4"/>
    <mergeCell ref="B2:B4"/>
    <mergeCell ref="X2:X4"/>
    <mergeCell ref="C3:E3"/>
    <mergeCell ref="F3:H3"/>
    <mergeCell ref="I3:K3"/>
    <mergeCell ref="L3:N3"/>
    <mergeCell ref="O3:Q3"/>
    <mergeCell ref="R3:T3"/>
    <mergeCell ref="U3:W3"/>
    <mergeCell ref="F2:W2"/>
  </mergeCells>
  <pageMargins left="0.7" right="0.7" top="0.75" bottom="0.75" header="0.3" footer="0.3"/>
  <pageSetup paperSize="3" scale="7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T27"/>
  <sheetViews>
    <sheetView zoomScale="90" zoomScaleNormal="90" workbookViewId="0">
      <pane xSplit="2" ySplit="3" topLeftCell="C4" activePane="bottomRight" state="frozen"/>
      <selection pane="bottomRight" activeCell="B11" sqref="A11:XFD11"/>
      <selection pane="bottomLeft" activeCell="A4" sqref="A4"/>
      <selection pane="topRight" activeCell="C1" sqref="C1"/>
    </sheetView>
  </sheetViews>
  <sheetFormatPr defaultColWidth="9.140625" defaultRowHeight="12.75"/>
  <cols>
    <col min="1" max="1" width="12" style="256" customWidth="1"/>
    <col min="2" max="2" width="41.42578125" style="256" customWidth="1"/>
    <col min="3" max="8" width="9.140625" style="256"/>
    <col min="9" max="13" width="12.5703125" style="256" customWidth="1"/>
    <col min="14" max="14" width="21" style="256" customWidth="1"/>
    <col min="15" max="15" width="15.28515625" style="1" customWidth="1"/>
    <col min="16" max="16" width="42.42578125" style="256" customWidth="1"/>
    <col min="17" max="17" width="21" style="256" customWidth="1"/>
    <col min="18" max="22" width="12.140625" style="256" customWidth="1"/>
    <col min="23" max="24" width="13.85546875" style="256" customWidth="1"/>
    <col min="25" max="30" width="11.42578125" style="256" customWidth="1"/>
    <col min="31" max="31" width="14.85546875" style="1" customWidth="1"/>
    <col min="32" max="32" width="41.7109375" style="1" customWidth="1"/>
    <col min="33" max="33" width="11.42578125" style="1" customWidth="1"/>
    <col min="34" max="42" width="11.42578125" style="256" customWidth="1"/>
    <col min="43" max="16384" width="9.140625" style="256"/>
  </cols>
  <sheetData>
    <row r="1" spans="1:46" ht="27" customHeight="1" thickBot="1">
      <c r="A1" s="3402" t="s">
        <v>648</v>
      </c>
      <c r="B1" s="3402"/>
      <c r="C1" s="3402"/>
      <c r="D1" s="3402"/>
      <c r="E1" s="3402"/>
      <c r="F1" s="3402"/>
      <c r="G1" s="3402"/>
      <c r="H1" s="3402"/>
      <c r="I1" s="3402"/>
      <c r="J1" s="3402"/>
      <c r="K1" s="3402"/>
      <c r="L1" s="3402"/>
      <c r="M1" s="3402"/>
      <c r="N1" s="3402"/>
      <c r="O1" s="3402" t="s">
        <v>649</v>
      </c>
      <c r="P1" s="3402"/>
      <c r="Q1" s="3402"/>
      <c r="R1" s="3402"/>
      <c r="S1" s="3402"/>
      <c r="T1" s="3402"/>
      <c r="U1" s="3402"/>
      <c r="V1" s="3402"/>
      <c r="W1" s="3402"/>
      <c r="X1" s="3402"/>
      <c r="Y1" s="3402"/>
      <c r="Z1" s="3402"/>
      <c r="AA1" s="3402"/>
      <c r="AB1" s="3402"/>
      <c r="AC1" s="3402"/>
      <c r="AD1" s="3402"/>
      <c r="AE1" s="3224" t="s">
        <v>649</v>
      </c>
      <c r="AF1" s="3224"/>
      <c r="AG1" s="3224"/>
      <c r="AH1" s="3224"/>
      <c r="AI1" s="3224"/>
      <c r="AJ1" s="3224"/>
      <c r="AK1" s="3224"/>
      <c r="AL1" s="3224"/>
      <c r="AM1" s="3224"/>
      <c r="AN1" s="3224"/>
      <c r="AO1" s="3224"/>
      <c r="AP1" s="3224"/>
      <c r="AQ1" s="3224"/>
      <c r="AR1" s="3224"/>
      <c r="AS1" s="3224"/>
    </row>
    <row r="2" spans="1:46" ht="38.25" customHeight="1" thickBot="1">
      <c r="A2" s="3233" t="s">
        <v>85</v>
      </c>
      <c r="B2" s="3238" t="s">
        <v>632</v>
      </c>
      <c r="C2" s="3238" t="s">
        <v>2</v>
      </c>
      <c r="D2" s="3221" t="s">
        <v>650</v>
      </c>
      <c r="E2" s="3222"/>
      <c r="F2" s="3222"/>
      <c r="G2" s="3222"/>
      <c r="H2" s="3222"/>
      <c r="I2" s="3261" t="s">
        <v>634</v>
      </c>
      <c r="J2" s="3262"/>
      <c r="K2" s="3262"/>
      <c r="L2" s="3262"/>
      <c r="M2" s="3262"/>
      <c r="N2" s="3474" t="s">
        <v>277</v>
      </c>
      <c r="O2" s="3297" t="s">
        <v>85</v>
      </c>
      <c r="P2" s="3300" t="s">
        <v>632</v>
      </c>
      <c r="Q2" s="3300" t="s">
        <v>2</v>
      </c>
      <c r="R2" s="3261" t="s">
        <v>651</v>
      </c>
      <c r="S2" s="3262"/>
      <c r="T2" s="3262"/>
      <c r="U2" s="3262"/>
      <c r="V2" s="3262"/>
      <c r="W2" s="3209" t="s">
        <v>652</v>
      </c>
      <c r="X2" s="3209" t="s">
        <v>653</v>
      </c>
      <c r="Y2" s="3261" t="s">
        <v>654</v>
      </c>
      <c r="Z2" s="3262"/>
      <c r="AA2" s="3262"/>
      <c r="AB2" s="3262"/>
      <c r="AC2" s="3262"/>
      <c r="AD2" s="3263"/>
      <c r="AE2" s="3297" t="s">
        <v>85</v>
      </c>
      <c r="AF2" s="3300" t="s">
        <v>632</v>
      </c>
      <c r="AG2" s="3300" t="s">
        <v>2</v>
      </c>
      <c r="AH2" s="3471" t="s">
        <v>655</v>
      </c>
      <c r="AI2" s="3472"/>
      <c r="AJ2" s="3472"/>
      <c r="AK2" s="3472"/>
      <c r="AL2" s="3472"/>
      <c r="AM2" s="3473"/>
      <c r="AN2" s="3221" t="s">
        <v>656</v>
      </c>
      <c r="AO2" s="3222"/>
      <c r="AP2" s="3222"/>
      <c r="AQ2" s="3222"/>
      <c r="AR2" s="3222"/>
      <c r="AS2" s="3223"/>
    </row>
    <row r="3" spans="1:46" ht="38.25" customHeight="1">
      <c r="A3" s="3235"/>
      <c r="B3" s="3240"/>
      <c r="C3" s="3240"/>
      <c r="D3" s="3017">
        <v>2014</v>
      </c>
      <c r="E3" s="3053">
        <v>2015</v>
      </c>
      <c r="F3" s="3053">
        <v>2016</v>
      </c>
      <c r="G3" s="1779">
        <v>2017</v>
      </c>
      <c r="H3" s="3052">
        <v>2018</v>
      </c>
      <c r="I3" s="3022">
        <v>2014</v>
      </c>
      <c r="J3" s="1780">
        <v>2015</v>
      </c>
      <c r="K3" s="1780">
        <v>2016</v>
      </c>
      <c r="L3" s="1781">
        <v>2017</v>
      </c>
      <c r="M3" s="3050">
        <v>2018</v>
      </c>
      <c r="N3" s="3475"/>
      <c r="O3" s="3299"/>
      <c r="P3" s="3302"/>
      <c r="Q3" s="3302"/>
      <c r="R3" s="3022">
        <v>2014</v>
      </c>
      <c r="S3" s="1780">
        <v>2015</v>
      </c>
      <c r="T3" s="1780">
        <v>2016</v>
      </c>
      <c r="U3" s="1781">
        <v>2017</v>
      </c>
      <c r="V3" s="3050">
        <v>2018</v>
      </c>
      <c r="W3" s="3211"/>
      <c r="X3" s="3211"/>
      <c r="Y3" s="1782">
        <v>2020</v>
      </c>
      <c r="Z3" s="1749">
        <v>2025</v>
      </c>
      <c r="AA3" s="1749">
        <v>2030</v>
      </c>
      <c r="AB3" s="1749">
        <v>2035</v>
      </c>
      <c r="AC3" s="1749">
        <v>2040</v>
      </c>
      <c r="AD3" s="3051">
        <v>2045</v>
      </c>
      <c r="AE3" s="3299"/>
      <c r="AF3" s="3302"/>
      <c r="AG3" s="3302"/>
      <c r="AH3" s="1760">
        <v>2020</v>
      </c>
      <c r="AI3" s="1761">
        <v>2025</v>
      </c>
      <c r="AJ3" s="1761">
        <v>2030</v>
      </c>
      <c r="AK3" s="1761">
        <v>2035</v>
      </c>
      <c r="AL3" s="1761">
        <v>2040</v>
      </c>
      <c r="AM3" s="1783">
        <v>2045</v>
      </c>
      <c r="AN3" s="1760">
        <v>2020</v>
      </c>
      <c r="AO3" s="1761">
        <v>2025</v>
      </c>
      <c r="AP3" s="1761">
        <v>2030</v>
      </c>
      <c r="AQ3" s="1761">
        <v>2035</v>
      </c>
      <c r="AR3" s="1761">
        <v>2040</v>
      </c>
      <c r="AS3" s="1944">
        <v>2045</v>
      </c>
    </row>
    <row r="4" spans="1:46" ht="26.25" customHeight="1">
      <c r="A4" s="3233" t="s">
        <v>278</v>
      </c>
      <c r="B4" s="79" t="s">
        <v>635</v>
      </c>
      <c r="C4" s="1120" t="s">
        <v>15</v>
      </c>
      <c r="D4" s="1299">
        <v>0.28499999999999998</v>
      </c>
      <c r="E4" s="75">
        <v>0.51</v>
      </c>
      <c r="F4" s="74">
        <v>0.753</v>
      </c>
      <c r="G4" s="162">
        <v>0.51200000000000001</v>
      </c>
      <c r="H4" s="269">
        <v>0.56299999999999994</v>
      </c>
      <c r="I4" s="1158">
        <v>0</v>
      </c>
      <c r="J4" s="75">
        <v>0</v>
      </c>
      <c r="K4" s="75">
        <v>0</v>
      </c>
      <c r="L4" s="75">
        <v>0</v>
      </c>
      <c r="M4" s="1159">
        <v>0</v>
      </c>
      <c r="N4" s="1154"/>
      <c r="O4" s="3297" t="s">
        <v>278</v>
      </c>
      <c r="P4" s="443" t="s">
        <v>635</v>
      </c>
      <c r="Q4" s="1120" t="s">
        <v>15</v>
      </c>
      <c r="R4" s="1420">
        <v>70.599999999999994</v>
      </c>
      <c r="S4" s="1421">
        <v>72.7</v>
      </c>
      <c r="T4" s="1421">
        <v>73.900000000000006</v>
      </c>
      <c r="U4" s="1421">
        <v>72.2</v>
      </c>
      <c r="V4" s="1775">
        <v>70.400000000000006</v>
      </c>
      <c r="W4" s="1776">
        <f>(D4+E4+F4+G4+H4)/(R4+S4+T4+U4+V4)</f>
        <v>7.2899999999999996E-3</v>
      </c>
      <c r="X4" s="1777">
        <f>(I4+J4+K4+L4+M4)/(R4+S4+T4+U4+V4)</f>
        <v>0</v>
      </c>
      <c r="Y4" s="1420">
        <v>72.099999999999994</v>
      </c>
      <c r="Z4" s="1421">
        <f>Z7-(SUM(Z5:Z6))</f>
        <v>75.400000000000006</v>
      </c>
      <c r="AA4" s="1421">
        <f t="shared" ref="AA4:AD4" si="0">AA7-(SUM(AA5:AA6))</f>
        <v>77</v>
      </c>
      <c r="AB4" s="1421">
        <f t="shared" si="0"/>
        <v>80.2</v>
      </c>
      <c r="AC4" s="1421">
        <f t="shared" si="0"/>
        <v>83.4</v>
      </c>
      <c r="AD4" s="1421">
        <f t="shared" si="0"/>
        <v>87</v>
      </c>
      <c r="AE4" s="3297" t="s">
        <v>278</v>
      </c>
      <c r="AF4" s="993" t="s">
        <v>635</v>
      </c>
      <c r="AG4" s="753" t="s">
        <v>15</v>
      </c>
      <c r="AH4" s="129">
        <f>Y4*$W$4</f>
        <v>0.52600000000000002</v>
      </c>
      <c r="AI4" s="75">
        <f t="shared" ref="AI4:AM4" si="1">Z4*$W$4</f>
        <v>0.55000000000000004</v>
      </c>
      <c r="AJ4" s="75">
        <f t="shared" si="1"/>
        <v>0.56100000000000005</v>
      </c>
      <c r="AK4" s="75">
        <f t="shared" si="1"/>
        <v>0.58499999999999996</v>
      </c>
      <c r="AL4" s="75">
        <f t="shared" si="1"/>
        <v>0.60799999999999998</v>
      </c>
      <c r="AM4" s="177">
        <f t="shared" si="1"/>
        <v>0.63400000000000001</v>
      </c>
      <c r="AN4" s="1004">
        <f>Y4*$X$4</f>
        <v>0</v>
      </c>
      <c r="AO4" s="1005">
        <f t="shared" ref="AO4:AS4" si="2">Z4*$X$4</f>
        <v>0</v>
      </c>
      <c r="AP4" s="1005">
        <f t="shared" si="2"/>
        <v>0</v>
      </c>
      <c r="AQ4" s="1005">
        <f t="shared" si="2"/>
        <v>0</v>
      </c>
      <c r="AR4" s="1005">
        <f t="shared" si="2"/>
        <v>0</v>
      </c>
      <c r="AS4" s="1778">
        <f t="shared" si="2"/>
        <v>0</v>
      </c>
    </row>
    <row r="5" spans="1:46" ht="26.25" customHeight="1">
      <c r="A5" s="3234"/>
      <c r="B5" s="1195" t="s">
        <v>636</v>
      </c>
      <c r="C5" s="1892" t="s">
        <v>17</v>
      </c>
      <c r="D5" s="2963">
        <v>0.47</v>
      </c>
      <c r="E5" s="2961">
        <v>0.27600000000000002</v>
      </c>
      <c r="F5" s="2961">
        <v>3.7999999999999999E-2</v>
      </c>
      <c r="G5" s="2962">
        <v>0.24199999999999999</v>
      </c>
      <c r="H5" s="2467">
        <v>0.379</v>
      </c>
      <c r="I5" s="809">
        <v>0</v>
      </c>
      <c r="J5" s="819">
        <v>0</v>
      </c>
      <c r="K5" s="819">
        <v>0</v>
      </c>
      <c r="L5" s="819">
        <v>0</v>
      </c>
      <c r="M5" s="2964">
        <v>0</v>
      </c>
      <c r="N5" s="2965"/>
      <c r="O5" s="3298"/>
      <c r="P5" s="1195" t="s">
        <v>636</v>
      </c>
      <c r="Q5" s="455" t="s">
        <v>17</v>
      </c>
      <c r="R5" s="2966">
        <v>68.3</v>
      </c>
      <c r="S5" s="2967">
        <v>70.3</v>
      </c>
      <c r="T5" s="2967">
        <v>71.400000000000006</v>
      </c>
      <c r="U5" s="2967">
        <v>69.8</v>
      </c>
      <c r="V5" s="2968">
        <v>68.099999999999994</v>
      </c>
      <c r="W5" s="1776">
        <f>(D5+E5+F5+G5+H5)/(R5+S5+T5+U5+V5)</f>
        <v>4.0400000000000002E-3</v>
      </c>
      <c r="X5" s="1777">
        <f>(I5+J5+K5+L5+M5)/(R5+S5+T5+U5+V5)</f>
        <v>0</v>
      </c>
      <c r="Y5" s="2966">
        <v>69.7</v>
      </c>
      <c r="Z5" s="2967">
        <v>66.099999999999994</v>
      </c>
      <c r="AA5" s="2967">
        <v>67.599999999999994</v>
      </c>
      <c r="AB5" s="2967">
        <v>70.400000000000006</v>
      </c>
      <c r="AC5" s="2967">
        <v>73.3</v>
      </c>
      <c r="AD5" s="2969">
        <v>76.3</v>
      </c>
      <c r="AE5" s="3298"/>
      <c r="AF5" s="1195" t="s">
        <v>636</v>
      </c>
      <c r="AG5" s="455" t="s">
        <v>17</v>
      </c>
      <c r="AH5" s="1158">
        <f>Y5*$W$5</f>
        <v>0.28199999999999997</v>
      </c>
      <c r="AI5" s="2406">
        <f t="shared" ref="AI5:AM5" si="3">Z5*$W$5</f>
        <v>0.26700000000000002</v>
      </c>
      <c r="AJ5" s="2406">
        <f t="shared" si="3"/>
        <v>0.27300000000000002</v>
      </c>
      <c r="AK5" s="2406">
        <f t="shared" si="3"/>
        <v>0.28399999999999997</v>
      </c>
      <c r="AL5" s="2406">
        <f t="shared" si="3"/>
        <v>0.29599999999999999</v>
      </c>
      <c r="AM5" s="818">
        <f t="shared" si="3"/>
        <v>0.308</v>
      </c>
      <c r="AN5" s="2982">
        <f>Y5*$X$5</f>
        <v>0</v>
      </c>
      <c r="AO5" s="1270">
        <f t="shared" ref="AO5:AS5" si="4">Z5*$X$5</f>
        <v>0</v>
      </c>
      <c r="AP5" s="2826">
        <f t="shared" si="4"/>
        <v>0</v>
      </c>
      <c r="AQ5" s="1270">
        <f t="shared" si="4"/>
        <v>0</v>
      </c>
      <c r="AR5" s="2826">
        <f t="shared" si="4"/>
        <v>0</v>
      </c>
      <c r="AS5" s="2983">
        <f t="shared" si="4"/>
        <v>0</v>
      </c>
      <c r="AT5" s="2981"/>
    </row>
    <row r="6" spans="1:46" ht="26.25" customHeight="1" thickBot="1">
      <c r="A6" s="3234"/>
      <c r="B6" s="80" t="s">
        <v>657</v>
      </c>
      <c r="C6" s="579" t="s">
        <v>17</v>
      </c>
      <c r="D6" s="1907">
        <v>1.9650000000000001</v>
      </c>
      <c r="E6" s="746">
        <v>1.4890000000000001</v>
      </c>
      <c r="F6" s="746">
        <v>1.4350000000000001</v>
      </c>
      <c r="G6" s="866">
        <v>1.258</v>
      </c>
      <c r="H6" s="869">
        <v>1.2509999999999999</v>
      </c>
      <c r="I6" s="1160">
        <v>0</v>
      </c>
      <c r="J6" s="991">
        <v>0</v>
      </c>
      <c r="K6" s="991">
        <v>0</v>
      </c>
      <c r="L6" s="991">
        <v>0</v>
      </c>
      <c r="M6" s="1908">
        <v>0</v>
      </c>
      <c r="N6" s="1909"/>
      <c r="O6" s="3298"/>
      <c r="P6" s="80" t="s">
        <v>657</v>
      </c>
      <c r="Q6" s="608" t="s">
        <v>17</v>
      </c>
      <c r="R6" s="1415">
        <v>270.10000000000002</v>
      </c>
      <c r="S6" s="1414">
        <v>278</v>
      </c>
      <c r="T6" s="1414">
        <v>282.7</v>
      </c>
      <c r="U6" s="1414">
        <v>276.10000000000002</v>
      </c>
      <c r="V6" s="1416">
        <v>269.5</v>
      </c>
      <c r="W6" s="1391">
        <f t="shared" ref="W6:W20" si="5">(D6+E6+F6+G6+H6)/(R6+S6+T6+U6+V6)</f>
        <v>5.3699999999999998E-3</v>
      </c>
      <c r="X6" s="1910">
        <f t="shared" ref="X6:X20" si="6">(I6+J6+K6+L6+M6)/(R6+S6+T6+U6+V6)</f>
        <v>0</v>
      </c>
      <c r="Y6" s="1411">
        <v>275.8</v>
      </c>
      <c r="Z6" s="1412">
        <v>261.5</v>
      </c>
      <c r="AA6" s="1412">
        <v>267.39999999999998</v>
      </c>
      <c r="AB6" s="1412">
        <v>278.39999999999998</v>
      </c>
      <c r="AC6" s="1412">
        <v>289.89999999999998</v>
      </c>
      <c r="AD6" s="1422">
        <v>301.8</v>
      </c>
      <c r="AE6" s="3298"/>
      <c r="AF6" s="175" t="s">
        <v>637</v>
      </c>
      <c r="AG6" s="2971" t="s">
        <v>17</v>
      </c>
      <c r="AH6" s="1874">
        <f>Y6*$W$6</f>
        <v>1.4810000000000001</v>
      </c>
      <c r="AI6" s="746">
        <f t="shared" ref="AI6:AM6" si="7">Z6*$W$6</f>
        <v>1.4039999999999999</v>
      </c>
      <c r="AJ6" s="746">
        <f t="shared" si="7"/>
        <v>1.4359999999999999</v>
      </c>
      <c r="AK6" s="746">
        <f t="shared" si="7"/>
        <v>1.4950000000000001</v>
      </c>
      <c r="AL6" s="746">
        <f t="shared" si="7"/>
        <v>1.5569999999999999</v>
      </c>
      <c r="AM6" s="747">
        <f t="shared" si="7"/>
        <v>1.621</v>
      </c>
      <c r="AN6" s="1911">
        <f>Y6*$X$6</f>
        <v>0</v>
      </c>
      <c r="AO6" s="867">
        <f t="shared" ref="AO6:AS6" si="8">Z6*$X$6</f>
        <v>0</v>
      </c>
      <c r="AP6" s="867">
        <f t="shared" si="8"/>
        <v>0</v>
      </c>
      <c r="AQ6" s="867">
        <f t="shared" si="8"/>
        <v>0</v>
      </c>
      <c r="AR6" s="867">
        <f t="shared" si="8"/>
        <v>0</v>
      </c>
      <c r="AS6" s="1263">
        <f t="shared" si="8"/>
        <v>0</v>
      </c>
    </row>
    <row r="7" spans="1:46" ht="14.25" customHeight="1">
      <c r="A7" s="3235"/>
      <c r="B7" s="3202" t="s">
        <v>18</v>
      </c>
      <c r="C7" s="3203"/>
      <c r="D7" s="1170">
        <f t="shared" ref="D7:M7" si="9">SUM(D4:D6)</f>
        <v>2.72</v>
      </c>
      <c r="E7" s="1171">
        <f t="shared" si="9"/>
        <v>2.2749999999999999</v>
      </c>
      <c r="F7" s="1171">
        <f t="shared" si="9"/>
        <v>2.226</v>
      </c>
      <c r="G7" s="1172">
        <f t="shared" si="9"/>
        <v>2.012</v>
      </c>
      <c r="H7" s="1168">
        <f t="shared" si="9"/>
        <v>2.1930000000000001</v>
      </c>
      <c r="I7" s="1163">
        <f t="shared" si="9"/>
        <v>0</v>
      </c>
      <c r="J7" s="280">
        <f t="shared" si="9"/>
        <v>0</v>
      </c>
      <c r="K7" s="280">
        <f t="shared" si="9"/>
        <v>0</v>
      </c>
      <c r="L7" s="280">
        <f t="shared" si="9"/>
        <v>0</v>
      </c>
      <c r="M7" s="1164">
        <f t="shared" si="9"/>
        <v>0</v>
      </c>
      <c r="N7" s="1155"/>
      <c r="O7" s="3299"/>
      <c r="P7" s="3202" t="s">
        <v>18</v>
      </c>
      <c r="Q7" s="3203"/>
      <c r="R7" s="1417">
        <f>SUM(R4:R6)</f>
        <v>409</v>
      </c>
      <c r="S7" s="1418">
        <f t="shared" ref="S7:V7" si="10">SUM(S4:S6)</f>
        <v>421</v>
      </c>
      <c r="T7" s="1418">
        <f t="shared" si="10"/>
        <v>428</v>
      </c>
      <c r="U7" s="1418">
        <f t="shared" si="10"/>
        <v>418.1</v>
      </c>
      <c r="V7" s="1419">
        <f t="shared" si="10"/>
        <v>408</v>
      </c>
      <c r="W7" s="1285">
        <f t="shared" si="5"/>
        <v>5.4799999999999996E-3</v>
      </c>
      <c r="X7" s="1286">
        <f t="shared" si="6"/>
        <v>0</v>
      </c>
      <c r="Y7" s="1423">
        <f>SUM(Y4:Y6)</f>
        <v>417.6</v>
      </c>
      <c r="Z7" s="1424">
        <v>403</v>
      </c>
      <c r="AA7" s="1424">
        <v>412</v>
      </c>
      <c r="AB7" s="1424">
        <v>429</v>
      </c>
      <c r="AC7" s="1425">
        <v>446.6</v>
      </c>
      <c r="AD7" s="1426">
        <v>465.1</v>
      </c>
      <c r="AE7" s="3299"/>
      <c r="AF7" s="3476" t="s">
        <v>18</v>
      </c>
      <c r="AG7" s="3477"/>
      <c r="AH7" s="1264">
        <f t="shared" ref="AH7:AR7" si="11">SUM(AH4:AH6)</f>
        <v>2.2890000000000001</v>
      </c>
      <c r="AI7" s="1265">
        <f t="shared" si="11"/>
        <v>2.2210000000000001</v>
      </c>
      <c r="AJ7" s="1265">
        <f t="shared" si="11"/>
        <v>2.27</v>
      </c>
      <c r="AK7" s="1265">
        <f t="shared" si="11"/>
        <v>2.3639999999999999</v>
      </c>
      <c r="AL7" s="1265">
        <f t="shared" si="11"/>
        <v>2.4609999999999999</v>
      </c>
      <c r="AM7" s="1266">
        <f t="shared" ref="AM7" si="12">SUM(AM4:AM6)</f>
        <v>2.5630000000000002</v>
      </c>
      <c r="AN7" s="1264">
        <f t="shared" si="11"/>
        <v>0</v>
      </c>
      <c r="AO7" s="1265">
        <f t="shared" si="11"/>
        <v>0</v>
      </c>
      <c r="AP7" s="1265">
        <f t="shared" si="11"/>
        <v>0</v>
      </c>
      <c r="AQ7" s="1265">
        <f t="shared" si="11"/>
        <v>0</v>
      </c>
      <c r="AR7" s="1265">
        <f t="shared" si="11"/>
        <v>0</v>
      </c>
      <c r="AS7" s="1267">
        <f t="shared" ref="AS7" si="13">SUM(AS4:AS6)</f>
        <v>0</v>
      </c>
    </row>
    <row r="8" spans="1:46" ht="114.75">
      <c r="A8" s="3234" t="s">
        <v>589</v>
      </c>
      <c r="B8" s="1120" t="s">
        <v>638</v>
      </c>
      <c r="C8" s="1173" t="s">
        <v>15</v>
      </c>
      <c r="D8" s="1165">
        <v>0.307</v>
      </c>
      <c r="E8" s="750">
        <v>0.26200000000000001</v>
      </c>
      <c r="F8" s="83">
        <v>0.32900000000000001</v>
      </c>
      <c r="G8" s="63">
        <v>0.20499999999999999</v>
      </c>
      <c r="H8" s="289">
        <v>0.25800000000000001</v>
      </c>
      <c r="I8" s="1161">
        <v>603.58699999999999</v>
      </c>
      <c r="J8" s="1176">
        <v>609.08299999999997</v>
      </c>
      <c r="K8" s="1176">
        <v>663.97299999999996</v>
      </c>
      <c r="L8" s="754">
        <v>512.06299999999999</v>
      </c>
      <c r="M8" s="1386">
        <v>666.15800000000002</v>
      </c>
      <c r="N8" s="1217" t="s">
        <v>658</v>
      </c>
      <c r="O8" s="3297" t="s">
        <v>589</v>
      </c>
      <c r="P8" s="753" t="s">
        <v>638</v>
      </c>
      <c r="Q8" s="753" t="s">
        <v>15</v>
      </c>
      <c r="R8" s="1427">
        <v>1196</v>
      </c>
      <c r="S8" s="1428">
        <v>1212</v>
      </c>
      <c r="T8" s="1428">
        <v>1132</v>
      </c>
      <c r="U8" s="1428">
        <v>1050</v>
      </c>
      <c r="V8" s="1446">
        <v>1304</v>
      </c>
      <c r="W8" s="1287">
        <f t="shared" si="5"/>
        <v>2.3000000000000001E-4</v>
      </c>
      <c r="X8" s="1287">
        <f t="shared" si="6"/>
        <v>0.51829999999999998</v>
      </c>
      <c r="Y8" s="1427">
        <v>1212</v>
      </c>
      <c r="Z8" s="1428">
        <v>1245</v>
      </c>
      <c r="AA8" s="1428">
        <v>1297</v>
      </c>
      <c r="AB8" s="1428">
        <v>1396</v>
      </c>
      <c r="AC8" s="1428">
        <v>1502</v>
      </c>
      <c r="AD8" s="1431">
        <v>1616</v>
      </c>
      <c r="AE8" s="3297" t="s">
        <v>589</v>
      </c>
      <c r="AF8" s="753" t="s">
        <v>638</v>
      </c>
      <c r="AG8" s="753" t="s">
        <v>15</v>
      </c>
      <c r="AH8" s="1018">
        <f t="shared" ref="AH8:AM8" si="14">Y8*$W$8</f>
        <v>0.27900000000000003</v>
      </c>
      <c r="AI8" s="83">
        <f t="shared" si="14"/>
        <v>0.28599999999999998</v>
      </c>
      <c r="AJ8" s="83">
        <f t="shared" si="14"/>
        <v>0.29799999999999999</v>
      </c>
      <c r="AK8" s="83">
        <f t="shared" si="14"/>
        <v>0.32100000000000001</v>
      </c>
      <c r="AL8" s="83">
        <f t="shared" si="14"/>
        <v>0.34499999999999997</v>
      </c>
      <c r="AM8" s="132">
        <f t="shared" si="14"/>
        <v>0.372</v>
      </c>
      <c r="AN8" s="1018">
        <f t="shared" ref="AN8:AS8" si="15">Y8*$X$8</f>
        <v>628.17999999999995</v>
      </c>
      <c r="AO8" s="83">
        <f t="shared" si="15"/>
        <v>645.28399999999999</v>
      </c>
      <c r="AP8" s="83">
        <f t="shared" si="15"/>
        <v>672.23500000000001</v>
      </c>
      <c r="AQ8" s="83">
        <f t="shared" si="15"/>
        <v>723.54700000000003</v>
      </c>
      <c r="AR8" s="83">
        <f t="shared" si="15"/>
        <v>778.48699999999997</v>
      </c>
      <c r="AS8" s="1268">
        <f t="shared" si="15"/>
        <v>837.57299999999998</v>
      </c>
    </row>
    <row r="9" spans="1:46" ht="114.75">
      <c r="A9" s="3234"/>
      <c r="B9" s="1138" t="s">
        <v>639</v>
      </c>
      <c r="C9" s="1903" t="s">
        <v>15</v>
      </c>
      <c r="D9" s="1361">
        <v>1.871</v>
      </c>
      <c r="E9" s="810">
        <v>2.0289999999999999</v>
      </c>
      <c r="F9" s="810">
        <v>1.5289999999999999</v>
      </c>
      <c r="G9" s="1859">
        <v>1.9330000000000001</v>
      </c>
      <c r="H9" s="817">
        <v>2.4950000000000001</v>
      </c>
      <c r="I9" s="809">
        <v>0</v>
      </c>
      <c r="J9" s="819">
        <v>0</v>
      </c>
      <c r="K9" s="819">
        <v>0</v>
      </c>
      <c r="L9" s="819">
        <v>0</v>
      </c>
      <c r="M9" s="1912">
        <v>0</v>
      </c>
      <c r="N9" s="1784" t="s">
        <v>658</v>
      </c>
      <c r="O9" s="3298"/>
      <c r="P9" s="868" t="s">
        <v>639</v>
      </c>
      <c r="Q9" s="868" t="s">
        <v>15</v>
      </c>
      <c r="R9" s="1448">
        <v>728</v>
      </c>
      <c r="S9" s="1449">
        <v>739</v>
      </c>
      <c r="T9" s="1449">
        <v>690</v>
      </c>
      <c r="U9" s="1449">
        <v>640</v>
      </c>
      <c r="V9" s="1447">
        <v>795</v>
      </c>
      <c r="W9" s="1288">
        <f t="shared" si="5"/>
        <v>2.7399999999999998E-3</v>
      </c>
      <c r="X9" s="1288">
        <f t="shared" si="6"/>
        <v>0</v>
      </c>
      <c r="Y9" s="1429">
        <v>738.3</v>
      </c>
      <c r="Z9" s="1430">
        <v>758.2</v>
      </c>
      <c r="AA9" s="1430">
        <v>790.3</v>
      </c>
      <c r="AB9" s="1430">
        <v>850.3</v>
      </c>
      <c r="AC9" s="1430">
        <v>914.8</v>
      </c>
      <c r="AD9" s="1438">
        <v>984.2</v>
      </c>
      <c r="AE9" s="3298"/>
      <c r="AF9" s="868" t="s">
        <v>639</v>
      </c>
      <c r="AG9" s="868" t="s">
        <v>15</v>
      </c>
      <c r="AH9" s="809">
        <f t="shared" ref="AH9:AM9" si="16">Y9*$W$9</f>
        <v>2.0230000000000001</v>
      </c>
      <c r="AI9" s="819">
        <f t="shared" si="16"/>
        <v>2.077</v>
      </c>
      <c r="AJ9" s="819">
        <f t="shared" si="16"/>
        <v>2.165</v>
      </c>
      <c r="AK9" s="819">
        <f t="shared" si="16"/>
        <v>2.33</v>
      </c>
      <c r="AL9" s="819">
        <f t="shared" si="16"/>
        <v>2.5070000000000001</v>
      </c>
      <c r="AM9" s="818">
        <f t="shared" si="16"/>
        <v>2.6970000000000001</v>
      </c>
      <c r="AN9" s="1269">
        <f>Y9*$X$9</f>
        <v>0</v>
      </c>
      <c r="AO9" s="1270">
        <f t="shared" ref="AO9:AS9" si="17">Z9*$X$9</f>
        <v>0</v>
      </c>
      <c r="AP9" s="1270">
        <f t="shared" si="17"/>
        <v>0</v>
      </c>
      <c r="AQ9" s="1270">
        <f t="shared" si="17"/>
        <v>0</v>
      </c>
      <c r="AR9" s="1270">
        <f t="shared" si="17"/>
        <v>0</v>
      </c>
      <c r="AS9" s="1271">
        <f t="shared" si="17"/>
        <v>0</v>
      </c>
    </row>
    <row r="10" spans="1:46" ht="114.75">
      <c r="A10" s="3234"/>
      <c r="B10" s="1892" t="s">
        <v>659</v>
      </c>
      <c r="C10" s="1903" t="s">
        <v>15</v>
      </c>
      <c r="D10" s="1361">
        <v>3.7109999999999999</v>
      </c>
      <c r="E10" s="810">
        <v>3.4750000000000001</v>
      </c>
      <c r="F10" s="819">
        <v>3.1419999999999999</v>
      </c>
      <c r="G10" s="1859">
        <v>2.75</v>
      </c>
      <c r="H10" s="817">
        <v>0.22</v>
      </c>
      <c r="I10" s="809">
        <v>44.01</v>
      </c>
      <c r="J10" s="819">
        <v>0</v>
      </c>
      <c r="K10" s="810">
        <v>39.517000000000003</v>
      </c>
      <c r="L10" s="810">
        <v>41.89</v>
      </c>
      <c r="M10" s="1913">
        <v>0.19</v>
      </c>
      <c r="N10" s="1784" t="s">
        <v>658</v>
      </c>
      <c r="O10" s="3298"/>
      <c r="P10" s="1450" t="s">
        <v>659</v>
      </c>
      <c r="Q10" s="868" t="s">
        <v>15</v>
      </c>
      <c r="R10" s="1448">
        <v>899</v>
      </c>
      <c r="S10" s="1449">
        <v>912</v>
      </c>
      <c r="T10" s="1449">
        <v>852</v>
      </c>
      <c r="U10" s="1449">
        <v>790</v>
      </c>
      <c r="V10" s="1447">
        <v>981</v>
      </c>
      <c r="W10" s="1288">
        <f t="shared" si="5"/>
        <v>3.0000000000000001E-3</v>
      </c>
      <c r="X10" s="1288">
        <f t="shared" si="6"/>
        <v>2.8330000000000001E-2</v>
      </c>
      <c r="Y10" s="1429">
        <v>911.7</v>
      </c>
      <c r="Z10" s="1430">
        <v>936.2</v>
      </c>
      <c r="AA10" s="1430">
        <v>975.9</v>
      </c>
      <c r="AB10" s="1449">
        <v>1050</v>
      </c>
      <c r="AC10" s="1449">
        <v>1129.7</v>
      </c>
      <c r="AD10" s="1826">
        <v>1215.4000000000001</v>
      </c>
      <c r="AE10" s="3298"/>
      <c r="AF10" s="1450" t="s">
        <v>659</v>
      </c>
      <c r="AG10" s="868" t="s">
        <v>15</v>
      </c>
      <c r="AH10" s="809">
        <f t="shared" ref="AH10:AM10" si="18">Y10*$W$10</f>
        <v>2.7349999999999999</v>
      </c>
      <c r="AI10" s="819">
        <f t="shared" si="18"/>
        <v>2.8090000000000002</v>
      </c>
      <c r="AJ10" s="819">
        <f t="shared" si="18"/>
        <v>2.9279999999999999</v>
      </c>
      <c r="AK10" s="819">
        <f t="shared" si="18"/>
        <v>3.15</v>
      </c>
      <c r="AL10" s="819">
        <f t="shared" si="18"/>
        <v>3.3889999999999998</v>
      </c>
      <c r="AM10" s="818">
        <f t="shared" si="18"/>
        <v>3.6459999999999999</v>
      </c>
      <c r="AN10" s="809">
        <f t="shared" ref="AN10:AS10" si="19">Y10*$X$10</f>
        <v>25.827999999999999</v>
      </c>
      <c r="AO10" s="819">
        <f t="shared" si="19"/>
        <v>26.523</v>
      </c>
      <c r="AP10" s="819">
        <f t="shared" si="19"/>
        <v>27.646999999999998</v>
      </c>
      <c r="AQ10" s="819">
        <f t="shared" si="19"/>
        <v>29.747</v>
      </c>
      <c r="AR10" s="819">
        <f t="shared" si="19"/>
        <v>32.003999999999998</v>
      </c>
      <c r="AS10" s="1272">
        <f t="shared" si="19"/>
        <v>34.432000000000002</v>
      </c>
    </row>
    <row r="11" spans="1:46" ht="26.25" thickBot="1">
      <c r="A11" s="3234"/>
      <c r="B11" s="80" t="s">
        <v>660</v>
      </c>
      <c r="C11" s="1906" t="s">
        <v>15</v>
      </c>
      <c r="D11" s="1907">
        <v>0.78</v>
      </c>
      <c r="E11" s="749">
        <v>0.60299999999999998</v>
      </c>
      <c r="F11" s="746">
        <v>0.153</v>
      </c>
      <c r="G11" s="866">
        <v>0.83</v>
      </c>
      <c r="H11" s="869">
        <v>0</v>
      </c>
      <c r="I11" s="1160">
        <v>0</v>
      </c>
      <c r="J11" s="991">
        <v>0</v>
      </c>
      <c r="K11" s="991">
        <v>0</v>
      </c>
      <c r="L11" s="991">
        <v>0</v>
      </c>
      <c r="M11" s="1908">
        <v>0</v>
      </c>
      <c r="N11" s="1785" t="s">
        <v>661</v>
      </c>
      <c r="O11" s="3298"/>
      <c r="P11" s="175" t="s">
        <v>662</v>
      </c>
      <c r="Q11" s="1016" t="s">
        <v>15</v>
      </c>
      <c r="R11" s="1411">
        <v>258</v>
      </c>
      <c r="S11" s="1412">
        <v>258</v>
      </c>
      <c r="T11" s="1412">
        <v>258</v>
      </c>
      <c r="U11" s="1412">
        <v>258</v>
      </c>
      <c r="V11" s="1413">
        <v>0</v>
      </c>
      <c r="W11" s="1289">
        <f t="shared" si="5"/>
        <v>2.2899999999999999E-3</v>
      </c>
      <c r="X11" s="1289">
        <f t="shared" si="6"/>
        <v>0</v>
      </c>
      <c r="Y11" s="1411">
        <v>0</v>
      </c>
      <c r="Z11" s="1412">
        <v>0</v>
      </c>
      <c r="AA11" s="1412">
        <v>0</v>
      </c>
      <c r="AB11" s="1412">
        <v>0</v>
      </c>
      <c r="AC11" s="1412">
        <v>0</v>
      </c>
      <c r="AD11" s="1422">
        <v>0</v>
      </c>
      <c r="AE11" s="3298"/>
      <c r="AF11" s="175" t="s">
        <v>662</v>
      </c>
      <c r="AG11" s="1016" t="s">
        <v>15</v>
      </c>
      <c r="AH11" s="1874">
        <f t="shared" ref="AH11:AM11" si="20">Y11*$W$11</f>
        <v>0</v>
      </c>
      <c r="AI11" s="746">
        <f t="shared" si="20"/>
        <v>0</v>
      </c>
      <c r="AJ11" s="746">
        <f t="shared" si="20"/>
        <v>0</v>
      </c>
      <c r="AK11" s="746">
        <f t="shared" si="20"/>
        <v>0</v>
      </c>
      <c r="AL11" s="746">
        <f t="shared" si="20"/>
        <v>0</v>
      </c>
      <c r="AM11" s="747">
        <f t="shared" si="20"/>
        <v>0</v>
      </c>
      <c r="AN11" s="1911">
        <f>Y11*$X$11</f>
        <v>0</v>
      </c>
      <c r="AO11" s="867">
        <f t="shared" ref="AO11:AS11" si="21">Z11*$X$11</f>
        <v>0</v>
      </c>
      <c r="AP11" s="867">
        <f t="shared" si="21"/>
        <v>0</v>
      </c>
      <c r="AQ11" s="867">
        <f t="shared" si="21"/>
        <v>0</v>
      </c>
      <c r="AR11" s="867">
        <f t="shared" si="21"/>
        <v>0</v>
      </c>
      <c r="AS11" s="1263">
        <f t="shared" si="21"/>
        <v>0</v>
      </c>
    </row>
    <row r="12" spans="1:46" ht="14.25" thickTop="1" thickBot="1">
      <c r="A12" s="3235"/>
      <c r="B12" s="3202" t="s">
        <v>642</v>
      </c>
      <c r="C12" s="3401"/>
      <c r="D12" s="1162">
        <f t="shared" ref="D12:M12" si="22">SUM(D8:D11)</f>
        <v>6.6689999999999996</v>
      </c>
      <c r="E12" s="1168">
        <f t="shared" si="22"/>
        <v>6.3689999999999998</v>
      </c>
      <c r="F12" s="1168">
        <f t="shared" si="22"/>
        <v>5.1529999999999996</v>
      </c>
      <c r="G12" s="84">
        <f t="shared" si="22"/>
        <v>5.718</v>
      </c>
      <c r="H12" s="85">
        <f t="shared" si="22"/>
        <v>2.9729999999999999</v>
      </c>
      <c r="I12" s="1163">
        <f t="shared" si="22"/>
        <v>647.59699999999998</v>
      </c>
      <c r="J12" s="280">
        <f t="shared" si="22"/>
        <v>609.08299999999997</v>
      </c>
      <c r="K12" s="280">
        <f t="shared" si="22"/>
        <v>703.49</v>
      </c>
      <c r="L12" s="280">
        <f t="shared" si="22"/>
        <v>553.95299999999997</v>
      </c>
      <c r="M12" s="1164">
        <f t="shared" si="22"/>
        <v>666.34799999999996</v>
      </c>
      <c r="N12" s="1439"/>
      <c r="O12" s="3299"/>
      <c r="P12" s="3406" t="s">
        <v>642</v>
      </c>
      <c r="Q12" s="3408"/>
      <c r="R12" s="1432">
        <f>SUM(R8:R11)</f>
        <v>3081</v>
      </c>
      <c r="S12" s="1433">
        <f>SUM(S8:S11)</f>
        <v>3121</v>
      </c>
      <c r="T12" s="1433">
        <f>SUM(T8:T11)</f>
        <v>2932</v>
      </c>
      <c r="U12" s="1433">
        <f>SUM(U8:U11)</f>
        <v>2738</v>
      </c>
      <c r="V12" s="1437">
        <f>SUM(V8:V11)</f>
        <v>3080</v>
      </c>
      <c r="W12" s="1392">
        <f t="shared" si="5"/>
        <v>1.8E-3</v>
      </c>
      <c r="X12" s="1392">
        <f t="shared" si="6"/>
        <v>0.21271000000000001</v>
      </c>
      <c r="Y12" s="1434">
        <f t="shared" ref="Y12:AD12" si="23">SUM(Y8:Y11)</f>
        <v>2862</v>
      </c>
      <c r="Z12" s="1435">
        <f t="shared" si="23"/>
        <v>2939.4</v>
      </c>
      <c r="AA12" s="1435">
        <f t="shared" si="23"/>
        <v>3063.2</v>
      </c>
      <c r="AB12" s="1435">
        <f t="shared" si="23"/>
        <v>3296.3</v>
      </c>
      <c r="AC12" s="1435">
        <f t="shared" si="23"/>
        <v>3546.5</v>
      </c>
      <c r="AD12" s="1436">
        <f t="shared" si="23"/>
        <v>3815.6</v>
      </c>
      <c r="AE12" s="3299"/>
      <c r="AF12" s="3406" t="s">
        <v>642</v>
      </c>
      <c r="AG12" s="3408"/>
      <c r="AH12" s="1162">
        <f t="shared" ref="AH12:AS12" si="24">SUM(AH8:AH11)</f>
        <v>5.0369999999999999</v>
      </c>
      <c r="AI12" s="1168">
        <f t="shared" si="24"/>
        <v>5.1719999999999997</v>
      </c>
      <c r="AJ12" s="1168">
        <f t="shared" si="24"/>
        <v>5.391</v>
      </c>
      <c r="AK12" s="1168">
        <f t="shared" si="24"/>
        <v>5.8010000000000002</v>
      </c>
      <c r="AL12" s="1168">
        <f t="shared" si="24"/>
        <v>6.2409999999999997</v>
      </c>
      <c r="AM12" s="1278">
        <f t="shared" si="24"/>
        <v>6.7149999999999999</v>
      </c>
      <c r="AN12" s="1162">
        <f t="shared" si="24"/>
        <v>654.00800000000004</v>
      </c>
      <c r="AO12" s="1168">
        <f t="shared" si="24"/>
        <v>671.80700000000002</v>
      </c>
      <c r="AP12" s="1168">
        <f t="shared" si="24"/>
        <v>699.88199999999995</v>
      </c>
      <c r="AQ12" s="1168">
        <f t="shared" si="24"/>
        <v>753.29399999999998</v>
      </c>
      <c r="AR12" s="1168">
        <f t="shared" si="24"/>
        <v>810.49099999999999</v>
      </c>
      <c r="AS12" s="1279">
        <f t="shared" si="24"/>
        <v>872.005</v>
      </c>
    </row>
    <row r="13" spans="1:46" ht="25.5">
      <c r="A13" s="3233" t="s">
        <v>326</v>
      </c>
      <c r="B13" s="1120" t="s">
        <v>663</v>
      </c>
      <c r="C13" s="1173" t="s">
        <v>15</v>
      </c>
      <c r="D13" s="1166">
        <v>0.155</v>
      </c>
      <c r="E13" s="83">
        <v>0</v>
      </c>
      <c r="F13" s="750">
        <v>4.0000000000000001E-3</v>
      </c>
      <c r="G13" s="87">
        <v>0</v>
      </c>
      <c r="H13" s="289">
        <v>0</v>
      </c>
      <c r="I13" s="1166">
        <v>0.55600000000000005</v>
      </c>
      <c r="J13" s="83">
        <v>0</v>
      </c>
      <c r="K13" s="82">
        <v>0</v>
      </c>
      <c r="L13" s="82">
        <v>0</v>
      </c>
      <c r="M13" s="1386">
        <v>0</v>
      </c>
      <c r="N13" s="1440" t="s">
        <v>664</v>
      </c>
      <c r="O13" s="3297" t="s">
        <v>326</v>
      </c>
      <c r="P13" s="753" t="s">
        <v>643</v>
      </c>
      <c r="Q13" s="753" t="s">
        <v>15</v>
      </c>
      <c r="R13" s="131">
        <v>450.1</v>
      </c>
      <c r="S13" s="130">
        <v>453.1</v>
      </c>
      <c r="T13" s="130">
        <v>434.5</v>
      </c>
      <c r="U13" s="130">
        <v>461.1</v>
      </c>
      <c r="V13" s="1786">
        <v>0</v>
      </c>
      <c r="W13" s="1441">
        <f t="shared" si="5"/>
        <v>9.0000000000000006E-5</v>
      </c>
      <c r="X13" s="1442">
        <f t="shared" si="6"/>
        <v>3.1E-4</v>
      </c>
      <c r="Y13" s="1443">
        <v>0</v>
      </c>
      <c r="Z13" s="1444">
        <v>0</v>
      </c>
      <c r="AA13" s="1444">
        <v>0</v>
      </c>
      <c r="AB13" s="1444">
        <v>0</v>
      </c>
      <c r="AC13" s="1444">
        <v>0</v>
      </c>
      <c r="AD13" s="1445">
        <v>0</v>
      </c>
      <c r="AE13" s="3297" t="s">
        <v>326</v>
      </c>
      <c r="AF13" s="753" t="s">
        <v>643</v>
      </c>
      <c r="AG13" s="753" t="s">
        <v>15</v>
      </c>
      <c r="AH13" s="129">
        <f t="shared" ref="AH13:AM13" si="25">Y13*$W$13</f>
        <v>0</v>
      </c>
      <c r="AI13" s="75">
        <f t="shared" si="25"/>
        <v>0</v>
      </c>
      <c r="AJ13" s="75">
        <f t="shared" si="25"/>
        <v>0</v>
      </c>
      <c r="AK13" s="75">
        <f t="shared" si="25"/>
        <v>0</v>
      </c>
      <c r="AL13" s="75">
        <f t="shared" si="25"/>
        <v>0</v>
      </c>
      <c r="AM13" s="177">
        <f t="shared" si="25"/>
        <v>0</v>
      </c>
      <c r="AN13" s="129">
        <f t="shared" ref="AN13:AS13" si="26">Y13*$X$13</f>
        <v>0</v>
      </c>
      <c r="AO13" s="75">
        <f t="shared" si="26"/>
        <v>0</v>
      </c>
      <c r="AP13" s="75">
        <f t="shared" si="26"/>
        <v>0</v>
      </c>
      <c r="AQ13" s="75">
        <f t="shared" si="26"/>
        <v>0</v>
      </c>
      <c r="AR13" s="75">
        <f t="shared" si="26"/>
        <v>0</v>
      </c>
      <c r="AS13" s="1273">
        <f t="shared" si="26"/>
        <v>0</v>
      </c>
    </row>
    <row r="14" spans="1:46" ht="39" customHeight="1">
      <c r="A14" s="3234"/>
      <c r="B14" s="1468" t="s">
        <v>644</v>
      </c>
      <c r="C14" s="1906" t="s">
        <v>15</v>
      </c>
      <c r="D14" s="1793">
        <v>0.437</v>
      </c>
      <c r="E14" s="749">
        <v>0.45300000000000001</v>
      </c>
      <c r="F14" s="749">
        <v>0.52700000000000002</v>
      </c>
      <c r="G14" s="1860">
        <v>0.44900000000000001</v>
      </c>
      <c r="H14" s="869">
        <v>0.41</v>
      </c>
      <c r="I14" s="1167">
        <v>15.866</v>
      </c>
      <c r="J14" s="1177">
        <v>14.984</v>
      </c>
      <c r="K14" s="752">
        <v>15.746</v>
      </c>
      <c r="L14" s="752">
        <v>15.673</v>
      </c>
      <c r="M14" s="1914">
        <v>15.052</v>
      </c>
      <c r="N14" s="1915"/>
      <c r="O14" s="3298"/>
      <c r="P14" s="1468" t="s">
        <v>644</v>
      </c>
      <c r="Q14" s="1262" t="s">
        <v>15</v>
      </c>
      <c r="R14" s="1469">
        <v>1915.2</v>
      </c>
      <c r="S14" s="1470">
        <v>2123.8000000000002</v>
      </c>
      <c r="T14" s="1470">
        <v>1954.8</v>
      </c>
      <c r="U14" s="1470">
        <v>1783.9</v>
      </c>
      <c r="V14" s="1471">
        <v>2328.3000000000002</v>
      </c>
      <c r="W14" s="1289">
        <f t="shared" si="5"/>
        <v>2.3000000000000001E-4</v>
      </c>
      <c r="X14" s="1916">
        <f t="shared" si="6"/>
        <v>7.6499999999999997E-3</v>
      </c>
      <c r="Y14" s="1469">
        <v>2078.3000000000002</v>
      </c>
      <c r="Z14" s="1470">
        <v>2229.6</v>
      </c>
      <c r="AA14" s="1470">
        <v>2355.6</v>
      </c>
      <c r="AB14" s="1470">
        <v>2415.6999999999998</v>
      </c>
      <c r="AC14" s="1470">
        <v>2477.4</v>
      </c>
      <c r="AD14" s="1475">
        <v>2540.6999999999998</v>
      </c>
      <c r="AE14" s="3298"/>
      <c r="AF14" s="1457" t="s">
        <v>644</v>
      </c>
      <c r="AG14" s="1016" t="s">
        <v>15</v>
      </c>
      <c r="AH14" s="1874">
        <f t="shared" ref="AH14:AM14" si="27">Y14*$W$14</f>
        <v>0.47799999999999998</v>
      </c>
      <c r="AI14" s="746">
        <f t="shared" si="27"/>
        <v>0.51300000000000001</v>
      </c>
      <c r="AJ14" s="746">
        <f t="shared" si="27"/>
        <v>0.54200000000000004</v>
      </c>
      <c r="AK14" s="746">
        <f t="shared" si="27"/>
        <v>0.55600000000000005</v>
      </c>
      <c r="AL14" s="746">
        <f t="shared" si="27"/>
        <v>0.56999999999999995</v>
      </c>
      <c r="AM14" s="747">
        <f t="shared" si="27"/>
        <v>0.58399999999999996</v>
      </c>
      <c r="AN14" s="1874">
        <f t="shared" ref="AN14:AS14" si="28">Y14*$X$14</f>
        <v>15.898999999999999</v>
      </c>
      <c r="AO14" s="746">
        <f t="shared" si="28"/>
        <v>17.056000000000001</v>
      </c>
      <c r="AP14" s="746">
        <f t="shared" si="28"/>
        <v>18.02</v>
      </c>
      <c r="AQ14" s="746">
        <f t="shared" si="28"/>
        <v>18.48</v>
      </c>
      <c r="AR14" s="746">
        <f t="shared" si="28"/>
        <v>18.952000000000002</v>
      </c>
      <c r="AS14" s="1274">
        <f t="shared" si="28"/>
        <v>19.436</v>
      </c>
    </row>
    <row r="15" spans="1:46" ht="14.25" thickTop="1" thickBot="1">
      <c r="A15" s="3234"/>
      <c r="B15" s="3231" t="s">
        <v>642</v>
      </c>
      <c r="C15" s="3412"/>
      <c r="D15" s="1162">
        <f t="shared" ref="D15:M15" si="29">SUM(D13:D14)</f>
        <v>0.59199999999999997</v>
      </c>
      <c r="E15" s="1169">
        <f t="shared" si="29"/>
        <v>0.45300000000000001</v>
      </c>
      <c r="F15" s="1169">
        <f t="shared" si="29"/>
        <v>0.53100000000000003</v>
      </c>
      <c r="G15" s="84">
        <f t="shared" si="29"/>
        <v>0.44900000000000001</v>
      </c>
      <c r="H15" s="85">
        <f t="shared" si="29"/>
        <v>0.41</v>
      </c>
      <c r="I15" s="1163">
        <f t="shared" si="29"/>
        <v>16.422000000000001</v>
      </c>
      <c r="J15" s="280">
        <f t="shared" si="29"/>
        <v>14.984</v>
      </c>
      <c r="K15" s="280">
        <f t="shared" si="29"/>
        <v>15.746</v>
      </c>
      <c r="L15" s="280">
        <f t="shared" si="29"/>
        <v>15.673</v>
      </c>
      <c r="M15" s="1164">
        <f t="shared" si="29"/>
        <v>15.052</v>
      </c>
      <c r="N15" s="1155"/>
      <c r="O15" s="3298"/>
      <c r="P15" s="3231" t="s">
        <v>642</v>
      </c>
      <c r="Q15" s="3232"/>
      <c r="R15" s="1472">
        <f>SUM(R13:R14)</f>
        <v>2365.3000000000002</v>
      </c>
      <c r="S15" s="1473">
        <f t="shared" ref="S15:V15" si="30">SUM(S13:S14)</f>
        <v>2576.9</v>
      </c>
      <c r="T15" s="1473">
        <f t="shared" si="30"/>
        <v>2389.3000000000002</v>
      </c>
      <c r="U15" s="1473">
        <f t="shared" si="30"/>
        <v>2245</v>
      </c>
      <c r="V15" s="1474">
        <f t="shared" si="30"/>
        <v>2328.3000000000002</v>
      </c>
      <c r="W15" s="1393">
        <f t="shared" si="5"/>
        <v>2.0000000000000001E-4</v>
      </c>
      <c r="X15" s="1394">
        <f t="shared" si="6"/>
        <v>6.5399999999999998E-3</v>
      </c>
      <c r="Y15" s="1472">
        <f t="shared" ref="Y15:AH15" si="31">SUM(Y13:Y14)</f>
        <v>2078.3000000000002</v>
      </c>
      <c r="Z15" s="1473">
        <f t="shared" si="31"/>
        <v>2229.6</v>
      </c>
      <c r="AA15" s="1473">
        <f t="shared" si="31"/>
        <v>2355.6</v>
      </c>
      <c r="AB15" s="1473">
        <f t="shared" si="31"/>
        <v>2415.6999999999998</v>
      </c>
      <c r="AC15" s="1473">
        <f t="shared" si="31"/>
        <v>2477.4</v>
      </c>
      <c r="AD15" s="1476">
        <f t="shared" si="31"/>
        <v>2540.6999999999998</v>
      </c>
      <c r="AE15" s="3298"/>
      <c r="AF15" s="3369" t="s">
        <v>642</v>
      </c>
      <c r="AG15" s="3370"/>
      <c r="AH15" s="1264">
        <f t="shared" si="31"/>
        <v>0.47799999999999998</v>
      </c>
      <c r="AI15" s="1265">
        <f t="shared" ref="AI15:AR15" si="32">SUM(AI13:AI14)</f>
        <v>0.51300000000000001</v>
      </c>
      <c r="AJ15" s="1265">
        <f t="shared" si="32"/>
        <v>0.54200000000000004</v>
      </c>
      <c r="AK15" s="1265">
        <f t="shared" si="32"/>
        <v>0.55600000000000005</v>
      </c>
      <c r="AL15" s="1265">
        <f t="shared" si="32"/>
        <v>0.56999999999999995</v>
      </c>
      <c r="AM15" s="1266">
        <f t="shared" ref="AM15" si="33">SUM(AM13:AM14)</f>
        <v>0.58399999999999996</v>
      </c>
      <c r="AN15" s="1264">
        <f t="shared" si="32"/>
        <v>15.898999999999999</v>
      </c>
      <c r="AO15" s="1265">
        <f t="shared" si="32"/>
        <v>17.056000000000001</v>
      </c>
      <c r="AP15" s="1265">
        <f t="shared" si="32"/>
        <v>18.02</v>
      </c>
      <c r="AQ15" s="1265">
        <f t="shared" si="32"/>
        <v>18.48</v>
      </c>
      <c r="AR15" s="1265">
        <f t="shared" si="32"/>
        <v>18.952000000000002</v>
      </c>
      <c r="AS15" s="1267">
        <f t="shared" ref="AS15" si="34">SUM(AS13:AS14)</f>
        <v>19.436</v>
      </c>
    </row>
    <row r="16" spans="1:46" ht="51">
      <c r="A16" s="3233" t="s">
        <v>30</v>
      </c>
      <c r="B16" s="1174" t="s">
        <v>665</v>
      </c>
      <c r="C16" s="1175" t="s">
        <v>17</v>
      </c>
      <c r="D16" s="1160">
        <v>0.106</v>
      </c>
      <c r="E16" s="991">
        <v>9.5000000000000001E-2</v>
      </c>
      <c r="F16" s="991">
        <v>0.104</v>
      </c>
      <c r="G16" s="990">
        <v>2.5000000000000001E-2</v>
      </c>
      <c r="H16" s="992">
        <v>4.0000000000000001E-3</v>
      </c>
      <c r="I16" s="1387">
        <v>3.0019999999999998</v>
      </c>
      <c r="J16" s="1388">
        <v>2.9950000000000001</v>
      </c>
      <c r="K16" s="1388">
        <v>2.6859999999999999</v>
      </c>
      <c r="L16" s="1389">
        <v>1.129</v>
      </c>
      <c r="M16" s="1390">
        <v>1.44</v>
      </c>
      <c r="N16" s="1157" t="s">
        <v>666</v>
      </c>
      <c r="O16" s="3297" t="s">
        <v>30</v>
      </c>
      <c r="P16" s="1174" t="s">
        <v>665</v>
      </c>
      <c r="Q16" s="1459" t="s">
        <v>17</v>
      </c>
      <c r="R16" s="294" t="s">
        <v>16</v>
      </c>
      <c r="S16" s="1460" t="s">
        <v>16</v>
      </c>
      <c r="T16" s="1461" t="s">
        <v>16</v>
      </c>
      <c r="U16" s="1461" t="s">
        <v>16</v>
      </c>
      <c r="V16" s="1462" t="s">
        <v>16</v>
      </c>
      <c r="W16" s="1466" t="s">
        <v>16</v>
      </c>
      <c r="X16" s="1467" t="s">
        <v>16</v>
      </c>
      <c r="Y16" s="294" t="s">
        <v>16</v>
      </c>
      <c r="Z16" s="1460" t="s">
        <v>16</v>
      </c>
      <c r="AA16" s="1461" t="s">
        <v>16</v>
      </c>
      <c r="AB16" s="1461" t="s">
        <v>16</v>
      </c>
      <c r="AC16" s="1461" t="s">
        <v>16</v>
      </c>
      <c r="AD16" s="1478" t="s">
        <v>16</v>
      </c>
      <c r="AE16" s="3297" t="s">
        <v>30</v>
      </c>
      <c r="AF16" s="751" t="s">
        <v>665</v>
      </c>
      <c r="AG16" s="1458" t="s">
        <v>17</v>
      </c>
      <c r="AH16" s="1275">
        <f>AVERAGE(D16:H16)</f>
        <v>6.7000000000000004E-2</v>
      </c>
      <c r="AI16" s="86">
        <f>AVERAGE(D16:H16)</f>
        <v>6.7000000000000004E-2</v>
      </c>
      <c r="AJ16" s="86">
        <f>AI16</f>
        <v>6.7000000000000004E-2</v>
      </c>
      <c r="AK16" s="86">
        <f t="shared" ref="AK16:AM16" si="35">AJ16</f>
        <v>6.7000000000000004E-2</v>
      </c>
      <c r="AL16" s="86">
        <f t="shared" si="35"/>
        <v>6.7000000000000004E-2</v>
      </c>
      <c r="AM16" s="1276">
        <f t="shared" si="35"/>
        <v>6.7000000000000004E-2</v>
      </c>
      <c r="AN16" s="1275">
        <f>AVERAGE(I16:M16)</f>
        <v>2.25</v>
      </c>
      <c r="AO16" s="86">
        <f>AN16</f>
        <v>2.25</v>
      </c>
      <c r="AP16" s="86">
        <f t="shared" ref="AP16:AS16" si="36">AO16</f>
        <v>2.25</v>
      </c>
      <c r="AQ16" s="86">
        <f t="shared" si="36"/>
        <v>2.25</v>
      </c>
      <c r="AR16" s="86">
        <f t="shared" si="36"/>
        <v>2.25</v>
      </c>
      <c r="AS16" s="1277">
        <f t="shared" si="36"/>
        <v>2.25</v>
      </c>
    </row>
    <row r="17" spans="1:46" ht="14.25" thickTop="1" thickBot="1">
      <c r="A17" s="3234"/>
      <c r="B17" s="3231" t="s">
        <v>642</v>
      </c>
      <c r="C17" s="3412"/>
      <c r="D17" s="1397">
        <f>SUM(D16)</f>
        <v>0.106</v>
      </c>
      <c r="E17" s="865">
        <f>SUM(E16)</f>
        <v>9.5000000000000001E-2</v>
      </c>
      <c r="F17" s="865">
        <f>SUM(F16)</f>
        <v>0.104</v>
      </c>
      <c r="G17" s="1398">
        <f>SUM(G16)</f>
        <v>2.5000000000000001E-2</v>
      </c>
      <c r="H17" s="1399">
        <v>0.155</v>
      </c>
      <c r="I17" s="1400">
        <f>SUM(I16)</f>
        <v>3.0019999999999998</v>
      </c>
      <c r="J17" s="1265">
        <f>SUM(J16)</f>
        <v>2.9950000000000001</v>
      </c>
      <c r="K17" s="1265">
        <f>SUM(K16)</f>
        <v>2.6859999999999999</v>
      </c>
      <c r="L17" s="1265">
        <f>SUM(L16)</f>
        <v>1.129</v>
      </c>
      <c r="M17" s="1401">
        <f>M16</f>
        <v>1.44</v>
      </c>
      <c r="N17" s="1155"/>
      <c r="O17" s="3298"/>
      <c r="P17" s="3231" t="s">
        <v>642</v>
      </c>
      <c r="Q17" s="3232"/>
      <c r="R17" s="1463" t="str">
        <f t="shared" ref="R17:V17" si="37">R16</f>
        <v>N/A</v>
      </c>
      <c r="S17" s="1464" t="str">
        <f t="shared" si="37"/>
        <v>N/A</v>
      </c>
      <c r="T17" s="1171" t="str">
        <f t="shared" si="37"/>
        <v>N/A</v>
      </c>
      <c r="U17" s="1171" t="str">
        <f t="shared" si="37"/>
        <v>N/A</v>
      </c>
      <c r="V17" s="1465" t="str">
        <f t="shared" si="37"/>
        <v>N/A</v>
      </c>
      <c r="W17" s="1393" t="s">
        <v>16</v>
      </c>
      <c r="X17" s="1395" t="s">
        <v>16</v>
      </c>
      <c r="Y17" s="1463" t="str">
        <f t="shared" ref="Y17:AC17" si="38">Y16</f>
        <v>N/A</v>
      </c>
      <c r="Z17" s="1464" t="str">
        <f t="shared" si="38"/>
        <v>N/A</v>
      </c>
      <c r="AA17" s="1171" t="str">
        <f t="shared" si="38"/>
        <v>N/A</v>
      </c>
      <c r="AB17" s="1171" t="str">
        <f t="shared" si="38"/>
        <v>N/A</v>
      </c>
      <c r="AC17" s="1171" t="str">
        <f t="shared" si="38"/>
        <v>N/A</v>
      </c>
      <c r="AD17" s="1477" t="str">
        <f t="shared" ref="AD17:AH17" si="39">AD16</f>
        <v>N/A</v>
      </c>
      <c r="AE17" s="3298"/>
      <c r="AF17" s="3369" t="s">
        <v>642</v>
      </c>
      <c r="AG17" s="3370"/>
      <c r="AH17" s="1397">
        <f t="shared" si="39"/>
        <v>6.7000000000000004E-2</v>
      </c>
      <c r="AI17" s="865">
        <f t="shared" ref="AI17:AR17" si="40">AI16</f>
        <v>6.7000000000000004E-2</v>
      </c>
      <c r="AJ17" s="865">
        <f t="shared" si="40"/>
        <v>6.7000000000000004E-2</v>
      </c>
      <c r="AK17" s="865">
        <f t="shared" si="40"/>
        <v>6.7000000000000004E-2</v>
      </c>
      <c r="AL17" s="865">
        <f t="shared" si="40"/>
        <v>6.7000000000000004E-2</v>
      </c>
      <c r="AM17" s="1402">
        <f t="shared" ref="AM17" si="41">AM16</f>
        <v>6.7000000000000004E-2</v>
      </c>
      <c r="AN17" s="1397">
        <f t="shared" si="40"/>
        <v>2.25</v>
      </c>
      <c r="AO17" s="865">
        <f t="shared" si="40"/>
        <v>2.25</v>
      </c>
      <c r="AP17" s="865">
        <f t="shared" si="40"/>
        <v>2.25</v>
      </c>
      <c r="AQ17" s="865">
        <f t="shared" si="40"/>
        <v>2.25</v>
      </c>
      <c r="AR17" s="865">
        <f t="shared" si="40"/>
        <v>2.25</v>
      </c>
      <c r="AS17" s="1403">
        <f t="shared" ref="AS17" si="42">AS16</f>
        <v>2.25</v>
      </c>
    </row>
    <row r="18" spans="1:46" ht="13.5" thickBot="1">
      <c r="A18" s="3479" t="s">
        <v>32</v>
      </c>
      <c r="B18" s="3480"/>
      <c r="C18" s="3480"/>
      <c r="D18" s="1404">
        <f>D4+D12+D15</f>
        <v>7.5460000000000003</v>
      </c>
      <c r="E18" s="1405">
        <f t="shared" ref="E18:M18" si="43">E4+E12+E15</f>
        <v>7.3319999999999999</v>
      </c>
      <c r="F18" s="1406">
        <f t="shared" si="43"/>
        <v>6.4370000000000003</v>
      </c>
      <c r="G18" s="1407">
        <f t="shared" si="43"/>
        <v>6.6790000000000003</v>
      </c>
      <c r="H18" s="1408">
        <f t="shared" si="43"/>
        <v>3.9460000000000002</v>
      </c>
      <c r="I18" s="1180">
        <f t="shared" si="43"/>
        <v>664.01900000000001</v>
      </c>
      <c r="J18" s="1181">
        <f t="shared" si="43"/>
        <v>624.06700000000001</v>
      </c>
      <c r="K18" s="1181">
        <f t="shared" si="43"/>
        <v>719.23599999999999</v>
      </c>
      <c r="L18" s="1181">
        <f t="shared" si="43"/>
        <v>569.62599999999998</v>
      </c>
      <c r="M18" s="1182">
        <f t="shared" si="43"/>
        <v>681.4</v>
      </c>
      <c r="N18" s="1156"/>
      <c r="O18" s="3479" t="s">
        <v>32</v>
      </c>
      <c r="P18" s="3480"/>
      <c r="Q18" s="3480"/>
      <c r="R18" s="1451">
        <f>R4+R12+R15</f>
        <v>5516.9</v>
      </c>
      <c r="S18" s="1452">
        <f t="shared" ref="S18:V18" si="44">S4+S12+S15</f>
        <v>5770.6</v>
      </c>
      <c r="T18" s="1452">
        <f t="shared" si="44"/>
        <v>5395.2</v>
      </c>
      <c r="U18" s="1452">
        <f t="shared" si="44"/>
        <v>5055.2</v>
      </c>
      <c r="V18" s="1453">
        <f t="shared" si="44"/>
        <v>5478.7</v>
      </c>
      <c r="W18" s="1409">
        <f t="shared" si="5"/>
        <v>1.17E-3</v>
      </c>
      <c r="X18" s="1410">
        <f t="shared" si="6"/>
        <v>0.11971999999999999</v>
      </c>
      <c r="Y18" s="1479">
        <f>Y4+Y12+Y15</f>
        <v>5012.3999999999996</v>
      </c>
      <c r="Z18" s="1480">
        <f t="shared" ref="Z18:AD18" si="45">Z4+Z12+Z15</f>
        <v>5244.4</v>
      </c>
      <c r="AA18" s="1480">
        <f t="shared" si="45"/>
        <v>5495.8</v>
      </c>
      <c r="AB18" s="1480">
        <f t="shared" si="45"/>
        <v>5792.2</v>
      </c>
      <c r="AC18" s="1480">
        <f t="shared" si="45"/>
        <v>6107.3</v>
      </c>
      <c r="AD18" s="1481">
        <f t="shared" si="45"/>
        <v>6443.3</v>
      </c>
      <c r="AE18" s="3286" t="s">
        <v>32</v>
      </c>
      <c r="AF18" s="3287"/>
      <c r="AG18" s="3288"/>
      <c r="AH18" s="1280">
        <f>AH4+AH12+AH15</f>
        <v>6.0410000000000004</v>
      </c>
      <c r="AI18" s="1181">
        <f t="shared" ref="AI18:AS18" si="46">AI4+AI12+AI15</f>
        <v>6.2350000000000003</v>
      </c>
      <c r="AJ18" s="1181">
        <f t="shared" si="46"/>
        <v>6.4939999999999998</v>
      </c>
      <c r="AK18" s="1181">
        <f t="shared" si="46"/>
        <v>6.9420000000000002</v>
      </c>
      <c r="AL18" s="1181">
        <f t="shared" si="46"/>
        <v>7.4189999999999996</v>
      </c>
      <c r="AM18" s="1281">
        <f t="shared" si="46"/>
        <v>7.9329999999999998</v>
      </c>
      <c r="AN18" s="1180">
        <f t="shared" si="46"/>
        <v>669.90700000000004</v>
      </c>
      <c r="AO18" s="1181">
        <f t="shared" si="46"/>
        <v>688.86300000000006</v>
      </c>
      <c r="AP18" s="1181">
        <f t="shared" si="46"/>
        <v>717.90200000000004</v>
      </c>
      <c r="AQ18" s="1181">
        <f t="shared" si="46"/>
        <v>771.774</v>
      </c>
      <c r="AR18" s="1181">
        <f t="shared" si="46"/>
        <v>829.44299999999998</v>
      </c>
      <c r="AS18" s="1282">
        <f t="shared" si="46"/>
        <v>891.44100000000003</v>
      </c>
    </row>
    <row r="19" spans="1:46" ht="13.5" thickBot="1">
      <c r="A19" s="3479" t="s">
        <v>33</v>
      </c>
      <c r="B19" s="3480"/>
      <c r="C19" s="3480"/>
      <c r="D19" s="1178">
        <f>D5+D6+D16</f>
        <v>2.5409999999999999</v>
      </c>
      <c r="E19" s="1405">
        <f t="shared" ref="E19:H19" si="47">E5+E6+E16</f>
        <v>1.86</v>
      </c>
      <c r="F19" s="1179">
        <f t="shared" si="47"/>
        <v>1.577</v>
      </c>
      <c r="G19" s="1405">
        <f t="shared" si="47"/>
        <v>1.5249999999999999</v>
      </c>
      <c r="H19" s="2973">
        <f t="shared" si="47"/>
        <v>1.6339999999999999</v>
      </c>
      <c r="I19" s="1180">
        <f>I5+I6+I16</f>
        <v>3.0019999999999998</v>
      </c>
      <c r="J19" s="1181">
        <f t="shared" ref="J19:M19" si="48">J5+J6+J16</f>
        <v>2.9950000000000001</v>
      </c>
      <c r="K19" s="1181">
        <f t="shared" si="48"/>
        <v>2.6859999999999999</v>
      </c>
      <c r="L19" s="2974">
        <f t="shared" si="48"/>
        <v>1.129</v>
      </c>
      <c r="M19" s="1281">
        <f t="shared" si="48"/>
        <v>1.44</v>
      </c>
      <c r="N19" s="1156"/>
      <c r="O19" s="3479" t="s">
        <v>33</v>
      </c>
      <c r="P19" s="3480"/>
      <c r="Q19" s="3480"/>
      <c r="R19" s="1451">
        <f>R5+R6</f>
        <v>338.4</v>
      </c>
      <c r="S19" s="2975">
        <f t="shared" ref="S19:V19" si="49">S5+S6</f>
        <v>348.3</v>
      </c>
      <c r="T19" s="1453">
        <f t="shared" si="49"/>
        <v>354.1</v>
      </c>
      <c r="U19" s="1453">
        <f t="shared" si="49"/>
        <v>345.9</v>
      </c>
      <c r="V19" s="2976">
        <f t="shared" si="49"/>
        <v>337.6</v>
      </c>
      <c r="W19" s="1392">
        <f t="shared" si="5"/>
        <v>5.3E-3</v>
      </c>
      <c r="X19" s="1396">
        <f t="shared" si="6"/>
        <v>6.5300000000000002E-3</v>
      </c>
      <c r="Y19" s="1479">
        <f>Y5+Y6</f>
        <v>345.5</v>
      </c>
      <c r="Z19" s="2978">
        <f t="shared" ref="Z19:AD19" si="50">Z5+Z6</f>
        <v>327.60000000000002</v>
      </c>
      <c r="AA19" s="1480">
        <f t="shared" si="50"/>
        <v>335</v>
      </c>
      <c r="AB19" s="1480">
        <f t="shared" si="50"/>
        <v>348.8</v>
      </c>
      <c r="AC19" s="1481">
        <f t="shared" si="50"/>
        <v>363.2</v>
      </c>
      <c r="AD19" s="2977">
        <f t="shared" si="50"/>
        <v>378.1</v>
      </c>
      <c r="AE19" s="3286" t="s">
        <v>33</v>
      </c>
      <c r="AF19" s="3287"/>
      <c r="AG19" s="3288"/>
      <c r="AH19" s="1280">
        <f>AH5+AH6+AH16</f>
        <v>1.83</v>
      </c>
      <c r="AI19" s="1181">
        <f t="shared" ref="AI19:AM19" si="51">AI5+AI6+AI16</f>
        <v>1.738</v>
      </c>
      <c r="AJ19" s="1181">
        <f t="shared" si="51"/>
        <v>1.776</v>
      </c>
      <c r="AK19" s="1181">
        <f t="shared" si="51"/>
        <v>1.8460000000000001</v>
      </c>
      <c r="AL19" s="1181">
        <f t="shared" si="51"/>
        <v>1.92</v>
      </c>
      <c r="AM19" s="2979">
        <f t="shared" si="51"/>
        <v>1.996</v>
      </c>
      <c r="AN19" s="1180">
        <f>AN5+AN6+AN16</f>
        <v>2.25</v>
      </c>
      <c r="AO19" s="2980">
        <f t="shared" ref="AO19:AS19" si="52">AO5+AO6+AO16</f>
        <v>2.25</v>
      </c>
      <c r="AP19" s="2980">
        <f t="shared" si="52"/>
        <v>2.25</v>
      </c>
      <c r="AQ19" s="2980">
        <f t="shared" si="52"/>
        <v>2.25</v>
      </c>
      <c r="AR19" s="1181">
        <f t="shared" si="52"/>
        <v>2.25</v>
      </c>
      <c r="AS19" s="2974">
        <f t="shared" si="52"/>
        <v>2.25</v>
      </c>
      <c r="AT19" s="2981"/>
    </row>
    <row r="20" spans="1:46" ht="13.5" thickBot="1">
      <c r="A20" s="3229" t="s">
        <v>513</v>
      </c>
      <c r="B20" s="3478"/>
      <c r="C20" s="3478"/>
      <c r="D20" s="1163">
        <f>D18+D19</f>
        <v>10.087</v>
      </c>
      <c r="E20" s="1183">
        <f t="shared" ref="E20:M20" si="53">E18+E19</f>
        <v>9.1920000000000002</v>
      </c>
      <c r="F20" s="1183">
        <f t="shared" si="53"/>
        <v>8.0139999999999993</v>
      </c>
      <c r="G20" s="85">
        <f t="shared" si="53"/>
        <v>8.2040000000000006</v>
      </c>
      <c r="H20" s="287">
        <f t="shared" si="53"/>
        <v>5.58</v>
      </c>
      <c r="I20" s="1180">
        <f t="shared" si="53"/>
        <v>667.02099999999996</v>
      </c>
      <c r="J20" s="1181">
        <f t="shared" si="53"/>
        <v>627.06200000000001</v>
      </c>
      <c r="K20" s="1181">
        <f t="shared" si="53"/>
        <v>721.92200000000003</v>
      </c>
      <c r="L20" s="1181">
        <f t="shared" si="53"/>
        <v>570.755</v>
      </c>
      <c r="M20" s="1182">
        <f t="shared" si="53"/>
        <v>682.84</v>
      </c>
      <c r="N20" s="1156"/>
      <c r="O20" s="3229" t="s">
        <v>513</v>
      </c>
      <c r="P20" s="3478"/>
      <c r="Q20" s="3478"/>
      <c r="R20" s="1454">
        <f t="shared" ref="R20" si="54">SUM(R18:R19)</f>
        <v>5855.3</v>
      </c>
      <c r="S20" s="1455">
        <f t="shared" ref="S20:V20" si="55">SUM(S18:S19)</f>
        <v>6118.9</v>
      </c>
      <c r="T20" s="1455">
        <f t="shared" si="55"/>
        <v>5749.3</v>
      </c>
      <c r="U20" s="1455">
        <f t="shared" si="55"/>
        <v>5401.1</v>
      </c>
      <c r="V20" s="1456">
        <f t="shared" si="55"/>
        <v>5816.3</v>
      </c>
      <c r="W20" s="1392">
        <f t="shared" si="5"/>
        <v>1.42E-3</v>
      </c>
      <c r="X20" s="1396">
        <f t="shared" si="6"/>
        <v>0.11298</v>
      </c>
      <c r="Y20" s="1479">
        <f>SUM(Y18:Y19)</f>
        <v>5357.9</v>
      </c>
      <c r="Z20" s="1480">
        <f t="shared" ref="Z20:AD20" si="56">SUM(Z18:Z19)</f>
        <v>5572</v>
      </c>
      <c r="AA20" s="1480">
        <f t="shared" si="56"/>
        <v>5830.8</v>
      </c>
      <c r="AB20" s="1480">
        <f t="shared" si="56"/>
        <v>6141</v>
      </c>
      <c r="AC20" s="1480">
        <f t="shared" si="56"/>
        <v>6470.5</v>
      </c>
      <c r="AD20" s="1481">
        <f t="shared" si="56"/>
        <v>6821.4</v>
      </c>
      <c r="AE20" s="3427" t="s">
        <v>513</v>
      </c>
      <c r="AF20" s="3445"/>
      <c r="AG20" s="3428"/>
      <c r="AH20" s="1283">
        <f>AH18+AH19</f>
        <v>7.8710000000000004</v>
      </c>
      <c r="AI20" s="88">
        <f t="shared" ref="AI20:AS20" si="57">AI18+AI19</f>
        <v>7.9729999999999999</v>
      </c>
      <c r="AJ20" s="88">
        <f t="shared" si="57"/>
        <v>8.27</v>
      </c>
      <c r="AK20" s="88">
        <f t="shared" si="57"/>
        <v>8.7880000000000003</v>
      </c>
      <c r="AL20" s="88">
        <f t="shared" si="57"/>
        <v>9.3390000000000004</v>
      </c>
      <c r="AM20" s="1284">
        <f t="shared" si="57"/>
        <v>9.9290000000000003</v>
      </c>
      <c r="AN20" s="1180">
        <f t="shared" si="57"/>
        <v>672.15700000000004</v>
      </c>
      <c r="AO20" s="1181">
        <f t="shared" si="57"/>
        <v>691.11300000000006</v>
      </c>
      <c r="AP20" s="1181">
        <f t="shared" si="57"/>
        <v>720.15200000000004</v>
      </c>
      <c r="AQ20" s="1181">
        <f t="shared" si="57"/>
        <v>774.024</v>
      </c>
      <c r="AR20" s="1181">
        <f t="shared" si="57"/>
        <v>831.69299999999998</v>
      </c>
      <c r="AS20" s="1282">
        <f t="shared" si="57"/>
        <v>893.69100000000003</v>
      </c>
    </row>
    <row r="21" spans="1:46">
      <c r="A21" s="54" t="s">
        <v>35</v>
      </c>
      <c r="Y21" s="2"/>
      <c r="Z21" s="2"/>
      <c r="AA21" s="2"/>
      <c r="AB21" s="2"/>
      <c r="AC21" s="2"/>
      <c r="AD21" s="2"/>
    </row>
    <row r="22" spans="1:46">
      <c r="A22" s="2" t="s">
        <v>68</v>
      </c>
      <c r="U22" s="256" t="s">
        <v>36</v>
      </c>
    </row>
    <row r="23" spans="1:46">
      <c r="A23" s="2" t="s">
        <v>69</v>
      </c>
      <c r="G23" s="256" t="s">
        <v>36</v>
      </c>
      <c r="J23" s="256" t="s">
        <v>36</v>
      </c>
      <c r="W23" s="256" t="s">
        <v>36</v>
      </c>
    </row>
    <row r="24" spans="1:46">
      <c r="A24" s="1" t="s">
        <v>667</v>
      </c>
      <c r="I24" s="256" t="s">
        <v>36</v>
      </c>
    </row>
    <row r="25" spans="1:46">
      <c r="A25" s="2" t="s">
        <v>668</v>
      </c>
    </row>
    <row r="26" spans="1:46">
      <c r="A26" s="2" t="s">
        <v>669</v>
      </c>
    </row>
    <row r="27" spans="1:46">
      <c r="A27" s="2" t="s">
        <v>670</v>
      </c>
    </row>
  </sheetData>
  <mergeCells count="54">
    <mergeCell ref="R2:V2"/>
    <mergeCell ref="O19:Q19"/>
    <mergeCell ref="O20:Q20"/>
    <mergeCell ref="O13:O15"/>
    <mergeCell ref="P15:Q15"/>
    <mergeCell ref="O16:O17"/>
    <mergeCell ref="P17:Q17"/>
    <mergeCell ref="O18:Q18"/>
    <mergeCell ref="Q2:Q3"/>
    <mergeCell ref="P7:Q7"/>
    <mergeCell ref="O4:O7"/>
    <mergeCell ref="A20:C20"/>
    <mergeCell ref="B15:C15"/>
    <mergeCell ref="A16:A17"/>
    <mergeCell ref="B17:C17"/>
    <mergeCell ref="A19:C19"/>
    <mergeCell ref="A13:A15"/>
    <mergeCell ref="A18:C18"/>
    <mergeCell ref="AE19:AG19"/>
    <mergeCell ref="AE20:AG20"/>
    <mergeCell ref="AE2:AE3"/>
    <mergeCell ref="AF2:AF3"/>
    <mergeCell ref="AG2:AG3"/>
    <mergeCell ref="AF7:AG7"/>
    <mergeCell ref="AE8:AE12"/>
    <mergeCell ref="AF12:AG12"/>
    <mergeCell ref="AE13:AE15"/>
    <mergeCell ref="AF15:AG15"/>
    <mergeCell ref="AE16:AE17"/>
    <mergeCell ref="AF17:AG17"/>
    <mergeCell ref="AE4:AE7"/>
    <mergeCell ref="A8:A12"/>
    <mergeCell ref="B12:C12"/>
    <mergeCell ref="B7:C7"/>
    <mergeCell ref="B2:B3"/>
    <mergeCell ref="C2:C3"/>
    <mergeCell ref="A2:A3"/>
    <mergeCell ref="A4:A7"/>
    <mergeCell ref="A1:N1"/>
    <mergeCell ref="O1:AD1"/>
    <mergeCell ref="AE1:AS1"/>
    <mergeCell ref="AE18:AG18"/>
    <mergeCell ref="Y2:AD2"/>
    <mergeCell ref="D2:H2"/>
    <mergeCell ref="P12:Q12"/>
    <mergeCell ref="I2:M2"/>
    <mergeCell ref="AH2:AM2"/>
    <mergeCell ref="AN2:AS2"/>
    <mergeCell ref="W2:W3"/>
    <mergeCell ref="N2:N3"/>
    <mergeCell ref="O8:O12"/>
    <mergeCell ref="X2:X3"/>
    <mergeCell ref="O2:O3"/>
    <mergeCell ref="P2:P3"/>
  </mergeCells>
  <pageMargins left="0.7" right="0.7" top="0.75" bottom="0.75" header="0.3" footer="0.3"/>
  <pageSetup paperSize="3" scale="63" fitToWidth="0" fitToHeight="0" pageOrder="overThenDown" orientation="landscape" r:id="rId1"/>
  <colBreaks count="2" manualBreakCount="2">
    <brk id="14" max="1048575" man="1"/>
    <brk id="3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G44"/>
  <sheetViews>
    <sheetView workbookViewId="0">
      <pane xSplit="2" ySplit="3" topLeftCell="C4" activePane="bottomRight" state="frozen"/>
      <selection pane="bottomRight" activeCell="AA17" sqref="AA17"/>
      <selection pane="bottomLeft" activeCell="A4" sqref="A4"/>
      <selection pane="topRight" activeCell="C1" sqref="C1"/>
    </sheetView>
  </sheetViews>
  <sheetFormatPr defaultColWidth="9.140625" defaultRowHeight="12.75"/>
  <cols>
    <col min="1" max="1" width="13.42578125" style="256" customWidth="1"/>
    <col min="2" max="2" width="10.28515625" style="256" customWidth="1"/>
    <col min="3" max="3" width="12" style="256" customWidth="1"/>
    <col min="4" max="4" width="11.28515625" style="1064" customWidth="1"/>
    <col min="5" max="5" width="8.7109375" style="256" customWidth="1"/>
    <col min="6" max="6" width="11.7109375" style="256" customWidth="1"/>
    <col min="7" max="7" width="11.5703125" style="1064" customWidth="1"/>
    <col min="8" max="8" width="9" style="256" customWidth="1"/>
    <col min="9" max="9" width="12" style="256" customWidth="1"/>
    <col min="10" max="10" width="11.28515625" style="1064" customWidth="1"/>
    <col min="11" max="11" width="9.140625" style="256" customWidth="1"/>
    <col min="12" max="12" width="11.7109375" style="256" customWidth="1"/>
    <col min="13" max="13" width="11.140625" style="1064" customWidth="1"/>
    <col min="14" max="14" width="9" style="256" customWidth="1"/>
    <col min="15" max="15" width="13" style="256" customWidth="1"/>
    <col min="16" max="16" width="11.28515625" style="1064" customWidth="1"/>
    <col min="17" max="17" width="9" style="256" customWidth="1"/>
    <col min="18" max="18" width="12.7109375" style="256" customWidth="1"/>
    <col min="19" max="19" width="11.7109375" style="1064" customWidth="1"/>
    <col min="20" max="20" width="9.28515625" style="256" customWidth="1"/>
    <col min="21" max="21" width="12.85546875" style="256" customWidth="1"/>
    <col min="22" max="22" width="11.140625" style="256" customWidth="1"/>
    <col min="23" max="23" width="9.28515625" style="256" customWidth="1"/>
    <col min="24" max="24" width="11.5703125" style="256" customWidth="1"/>
    <col min="25" max="25" width="11.42578125" style="1064" customWidth="1"/>
    <col min="26" max="26" width="9.140625" style="256"/>
    <col min="27" max="27" width="12.7109375" style="256" customWidth="1"/>
    <col min="28" max="28" width="11.85546875" style="256" customWidth="1"/>
    <col min="29" max="29" width="9.28515625" style="256" customWidth="1"/>
    <col min="30" max="30" width="9.140625" style="256" customWidth="1"/>
    <col min="31" max="33" width="13.85546875" style="256" hidden="1" customWidth="1"/>
    <col min="34" max="16384" width="9.140625" style="256"/>
  </cols>
  <sheetData>
    <row r="1" spans="1:33" s="2" customFormat="1" ht="28.5" customHeight="1" thickBot="1">
      <c r="A1" s="3224" t="s">
        <v>671</v>
      </c>
      <c r="B1" s="3224"/>
      <c r="C1" s="3224"/>
      <c r="D1" s="3224"/>
      <c r="E1" s="3224"/>
      <c r="F1" s="3224"/>
      <c r="G1" s="3224"/>
      <c r="H1" s="3224"/>
      <c r="I1" s="3224"/>
      <c r="J1" s="3224"/>
      <c r="K1" s="3224"/>
      <c r="L1" s="3224"/>
      <c r="M1" s="3224"/>
      <c r="N1" s="3224"/>
      <c r="O1" s="3224"/>
      <c r="P1" s="3224"/>
      <c r="Q1" s="3224"/>
      <c r="R1" s="3224"/>
      <c r="S1" s="3224"/>
      <c r="T1" s="3224"/>
      <c r="U1" s="3224"/>
      <c r="V1" s="3224"/>
      <c r="W1" s="3224"/>
      <c r="X1" s="3224"/>
      <c r="Y1" s="3224"/>
      <c r="Z1" s="3224"/>
      <c r="AA1" s="3224"/>
      <c r="AB1" s="3224"/>
      <c r="AC1" s="3224"/>
      <c r="AE1" s="3045"/>
      <c r="AF1" s="3045"/>
      <c r="AG1" s="3045"/>
    </row>
    <row r="2" spans="1:33" s="67" customFormat="1" ht="12.75" customHeight="1" thickBot="1">
      <c r="A2" s="3238" t="s">
        <v>1</v>
      </c>
      <c r="B2" s="3238" t="s">
        <v>2</v>
      </c>
      <c r="C2" s="3216" t="s">
        <v>578</v>
      </c>
      <c r="D2" s="3217"/>
      <c r="E2" s="3218"/>
      <c r="F2" s="3216" t="s">
        <v>672</v>
      </c>
      <c r="G2" s="3217"/>
      <c r="H2" s="3218"/>
      <c r="I2" s="3216" t="s">
        <v>673</v>
      </c>
      <c r="J2" s="3217"/>
      <c r="K2" s="3218"/>
      <c r="L2" s="3216" t="s">
        <v>674</v>
      </c>
      <c r="M2" s="3217"/>
      <c r="N2" s="3218"/>
      <c r="O2" s="3216" t="s">
        <v>675</v>
      </c>
      <c r="P2" s="3217"/>
      <c r="Q2" s="3218"/>
      <c r="R2" s="3216" t="s">
        <v>676</v>
      </c>
      <c r="S2" s="3217"/>
      <c r="T2" s="3218"/>
      <c r="U2" s="3216" t="s">
        <v>677</v>
      </c>
      <c r="V2" s="3217"/>
      <c r="W2" s="3218"/>
      <c r="X2" s="3216" t="s">
        <v>678</v>
      </c>
      <c r="Y2" s="3217"/>
      <c r="Z2" s="3217"/>
      <c r="AA2" s="3216" t="s">
        <v>679</v>
      </c>
      <c r="AB2" s="3217"/>
      <c r="AC2" s="3218"/>
      <c r="AE2" s="1811" t="s">
        <v>680</v>
      </c>
      <c r="AF2" s="1811" t="s">
        <v>681</v>
      </c>
      <c r="AG2" s="1023" t="s">
        <v>18</v>
      </c>
    </row>
    <row r="3" spans="1:33" s="67" customFormat="1" ht="81.75" customHeight="1" thickBot="1">
      <c r="A3" s="3240"/>
      <c r="B3" s="3240"/>
      <c r="C3" s="1943" t="s">
        <v>62</v>
      </c>
      <c r="D3" s="1787" t="s">
        <v>682</v>
      </c>
      <c r="E3" s="1664" t="s">
        <v>18</v>
      </c>
      <c r="F3" s="1943" t="s">
        <v>62</v>
      </c>
      <c r="G3" s="1788" t="s">
        <v>682</v>
      </c>
      <c r="H3" s="1789" t="s">
        <v>18</v>
      </c>
      <c r="I3" s="1943" t="s">
        <v>62</v>
      </c>
      <c r="J3" s="1787" t="s">
        <v>682</v>
      </c>
      <c r="K3" s="1664" t="s">
        <v>18</v>
      </c>
      <c r="L3" s="1942" t="s">
        <v>62</v>
      </c>
      <c r="M3" s="1788" t="s">
        <v>682</v>
      </c>
      <c r="N3" s="1790" t="s">
        <v>18</v>
      </c>
      <c r="O3" s="1943" t="s">
        <v>62</v>
      </c>
      <c r="P3" s="1787" t="s">
        <v>682</v>
      </c>
      <c r="Q3" s="1664" t="s">
        <v>18</v>
      </c>
      <c r="R3" s="1943" t="s">
        <v>62</v>
      </c>
      <c r="S3" s="1788" t="s">
        <v>682</v>
      </c>
      <c r="T3" s="1789" t="s">
        <v>18</v>
      </c>
      <c r="U3" s="1943" t="s">
        <v>62</v>
      </c>
      <c r="V3" s="1788" t="s">
        <v>682</v>
      </c>
      <c r="W3" s="1789" t="s">
        <v>18</v>
      </c>
      <c r="X3" s="1943" t="s">
        <v>62</v>
      </c>
      <c r="Y3" s="1787" t="s">
        <v>682</v>
      </c>
      <c r="Z3" s="1791" t="s">
        <v>18</v>
      </c>
      <c r="AA3" s="1943" t="s">
        <v>62</v>
      </c>
      <c r="AB3" s="1788" t="s">
        <v>682</v>
      </c>
      <c r="AC3" s="1789" t="s">
        <v>18</v>
      </c>
      <c r="AE3" s="1812" t="s">
        <v>59</v>
      </c>
      <c r="AF3" s="1812" t="s">
        <v>59</v>
      </c>
      <c r="AG3" s="1812" t="s">
        <v>59</v>
      </c>
    </row>
    <row r="4" spans="1:33" s="2" customFormat="1">
      <c r="A4" s="443" t="s">
        <v>14</v>
      </c>
      <c r="B4" s="1299" t="s">
        <v>15</v>
      </c>
      <c r="C4" s="1300">
        <f>'Table 4'!L5</f>
        <v>21.14</v>
      </c>
      <c r="D4" s="10">
        <f>'Table 6'!M5</f>
        <v>0.85</v>
      </c>
      <c r="E4" s="11">
        <f>C4+D4</f>
        <v>21.99</v>
      </c>
      <c r="F4" s="1300">
        <f>'Table 4'!O5+'Table 4'!P5</f>
        <v>22.05</v>
      </c>
      <c r="G4" s="7">
        <f>'Table 6'!P5</f>
        <v>0.67</v>
      </c>
      <c r="H4" s="53">
        <f t="shared" ref="H4:H23" si="0">F4+G4</f>
        <v>22.72</v>
      </c>
      <c r="I4" s="1300">
        <f>'Table 4'!S5+'Table 4'!T5</f>
        <v>22.53</v>
      </c>
      <c r="J4" s="10">
        <f>'Table 6'!S5</f>
        <v>0.7</v>
      </c>
      <c r="K4" s="11">
        <f>I4+J4</f>
        <v>23.23</v>
      </c>
      <c r="L4" s="1300">
        <f>'Table 4'!W5+'Table 4'!X5</f>
        <v>22.73</v>
      </c>
      <c r="M4" s="7">
        <f>'Table 6'!V5</f>
        <v>0.83</v>
      </c>
      <c r="N4" s="8">
        <f>L4+M4</f>
        <v>23.56</v>
      </c>
      <c r="O4" s="1300">
        <f>'Table 4'!AA5+'Table 4'!AB5</f>
        <v>22.74</v>
      </c>
      <c r="P4" s="585">
        <f>'Table 6'!Y5</f>
        <v>0.83</v>
      </c>
      <c r="Q4" s="11">
        <f>O4+P4</f>
        <v>23.57</v>
      </c>
      <c r="R4" s="1300">
        <f>'Table 4'!AE5+'Table 4'!AF5</f>
        <v>22.81</v>
      </c>
      <c r="S4" s="445">
        <f>'Table 6'!AB5</f>
        <v>0.9</v>
      </c>
      <c r="T4" s="53">
        <f>R4+S4</f>
        <v>23.71</v>
      </c>
      <c r="U4" s="1300">
        <f>'Table 4'!AI5+'Table 4'!AJ5</f>
        <v>22.83</v>
      </c>
      <c r="V4" s="445">
        <f>'Table 6'!AE5</f>
        <v>1</v>
      </c>
      <c r="W4" s="53">
        <f>U4+V4</f>
        <v>23.83</v>
      </c>
      <c r="X4" s="1301">
        <f t="shared" ref="X4:Z7" si="1">(U4-C4)/C4</f>
        <v>0.08</v>
      </c>
      <c r="Y4" s="1302">
        <f t="shared" si="1"/>
        <v>0.18</v>
      </c>
      <c r="Z4" s="1303">
        <f t="shared" si="1"/>
        <v>0.08</v>
      </c>
      <c r="AA4" s="1304">
        <f>'Table 4'!AN5+'Table 4'!AO5</f>
        <v>24.2</v>
      </c>
      <c r="AB4" s="1359">
        <f>'Table 6'!AI5</f>
        <v>1.06</v>
      </c>
      <c r="AC4" s="1305">
        <f>AA4+AB4</f>
        <v>25.26</v>
      </c>
      <c r="AE4" s="1360">
        <f t="shared" ref="AE4:AE26" si="2">U4-C4</f>
        <v>1.69</v>
      </c>
      <c r="AF4" s="1360">
        <f t="shared" ref="AF4:AF26" si="3">V4-D4</f>
        <v>0.15</v>
      </c>
      <c r="AG4" s="1360">
        <f t="shared" ref="AG4:AG26" si="4">W4-E4</f>
        <v>1.84</v>
      </c>
    </row>
    <row r="5" spans="1:33" s="2" customFormat="1" ht="13.5" thickBot="1">
      <c r="A5" s="579" t="s">
        <v>14</v>
      </c>
      <c r="B5" s="1793" t="s">
        <v>17</v>
      </c>
      <c r="C5" s="1306">
        <f>'Table 4'!L6</f>
        <v>2.35</v>
      </c>
      <c r="D5" s="412">
        <f>'Table 6'!M6</f>
        <v>1.84</v>
      </c>
      <c r="E5" s="876">
        <f>C5+D5</f>
        <v>4.1900000000000004</v>
      </c>
      <c r="F5" s="1306">
        <f>'Table 4'!O6+'Table 4'!P6</f>
        <v>2.54</v>
      </c>
      <c r="G5" s="412">
        <f>'Table 6'!P6</f>
        <v>2.27</v>
      </c>
      <c r="H5" s="50">
        <f t="shared" si="0"/>
        <v>4.8099999999999996</v>
      </c>
      <c r="I5" s="1306">
        <f>'Table 4'!S6+'Table 4'!T6</f>
        <v>2.56</v>
      </c>
      <c r="J5" s="412">
        <f>'Table 6'!S6</f>
        <v>2.63</v>
      </c>
      <c r="K5" s="876">
        <f t="shared" ref="K5:K12" si="5">I5+J5</f>
        <v>5.19</v>
      </c>
      <c r="L5" s="1349">
        <f>'Table 4'!W6+'Table 4'!X6</f>
        <v>2.71</v>
      </c>
      <c r="M5" s="412">
        <f>'Table 6'!V6</f>
        <v>2.89</v>
      </c>
      <c r="N5" s="17">
        <f t="shared" ref="N5:N12" si="6">L5+M5</f>
        <v>5.6</v>
      </c>
      <c r="O5" s="467">
        <f>'Table 4'!AA6+'Table 4'!AB6</f>
        <v>2.89</v>
      </c>
      <c r="P5" s="412">
        <f>'Table 6'!Y6</f>
        <v>3.27</v>
      </c>
      <c r="Q5" s="876">
        <f t="shared" ref="Q5:Q12" si="7">O5+P5</f>
        <v>6.16</v>
      </c>
      <c r="R5" s="467">
        <f>'Table 4'!AE6+'Table 4'!AF6</f>
        <v>2.95</v>
      </c>
      <c r="S5" s="412">
        <f>'Table 6'!AB6</f>
        <v>3.54</v>
      </c>
      <c r="T5" s="50">
        <f t="shared" ref="T5:T12" si="8">R5+S5</f>
        <v>6.49</v>
      </c>
      <c r="U5" s="467">
        <f>'Table 4'!AI6+'Table 4'!AJ6</f>
        <v>2.98</v>
      </c>
      <c r="V5" s="412">
        <f>'Table 6'!AE6</f>
        <v>3.75</v>
      </c>
      <c r="W5" s="50">
        <f>U5+V5</f>
        <v>6.73</v>
      </c>
      <c r="X5" s="1307">
        <f t="shared" si="1"/>
        <v>0.27</v>
      </c>
      <c r="Y5" s="1308">
        <f t="shared" si="1"/>
        <v>1.04</v>
      </c>
      <c r="Z5" s="1350">
        <f t="shared" si="1"/>
        <v>0.61</v>
      </c>
      <c r="AA5" s="1309">
        <f>'Table 4'!AN6+'Table 4'!AO6</f>
        <v>3.17</v>
      </c>
      <c r="AB5" s="1310">
        <f>'Table 6'!AI6</f>
        <v>3.97</v>
      </c>
      <c r="AC5" s="1311">
        <f t="shared" ref="AC5:AC23" si="9">AA5+AB5</f>
        <v>7.14</v>
      </c>
      <c r="AE5" s="1312">
        <f t="shared" si="2"/>
        <v>0.63</v>
      </c>
      <c r="AF5" s="1312">
        <f t="shared" si="3"/>
        <v>1.91</v>
      </c>
      <c r="AG5" s="1312">
        <f t="shared" si="4"/>
        <v>2.54</v>
      </c>
    </row>
    <row r="6" spans="1:33" s="67" customFormat="1" ht="14.25" thickTop="1" thickBot="1">
      <c r="A6" s="3202" t="s">
        <v>683</v>
      </c>
      <c r="B6" s="3203"/>
      <c r="C6" s="1226">
        <f>'Table 4'!L7</f>
        <v>23.49</v>
      </c>
      <c r="D6" s="316">
        <f>'Table 6'!M7</f>
        <v>2.69</v>
      </c>
      <c r="E6" s="353">
        <f>C6+D6</f>
        <v>26.18</v>
      </c>
      <c r="F6" s="1226">
        <f>'Table 4'!P7</f>
        <v>0</v>
      </c>
      <c r="G6" s="318">
        <f>'Table 6'!P7</f>
        <v>2.94</v>
      </c>
      <c r="H6" s="315">
        <f t="shared" si="0"/>
        <v>2.94</v>
      </c>
      <c r="I6" s="1226">
        <f>'Table 4'!S7</f>
        <v>25.09</v>
      </c>
      <c r="J6" s="316">
        <f>'Table 6'!S7</f>
        <v>3.33</v>
      </c>
      <c r="K6" s="353">
        <f t="shared" si="5"/>
        <v>28.42</v>
      </c>
      <c r="L6" s="1313">
        <f>'Table 4'!W7</f>
        <v>25.44</v>
      </c>
      <c r="M6" s="318">
        <f>'Table 6'!V7</f>
        <v>3.72</v>
      </c>
      <c r="N6" s="565">
        <f t="shared" si="6"/>
        <v>29.16</v>
      </c>
      <c r="O6" s="482">
        <f>'Table 4'!AA7</f>
        <v>25.63</v>
      </c>
      <c r="P6" s="554">
        <f>'Table 6'!Y7</f>
        <v>4.0999999999999996</v>
      </c>
      <c r="Q6" s="353">
        <f t="shared" si="7"/>
        <v>29.73</v>
      </c>
      <c r="R6" s="482">
        <f>'Table 4'!AE7</f>
        <v>25.76</v>
      </c>
      <c r="S6" s="483">
        <f>'Table 6'!AB7</f>
        <v>4.4400000000000004</v>
      </c>
      <c r="T6" s="315">
        <f t="shared" si="8"/>
        <v>30.2</v>
      </c>
      <c r="U6" s="482">
        <f>SUM(U4:U5)</f>
        <v>25.81</v>
      </c>
      <c r="V6" s="483">
        <f t="shared" ref="V6:W6" si="10">SUM(V4:V5)</f>
        <v>4.75</v>
      </c>
      <c r="W6" s="315">
        <f t="shared" si="10"/>
        <v>30.56</v>
      </c>
      <c r="X6" s="1314">
        <f t="shared" si="1"/>
        <v>0.1</v>
      </c>
      <c r="Y6" s="1315">
        <f t="shared" si="1"/>
        <v>0.77</v>
      </c>
      <c r="Z6" s="1316">
        <f t="shared" si="1"/>
        <v>0.17</v>
      </c>
      <c r="AA6" s="1317">
        <f>'Table 4'!AN7</f>
        <v>27.37</v>
      </c>
      <c r="AB6" s="1318">
        <f>'Table 6'!AI7</f>
        <v>5.03</v>
      </c>
      <c r="AC6" s="1319">
        <f t="shared" si="9"/>
        <v>32.4</v>
      </c>
      <c r="AE6" s="1320">
        <f t="shared" si="2"/>
        <v>2.3199999999999998</v>
      </c>
      <c r="AF6" s="1320">
        <f t="shared" si="3"/>
        <v>2.06</v>
      </c>
      <c r="AG6" s="1320">
        <f t="shared" si="4"/>
        <v>4.38</v>
      </c>
    </row>
    <row r="7" spans="1:33" s="2" customFormat="1">
      <c r="A7" s="443" t="s">
        <v>19</v>
      </c>
      <c r="B7" s="1299" t="s">
        <v>15</v>
      </c>
      <c r="C7" s="1200">
        <f>'Table 4'!L8</f>
        <v>0.92</v>
      </c>
      <c r="D7" s="123">
        <f>'Table 6'!M8</f>
        <v>2.08</v>
      </c>
      <c r="E7" s="152">
        <f>C7+D7</f>
        <v>3</v>
      </c>
      <c r="F7" s="1200">
        <f>'Table 4'!O8+'Table 4'!P8</f>
        <v>0.95</v>
      </c>
      <c r="G7" s="113">
        <f>'Table 6'!P8</f>
        <v>2.4300000000000002</v>
      </c>
      <c r="H7" s="146">
        <f t="shared" si="0"/>
        <v>3.38</v>
      </c>
      <c r="I7" s="1200">
        <f>'Table 4'!S8+'Table 4'!T8</f>
        <v>0.99</v>
      </c>
      <c r="J7" s="123">
        <f>'Table 6'!S8</f>
        <v>2.56</v>
      </c>
      <c r="K7" s="152">
        <f>I7+J7</f>
        <v>3.55</v>
      </c>
      <c r="L7" s="109">
        <f>'Table 4'!W8+'Table 4'!X8</f>
        <v>1.06</v>
      </c>
      <c r="M7" s="113">
        <f>'Table 6'!V8</f>
        <v>2.64</v>
      </c>
      <c r="N7" s="143">
        <f>L7+M7</f>
        <v>3.7</v>
      </c>
      <c r="O7" s="464">
        <f>'Table 4'!AA8+'Table 4'!AB8</f>
        <v>1.08</v>
      </c>
      <c r="P7" s="559">
        <f>'Table 6'!Y8</f>
        <v>2.73</v>
      </c>
      <c r="Q7" s="152">
        <f>O7+P7</f>
        <v>3.81</v>
      </c>
      <c r="R7" s="464">
        <f>'Table 4'!AE8+'Table 4'!AF8</f>
        <v>1.0900000000000001</v>
      </c>
      <c r="S7" s="465">
        <f>'Table 6'!AB8</f>
        <v>2.81</v>
      </c>
      <c r="T7" s="146">
        <f>R7+S7</f>
        <v>3.9</v>
      </c>
      <c r="U7" s="464">
        <f>'Table 4'!AI8+'Table 4'!AJ8</f>
        <v>1.0900000000000001</v>
      </c>
      <c r="V7" s="465">
        <f>'Table 6'!AE8</f>
        <v>2.9</v>
      </c>
      <c r="W7" s="146">
        <f>U7+V7</f>
        <v>3.99</v>
      </c>
      <c r="X7" s="1321">
        <f t="shared" si="1"/>
        <v>0.18</v>
      </c>
      <c r="Y7" s="1322">
        <f t="shared" si="1"/>
        <v>0.39</v>
      </c>
      <c r="Z7" s="1323">
        <f t="shared" si="1"/>
        <v>0.33</v>
      </c>
      <c r="AA7" s="1324">
        <f>'Table 4'!AN8+'Table 4'!AO8</f>
        <v>1.1499999999999999</v>
      </c>
      <c r="AB7" s="1325">
        <f>'Table 6'!AI8</f>
        <v>3.07</v>
      </c>
      <c r="AC7" s="1326">
        <f t="shared" si="9"/>
        <v>4.22</v>
      </c>
      <c r="AE7" s="1327">
        <f t="shared" si="2"/>
        <v>0.17</v>
      </c>
      <c r="AF7" s="1327">
        <f t="shared" si="3"/>
        <v>0.82</v>
      </c>
      <c r="AG7" s="1327">
        <f t="shared" si="4"/>
        <v>0.99</v>
      </c>
    </row>
    <row r="8" spans="1:33" s="2" customFormat="1" ht="13.5" thickBot="1">
      <c r="A8" s="579" t="s">
        <v>19</v>
      </c>
      <c r="B8" s="579" t="s">
        <v>17</v>
      </c>
      <c r="C8" s="1306">
        <f>'Table 4'!L9</f>
        <v>0</v>
      </c>
      <c r="D8" s="412">
        <f>'Table 6'!M9</f>
        <v>0.05</v>
      </c>
      <c r="E8" s="876">
        <f>C8+D8</f>
        <v>0.05</v>
      </c>
      <c r="F8" s="1306">
        <f>'Table 4'!O9+'Table 4'!P9</f>
        <v>0</v>
      </c>
      <c r="G8" s="410">
        <f>'Table 6'!P9</f>
        <v>0.06</v>
      </c>
      <c r="H8" s="50">
        <f t="shared" si="0"/>
        <v>0.06</v>
      </c>
      <c r="I8" s="1306">
        <f>'Table 4'!S9+'Table 4'!T9</f>
        <v>0</v>
      </c>
      <c r="J8" s="412">
        <f>'Table 6'!S9</f>
        <v>0.06</v>
      </c>
      <c r="K8" s="876">
        <f t="shared" ref="K8" si="11">I8+J8</f>
        <v>0.06</v>
      </c>
      <c r="L8" s="1349">
        <f>'Table 4'!W9+'Table 4'!X9</f>
        <v>0</v>
      </c>
      <c r="M8" s="410">
        <f>'Table 6'!V9</f>
        <v>0.06</v>
      </c>
      <c r="N8" s="17">
        <f t="shared" ref="N8" si="12">L8+M8</f>
        <v>0.06</v>
      </c>
      <c r="O8" s="467">
        <f>'Table 4'!AA9+'Table 4'!AB9</f>
        <v>0</v>
      </c>
      <c r="P8" s="562">
        <f>'Table 6'!Y9</f>
        <v>0.06</v>
      </c>
      <c r="Q8" s="876">
        <f t="shared" ref="Q8" si="13">O8+P8</f>
        <v>0.06</v>
      </c>
      <c r="R8" s="467">
        <f>'Table 4'!AE9+'Table 4'!AF9</f>
        <v>0</v>
      </c>
      <c r="S8" s="531">
        <f>'Table 6'!AB9</f>
        <v>7.0000000000000007E-2</v>
      </c>
      <c r="T8" s="50">
        <f t="shared" ref="T8" si="14">R8+S8</f>
        <v>7.0000000000000007E-2</v>
      </c>
      <c r="U8" s="467">
        <f>'Table 4'!AI9+'Table 4'!AJ9</f>
        <v>0</v>
      </c>
      <c r="V8" s="531">
        <f>'Table 6'!AE9</f>
        <v>7.0000000000000007E-2</v>
      </c>
      <c r="W8" s="50">
        <f>U8+V8</f>
        <v>7.0000000000000007E-2</v>
      </c>
      <c r="X8" s="1328" t="s">
        <v>16</v>
      </c>
      <c r="Y8" s="1308">
        <f t="shared" ref="Y8:Y26" si="15">(V8-D8)/D8</f>
        <v>0.4</v>
      </c>
      <c r="Z8" s="1350">
        <f t="shared" ref="Z8:Z26" si="16">(W8-E8)/E8</f>
        <v>0.4</v>
      </c>
      <c r="AA8" s="1309">
        <f>'Table 4'!AN9+'Table 4'!AO9</f>
        <v>0</v>
      </c>
      <c r="AB8" s="1310">
        <f>'Table 6'!AI9</f>
        <v>7.0000000000000007E-2</v>
      </c>
      <c r="AC8" s="1351">
        <f t="shared" si="9"/>
        <v>7.0000000000000007E-2</v>
      </c>
      <c r="AE8" s="1312">
        <f t="shared" si="2"/>
        <v>0</v>
      </c>
      <c r="AF8" s="1312">
        <f t="shared" si="3"/>
        <v>0.02</v>
      </c>
      <c r="AG8" s="1312">
        <f t="shared" si="4"/>
        <v>0.02</v>
      </c>
    </row>
    <row r="9" spans="1:33" s="67" customFormat="1" ht="14.25" thickTop="1" thickBot="1">
      <c r="A9" s="3202" t="s">
        <v>684</v>
      </c>
      <c r="B9" s="3203"/>
      <c r="C9" s="1228">
        <f>'Table 4'!L10</f>
        <v>0.92</v>
      </c>
      <c r="D9" s="165">
        <f>'Table 6'!M10</f>
        <v>2.13</v>
      </c>
      <c r="E9" s="38">
        <f t="shared" ref="E9:E12" si="17">C9+D9</f>
        <v>3.05</v>
      </c>
      <c r="F9" s="1228">
        <f>'Table 4'!P10</f>
        <v>0</v>
      </c>
      <c r="G9" s="32">
        <f>'Table 6'!P10</f>
        <v>2.4900000000000002</v>
      </c>
      <c r="H9" s="154">
        <f t="shared" si="0"/>
        <v>2.4900000000000002</v>
      </c>
      <c r="I9" s="1228">
        <f>'Table 4'!S10</f>
        <v>0.99</v>
      </c>
      <c r="J9" s="165">
        <f>'Table 6'!S10</f>
        <v>2.62</v>
      </c>
      <c r="K9" s="38">
        <f t="shared" si="5"/>
        <v>3.61</v>
      </c>
      <c r="L9" s="120">
        <f>'Table 4'!W10</f>
        <v>1.06</v>
      </c>
      <c r="M9" s="32">
        <f>'Table 6'!V10</f>
        <v>2.7</v>
      </c>
      <c r="N9" s="33">
        <f t="shared" si="6"/>
        <v>3.76</v>
      </c>
      <c r="O9" s="470">
        <f>'Table 4'!AA10</f>
        <v>1.08</v>
      </c>
      <c r="P9" s="555">
        <f>'Table 6'!Y10</f>
        <v>2.79</v>
      </c>
      <c r="Q9" s="38">
        <f t="shared" si="7"/>
        <v>3.87</v>
      </c>
      <c r="R9" s="470">
        <f>'Table 4'!AE10</f>
        <v>1.0900000000000001</v>
      </c>
      <c r="S9" s="471">
        <f>'Table 6'!AB10</f>
        <v>2.88</v>
      </c>
      <c r="T9" s="154">
        <f t="shared" si="8"/>
        <v>3.97</v>
      </c>
      <c r="U9" s="470">
        <f>SUM(U7:U8)</f>
        <v>1.0900000000000001</v>
      </c>
      <c r="V9" s="471">
        <f t="shared" ref="V9:W9" si="18">SUM(V7:V8)</f>
        <v>2.97</v>
      </c>
      <c r="W9" s="154">
        <f t="shared" si="18"/>
        <v>4.0599999999999996</v>
      </c>
      <c r="X9" s="1329">
        <f t="shared" ref="X9:X26" si="19">(U9-C9)/C9</f>
        <v>0.18</v>
      </c>
      <c r="Y9" s="1330">
        <f t="shared" si="15"/>
        <v>0.39</v>
      </c>
      <c r="Z9" s="1331">
        <f t="shared" si="16"/>
        <v>0.33</v>
      </c>
      <c r="AA9" s="1332">
        <f>'Table 4'!AN10</f>
        <v>1.1499999999999999</v>
      </c>
      <c r="AB9" s="1333">
        <f>'Table 6'!AI10</f>
        <v>3.14</v>
      </c>
      <c r="AC9" s="1334">
        <f t="shared" si="9"/>
        <v>4.29</v>
      </c>
      <c r="AE9" s="1335">
        <f t="shared" si="2"/>
        <v>0.17</v>
      </c>
      <c r="AF9" s="1335">
        <f t="shared" si="3"/>
        <v>0.84</v>
      </c>
      <c r="AG9" s="1335">
        <f t="shared" si="4"/>
        <v>1.01</v>
      </c>
    </row>
    <row r="10" spans="1:33" s="2" customFormat="1">
      <c r="A10" s="475" t="s">
        <v>20</v>
      </c>
      <c r="B10" s="1299" t="s">
        <v>15</v>
      </c>
      <c r="C10" s="1200">
        <f>'Table 4'!L11</f>
        <v>0.04</v>
      </c>
      <c r="D10" s="123">
        <f>'Table 6'!M11</f>
        <v>0.28000000000000003</v>
      </c>
      <c r="E10" s="152">
        <f>C10+D10</f>
        <v>0.32</v>
      </c>
      <c r="F10" s="1200">
        <f>'Table 4'!O11+'Table 4'!P11</f>
        <v>0.01</v>
      </c>
      <c r="G10" s="113">
        <f>'Table 6'!P11</f>
        <v>0.21</v>
      </c>
      <c r="H10" s="146">
        <f t="shared" si="0"/>
        <v>0.22</v>
      </c>
      <c r="I10" s="1200">
        <f>'Table 4'!S11+'Table 4'!T11</f>
        <v>0.01</v>
      </c>
      <c r="J10" s="123">
        <f>'Table 6'!S11</f>
        <v>0.25</v>
      </c>
      <c r="K10" s="152">
        <f>I10+J10</f>
        <v>0.26</v>
      </c>
      <c r="L10" s="109">
        <f>'Table 4'!W11+'Table 4'!X11</f>
        <v>0.01</v>
      </c>
      <c r="M10" s="113">
        <f>'Table 6'!V11</f>
        <v>0.27</v>
      </c>
      <c r="N10" s="143">
        <f>L10+M10</f>
        <v>0.28000000000000003</v>
      </c>
      <c r="O10" s="464">
        <f>'Table 4'!AA11+'Table 4'!AB11</f>
        <v>0.01</v>
      </c>
      <c r="P10" s="559">
        <f>'Table 6'!Y11</f>
        <v>0.27</v>
      </c>
      <c r="Q10" s="152">
        <f>O10+P10</f>
        <v>0.28000000000000003</v>
      </c>
      <c r="R10" s="464">
        <f>'Table 4'!AE11+'Table 4'!AF11</f>
        <v>0.01</v>
      </c>
      <c r="S10" s="465">
        <f>'Table 6'!AB11</f>
        <v>0.28000000000000003</v>
      </c>
      <c r="T10" s="146">
        <f>R10+S10</f>
        <v>0.28999999999999998</v>
      </c>
      <c r="U10" s="464">
        <f>'Table 4'!AI11+'Table 4'!AJ11</f>
        <v>0.01</v>
      </c>
      <c r="V10" s="465">
        <f>'Table 6'!AE11</f>
        <v>0.3</v>
      </c>
      <c r="W10" s="146">
        <f>U10+V10</f>
        <v>0.31</v>
      </c>
      <c r="X10" s="1321">
        <f t="shared" si="19"/>
        <v>-0.75</v>
      </c>
      <c r="Y10" s="1322">
        <f t="shared" si="15"/>
        <v>7.0000000000000007E-2</v>
      </c>
      <c r="Z10" s="1323">
        <f t="shared" si="16"/>
        <v>-0.03</v>
      </c>
      <c r="AA10" s="1324">
        <f>'Table 4'!AN11+'Table 4'!AO11</f>
        <v>0.01</v>
      </c>
      <c r="AB10" s="1325">
        <f>'Table 6'!AI11</f>
        <v>0.32</v>
      </c>
      <c r="AC10" s="1326">
        <f t="shared" si="9"/>
        <v>0.33</v>
      </c>
      <c r="AE10" s="1327">
        <f t="shared" si="2"/>
        <v>-0.03</v>
      </c>
      <c r="AF10" s="1327">
        <f t="shared" si="3"/>
        <v>0.02</v>
      </c>
      <c r="AG10" s="1327">
        <f t="shared" si="4"/>
        <v>-0.01</v>
      </c>
    </row>
    <row r="11" spans="1:33" s="2" customFormat="1" ht="13.5" thickBot="1">
      <c r="A11" s="579" t="s">
        <v>20</v>
      </c>
      <c r="B11" s="1793" t="s">
        <v>17</v>
      </c>
      <c r="C11" s="1306">
        <f>'Table 4'!L12</f>
        <v>0.94</v>
      </c>
      <c r="D11" s="412">
        <f>'Table 6'!M12</f>
        <v>0.61</v>
      </c>
      <c r="E11" s="876">
        <f>C11+D11</f>
        <v>1.55</v>
      </c>
      <c r="F11" s="1306">
        <f>'Table 4'!O12+'Table 4'!P12</f>
        <v>1.04</v>
      </c>
      <c r="G11" s="410">
        <f>'Table 6'!P12</f>
        <v>0.56999999999999995</v>
      </c>
      <c r="H11" s="50">
        <f t="shared" si="0"/>
        <v>1.61</v>
      </c>
      <c r="I11" s="1306">
        <f>'Table 4'!S12+'Table 4'!T12</f>
        <v>1.05</v>
      </c>
      <c r="J11" s="412">
        <f>'Table 6'!S12</f>
        <v>0.56000000000000005</v>
      </c>
      <c r="K11" s="876">
        <f t="shared" ref="K11" si="20">I11+J11</f>
        <v>1.61</v>
      </c>
      <c r="L11" s="1349">
        <f>'Table 4'!W12+'Table 4'!X12</f>
        <v>1.07</v>
      </c>
      <c r="M11" s="410">
        <f>'Table 6'!V12</f>
        <v>0.56000000000000005</v>
      </c>
      <c r="N11" s="17">
        <f t="shared" ref="N11" si="21">L11+M11</f>
        <v>1.63</v>
      </c>
      <c r="O11" s="467">
        <f>'Table 4'!AA12+'Table 4'!AB12</f>
        <v>1.08</v>
      </c>
      <c r="P11" s="562">
        <f>'Table 6'!Y12</f>
        <v>0.55000000000000004</v>
      </c>
      <c r="Q11" s="876">
        <f t="shared" ref="Q11" si="22">O11+P11</f>
        <v>1.63</v>
      </c>
      <c r="R11" s="467">
        <f>'Table 4'!AE12+'Table 4'!AF12</f>
        <v>1.0900000000000001</v>
      </c>
      <c r="S11" s="531">
        <f>'Table 6'!AB12</f>
        <v>0.55000000000000004</v>
      </c>
      <c r="T11" s="50">
        <f t="shared" ref="T11" si="23">R11+S11</f>
        <v>1.64</v>
      </c>
      <c r="U11" s="467">
        <f>'Table 4'!AI12+'Table 4'!AJ12</f>
        <v>1.1100000000000001</v>
      </c>
      <c r="V11" s="531">
        <f>'Table 6'!AE12</f>
        <v>0.53</v>
      </c>
      <c r="W11" s="50">
        <f>U11+V11</f>
        <v>1.64</v>
      </c>
      <c r="X11" s="1307">
        <f t="shared" si="19"/>
        <v>0.18</v>
      </c>
      <c r="Y11" s="1308">
        <f t="shared" si="15"/>
        <v>-0.13</v>
      </c>
      <c r="Z11" s="1350">
        <f t="shared" si="16"/>
        <v>0.06</v>
      </c>
      <c r="AA11" s="1309">
        <f>'Table 4'!AN12+'Table 4'!AO12</f>
        <v>1.17</v>
      </c>
      <c r="AB11" s="1310">
        <f>'Table 6'!AI12</f>
        <v>0.52</v>
      </c>
      <c r="AC11" s="1351">
        <f t="shared" si="9"/>
        <v>1.69</v>
      </c>
      <c r="AE11" s="1312">
        <f t="shared" si="2"/>
        <v>0.17</v>
      </c>
      <c r="AF11" s="1312">
        <f t="shared" si="3"/>
        <v>-0.08</v>
      </c>
      <c r="AG11" s="1312">
        <f t="shared" si="4"/>
        <v>0.09</v>
      </c>
    </row>
    <row r="12" spans="1:33" s="67" customFormat="1" ht="14.25" thickTop="1" thickBot="1">
      <c r="A12" s="3413" t="s">
        <v>685</v>
      </c>
      <c r="B12" s="3415"/>
      <c r="C12" s="1228">
        <f>'Table 4'!L13</f>
        <v>0.98</v>
      </c>
      <c r="D12" s="165">
        <f>'Table 6'!M13</f>
        <v>0.89</v>
      </c>
      <c r="E12" s="38">
        <f t="shared" si="17"/>
        <v>1.87</v>
      </c>
      <c r="F12" s="1228">
        <f>'Table 4'!P13</f>
        <v>0</v>
      </c>
      <c r="G12" s="32">
        <f>'Table 6'!P13</f>
        <v>0.78</v>
      </c>
      <c r="H12" s="154">
        <f t="shared" si="0"/>
        <v>0.78</v>
      </c>
      <c r="I12" s="1228">
        <f>'Table 4'!S13</f>
        <v>1.06</v>
      </c>
      <c r="J12" s="165">
        <f>'Table 6'!S13</f>
        <v>0.81</v>
      </c>
      <c r="K12" s="38">
        <f t="shared" si="5"/>
        <v>1.87</v>
      </c>
      <c r="L12" s="120">
        <f>'Table 4'!W13</f>
        <v>1.08</v>
      </c>
      <c r="M12" s="32">
        <f>'Table 6'!V13</f>
        <v>0.83</v>
      </c>
      <c r="N12" s="33">
        <f t="shared" si="6"/>
        <v>1.91</v>
      </c>
      <c r="O12" s="470">
        <f>'Table 4'!AA13</f>
        <v>1.0900000000000001</v>
      </c>
      <c r="P12" s="555">
        <f>'Table 6'!Y13</f>
        <v>0.82</v>
      </c>
      <c r="Q12" s="38">
        <f t="shared" si="7"/>
        <v>1.91</v>
      </c>
      <c r="R12" s="470">
        <f>'Table 4'!AE13</f>
        <v>1.1000000000000001</v>
      </c>
      <c r="S12" s="471">
        <f>'Table 6'!AB13</f>
        <v>0.83</v>
      </c>
      <c r="T12" s="154">
        <f t="shared" si="8"/>
        <v>1.93</v>
      </c>
      <c r="U12" s="470">
        <f>SUM(U10:U11)</f>
        <v>1.1200000000000001</v>
      </c>
      <c r="V12" s="471">
        <f t="shared" ref="V12:W12" si="24">SUM(V10:V11)</f>
        <v>0.83</v>
      </c>
      <c r="W12" s="154">
        <f t="shared" si="24"/>
        <v>1.95</v>
      </c>
      <c r="X12" s="1329">
        <f t="shared" si="19"/>
        <v>0.14000000000000001</v>
      </c>
      <c r="Y12" s="1330">
        <f t="shared" si="15"/>
        <v>-7.0000000000000007E-2</v>
      </c>
      <c r="Z12" s="1331">
        <f t="shared" si="16"/>
        <v>0.04</v>
      </c>
      <c r="AA12" s="1332">
        <f>'Table 4'!AN13</f>
        <v>1.18</v>
      </c>
      <c r="AB12" s="1333">
        <f>'Table 6'!AI13</f>
        <v>0.84</v>
      </c>
      <c r="AC12" s="1334">
        <f t="shared" si="9"/>
        <v>2.02</v>
      </c>
      <c r="AE12" s="1335">
        <f t="shared" si="2"/>
        <v>0.14000000000000001</v>
      </c>
      <c r="AF12" s="1335">
        <f t="shared" si="3"/>
        <v>-0.06</v>
      </c>
      <c r="AG12" s="1335">
        <f t="shared" si="4"/>
        <v>0.08</v>
      </c>
    </row>
    <row r="13" spans="1:33" s="2" customFormat="1">
      <c r="A13" s="455" t="s">
        <v>21</v>
      </c>
      <c r="B13" s="1299" t="s">
        <v>15</v>
      </c>
      <c r="C13" s="1352">
        <f>'Table 4'!L14</f>
        <v>12.89</v>
      </c>
      <c r="D13" s="321">
        <f>'Table 6'!M14</f>
        <v>6.8</v>
      </c>
      <c r="E13" s="914">
        <f>C13+D13</f>
        <v>19.690000000000001</v>
      </c>
      <c r="F13" s="1352">
        <f>'Table 4'!O14+'Table 4'!P14</f>
        <v>14.99</v>
      </c>
      <c r="G13" s="884">
        <f>'Table 6'!P14</f>
        <v>5.0999999999999996</v>
      </c>
      <c r="H13" s="53">
        <f t="shared" si="0"/>
        <v>20.09</v>
      </c>
      <c r="I13" s="1352">
        <f>'Table 4'!S14+'Table 4'!T14</f>
        <v>16.579999999999998</v>
      </c>
      <c r="J13" s="321">
        <f>'Table 6'!S14</f>
        <v>5.61</v>
      </c>
      <c r="K13" s="11">
        <f>I13+J13</f>
        <v>22.19</v>
      </c>
      <c r="L13" s="1353">
        <f>'Table 4'!W14+'Table 4'!X14</f>
        <v>16.920000000000002</v>
      </c>
      <c r="M13" s="884">
        <f>'Table 6'!V14</f>
        <v>6.31</v>
      </c>
      <c r="N13" s="8">
        <f>L13+M13</f>
        <v>23.23</v>
      </c>
      <c r="O13" s="827">
        <f>'Table 4'!AA14+'Table 4'!AB14</f>
        <v>18.059999999999999</v>
      </c>
      <c r="P13" s="560">
        <f>'Table 6'!Y14</f>
        <v>6.55</v>
      </c>
      <c r="Q13" s="11">
        <f>O13+P13</f>
        <v>24.61</v>
      </c>
      <c r="R13" s="827">
        <f>'Table 4'!AE14+'Table 4'!AF14</f>
        <v>18.73</v>
      </c>
      <c r="S13" s="916">
        <f>'Table 6'!AB14</f>
        <v>6.75</v>
      </c>
      <c r="T13" s="53">
        <f>R13+S13</f>
        <v>25.48</v>
      </c>
      <c r="U13" s="827">
        <f>'Table 4'!AI14+'Table 4'!AJ14</f>
        <v>19.600000000000001</v>
      </c>
      <c r="V13" s="916">
        <f>'Table 6'!AE14</f>
        <v>6.9</v>
      </c>
      <c r="W13" s="53">
        <f>U13+V13</f>
        <v>26.5</v>
      </c>
      <c r="X13" s="1354">
        <f t="shared" si="19"/>
        <v>0.52</v>
      </c>
      <c r="Y13" s="1338">
        <f t="shared" si="15"/>
        <v>0.01</v>
      </c>
      <c r="Z13" s="1303">
        <f t="shared" si="16"/>
        <v>0.35</v>
      </c>
      <c r="AA13" s="1356">
        <f>'Table 4'!AN14+'Table 4'!AO14</f>
        <v>20.78</v>
      </c>
      <c r="AB13" s="1336">
        <f>'Table 6'!AI14</f>
        <v>7.31</v>
      </c>
      <c r="AC13" s="1357">
        <f t="shared" si="9"/>
        <v>28.09</v>
      </c>
      <c r="AE13" s="1337">
        <f t="shared" si="2"/>
        <v>6.71</v>
      </c>
      <c r="AF13" s="1337">
        <f t="shared" si="3"/>
        <v>0.1</v>
      </c>
      <c r="AG13" s="1337">
        <f t="shared" si="4"/>
        <v>6.81</v>
      </c>
    </row>
    <row r="14" spans="1:33" s="2" customFormat="1">
      <c r="A14" s="455" t="s">
        <v>686</v>
      </c>
      <c r="B14" s="1361" t="s">
        <v>17</v>
      </c>
      <c r="C14" s="1352">
        <f>'Table 4'!L15</f>
        <v>3.32</v>
      </c>
      <c r="D14" s="321">
        <f>'Table 6'!M15</f>
        <v>2.65</v>
      </c>
      <c r="E14" s="914">
        <f>C14+D14</f>
        <v>5.97</v>
      </c>
      <c r="F14" s="1352">
        <f>'Table 4'!O15+'Table 4'!P15</f>
        <v>3.47</v>
      </c>
      <c r="G14" s="884">
        <f>'Table 6'!P15</f>
        <v>2.73</v>
      </c>
      <c r="H14" s="53">
        <f t="shared" si="0"/>
        <v>6.2</v>
      </c>
      <c r="I14" s="1352">
        <f>'Table 4'!S15+'Table 4'!T15</f>
        <v>3.58</v>
      </c>
      <c r="J14" s="321">
        <f>'Table 6'!S15</f>
        <v>2.86</v>
      </c>
      <c r="K14" s="11">
        <f t="shared" ref="K14" si="25">I14+J14</f>
        <v>6.44</v>
      </c>
      <c r="L14" s="1353">
        <f>'Table 4'!W15+'Table 4'!X15</f>
        <v>3.68</v>
      </c>
      <c r="M14" s="884">
        <f>'Table 6'!V15</f>
        <v>2.97</v>
      </c>
      <c r="N14" s="8">
        <f t="shared" ref="N14" si="26">L14+M14</f>
        <v>6.65</v>
      </c>
      <c r="O14" s="827">
        <f>'Table 4'!AA15+'Table 4'!AB15</f>
        <v>3.78</v>
      </c>
      <c r="P14" s="560">
        <f>'Table 6'!Y15</f>
        <v>3.05</v>
      </c>
      <c r="Q14" s="11">
        <f t="shared" ref="Q14" si="27">O14+P14</f>
        <v>6.83</v>
      </c>
      <c r="R14" s="827">
        <f>'Table 4'!AE15+'Table 4'!AF15</f>
        <v>3.89</v>
      </c>
      <c r="S14" s="916">
        <f>'Table 6'!AB15</f>
        <v>3.12</v>
      </c>
      <c r="T14" s="53">
        <f t="shared" ref="T14" si="28">R14+S14</f>
        <v>7.01</v>
      </c>
      <c r="U14" s="827">
        <f>'Table 4'!AI15+'Table 4'!AJ15</f>
        <v>4</v>
      </c>
      <c r="V14" s="916">
        <f>'Table 6'!AE15</f>
        <v>3.18</v>
      </c>
      <c r="W14" s="53">
        <f>U14+V14</f>
        <v>7.18</v>
      </c>
      <c r="X14" s="1354">
        <f t="shared" si="19"/>
        <v>0.2</v>
      </c>
      <c r="Y14" s="1338">
        <f t="shared" si="15"/>
        <v>0.2</v>
      </c>
      <c r="Z14" s="1303">
        <f t="shared" si="16"/>
        <v>0.2</v>
      </c>
      <c r="AA14" s="1356">
        <f>'Table 4'!AN15+'Table 4'!AO15</f>
        <v>4.24</v>
      </c>
      <c r="AB14" s="1336">
        <f>'Table 6'!AI15</f>
        <v>3.32</v>
      </c>
      <c r="AC14" s="1357">
        <f t="shared" si="9"/>
        <v>7.56</v>
      </c>
      <c r="AE14" s="1337">
        <f t="shared" si="2"/>
        <v>0.68</v>
      </c>
      <c r="AF14" s="1337">
        <f t="shared" si="3"/>
        <v>0.53</v>
      </c>
      <c r="AG14" s="1337">
        <f t="shared" si="4"/>
        <v>1.21</v>
      </c>
    </row>
    <row r="15" spans="1:33" s="2" customFormat="1">
      <c r="A15" s="455" t="s">
        <v>23</v>
      </c>
      <c r="B15" s="1299" t="s">
        <v>15</v>
      </c>
      <c r="C15" s="1352">
        <f>'Table 4'!L16</f>
        <v>106.52</v>
      </c>
      <c r="D15" s="321">
        <f>'Table 6'!M16</f>
        <v>12.73</v>
      </c>
      <c r="E15" s="914">
        <f t="shared" ref="E15:E23" si="29">C15+D15</f>
        <v>119.25</v>
      </c>
      <c r="F15" s="1352">
        <f>'Table 4'!O16+'Table 4'!P16</f>
        <v>110.97</v>
      </c>
      <c r="G15" s="884">
        <f>'Table 6'!P16</f>
        <v>22.16</v>
      </c>
      <c r="H15" s="53">
        <f t="shared" si="0"/>
        <v>133.13</v>
      </c>
      <c r="I15" s="1352">
        <f>'Table 4'!S16+'Table 4'!T16</f>
        <v>118.59</v>
      </c>
      <c r="J15" s="321">
        <f>'Table 6'!S16</f>
        <v>23.81</v>
      </c>
      <c r="K15" s="11">
        <f t="shared" ref="K15:K23" si="30">I15+J15</f>
        <v>142.4</v>
      </c>
      <c r="L15" s="1353">
        <f>'Table 4'!W16+'Table 4'!X16</f>
        <v>124.49</v>
      </c>
      <c r="M15" s="884">
        <f>'Table 6'!V16</f>
        <v>25.07</v>
      </c>
      <c r="N15" s="8">
        <f t="shared" ref="N15:N23" si="31">L15+M15</f>
        <v>149.56</v>
      </c>
      <c r="O15" s="827">
        <f>'Table 4'!AA16+'Table 4'!AB16</f>
        <v>129.65</v>
      </c>
      <c r="P15" s="560">
        <f>'Table 6'!Y16</f>
        <v>26.19</v>
      </c>
      <c r="Q15" s="11">
        <f t="shared" ref="Q15:Q23" si="32">O15+P15</f>
        <v>155.84</v>
      </c>
      <c r="R15" s="827">
        <f>'Table 4'!AE16+'Table 4'!AF16</f>
        <v>133.77000000000001</v>
      </c>
      <c r="S15" s="916">
        <f>'Table 6'!AB16</f>
        <v>27.08</v>
      </c>
      <c r="T15" s="53">
        <f t="shared" ref="T15:T23" si="33">R15+S15</f>
        <v>160.85</v>
      </c>
      <c r="U15" s="827">
        <f>'Table 4'!AI16+'Table 4'!AJ16</f>
        <v>137.38</v>
      </c>
      <c r="V15" s="916">
        <f>'Table 6'!AE16</f>
        <v>27.85</v>
      </c>
      <c r="W15" s="53">
        <f t="shared" ref="W15:W23" si="34">U15+V15</f>
        <v>165.23</v>
      </c>
      <c r="X15" s="1354">
        <f t="shared" si="19"/>
        <v>0.28999999999999998</v>
      </c>
      <c r="Y15" s="1338">
        <f t="shared" si="15"/>
        <v>1.19</v>
      </c>
      <c r="Z15" s="1303">
        <f t="shared" si="16"/>
        <v>0.39</v>
      </c>
      <c r="AA15" s="1356">
        <f>'Table 4'!AN16+'Table 4'!AO16</f>
        <v>145.62</v>
      </c>
      <c r="AB15" s="1336">
        <f>'Table 6'!AI16</f>
        <v>29.52</v>
      </c>
      <c r="AC15" s="1357">
        <f t="shared" si="9"/>
        <v>175.14</v>
      </c>
      <c r="AE15" s="1337">
        <f t="shared" si="2"/>
        <v>30.86</v>
      </c>
      <c r="AF15" s="1337">
        <f t="shared" si="3"/>
        <v>15.12</v>
      </c>
      <c r="AG15" s="1337">
        <f t="shared" si="4"/>
        <v>45.98</v>
      </c>
    </row>
    <row r="16" spans="1:33" s="2" customFormat="1">
      <c r="A16" s="455" t="s">
        <v>24</v>
      </c>
      <c r="B16" s="1299" t="s">
        <v>15</v>
      </c>
      <c r="C16" s="1352">
        <f>'Table 4'!L17</f>
        <v>9.0500000000000007</v>
      </c>
      <c r="D16" s="321">
        <f>'Table 6'!M17</f>
        <v>0.31</v>
      </c>
      <c r="E16" s="914">
        <f t="shared" si="29"/>
        <v>9.36</v>
      </c>
      <c r="F16" s="1352">
        <f>'Table 4'!O17+'Table 4'!P17</f>
        <v>10.29</v>
      </c>
      <c r="G16" s="884">
        <f>'Table 6'!P17</f>
        <v>0.3</v>
      </c>
      <c r="H16" s="53">
        <f t="shared" si="0"/>
        <v>10.59</v>
      </c>
      <c r="I16" s="1352">
        <f>'Table 4'!S17+'Table 4'!T17</f>
        <v>11.45</v>
      </c>
      <c r="J16" s="321">
        <f>'Table 6'!S17</f>
        <v>0.3</v>
      </c>
      <c r="K16" s="11">
        <f t="shared" si="30"/>
        <v>11.75</v>
      </c>
      <c r="L16" s="1353">
        <f>'Table 4'!W17+'Table 4'!X17</f>
        <v>12.45</v>
      </c>
      <c r="M16" s="884">
        <f>'Table 6'!V17</f>
        <v>0.38</v>
      </c>
      <c r="N16" s="8">
        <f t="shared" si="31"/>
        <v>12.83</v>
      </c>
      <c r="O16" s="827">
        <f>'Table 4'!AA17+'Table 4'!AB17</f>
        <v>13.26</v>
      </c>
      <c r="P16" s="560">
        <f>'Table 6'!Y17</f>
        <v>0.39</v>
      </c>
      <c r="Q16" s="11">
        <f t="shared" si="32"/>
        <v>13.65</v>
      </c>
      <c r="R16" s="827">
        <f>'Table 4'!AE17+'Table 4'!AF17</f>
        <v>13.79</v>
      </c>
      <c r="S16" s="916">
        <f>'Table 6'!AB17</f>
        <v>0.39</v>
      </c>
      <c r="T16" s="53">
        <f t="shared" si="33"/>
        <v>14.18</v>
      </c>
      <c r="U16" s="827">
        <f>'Table 4'!AI17+'Table 4'!AJ17</f>
        <v>14.33</v>
      </c>
      <c r="V16" s="916">
        <f>'Table 6'!AE17</f>
        <v>0.4</v>
      </c>
      <c r="W16" s="53">
        <f t="shared" si="34"/>
        <v>14.73</v>
      </c>
      <c r="X16" s="1354">
        <f t="shared" si="19"/>
        <v>0.57999999999999996</v>
      </c>
      <c r="Y16" s="1338">
        <f t="shared" si="15"/>
        <v>0.28999999999999998</v>
      </c>
      <c r="Z16" s="1303">
        <f t="shared" si="16"/>
        <v>0.56999999999999995</v>
      </c>
      <c r="AA16" s="1356">
        <f>'Table 4'!AN17+'Table 4'!AO17</f>
        <v>15.18</v>
      </c>
      <c r="AB16" s="1336">
        <f>'Table 6'!AI17</f>
        <v>0.42</v>
      </c>
      <c r="AC16" s="1357">
        <f t="shared" si="9"/>
        <v>15.6</v>
      </c>
      <c r="AE16" s="1337">
        <f t="shared" si="2"/>
        <v>5.28</v>
      </c>
      <c r="AF16" s="1337">
        <f t="shared" si="3"/>
        <v>0.09</v>
      </c>
      <c r="AG16" s="1337">
        <f t="shared" si="4"/>
        <v>5.37</v>
      </c>
    </row>
    <row r="17" spans="1:33" s="2" customFormat="1">
      <c r="A17" s="456" t="s">
        <v>25</v>
      </c>
      <c r="B17" s="1299" t="s">
        <v>17</v>
      </c>
      <c r="C17" s="1917">
        <f>'Table 4'!L18</f>
        <v>0.22</v>
      </c>
      <c r="D17" s="1867">
        <f>'Table 6'!M18</f>
        <v>0.98</v>
      </c>
      <c r="E17" s="1868">
        <f t="shared" si="29"/>
        <v>1.2</v>
      </c>
      <c r="F17" s="1917">
        <f>'Table 4'!O18+'Table 4'!P18</f>
        <v>0.22</v>
      </c>
      <c r="G17" s="1866">
        <f>'Table 6'!P18</f>
        <v>1.05</v>
      </c>
      <c r="H17" s="53">
        <f t="shared" si="0"/>
        <v>1.27</v>
      </c>
      <c r="I17" s="1917">
        <f>'Table 4'!S18+'Table 4'!T18</f>
        <v>0.25</v>
      </c>
      <c r="J17" s="1867">
        <f>'Table 6'!S18</f>
        <v>1.0900000000000001</v>
      </c>
      <c r="K17" s="11">
        <f t="shared" si="30"/>
        <v>1.34</v>
      </c>
      <c r="L17" s="1848">
        <f>'Table 4'!W18+'Table 4'!X18</f>
        <v>0.27</v>
      </c>
      <c r="M17" s="1866">
        <f>'Table 6'!V18</f>
        <v>1.1299999999999999</v>
      </c>
      <c r="N17" s="8">
        <f t="shared" si="31"/>
        <v>1.4</v>
      </c>
      <c r="O17" s="1050">
        <f>'Table 4'!AA18+'Table 4'!AB18</f>
        <v>0.28000000000000003</v>
      </c>
      <c r="P17" s="1594">
        <f>'Table 6'!Y18</f>
        <v>1.17</v>
      </c>
      <c r="Q17" s="11">
        <f t="shared" si="32"/>
        <v>1.45</v>
      </c>
      <c r="R17" s="1050">
        <f>'Table 4'!AE18+'Table 4'!AF18</f>
        <v>0.28000000000000003</v>
      </c>
      <c r="S17" s="1055">
        <f>'Table 6'!AB18</f>
        <v>1.21</v>
      </c>
      <c r="T17" s="53">
        <f t="shared" si="33"/>
        <v>1.49</v>
      </c>
      <c r="U17" s="1050">
        <f>'Table 4'!AI18+'Table 4'!AJ18</f>
        <v>0.28000000000000003</v>
      </c>
      <c r="V17" s="1055">
        <f>'Table 6'!AE18</f>
        <v>1.24</v>
      </c>
      <c r="W17" s="53">
        <f t="shared" si="34"/>
        <v>1.52</v>
      </c>
      <c r="X17" s="1918">
        <f t="shared" si="19"/>
        <v>0.27</v>
      </c>
      <c r="Y17" s="1919">
        <f t="shared" si="15"/>
        <v>0.27</v>
      </c>
      <c r="Z17" s="1303">
        <f t="shared" si="16"/>
        <v>0.27</v>
      </c>
      <c r="AA17" s="1356">
        <f>'Table 4'!AN18+'Table 4'!AO18</f>
        <v>0.3</v>
      </c>
      <c r="AB17" s="1336">
        <f>'Table 6'!AI18</f>
        <v>1.31</v>
      </c>
      <c r="AC17" s="1357">
        <f t="shared" si="9"/>
        <v>1.61</v>
      </c>
      <c r="AE17" s="1337">
        <f t="shared" si="2"/>
        <v>0.06</v>
      </c>
      <c r="AF17" s="1337">
        <f t="shared" si="3"/>
        <v>0.26</v>
      </c>
      <c r="AG17" s="1337">
        <f t="shared" si="4"/>
        <v>0.32</v>
      </c>
    </row>
    <row r="18" spans="1:33" s="2" customFormat="1">
      <c r="A18" s="456" t="s">
        <v>26</v>
      </c>
      <c r="B18" s="455" t="s">
        <v>17</v>
      </c>
      <c r="C18" s="1917">
        <f>'Table 4'!L19</f>
        <v>0.91</v>
      </c>
      <c r="D18" s="1867">
        <f>'Table 6'!M19</f>
        <v>0.51</v>
      </c>
      <c r="E18" s="1868">
        <f t="shared" si="29"/>
        <v>1.42</v>
      </c>
      <c r="F18" s="1917">
        <f>'Table 4'!O19+'Table 4'!P19</f>
        <v>1.03</v>
      </c>
      <c r="G18" s="1866">
        <f>'Table 6'!P19</f>
        <v>0.49</v>
      </c>
      <c r="H18" s="53">
        <f t="shared" si="0"/>
        <v>1.52</v>
      </c>
      <c r="I18" s="1917">
        <f>'Table 4'!S19+'Table 4'!T19</f>
        <v>1.03</v>
      </c>
      <c r="J18" s="1867">
        <f>'Table 6'!S19</f>
        <v>0.5</v>
      </c>
      <c r="K18" s="11">
        <f t="shared" si="30"/>
        <v>1.53</v>
      </c>
      <c r="L18" s="1848">
        <f>'Table 4'!W19+'Table 4'!X19</f>
        <v>1.03</v>
      </c>
      <c r="M18" s="1866">
        <f>'Table 6'!V19</f>
        <v>0.5</v>
      </c>
      <c r="N18" s="8">
        <f t="shared" si="31"/>
        <v>1.53</v>
      </c>
      <c r="O18" s="1050">
        <f>'Table 4'!AA19+'Table 4'!AB19</f>
        <v>1.03</v>
      </c>
      <c r="P18" s="1594">
        <f>'Table 6'!Y19</f>
        <v>0.5</v>
      </c>
      <c r="Q18" s="11">
        <f t="shared" si="32"/>
        <v>1.53</v>
      </c>
      <c r="R18" s="1050">
        <f>'Table 4'!AE19+'Table 4'!AF19</f>
        <v>1.03</v>
      </c>
      <c r="S18" s="1055">
        <f>'Table 6'!AB19</f>
        <v>0.5</v>
      </c>
      <c r="T18" s="53">
        <f t="shared" si="33"/>
        <v>1.53</v>
      </c>
      <c r="U18" s="1050">
        <f>'Table 4'!AI19+'Table 4'!AJ19</f>
        <v>1.03</v>
      </c>
      <c r="V18" s="1055">
        <f>'Table 6'!AE19</f>
        <v>0.51</v>
      </c>
      <c r="W18" s="53">
        <f t="shared" si="34"/>
        <v>1.54</v>
      </c>
      <c r="X18" s="1918">
        <f t="shared" si="19"/>
        <v>0.13</v>
      </c>
      <c r="Y18" s="1919">
        <f t="shared" si="15"/>
        <v>0</v>
      </c>
      <c r="Z18" s="1303">
        <f t="shared" si="16"/>
        <v>0.08</v>
      </c>
      <c r="AA18" s="1356">
        <f>'Table 4'!AN19+'Table 4'!AO19</f>
        <v>1.0900000000000001</v>
      </c>
      <c r="AB18" s="1336">
        <f>'Table 6'!AI19</f>
        <v>0.54</v>
      </c>
      <c r="AC18" s="1357">
        <f t="shared" si="9"/>
        <v>1.63</v>
      </c>
      <c r="AE18" s="1337">
        <f t="shared" si="2"/>
        <v>0.12</v>
      </c>
      <c r="AF18" s="1337">
        <f t="shared" si="3"/>
        <v>0</v>
      </c>
      <c r="AG18" s="1337">
        <f t="shared" si="4"/>
        <v>0.12</v>
      </c>
    </row>
    <row r="19" spans="1:33" s="2" customFormat="1">
      <c r="A19" s="455" t="s">
        <v>27</v>
      </c>
      <c r="B19" s="1299" t="s">
        <v>15</v>
      </c>
      <c r="C19" s="1352">
        <f>'Table 4'!L20</f>
        <v>6.92</v>
      </c>
      <c r="D19" s="321">
        <f>'Table 6'!M20</f>
        <v>3.87</v>
      </c>
      <c r="E19" s="914">
        <f t="shared" si="29"/>
        <v>10.79</v>
      </c>
      <c r="F19" s="1352">
        <f>'Table 4'!O20+'Table 4'!P20</f>
        <v>8.07</v>
      </c>
      <c r="G19" s="884">
        <f>'Table 6'!P20</f>
        <v>1.49</v>
      </c>
      <c r="H19" s="53">
        <f t="shared" si="0"/>
        <v>9.56</v>
      </c>
      <c r="I19" s="1352">
        <f>'Table 4'!S20+'Table 4'!T20</f>
        <v>8.69</v>
      </c>
      <c r="J19" s="321">
        <f>'Table 6'!S20</f>
        <v>1.72</v>
      </c>
      <c r="K19" s="11">
        <f t="shared" si="30"/>
        <v>10.41</v>
      </c>
      <c r="L19" s="1353">
        <f>'Table 4'!W20+'Table 4'!X20</f>
        <v>9.15</v>
      </c>
      <c r="M19" s="884">
        <f>'Table 6'!V20</f>
        <v>1.85</v>
      </c>
      <c r="N19" s="8">
        <f t="shared" si="31"/>
        <v>11</v>
      </c>
      <c r="O19" s="827">
        <f>'Table 4'!AA20+'Table 4'!AB20</f>
        <v>9.51</v>
      </c>
      <c r="P19" s="560">
        <f>'Table 6'!Y20</f>
        <v>2.0299999999999998</v>
      </c>
      <c r="Q19" s="11">
        <f t="shared" si="32"/>
        <v>11.54</v>
      </c>
      <c r="R19" s="827">
        <f>'Table 4'!AE20+'Table 4'!AF20</f>
        <v>9.81</v>
      </c>
      <c r="S19" s="916">
        <f>'Table 6'!AB20</f>
        <v>2.16</v>
      </c>
      <c r="T19" s="53">
        <f t="shared" si="33"/>
        <v>11.97</v>
      </c>
      <c r="U19" s="827">
        <f>'Table 4'!AI20+'Table 4'!AJ20</f>
        <v>10.08</v>
      </c>
      <c r="V19" s="916">
        <f>'Table 6'!AE20</f>
        <v>2.2799999999999998</v>
      </c>
      <c r="W19" s="53">
        <f t="shared" si="34"/>
        <v>12.36</v>
      </c>
      <c r="X19" s="1354">
        <f t="shared" si="19"/>
        <v>0.46</v>
      </c>
      <c r="Y19" s="1338">
        <f t="shared" si="15"/>
        <v>-0.41</v>
      </c>
      <c r="Z19" s="1303">
        <f t="shared" si="16"/>
        <v>0.15</v>
      </c>
      <c r="AA19" s="1356">
        <f>'Table 4'!AN20+'Table 4'!AO20</f>
        <v>10.69</v>
      </c>
      <c r="AB19" s="1336">
        <f>'Table 6'!AI20</f>
        <v>2.42</v>
      </c>
      <c r="AC19" s="1357">
        <f t="shared" si="9"/>
        <v>13.11</v>
      </c>
      <c r="AE19" s="1337">
        <f t="shared" si="2"/>
        <v>3.16</v>
      </c>
      <c r="AF19" s="1337">
        <f t="shared" si="3"/>
        <v>-1.59</v>
      </c>
      <c r="AG19" s="1337">
        <f t="shared" si="4"/>
        <v>1.57</v>
      </c>
    </row>
    <row r="20" spans="1:33" s="2" customFormat="1">
      <c r="A20" s="455" t="s">
        <v>28</v>
      </c>
      <c r="B20" s="1299" t="s">
        <v>15</v>
      </c>
      <c r="C20" s="1352">
        <f>'Table 4'!L21</f>
        <v>2.1800000000000002</v>
      </c>
      <c r="D20" s="321">
        <f>'Table 6'!M21</f>
        <v>2.5499999999999998</v>
      </c>
      <c r="E20" s="914">
        <f t="shared" si="29"/>
        <v>4.7300000000000004</v>
      </c>
      <c r="F20" s="1352">
        <f>'Table 4'!O21+'Table 4'!P21</f>
        <v>2.1</v>
      </c>
      <c r="G20" s="884">
        <f>'Table 6'!P21</f>
        <v>3.24</v>
      </c>
      <c r="H20" s="53">
        <f t="shared" si="0"/>
        <v>5.34</v>
      </c>
      <c r="I20" s="1352">
        <f>'Table 4'!S21+'Table 4'!T21</f>
        <v>2.11</v>
      </c>
      <c r="J20" s="321">
        <f>'Table 6'!S21</f>
        <v>3.24</v>
      </c>
      <c r="K20" s="11">
        <f t="shared" si="30"/>
        <v>5.35</v>
      </c>
      <c r="L20" s="1353">
        <f>'Table 4'!W21+'Table 4'!X21</f>
        <v>2.12</v>
      </c>
      <c r="M20" s="884">
        <f>'Table 6'!V21</f>
        <v>3.24</v>
      </c>
      <c r="N20" s="8">
        <f t="shared" si="31"/>
        <v>5.36</v>
      </c>
      <c r="O20" s="827">
        <f>'Table 4'!AA21+'Table 4'!AB21</f>
        <v>2.13</v>
      </c>
      <c r="P20" s="560">
        <f>'Table 6'!Y21</f>
        <v>3.24</v>
      </c>
      <c r="Q20" s="11">
        <f t="shared" si="32"/>
        <v>5.37</v>
      </c>
      <c r="R20" s="827">
        <f>'Table 4'!AE21+'Table 4'!AF21</f>
        <v>2.14</v>
      </c>
      <c r="S20" s="916">
        <f>'Table 6'!AB21</f>
        <v>3.24</v>
      </c>
      <c r="T20" s="53">
        <f t="shared" si="33"/>
        <v>5.38</v>
      </c>
      <c r="U20" s="827">
        <f>'Table 4'!AI21+'Table 4'!AJ21</f>
        <v>2.15</v>
      </c>
      <c r="V20" s="916">
        <f>'Table 6'!AE21</f>
        <v>3.24</v>
      </c>
      <c r="W20" s="53">
        <f t="shared" si="34"/>
        <v>5.39</v>
      </c>
      <c r="X20" s="1354">
        <f t="shared" si="19"/>
        <v>-0.01</v>
      </c>
      <c r="Y20" s="1338">
        <f t="shared" si="15"/>
        <v>0.27</v>
      </c>
      <c r="Z20" s="1303">
        <f t="shared" si="16"/>
        <v>0.14000000000000001</v>
      </c>
      <c r="AA20" s="1356">
        <f>'Table 4'!AN21+'Table 4'!AO21</f>
        <v>2.2799999999999998</v>
      </c>
      <c r="AB20" s="1336">
        <f>'Table 6'!AI21</f>
        <v>3.43</v>
      </c>
      <c r="AC20" s="1357">
        <f t="shared" si="9"/>
        <v>5.71</v>
      </c>
      <c r="AE20" s="1337">
        <f t="shared" si="2"/>
        <v>-0.03</v>
      </c>
      <c r="AF20" s="1337">
        <f t="shared" si="3"/>
        <v>0.69</v>
      </c>
      <c r="AG20" s="1337">
        <f t="shared" si="4"/>
        <v>0.66</v>
      </c>
    </row>
    <row r="21" spans="1:33" s="2" customFormat="1">
      <c r="A21" s="455" t="s">
        <v>29</v>
      </c>
      <c r="B21" s="1299" t="s">
        <v>15</v>
      </c>
      <c r="C21" s="1352">
        <f>'Table 4'!L22</f>
        <v>19.21</v>
      </c>
      <c r="D21" s="321">
        <f>'Table 6'!M22</f>
        <v>2.78</v>
      </c>
      <c r="E21" s="914">
        <f t="shared" si="29"/>
        <v>21.99</v>
      </c>
      <c r="F21" s="1352">
        <f>'Table 4'!O22+'Table 4'!P22</f>
        <v>30.77</v>
      </c>
      <c r="G21" s="884">
        <f>'Table 6'!P22</f>
        <v>4.6100000000000003</v>
      </c>
      <c r="H21" s="53">
        <f t="shared" si="0"/>
        <v>35.380000000000003</v>
      </c>
      <c r="I21" s="1352">
        <f>'Table 4'!S22+'Table 4'!T22</f>
        <v>36.32</v>
      </c>
      <c r="J21" s="321">
        <f>'Table 6'!S22</f>
        <v>5.4</v>
      </c>
      <c r="K21" s="11">
        <f t="shared" si="30"/>
        <v>41.72</v>
      </c>
      <c r="L21" s="1353">
        <f>'Table 4'!W22+'Table 4'!X22</f>
        <v>40.99</v>
      </c>
      <c r="M21" s="884">
        <f>'Table 6'!V22</f>
        <v>6.22</v>
      </c>
      <c r="N21" s="8">
        <f t="shared" si="31"/>
        <v>47.21</v>
      </c>
      <c r="O21" s="827">
        <f>'Table 4'!AA22+'Table 4'!AB22</f>
        <v>44.79</v>
      </c>
      <c r="P21" s="560">
        <f>'Table 6'!Y22</f>
        <v>6.89</v>
      </c>
      <c r="Q21" s="11">
        <f t="shared" si="32"/>
        <v>51.68</v>
      </c>
      <c r="R21" s="827">
        <f>'Table 4'!AE22+'Table 4'!AF22</f>
        <v>48.04</v>
      </c>
      <c r="S21" s="916">
        <f>'Table 6'!AB22</f>
        <v>7.6</v>
      </c>
      <c r="T21" s="53">
        <f t="shared" si="33"/>
        <v>55.64</v>
      </c>
      <c r="U21" s="827">
        <f>'Table 4'!AI22+'Table 4'!AJ22</f>
        <v>51.02</v>
      </c>
      <c r="V21" s="916">
        <f>'Table 6'!AE22</f>
        <v>8.25</v>
      </c>
      <c r="W21" s="53">
        <f t="shared" si="34"/>
        <v>59.27</v>
      </c>
      <c r="X21" s="1354">
        <f t="shared" si="19"/>
        <v>1.66</v>
      </c>
      <c r="Y21" s="1338">
        <f t="shared" si="15"/>
        <v>1.97</v>
      </c>
      <c r="Z21" s="1303">
        <f t="shared" si="16"/>
        <v>1.7</v>
      </c>
      <c r="AA21" s="1356">
        <f>'Table 4'!AN22+'Table 4'!AO22</f>
        <v>54.08</v>
      </c>
      <c r="AB21" s="1336">
        <f>'Table 6'!AI22</f>
        <v>8.74</v>
      </c>
      <c r="AC21" s="1357">
        <f t="shared" si="9"/>
        <v>62.82</v>
      </c>
      <c r="AE21" s="1337">
        <f t="shared" si="2"/>
        <v>31.81</v>
      </c>
      <c r="AF21" s="1337">
        <f t="shared" si="3"/>
        <v>5.47</v>
      </c>
      <c r="AG21" s="1337">
        <f t="shared" si="4"/>
        <v>37.28</v>
      </c>
    </row>
    <row r="22" spans="1:33" s="2" customFormat="1">
      <c r="A22" s="456" t="s">
        <v>30</v>
      </c>
      <c r="B22" s="1339" t="s">
        <v>17</v>
      </c>
      <c r="C22" s="1917">
        <f>'Table 4'!L23</f>
        <v>1.32</v>
      </c>
      <c r="D22" s="1867">
        <f>'Table 6'!M23</f>
        <v>2.2200000000000002</v>
      </c>
      <c r="E22" s="1868">
        <f t="shared" si="29"/>
        <v>3.54</v>
      </c>
      <c r="F22" s="1917">
        <f>'Table 4'!O23+'Table 4'!P23</f>
        <v>1.45</v>
      </c>
      <c r="G22" s="1866">
        <f>'Table 6'!P23</f>
        <v>2.34</v>
      </c>
      <c r="H22" s="53">
        <f t="shared" si="0"/>
        <v>3.79</v>
      </c>
      <c r="I22" s="1917">
        <f>'Table 4'!S23+'Table 4'!T23</f>
        <v>1.61</v>
      </c>
      <c r="J22" s="1867">
        <f>'Table 6'!S23</f>
        <v>2.44</v>
      </c>
      <c r="K22" s="11">
        <f t="shared" si="30"/>
        <v>4.05</v>
      </c>
      <c r="L22" s="1848">
        <f>'Table 4'!W23+'Table 4'!X23</f>
        <v>1.73</v>
      </c>
      <c r="M22" s="1866">
        <f>'Table 6'!V23</f>
        <v>2.54</v>
      </c>
      <c r="N22" s="8">
        <f t="shared" si="31"/>
        <v>4.2699999999999996</v>
      </c>
      <c r="O22" s="1050">
        <f>'Table 4'!AA23+'Table 4'!AB23</f>
        <v>1.79</v>
      </c>
      <c r="P22" s="1594">
        <f>'Table 6'!Y23</f>
        <v>2.62</v>
      </c>
      <c r="Q22" s="11">
        <f t="shared" si="32"/>
        <v>4.41</v>
      </c>
      <c r="R22" s="1050">
        <f>'Table 4'!AE23+'Table 4'!AF23</f>
        <v>1.84</v>
      </c>
      <c r="S22" s="1055">
        <f>'Table 6'!AB23</f>
        <v>2.69</v>
      </c>
      <c r="T22" s="53">
        <f t="shared" si="33"/>
        <v>4.53</v>
      </c>
      <c r="U22" s="1050">
        <f>'Table 4'!AI23+'Table 4'!AJ23</f>
        <v>1.87</v>
      </c>
      <c r="V22" s="1055">
        <f>'Table 6'!AE23</f>
        <v>2.76</v>
      </c>
      <c r="W22" s="53">
        <f t="shared" si="34"/>
        <v>4.63</v>
      </c>
      <c r="X22" s="1918">
        <f t="shared" si="19"/>
        <v>0.42</v>
      </c>
      <c r="Y22" s="1919">
        <f t="shared" si="15"/>
        <v>0.24</v>
      </c>
      <c r="Z22" s="1303">
        <f t="shared" si="16"/>
        <v>0.31</v>
      </c>
      <c r="AA22" s="1356">
        <f>'Table 4'!AN23+'Table 4'!AO23</f>
        <v>1.98</v>
      </c>
      <c r="AB22" s="1336">
        <f>'Table 6'!AI23</f>
        <v>2.92</v>
      </c>
      <c r="AC22" s="1357">
        <f t="shared" si="9"/>
        <v>4.9000000000000004</v>
      </c>
      <c r="AE22" s="1337">
        <f t="shared" si="2"/>
        <v>0.55000000000000004</v>
      </c>
      <c r="AF22" s="1337">
        <f t="shared" si="3"/>
        <v>0.54</v>
      </c>
      <c r="AG22" s="1337">
        <f t="shared" si="4"/>
        <v>1.0900000000000001</v>
      </c>
    </row>
    <row r="23" spans="1:33" s="2" customFormat="1" ht="13.5" thickBot="1">
      <c r="A23" s="579" t="s">
        <v>31</v>
      </c>
      <c r="B23" s="1793" t="s">
        <v>17</v>
      </c>
      <c r="C23" s="1306">
        <f>'Table 4'!L24</f>
        <v>0.26</v>
      </c>
      <c r="D23" s="412">
        <f>'Table 6'!M24</f>
        <v>0.67</v>
      </c>
      <c r="E23" s="876">
        <f t="shared" si="29"/>
        <v>0.93</v>
      </c>
      <c r="F23" s="1306">
        <f>'Table 4'!O24+'Table 4'!P24</f>
        <v>0.24</v>
      </c>
      <c r="G23" s="410">
        <f>'Table 6'!P24</f>
        <v>0.65</v>
      </c>
      <c r="H23" s="50">
        <f t="shared" si="0"/>
        <v>0.89</v>
      </c>
      <c r="I23" s="1306">
        <f>'Table 4'!S24+'Table 4'!T24</f>
        <v>0.24</v>
      </c>
      <c r="J23" s="412">
        <f>'Table 6'!S24</f>
        <v>0.65</v>
      </c>
      <c r="K23" s="876">
        <f t="shared" si="30"/>
        <v>0.89</v>
      </c>
      <c r="L23" s="1349">
        <f>'Table 4'!W24+'Table 4'!X24</f>
        <v>0.24</v>
      </c>
      <c r="M23" s="410">
        <f>'Table 6'!V24</f>
        <v>0.65</v>
      </c>
      <c r="N23" s="17">
        <f t="shared" si="31"/>
        <v>0.89</v>
      </c>
      <c r="O23" s="467">
        <f>'Table 4'!AA24+'Table 4'!AB24</f>
        <v>0.25</v>
      </c>
      <c r="P23" s="562">
        <f>'Table 6'!Y24</f>
        <v>0.66</v>
      </c>
      <c r="Q23" s="876">
        <f t="shared" si="32"/>
        <v>0.91</v>
      </c>
      <c r="R23" s="467">
        <f>'Table 4'!AE24+'Table 4'!AF24</f>
        <v>0.25</v>
      </c>
      <c r="S23" s="531">
        <f>'Table 6'!AB24</f>
        <v>0.66</v>
      </c>
      <c r="T23" s="50">
        <f t="shared" si="33"/>
        <v>0.91</v>
      </c>
      <c r="U23" s="467">
        <f>'Table 4'!AI24+'Table 4'!AJ24</f>
        <v>0.25</v>
      </c>
      <c r="V23" s="531">
        <f>'Table 6'!AE24</f>
        <v>0.66</v>
      </c>
      <c r="W23" s="50">
        <f t="shared" si="34"/>
        <v>0.91</v>
      </c>
      <c r="X23" s="1307">
        <f t="shared" si="19"/>
        <v>-0.04</v>
      </c>
      <c r="Y23" s="1308">
        <f t="shared" si="15"/>
        <v>-0.01</v>
      </c>
      <c r="Z23" s="1350">
        <f t="shared" si="16"/>
        <v>-0.02</v>
      </c>
      <c r="AA23" s="1309">
        <f>'Table 4'!AN24+'Table 4'!AO24</f>
        <v>0.27</v>
      </c>
      <c r="AB23" s="1310">
        <f>'Table 6'!AI24</f>
        <v>0.7</v>
      </c>
      <c r="AC23" s="1351">
        <f t="shared" si="9"/>
        <v>0.97</v>
      </c>
      <c r="AE23" s="1337">
        <f t="shared" si="2"/>
        <v>-0.01</v>
      </c>
      <c r="AF23" s="1337">
        <f t="shared" si="3"/>
        <v>-0.01</v>
      </c>
      <c r="AG23" s="1337">
        <f t="shared" si="4"/>
        <v>-0.02</v>
      </c>
    </row>
    <row r="24" spans="1:33" s="67" customFormat="1" ht="14.25" thickTop="1" thickBot="1">
      <c r="A24" s="3231" t="s">
        <v>511</v>
      </c>
      <c r="B24" s="3232"/>
      <c r="C24" s="1226">
        <f>C4+C7+C10+C13+C15+C16+C19+C20+C21</f>
        <v>178.87</v>
      </c>
      <c r="D24" s="481">
        <f t="shared" ref="D24:T24" si="35">D4+D7+D10+D13+D15+D16+D19+D20+D21</f>
        <v>32.25</v>
      </c>
      <c r="E24" s="353">
        <f t="shared" si="35"/>
        <v>211.12</v>
      </c>
      <c r="F24" s="1226">
        <f t="shared" si="35"/>
        <v>200.2</v>
      </c>
      <c r="G24" s="318">
        <f t="shared" si="35"/>
        <v>40.21</v>
      </c>
      <c r="H24" s="315">
        <f t="shared" si="35"/>
        <v>240.41</v>
      </c>
      <c r="I24" s="1226">
        <f t="shared" si="35"/>
        <v>217.27</v>
      </c>
      <c r="J24" s="316">
        <f t="shared" si="35"/>
        <v>43.59</v>
      </c>
      <c r="K24" s="353">
        <f t="shared" si="35"/>
        <v>260.86</v>
      </c>
      <c r="L24" s="1313">
        <f t="shared" si="35"/>
        <v>229.92</v>
      </c>
      <c r="M24" s="318">
        <f t="shared" si="35"/>
        <v>46.81</v>
      </c>
      <c r="N24" s="565">
        <f t="shared" si="35"/>
        <v>276.73</v>
      </c>
      <c r="O24" s="482">
        <f t="shared" si="35"/>
        <v>241.23</v>
      </c>
      <c r="P24" s="554">
        <f t="shared" si="35"/>
        <v>49.12</v>
      </c>
      <c r="Q24" s="353">
        <f t="shared" si="35"/>
        <v>290.35000000000002</v>
      </c>
      <c r="R24" s="482">
        <f t="shared" si="35"/>
        <v>250.19</v>
      </c>
      <c r="S24" s="483">
        <f t="shared" si="35"/>
        <v>51.21</v>
      </c>
      <c r="T24" s="315">
        <f t="shared" si="35"/>
        <v>301.39999999999998</v>
      </c>
      <c r="U24" s="482">
        <f>U4+U7+U10+U13+U15+U16+U19+U20+U21</f>
        <v>258.49</v>
      </c>
      <c r="V24" s="483">
        <f t="shared" ref="V24:W24" si="36">V4+V7+V10+V13+V15+V16+V19+V20+V21</f>
        <v>53.12</v>
      </c>
      <c r="W24" s="315">
        <f t="shared" si="36"/>
        <v>311.61</v>
      </c>
      <c r="X24" s="1314">
        <f t="shared" si="19"/>
        <v>0.45</v>
      </c>
      <c r="Y24" s="1315">
        <f t="shared" si="15"/>
        <v>0.65</v>
      </c>
      <c r="Z24" s="1316">
        <f t="shared" si="16"/>
        <v>0.48</v>
      </c>
      <c r="AA24" s="482">
        <f t="shared" ref="AA24:AC24" si="37">AA4+AA7+AA10+AA13+AA15+AA16+AA19+AA20+AA21</f>
        <v>273.99</v>
      </c>
      <c r="AB24" s="554">
        <f t="shared" si="37"/>
        <v>56.29</v>
      </c>
      <c r="AC24" s="1319">
        <f t="shared" si="37"/>
        <v>330.28</v>
      </c>
      <c r="AE24" s="1340">
        <f t="shared" si="2"/>
        <v>79.62</v>
      </c>
      <c r="AF24" s="1340">
        <f t="shared" si="3"/>
        <v>20.87</v>
      </c>
      <c r="AG24" s="1340">
        <f t="shared" si="4"/>
        <v>100.49</v>
      </c>
    </row>
    <row r="25" spans="1:33" s="67" customFormat="1" ht="13.5" thickBot="1">
      <c r="A25" s="3229" t="s">
        <v>512</v>
      </c>
      <c r="B25" s="3230"/>
      <c r="C25" s="1341">
        <f>C5+C8+C11+C14+C17+C18+C22+C23</f>
        <v>9.32</v>
      </c>
      <c r="D25" s="492">
        <f t="shared" ref="D25:T25" si="38">D5+D8+D11+D14+D17+D18+D22+D23</f>
        <v>9.5299999999999994</v>
      </c>
      <c r="E25" s="525">
        <f t="shared" si="38"/>
        <v>18.850000000000001</v>
      </c>
      <c r="F25" s="1341">
        <f t="shared" si="38"/>
        <v>9.99</v>
      </c>
      <c r="G25" s="501">
        <f t="shared" si="38"/>
        <v>10.16</v>
      </c>
      <c r="H25" s="1227">
        <f t="shared" si="38"/>
        <v>20.149999999999999</v>
      </c>
      <c r="I25" s="1341">
        <f t="shared" si="38"/>
        <v>10.32</v>
      </c>
      <c r="J25" s="504">
        <f t="shared" si="38"/>
        <v>10.79</v>
      </c>
      <c r="K25" s="525">
        <f t="shared" si="38"/>
        <v>21.11</v>
      </c>
      <c r="L25" s="1342">
        <f t="shared" si="38"/>
        <v>10.73</v>
      </c>
      <c r="M25" s="501">
        <f t="shared" si="38"/>
        <v>11.3</v>
      </c>
      <c r="N25" s="575">
        <f t="shared" si="38"/>
        <v>22.03</v>
      </c>
      <c r="O25" s="493">
        <f t="shared" si="38"/>
        <v>11.1</v>
      </c>
      <c r="P25" s="561">
        <f t="shared" si="38"/>
        <v>11.88</v>
      </c>
      <c r="Q25" s="525">
        <f t="shared" si="38"/>
        <v>22.98</v>
      </c>
      <c r="R25" s="493">
        <f t="shared" si="38"/>
        <v>11.33</v>
      </c>
      <c r="S25" s="494">
        <f t="shared" si="38"/>
        <v>12.34</v>
      </c>
      <c r="T25" s="1227">
        <f t="shared" si="38"/>
        <v>23.67</v>
      </c>
      <c r="U25" s="493">
        <f>U5+U8+U11+U14+U17+U18+U22+U23</f>
        <v>11.52</v>
      </c>
      <c r="V25" s="494">
        <f t="shared" ref="V25:W25" si="39">V5+V8+V11+V14+V17+V18+V22+V23</f>
        <v>12.7</v>
      </c>
      <c r="W25" s="1227">
        <f t="shared" si="39"/>
        <v>24.22</v>
      </c>
      <c r="X25" s="1343">
        <f t="shared" si="19"/>
        <v>0.24</v>
      </c>
      <c r="Y25" s="1344">
        <f t="shared" si="15"/>
        <v>0.33</v>
      </c>
      <c r="Z25" s="1345">
        <f t="shared" si="16"/>
        <v>0.28000000000000003</v>
      </c>
      <c r="AA25" s="493">
        <f t="shared" ref="AA25:AC25" si="40">AA5+AA8+AA11+AA14+AA17+AA18+AA22+AA23</f>
        <v>12.22</v>
      </c>
      <c r="AB25" s="561">
        <f t="shared" si="40"/>
        <v>13.35</v>
      </c>
      <c r="AC25" s="1346">
        <f t="shared" si="40"/>
        <v>25.57</v>
      </c>
      <c r="AE25" s="1347">
        <f t="shared" si="2"/>
        <v>2.2000000000000002</v>
      </c>
      <c r="AF25" s="1347">
        <f t="shared" si="3"/>
        <v>3.17</v>
      </c>
      <c r="AG25" s="1347">
        <f t="shared" si="4"/>
        <v>5.37</v>
      </c>
    </row>
    <row r="26" spans="1:33" s="67" customFormat="1" ht="13.5" thickBot="1">
      <c r="A26" s="3229" t="s">
        <v>34</v>
      </c>
      <c r="B26" s="3230"/>
      <c r="C26" s="503">
        <f>C24+C25</f>
        <v>188.19</v>
      </c>
      <c r="D26" s="504">
        <f t="shared" ref="D26:T26" si="41">D24+D25</f>
        <v>41.78</v>
      </c>
      <c r="E26" s="525">
        <f t="shared" si="41"/>
        <v>229.97</v>
      </c>
      <c r="F26" s="503">
        <f t="shared" si="41"/>
        <v>210.19</v>
      </c>
      <c r="G26" s="501">
        <f t="shared" si="41"/>
        <v>50.37</v>
      </c>
      <c r="H26" s="1227">
        <f t="shared" si="41"/>
        <v>260.56</v>
      </c>
      <c r="I26" s="503">
        <f t="shared" si="41"/>
        <v>227.59</v>
      </c>
      <c r="J26" s="504">
        <f t="shared" si="41"/>
        <v>54.38</v>
      </c>
      <c r="K26" s="525">
        <f t="shared" si="41"/>
        <v>281.97000000000003</v>
      </c>
      <c r="L26" s="500">
        <f t="shared" si="41"/>
        <v>240.65</v>
      </c>
      <c r="M26" s="501">
        <f t="shared" si="41"/>
        <v>58.11</v>
      </c>
      <c r="N26" s="575">
        <f t="shared" si="41"/>
        <v>298.76</v>
      </c>
      <c r="O26" s="503">
        <f t="shared" si="41"/>
        <v>252.33</v>
      </c>
      <c r="P26" s="504">
        <f t="shared" si="41"/>
        <v>61</v>
      </c>
      <c r="Q26" s="525">
        <f t="shared" si="41"/>
        <v>313.33</v>
      </c>
      <c r="R26" s="503">
        <f t="shared" si="41"/>
        <v>261.52</v>
      </c>
      <c r="S26" s="501">
        <f t="shared" si="41"/>
        <v>63.55</v>
      </c>
      <c r="T26" s="1227">
        <f t="shared" si="41"/>
        <v>325.07</v>
      </c>
      <c r="U26" s="503">
        <f t="shared" ref="U26" si="42">U24+U25</f>
        <v>270.01</v>
      </c>
      <c r="V26" s="501">
        <f t="shared" ref="V26" si="43">V24+V25</f>
        <v>65.819999999999993</v>
      </c>
      <c r="W26" s="1227">
        <f t="shared" ref="W26" si="44">W24+W25</f>
        <v>335.83</v>
      </c>
      <c r="X26" s="1343">
        <f t="shared" si="19"/>
        <v>0.43</v>
      </c>
      <c r="Y26" s="1344">
        <f t="shared" si="15"/>
        <v>0.57999999999999996</v>
      </c>
      <c r="Z26" s="1345">
        <f t="shared" si="16"/>
        <v>0.46</v>
      </c>
      <c r="AA26" s="503">
        <f t="shared" ref="AA26:AC26" si="45">AA24+AA25</f>
        <v>286.20999999999998</v>
      </c>
      <c r="AB26" s="504">
        <f t="shared" si="45"/>
        <v>69.64</v>
      </c>
      <c r="AC26" s="1348">
        <f t="shared" si="45"/>
        <v>355.85</v>
      </c>
      <c r="AE26" s="1335">
        <f t="shared" si="2"/>
        <v>81.819999999999993</v>
      </c>
      <c r="AF26" s="1335">
        <f t="shared" si="3"/>
        <v>24.04</v>
      </c>
      <c r="AG26" s="1335">
        <f t="shared" si="4"/>
        <v>105.86</v>
      </c>
    </row>
    <row r="27" spans="1:33">
      <c r="A27" s="54" t="s">
        <v>35</v>
      </c>
      <c r="B27" s="2"/>
      <c r="C27" s="2"/>
      <c r="D27" s="317"/>
      <c r="E27" s="2"/>
      <c r="F27" s="2"/>
      <c r="G27" s="317"/>
      <c r="H27" s="2"/>
      <c r="I27" s="2"/>
      <c r="J27" s="317"/>
      <c r="K27" s="2"/>
      <c r="L27" s="2"/>
      <c r="M27" s="67"/>
      <c r="N27" s="2"/>
      <c r="O27" s="2"/>
      <c r="P27" s="67"/>
      <c r="Q27" s="2"/>
      <c r="R27" s="2"/>
      <c r="S27" s="67"/>
    </row>
    <row r="28" spans="1:33">
      <c r="A28" s="2" t="s">
        <v>68</v>
      </c>
      <c r="B28" s="2"/>
      <c r="C28" s="2"/>
      <c r="D28" s="67"/>
      <c r="E28" s="2"/>
      <c r="F28" s="2"/>
      <c r="G28" s="67"/>
      <c r="H28" s="2"/>
      <c r="I28" s="2"/>
      <c r="J28" s="67"/>
      <c r="K28" s="2"/>
      <c r="L28" s="2"/>
      <c r="M28" s="317"/>
      <c r="N28" s="2"/>
      <c r="O28" s="2"/>
      <c r="P28" s="67"/>
      <c r="Q28" s="2"/>
      <c r="R28" s="2"/>
      <c r="S28" s="67"/>
      <c r="AA28" s="256" t="s">
        <v>36</v>
      </c>
    </row>
    <row r="29" spans="1:33">
      <c r="A29" s="2" t="s">
        <v>69</v>
      </c>
      <c r="B29" s="2"/>
      <c r="C29" s="2"/>
      <c r="D29" s="67"/>
      <c r="E29" s="2"/>
      <c r="F29" s="2"/>
      <c r="G29" s="67"/>
      <c r="H29" s="2"/>
      <c r="I29" s="2"/>
      <c r="J29" s="67"/>
      <c r="K29" s="2"/>
      <c r="L29" s="2"/>
      <c r="M29" s="67"/>
      <c r="N29" s="2"/>
      <c r="O29" s="2"/>
      <c r="P29" s="67"/>
      <c r="Q29" s="2"/>
      <c r="R29" s="2"/>
      <c r="S29" s="67"/>
      <c r="Z29" s="256" t="s">
        <v>36</v>
      </c>
    </row>
    <row r="30" spans="1:33">
      <c r="A30" s="1" t="s">
        <v>687</v>
      </c>
      <c r="B30" s="2"/>
      <c r="C30" s="2"/>
      <c r="D30" s="67"/>
      <c r="E30" s="2"/>
      <c r="F30" s="2"/>
      <c r="G30" s="67"/>
      <c r="H30" s="2"/>
      <c r="I30" s="2"/>
      <c r="J30" s="67"/>
      <c r="K30" s="2"/>
      <c r="L30" s="2"/>
      <c r="M30" s="67"/>
      <c r="N30" s="2"/>
      <c r="O30" s="2"/>
      <c r="P30" s="67"/>
      <c r="Q30" s="2"/>
      <c r="R30" s="2"/>
      <c r="S30" s="67"/>
    </row>
    <row r="31" spans="1:33">
      <c r="Z31" s="1064"/>
      <c r="AA31" s="1064"/>
      <c r="AB31" s="1064"/>
      <c r="AC31" s="1064"/>
    </row>
    <row r="32" spans="1:33" ht="13.5" thickBot="1">
      <c r="A32" s="2" t="s">
        <v>688</v>
      </c>
      <c r="B32" s="2"/>
      <c r="C32" s="2"/>
      <c r="D32" s="2"/>
      <c r="E32" s="67"/>
      <c r="F32" s="2"/>
      <c r="G32" s="2"/>
      <c r="H32" s="67"/>
      <c r="I32" s="2"/>
      <c r="J32" s="2"/>
      <c r="K32" s="67"/>
      <c r="L32" s="2"/>
      <c r="M32" s="2"/>
      <c r="N32" s="67"/>
      <c r="O32" s="2"/>
      <c r="P32" s="2"/>
      <c r="Q32" s="67"/>
      <c r="R32" s="2"/>
      <c r="S32" s="2"/>
      <c r="T32" s="67"/>
      <c r="U32" s="67"/>
      <c r="V32" s="67"/>
      <c r="W32" s="67"/>
      <c r="X32" s="2"/>
      <c r="Y32" s="2"/>
      <c r="Z32" s="67"/>
      <c r="AA32" s="67"/>
      <c r="AB32" s="67"/>
      <c r="AC32" s="67"/>
    </row>
    <row r="33" spans="1:33" ht="13.5" customHeight="1" thickBot="1">
      <c r="A33" s="3238" t="s">
        <v>1</v>
      </c>
      <c r="B33" s="3238" t="s">
        <v>2</v>
      </c>
      <c r="C33" s="3216" t="s">
        <v>578</v>
      </c>
      <c r="D33" s="3217"/>
      <c r="E33" s="3218"/>
      <c r="F33" s="3216" t="s">
        <v>672</v>
      </c>
      <c r="G33" s="3217"/>
      <c r="H33" s="3218"/>
      <c r="I33" s="3216" t="s">
        <v>673</v>
      </c>
      <c r="J33" s="3217"/>
      <c r="K33" s="3218"/>
      <c r="L33" s="3216" t="s">
        <v>674</v>
      </c>
      <c r="M33" s="3217"/>
      <c r="N33" s="3218"/>
      <c r="O33" s="3216" t="s">
        <v>675</v>
      </c>
      <c r="P33" s="3217"/>
      <c r="Q33" s="3218"/>
      <c r="R33" s="3216" t="s">
        <v>676</v>
      </c>
      <c r="S33" s="3217"/>
      <c r="T33" s="3218"/>
      <c r="U33" s="3216" t="s">
        <v>677</v>
      </c>
      <c r="V33" s="3217"/>
      <c r="W33" s="3218"/>
      <c r="X33" s="3216" t="s">
        <v>678</v>
      </c>
      <c r="Y33" s="3217"/>
      <c r="Z33" s="3218"/>
      <c r="AA33" s="3216" t="s">
        <v>679</v>
      </c>
      <c r="AB33" s="3217"/>
      <c r="AC33" s="3218"/>
      <c r="AE33" s="1811" t="s">
        <v>680</v>
      </c>
      <c r="AF33" s="1811" t="s">
        <v>681</v>
      </c>
      <c r="AG33" s="1023" t="s">
        <v>18</v>
      </c>
    </row>
    <row r="34" spans="1:33" s="2" customFormat="1" ht="77.25" thickBot="1">
      <c r="A34" s="3240"/>
      <c r="B34" s="3240"/>
      <c r="C34" s="1943" t="s">
        <v>62</v>
      </c>
      <c r="D34" s="1787" t="s">
        <v>682</v>
      </c>
      <c r="E34" s="1664" t="s">
        <v>18</v>
      </c>
      <c r="F34" s="1943" t="s">
        <v>62</v>
      </c>
      <c r="G34" s="1788" t="s">
        <v>682</v>
      </c>
      <c r="H34" s="1789" t="s">
        <v>18</v>
      </c>
      <c r="I34" s="1943" t="s">
        <v>62</v>
      </c>
      <c r="J34" s="1787" t="s">
        <v>682</v>
      </c>
      <c r="K34" s="1664" t="s">
        <v>18</v>
      </c>
      <c r="L34" s="1942" t="s">
        <v>62</v>
      </c>
      <c r="M34" s="1788" t="s">
        <v>682</v>
      </c>
      <c r="N34" s="1790" t="s">
        <v>18</v>
      </c>
      <c r="O34" s="1943" t="s">
        <v>62</v>
      </c>
      <c r="P34" s="1787" t="s">
        <v>682</v>
      </c>
      <c r="Q34" s="1664" t="s">
        <v>18</v>
      </c>
      <c r="R34" s="1943" t="s">
        <v>62</v>
      </c>
      <c r="S34" s="1788" t="s">
        <v>682</v>
      </c>
      <c r="T34" s="1790" t="s">
        <v>18</v>
      </c>
      <c r="U34" s="1943" t="s">
        <v>62</v>
      </c>
      <c r="V34" s="1788" t="s">
        <v>682</v>
      </c>
      <c r="W34" s="1789" t="s">
        <v>18</v>
      </c>
      <c r="X34" s="1943" t="s">
        <v>62</v>
      </c>
      <c r="Y34" s="1787" t="s">
        <v>682</v>
      </c>
      <c r="Z34" s="1791" t="s">
        <v>18</v>
      </c>
      <c r="AA34" s="1943" t="s">
        <v>62</v>
      </c>
      <c r="AB34" s="1788" t="s">
        <v>682</v>
      </c>
      <c r="AC34" s="1789" t="s">
        <v>18</v>
      </c>
      <c r="AE34" s="1812" t="s">
        <v>59</v>
      </c>
      <c r="AF34" s="1812" t="s">
        <v>59</v>
      </c>
      <c r="AG34" s="1812" t="s">
        <v>59</v>
      </c>
    </row>
    <row r="35" spans="1:33" s="2" customFormat="1">
      <c r="A35" s="443" t="s">
        <v>46</v>
      </c>
      <c r="B35" s="1299" t="s">
        <v>17</v>
      </c>
      <c r="C35" s="1300">
        <f>'Table 4'!L37</f>
        <v>0.65</v>
      </c>
      <c r="D35" s="10">
        <f>'Table 6'!M38</f>
        <v>1.21</v>
      </c>
      <c r="E35" s="11">
        <f t="shared" ref="E35:E40" si="46">C35+D35</f>
        <v>1.86</v>
      </c>
      <c r="F35" s="1300">
        <f>'Table 4'!O37+'Table 4'!P37</f>
        <v>0.8</v>
      </c>
      <c r="G35" s="7">
        <f>'Table 6'!P38</f>
        <v>1.18</v>
      </c>
      <c r="H35" s="53">
        <f t="shared" ref="H35:H40" si="47">F35+G35</f>
        <v>1.98</v>
      </c>
      <c r="I35" s="1300">
        <f>'Table 4'!S37+'Table 4'!T37</f>
        <v>0.84</v>
      </c>
      <c r="J35" s="10">
        <f>'Table 6'!S38</f>
        <v>1.18</v>
      </c>
      <c r="K35" s="11">
        <f t="shared" ref="K35:K40" si="48">I35+J35</f>
        <v>2.02</v>
      </c>
      <c r="L35" s="121">
        <f>'Table 4'!W37+'Table 4'!X37</f>
        <v>0.87</v>
      </c>
      <c r="M35" s="7">
        <f>'Table 6'!V38</f>
        <v>1.19</v>
      </c>
      <c r="N35" s="8">
        <f t="shared" ref="N35:N40" si="49">L35+M35</f>
        <v>2.06</v>
      </c>
      <c r="O35" s="444">
        <f>'Table 4'!AA37+'Table 4'!AB37</f>
        <v>0.87</v>
      </c>
      <c r="P35" s="585">
        <f>'Table 6'!Y38</f>
        <v>1.19</v>
      </c>
      <c r="Q35" s="11">
        <f t="shared" ref="Q35:Q40" si="50">O35+P35</f>
        <v>2.06</v>
      </c>
      <c r="R35" s="584">
        <f>'Table 4'!AE37+'Table 4'!AF37</f>
        <v>0.87</v>
      </c>
      <c r="S35" s="445">
        <f>'Table 6'!AB38</f>
        <v>1.19</v>
      </c>
      <c r="T35" s="8">
        <f t="shared" ref="T35:T40" si="51">R35+S35</f>
        <v>2.06</v>
      </c>
      <c r="U35" s="444">
        <f>'Table 4'!AI37+'Table 4'!AJ37</f>
        <v>0.87</v>
      </c>
      <c r="V35" s="445">
        <f>'Table 6'!AE38</f>
        <v>1.19</v>
      </c>
      <c r="W35" s="53">
        <f t="shared" ref="W35:W40" si="52">U35+V35</f>
        <v>2.06</v>
      </c>
      <c r="X35" s="1301">
        <f>(U35-C35)/C35</f>
        <v>0.34</v>
      </c>
      <c r="Y35" s="1302">
        <f>(V35-D35)/D35</f>
        <v>-0.02</v>
      </c>
      <c r="Z35" s="1303">
        <f>(W35-E35)/E35</f>
        <v>0.11</v>
      </c>
      <c r="AA35" s="1304">
        <f>'Table 4'!AN37+'Table 4'!AO37</f>
        <v>0.87</v>
      </c>
      <c r="AB35" s="1359">
        <f>'Table 6'!AI38</f>
        <v>1.26</v>
      </c>
      <c r="AC35" s="1305">
        <f t="shared" ref="AC35:AC40" si="53">AA35+AB35</f>
        <v>2.13</v>
      </c>
      <c r="AE35" s="1327">
        <f t="shared" ref="AE35:AG41" si="54">U35-C35</f>
        <v>0.22</v>
      </c>
      <c r="AF35" s="1327">
        <f t="shared" si="54"/>
        <v>-0.02</v>
      </c>
      <c r="AG35" s="1327">
        <f t="shared" si="54"/>
        <v>0.2</v>
      </c>
    </row>
    <row r="36" spans="1:33" s="2" customFormat="1">
      <c r="A36" s="455" t="s">
        <v>47</v>
      </c>
      <c r="B36" s="1361" t="s">
        <v>17</v>
      </c>
      <c r="C36" s="1352">
        <f>'Table 4'!L38</f>
        <v>0</v>
      </c>
      <c r="D36" s="321">
        <f>'Table 6'!M39</f>
        <v>0.25</v>
      </c>
      <c r="E36" s="914">
        <f t="shared" si="46"/>
        <v>0.25</v>
      </c>
      <c r="F36" s="1352">
        <f>'Table 4'!O38+'Table 4'!P38</f>
        <v>0</v>
      </c>
      <c r="G36" s="884">
        <f>'Table 6'!P39</f>
        <v>0.25</v>
      </c>
      <c r="H36" s="392">
        <f t="shared" si="47"/>
        <v>0.25</v>
      </c>
      <c r="I36" s="1352">
        <f>'Table 4'!S38+'Table 4'!T38</f>
        <v>0</v>
      </c>
      <c r="J36" s="321">
        <f>'Table 6'!S39</f>
        <v>0.25</v>
      </c>
      <c r="K36" s="914">
        <f t="shared" si="48"/>
        <v>0.25</v>
      </c>
      <c r="L36" s="1353">
        <f>'Table 4'!W38+'Table 4'!X38</f>
        <v>0</v>
      </c>
      <c r="M36" s="884">
        <f>'Table 6'!V39</f>
        <v>0.26</v>
      </c>
      <c r="N36" s="395">
        <f t="shared" si="49"/>
        <v>0.26</v>
      </c>
      <c r="O36" s="827">
        <f>'Table 4'!AA38+'Table 4'!AB38</f>
        <v>0</v>
      </c>
      <c r="P36" s="560">
        <f>'Table 6'!Y39</f>
        <v>0.26</v>
      </c>
      <c r="Q36" s="914">
        <f t="shared" si="50"/>
        <v>0.26</v>
      </c>
      <c r="R36" s="915">
        <f>'Table 4'!AE38+'Table 4'!AF38</f>
        <v>0</v>
      </c>
      <c r="S36" s="916">
        <f>'Table 6'!AB39</f>
        <v>0.26</v>
      </c>
      <c r="T36" s="395">
        <f t="shared" si="51"/>
        <v>0.26</v>
      </c>
      <c r="U36" s="827">
        <f>'Table 4'!AI38+'Table 4'!AJ38</f>
        <v>0</v>
      </c>
      <c r="V36" s="916">
        <f>'Table 6'!AE39</f>
        <v>0.26</v>
      </c>
      <c r="W36" s="392">
        <f t="shared" si="52"/>
        <v>0.26</v>
      </c>
      <c r="X36" s="1792" t="s">
        <v>16</v>
      </c>
      <c r="Y36" s="1338">
        <f t="shared" ref="Y36:Z41" si="55">(V36-D36)/D36</f>
        <v>0.04</v>
      </c>
      <c r="Z36" s="1355">
        <f t="shared" si="55"/>
        <v>0.04</v>
      </c>
      <c r="AA36" s="1356">
        <f>'Table 4'!AN38+'Table 4'!AO38</f>
        <v>0</v>
      </c>
      <c r="AB36" s="1336">
        <f>'Table 6'!AI39</f>
        <v>0.28000000000000003</v>
      </c>
      <c r="AC36" s="1357">
        <f t="shared" si="53"/>
        <v>0.28000000000000003</v>
      </c>
      <c r="AE36" s="1337">
        <f t="shared" si="54"/>
        <v>0</v>
      </c>
      <c r="AF36" s="1337">
        <f t="shared" si="54"/>
        <v>0.01</v>
      </c>
      <c r="AG36" s="1337">
        <f t="shared" si="54"/>
        <v>0.01</v>
      </c>
    </row>
    <row r="37" spans="1:33" s="2" customFormat="1">
      <c r="A37" s="455" t="s">
        <v>48</v>
      </c>
      <c r="B37" s="455" t="s">
        <v>17</v>
      </c>
      <c r="C37" s="1352">
        <f>'Table 4'!L39</f>
        <v>0.15</v>
      </c>
      <c r="D37" s="321">
        <f>'Table 6'!M40</f>
        <v>0.56000000000000005</v>
      </c>
      <c r="E37" s="914">
        <f t="shared" si="46"/>
        <v>0.71</v>
      </c>
      <c r="F37" s="1352">
        <f>'Table 4'!O39+'Table 4'!P39</f>
        <v>0.16</v>
      </c>
      <c r="G37" s="884">
        <f>'Table 6'!P40</f>
        <v>0.6</v>
      </c>
      <c r="H37" s="392">
        <f t="shared" si="47"/>
        <v>0.76</v>
      </c>
      <c r="I37" s="1352">
        <f>'Table 4'!S39+'Table 4'!T39</f>
        <v>0.16</v>
      </c>
      <c r="J37" s="321">
        <f>'Table 6'!S40</f>
        <v>0.64</v>
      </c>
      <c r="K37" s="914">
        <f t="shared" si="48"/>
        <v>0.8</v>
      </c>
      <c r="L37" s="1353">
        <f>'Table 4'!W39+'Table 4'!X39</f>
        <v>0.16</v>
      </c>
      <c r="M37" s="884">
        <f>'Table 6'!V40</f>
        <v>0.67</v>
      </c>
      <c r="N37" s="395">
        <f t="shared" si="49"/>
        <v>0.83</v>
      </c>
      <c r="O37" s="827">
        <f>'Table 4'!AA39+'Table 4'!AB39</f>
        <v>0.16</v>
      </c>
      <c r="P37" s="560">
        <f>'Table 6'!Y40</f>
        <v>0.7</v>
      </c>
      <c r="Q37" s="914">
        <f t="shared" si="50"/>
        <v>0.86</v>
      </c>
      <c r="R37" s="915">
        <f>'Table 4'!AE39+'Table 4'!AF39</f>
        <v>0.16</v>
      </c>
      <c r="S37" s="916">
        <f>'Table 6'!AB40</f>
        <v>0.72</v>
      </c>
      <c r="T37" s="395">
        <f t="shared" si="51"/>
        <v>0.88</v>
      </c>
      <c r="U37" s="827">
        <f>'Table 4'!AI39+'Table 4'!AJ39</f>
        <v>0.16</v>
      </c>
      <c r="V37" s="916">
        <f>'Table 6'!AE40</f>
        <v>0.74</v>
      </c>
      <c r="W37" s="392">
        <f t="shared" si="52"/>
        <v>0.9</v>
      </c>
      <c r="X37" s="1354">
        <f>(U37-C37)/C37</f>
        <v>7.0000000000000007E-2</v>
      </c>
      <c r="Y37" s="1338">
        <f t="shared" si="55"/>
        <v>0.32</v>
      </c>
      <c r="Z37" s="1355">
        <f t="shared" si="55"/>
        <v>0.27</v>
      </c>
      <c r="AA37" s="1356">
        <f>'Table 4'!AN39+'Table 4'!AO39</f>
        <v>0.17</v>
      </c>
      <c r="AB37" s="1336">
        <f>'Table 6'!AI40</f>
        <v>0.78</v>
      </c>
      <c r="AC37" s="1357">
        <f t="shared" si="53"/>
        <v>0.95</v>
      </c>
      <c r="AE37" s="1337">
        <f t="shared" si="54"/>
        <v>0.01</v>
      </c>
      <c r="AF37" s="1337">
        <f t="shared" si="54"/>
        <v>0.18</v>
      </c>
      <c r="AG37" s="1337">
        <f t="shared" si="54"/>
        <v>0.19</v>
      </c>
    </row>
    <row r="38" spans="1:33" s="67" customFormat="1">
      <c r="A38" s="458" t="s">
        <v>49</v>
      </c>
      <c r="B38" s="1098" t="s">
        <v>17</v>
      </c>
      <c r="C38" s="1358">
        <f>'Table 4'!L40</f>
        <v>0.68</v>
      </c>
      <c r="D38" s="355">
        <f>'Table 6'!M41</f>
        <v>0.92</v>
      </c>
      <c r="E38" s="353">
        <f t="shared" si="46"/>
        <v>1.6</v>
      </c>
      <c r="F38" s="1358">
        <f>'Table 4'!O40+'Table 4'!P40</f>
        <v>0.61</v>
      </c>
      <c r="G38" s="354">
        <f>'Table 6'!P41</f>
        <v>0.88</v>
      </c>
      <c r="H38" s="315">
        <f t="shared" si="47"/>
        <v>1.49</v>
      </c>
      <c r="I38" s="1358">
        <f>'Table 4'!S40+'Table 4'!T40</f>
        <v>0.62</v>
      </c>
      <c r="J38" s="355">
        <f>'Table 6'!S41</f>
        <v>0.9</v>
      </c>
      <c r="K38" s="353">
        <f t="shared" si="48"/>
        <v>1.52</v>
      </c>
      <c r="L38" s="1362">
        <f>'Table 4'!W40+'Table 4'!X40</f>
        <v>0.64</v>
      </c>
      <c r="M38" s="354">
        <f>'Table 6'!V41</f>
        <v>0.92</v>
      </c>
      <c r="N38" s="565">
        <f t="shared" si="49"/>
        <v>1.56</v>
      </c>
      <c r="O38" s="459">
        <f>'Table 4'!AA40+'Table 4'!AB40</f>
        <v>0.64</v>
      </c>
      <c r="P38" s="590">
        <f>'Table 6'!Y41</f>
        <v>0.94</v>
      </c>
      <c r="Q38" s="353">
        <f t="shared" si="50"/>
        <v>1.58</v>
      </c>
      <c r="R38" s="591">
        <f>'Table 4'!AE40+'Table 4'!AF40</f>
        <v>0.65</v>
      </c>
      <c r="S38" s="460">
        <f>'Table 6'!AB41</f>
        <v>0.97</v>
      </c>
      <c r="T38" s="565">
        <f t="shared" si="51"/>
        <v>1.62</v>
      </c>
      <c r="U38" s="459">
        <f>'Table 4'!AI40+'Table 4'!AJ40</f>
        <v>0.66</v>
      </c>
      <c r="V38" s="460">
        <f>'Table 6'!AE41</f>
        <v>0.98</v>
      </c>
      <c r="W38" s="315">
        <f t="shared" si="52"/>
        <v>1.64</v>
      </c>
      <c r="X38" s="1363">
        <f>(U38-C38)/C38</f>
        <v>-0.03</v>
      </c>
      <c r="Y38" s="1364">
        <f t="shared" si="55"/>
        <v>7.0000000000000007E-2</v>
      </c>
      <c r="Z38" s="1316">
        <f t="shared" si="55"/>
        <v>0.02</v>
      </c>
      <c r="AA38" s="1304">
        <f>'Table 4'!AN40+'Table 4'!AO40</f>
        <v>0.7</v>
      </c>
      <c r="AB38" s="1359">
        <f>'Table 6'!AI41</f>
        <v>1.03</v>
      </c>
      <c r="AC38" s="1305">
        <f t="shared" si="53"/>
        <v>1.73</v>
      </c>
      <c r="AE38" s="1337">
        <f t="shared" si="54"/>
        <v>-0.02</v>
      </c>
      <c r="AF38" s="1337">
        <f t="shared" si="54"/>
        <v>0.06</v>
      </c>
      <c r="AG38" s="1337">
        <f t="shared" si="54"/>
        <v>0.04</v>
      </c>
    </row>
    <row r="39" spans="1:33" s="67" customFormat="1">
      <c r="A39" s="455" t="s">
        <v>50</v>
      </c>
      <c r="B39" s="1361" t="s">
        <v>17</v>
      </c>
      <c r="C39" s="1352">
        <f>'Table 4'!L41</f>
        <v>1.1399999999999999</v>
      </c>
      <c r="D39" s="321">
        <f>'Table 6'!M42</f>
        <v>0.71</v>
      </c>
      <c r="E39" s="914">
        <f t="shared" si="46"/>
        <v>1.85</v>
      </c>
      <c r="F39" s="1352">
        <f>'Table 4'!O41+'Table 4'!P41</f>
        <v>1.27</v>
      </c>
      <c r="G39" s="884">
        <f>'Table 6'!P42</f>
        <v>0.7</v>
      </c>
      <c r="H39" s="392">
        <f t="shared" si="47"/>
        <v>1.97</v>
      </c>
      <c r="I39" s="1352">
        <f>'Table 4'!S41+'Table 4'!T41</f>
        <v>1.29</v>
      </c>
      <c r="J39" s="321">
        <f>'Table 6'!S42</f>
        <v>0.71</v>
      </c>
      <c r="K39" s="914">
        <f t="shared" si="48"/>
        <v>2</v>
      </c>
      <c r="L39" s="1353">
        <f>'Table 4'!W41+'Table 4'!X41</f>
        <v>1.31</v>
      </c>
      <c r="M39" s="884">
        <f>'Table 6'!V42</f>
        <v>0.72</v>
      </c>
      <c r="N39" s="395">
        <f t="shared" si="49"/>
        <v>2.0299999999999998</v>
      </c>
      <c r="O39" s="827">
        <f>'Table 4'!AA41+'Table 4'!AB41</f>
        <v>1.31</v>
      </c>
      <c r="P39" s="560">
        <f>'Table 6'!Y42</f>
        <v>0.72</v>
      </c>
      <c r="Q39" s="914">
        <f t="shared" si="50"/>
        <v>2.0299999999999998</v>
      </c>
      <c r="R39" s="915">
        <f>'Table 4'!AE41+'Table 4'!AF41</f>
        <v>1.32</v>
      </c>
      <c r="S39" s="916">
        <f>'Table 6'!AB42</f>
        <v>0.73</v>
      </c>
      <c r="T39" s="395">
        <f t="shared" si="51"/>
        <v>2.0499999999999998</v>
      </c>
      <c r="U39" s="827">
        <f>'Table 4'!AI41+'Table 4'!AJ41</f>
        <v>1.33</v>
      </c>
      <c r="V39" s="916">
        <f>'Table 6'!AE42</f>
        <v>0.73</v>
      </c>
      <c r="W39" s="392">
        <f t="shared" si="52"/>
        <v>2.06</v>
      </c>
      <c r="X39" s="1354">
        <f>(U39-C39)/C39</f>
        <v>0.17</v>
      </c>
      <c r="Y39" s="1338">
        <f t="shared" si="55"/>
        <v>0.03</v>
      </c>
      <c r="Z39" s="1355">
        <f t="shared" si="55"/>
        <v>0.11</v>
      </c>
      <c r="AA39" s="1356">
        <f>'Table 4'!AN41+'Table 4'!AO41</f>
        <v>1.41</v>
      </c>
      <c r="AB39" s="1336">
        <f>'Table 6'!AI42</f>
        <v>0.77</v>
      </c>
      <c r="AC39" s="1357">
        <f t="shared" si="53"/>
        <v>2.1800000000000002</v>
      </c>
      <c r="AE39" s="1337">
        <f t="shared" si="54"/>
        <v>0.19</v>
      </c>
      <c r="AF39" s="1337">
        <f t="shared" si="54"/>
        <v>0.02</v>
      </c>
      <c r="AG39" s="1337">
        <f t="shared" si="54"/>
        <v>0.21</v>
      </c>
    </row>
    <row r="40" spans="1:33" s="2" customFormat="1" ht="13.5" thickBot="1">
      <c r="A40" s="579" t="s">
        <v>51</v>
      </c>
      <c r="B40" s="1793" t="s">
        <v>17</v>
      </c>
      <c r="C40" s="1306">
        <f>'Table 4'!L42</f>
        <v>1.74</v>
      </c>
      <c r="D40" s="412">
        <f>'Table 6'!M43</f>
        <v>0.59</v>
      </c>
      <c r="E40" s="876">
        <f t="shared" si="46"/>
        <v>2.33</v>
      </c>
      <c r="F40" s="1306">
        <f>'Table 4'!O42+'Table 4'!P42</f>
        <v>1.87</v>
      </c>
      <c r="G40" s="410">
        <f>'Table 6'!P43</f>
        <v>0.6</v>
      </c>
      <c r="H40" s="50">
        <f t="shared" si="47"/>
        <v>2.4700000000000002</v>
      </c>
      <c r="I40" s="1306">
        <f>'Table 4'!S42+'Table 4'!T42</f>
        <v>1.93</v>
      </c>
      <c r="J40" s="412">
        <f>'Table 6'!S43</f>
        <v>0.6</v>
      </c>
      <c r="K40" s="876">
        <f t="shared" si="48"/>
        <v>2.5299999999999998</v>
      </c>
      <c r="L40" s="1349">
        <f>'Table 4'!W42+'Table 4'!X42</f>
        <v>1.97</v>
      </c>
      <c r="M40" s="410">
        <f>'Table 6'!V43</f>
        <v>0.59</v>
      </c>
      <c r="N40" s="17">
        <f t="shared" si="49"/>
        <v>2.56</v>
      </c>
      <c r="O40" s="467">
        <f>'Table 4'!AA42+'Table 4'!AB42</f>
        <v>2</v>
      </c>
      <c r="P40" s="562">
        <f>'Table 6'!Y43</f>
        <v>0.59</v>
      </c>
      <c r="Q40" s="876">
        <f t="shared" si="50"/>
        <v>2.59</v>
      </c>
      <c r="R40" s="1137">
        <f>'Table 4'!AE42+'Table 4'!AF42</f>
        <v>2.0299999999999998</v>
      </c>
      <c r="S40" s="531">
        <f>'Table 6'!AB43</f>
        <v>0.59</v>
      </c>
      <c r="T40" s="17">
        <f t="shared" si="51"/>
        <v>2.62</v>
      </c>
      <c r="U40" s="467">
        <f>'Table 4'!AI42+'Table 4'!AJ42</f>
        <v>2.06</v>
      </c>
      <c r="V40" s="531">
        <f>'Table 6'!AE43</f>
        <v>0.59</v>
      </c>
      <c r="W40" s="50">
        <f t="shared" si="52"/>
        <v>2.65</v>
      </c>
      <c r="X40" s="1307">
        <f>(U40-C40)/C40</f>
        <v>0.18</v>
      </c>
      <c r="Y40" s="1308">
        <f t="shared" si="55"/>
        <v>0</v>
      </c>
      <c r="Z40" s="1350">
        <f t="shared" si="55"/>
        <v>0.14000000000000001</v>
      </c>
      <c r="AA40" s="1309">
        <f>'Table 4'!AN42+'Table 4'!AO42</f>
        <v>2.1800000000000002</v>
      </c>
      <c r="AB40" s="1310">
        <f>'Table 6'!AI43</f>
        <v>0.62</v>
      </c>
      <c r="AC40" s="1351">
        <f t="shared" si="53"/>
        <v>2.8</v>
      </c>
      <c r="AE40" s="1312">
        <f t="shared" si="54"/>
        <v>0.32</v>
      </c>
      <c r="AF40" s="1312">
        <f t="shared" si="54"/>
        <v>0</v>
      </c>
      <c r="AG40" s="1312">
        <f t="shared" si="54"/>
        <v>0.32</v>
      </c>
    </row>
    <row r="41" spans="1:33" s="67" customFormat="1" ht="27.75" customHeight="1" thickTop="1" thickBot="1">
      <c r="A41" s="3236" t="s">
        <v>526</v>
      </c>
      <c r="B41" s="3237"/>
      <c r="C41" s="1794">
        <f>SUM(C35:C40)</f>
        <v>4.3600000000000003</v>
      </c>
      <c r="D41" s="1795">
        <f t="shared" ref="D41:W41" si="56">SUM(D35:D40)</f>
        <v>4.24</v>
      </c>
      <c r="E41" s="1796">
        <f t="shared" si="56"/>
        <v>8.6</v>
      </c>
      <c r="F41" s="1794">
        <f t="shared" si="56"/>
        <v>4.71</v>
      </c>
      <c r="G41" s="1797">
        <f t="shared" si="56"/>
        <v>4.21</v>
      </c>
      <c r="H41" s="1798">
        <f t="shared" si="56"/>
        <v>8.92</v>
      </c>
      <c r="I41" s="1794">
        <f t="shared" si="56"/>
        <v>4.84</v>
      </c>
      <c r="J41" s="1795">
        <f t="shared" si="56"/>
        <v>4.28</v>
      </c>
      <c r="K41" s="1796">
        <f t="shared" si="56"/>
        <v>9.1199999999999992</v>
      </c>
      <c r="L41" s="1799">
        <f t="shared" si="56"/>
        <v>4.95</v>
      </c>
      <c r="M41" s="1797">
        <f t="shared" si="56"/>
        <v>4.3499999999999996</v>
      </c>
      <c r="N41" s="1800">
        <f t="shared" si="56"/>
        <v>9.3000000000000007</v>
      </c>
      <c r="O41" s="1801">
        <f t="shared" si="56"/>
        <v>4.9800000000000004</v>
      </c>
      <c r="P41" s="1802">
        <f t="shared" si="56"/>
        <v>4.4000000000000004</v>
      </c>
      <c r="Q41" s="1796">
        <f t="shared" si="56"/>
        <v>9.3800000000000008</v>
      </c>
      <c r="R41" s="1803">
        <f t="shared" si="56"/>
        <v>5.03</v>
      </c>
      <c r="S41" s="1804">
        <f t="shared" si="56"/>
        <v>4.46</v>
      </c>
      <c r="T41" s="1800">
        <f t="shared" si="56"/>
        <v>9.49</v>
      </c>
      <c r="U41" s="1801">
        <f t="shared" si="56"/>
        <v>5.08</v>
      </c>
      <c r="V41" s="1804">
        <f t="shared" si="56"/>
        <v>4.49</v>
      </c>
      <c r="W41" s="1798">
        <f t="shared" si="56"/>
        <v>9.57</v>
      </c>
      <c r="X41" s="1805">
        <f>(U41-C41)/C41</f>
        <v>0.17</v>
      </c>
      <c r="Y41" s="1806">
        <f t="shared" si="55"/>
        <v>0.06</v>
      </c>
      <c r="Z41" s="1807">
        <f t="shared" si="55"/>
        <v>0.11</v>
      </c>
      <c r="AA41" s="1808">
        <f t="shared" ref="AA41" si="57">SUM(AA35:AA40)</f>
        <v>5.33</v>
      </c>
      <c r="AB41" s="1809">
        <f t="shared" ref="AB41" si="58">SUM(AB35:AB40)</f>
        <v>4.74</v>
      </c>
      <c r="AC41" s="1810">
        <f t="shared" ref="AC41" si="59">SUM(AC35:AC40)</f>
        <v>10.07</v>
      </c>
      <c r="AE41" s="1335">
        <f t="shared" si="54"/>
        <v>0.72</v>
      </c>
      <c r="AF41" s="1335">
        <f t="shared" si="54"/>
        <v>0.25</v>
      </c>
      <c r="AG41" s="1335">
        <f t="shared" si="54"/>
        <v>0.97</v>
      </c>
    </row>
    <row r="42" spans="1:33" s="2" customFormat="1">
      <c r="A42" s="54" t="s">
        <v>35</v>
      </c>
      <c r="D42" s="317"/>
      <c r="G42" s="317"/>
      <c r="J42" s="317"/>
      <c r="M42" s="67"/>
      <c r="P42" s="67"/>
      <c r="S42" s="67"/>
      <c r="T42" s="256"/>
      <c r="U42" s="256"/>
      <c r="V42" s="256"/>
      <c r="W42" s="256"/>
      <c r="X42" s="256"/>
      <c r="Y42" s="1064"/>
      <c r="Z42" s="256"/>
      <c r="AA42" s="256"/>
      <c r="AB42" s="256"/>
      <c r="AC42" s="256"/>
    </row>
    <row r="43" spans="1:33">
      <c r="A43" s="2" t="s">
        <v>68</v>
      </c>
      <c r="B43" s="2"/>
      <c r="C43" s="2"/>
      <c r="D43" s="67"/>
      <c r="E43" s="2"/>
      <c r="F43" s="2"/>
      <c r="G43" s="67"/>
      <c r="H43" s="2"/>
      <c r="I43" s="2"/>
      <c r="J43" s="67"/>
      <c r="K43" s="2"/>
      <c r="L43" s="2"/>
      <c r="M43" s="317"/>
      <c r="N43" s="2"/>
      <c r="O43" s="2"/>
      <c r="P43" s="67"/>
      <c r="Q43" s="2"/>
      <c r="R43" s="2"/>
      <c r="S43" s="67"/>
    </row>
    <row r="44" spans="1:33">
      <c r="A44" s="2" t="s">
        <v>69</v>
      </c>
      <c r="B44" s="2"/>
      <c r="C44" s="2"/>
      <c r="D44" s="67"/>
      <c r="E44" s="2"/>
      <c r="F44" s="2"/>
      <c r="G44" s="67"/>
      <c r="H44" s="2"/>
      <c r="I44" s="2"/>
      <c r="J44" s="67"/>
      <c r="K44" s="2"/>
      <c r="L44" s="2"/>
      <c r="M44" s="67"/>
      <c r="N44" s="2"/>
      <c r="O44" s="2"/>
      <c r="P44" s="67"/>
      <c r="Q44" s="2"/>
      <c r="R44" s="2"/>
      <c r="S44" s="67"/>
      <c r="Z44" s="256" t="s">
        <v>36</v>
      </c>
    </row>
  </sheetData>
  <mergeCells count="30">
    <mergeCell ref="A1:AC1"/>
    <mergeCell ref="AA33:AC33"/>
    <mergeCell ref="A41:B41"/>
    <mergeCell ref="L33:N33"/>
    <mergeCell ref="O33:Q33"/>
    <mergeCell ref="R33:T33"/>
    <mergeCell ref="U33:W33"/>
    <mergeCell ref="X33:Z33"/>
    <mergeCell ref="A33:A34"/>
    <mergeCell ref="B33:B34"/>
    <mergeCell ref="C33:E33"/>
    <mergeCell ref="F33:H33"/>
    <mergeCell ref="I33:K33"/>
    <mergeCell ref="AA2:AC2"/>
    <mergeCell ref="A2:A3"/>
    <mergeCell ref="B2:B3"/>
    <mergeCell ref="A26:B26"/>
    <mergeCell ref="A6:B6"/>
    <mergeCell ref="A12:B12"/>
    <mergeCell ref="A9:B9"/>
    <mergeCell ref="X2:Z2"/>
    <mergeCell ref="U2:W2"/>
    <mergeCell ref="A24:B24"/>
    <mergeCell ref="A25:B25"/>
    <mergeCell ref="C2:E2"/>
    <mergeCell ref="F2:H2"/>
    <mergeCell ref="I2:K2"/>
    <mergeCell ref="L2:N2"/>
    <mergeCell ref="O2:Q2"/>
    <mergeCell ref="R2:T2"/>
  </mergeCells>
  <phoneticPr fontId="71" type="noConversion"/>
  <pageMargins left="0.7" right="0.7" top="0.75" bottom="0.75" header="0.3" footer="0.3"/>
  <pageSetup paperSize="5" scale="5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DE5C4-39C1-4736-8E0D-C39E54F81FB0}">
  <sheetPr>
    <pageSetUpPr fitToPage="1"/>
  </sheetPr>
  <dimension ref="A1:AC344"/>
  <sheetViews>
    <sheetView topLeftCell="A46" workbookViewId="0">
      <selection activeCell="N183" sqref="N183"/>
    </sheetView>
  </sheetViews>
  <sheetFormatPr defaultRowHeight="15"/>
  <cols>
    <col min="1" max="1" width="41" customWidth="1"/>
    <col min="2" max="2" width="11.28515625" customWidth="1"/>
    <col min="24" max="24" width="11.7109375" customWidth="1"/>
    <col min="29" max="29" width="11.140625" hidden="1" customWidth="1"/>
  </cols>
  <sheetData>
    <row r="1" spans="1:29" ht="15.75" thickBot="1">
      <c r="A1" s="1" t="s">
        <v>689</v>
      </c>
    </row>
    <row r="2" spans="1:29" ht="15.75" customHeight="1" thickBot="1">
      <c r="A2" s="3204" t="s">
        <v>54</v>
      </c>
      <c r="B2" s="3206" t="s">
        <v>2</v>
      </c>
      <c r="C2" s="3261" t="s">
        <v>55</v>
      </c>
      <c r="D2" s="3262"/>
      <c r="E2" s="3263"/>
      <c r="F2" s="3261" t="s">
        <v>56</v>
      </c>
      <c r="G2" s="3262"/>
      <c r="H2" s="3262"/>
      <c r="I2" s="3262"/>
      <c r="J2" s="3262"/>
      <c r="K2" s="3262"/>
      <c r="L2" s="3262"/>
      <c r="M2" s="3262"/>
      <c r="N2" s="3262"/>
      <c r="O2" s="3262"/>
      <c r="P2" s="3262"/>
      <c r="Q2" s="3262"/>
      <c r="R2" s="3262"/>
      <c r="S2" s="3262"/>
      <c r="T2" s="3262"/>
      <c r="U2" s="3262"/>
      <c r="V2" s="3262"/>
      <c r="W2" s="3263"/>
      <c r="X2" s="3255" t="s">
        <v>57</v>
      </c>
      <c r="Y2" s="3261" t="s">
        <v>58</v>
      </c>
      <c r="Z2" s="3262"/>
      <c r="AA2" s="3263"/>
      <c r="AC2" s="3255" t="s">
        <v>80</v>
      </c>
    </row>
    <row r="3" spans="1:29">
      <c r="A3" s="3205"/>
      <c r="B3" s="3207"/>
      <c r="C3" s="3258">
        <v>2015</v>
      </c>
      <c r="D3" s="3264"/>
      <c r="E3" s="3245"/>
      <c r="F3" s="3258">
        <v>2020</v>
      </c>
      <c r="G3" s="3264"/>
      <c r="H3" s="3245"/>
      <c r="I3" s="3258">
        <v>2025</v>
      </c>
      <c r="J3" s="3264"/>
      <c r="K3" s="3245"/>
      <c r="L3" s="3258">
        <v>2030</v>
      </c>
      <c r="M3" s="3264"/>
      <c r="N3" s="3245"/>
      <c r="O3" s="3258">
        <v>2035</v>
      </c>
      <c r="P3" s="3264"/>
      <c r="Q3" s="3245"/>
      <c r="R3" s="3258">
        <v>2040</v>
      </c>
      <c r="S3" s="3264"/>
      <c r="T3" s="3245"/>
      <c r="U3" s="3258">
        <v>2045</v>
      </c>
      <c r="V3" s="3264"/>
      <c r="W3" s="3245"/>
      <c r="X3" s="3256"/>
      <c r="Y3" s="3258">
        <v>2045</v>
      </c>
      <c r="Z3" s="3264"/>
      <c r="AA3" s="3245"/>
      <c r="AC3" s="3256"/>
    </row>
    <row r="4" spans="1:29" ht="15.75" thickBot="1">
      <c r="A4" s="3490"/>
      <c r="B4" s="3484"/>
      <c r="C4" s="1920" t="s">
        <v>60</v>
      </c>
      <c r="D4" s="1482" t="s">
        <v>61</v>
      </c>
      <c r="E4" s="1483" t="s">
        <v>18</v>
      </c>
      <c r="F4" s="1484" t="s">
        <v>60</v>
      </c>
      <c r="G4" s="877" t="s">
        <v>61</v>
      </c>
      <c r="H4" s="1009" t="s">
        <v>18</v>
      </c>
      <c r="I4" s="1920" t="s">
        <v>60</v>
      </c>
      <c r="J4" s="1482" t="s">
        <v>61</v>
      </c>
      <c r="K4" s="1483" t="s">
        <v>18</v>
      </c>
      <c r="L4" s="1484" t="s">
        <v>60</v>
      </c>
      <c r="M4" s="877" t="s">
        <v>61</v>
      </c>
      <c r="N4" s="1009" t="s">
        <v>18</v>
      </c>
      <c r="O4" s="1920" t="s">
        <v>60</v>
      </c>
      <c r="P4" s="1482" t="s">
        <v>61</v>
      </c>
      <c r="Q4" s="1483" t="s">
        <v>18</v>
      </c>
      <c r="R4" s="1920" t="s">
        <v>60</v>
      </c>
      <c r="S4" s="877" t="s">
        <v>61</v>
      </c>
      <c r="T4" s="1009" t="s">
        <v>18</v>
      </c>
      <c r="U4" s="1920" t="s">
        <v>60</v>
      </c>
      <c r="V4" s="877" t="s">
        <v>61</v>
      </c>
      <c r="W4" s="1009" t="s">
        <v>18</v>
      </c>
      <c r="X4" s="3483"/>
      <c r="Y4" s="1921" t="s">
        <v>60</v>
      </c>
      <c r="Z4" s="1485" t="s">
        <v>61</v>
      </c>
      <c r="AA4" s="1103" t="s">
        <v>18</v>
      </c>
      <c r="AC4" s="3483"/>
    </row>
    <row r="5" spans="1:29" ht="15.75" thickTop="1">
      <c r="A5" s="1486" t="s">
        <v>62</v>
      </c>
      <c r="B5" s="1487" t="s">
        <v>15</v>
      </c>
      <c r="C5" s="1497">
        <f>'Table 4'!J5</f>
        <v>21.14</v>
      </c>
      <c r="D5" s="1502">
        <f>'Table 4'!K5</f>
        <v>0</v>
      </c>
      <c r="E5" s="1499">
        <f>'Table 4'!L5</f>
        <v>21.14</v>
      </c>
      <c r="F5" s="1497">
        <f>'Table 4'!M5</f>
        <v>22.05</v>
      </c>
      <c r="G5" s="1502">
        <f>'Table 4'!N5</f>
        <v>0</v>
      </c>
      <c r="H5" s="1499">
        <f>'Table 4'!O5</f>
        <v>22.05</v>
      </c>
      <c r="I5" s="1497">
        <f>'Table 4'!Q5</f>
        <v>22.53</v>
      </c>
      <c r="J5" s="1502">
        <f>'Table 4'!R5</f>
        <v>0</v>
      </c>
      <c r="K5" s="1499">
        <f>'Table 4'!S5</f>
        <v>22.53</v>
      </c>
      <c r="L5" s="1497">
        <f>'Table 4'!U5</f>
        <v>22.73</v>
      </c>
      <c r="M5" s="1502">
        <f>'Table 4'!V5</f>
        <v>0</v>
      </c>
      <c r="N5" s="1499">
        <f>'Table 4'!W5</f>
        <v>22.73</v>
      </c>
      <c r="O5" s="1497">
        <f>'Table 4'!Y5</f>
        <v>22.74</v>
      </c>
      <c r="P5" s="1502">
        <f>'Table 4'!Z5</f>
        <v>0</v>
      </c>
      <c r="Q5" s="1499">
        <f>'Table 4'!AA5</f>
        <v>22.74</v>
      </c>
      <c r="R5" s="1497">
        <f>'Table 4'!AC5</f>
        <v>22.81</v>
      </c>
      <c r="S5" s="1502">
        <f>'Table 4'!AD5</f>
        <v>0</v>
      </c>
      <c r="T5" s="1499">
        <f>'Table 4'!AE5</f>
        <v>22.81</v>
      </c>
      <c r="U5" s="1497">
        <f>'Table 4'!AG5</f>
        <v>22.83</v>
      </c>
      <c r="V5" s="1502">
        <f>'Table 4'!AH5</f>
        <v>0</v>
      </c>
      <c r="W5" s="1499">
        <f>'Table 4'!AI5</f>
        <v>22.83</v>
      </c>
      <c r="X5" s="1813">
        <f>(W5-E5)/E5</f>
        <v>0.08</v>
      </c>
      <c r="Y5" s="1497">
        <f>'Table 4'!AL5</f>
        <v>24.2</v>
      </c>
      <c r="Z5" s="1502">
        <f>'Table 4'!AM5</f>
        <v>0</v>
      </c>
      <c r="AA5" s="1499">
        <f>'Table 4'!AN5</f>
        <v>24.2</v>
      </c>
      <c r="AC5" s="1653">
        <f>W5-E5</f>
        <v>1.69</v>
      </c>
    </row>
    <row r="6" spans="1:29" ht="15.75" thickBot="1">
      <c r="A6" s="1488" t="s">
        <v>62</v>
      </c>
      <c r="B6" s="1489" t="s">
        <v>17</v>
      </c>
      <c r="C6" s="1922">
        <f>'Table 4'!J6</f>
        <v>2.35</v>
      </c>
      <c r="D6" s="1503">
        <f>'Table 4'!K6</f>
        <v>0</v>
      </c>
      <c r="E6" s="1500">
        <f>'Table 4'!L6</f>
        <v>2.35</v>
      </c>
      <c r="F6" s="1922">
        <f>'Table 4'!M6</f>
        <v>2.54</v>
      </c>
      <c r="G6" s="1503">
        <f>'Table 4'!N6</f>
        <v>0</v>
      </c>
      <c r="H6" s="1500">
        <f>'Table 4'!O6</f>
        <v>2.54</v>
      </c>
      <c r="I6" s="1922">
        <f>'Table 4'!Q6</f>
        <v>2.56</v>
      </c>
      <c r="J6" s="1503">
        <f>'Table 4'!R6</f>
        <v>0</v>
      </c>
      <c r="K6" s="1500">
        <f>'Table 4'!S6</f>
        <v>2.56</v>
      </c>
      <c r="L6" s="1922">
        <f>'Table 4'!U6</f>
        <v>2.71</v>
      </c>
      <c r="M6" s="1503">
        <f>'Table 4'!V6</f>
        <v>0</v>
      </c>
      <c r="N6" s="1500">
        <f>'Table 4'!W6</f>
        <v>2.71</v>
      </c>
      <c r="O6" s="1922">
        <f>'Table 4'!Y6</f>
        <v>2.89</v>
      </c>
      <c r="P6" s="1503">
        <f>'Table 4'!Z6</f>
        <v>0</v>
      </c>
      <c r="Q6" s="1500">
        <f>'Table 4'!AA6</f>
        <v>2.89</v>
      </c>
      <c r="R6" s="1922">
        <f>'Table 4'!AC6</f>
        <v>2.95</v>
      </c>
      <c r="S6" s="1503">
        <f>'Table 4'!AD6</f>
        <v>0</v>
      </c>
      <c r="T6" s="1500">
        <f>'Table 4'!AE6</f>
        <v>2.95</v>
      </c>
      <c r="U6" s="1922">
        <f>'Table 4'!AG6</f>
        <v>2.98</v>
      </c>
      <c r="V6" s="1503">
        <f>'Table 4'!AH6</f>
        <v>0</v>
      </c>
      <c r="W6" s="1500">
        <f>'Table 4'!AI6</f>
        <v>2.98</v>
      </c>
      <c r="X6" s="1819">
        <f t="shared" ref="X6:X25" si="0">(W6-E6)/E6</f>
        <v>0.27</v>
      </c>
      <c r="Y6" s="1922">
        <f>'Table 4'!AL6</f>
        <v>3.17</v>
      </c>
      <c r="Z6" s="1503">
        <f>'Table 4'!AM6</f>
        <v>0</v>
      </c>
      <c r="AA6" s="1500">
        <f>'Table 4'!AN6</f>
        <v>3.17</v>
      </c>
      <c r="AC6" s="846">
        <f t="shared" ref="AC6:AC25" si="1">W6-E6</f>
        <v>0.63</v>
      </c>
    </row>
    <row r="7" spans="1:29" ht="16.5" thickTop="1" thickBot="1">
      <c r="A7" s="1490" t="s">
        <v>62</v>
      </c>
      <c r="B7" s="1496" t="s">
        <v>18</v>
      </c>
      <c r="C7" s="1498">
        <f>SUM(C5:C6)</f>
        <v>23.49</v>
      </c>
      <c r="D7" s="1504">
        <f t="shared" ref="D7:W7" si="2">SUM(D5:D6)</f>
        <v>0</v>
      </c>
      <c r="E7" s="1501">
        <f t="shared" si="2"/>
        <v>23.49</v>
      </c>
      <c r="F7" s="1498">
        <f t="shared" si="2"/>
        <v>24.59</v>
      </c>
      <c r="G7" s="1504">
        <f t="shared" si="2"/>
        <v>0</v>
      </c>
      <c r="H7" s="1501">
        <f t="shared" si="2"/>
        <v>24.59</v>
      </c>
      <c r="I7" s="1498">
        <f t="shared" si="2"/>
        <v>25.09</v>
      </c>
      <c r="J7" s="1504">
        <f t="shared" si="2"/>
        <v>0</v>
      </c>
      <c r="K7" s="1501">
        <f t="shared" si="2"/>
        <v>25.09</v>
      </c>
      <c r="L7" s="1498">
        <f t="shared" si="2"/>
        <v>25.44</v>
      </c>
      <c r="M7" s="1504">
        <f t="shared" si="2"/>
        <v>0</v>
      </c>
      <c r="N7" s="1501">
        <f t="shared" si="2"/>
        <v>25.44</v>
      </c>
      <c r="O7" s="1498">
        <f t="shared" si="2"/>
        <v>25.63</v>
      </c>
      <c r="P7" s="1504">
        <f t="shared" si="2"/>
        <v>0</v>
      </c>
      <c r="Q7" s="1501">
        <f t="shared" si="2"/>
        <v>25.63</v>
      </c>
      <c r="R7" s="1498">
        <f t="shared" si="2"/>
        <v>25.76</v>
      </c>
      <c r="S7" s="1504">
        <f t="shared" si="2"/>
        <v>0</v>
      </c>
      <c r="T7" s="1501">
        <f t="shared" si="2"/>
        <v>25.76</v>
      </c>
      <c r="U7" s="1498">
        <f t="shared" si="2"/>
        <v>25.81</v>
      </c>
      <c r="V7" s="1504">
        <f t="shared" si="2"/>
        <v>0</v>
      </c>
      <c r="W7" s="1501">
        <f t="shared" si="2"/>
        <v>25.81</v>
      </c>
      <c r="X7" s="1514">
        <f t="shared" si="0"/>
        <v>0.1</v>
      </c>
      <c r="Y7" s="1498">
        <f t="shared" ref="Y7" si="3">SUM(Y5:Y6)</f>
        <v>27.37</v>
      </c>
      <c r="Z7" s="1504">
        <f t="shared" ref="Z7" si="4">SUM(Z5:Z6)</f>
        <v>0</v>
      </c>
      <c r="AA7" s="1501">
        <f t="shared" ref="AA7" si="5">SUM(AA5:AA6)</f>
        <v>27.37</v>
      </c>
      <c r="AC7" s="1823">
        <f t="shared" si="1"/>
        <v>2.3199999999999998</v>
      </c>
    </row>
    <row r="8" spans="1:29" ht="26.25">
      <c r="A8" s="282" t="s">
        <v>63</v>
      </c>
      <c r="B8" s="1492" t="s">
        <v>15</v>
      </c>
      <c r="C8" s="1497">
        <f>'Table 6'!K5</f>
        <v>0.85</v>
      </c>
      <c r="D8" s="1507">
        <f>'Table 6'!L5</f>
        <v>0</v>
      </c>
      <c r="E8" s="1499">
        <f>'Table 6'!M5</f>
        <v>0.85</v>
      </c>
      <c r="F8" s="1497">
        <f>'Table 6'!N5</f>
        <v>0.67</v>
      </c>
      <c r="G8" s="1507">
        <f>'Table 6'!O5</f>
        <v>0</v>
      </c>
      <c r="H8" s="1499">
        <f>'Table 6'!P5</f>
        <v>0.67</v>
      </c>
      <c r="I8" s="1497">
        <f>'Table 6'!Q5</f>
        <v>0.7</v>
      </c>
      <c r="J8" s="1507">
        <f>'Table 6'!R5</f>
        <v>0</v>
      </c>
      <c r="K8" s="1499">
        <f>'Table 6'!S5</f>
        <v>0.7</v>
      </c>
      <c r="L8" s="1497">
        <f>'Table 6'!T5</f>
        <v>0.83</v>
      </c>
      <c r="M8" s="1507">
        <f>'Table 6'!U5</f>
        <v>0</v>
      </c>
      <c r="N8" s="1499">
        <f>'Table 6'!V5</f>
        <v>0.83</v>
      </c>
      <c r="O8" s="1497">
        <f>'Table 6'!W5</f>
        <v>0.83</v>
      </c>
      <c r="P8" s="1507">
        <f>'Table 6'!X5</f>
        <v>0</v>
      </c>
      <c r="Q8" s="1499">
        <f>'Table 6'!Y5</f>
        <v>0.83</v>
      </c>
      <c r="R8" s="1497">
        <f>'Table 6'!Z5</f>
        <v>0.9</v>
      </c>
      <c r="S8" s="1507">
        <f>'Table 6'!AA5</f>
        <v>0</v>
      </c>
      <c r="T8" s="1499">
        <f>'Table 6'!AB5</f>
        <v>0.9</v>
      </c>
      <c r="U8" s="1497">
        <f>'Table 6'!AC5</f>
        <v>1</v>
      </c>
      <c r="V8" s="1507">
        <f>'Table 6'!AD5</f>
        <v>0</v>
      </c>
      <c r="W8" s="1499">
        <f>'Table 6'!AE5</f>
        <v>1</v>
      </c>
      <c r="X8" s="1813">
        <f t="shared" si="0"/>
        <v>0.18</v>
      </c>
      <c r="Y8" s="1497">
        <f>'Table 6'!AG5</f>
        <v>1.06</v>
      </c>
      <c r="Z8" s="1507">
        <f>'Table 6'!AH5</f>
        <v>0</v>
      </c>
      <c r="AA8" s="1499">
        <f>'Table 6'!AI5</f>
        <v>1.06</v>
      </c>
      <c r="AC8" s="1653">
        <f t="shared" si="1"/>
        <v>0.15</v>
      </c>
    </row>
    <row r="9" spans="1:29" ht="27" thickBot="1">
      <c r="A9" s="175" t="s">
        <v>63</v>
      </c>
      <c r="B9" s="1489" t="s">
        <v>17</v>
      </c>
      <c r="C9" s="1922">
        <f>'Table 6'!K6</f>
        <v>1.84</v>
      </c>
      <c r="D9" s="1503">
        <f>'Table 6'!L6</f>
        <v>0</v>
      </c>
      <c r="E9" s="1500">
        <f>'Table 6'!M6</f>
        <v>1.84</v>
      </c>
      <c r="F9" s="1922">
        <f>'Table 6'!N6</f>
        <v>2.27</v>
      </c>
      <c r="G9" s="1503">
        <f>'Table 6'!O6</f>
        <v>0</v>
      </c>
      <c r="H9" s="1500">
        <f>'Table 6'!P6</f>
        <v>2.27</v>
      </c>
      <c r="I9" s="1922">
        <f>'Table 6'!Q6</f>
        <v>2.63</v>
      </c>
      <c r="J9" s="1503">
        <f>'Table 6'!R6</f>
        <v>0</v>
      </c>
      <c r="K9" s="1500">
        <f>'Table 6'!S6</f>
        <v>2.63</v>
      </c>
      <c r="L9" s="1922">
        <f>'Table 6'!T6</f>
        <v>2.89</v>
      </c>
      <c r="M9" s="1503">
        <f>'Table 6'!U6</f>
        <v>0</v>
      </c>
      <c r="N9" s="1500">
        <f>'Table 6'!V6</f>
        <v>2.89</v>
      </c>
      <c r="O9" s="1922">
        <f>'Table 6'!W6</f>
        <v>3.27</v>
      </c>
      <c r="P9" s="1503">
        <f>'Table 6'!X6</f>
        <v>0</v>
      </c>
      <c r="Q9" s="1500">
        <f>'Table 6'!Y6</f>
        <v>3.27</v>
      </c>
      <c r="R9" s="1922">
        <f>'Table 6'!Z6</f>
        <v>3.54</v>
      </c>
      <c r="S9" s="1503">
        <f>'Table 6'!AA6</f>
        <v>0</v>
      </c>
      <c r="T9" s="1500">
        <f>'Table 6'!AB6</f>
        <v>3.54</v>
      </c>
      <c r="U9" s="1922">
        <f>'Table 6'!AC6</f>
        <v>3.75</v>
      </c>
      <c r="V9" s="1503">
        <f>'Table 6'!AD6</f>
        <v>0</v>
      </c>
      <c r="W9" s="1500">
        <f>'Table 6'!AE6</f>
        <v>3.75</v>
      </c>
      <c r="X9" s="1819">
        <f t="shared" si="0"/>
        <v>1.04</v>
      </c>
      <c r="Y9" s="1922">
        <f>'Table 6'!AG6</f>
        <v>3.97</v>
      </c>
      <c r="Z9" s="1503">
        <f>'Table 6'!AH6</f>
        <v>0</v>
      </c>
      <c r="AA9" s="1500">
        <f>'Table 6'!AI6</f>
        <v>3.97</v>
      </c>
      <c r="AC9" s="846">
        <f t="shared" si="1"/>
        <v>1.91</v>
      </c>
    </row>
    <row r="10" spans="1:29" ht="27.75" thickTop="1" thickBot="1">
      <c r="A10" s="1491" t="s">
        <v>63</v>
      </c>
      <c r="B10" s="1505" t="s">
        <v>18</v>
      </c>
      <c r="C10" s="1498">
        <f>SUM(C8:C9)</f>
        <v>2.69</v>
      </c>
      <c r="D10" s="1504">
        <f t="shared" ref="D10:W10" si="6">SUM(D8:D9)</f>
        <v>0</v>
      </c>
      <c r="E10" s="1501">
        <f t="shared" si="6"/>
        <v>2.69</v>
      </c>
      <c r="F10" s="1498">
        <f t="shared" si="6"/>
        <v>2.94</v>
      </c>
      <c r="G10" s="1504">
        <f t="shared" si="6"/>
        <v>0</v>
      </c>
      <c r="H10" s="1501">
        <f t="shared" si="6"/>
        <v>2.94</v>
      </c>
      <c r="I10" s="1498">
        <f t="shared" si="6"/>
        <v>3.33</v>
      </c>
      <c r="J10" s="1504">
        <f t="shared" si="6"/>
        <v>0</v>
      </c>
      <c r="K10" s="1501">
        <f t="shared" si="6"/>
        <v>3.33</v>
      </c>
      <c r="L10" s="1498">
        <f t="shared" si="6"/>
        <v>3.72</v>
      </c>
      <c r="M10" s="1504">
        <f t="shared" si="6"/>
        <v>0</v>
      </c>
      <c r="N10" s="1501">
        <f t="shared" si="6"/>
        <v>3.72</v>
      </c>
      <c r="O10" s="1498">
        <f t="shared" si="6"/>
        <v>4.0999999999999996</v>
      </c>
      <c r="P10" s="1504">
        <f t="shared" si="6"/>
        <v>0</v>
      </c>
      <c r="Q10" s="1501">
        <f t="shared" si="6"/>
        <v>4.0999999999999996</v>
      </c>
      <c r="R10" s="1498">
        <f t="shared" si="6"/>
        <v>4.4400000000000004</v>
      </c>
      <c r="S10" s="1504">
        <f t="shared" si="6"/>
        <v>0</v>
      </c>
      <c r="T10" s="1501">
        <f t="shared" si="6"/>
        <v>4.4400000000000004</v>
      </c>
      <c r="U10" s="1498">
        <f t="shared" si="6"/>
        <v>4.75</v>
      </c>
      <c r="V10" s="1504">
        <f t="shared" si="6"/>
        <v>0</v>
      </c>
      <c r="W10" s="1501">
        <f t="shared" si="6"/>
        <v>4.75</v>
      </c>
      <c r="X10" s="1514">
        <f t="shared" si="0"/>
        <v>0.77</v>
      </c>
      <c r="Y10" s="1498">
        <f t="shared" ref="Y10" si="7">SUM(Y8:Y9)</f>
        <v>5.03</v>
      </c>
      <c r="Z10" s="1504">
        <f t="shared" ref="Z10" si="8">SUM(Z8:Z9)</f>
        <v>0</v>
      </c>
      <c r="AA10" s="1501">
        <f t="shared" ref="AA10" si="9">SUM(AA8:AA9)</f>
        <v>5.03</v>
      </c>
      <c r="AC10" s="1823">
        <f t="shared" si="1"/>
        <v>2.06</v>
      </c>
    </row>
    <row r="11" spans="1:29">
      <c r="A11" s="993" t="s">
        <v>64</v>
      </c>
      <c r="B11" s="1492" t="s">
        <v>15</v>
      </c>
      <c r="C11" s="1497">
        <f>'Table 7'!C5</f>
        <v>2.99</v>
      </c>
      <c r="D11" s="1507">
        <f>'Table 7'!D5</f>
        <v>0</v>
      </c>
      <c r="E11" s="1499">
        <f>'Table 7'!E5</f>
        <v>2.99</v>
      </c>
      <c r="F11" s="1497">
        <f>'Table 7'!F5</f>
        <v>3.13</v>
      </c>
      <c r="G11" s="1507">
        <f>'Table 7'!G5</f>
        <v>0</v>
      </c>
      <c r="H11" s="1499">
        <f>'Table 7'!H5</f>
        <v>3.13</v>
      </c>
      <c r="I11" s="1497">
        <f>'Table 7'!I5</f>
        <v>3.18</v>
      </c>
      <c r="J11" s="1507">
        <f>'Table 7'!J5</f>
        <v>0</v>
      </c>
      <c r="K11" s="1499">
        <f>'Table 7'!K5</f>
        <v>3.18</v>
      </c>
      <c r="L11" s="1497">
        <f>'Table 7'!L5</f>
        <v>3.27</v>
      </c>
      <c r="M11" s="1507">
        <f>'Table 7'!M5</f>
        <v>0</v>
      </c>
      <c r="N11" s="1499">
        <f>'Table 7'!N5</f>
        <v>3.27</v>
      </c>
      <c r="O11" s="1497">
        <f>'Table 7'!O5</f>
        <v>3.39</v>
      </c>
      <c r="P11" s="1507">
        <f>'Table 7'!P5</f>
        <v>0</v>
      </c>
      <c r="Q11" s="1499">
        <f>'Table 7'!Q5</f>
        <v>3.39</v>
      </c>
      <c r="R11" s="1497">
        <f>'Table 7'!R5</f>
        <v>3.52</v>
      </c>
      <c r="S11" s="1507">
        <f>'Table 7'!S5</f>
        <v>0</v>
      </c>
      <c r="T11" s="1499">
        <f>'Table 7'!T5</f>
        <v>3.52</v>
      </c>
      <c r="U11" s="1497">
        <f>'Table 7'!U5</f>
        <v>3.56</v>
      </c>
      <c r="V11" s="1507">
        <f>'Table 7'!V5</f>
        <v>0</v>
      </c>
      <c r="W11" s="1499">
        <f>'Table 7'!W5</f>
        <v>3.56</v>
      </c>
      <c r="X11" s="1813">
        <f t="shared" si="0"/>
        <v>0.19</v>
      </c>
      <c r="Y11" s="1497">
        <f>'Table 7'!AG5</f>
        <v>5.44</v>
      </c>
      <c r="Z11" s="1507">
        <f>'Table 7'!AH5</f>
        <v>0</v>
      </c>
      <c r="AA11" s="1499">
        <f>'Table 7'!AI5</f>
        <v>5.44</v>
      </c>
      <c r="AC11" s="1653">
        <f t="shared" si="1"/>
        <v>0.56999999999999995</v>
      </c>
    </row>
    <row r="12" spans="1:29" ht="15.75" thickBot="1">
      <c r="A12" s="175" t="s">
        <v>64</v>
      </c>
      <c r="B12" s="1489" t="s">
        <v>17</v>
      </c>
      <c r="C12" s="1922">
        <f>'Table 7'!C6</f>
        <v>12.22</v>
      </c>
      <c r="D12" s="1503">
        <f>'Table 7'!D6</f>
        <v>0</v>
      </c>
      <c r="E12" s="1500">
        <f>'Table 7'!E6</f>
        <v>12.22</v>
      </c>
      <c r="F12" s="1922">
        <f>'Table 7'!F6</f>
        <v>11.25</v>
      </c>
      <c r="G12" s="1503">
        <f>'Table 7'!G6</f>
        <v>0</v>
      </c>
      <c r="H12" s="1500">
        <f>'Table 7'!H6</f>
        <v>11.25</v>
      </c>
      <c r="I12" s="1922">
        <f>'Table 7'!I6</f>
        <v>11.45</v>
      </c>
      <c r="J12" s="1503">
        <f>'Table 7'!J6</f>
        <v>0</v>
      </c>
      <c r="K12" s="1500">
        <f>'Table 7'!K6</f>
        <v>11.45</v>
      </c>
      <c r="L12" s="1922">
        <f>'Table 7'!L6</f>
        <v>11.54</v>
      </c>
      <c r="M12" s="1503">
        <f>'Table 7'!M6</f>
        <v>0</v>
      </c>
      <c r="N12" s="1500">
        <f>'Table 7'!N6</f>
        <v>11.54</v>
      </c>
      <c r="O12" s="1922">
        <f>'Table 7'!O6</f>
        <v>11.79</v>
      </c>
      <c r="P12" s="1503">
        <f>'Table 7'!P6</f>
        <v>0</v>
      </c>
      <c r="Q12" s="1500">
        <f>'Table 7'!Q6</f>
        <v>11.79</v>
      </c>
      <c r="R12" s="1922">
        <f>'Table 7'!R6</f>
        <v>11.97</v>
      </c>
      <c r="S12" s="1503">
        <f>'Table 7'!S6</f>
        <v>0</v>
      </c>
      <c r="T12" s="1500">
        <f>'Table 7'!T6</f>
        <v>11.97</v>
      </c>
      <c r="U12" s="1922">
        <f>'Table 7'!U6</f>
        <v>12.24</v>
      </c>
      <c r="V12" s="1503">
        <f>'Table 7'!V6</f>
        <v>0</v>
      </c>
      <c r="W12" s="1500">
        <f>'Table 7'!W6</f>
        <v>12.24</v>
      </c>
      <c r="X12" s="1819">
        <f t="shared" si="0"/>
        <v>0</v>
      </c>
      <c r="Y12" s="1922">
        <f>'Table 7'!AG6</f>
        <v>15.72</v>
      </c>
      <c r="Z12" s="1503">
        <f>'Table 7'!AH6</f>
        <v>0</v>
      </c>
      <c r="AA12" s="1500">
        <f>'Table 7'!AI6</f>
        <v>15.72</v>
      </c>
      <c r="AC12" s="846">
        <f t="shared" si="1"/>
        <v>0.02</v>
      </c>
    </row>
    <row r="13" spans="1:29" ht="16.5" thickTop="1" thickBot="1">
      <c r="A13" s="1490" t="s">
        <v>64</v>
      </c>
      <c r="B13" s="1505" t="s">
        <v>18</v>
      </c>
      <c r="C13" s="1498">
        <f>SUM(C11:C12)</f>
        <v>15.21</v>
      </c>
      <c r="D13" s="1504">
        <f t="shared" ref="D13:W13" si="10">SUM(D11:D12)</f>
        <v>0</v>
      </c>
      <c r="E13" s="1501">
        <f t="shared" si="10"/>
        <v>15.21</v>
      </c>
      <c r="F13" s="1498">
        <f t="shared" si="10"/>
        <v>14.38</v>
      </c>
      <c r="G13" s="1504">
        <f t="shared" si="10"/>
        <v>0</v>
      </c>
      <c r="H13" s="1501">
        <f t="shared" si="10"/>
        <v>14.38</v>
      </c>
      <c r="I13" s="1498">
        <f t="shared" si="10"/>
        <v>14.63</v>
      </c>
      <c r="J13" s="1504">
        <f t="shared" si="10"/>
        <v>0</v>
      </c>
      <c r="K13" s="1501">
        <f t="shared" si="10"/>
        <v>14.63</v>
      </c>
      <c r="L13" s="1498">
        <f t="shared" si="10"/>
        <v>14.81</v>
      </c>
      <c r="M13" s="1504">
        <f t="shared" si="10"/>
        <v>0</v>
      </c>
      <c r="N13" s="1501">
        <f t="shared" si="10"/>
        <v>14.81</v>
      </c>
      <c r="O13" s="1498">
        <f t="shared" si="10"/>
        <v>15.18</v>
      </c>
      <c r="P13" s="1504">
        <f t="shared" si="10"/>
        <v>0</v>
      </c>
      <c r="Q13" s="1501">
        <f t="shared" si="10"/>
        <v>15.18</v>
      </c>
      <c r="R13" s="1498">
        <f t="shared" si="10"/>
        <v>15.49</v>
      </c>
      <c r="S13" s="1504">
        <f t="shared" si="10"/>
        <v>0</v>
      </c>
      <c r="T13" s="1501">
        <f t="shared" si="10"/>
        <v>15.49</v>
      </c>
      <c r="U13" s="1498">
        <f t="shared" si="10"/>
        <v>15.8</v>
      </c>
      <c r="V13" s="1504">
        <f t="shared" si="10"/>
        <v>0</v>
      </c>
      <c r="W13" s="1501">
        <f t="shared" si="10"/>
        <v>15.8</v>
      </c>
      <c r="X13" s="1514">
        <f t="shared" si="0"/>
        <v>0.04</v>
      </c>
      <c r="Y13" s="1498">
        <f t="shared" ref="Y13" si="11">SUM(Y11:Y12)</f>
        <v>21.16</v>
      </c>
      <c r="Z13" s="1504">
        <f t="shared" ref="Z13" si="12">SUM(Z11:Z12)</f>
        <v>0</v>
      </c>
      <c r="AA13" s="1501">
        <f t="shared" ref="AA13" si="13">SUM(AA11:AA12)</f>
        <v>21.16</v>
      </c>
      <c r="AC13" s="1823">
        <f t="shared" si="1"/>
        <v>0.59</v>
      </c>
    </row>
    <row r="14" spans="1:29">
      <c r="A14" s="282" t="s">
        <v>65</v>
      </c>
      <c r="B14" s="1492" t="s">
        <v>15</v>
      </c>
      <c r="C14" s="1497">
        <f>'Table 8'!C5</f>
        <v>0.19</v>
      </c>
      <c r="D14" s="1507">
        <f>'Table 8'!D5</f>
        <v>0.08</v>
      </c>
      <c r="E14" s="1499">
        <f>'Table 8'!E5</f>
        <v>0.27</v>
      </c>
      <c r="F14" s="1497">
        <f>'Table 8'!F5</f>
        <v>0.2</v>
      </c>
      <c r="G14" s="1507">
        <f>'Table 8'!G5</f>
        <v>0.08</v>
      </c>
      <c r="H14" s="1499">
        <f>'Table 8'!H5</f>
        <v>0.28000000000000003</v>
      </c>
      <c r="I14" s="1497">
        <f>'Table 8'!I5</f>
        <v>0.2</v>
      </c>
      <c r="J14" s="1507">
        <f>'Table 8'!J5</f>
        <v>0.08</v>
      </c>
      <c r="K14" s="1499">
        <f>'Table 8'!K5</f>
        <v>0.28000000000000003</v>
      </c>
      <c r="L14" s="1497">
        <f>'Table 8'!L5</f>
        <v>0.2</v>
      </c>
      <c r="M14" s="1507">
        <f>'Table 8'!M5</f>
        <v>0.08</v>
      </c>
      <c r="N14" s="1499">
        <f>'Table 8'!N5</f>
        <v>0.28000000000000003</v>
      </c>
      <c r="O14" s="1497">
        <f>'Table 8'!O5</f>
        <v>0.2</v>
      </c>
      <c r="P14" s="1507">
        <f>'Table 8'!P5</f>
        <v>0.08</v>
      </c>
      <c r="Q14" s="1499">
        <f>'Table 8'!Q5</f>
        <v>0.28000000000000003</v>
      </c>
      <c r="R14" s="1497">
        <f>'Table 8'!R5</f>
        <v>0.2</v>
      </c>
      <c r="S14" s="1507">
        <f>'Table 8'!S5</f>
        <v>0.08</v>
      </c>
      <c r="T14" s="1499">
        <f>'Table 8'!T5</f>
        <v>0.28000000000000003</v>
      </c>
      <c r="U14" s="1497">
        <f>'Table 8'!U5</f>
        <v>0.2</v>
      </c>
      <c r="V14" s="1507">
        <f>'Table 8'!V5</f>
        <v>0.08</v>
      </c>
      <c r="W14" s="1499">
        <f>'Table 8'!W5</f>
        <v>0.28000000000000003</v>
      </c>
      <c r="X14" s="1813">
        <f t="shared" si="0"/>
        <v>0.04</v>
      </c>
      <c r="Y14" s="1497">
        <f>'Table 8'!Y5</f>
        <v>0.34</v>
      </c>
      <c r="Z14" s="1507">
        <f>'Table 8'!Z5</f>
        <v>0.14000000000000001</v>
      </c>
      <c r="AA14" s="1499">
        <f>'Table 8'!AA5</f>
        <v>0.48</v>
      </c>
      <c r="AC14" s="1653">
        <f t="shared" si="1"/>
        <v>0.01</v>
      </c>
    </row>
    <row r="15" spans="1:29" ht="15.75" thickBot="1">
      <c r="A15" s="175" t="s">
        <v>65</v>
      </c>
      <c r="B15" s="1489" t="s">
        <v>17</v>
      </c>
      <c r="C15" s="1922">
        <f>'Table 8'!C6</f>
        <v>1.04</v>
      </c>
      <c r="D15" s="1503">
        <f>'Table 8'!D6</f>
        <v>0</v>
      </c>
      <c r="E15" s="1500">
        <f>'Table 8'!E6</f>
        <v>1.04</v>
      </c>
      <c r="F15" s="1922">
        <f>'Table 8'!F6</f>
        <v>1.21</v>
      </c>
      <c r="G15" s="1503">
        <f>'Table 8'!G6</f>
        <v>0</v>
      </c>
      <c r="H15" s="1500">
        <f>'Table 8'!H6</f>
        <v>1.21</v>
      </c>
      <c r="I15" s="1922">
        <f>'Table 8'!I6</f>
        <v>1.34</v>
      </c>
      <c r="J15" s="1503">
        <f>'Table 8'!J6</f>
        <v>0</v>
      </c>
      <c r="K15" s="1500">
        <f>'Table 8'!K6</f>
        <v>1.34</v>
      </c>
      <c r="L15" s="1922">
        <f>'Table 8'!L6</f>
        <v>1.45</v>
      </c>
      <c r="M15" s="1503">
        <f>'Table 8'!M6</f>
        <v>0</v>
      </c>
      <c r="N15" s="1500">
        <f>'Table 8'!N6</f>
        <v>1.45</v>
      </c>
      <c r="O15" s="1922">
        <f>'Table 8'!O6</f>
        <v>1.6</v>
      </c>
      <c r="P15" s="1503">
        <f>'Table 8'!P6</f>
        <v>0</v>
      </c>
      <c r="Q15" s="1500">
        <f>'Table 8'!Q6</f>
        <v>1.6</v>
      </c>
      <c r="R15" s="1922">
        <f>'Table 8'!R6</f>
        <v>1.7</v>
      </c>
      <c r="S15" s="1503">
        <f>'Table 8'!S6</f>
        <v>0</v>
      </c>
      <c r="T15" s="1500">
        <f>'Table 8'!T6</f>
        <v>1.7</v>
      </c>
      <c r="U15" s="1922">
        <f>'Table 8'!U6</f>
        <v>1.78</v>
      </c>
      <c r="V15" s="1503">
        <f>'Table 8'!V6</f>
        <v>0</v>
      </c>
      <c r="W15" s="1500">
        <f>'Table 8'!W6</f>
        <v>1.78</v>
      </c>
      <c r="X15" s="1819">
        <f t="shared" si="0"/>
        <v>0.71</v>
      </c>
      <c r="Y15" s="1922">
        <f>'Table 8'!Y6</f>
        <v>1.8</v>
      </c>
      <c r="Z15" s="1503">
        <f>'Table 8'!Z6</f>
        <v>0</v>
      </c>
      <c r="AA15" s="1500">
        <f>'Table 8'!AA6</f>
        <v>1.8</v>
      </c>
      <c r="AC15" s="846">
        <f t="shared" si="1"/>
        <v>0.74</v>
      </c>
    </row>
    <row r="16" spans="1:29" ht="16.5" thickTop="1" thickBot="1">
      <c r="A16" s="1491" t="s">
        <v>65</v>
      </c>
      <c r="B16" s="1505" t="s">
        <v>18</v>
      </c>
      <c r="C16" s="1498">
        <f>SUM(C14:C15)</f>
        <v>1.23</v>
      </c>
      <c r="D16" s="1504">
        <f t="shared" ref="D16:W16" si="14">SUM(D14:D15)</f>
        <v>0.08</v>
      </c>
      <c r="E16" s="1501">
        <f t="shared" si="14"/>
        <v>1.31</v>
      </c>
      <c r="F16" s="1498">
        <f t="shared" si="14"/>
        <v>1.41</v>
      </c>
      <c r="G16" s="1504">
        <f t="shared" si="14"/>
        <v>0.08</v>
      </c>
      <c r="H16" s="1501">
        <f t="shared" si="14"/>
        <v>1.49</v>
      </c>
      <c r="I16" s="1498">
        <f t="shared" si="14"/>
        <v>1.54</v>
      </c>
      <c r="J16" s="1504">
        <f t="shared" si="14"/>
        <v>0.08</v>
      </c>
      <c r="K16" s="1501">
        <f t="shared" si="14"/>
        <v>1.62</v>
      </c>
      <c r="L16" s="1498">
        <f t="shared" si="14"/>
        <v>1.65</v>
      </c>
      <c r="M16" s="1504">
        <f t="shared" si="14"/>
        <v>0.08</v>
      </c>
      <c r="N16" s="1501">
        <f t="shared" si="14"/>
        <v>1.73</v>
      </c>
      <c r="O16" s="1498">
        <f t="shared" si="14"/>
        <v>1.8</v>
      </c>
      <c r="P16" s="1504">
        <f t="shared" si="14"/>
        <v>0.08</v>
      </c>
      <c r="Q16" s="1501">
        <f t="shared" si="14"/>
        <v>1.88</v>
      </c>
      <c r="R16" s="1498">
        <f t="shared" si="14"/>
        <v>1.9</v>
      </c>
      <c r="S16" s="1504">
        <f t="shared" si="14"/>
        <v>0.08</v>
      </c>
      <c r="T16" s="1501">
        <f t="shared" si="14"/>
        <v>1.98</v>
      </c>
      <c r="U16" s="1498">
        <f t="shared" si="14"/>
        <v>1.98</v>
      </c>
      <c r="V16" s="1504">
        <f t="shared" si="14"/>
        <v>0.08</v>
      </c>
      <c r="W16" s="1501">
        <f t="shared" si="14"/>
        <v>2.06</v>
      </c>
      <c r="X16" s="1514">
        <f t="shared" si="0"/>
        <v>0.56999999999999995</v>
      </c>
      <c r="Y16" s="1498">
        <f t="shared" ref="Y16" si="15">SUM(Y14:Y15)</f>
        <v>2.14</v>
      </c>
      <c r="Z16" s="1504">
        <f t="shared" ref="Z16" si="16">SUM(Z14:Z15)</f>
        <v>0.14000000000000001</v>
      </c>
      <c r="AA16" s="1501">
        <f t="shared" ref="AA16" si="17">SUM(AA14:AA15)</f>
        <v>2.2799999999999998</v>
      </c>
      <c r="AC16" s="1823">
        <f t="shared" si="1"/>
        <v>0.75</v>
      </c>
    </row>
    <row r="17" spans="1:29" ht="15" customHeight="1">
      <c r="A17" s="282" t="s">
        <v>66</v>
      </c>
      <c r="B17" s="1492" t="s">
        <v>15</v>
      </c>
      <c r="C17" s="1497">
        <f>'Table 9'!C5</f>
        <v>0.11</v>
      </c>
      <c r="D17" s="1507">
        <f>'Table 9'!D5</f>
        <v>0</v>
      </c>
      <c r="E17" s="1499">
        <f>'Table 9'!E5</f>
        <v>0.11</v>
      </c>
      <c r="F17" s="1497">
        <f>'Table 9'!F5</f>
        <v>0.12</v>
      </c>
      <c r="G17" s="1507">
        <f>'Table 9'!G5</f>
        <v>0</v>
      </c>
      <c r="H17" s="1499">
        <f>'Table 9'!H5</f>
        <v>0.12</v>
      </c>
      <c r="I17" s="1497">
        <f>'Table 9'!I5</f>
        <v>0.12</v>
      </c>
      <c r="J17" s="1507">
        <f>'Table 9'!J5</f>
        <v>0</v>
      </c>
      <c r="K17" s="1499">
        <f>'Table 9'!K5</f>
        <v>0.12</v>
      </c>
      <c r="L17" s="1497">
        <f>'Table 9'!L5</f>
        <v>0.12</v>
      </c>
      <c r="M17" s="1507">
        <f>'Table 9'!M5</f>
        <v>0</v>
      </c>
      <c r="N17" s="1499">
        <f>'Table 9'!N5</f>
        <v>0.12</v>
      </c>
      <c r="O17" s="1497">
        <f>'Table 9'!O5</f>
        <v>0.12</v>
      </c>
      <c r="P17" s="1507">
        <f>'Table 9'!P5</f>
        <v>0</v>
      </c>
      <c r="Q17" s="1499">
        <f>'Table 9'!Q5</f>
        <v>0.12</v>
      </c>
      <c r="R17" s="1497">
        <f>'Table 9'!R5</f>
        <v>0.12</v>
      </c>
      <c r="S17" s="1507">
        <f>'Table 9'!S5</f>
        <v>0</v>
      </c>
      <c r="T17" s="1499">
        <f>'Table 9'!T5</f>
        <v>0.12</v>
      </c>
      <c r="U17" s="1497">
        <f>'Table 9'!U5</f>
        <v>0.12</v>
      </c>
      <c r="V17" s="1507">
        <f>'Table 9'!V5</f>
        <v>0</v>
      </c>
      <c r="W17" s="1499">
        <f>'Table 9'!W5</f>
        <v>0.12</v>
      </c>
      <c r="X17" s="1813">
        <f t="shared" si="0"/>
        <v>0.09</v>
      </c>
      <c r="Y17" s="1497">
        <f>U17</f>
        <v>0.12</v>
      </c>
      <c r="Z17" s="1507">
        <f t="shared" ref="Z17:AA18" si="18">V17</f>
        <v>0</v>
      </c>
      <c r="AA17" s="1499">
        <f t="shared" si="18"/>
        <v>0.12</v>
      </c>
      <c r="AC17" s="1653">
        <f t="shared" si="1"/>
        <v>0.01</v>
      </c>
    </row>
    <row r="18" spans="1:29" ht="15" customHeight="1" thickBot="1">
      <c r="A18" s="1488" t="s">
        <v>66</v>
      </c>
      <c r="B18" s="1489" t="s">
        <v>17</v>
      </c>
      <c r="C18" s="1922">
        <f>'Table 9'!C6</f>
        <v>0.36</v>
      </c>
      <c r="D18" s="1503">
        <f>'Table 9'!D6</f>
        <v>0</v>
      </c>
      <c r="E18" s="1500">
        <f>'Table 9'!E6</f>
        <v>0.36</v>
      </c>
      <c r="F18" s="1922">
        <f>'Table 9'!F6</f>
        <v>0.42</v>
      </c>
      <c r="G18" s="1503">
        <f>'Table 9'!G6</f>
        <v>0</v>
      </c>
      <c r="H18" s="1500">
        <f>'Table 9'!H6</f>
        <v>0.42</v>
      </c>
      <c r="I18" s="1922">
        <f>'Table 9'!I6</f>
        <v>0.46</v>
      </c>
      <c r="J18" s="1503">
        <f>'Table 9'!J6</f>
        <v>0</v>
      </c>
      <c r="K18" s="1500">
        <f>'Table 9'!K6</f>
        <v>0.46</v>
      </c>
      <c r="L18" s="1922">
        <f>'Table 9'!L6</f>
        <v>0.5</v>
      </c>
      <c r="M18" s="1503">
        <f>'Table 9'!M6</f>
        <v>0</v>
      </c>
      <c r="N18" s="1500">
        <f>'Table 9'!N6</f>
        <v>0.5</v>
      </c>
      <c r="O18" s="1922">
        <f>'Table 9'!O6</f>
        <v>0.55000000000000004</v>
      </c>
      <c r="P18" s="1503">
        <f>'Table 9'!P6</f>
        <v>0</v>
      </c>
      <c r="Q18" s="1500">
        <f>'Table 9'!Q6</f>
        <v>0.55000000000000004</v>
      </c>
      <c r="R18" s="1922">
        <f>'Table 9'!R6</f>
        <v>0.57999999999999996</v>
      </c>
      <c r="S18" s="1503">
        <f>'Table 9'!S6</f>
        <v>0</v>
      </c>
      <c r="T18" s="1500">
        <f>'Table 9'!T6</f>
        <v>0.57999999999999996</v>
      </c>
      <c r="U18" s="1922">
        <f>'Table 9'!U6</f>
        <v>0.61</v>
      </c>
      <c r="V18" s="1503">
        <f>'Table 9'!V6</f>
        <v>0</v>
      </c>
      <c r="W18" s="1500">
        <f>'Table 9'!W6</f>
        <v>0.61</v>
      </c>
      <c r="X18" s="1819">
        <f t="shared" si="0"/>
        <v>0.69</v>
      </c>
      <c r="Y18" s="1922">
        <f>U18</f>
        <v>0.61</v>
      </c>
      <c r="Z18" s="1503">
        <f t="shared" si="18"/>
        <v>0</v>
      </c>
      <c r="AA18" s="1500">
        <f t="shared" si="18"/>
        <v>0.61</v>
      </c>
      <c r="AC18" s="846">
        <f t="shared" si="1"/>
        <v>0.25</v>
      </c>
    </row>
    <row r="19" spans="1:29" ht="27.75" thickTop="1" thickBot="1">
      <c r="A19" s="1490" t="s">
        <v>66</v>
      </c>
      <c r="B19" s="1505" t="s">
        <v>18</v>
      </c>
      <c r="C19" s="1498">
        <f>SUM(C17:C18)</f>
        <v>0.47</v>
      </c>
      <c r="D19" s="1504">
        <f t="shared" ref="D19:W19" si="19">SUM(D17:D18)</f>
        <v>0</v>
      </c>
      <c r="E19" s="1501">
        <f t="shared" si="19"/>
        <v>0.47</v>
      </c>
      <c r="F19" s="1498">
        <f t="shared" si="19"/>
        <v>0.54</v>
      </c>
      <c r="G19" s="1504">
        <f t="shared" si="19"/>
        <v>0</v>
      </c>
      <c r="H19" s="1501">
        <f t="shared" si="19"/>
        <v>0.54</v>
      </c>
      <c r="I19" s="1498">
        <f t="shared" si="19"/>
        <v>0.57999999999999996</v>
      </c>
      <c r="J19" s="1504">
        <f t="shared" si="19"/>
        <v>0</v>
      </c>
      <c r="K19" s="1501">
        <f t="shared" si="19"/>
        <v>0.57999999999999996</v>
      </c>
      <c r="L19" s="1498">
        <f t="shared" si="19"/>
        <v>0.62</v>
      </c>
      <c r="M19" s="1504">
        <f t="shared" si="19"/>
        <v>0</v>
      </c>
      <c r="N19" s="1501">
        <f t="shared" si="19"/>
        <v>0.62</v>
      </c>
      <c r="O19" s="1498">
        <f t="shared" si="19"/>
        <v>0.67</v>
      </c>
      <c r="P19" s="1504">
        <f t="shared" si="19"/>
        <v>0</v>
      </c>
      <c r="Q19" s="1501">
        <f t="shared" si="19"/>
        <v>0.67</v>
      </c>
      <c r="R19" s="1498">
        <f t="shared" si="19"/>
        <v>0.7</v>
      </c>
      <c r="S19" s="1504">
        <f t="shared" si="19"/>
        <v>0</v>
      </c>
      <c r="T19" s="1501">
        <f t="shared" si="19"/>
        <v>0.7</v>
      </c>
      <c r="U19" s="1498">
        <f t="shared" si="19"/>
        <v>0.73</v>
      </c>
      <c r="V19" s="1504">
        <f t="shared" si="19"/>
        <v>0</v>
      </c>
      <c r="W19" s="1501">
        <f t="shared" si="19"/>
        <v>0.73</v>
      </c>
      <c r="X19" s="1514">
        <f t="shared" si="0"/>
        <v>0.55000000000000004</v>
      </c>
      <c r="Y19" s="1498">
        <f t="shared" ref="Y19" si="20">SUM(Y17:Y18)</f>
        <v>0.73</v>
      </c>
      <c r="Z19" s="1504">
        <f t="shared" ref="Z19" si="21">SUM(Z17:Z18)</f>
        <v>0</v>
      </c>
      <c r="AA19" s="1501">
        <f t="shared" ref="AA19" si="22">SUM(AA17:AA18)</f>
        <v>0.73</v>
      </c>
      <c r="AC19" s="1823">
        <f t="shared" si="1"/>
        <v>0.26</v>
      </c>
    </row>
    <row r="20" spans="1:29">
      <c r="A20" s="1493" t="s">
        <v>67</v>
      </c>
      <c r="B20" s="1492" t="s">
        <v>15</v>
      </c>
      <c r="C20" s="1497">
        <f>'Table 10'!C5</f>
        <v>0.51</v>
      </c>
      <c r="D20" s="1507">
        <f>'Table 10'!D5</f>
        <v>0</v>
      </c>
      <c r="E20" s="1499">
        <f>'Table 10'!E5</f>
        <v>0.51</v>
      </c>
      <c r="F20" s="1497">
        <f>'Table 10'!F5</f>
        <v>0.53</v>
      </c>
      <c r="G20" s="1507">
        <f>'Table 10'!G5</f>
        <v>0</v>
      </c>
      <c r="H20" s="1499">
        <f>'Table 10'!H5</f>
        <v>0.53</v>
      </c>
      <c r="I20" s="1497">
        <f>'Table 10'!I5</f>
        <v>0.55000000000000004</v>
      </c>
      <c r="J20" s="1507">
        <f>'Table 10'!J5</f>
        <v>0</v>
      </c>
      <c r="K20" s="1499">
        <f>'Table 10'!K5</f>
        <v>0.55000000000000004</v>
      </c>
      <c r="L20" s="1497">
        <f>'Table 10'!L5</f>
        <v>0.56000000000000005</v>
      </c>
      <c r="M20" s="1507">
        <f>'Table 10'!M5</f>
        <v>0</v>
      </c>
      <c r="N20" s="1499">
        <f>'Table 10'!N5</f>
        <v>0.56000000000000005</v>
      </c>
      <c r="O20" s="1497">
        <f>'Table 10'!O5</f>
        <v>0.59</v>
      </c>
      <c r="P20" s="1507">
        <f>'Table 10'!P5</f>
        <v>0</v>
      </c>
      <c r="Q20" s="1499">
        <f>'Table 10'!Q5</f>
        <v>0.59</v>
      </c>
      <c r="R20" s="1497">
        <f>'Table 10'!R5</f>
        <v>0.61</v>
      </c>
      <c r="S20" s="1507">
        <f>'Table 10'!S5</f>
        <v>0</v>
      </c>
      <c r="T20" s="1499">
        <f>'Table 10'!T5</f>
        <v>0.61</v>
      </c>
      <c r="U20" s="1497">
        <f>'Table 10'!U5</f>
        <v>0.63</v>
      </c>
      <c r="V20" s="1507">
        <f>'Table 10'!V5</f>
        <v>0</v>
      </c>
      <c r="W20" s="1499">
        <f>'Table 10'!W5</f>
        <v>0.63</v>
      </c>
      <c r="X20" s="1813">
        <f t="shared" si="0"/>
        <v>0.24</v>
      </c>
      <c r="Y20" s="1497">
        <f>U20</f>
        <v>0.63</v>
      </c>
      <c r="Z20" s="1507">
        <f t="shared" ref="Z20:Z21" si="23">V20</f>
        <v>0</v>
      </c>
      <c r="AA20" s="1499">
        <f t="shared" ref="AA20:AA21" si="24">W20</f>
        <v>0.63</v>
      </c>
      <c r="AC20" s="1653">
        <f t="shared" si="1"/>
        <v>0.12</v>
      </c>
    </row>
    <row r="21" spans="1:29" ht="15.75" thickBot="1">
      <c r="A21" s="175" t="s">
        <v>67</v>
      </c>
      <c r="B21" s="1489" t="s">
        <v>17</v>
      </c>
      <c r="C21" s="1922">
        <f>'Table 10'!C6</f>
        <v>1.77</v>
      </c>
      <c r="D21" s="1503">
        <f>'Table 10'!D6</f>
        <v>0</v>
      </c>
      <c r="E21" s="1500">
        <f>'Table 10'!E6</f>
        <v>1.77</v>
      </c>
      <c r="F21" s="1922">
        <f>'Table 10'!F6</f>
        <v>1.76</v>
      </c>
      <c r="G21" s="1503">
        <f>'Table 10'!G6</f>
        <v>0</v>
      </c>
      <c r="H21" s="1500">
        <f>'Table 10'!H6</f>
        <v>1.76</v>
      </c>
      <c r="I21" s="1922">
        <f>'Table 10'!I6</f>
        <v>1.67</v>
      </c>
      <c r="J21" s="1503">
        <f>'Table 10'!J6</f>
        <v>0</v>
      </c>
      <c r="K21" s="1500">
        <f>'Table 10'!K6</f>
        <v>1.67</v>
      </c>
      <c r="L21" s="1922">
        <f>'Table 10'!L6</f>
        <v>1.71</v>
      </c>
      <c r="M21" s="1503">
        <f>'Table 10'!M6</f>
        <v>0</v>
      </c>
      <c r="N21" s="1500">
        <f>'Table 10'!N6</f>
        <v>1.71</v>
      </c>
      <c r="O21" s="1922">
        <f>'Table 10'!O6</f>
        <v>1.78</v>
      </c>
      <c r="P21" s="1503">
        <f>'Table 10'!P6</f>
        <v>0</v>
      </c>
      <c r="Q21" s="1500">
        <f>'Table 10'!Q6</f>
        <v>1.78</v>
      </c>
      <c r="R21" s="1922">
        <f>'Table 10'!R6</f>
        <v>1.86</v>
      </c>
      <c r="S21" s="1503">
        <f>'Table 10'!S6</f>
        <v>0</v>
      </c>
      <c r="T21" s="1500">
        <f>'Table 10'!T6</f>
        <v>1.86</v>
      </c>
      <c r="U21" s="1922">
        <f>'Table 10'!U6</f>
        <v>1.93</v>
      </c>
      <c r="V21" s="1503">
        <f>'Table 10'!V6</f>
        <v>0</v>
      </c>
      <c r="W21" s="1500">
        <f>'Table 10'!W6</f>
        <v>1.93</v>
      </c>
      <c r="X21" s="1819">
        <f t="shared" si="0"/>
        <v>0.09</v>
      </c>
      <c r="Y21" s="1922">
        <f>U21</f>
        <v>1.93</v>
      </c>
      <c r="Z21" s="1503">
        <f t="shared" si="23"/>
        <v>0</v>
      </c>
      <c r="AA21" s="1500">
        <f t="shared" si="24"/>
        <v>1.93</v>
      </c>
      <c r="AC21" s="846">
        <f t="shared" si="1"/>
        <v>0.16</v>
      </c>
    </row>
    <row r="22" spans="1:29" ht="16.5" thickTop="1" thickBot="1">
      <c r="A22" s="1491" t="s">
        <v>67</v>
      </c>
      <c r="B22" s="1505" t="s">
        <v>18</v>
      </c>
      <c r="C22" s="1498">
        <f>SUM(C20:C21)</f>
        <v>2.2799999999999998</v>
      </c>
      <c r="D22" s="1504">
        <f t="shared" ref="D22:W22" si="25">SUM(D20:D21)</f>
        <v>0</v>
      </c>
      <c r="E22" s="1501">
        <f t="shared" si="25"/>
        <v>2.2799999999999998</v>
      </c>
      <c r="F22" s="1498">
        <f t="shared" si="25"/>
        <v>2.29</v>
      </c>
      <c r="G22" s="1504">
        <f t="shared" si="25"/>
        <v>0</v>
      </c>
      <c r="H22" s="1501">
        <f t="shared" si="25"/>
        <v>2.29</v>
      </c>
      <c r="I22" s="1498">
        <f t="shared" si="25"/>
        <v>2.2200000000000002</v>
      </c>
      <c r="J22" s="1504">
        <f t="shared" si="25"/>
        <v>0</v>
      </c>
      <c r="K22" s="1501">
        <f t="shared" si="25"/>
        <v>2.2200000000000002</v>
      </c>
      <c r="L22" s="1498">
        <f t="shared" si="25"/>
        <v>2.27</v>
      </c>
      <c r="M22" s="1504">
        <f t="shared" si="25"/>
        <v>0</v>
      </c>
      <c r="N22" s="1501">
        <f t="shared" si="25"/>
        <v>2.27</v>
      </c>
      <c r="O22" s="1498">
        <f t="shared" si="25"/>
        <v>2.37</v>
      </c>
      <c r="P22" s="1504">
        <f t="shared" si="25"/>
        <v>0</v>
      </c>
      <c r="Q22" s="1501">
        <f t="shared" si="25"/>
        <v>2.37</v>
      </c>
      <c r="R22" s="1498">
        <f t="shared" si="25"/>
        <v>2.4700000000000002</v>
      </c>
      <c r="S22" s="1504">
        <f t="shared" si="25"/>
        <v>0</v>
      </c>
      <c r="T22" s="1501">
        <f t="shared" si="25"/>
        <v>2.4700000000000002</v>
      </c>
      <c r="U22" s="1498">
        <f t="shared" si="25"/>
        <v>2.56</v>
      </c>
      <c r="V22" s="1504">
        <f t="shared" si="25"/>
        <v>0</v>
      </c>
      <c r="W22" s="1501">
        <f t="shared" si="25"/>
        <v>2.56</v>
      </c>
      <c r="X22" s="1514">
        <f t="shared" si="0"/>
        <v>0.12</v>
      </c>
      <c r="Y22" s="1498">
        <f t="shared" ref="Y22" si="26">SUM(Y20:Y21)</f>
        <v>2.56</v>
      </c>
      <c r="Z22" s="1504">
        <f t="shared" ref="Z22" si="27">SUM(Z20:Z21)</f>
        <v>0</v>
      </c>
      <c r="AA22" s="1501">
        <f t="shared" ref="AA22" si="28">SUM(AA20:AA21)</f>
        <v>2.56</v>
      </c>
      <c r="AC22" s="1823">
        <f t="shared" si="1"/>
        <v>0.28000000000000003</v>
      </c>
    </row>
    <row r="23" spans="1:29" ht="15.75" thickBot="1">
      <c r="A23" s="1494" t="s">
        <v>690</v>
      </c>
      <c r="B23" s="1506" t="s">
        <v>15</v>
      </c>
      <c r="C23" s="1508">
        <f>C5+C8+C11+C14+C17+C20</f>
        <v>25.79</v>
      </c>
      <c r="D23" s="1536">
        <f t="shared" ref="D23:W23" si="29">D5+D8+D11+D14+D17+D20</f>
        <v>0.08</v>
      </c>
      <c r="E23" s="1534">
        <f t="shared" si="29"/>
        <v>25.87</v>
      </c>
      <c r="F23" s="1508">
        <f t="shared" si="29"/>
        <v>26.7</v>
      </c>
      <c r="G23" s="1536">
        <f t="shared" si="29"/>
        <v>0.08</v>
      </c>
      <c r="H23" s="1534">
        <f t="shared" si="29"/>
        <v>26.78</v>
      </c>
      <c r="I23" s="1508">
        <f t="shared" si="29"/>
        <v>27.28</v>
      </c>
      <c r="J23" s="1536">
        <f t="shared" si="29"/>
        <v>0.08</v>
      </c>
      <c r="K23" s="1534">
        <f t="shared" si="29"/>
        <v>27.36</v>
      </c>
      <c r="L23" s="1508">
        <f t="shared" si="29"/>
        <v>27.71</v>
      </c>
      <c r="M23" s="1536">
        <f t="shared" si="29"/>
        <v>0.08</v>
      </c>
      <c r="N23" s="1534">
        <f t="shared" si="29"/>
        <v>27.79</v>
      </c>
      <c r="O23" s="1508">
        <f t="shared" si="29"/>
        <v>27.87</v>
      </c>
      <c r="P23" s="1536">
        <f t="shared" si="29"/>
        <v>0.08</v>
      </c>
      <c r="Q23" s="1534">
        <f t="shared" si="29"/>
        <v>27.95</v>
      </c>
      <c r="R23" s="1508">
        <f t="shared" si="29"/>
        <v>28.16</v>
      </c>
      <c r="S23" s="1536">
        <f t="shared" si="29"/>
        <v>0.08</v>
      </c>
      <c r="T23" s="1534">
        <f t="shared" si="29"/>
        <v>28.24</v>
      </c>
      <c r="U23" s="1508">
        <f t="shared" si="29"/>
        <v>28.34</v>
      </c>
      <c r="V23" s="1536">
        <f t="shared" si="29"/>
        <v>0.08</v>
      </c>
      <c r="W23" s="1534">
        <f t="shared" si="29"/>
        <v>28.42</v>
      </c>
      <c r="X23" s="1515">
        <f t="shared" si="0"/>
        <v>0.1</v>
      </c>
      <c r="Y23" s="1508">
        <f t="shared" ref="Y23:AA23" si="30">Y5+Y8+Y11+Y14+Y17+Y20</f>
        <v>31.79</v>
      </c>
      <c r="Z23" s="1536">
        <f t="shared" si="30"/>
        <v>0.14000000000000001</v>
      </c>
      <c r="AA23" s="1509">
        <f t="shared" si="30"/>
        <v>31.93</v>
      </c>
      <c r="AC23" s="1824">
        <f t="shared" si="1"/>
        <v>2.5499999999999998</v>
      </c>
    </row>
    <row r="24" spans="1:29" ht="15.75" thickBot="1">
      <c r="A24" s="1495" t="s">
        <v>690</v>
      </c>
      <c r="B24" s="1489" t="s">
        <v>17</v>
      </c>
      <c r="C24" s="1510">
        <f>C6+C9+C12+C15+C18+C21</f>
        <v>19.579999999999998</v>
      </c>
      <c r="D24" s="1537">
        <f t="shared" ref="D24:W24" si="31">D6+D9+D12+D15+D18+D21</f>
        <v>0</v>
      </c>
      <c r="E24" s="1535">
        <f t="shared" si="31"/>
        <v>19.579999999999998</v>
      </c>
      <c r="F24" s="1510">
        <f t="shared" si="31"/>
        <v>19.45</v>
      </c>
      <c r="G24" s="1537">
        <f t="shared" si="31"/>
        <v>0</v>
      </c>
      <c r="H24" s="1535">
        <f t="shared" si="31"/>
        <v>19.45</v>
      </c>
      <c r="I24" s="1510">
        <f t="shared" si="31"/>
        <v>20.11</v>
      </c>
      <c r="J24" s="1537">
        <f t="shared" si="31"/>
        <v>0</v>
      </c>
      <c r="K24" s="1535">
        <f t="shared" si="31"/>
        <v>20.11</v>
      </c>
      <c r="L24" s="1510">
        <f t="shared" si="31"/>
        <v>20.8</v>
      </c>
      <c r="M24" s="1537">
        <f t="shared" ref="M24" si="32">M6+M9+M12+M15+M18+M21</f>
        <v>0</v>
      </c>
      <c r="N24" s="1535">
        <f t="shared" si="31"/>
        <v>20.8</v>
      </c>
      <c r="O24" s="1510">
        <f t="shared" si="31"/>
        <v>21.88</v>
      </c>
      <c r="P24" s="1537">
        <f t="shared" si="31"/>
        <v>0</v>
      </c>
      <c r="Q24" s="1535">
        <f t="shared" si="31"/>
        <v>21.88</v>
      </c>
      <c r="R24" s="1510">
        <f t="shared" si="31"/>
        <v>22.6</v>
      </c>
      <c r="S24" s="1537">
        <f t="shared" si="31"/>
        <v>0</v>
      </c>
      <c r="T24" s="1535">
        <f t="shared" si="31"/>
        <v>22.6</v>
      </c>
      <c r="U24" s="1510">
        <f t="shared" si="31"/>
        <v>23.29</v>
      </c>
      <c r="V24" s="1537">
        <f t="shared" si="31"/>
        <v>0</v>
      </c>
      <c r="W24" s="1535">
        <f t="shared" si="31"/>
        <v>23.29</v>
      </c>
      <c r="X24" s="1516">
        <f t="shared" si="0"/>
        <v>0.19</v>
      </c>
      <c r="Y24" s="1510">
        <f t="shared" ref="Y24:AA24" si="33">Y6+Y9+Y12+Y15+Y18+Y21</f>
        <v>27.2</v>
      </c>
      <c r="Z24" s="1537">
        <f t="shared" si="33"/>
        <v>0</v>
      </c>
      <c r="AA24" s="1511">
        <f t="shared" si="33"/>
        <v>27.2</v>
      </c>
      <c r="AC24" s="1825">
        <f t="shared" si="1"/>
        <v>3.71</v>
      </c>
    </row>
    <row r="25" spans="1:29" ht="16.5" thickTop="1" thickBot="1">
      <c r="A25" s="3406" t="s">
        <v>691</v>
      </c>
      <c r="B25" s="3407"/>
      <c r="C25" s="1512">
        <f>C23+C24</f>
        <v>45.37</v>
      </c>
      <c r="D25" s="1538">
        <f t="shared" ref="D25:W25" si="34">D23+D24</f>
        <v>0.08</v>
      </c>
      <c r="E25" s="1513">
        <f t="shared" si="34"/>
        <v>45.45</v>
      </c>
      <c r="F25" s="1512">
        <f t="shared" si="34"/>
        <v>46.15</v>
      </c>
      <c r="G25" s="1538">
        <f t="shared" si="34"/>
        <v>0.08</v>
      </c>
      <c r="H25" s="1513">
        <f t="shared" si="34"/>
        <v>46.23</v>
      </c>
      <c r="I25" s="1512">
        <f t="shared" si="34"/>
        <v>47.39</v>
      </c>
      <c r="J25" s="1538">
        <f t="shared" si="34"/>
        <v>0.08</v>
      </c>
      <c r="K25" s="1513">
        <f t="shared" si="34"/>
        <v>47.47</v>
      </c>
      <c r="L25" s="1512">
        <f t="shared" si="34"/>
        <v>48.51</v>
      </c>
      <c r="M25" s="1538">
        <f t="shared" si="34"/>
        <v>0.08</v>
      </c>
      <c r="N25" s="1513">
        <f t="shared" si="34"/>
        <v>48.59</v>
      </c>
      <c r="O25" s="1512">
        <f t="shared" si="34"/>
        <v>49.75</v>
      </c>
      <c r="P25" s="1538">
        <f t="shared" si="34"/>
        <v>0.08</v>
      </c>
      <c r="Q25" s="1513">
        <f t="shared" si="34"/>
        <v>49.83</v>
      </c>
      <c r="R25" s="1512">
        <f t="shared" si="34"/>
        <v>50.76</v>
      </c>
      <c r="S25" s="1538">
        <f t="shared" si="34"/>
        <v>0.08</v>
      </c>
      <c r="T25" s="1513">
        <f t="shared" si="34"/>
        <v>50.84</v>
      </c>
      <c r="U25" s="1512">
        <f t="shared" si="34"/>
        <v>51.63</v>
      </c>
      <c r="V25" s="1538">
        <f t="shared" si="34"/>
        <v>0.08</v>
      </c>
      <c r="W25" s="1513">
        <f t="shared" si="34"/>
        <v>51.71</v>
      </c>
      <c r="X25" s="1517">
        <f t="shared" si="0"/>
        <v>0.14000000000000001</v>
      </c>
      <c r="Y25" s="1512">
        <f t="shared" ref="Y25" si="35">Y23+Y24</f>
        <v>58.99</v>
      </c>
      <c r="Z25" s="1538">
        <f t="shared" ref="Z25" si="36">Z23+Z24</f>
        <v>0.14000000000000001</v>
      </c>
      <c r="AA25" s="1513">
        <f t="shared" ref="AA25" si="37">AA23+AA24</f>
        <v>59.13</v>
      </c>
      <c r="AC25" s="855">
        <f t="shared" si="1"/>
        <v>6.26</v>
      </c>
    </row>
    <row r="26" spans="1:29">
      <c r="A26" s="89" t="s">
        <v>35</v>
      </c>
    </row>
    <row r="27" spans="1:29">
      <c r="A27" s="1" t="s">
        <v>68</v>
      </c>
    </row>
    <row r="28" spans="1:29">
      <c r="A28" s="1" t="s">
        <v>69</v>
      </c>
    </row>
    <row r="30" spans="1:29" ht="15.75" thickBot="1">
      <c r="A30" s="1" t="s">
        <v>692</v>
      </c>
    </row>
    <row r="31" spans="1:29" ht="15.75" customHeight="1" thickBot="1">
      <c r="A31" s="3204" t="s">
        <v>54</v>
      </c>
      <c r="B31" s="3206" t="s">
        <v>2</v>
      </c>
      <c r="C31" s="3261" t="s">
        <v>55</v>
      </c>
      <c r="D31" s="3262"/>
      <c r="E31" s="3263"/>
      <c r="F31" s="3261" t="s">
        <v>56</v>
      </c>
      <c r="G31" s="3262"/>
      <c r="H31" s="3262"/>
      <c r="I31" s="3262"/>
      <c r="J31" s="3262"/>
      <c r="K31" s="3262"/>
      <c r="L31" s="3262"/>
      <c r="M31" s="3262"/>
      <c r="N31" s="3262"/>
      <c r="O31" s="3262"/>
      <c r="P31" s="3262"/>
      <c r="Q31" s="3262"/>
      <c r="R31" s="3262"/>
      <c r="S31" s="3262"/>
      <c r="T31" s="3262"/>
      <c r="U31" s="3262"/>
      <c r="V31" s="3262"/>
      <c r="W31" s="3263"/>
      <c r="X31" s="3255" t="s">
        <v>57</v>
      </c>
      <c r="Y31" s="3261" t="s">
        <v>58</v>
      </c>
      <c r="Z31" s="3262"/>
      <c r="AA31" s="3263"/>
      <c r="AC31" s="3255" t="s">
        <v>80</v>
      </c>
    </row>
    <row r="32" spans="1:29">
      <c r="A32" s="3205"/>
      <c r="B32" s="3207"/>
      <c r="C32" s="3258">
        <v>2015</v>
      </c>
      <c r="D32" s="3264"/>
      <c r="E32" s="3245"/>
      <c r="F32" s="3258">
        <v>2020</v>
      </c>
      <c r="G32" s="3264"/>
      <c r="H32" s="3245"/>
      <c r="I32" s="3258">
        <v>2025</v>
      </c>
      <c r="J32" s="3264"/>
      <c r="K32" s="3245"/>
      <c r="L32" s="3258">
        <v>2030</v>
      </c>
      <c r="M32" s="3264"/>
      <c r="N32" s="3245"/>
      <c r="O32" s="3258">
        <v>2035</v>
      </c>
      <c r="P32" s="3264"/>
      <c r="Q32" s="3245"/>
      <c r="R32" s="3258">
        <v>2040</v>
      </c>
      <c r="S32" s="3264"/>
      <c r="T32" s="3245"/>
      <c r="U32" s="3258">
        <v>2045</v>
      </c>
      <c r="V32" s="3264"/>
      <c r="W32" s="3245"/>
      <c r="X32" s="3256"/>
      <c r="Y32" s="3258">
        <v>2045</v>
      </c>
      <c r="Z32" s="3264"/>
      <c r="AA32" s="3245"/>
      <c r="AC32" s="3256"/>
    </row>
    <row r="33" spans="1:29" ht="15.75" thickBot="1">
      <c r="A33" s="3485"/>
      <c r="B33" s="3208"/>
      <c r="C33" s="1130" t="s">
        <v>60</v>
      </c>
      <c r="D33" s="1128" t="s">
        <v>61</v>
      </c>
      <c r="E33" s="1681" t="s">
        <v>18</v>
      </c>
      <c r="F33" s="1127" t="s">
        <v>60</v>
      </c>
      <c r="G33" s="1131" t="s">
        <v>61</v>
      </c>
      <c r="H33" s="1680" t="s">
        <v>18</v>
      </c>
      <c r="I33" s="1130" t="s">
        <v>60</v>
      </c>
      <c r="J33" s="1128" t="s">
        <v>61</v>
      </c>
      <c r="K33" s="1681" t="s">
        <v>18</v>
      </c>
      <c r="L33" s="1127" t="s">
        <v>60</v>
      </c>
      <c r="M33" s="1131" t="s">
        <v>61</v>
      </c>
      <c r="N33" s="1680" t="s">
        <v>18</v>
      </c>
      <c r="O33" s="1130" t="s">
        <v>60</v>
      </c>
      <c r="P33" s="1128" t="s">
        <v>61</v>
      </c>
      <c r="Q33" s="1681" t="s">
        <v>18</v>
      </c>
      <c r="R33" s="1130" t="s">
        <v>60</v>
      </c>
      <c r="S33" s="1131" t="s">
        <v>61</v>
      </c>
      <c r="T33" s="1680" t="s">
        <v>18</v>
      </c>
      <c r="U33" s="1130" t="s">
        <v>60</v>
      </c>
      <c r="V33" s="1131" t="s">
        <v>61</v>
      </c>
      <c r="W33" s="1680" t="s">
        <v>18</v>
      </c>
      <c r="X33" s="3257"/>
      <c r="Y33" s="1817" t="s">
        <v>60</v>
      </c>
      <c r="Z33" s="1818" t="s">
        <v>61</v>
      </c>
      <c r="AA33" s="1135" t="s">
        <v>18</v>
      </c>
      <c r="AC33" s="3483"/>
    </row>
    <row r="34" spans="1:29">
      <c r="A34" s="993" t="s">
        <v>62</v>
      </c>
      <c r="B34" s="1492" t="s">
        <v>15</v>
      </c>
      <c r="C34" s="1497">
        <f>'Table 4'!J8</f>
        <v>0.92</v>
      </c>
      <c r="D34" s="1507">
        <f>'Table 4'!K8</f>
        <v>0</v>
      </c>
      <c r="E34" s="1499">
        <f>'Table 4'!L8</f>
        <v>0.92</v>
      </c>
      <c r="F34" s="1497">
        <f>'Table 4'!M8</f>
        <v>0.95</v>
      </c>
      <c r="G34" s="1507">
        <f>'Table 4'!N8</f>
        <v>0</v>
      </c>
      <c r="H34" s="1499">
        <f>'Table 4'!O8</f>
        <v>0.95</v>
      </c>
      <c r="I34" s="1497">
        <f>'Table 4'!Q8</f>
        <v>0.99</v>
      </c>
      <c r="J34" s="1507">
        <f>'Table 4'!R8</f>
        <v>0</v>
      </c>
      <c r="K34" s="1499">
        <f>'Table 4'!S8</f>
        <v>0.99</v>
      </c>
      <c r="L34" s="1497">
        <f>'Table 4'!U8</f>
        <v>1.06</v>
      </c>
      <c r="M34" s="1507">
        <f>'Table 4'!V8</f>
        <v>0</v>
      </c>
      <c r="N34" s="1499">
        <f>'Table 4'!W8</f>
        <v>1.06</v>
      </c>
      <c r="O34" s="1497">
        <f>'Table 4'!Y8</f>
        <v>1.08</v>
      </c>
      <c r="P34" s="1507">
        <f>'Table 4'!Z8</f>
        <v>0</v>
      </c>
      <c r="Q34" s="1499">
        <f>'Table 4'!AA8</f>
        <v>1.08</v>
      </c>
      <c r="R34" s="1497">
        <f>'Table 4'!AC8</f>
        <v>1.0900000000000001</v>
      </c>
      <c r="S34" s="1507">
        <f>'Table 4'!AD8</f>
        <v>0</v>
      </c>
      <c r="T34" s="1499">
        <f>'Table 4'!AE8</f>
        <v>1.0900000000000001</v>
      </c>
      <c r="U34" s="1497">
        <f>'Table 4'!AG8</f>
        <v>1.0900000000000001</v>
      </c>
      <c r="V34" s="1507">
        <f>'Table 4'!AH8</f>
        <v>0</v>
      </c>
      <c r="W34" s="1499">
        <f>'Table 4'!AI8</f>
        <v>1.0900000000000001</v>
      </c>
      <c r="X34" s="1813">
        <f>(W34-E34)/E34</f>
        <v>0.18</v>
      </c>
      <c r="Y34" s="1497">
        <f>'Table 4'!AL8</f>
        <v>1.1499999999999999</v>
      </c>
      <c r="Z34" s="1507">
        <f>'Table 4'!AM8</f>
        <v>0</v>
      </c>
      <c r="AA34" s="1499">
        <f>'Table 4'!AN8</f>
        <v>1.1499999999999999</v>
      </c>
      <c r="AC34" s="1653">
        <f>W34-E34</f>
        <v>0.17</v>
      </c>
    </row>
    <row r="35" spans="1:29" ht="15.75" thickBot="1">
      <c r="A35" s="1488" t="s">
        <v>62</v>
      </c>
      <c r="B35" s="1489" t="s">
        <v>17</v>
      </c>
      <c r="C35" s="1922">
        <f>'Table 4'!J9</f>
        <v>0</v>
      </c>
      <c r="D35" s="1503">
        <f>'Table 4'!K9</f>
        <v>0</v>
      </c>
      <c r="E35" s="1500">
        <f>'Table 4'!L9</f>
        <v>0</v>
      </c>
      <c r="F35" s="1922">
        <f>'Table 4'!M9</f>
        <v>0</v>
      </c>
      <c r="G35" s="1503">
        <f>'Table 4'!N9</f>
        <v>0</v>
      </c>
      <c r="H35" s="1500">
        <f>'Table 4'!O9</f>
        <v>0</v>
      </c>
      <c r="I35" s="1922">
        <f>'Table 4'!Q9</f>
        <v>0</v>
      </c>
      <c r="J35" s="1503">
        <f>'Table 4'!R9</f>
        <v>0</v>
      </c>
      <c r="K35" s="1500">
        <f>'Table 4'!S9</f>
        <v>0</v>
      </c>
      <c r="L35" s="1922">
        <f>'Table 4'!U9</f>
        <v>0</v>
      </c>
      <c r="M35" s="1503">
        <f>'Table 4'!V9</f>
        <v>0</v>
      </c>
      <c r="N35" s="1500">
        <f>'Table 4'!W9</f>
        <v>0</v>
      </c>
      <c r="O35" s="1922">
        <f>'Table 4'!Y9</f>
        <v>0</v>
      </c>
      <c r="P35" s="1503">
        <f>'Table 4'!Z9</f>
        <v>0</v>
      </c>
      <c r="Q35" s="1500">
        <f>'Table 4'!AA9</f>
        <v>0</v>
      </c>
      <c r="R35" s="1922">
        <f>'Table 4'!AC9</f>
        <v>0</v>
      </c>
      <c r="S35" s="1503">
        <f>'Table 4'!AD9</f>
        <v>0</v>
      </c>
      <c r="T35" s="1500">
        <f>'Table 4'!AE9</f>
        <v>0</v>
      </c>
      <c r="U35" s="1922">
        <f>'Table 4'!AG9</f>
        <v>0</v>
      </c>
      <c r="V35" s="1503">
        <f>'Table 4'!AH9</f>
        <v>0</v>
      </c>
      <c r="W35" s="1500">
        <f>'Table 4'!AI9</f>
        <v>0</v>
      </c>
      <c r="X35" s="1820" t="s">
        <v>16</v>
      </c>
      <c r="Y35" s="1922">
        <f>'Table 4'!AL9</f>
        <v>0</v>
      </c>
      <c r="Z35" s="1503">
        <f>'Table 4'!AM9</f>
        <v>0</v>
      </c>
      <c r="AA35" s="1500">
        <f>'Table 4'!AN9</f>
        <v>0</v>
      </c>
      <c r="AC35" s="846">
        <f t="shared" ref="AC35:AC54" si="38">W35-E35</f>
        <v>0</v>
      </c>
    </row>
    <row r="36" spans="1:29" ht="16.5" thickTop="1" thickBot="1">
      <c r="A36" s="1490" t="s">
        <v>62</v>
      </c>
      <c r="B36" s="1496" t="s">
        <v>18</v>
      </c>
      <c r="C36" s="1498">
        <f>SUM(C34:C35)</f>
        <v>0.92</v>
      </c>
      <c r="D36" s="1504">
        <f t="shared" ref="D36" si="39">SUM(D34:D35)</f>
        <v>0</v>
      </c>
      <c r="E36" s="1501">
        <f t="shared" ref="E36" si="40">SUM(E34:E35)</f>
        <v>0.92</v>
      </c>
      <c r="F36" s="1498">
        <f t="shared" ref="F36" si="41">SUM(F34:F35)</f>
        <v>0.95</v>
      </c>
      <c r="G36" s="1504">
        <f t="shared" ref="G36" si="42">SUM(G34:G35)</f>
        <v>0</v>
      </c>
      <c r="H36" s="1501">
        <f t="shared" ref="H36" si="43">SUM(H34:H35)</f>
        <v>0.95</v>
      </c>
      <c r="I36" s="1498">
        <f t="shared" ref="I36" si="44">SUM(I34:I35)</f>
        <v>0.99</v>
      </c>
      <c r="J36" s="1504">
        <f t="shared" ref="J36" si="45">SUM(J34:J35)</f>
        <v>0</v>
      </c>
      <c r="K36" s="1501">
        <f t="shared" ref="K36" si="46">SUM(K34:K35)</f>
        <v>0.99</v>
      </c>
      <c r="L36" s="1498">
        <f t="shared" ref="L36" si="47">SUM(L34:L35)</f>
        <v>1.06</v>
      </c>
      <c r="M36" s="1504">
        <f t="shared" ref="M36" si="48">SUM(M34:M35)</f>
        <v>0</v>
      </c>
      <c r="N36" s="1501">
        <f t="shared" ref="N36" si="49">SUM(N34:N35)</f>
        <v>1.06</v>
      </c>
      <c r="O36" s="1498">
        <f t="shared" ref="O36" si="50">SUM(O34:O35)</f>
        <v>1.08</v>
      </c>
      <c r="P36" s="1504">
        <f t="shared" ref="P36" si="51">SUM(P34:P35)</f>
        <v>0</v>
      </c>
      <c r="Q36" s="1501">
        <f t="shared" ref="Q36" si="52">SUM(Q34:Q35)</f>
        <v>1.08</v>
      </c>
      <c r="R36" s="1498">
        <f t="shared" ref="R36" si="53">SUM(R34:R35)</f>
        <v>1.0900000000000001</v>
      </c>
      <c r="S36" s="1504">
        <f t="shared" ref="S36" si="54">SUM(S34:S35)</f>
        <v>0</v>
      </c>
      <c r="T36" s="1501">
        <f t="shared" ref="T36" si="55">SUM(T34:T35)</f>
        <v>1.0900000000000001</v>
      </c>
      <c r="U36" s="1498">
        <f t="shared" ref="U36" si="56">SUM(U34:U35)</f>
        <v>1.0900000000000001</v>
      </c>
      <c r="V36" s="1504">
        <f t="shared" ref="V36" si="57">SUM(V34:V35)</f>
        <v>0</v>
      </c>
      <c r="W36" s="1501">
        <f t="shared" ref="W36" si="58">SUM(W34:W35)</f>
        <v>1.0900000000000001</v>
      </c>
      <c r="X36" s="1514">
        <f t="shared" ref="X36:X54" si="59">(W36-E36)/E36</f>
        <v>0.18</v>
      </c>
      <c r="Y36" s="1498">
        <f t="shared" ref="Y36" si="60">SUM(Y34:Y35)</f>
        <v>1.1499999999999999</v>
      </c>
      <c r="Z36" s="1504">
        <f t="shared" ref="Z36" si="61">SUM(Z34:Z35)</f>
        <v>0</v>
      </c>
      <c r="AA36" s="1501">
        <f t="shared" ref="AA36" si="62">SUM(AA34:AA35)</f>
        <v>1.1499999999999999</v>
      </c>
      <c r="AC36" s="1823">
        <f t="shared" si="38"/>
        <v>0.17</v>
      </c>
    </row>
    <row r="37" spans="1:29" ht="26.25">
      <c r="A37" s="282" t="s">
        <v>63</v>
      </c>
      <c r="B37" s="1492" t="s">
        <v>15</v>
      </c>
      <c r="C37" s="1497">
        <f>'Table 6'!K8</f>
        <v>2.08</v>
      </c>
      <c r="D37" s="1507">
        <f>'Table 6'!L8</f>
        <v>0</v>
      </c>
      <c r="E37" s="1499">
        <f>'Table 6'!M8</f>
        <v>2.08</v>
      </c>
      <c r="F37" s="1497">
        <f>'Table 6'!N8</f>
        <v>2.4300000000000002</v>
      </c>
      <c r="G37" s="1507">
        <f>'Table 6'!O8</f>
        <v>0</v>
      </c>
      <c r="H37" s="1499">
        <f>'Table 6'!P8</f>
        <v>2.4300000000000002</v>
      </c>
      <c r="I37" s="1497">
        <f>'Table 6'!Q8</f>
        <v>2.56</v>
      </c>
      <c r="J37" s="1507">
        <f>'Table 6'!R8</f>
        <v>0</v>
      </c>
      <c r="K37" s="1499">
        <f>'Table 6'!S8</f>
        <v>2.56</v>
      </c>
      <c r="L37" s="1497">
        <f>'Table 6'!T8</f>
        <v>2.64</v>
      </c>
      <c r="M37" s="1507">
        <f>'Table 6'!U8</f>
        <v>0</v>
      </c>
      <c r="N37" s="1499">
        <f>'Table 6'!V8</f>
        <v>2.64</v>
      </c>
      <c r="O37" s="1497">
        <f>'Table 6'!W8</f>
        <v>2.73</v>
      </c>
      <c r="P37" s="1507">
        <f>'Table 6'!X8</f>
        <v>0</v>
      </c>
      <c r="Q37" s="1499">
        <f>'Table 6'!Y8</f>
        <v>2.73</v>
      </c>
      <c r="R37" s="1497">
        <f>'Table 6'!Z8</f>
        <v>2.81</v>
      </c>
      <c r="S37" s="1507">
        <f>'Table 6'!AA8</f>
        <v>0</v>
      </c>
      <c r="T37" s="1499">
        <f>'Table 6'!AB8</f>
        <v>2.81</v>
      </c>
      <c r="U37" s="1497">
        <f>'Table 6'!AC8</f>
        <v>2.9</v>
      </c>
      <c r="V37" s="1507">
        <f>'Table 6'!AD8</f>
        <v>0</v>
      </c>
      <c r="W37" s="1499">
        <f>'Table 6'!AE8</f>
        <v>2.9</v>
      </c>
      <c r="X37" s="1813">
        <f t="shared" si="59"/>
        <v>0.39</v>
      </c>
      <c r="Y37" s="1497">
        <f>'Table 6'!AG8</f>
        <v>3.07</v>
      </c>
      <c r="Z37" s="1507">
        <f>'Table 6'!AH8</f>
        <v>0</v>
      </c>
      <c r="AA37" s="1499">
        <f>'Table 6'!AI8</f>
        <v>3.07</v>
      </c>
      <c r="AC37" s="1653">
        <f t="shared" si="38"/>
        <v>0.82</v>
      </c>
    </row>
    <row r="38" spans="1:29" ht="27" thickBot="1">
      <c r="A38" s="175" t="s">
        <v>63</v>
      </c>
      <c r="B38" s="1489" t="s">
        <v>17</v>
      </c>
      <c r="C38" s="1922">
        <f>'Table 6'!K9</f>
        <v>0.05</v>
      </c>
      <c r="D38" s="1503">
        <f>'Table 6'!L9</f>
        <v>0</v>
      </c>
      <c r="E38" s="1500">
        <f>'Table 6'!M9</f>
        <v>0.05</v>
      </c>
      <c r="F38" s="1922">
        <f>'Table 6'!N9</f>
        <v>0.06</v>
      </c>
      <c r="G38" s="1503">
        <f>'Table 6'!O9</f>
        <v>0</v>
      </c>
      <c r="H38" s="1500">
        <f>'Table 6'!P9</f>
        <v>0.06</v>
      </c>
      <c r="I38" s="1922">
        <f>'Table 6'!Q9</f>
        <v>0.06</v>
      </c>
      <c r="J38" s="1503">
        <f>'Table 6'!R9</f>
        <v>0</v>
      </c>
      <c r="K38" s="1500">
        <f>'Table 6'!S9</f>
        <v>0.06</v>
      </c>
      <c r="L38" s="1922">
        <f>'Table 6'!T9</f>
        <v>0.06</v>
      </c>
      <c r="M38" s="1503">
        <f>'Table 6'!U9</f>
        <v>0</v>
      </c>
      <c r="N38" s="1500">
        <f>'Table 6'!V9</f>
        <v>0.06</v>
      </c>
      <c r="O38" s="1922">
        <f>'Table 6'!W9</f>
        <v>0.06</v>
      </c>
      <c r="P38" s="1503">
        <f>'Table 6'!X9</f>
        <v>0</v>
      </c>
      <c r="Q38" s="1500">
        <f>'Table 6'!Y9</f>
        <v>0.06</v>
      </c>
      <c r="R38" s="1922">
        <f>'Table 6'!Z9</f>
        <v>7.0000000000000007E-2</v>
      </c>
      <c r="S38" s="1503">
        <f>'Table 6'!AA9</f>
        <v>0</v>
      </c>
      <c r="T38" s="1500">
        <f>'Table 6'!AB9</f>
        <v>7.0000000000000007E-2</v>
      </c>
      <c r="U38" s="1922">
        <f>'Table 6'!AC9</f>
        <v>7.0000000000000007E-2</v>
      </c>
      <c r="V38" s="1503">
        <f>'Table 6'!AD9</f>
        <v>0</v>
      </c>
      <c r="W38" s="1500">
        <f>'Table 6'!AE9</f>
        <v>7.0000000000000007E-2</v>
      </c>
      <c r="X38" s="1819">
        <f t="shared" si="59"/>
        <v>0.4</v>
      </c>
      <c r="Y38" s="1922">
        <f>'Table 6'!AG9</f>
        <v>7.0000000000000007E-2</v>
      </c>
      <c r="Z38" s="1503">
        <f>'Table 6'!AH9</f>
        <v>0</v>
      </c>
      <c r="AA38" s="1500">
        <f>'Table 6'!AI9</f>
        <v>7.0000000000000007E-2</v>
      </c>
      <c r="AC38" s="846">
        <f t="shared" si="38"/>
        <v>0.02</v>
      </c>
    </row>
    <row r="39" spans="1:29" ht="27.75" thickTop="1" thickBot="1">
      <c r="A39" s="1491" t="s">
        <v>63</v>
      </c>
      <c r="B39" s="1505" t="s">
        <v>18</v>
      </c>
      <c r="C39" s="1498">
        <f>SUM(C37:C38)</f>
        <v>2.13</v>
      </c>
      <c r="D39" s="1504">
        <f t="shared" ref="D39" si="63">SUM(D37:D38)</f>
        <v>0</v>
      </c>
      <c r="E39" s="1501">
        <f t="shared" ref="E39" si="64">SUM(E37:E38)</f>
        <v>2.13</v>
      </c>
      <c r="F39" s="1498">
        <f t="shared" ref="F39" si="65">SUM(F37:F38)</f>
        <v>2.4900000000000002</v>
      </c>
      <c r="G39" s="1504">
        <f t="shared" ref="G39" si="66">SUM(G37:G38)</f>
        <v>0</v>
      </c>
      <c r="H39" s="1501">
        <f t="shared" ref="H39" si="67">SUM(H37:H38)</f>
        <v>2.4900000000000002</v>
      </c>
      <c r="I39" s="1498">
        <f t="shared" ref="I39" si="68">SUM(I37:I38)</f>
        <v>2.62</v>
      </c>
      <c r="J39" s="1504">
        <f t="shared" ref="J39" si="69">SUM(J37:J38)</f>
        <v>0</v>
      </c>
      <c r="K39" s="1501">
        <f t="shared" ref="K39" si="70">SUM(K37:K38)</f>
        <v>2.62</v>
      </c>
      <c r="L39" s="1498">
        <f t="shared" ref="L39" si="71">SUM(L37:L38)</f>
        <v>2.7</v>
      </c>
      <c r="M39" s="1504">
        <f t="shared" ref="M39" si="72">SUM(M37:M38)</f>
        <v>0</v>
      </c>
      <c r="N39" s="1501">
        <f t="shared" ref="N39" si="73">SUM(N37:N38)</f>
        <v>2.7</v>
      </c>
      <c r="O39" s="1498">
        <f t="shared" ref="O39" si="74">SUM(O37:O38)</f>
        <v>2.79</v>
      </c>
      <c r="P39" s="1504">
        <f t="shared" ref="P39" si="75">SUM(P37:P38)</f>
        <v>0</v>
      </c>
      <c r="Q39" s="1501">
        <f t="shared" ref="Q39" si="76">SUM(Q37:Q38)</f>
        <v>2.79</v>
      </c>
      <c r="R39" s="1498">
        <f t="shared" ref="R39" si="77">SUM(R37:R38)</f>
        <v>2.88</v>
      </c>
      <c r="S39" s="1504">
        <f t="shared" ref="S39" si="78">SUM(S37:S38)</f>
        <v>0</v>
      </c>
      <c r="T39" s="1501">
        <f t="shared" ref="T39" si="79">SUM(T37:T38)</f>
        <v>2.88</v>
      </c>
      <c r="U39" s="1498">
        <f t="shared" ref="U39" si="80">SUM(U37:U38)</f>
        <v>2.97</v>
      </c>
      <c r="V39" s="1504">
        <f t="shared" ref="V39" si="81">SUM(V37:V38)</f>
        <v>0</v>
      </c>
      <c r="W39" s="1501">
        <f t="shared" ref="W39" si="82">SUM(W37:W38)</f>
        <v>2.97</v>
      </c>
      <c r="X39" s="1514">
        <f t="shared" si="59"/>
        <v>0.39</v>
      </c>
      <c r="Y39" s="1498">
        <f t="shared" ref="Y39" si="83">SUM(Y37:Y38)</f>
        <v>3.14</v>
      </c>
      <c r="Z39" s="1504">
        <f t="shared" ref="Z39" si="84">SUM(Z37:Z38)</f>
        <v>0</v>
      </c>
      <c r="AA39" s="1501">
        <f t="shared" ref="AA39" si="85">SUM(AA37:AA38)</f>
        <v>3.14</v>
      </c>
      <c r="AC39" s="1823">
        <f t="shared" si="38"/>
        <v>0.84</v>
      </c>
    </row>
    <row r="40" spans="1:29">
      <c r="A40" s="993" t="s">
        <v>64</v>
      </c>
      <c r="B40" s="1492" t="s">
        <v>15</v>
      </c>
      <c r="C40" s="1497">
        <f>'Table 7'!C8</f>
        <v>0.36</v>
      </c>
      <c r="D40" s="1507">
        <f>'Table 7'!D8</f>
        <v>0.2</v>
      </c>
      <c r="E40" s="1499">
        <f>'Table 7'!E8</f>
        <v>0.56000000000000005</v>
      </c>
      <c r="F40" s="1497">
        <f>'Table 7'!F8</f>
        <v>0.28000000000000003</v>
      </c>
      <c r="G40" s="1507">
        <f>'Table 7'!G8</f>
        <v>0.15</v>
      </c>
      <c r="H40" s="1499">
        <f>'Table 7'!H8</f>
        <v>0.43</v>
      </c>
      <c r="I40" s="1497">
        <f>'Table 7'!I8</f>
        <v>0.28000000000000003</v>
      </c>
      <c r="J40" s="1507">
        <f>'Table 7'!J8</f>
        <v>0.16</v>
      </c>
      <c r="K40" s="1499">
        <f>'Table 7'!K8</f>
        <v>0.44</v>
      </c>
      <c r="L40" s="1497">
        <f>'Table 7'!L8</f>
        <v>0.28999999999999998</v>
      </c>
      <c r="M40" s="1507">
        <f>'Table 7'!M8</f>
        <v>0.16</v>
      </c>
      <c r="N40" s="1499">
        <f>'Table 7'!N8</f>
        <v>0.45</v>
      </c>
      <c r="O40" s="1497">
        <f>'Table 7'!O8</f>
        <v>0.28999999999999998</v>
      </c>
      <c r="P40" s="1507">
        <f>'Table 7'!P8</f>
        <v>0.16</v>
      </c>
      <c r="Q40" s="1499">
        <f>'Table 7'!Q8</f>
        <v>0.45</v>
      </c>
      <c r="R40" s="1497">
        <f>'Table 7'!R8</f>
        <v>0.3</v>
      </c>
      <c r="S40" s="1507">
        <f>'Table 7'!S8</f>
        <v>0.17</v>
      </c>
      <c r="T40" s="1499">
        <f>'Table 7'!T8</f>
        <v>0.47</v>
      </c>
      <c r="U40" s="1497">
        <f>'Table 7'!U8</f>
        <v>0.3</v>
      </c>
      <c r="V40" s="1507">
        <f>'Table 7'!V8</f>
        <v>0.17</v>
      </c>
      <c r="W40" s="1499">
        <f>'Table 7'!W8</f>
        <v>0.47</v>
      </c>
      <c r="X40" s="1821">
        <f t="shared" si="59"/>
        <v>-0.16</v>
      </c>
      <c r="Y40" s="1497">
        <f>'Table 7'!AG8</f>
        <v>0.35</v>
      </c>
      <c r="Z40" s="1507">
        <f>'Table 7'!AH8</f>
        <v>0.2</v>
      </c>
      <c r="AA40" s="1499">
        <f>'Table 7'!AI8</f>
        <v>0.55000000000000004</v>
      </c>
      <c r="AC40" s="1653">
        <f t="shared" si="38"/>
        <v>-0.09</v>
      </c>
    </row>
    <row r="41" spans="1:29" ht="15.75" thickBot="1">
      <c r="A41" s="175" t="s">
        <v>64</v>
      </c>
      <c r="B41" s="1489" t="s">
        <v>17</v>
      </c>
      <c r="C41" s="1922">
        <f>'Table 7'!C9</f>
        <v>0</v>
      </c>
      <c r="D41" s="1503">
        <f>'Table 7'!D9</f>
        <v>0</v>
      </c>
      <c r="E41" s="1500">
        <f>'Table 7'!E9</f>
        <v>0</v>
      </c>
      <c r="F41" s="1922">
        <f>'Table 7'!F9</f>
        <v>0</v>
      </c>
      <c r="G41" s="1503">
        <f>'Table 7'!G9</f>
        <v>0</v>
      </c>
      <c r="H41" s="1500">
        <f>'Table 7'!H9</f>
        <v>0</v>
      </c>
      <c r="I41" s="1922">
        <f>'Table 7'!I9</f>
        <v>0</v>
      </c>
      <c r="J41" s="1503">
        <f>'Table 7'!J9</f>
        <v>0</v>
      </c>
      <c r="K41" s="1500">
        <f>'Table 7'!K9</f>
        <v>0</v>
      </c>
      <c r="L41" s="1922">
        <f>'Table 7'!L9</f>
        <v>0</v>
      </c>
      <c r="M41" s="1503">
        <f>'Table 7'!M9</f>
        <v>0</v>
      </c>
      <c r="N41" s="1500">
        <f>'Table 7'!N9</f>
        <v>0</v>
      </c>
      <c r="O41" s="1922">
        <f>'Table 7'!O9</f>
        <v>0</v>
      </c>
      <c r="P41" s="1503">
        <f>'Table 7'!P9</f>
        <v>0</v>
      </c>
      <c r="Q41" s="1500">
        <f>'Table 7'!Q9</f>
        <v>0</v>
      </c>
      <c r="R41" s="1922">
        <f>'Table 7'!R9</f>
        <v>0</v>
      </c>
      <c r="S41" s="1503">
        <f>'Table 7'!S9</f>
        <v>0</v>
      </c>
      <c r="T41" s="1500">
        <f>'Table 7'!T9</f>
        <v>0</v>
      </c>
      <c r="U41" s="1922">
        <f>'Table 7'!U9</f>
        <v>0</v>
      </c>
      <c r="V41" s="1503">
        <f>'Table 7'!V9</f>
        <v>0</v>
      </c>
      <c r="W41" s="1500">
        <f>'Table 7'!W9</f>
        <v>0</v>
      </c>
      <c r="X41" s="1820" t="s">
        <v>16</v>
      </c>
      <c r="Y41" s="1922">
        <f>'Table 7'!AG9</f>
        <v>0</v>
      </c>
      <c r="Z41" s="1503">
        <f>'Table 7'!AH9</f>
        <v>0</v>
      </c>
      <c r="AA41" s="1500">
        <f>'Table 7'!AI9</f>
        <v>0</v>
      </c>
      <c r="AC41" s="846">
        <f t="shared" si="38"/>
        <v>0</v>
      </c>
    </row>
    <row r="42" spans="1:29" ht="16.5" thickTop="1" thickBot="1">
      <c r="A42" s="1490" t="s">
        <v>64</v>
      </c>
      <c r="B42" s="1505" t="s">
        <v>18</v>
      </c>
      <c r="C42" s="1498">
        <f>SUM(C40:C41)</f>
        <v>0.36</v>
      </c>
      <c r="D42" s="1504">
        <f t="shared" ref="D42" si="86">SUM(D40:D41)</f>
        <v>0.2</v>
      </c>
      <c r="E42" s="1501">
        <f t="shared" ref="E42" si="87">SUM(E40:E41)</f>
        <v>0.56000000000000005</v>
      </c>
      <c r="F42" s="1498">
        <f t="shared" ref="F42" si="88">SUM(F40:F41)</f>
        <v>0.28000000000000003</v>
      </c>
      <c r="G42" s="1504">
        <f t="shared" ref="G42" si="89">SUM(G40:G41)</f>
        <v>0.15</v>
      </c>
      <c r="H42" s="1501">
        <f t="shared" ref="H42" si="90">SUM(H40:H41)</f>
        <v>0.43</v>
      </c>
      <c r="I42" s="1498">
        <f t="shared" ref="I42" si="91">SUM(I40:I41)</f>
        <v>0.28000000000000003</v>
      </c>
      <c r="J42" s="1504">
        <f t="shared" ref="J42" si="92">SUM(J40:J41)</f>
        <v>0.16</v>
      </c>
      <c r="K42" s="1501">
        <f t="shared" ref="K42" si="93">SUM(K40:K41)</f>
        <v>0.44</v>
      </c>
      <c r="L42" s="1498">
        <f t="shared" ref="L42" si="94">SUM(L40:L41)</f>
        <v>0.28999999999999998</v>
      </c>
      <c r="M42" s="1504">
        <f t="shared" ref="M42" si="95">SUM(M40:M41)</f>
        <v>0.16</v>
      </c>
      <c r="N42" s="1501">
        <f t="shared" ref="N42" si="96">SUM(N40:N41)</f>
        <v>0.45</v>
      </c>
      <c r="O42" s="1498">
        <f t="shared" ref="O42" si="97">SUM(O40:O41)</f>
        <v>0.28999999999999998</v>
      </c>
      <c r="P42" s="1504">
        <f t="shared" ref="P42" si="98">SUM(P40:P41)</f>
        <v>0.16</v>
      </c>
      <c r="Q42" s="1501">
        <f t="shared" ref="Q42" si="99">SUM(Q40:Q41)</f>
        <v>0.45</v>
      </c>
      <c r="R42" s="1498">
        <f t="shared" ref="R42" si="100">SUM(R40:R41)</f>
        <v>0.3</v>
      </c>
      <c r="S42" s="1504">
        <f t="shared" ref="S42" si="101">SUM(S40:S41)</f>
        <v>0.17</v>
      </c>
      <c r="T42" s="1501">
        <f t="shared" ref="T42" si="102">SUM(T40:T41)</f>
        <v>0.47</v>
      </c>
      <c r="U42" s="1498">
        <f t="shared" ref="U42" si="103">SUM(U40:U41)</f>
        <v>0.3</v>
      </c>
      <c r="V42" s="1504">
        <f t="shared" ref="V42" si="104">SUM(V40:V41)</f>
        <v>0.17</v>
      </c>
      <c r="W42" s="1501">
        <f t="shared" ref="W42" si="105">SUM(W40:W41)</f>
        <v>0.47</v>
      </c>
      <c r="X42" s="1533">
        <f t="shared" si="59"/>
        <v>-0.16</v>
      </c>
      <c r="Y42" s="1498">
        <f t="shared" ref="Y42" si="106">SUM(Y40:Y41)</f>
        <v>0.35</v>
      </c>
      <c r="Z42" s="1504">
        <f t="shared" ref="Z42" si="107">SUM(Z40:Z41)</f>
        <v>0.2</v>
      </c>
      <c r="AA42" s="1501">
        <f t="shared" ref="AA42" si="108">SUM(AA40:AA41)</f>
        <v>0.55000000000000004</v>
      </c>
      <c r="AC42" s="1823">
        <f t="shared" si="38"/>
        <v>-0.09</v>
      </c>
    </row>
    <row r="43" spans="1:29">
      <c r="A43" s="282" t="s">
        <v>65</v>
      </c>
      <c r="B43" s="1492" t="s">
        <v>15</v>
      </c>
      <c r="C43" s="1497">
        <f>'Table 8'!C8</f>
        <v>0</v>
      </c>
      <c r="D43" s="1507">
        <f>'Table 8'!D8</f>
        <v>0</v>
      </c>
      <c r="E43" s="1499">
        <f>'Table 8'!E8</f>
        <v>0</v>
      </c>
      <c r="F43" s="1497">
        <f>'Table 8'!F8</f>
        <v>0</v>
      </c>
      <c r="G43" s="1507">
        <f>'Table 8'!G8</f>
        <v>0</v>
      </c>
      <c r="H43" s="1499">
        <f>'Table 8'!H8</f>
        <v>0</v>
      </c>
      <c r="I43" s="1497">
        <f>'Table 8'!I8</f>
        <v>0</v>
      </c>
      <c r="J43" s="1507">
        <f>'Table 8'!J8</f>
        <v>0</v>
      </c>
      <c r="K43" s="1499">
        <f>'Table 8'!K8</f>
        <v>0</v>
      </c>
      <c r="L43" s="1497">
        <f>'Table 8'!L8</f>
        <v>0</v>
      </c>
      <c r="M43" s="1507">
        <f>'Table 8'!M8</f>
        <v>0</v>
      </c>
      <c r="N43" s="1499">
        <f>'Table 8'!N8</f>
        <v>0</v>
      </c>
      <c r="O43" s="1497">
        <f>'Table 8'!O8</f>
        <v>0</v>
      </c>
      <c r="P43" s="1507">
        <f>'Table 8'!P8</f>
        <v>0</v>
      </c>
      <c r="Q43" s="1499">
        <f>'Table 8'!Q8</f>
        <v>0</v>
      </c>
      <c r="R43" s="1497">
        <f>'Table 8'!R8</f>
        <v>0</v>
      </c>
      <c r="S43" s="1507">
        <f>'Table 8'!S8</f>
        <v>0</v>
      </c>
      <c r="T43" s="1499">
        <f>'Table 8'!T8</f>
        <v>0</v>
      </c>
      <c r="U43" s="1497">
        <f>'Table 8'!U8</f>
        <v>0</v>
      </c>
      <c r="V43" s="1507">
        <f>'Table 8'!V8</f>
        <v>0</v>
      </c>
      <c r="W43" s="1499">
        <f>'Table 8'!W8</f>
        <v>0</v>
      </c>
      <c r="X43" s="1821" t="s">
        <v>16</v>
      </c>
      <c r="Y43" s="1497">
        <f>'Table 8'!Y8</f>
        <v>0</v>
      </c>
      <c r="Z43" s="1507">
        <f>'Table 8'!Z8</f>
        <v>0</v>
      </c>
      <c r="AA43" s="1499">
        <f>'Table 8'!AA8</f>
        <v>0</v>
      </c>
      <c r="AC43" s="1653">
        <f t="shared" si="38"/>
        <v>0</v>
      </c>
    </row>
    <row r="44" spans="1:29" ht="15.75" thickBot="1">
      <c r="A44" s="175" t="s">
        <v>65</v>
      </c>
      <c r="B44" s="1489" t="s">
        <v>17</v>
      </c>
      <c r="C44" s="1922">
        <f>'Table 8'!C9</f>
        <v>0</v>
      </c>
      <c r="D44" s="1503">
        <f>'Table 8'!D9</f>
        <v>0</v>
      </c>
      <c r="E44" s="1500">
        <f>'Table 8'!E9</f>
        <v>0</v>
      </c>
      <c r="F44" s="1922">
        <f>'Table 8'!F9</f>
        <v>0</v>
      </c>
      <c r="G44" s="1503">
        <f>'Table 8'!G9</f>
        <v>0</v>
      </c>
      <c r="H44" s="1500">
        <f>'Table 8'!H9</f>
        <v>0</v>
      </c>
      <c r="I44" s="1922">
        <f>'Table 8'!I9</f>
        <v>0</v>
      </c>
      <c r="J44" s="1503">
        <f>'Table 8'!J9</f>
        <v>0</v>
      </c>
      <c r="K44" s="1500">
        <f>'Table 8'!K9</f>
        <v>0</v>
      </c>
      <c r="L44" s="1922">
        <f>'Table 8'!L9</f>
        <v>0</v>
      </c>
      <c r="M44" s="1503">
        <f>'Table 8'!M9</f>
        <v>0</v>
      </c>
      <c r="N44" s="1500">
        <f>'Table 8'!N9</f>
        <v>0</v>
      </c>
      <c r="O44" s="1922">
        <f>'Table 8'!O9</f>
        <v>0</v>
      </c>
      <c r="P44" s="1503">
        <f>'Table 8'!P9</f>
        <v>0</v>
      </c>
      <c r="Q44" s="1500">
        <f>'Table 8'!Q9</f>
        <v>0</v>
      </c>
      <c r="R44" s="1922">
        <f>'Table 8'!R9</f>
        <v>0</v>
      </c>
      <c r="S44" s="1503">
        <f>'Table 8'!S9</f>
        <v>0</v>
      </c>
      <c r="T44" s="1500">
        <f>'Table 8'!T9</f>
        <v>0</v>
      </c>
      <c r="U44" s="1922">
        <f>'Table 8'!U9</f>
        <v>0</v>
      </c>
      <c r="V44" s="1503">
        <f>'Table 8'!V9</f>
        <v>0</v>
      </c>
      <c r="W44" s="1500">
        <f>'Table 8'!W9</f>
        <v>0</v>
      </c>
      <c r="X44" s="1820" t="s">
        <v>16</v>
      </c>
      <c r="Y44" s="1922">
        <f>'Table 8'!Y9</f>
        <v>0</v>
      </c>
      <c r="Z44" s="1503">
        <f>'Table 8'!Z9</f>
        <v>0</v>
      </c>
      <c r="AA44" s="1500">
        <f>'Table 8'!AA9</f>
        <v>0</v>
      </c>
      <c r="AC44" s="846">
        <f t="shared" si="38"/>
        <v>0</v>
      </c>
    </row>
    <row r="45" spans="1:29" ht="16.5" thickTop="1" thickBot="1">
      <c r="A45" s="1491" t="s">
        <v>65</v>
      </c>
      <c r="B45" s="1505" t="s">
        <v>18</v>
      </c>
      <c r="C45" s="1498">
        <f>SUM(C43:C44)</f>
        <v>0</v>
      </c>
      <c r="D45" s="1504">
        <f t="shared" ref="D45" si="109">SUM(D43:D44)</f>
        <v>0</v>
      </c>
      <c r="E45" s="1501">
        <f t="shared" ref="E45" si="110">SUM(E43:E44)</f>
        <v>0</v>
      </c>
      <c r="F45" s="1498">
        <f t="shared" ref="F45" si="111">SUM(F43:F44)</f>
        <v>0</v>
      </c>
      <c r="G45" s="1504">
        <f t="shared" ref="G45" si="112">SUM(G43:G44)</f>
        <v>0</v>
      </c>
      <c r="H45" s="1501">
        <f t="shared" ref="H45" si="113">SUM(H43:H44)</f>
        <v>0</v>
      </c>
      <c r="I45" s="1498">
        <f t="shared" ref="I45" si="114">SUM(I43:I44)</f>
        <v>0</v>
      </c>
      <c r="J45" s="1504">
        <f t="shared" ref="J45" si="115">SUM(J43:J44)</f>
        <v>0</v>
      </c>
      <c r="K45" s="1501">
        <f t="shared" ref="K45" si="116">SUM(K43:K44)</f>
        <v>0</v>
      </c>
      <c r="L45" s="1498">
        <f t="shared" ref="L45" si="117">SUM(L43:L44)</f>
        <v>0</v>
      </c>
      <c r="M45" s="1504">
        <f t="shared" ref="M45" si="118">SUM(M43:M44)</f>
        <v>0</v>
      </c>
      <c r="N45" s="1501">
        <f t="shared" ref="N45" si="119">SUM(N43:N44)</f>
        <v>0</v>
      </c>
      <c r="O45" s="1498">
        <f t="shared" ref="O45" si="120">SUM(O43:O44)</f>
        <v>0</v>
      </c>
      <c r="P45" s="1504">
        <f t="shared" ref="P45" si="121">SUM(P43:P44)</f>
        <v>0</v>
      </c>
      <c r="Q45" s="1501">
        <f t="shared" ref="Q45" si="122">SUM(Q43:Q44)</f>
        <v>0</v>
      </c>
      <c r="R45" s="1498">
        <f t="shared" ref="R45" si="123">SUM(R43:R44)</f>
        <v>0</v>
      </c>
      <c r="S45" s="1504">
        <f t="shared" ref="S45" si="124">SUM(S43:S44)</f>
        <v>0</v>
      </c>
      <c r="T45" s="1501">
        <f t="shared" ref="T45" si="125">SUM(T43:T44)</f>
        <v>0</v>
      </c>
      <c r="U45" s="1498">
        <f t="shared" ref="U45" si="126">SUM(U43:U44)</f>
        <v>0</v>
      </c>
      <c r="V45" s="1504">
        <f t="shared" ref="V45" si="127">SUM(V43:V44)</f>
        <v>0</v>
      </c>
      <c r="W45" s="1501">
        <f t="shared" ref="W45" si="128">SUM(W43:W44)</f>
        <v>0</v>
      </c>
      <c r="X45" s="1533" t="s">
        <v>16</v>
      </c>
      <c r="Y45" s="1498">
        <f t="shared" ref="Y45" si="129">SUM(Y43:Y44)</f>
        <v>0</v>
      </c>
      <c r="Z45" s="1504">
        <f t="shared" ref="Z45" si="130">SUM(Z43:Z44)</f>
        <v>0</v>
      </c>
      <c r="AA45" s="1501">
        <f t="shared" ref="AA45" si="131">SUM(AA43:AA44)</f>
        <v>0</v>
      </c>
      <c r="AC45" s="1823">
        <f t="shared" si="38"/>
        <v>0</v>
      </c>
    </row>
    <row r="46" spans="1:29" ht="15" customHeight="1">
      <c r="A46" s="282" t="s">
        <v>66</v>
      </c>
      <c r="B46" s="1492" t="s">
        <v>15</v>
      </c>
      <c r="C46" s="1497">
        <f>'Table 9'!C8</f>
        <v>0.15</v>
      </c>
      <c r="D46" s="1507">
        <f>'Table 9'!D8</f>
        <v>0.27</v>
      </c>
      <c r="E46" s="1499">
        <f>'Table 9'!E8</f>
        <v>0.42</v>
      </c>
      <c r="F46" s="1497">
        <f>'Table 9'!F8</f>
        <v>0.15</v>
      </c>
      <c r="G46" s="1507">
        <f>'Table 9'!G8</f>
        <v>0.28000000000000003</v>
      </c>
      <c r="H46" s="1499">
        <f>'Table 9'!H8</f>
        <v>0.43</v>
      </c>
      <c r="I46" s="1497">
        <f>'Table 9'!I8</f>
        <v>0.16</v>
      </c>
      <c r="J46" s="1507">
        <f>'Table 9'!J8</f>
        <v>0.28999999999999998</v>
      </c>
      <c r="K46" s="1499">
        <f>'Table 9'!K8</f>
        <v>0.45</v>
      </c>
      <c r="L46" s="1497">
        <f>'Table 9'!L8</f>
        <v>0.17</v>
      </c>
      <c r="M46" s="1507">
        <f>'Table 9'!M8</f>
        <v>0.3</v>
      </c>
      <c r="N46" s="1499">
        <f>'Table 9'!N8</f>
        <v>0.47</v>
      </c>
      <c r="O46" s="1497">
        <f>'Table 9'!O8</f>
        <v>0.17</v>
      </c>
      <c r="P46" s="1507">
        <f>'Table 9'!P8</f>
        <v>0.31</v>
      </c>
      <c r="Q46" s="1499">
        <f>'Table 9'!Q8</f>
        <v>0.48</v>
      </c>
      <c r="R46" s="1497">
        <f>'Table 9'!R8</f>
        <v>0.17</v>
      </c>
      <c r="S46" s="1507">
        <f>'Table 9'!S8</f>
        <v>0.32</v>
      </c>
      <c r="T46" s="1499">
        <f>'Table 9'!T8</f>
        <v>0.49</v>
      </c>
      <c r="U46" s="1497">
        <f>'Table 9'!U8</f>
        <v>0.18</v>
      </c>
      <c r="V46" s="1507">
        <f>'Table 9'!V8</f>
        <v>0.32</v>
      </c>
      <c r="W46" s="1499">
        <f>'Table 9'!W8</f>
        <v>0.5</v>
      </c>
      <c r="X46" s="1821">
        <f t="shared" si="59"/>
        <v>0.19</v>
      </c>
      <c r="Y46" s="1497">
        <f>U46</f>
        <v>0.18</v>
      </c>
      <c r="Z46" s="1507">
        <f t="shared" ref="Z46:Z47" si="132">V46</f>
        <v>0.32</v>
      </c>
      <c r="AA46" s="1499">
        <f t="shared" ref="AA46:AA47" si="133">W46</f>
        <v>0.5</v>
      </c>
      <c r="AC46" s="1653">
        <f t="shared" si="38"/>
        <v>0.08</v>
      </c>
    </row>
    <row r="47" spans="1:29" ht="15" customHeight="1" thickBot="1">
      <c r="A47" s="1488" t="s">
        <v>66</v>
      </c>
      <c r="B47" s="1489" t="s">
        <v>17</v>
      </c>
      <c r="C47" s="1922">
        <f>'Table 9'!C9</f>
        <v>0.21</v>
      </c>
      <c r="D47" s="1503">
        <f>'Table 9'!D9</f>
        <v>0</v>
      </c>
      <c r="E47" s="1500">
        <f>'Table 9'!E9</f>
        <v>0.21</v>
      </c>
      <c r="F47" s="1922">
        <f>'Table 9'!F9</f>
        <v>0.22</v>
      </c>
      <c r="G47" s="1503">
        <f>'Table 9'!G9</f>
        <v>0</v>
      </c>
      <c r="H47" s="1500">
        <f>'Table 9'!H9</f>
        <v>0.22</v>
      </c>
      <c r="I47" s="1922">
        <f>'Table 9'!I9</f>
        <v>0.23</v>
      </c>
      <c r="J47" s="1503">
        <f>'Table 9'!J9</f>
        <v>0</v>
      </c>
      <c r="K47" s="1500">
        <f>'Table 9'!K9</f>
        <v>0.23</v>
      </c>
      <c r="L47" s="1922">
        <f>'Table 9'!L9</f>
        <v>0.24</v>
      </c>
      <c r="M47" s="1503">
        <f>'Table 9'!M9</f>
        <v>0</v>
      </c>
      <c r="N47" s="1500">
        <f>'Table 9'!N9</f>
        <v>0.24</v>
      </c>
      <c r="O47" s="1922">
        <f>'Table 9'!O9</f>
        <v>0.25</v>
      </c>
      <c r="P47" s="1503">
        <f>'Table 9'!P9</f>
        <v>0</v>
      </c>
      <c r="Q47" s="1500">
        <f>'Table 9'!Q9</f>
        <v>0.25</v>
      </c>
      <c r="R47" s="1922">
        <f>'Table 9'!R9</f>
        <v>0.26</v>
      </c>
      <c r="S47" s="1503">
        <f>'Table 9'!S9</f>
        <v>0</v>
      </c>
      <c r="T47" s="1500">
        <f>'Table 9'!T9</f>
        <v>0.26</v>
      </c>
      <c r="U47" s="1922">
        <f>'Table 9'!U9</f>
        <v>0.27</v>
      </c>
      <c r="V47" s="1503">
        <f>'Table 9'!V9</f>
        <v>0</v>
      </c>
      <c r="W47" s="1500">
        <f>'Table 9'!W9</f>
        <v>0.27</v>
      </c>
      <c r="X47" s="1820">
        <f t="shared" si="59"/>
        <v>0.28999999999999998</v>
      </c>
      <c r="Y47" s="1922">
        <f>U47</f>
        <v>0.27</v>
      </c>
      <c r="Z47" s="1503">
        <f t="shared" si="132"/>
        <v>0</v>
      </c>
      <c r="AA47" s="1500">
        <f t="shared" si="133"/>
        <v>0.27</v>
      </c>
      <c r="AC47" s="846">
        <f t="shared" si="38"/>
        <v>0.06</v>
      </c>
    </row>
    <row r="48" spans="1:29" ht="27.75" thickTop="1" thickBot="1">
      <c r="A48" s="1490" t="s">
        <v>66</v>
      </c>
      <c r="B48" s="1505" t="s">
        <v>18</v>
      </c>
      <c r="C48" s="1498">
        <f>SUM(C46:C47)</f>
        <v>0.36</v>
      </c>
      <c r="D48" s="1504">
        <f t="shared" ref="D48" si="134">SUM(D46:D47)</f>
        <v>0.27</v>
      </c>
      <c r="E48" s="1501">
        <f t="shared" ref="E48" si="135">SUM(E46:E47)</f>
        <v>0.63</v>
      </c>
      <c r="F48" s="1498">
        <f t="shared" ref="F48" si="136">SUM(F46:F47)</f>
        <v>0.37</v>
      </c>
      <c r="G48" s="1504">
        <f t="shared" ref="G48" si="137">SUM(G46:G47)</f>
        <v>0.28000000000000003</v>
      </c>
      <c r="H48" s="1501">
        <f t="shared" ref="H48" si="138">SUM(H46:H47)</f>
        <v>0.65</v>
      </c>
      <c r="I48" s="1498">
        <f t="shared" ref="I48" si="139">SUM(I46:I47)</f>
        <v>0.39</v>
      </c>
      <c r="J48" s="1504">
        <f t="shared" ref="J48" si="140">SUM(J46:J47)</f>
        <v>0.28999999999999998</v>
      </c>
      <c r="K48" s="1501">
        <f t="shared" ref="K48" si="141">SUM(K46:K47)</f>
        <v>0.68</v>
      </c>
      <c r="L48" s="1498">
        <f t="shared" ref="L48" si="142">SUM(L46:L47)</f>
        <v>0.41</v>
      </c>
      <c r="M48" s="1504">
        <f t="shared" ref="M48" si="143">SUM(M46:M47)</f>
        <v>0.3</v>
      </c>
      <c r="N48" s="1501">
        <f t="shared" ref="N48" si="144">SUM(N46:N47)</f>
        <v>0.71</v>
      </c>
      <c r="O48" s="1498">
        <f t="shared" ref="O48" si="145">SUM(O46:O47)</f>
        <v>0.42</v>
      </c>
      <c r="P48" s="1504">
        <f t="shared" ref="P48" si="146">SUM(P46:P47)</f>
        <v>0.31</v>
      </c>
      <c r="Q48" s="1501">
        <f t="shared" ref="Q48" si="147">SUM(Q46:Q47)</f>
        <v>0.73</v>
      </c>
      <c r="R48" s="1498">
        <f t="shared" ref="R48" si="148">SUM(R46:R47)</f>
        <v>0.43</v>
      </c>
      <c r="S48" s="1504">
        <f t="shared" ref="S48" si="149">SUM(S46:S47)</f>
        <v>0.32</v>
      </c>
      <c r="T48" s="1501">
        <f t="shared" ref="T48" si="150">SUM(T46:T47)</f>
        <v>0.75</v>
      </c>
      <c r="U48" s="1498">
        <f t="shared" ref="U48" si="151">SUM(U46:U47)</f>
        <v>0.45</v>
      </c>
      <c r="V48" s="1504">
        <f t="shared" ref="V48" si="152">SUM(V46:V47)</f>
        <v>0.32</v>
      </c>
      <c r="W48" s="1501">
        <f t="shared" ref="W48" si="153">SUM(W46:W47)</f>
        <v>0.77</v>
      </c>
      <c r="X48" s="1533">
        <f t="shared" si="59"/>
        <v>0.22</v>
      </c>
      <c r="Y48" s="1498">
        <f t="shared" ref="Y48" si="154">SUM(Y46:Y47)</f>
        <v>0.45</v>
      </c>
      <c r="Z48" s="1504">
        <f t="shared" ref="Z48" si="155">SUM(Z46:Z47)</f>
        <v>0.32</v>
      </c>
      <c r="AA48" s="1501">
        <f t="shared" ref="AA48" si="156">SUM(AA46:AA47)</f>
        <v>0.77</v>
      </c>
      <c r="AC48" s="1823">
        <f t="shared" si="38"/>
        <v>0.14000000000000001</v>
      </c>
    </row>
    <row r="49" spans="1:29">
      <c r="A49" s="1493" t="s">
        <v>67</v>
      </c>
      <c r="B49" s="1492" t="s">
        <v>15</v>
      </c>
      <c r="C49" s="1497">
        <f>'Table 10'!C8</f>
        <v>0</v>
      </c>
      <c r="D49" s="1507">
        <f>'Table 10'!D8</f>
        <v>0</v>
      </c>
      <c r="E49" s="1499">
        <f>'Table 10'!E8</f>
        <v>0</v>
      </c>
      <c r="F49" s="1497">
        <f>'Table 10'!F8</f>
        <v>0</v>
      </c>
      <c r="G49" s="1507">
        <f>'Table 10'!G8</f>
        <v>0</v>
      </c>
      <c r="H49" s="1499">
        <f>'Table 10'!H8</f>
        <v>0</v>
      </c>
      <c r="I49" s="1497">
        <f>'Table 10'!I8</f>
        <v>0</v>
      </c>
      <c r="J49" s="1507">
        <f>'Table 10'!J8</f>
        <v>0</v>
      </c>
      <c r="K49" s="1499">
        <f>'Table 10'!K8</f>
        <v>0</v>
      </c>
      <c r="L49" s="1497">
        <f>'Table 10'!L8</f>
        <v>0</v>
      </c>
      <c r="M49" s="1507">
        <f>'Table 10'!M8</f>
        <v>0</v>
      </c>
      <c r="N49" s="1499">
        <f>'Table 10'!N8</f>
        <v>0</v>
      </c>
      <c r="O49" s="1497">
        <f>'Table 10'!O8</f>
        <v>0</v>
      </c>
      <c r="P49" s="1507">
        <f>'Table 10'!P8</f>
        <v>0</v>
      </c>
      <c r="Q49" s="1499">
        <f>'Table 10'!Q8</f>
        <v>0</v>
      </c>
      <c r="R49" s="1497">
        <f>'Table 10'!R8</f>
        <v>0</v>
      </c>
      <c r="S49" s="1507">
        <f>'Table 10'!S8</f>
        <v>0</v>
      </c>
      <c r="T49" s="1499">
        <f>'Table 10'!T8</f>
        <v>0</v>
      </c>
      <c r="U49" s="1497">
        <f>'Table 10'!U8</f>
        <v>0</v>
      </c>
      <c r="V49" s="1507">
        <f>'Table 10'!V8</f>
        <v>0</v>
      </c>
      <c r="W49" s="1499">
        <f>'Table 10'!W8</f>
        <v>0</v>
      </c>
      <c r="X49" s="1821" t="s">
        <v>16</v>
      </c>
      <c r="Y49" s="1497">
        <f>U49</f>
        <v>0</v>
      </c>
      <c r="Z49" s="1507">
        <f t="shared" ref="Z49:Z50" si="157">V49</f>
        <v>0</v>
      </c>
      <c r="AA49" s="1499">
        <f t="shared" ref="AA49:AA50" si="158">W49</f>
        <v>0</v>
      </c>
      <c r="AC49" s="1653">
        <f t="shared" si="38"/>
        <v>0</v>
      </c>
    </row>
    <row r="50" spans="1:29" ht="15.75" thickBot="1">
      <c r="A50" s="175" t="s">
        <v>67</v>
      </c>
      <c r="B50" s="1489" t="s">
        <v>17</v>
      </c>
      <c r="C50" s="1922">
        <f>'Table 10'!C9</f>
        <v>0</v>
      </c>
      <c r="D50" s="1503">
        <f>'Table 10'!D9</f>
        <v>0</v>
      </c>
      <c r="E50" s="1500">
        <f>'Table 10'!E9</f>
        <v>0</v>
      </c>
      <c r="F50" s="1922">
        <f>'Table 10'!F9</f>
        <v>0</v>
      </c>
      <c r="G50" s="1503">
        <f>'Table 10'!G9</f>
        <v>0</v>
      </c>
      <c r="H50" s="1500">
        <f>'Table 10'!H9</f>
        <v>0</v>
      </c>
      <c r="I50" s="1922">
        <f>'Table 10'!I9</f>
        <v>0</v>
      </c>
      <c r="J50" s="1503">
        <f>'Table 10'!J9</f>
        <v>0</v>
      </c>
      <c r="K50" s="1500">
        <f>'Table 10'!K9</f>
        <v>0</v>
      </c>
      <c r="L50" s="1922">
        <f>'Table 10'!L9</f>
        <v>0</v>
      </c>
      <c r="M50" s="1503">
        <f>'Table 10'!M9</f>
        <v>0</v>
      </c>
      <c r="N50" s="1500">
        <f>'Table 10'!N9</f>
        <v>0</v>
      </c>
      <c r="O50" s="1922">
        <f>'Table 10'!O9</f>
        <v>0</v>
      </c>
      <c r="P50" s="1503">
        <f>'Table 10'!P9</f>
        <v>0</v>
      </c>
      <c r="Q50" s="1500">
        <f>'Table 10'!Q9</f>
        <v>0</v>
      </c>
      <c r="R50" s="1922">
        <f>'Table 10'!R9</f>
        <v>0</v>
      </c>
      <c r="S50" s="1503">
        <f>'Table 10'!S9</f>
        <v>0</v>
      </c>
      <c r="T50" s="1500">
        <f>'Table 10'!T9</f>
        <v>0</v>
      </c>
      <c r="U50" s="1922">
        <f>'Table 10'!U9</f>
        <v>0</v>
      </c>
      <c r="V50" s="1503">
        <f>'Table 10'!V9</f>
        <v>0</v>
      </c>
      <c r="W50" s="1500">
        <f>'Table 10'!W9</f>
        <v>0</v>
      </c>
      <c r="X50" s="1820" t="s">
        <v>16</v>
      </c>
      <c r="Y50" s="1922">
        <f>U50</f>
        <v>0</v>
      </c>
      <c r="Z50" s="1503">
        <f t="shared" si="157"/>
        <v>0</v>
      </c>
      <c r="AA50" s="1500">
        <f t="shared" si="158"/>
        <v>0</v>
      </c>
      <c r="AC50" s="846">
        <f t="shared" si="38"/>
        <v>0</v>
      </c>
    </row>
    <row r="51" spans="1:29" ht="16.5" thickTop="1" thickBot="1">
      <c r="A51" s="1491" t="s">
        <v>67</v>
      </c>
      <c r="B51" s="1505" t="s">
        <v>18</v>
      </c>
      <c r="C51" s="1498">
        <f>SUM(C49:C50)</f>
        <v>0</v>
      </c>
      <c r="D51" s="1504">
        <f t="shared" ref="D51" si="159">SUM(D49:D50)</f>
        <v>0</v>
      </c>
      <c r="E51" s="1501">
        <f t="shared" ref="E51" si="160">SUM(E49:E50)</f>
        <v>0</v>
      </c>
      <c r="F51" s="1498">
        <f t="shared" ref="F51" si="161">SUM(F49:F50)</f>
        <v>0</v>
      </c>
      <c r="G51" s="1504">
        <f t="shared" ref="G51" si="162">SUM(G49:G50)</f>
        <v>0</v>
      </c>
      <c r="H51" s="1501">
        <f t="shared" ref="H51" si="163">SUM(H49:H50)</f>
        <v>0</v>
      </c>
      <c r="I51" s="1498">
        <f t="shared" ref="I51" si="164">SUM(I49:I50)</f>
        <v>0</v>
      </c>
      <c r="J51" s="1504">
        <f t="shared" ref="J51" si="165">SUM(J49:J50)</f>
        <v>0</v>
      </c>
      <c r="K51" s="1501">
        <f t="shared" ref="K51" si="166">SUM(K49:K50)</f>
        <v>0</v>
      </c>
      <c r="L51" s="1498">
        <f t="shared" ref="L51" si="167">SUM(L49:L50)</f>
        <v>0</v>
      </c>
      <c r="M51" s="1504">
        <f t="shared" ref="M51" si="168">SUM(M49:M50)</f>
        <v>0</v>
      </c>
      <c r="N51" s="1501">
        <f t="shared" ref="N51" si="169">SUM(N49:N50)</f>
        <v>0</v>
      </c>
      <c r="O51" s="1498">
        <f t="shared" ref="O51" si="170">SUM(O49:O50)</f>
        <v>0</v>
      </c>
      <c r="P51" s="1504">
        <f t="shared" ref="P51" si="171">SUM(P49:P50)</f>
        <v>0</v>
      </c>
      <c r="Q51" s="1501">
        <f t="shared" ref="Q51" si="172">SUM(Q49:Q50)</f>
        <v>0</v>
      </c>
      <c r="R51" s="1498">
        <f t="shared" ref="R51" si="173">SUM(R49:R50)</f>
        <v>0</v>
      </c>
      <c r="S51" s="1504">
        <f t="shared" ref="S51" si="174">SUM(S49:S50)</f>
        <v>0</v>
      </c>
      <c r="T51" s="1501">
        <f t="shared" ref="T51" si="175">SUM(T49:T50)</f>
        <v>0</v>
      </c>
      <c r="U51" s="1498">
        <f t="shared" ref="U51" si="176">SUM(U49:U50)</f>
        <v>0</v>
      </c>
      <c r="V51" s="1504">
        <f t="shared" ref="V51" si="177">SUM(V49:V50)</f>
        <v>0</v>
      </c>
      <c r="W51" s="1501">
        <f t="shared" ref="W51" si="178">SUM(W49:W50)</f>
        <v>0</v>
      </c>
      <c r="X51" s="1533" t="s">
        <v>16</v>
      </c>
      <c r="Y51" s="1498">
        <f t="shared" ref="Y51" si="179">SUM(Y49:Y50)</f>
        <v>0</v>
      </c>
      <c r="Z51" s="1504">
        <f t="shared" ref="Z51" si="180">SUM(Z49:Z50)</f>
        <v>0</v>
      </c>
      <c r="AA51" s="1501">
        <f t="shared" ref="AA51" si="181">SUM(AA49:AA50)</f>
        <v>0</v>
      </c>
      <c r="AC51" s="1823">
        <f t="shared" si="38"/>
        <v>0</v>
      </c>
    </row>
    <row r="52" spans="1:29" ht="15.75" thickBot="1">
      <c r="A52" s="1494" t="s">
        <v>693</v>
      </c>
      <c r="B52" s="1506" t="s">
        <v>15</v>
      </c>
      <c r="C52" s="1508">
        <f>C34+C37+C40+C43+C46+C49</f>
        <v>3.51</v>
      </c>
      <c r="D52" s="1536">
        <f t="shared" ref="D52:W53" si="182">D34+D37+D40+D43+D46+D49</f>
        <v>0.47</v>
      </c>
      <c r="E52" s="1534">
        <f t="shared" si="182"/>
        <v>3.98</v>
      </c>
      <c r="F52" s="1508">
        <f t="shared" si="182"/>
        <v>3.81</v>
      </c>
      <c r="G52" s="1536">
        <f t="shared" si="182"/>
        <v>0.43</v>
      </c>
      <c r="H52" s="1534">
        <f t="shared" si="182"/>
        <v>4.24</v>
      </c>
      <c r="I52" s="1508">
        <f t="shared" si="182"/>
        <v>3.99</v>
      </c>
      <c r="J52" s="1536">
        <f t="shared" si="182"/>
        <v>0.45</v>
      </c>
      <c r="K52" s="1534">
        <f t="shared" si="182"/>
        <v>4.4400000000000004</v>
      </c>
      <c r="L52" s="1508">
        <f t="shared" si="182"/>
        <v>4.16</v>
      </c>
      <c r="M52" s="1536">
        <f t="shared" si="182"/>
        <v>0.46</v>
      </c>
      <c r="N52" s="1534">
        <f t="shared" si="182"/>
        <v>4.62</v>
      </c>
      <c r="O52" s="1508">
        <f t="shared" si="182"/>
        <v>4.2699999999999996</v>
      </c>
      <c r="P52" s="1536">
        <f t="shared" si="182"/>
        <v>0.47</v>
      </c>
      <c r="Q52" s="1534">
        <f t="shared" si="182"/>
        <v>4.74</v>
      </c>
      <c r="R52" s="1508">
        <f t="shared" si="182"/>
        <v>4.37</v>
      </c>
      <c r="S52" s="1536">
        <f t="shared" si="182"/>
        <v>0.49</v>
      </c>
      <c r="T52" s="1534">
        <f t="shared" si="182"/>
        <v>4.8600000000000003</v>
      </c>
      <c r="U52" s="1508">
        <f t="shared" si="182"/>
        <v>4.47</v>
      </c>
      <c r="V52" s="1536">
        <f t="shared" si="182"/>
        <v>0.49</v>
      </c>
      <c r="W52" s="1534">
        <f t="shared" si="182"/>
        <v>4.96</v>
      </c>
      <c r="X52" s="1515">
        <f t="shared" si="59"/>
        <v>0.25</v>
      </c>
      <c r="Y52" s="1508">
        <f t="shared" ref="Y52:AA52" si="183">Y34+Y37+Y40+Y43+Y46+Y49</f>
        <v>4.75</v>
      </c>
      <c r="Z52" s="1536">
        <f t="shared" si="183"/>
        <v>0.52</v>
      </c>
      <c r="AA52" s="1509">
        <f t="shared" si="183"/>
        <v>5.27</v>
      </c>
      <c r="AC52" s="1824">
        <f t="shared" si="38"/>
        <v>0.98</v>
      </c>
    </row>
    <row r="53" spans="1:29" ht="15.75" thickBot="1">
      <c r="A53" s="1495" t="s">
        <v>693</v>
      </c>
      <c r="B53" s="1489" t="s">
        <v>17</v>
      </c>
      <c r="C53" s="1510">
        <f>C35+C38+C41+C44+C47+C50</f>
        <v>0.26</v>
      </c>
      <c r="D53" s="1537">
        <f t="shared" ref="D53:L53" si="184">D35+D38+D41+D44+D47+D50</f>
        <v>0</v>
      </c>
      <c r="E53" s="1535">
        <f t="shared" si="184"/>
        <v>0.26</v>
      </c>
      <c r="F53" s="1510">
        <f t="shared" si="184"/>
        <v>0.28000000000000003</v>
      </c>
      <c r="G53" s="1537">
        <f t="shared" si="184"/>
        <v>0</v>
      </c>
      <c r="H53" s="1535">
        <f t="shared" si="184"/>
        <v>0.28000000000000003</v>
      </c>
      <c r="I53" s="1510">
        <f t="shared" si="184"/>
        <v>0.28999999999999998</v>
      </c>
      <c r="J53" s="1537">
        <f t="shared" si="184"/>
        <v>0</v>
      </c>
      <c r="K53" s="1535">
        <f t="shared" si="184"/>
        <v>0.28999999999999998</v>
      </c>
      <c r="L53" s="1510">
        <f t="shared" si="184"/>
        <v>0.3</v>
      </c>
      <c r="M53" s="1537">
        <f t="shared" si="182"/>
        <v>0</v>
      </c>
      <c r="N53" s="1535">
        <f t="shared" si="182"/>
        <v>0.3</v>
      </c>
      <c r="O53" s="1510">
        <f t="shared" si="182"/>
        <v>0.31</v>
      </c>
      <c r="P53" s="1537">
        <f t="shared" si="182"/>
        <v>0</v>
      </c>
      <c r="Q53" s="1535">
        <f t="shared" si="182"/>
        <v>0.31</v>
      </c>
      <c r="R53" s="1510">
        <f t="shared" si="182"/>
        <v>0.33</v>
      </c>
      <c r="S53" s="1537">
        <f t="shared" si="182"/>
        <v>0</v>
      </c>
      <c r="T53" s="1535">
        <f t="shared" si="182"/>
        <v>0.33</v>
      </c>
      <c r="U53" s="1510">
        <f t="shared" si="182"/>
        <v>0.34</v>
      </c>
      <c r="V53" s="1537">
        <f t="shared" si="182"/>
        <v>0</v>
      </c>
      <c r="W53" s="1535">
        <f t="shared" si="182"/>
        <v>0.34</v>
      </c>
      <c r="X53" s="1516">
        <f t="shared" si="59"/>
        <v>0.31</v>
      </c>
      <c r="Y53" s="1510">
        <f t="shared" ref="Y53:AA53" si="185">Y35+Y38+Y41+Y44+Y47+Y50</f>
        <v>0.34</v>
      </c>
      <c r="Z53" s="1537">
        <f t="shared" si="185"/>
        <v>0</v>
      </c>
      <c r="AA53" s="1511">
        <f t="shared" si="185"/>
        <v>0.34</v>
      </c>
      <c r="AC53" s="1825">
        <f t="shared" si="38"/>
        <v>0.08</v>
      </c>
    </row>
    <row r="54" spans="1:29" ht="16.5" thickTop="1" thickBot="1">
      <c r="A54" s="3406" t="s">
        <v>694</v>
      </c>
      <c r="B54" s="3407"/>
      <c r="C54" s="1512">
        <f>C52+C53</f>
        <v>3.77</v>
      </c>
      <c r="D54" s="1538">
        <f t="shared" ref="D54" si="186">D52+D53</f>
        <v>0.47</v>
      </c>
      <c r="E54" s="1513">
        <f t="shared" ref="E54" si="187">E52+E53</f>
        <v>4.24</v>
      </c>
      <c r="F54" s="1512">
        <f t="shared" ref="F54" si="188">F52+F53</f>
        <v>4.09</v>
      </c>
      <c r="G54" s="1538">
        <f t="shared" ref="G54" si="189">G52+G53</f>
        <v>0.43</v>
      </c>
      <c r="H54" s="1513">
        <f t="shared" ref="H54" si="190">H52+H53</f>
        <v>4.5199999999999996</v>
      </c>
      <c r="I54" s="1512">
        <f t="shared" ref="I54" si="191">I52+I53</f>
        <v>4.28</v>
      </c>
      <c r="J54" s="1538">
        <f t="shared" ref="J54" si="192">J52+J53</f>
        <v>0.45</v>
      </c>
      <c r="K54" s="1513">
        <f t="shared" ref="K54" si="193">K52+K53</f>
        <v>4.7300000000000004</v>
      </c>
      <c r="L54" s="1512">
        <f t="shared" ref="L54" si="194">L52+L53</f>
        <v>4.46</v>
      </c>
      <c r="M54" s="1538">
        <f t="shared" ref="M54" si="195">M52+M53</f>
        <v>0.46</v>
      </c>
      <c r="N54" s="1513">
        <f t="shared" ref="N54" si="196">N52+N53</f>
        <v>4.92</v>
      </c>
      <c r="O54" s="1512">
        <f t="shared" ref="O54" si="197">O52+O53</f>
        <v>4.58</v>
      </c>
      <c r="P54" s="1538">
        <f t="shared" ref="P54" si="198">P52+P53</f>
        <v>0.47</v>
      </c>
      <c r="Q54" s="1513">
        <f t="shared" ref="Q54" si="199">Q52+Q53</f>
        <v>5.05</v>
      </c>
      <c r="R54" s="1512">
        <f t="shared" ref="R54" si="200">R52+R53</f>
        <v>4.7</v>
      </c>
      <c r="S54" s="1538">
        <f t="shared" ref="S54" si="201">S52+S53</f>
        <v>0.49</v>
      </c>
      <c r="T54" s="1513">
        <f t="shared" ref="T54" si="202">T52+T53</f>
        <v>5.19</v>
      </c>
      <c r="U54" s="1512">
        <f t="shared" ref="U54" si="203">U52+U53</f>
        <v>4.8099999999999996</v>
      </c>
      <c r="V54" s="1538">
        <f t="shared" ref="V54" si="204">V52+V53</f>
        <v>0.49</v>
      </c>
      <c r="W54" s="1513">
        <f t="shared" ref="W54" si="205">W52+W53</f>
        <v>5.3</v>
      </c>
      <c r="X54" s="1517">
        <f t="shared" si="59"/>
        <v>0.25</v>
      </c>
      <c r="Y54" s="1512">
        <f t="shared" ref="Y54" si="206">Y52+Y53</f>
        <v>5.09</v>
      </c>
      <c r="Z54" s="1538">
        <f t="shared" ref="Z54" si="207">Z52+Z53</f>
        <v>0.52</v>
      </c>
      <c r="AA54" s="1513">
        <f t="shared" ref="AA54" si="208">AA52+AA53</f>
        <v>5.61</v>
      </c>
      <c r="AC54" s="855">
        <f t="shared" si="38"/>
        <v>1.06</v>
      </c>
    </row>
    <row r="55" spans="1:29">
      <c r="A55" s="89" t="s">
        <v>35</v>
      </c>
    </row>
    <row r="56" spans="1:29">
      <c r="A56" s="1" t="s">
        <v>68</v>
      </c>
    </row>
    <row r="57" spans="1:29">
      <c r="A57" s="1" t="s">
        <v>69</v>
      </c>
    </row>
    <row r="59" spans="1:29" ht="15.75" thickBot="1">
      <c r="A59" s="1" t="s">
        <v>695</v>
      </c>
    </row>
    <row r="60" spans="1:29" ht="15.75" customHeight="1" thickBot="1">
      <c r="A60" s="3204" t="s">
        <v>54</v>
      </c>
      <c r="B60" s="3206" t="s">
        <v>2</v>
      </c>
      <c r="C60" s="3261" t="s">
        <v>55</v>
      </c>
      <c r="D60" s="3262"/>
      <c r="E60" s="3263"/>
      <c r="F60" s="3261" t="s">
        <v>56</v>
      </c>
      <c r="G60" s="3262"/>
      <c r="H60" s="3262"/>
      <c r="I60" s="3262"/>
      <c r="J60" s="3262"/>
      <c r="K60" s="3262"/>
      <c r="L60" s="3262"/>
      <c r="M60" s="3262"/>
      <c r="N60" s="3262"/>
      <c r="O60" s="3262"/>
      <c r="P60" s="3262"/>
      <c r="Q60" s="3262"/>
      <c r="R60" s="3262"/>
      <c r="S60" s="3262"/>
      <c r="T60" s="3262"/>
      <c r="U60" s="3262"/>
      <c r="V60" s="3262"/>
      <c r="W60" s="3263"/>
      <c r="X60" s="3255" t="s">
        <v>57</v>
      </c>
      <c r="Y60" s="3261" t="s">
        <v>58</v>
      </c>
      <c r="Z60" s="3262"/>
      <c r="AA60" s="3263"/>
      <c r="AC60" s="3255" t="s">
        <v>80</v>
      </c>
    </row>
    <row r="61" spans="1:29">
      <c r="A61" s="3205"/>
      <c r="B61" s="3207"/>
      <c r="C61" s="3258">
        <v>2015</v>
      </c>
      <c r="D61" s="3264"/>
      <c r="E61" s="3245"/>
      <c r="F61" s="3258">
        <v>2020</v>
      </c>
      <c r="G61" s="3264"/>
      <c r="H61" s="3245"/>
      <c r="I61" s="3258">
        <v>2025</v>
      </c>
      <c r="J61" s="3264"/>
      <c r="K61" s="3245"/>
      <c r="L61" s="3258">
        <v>2030</v>
      </c>
      <c r="M61" s="3264"/>
      <c r="N61" s="3245"/>
      <c r="O61" s="3258">
        <v>2035</v>
      </c>
      <c r="P61" s="3264"/>
      <c r="Q61" s="3245"/>
      <c r="R61" s="3258">
        <v>2040</v>
      </c>
      <c r="S61" s="3264"/>
      <c r="T61" s="3245"/>
      <c r="U61" s="3258">
        <v>2045</v>
      </c>
      <c r="V61" s="3264"/>
      <c r="W61" s="3245"/>
      <c r="X61" s="3256"/>
      <c r="Y61" s="3258">
        <v>2045</v>
      </c>
      <c r="Z61" s="3264"/>
      <c r="AA61" s="3245"/>
      <c r="AC61" s="3256"/>
    </row>
    <row r="62" spans="1:29" ht="15.75" thickBot="1">
      <c r="A62" s="3485"/>
      <c r="B62" s="3208"/>
      <c r="C62" s="1130" t="s">
        <v>60</v>
      </c>
      <c r="D62" s="1128" t="s">
        <v>61</v>
      </c>
      <c r="E62" s="1681" t="s">
        <v>18</v>
      </c>
      <c r="F62" s="1127" t="s">
        <v>60</v>
      </c>
      <c r="G62" s="1131" t="s">
        <v>61</v>
      </c>
      <c r="H62" s="1680" t="s">
        <v>18</v>
      </c>
      <c r="I62" s="1130" t="s">
        <v>60</v>
      </c>
      <c r="J62" s="1128" t="s">
        <v>61</v>
      </c>
      <c r="K62" s="1681" t="s">
        <v>18</v>
      </c>
      <c r="L62" s="1127" t="s">
        <v>60</v>
      </c>
      <c r="M62" s="1131" t="s">
        <v>61</v>
      </c>
      <c r="N62" s="1680" t="s">
        <v>18</v>
      </c>
      <c r="O62" s="1130" t="s">
        <v>60</v>
      </c>
      <c r="P62" s="1128" t="s">
        <v>61</v>
      </c>
      <c r="Q62" s="1681" t="s">
        <v>18</v>
      </c>
      <c r="R62" s="1130" t="s">
        <v>60</v>
      </c>
      <c r="S62" s="1131" t="s">
        <v>61</v>
      </c>
      <c r="T62" s="1680" t="s">
        <v>18</v>
      </c>
      <c r="U62" s="1130" t="s">
        <v>60</v>
      </c>
      <c r="V62" s="1131" t="s">
        <v>61</v>
      </c>
      <c r="W62" s="1680" t="s">
        <v>18</v>
      </c>
      <c r="X62" s="3257"/>
      <c r="Y62" s="1817" t="s">
        <v>60</v>
      </c>
      <c r="Z62" s="1818" t="s">
        <v>61</v>
      </c>
      <c r="AA62" s="1135" t="s">
        <v>18</v>
      </c>
      <c r="AC62" s="3483"/>
    </row>
    <row r="63" spans="1:29">
      <c r="A63" s="993" t="s">
        <v>62</v>
      </c>
      <c r="B63" s="1492" t="s">
        <v>15</v>
      </c>
      <c r="C63" s="1497">
        <f>'Table 4'!J11</f>
        <v>0.04</v>
      </c>
      <c r="D63" s="1507">
        <f>'Table 4'!K11</f>
        <v>0</v>
      </c>
      <c r="E63" s="1499">
        <f>'Table 4'!L11</f>
        <v>0.04</v>
      </c>
      <c r="F63" s="1497">
        <f>'Table 4'!M11</f>
        <v>0.01</v>
      </c>
      <c r="G63" s="1507">
        <f>'Table 4'!N11</f>
        <v>0</v>
      </c>
      <c r="H63" s="1499">
        <f>'Table 4'!O11</f>
        <v>0.01</v>
      </c>
      <c r="I63" s="1497">
        <f>'Table 4'!Q11</f>
        <v>0.01</v>
      </c>
      <c r="J63" s="1507">
        <f>'Table 4'!R11</f>
        <v>0</v>
      </c>
      <c r="K63" s="1499">
        <f>'Table 4'!S11</f>
        <v>0.01</v>
      </c>
      <c r="L63" s="1497">
        <f>'Table 4'!U11</f>
        <v>0.01</v>
      </c>
      <c r="M63" s="1507">
        <f>'Table 4'!V11</f>
        <v>0</v>
      </c>
      <c r="N63" s="1499">
        <f>'Table 4'!W11</f>
        <v>0.01</v>
      </c>
      <c r="O63" s="1497">
        <f>'Table 4'!Y11</f>
        <v>0.01</v>
      </c>
      <c r="P63" s="1507">
        <f>'Table 4'!Z11</f>
        <v>0</v>
      </c>
      <c r="Q63" s="1499">
        <f>'Table 4'!AA11</f>
        <v>0.01</v>
      </c>
      <c r="R63" s="1497">
        <f>'Table 4'!AC11</f>
        <v>0.01</v>
      </c>
      <c r="S63" s="1507">
        <f>'Table 4'!AD11</f>
        <v>0</v>
      </c>
      <c r="T63" s="1499">
        <f>'Table 4'!AE11</f>
        <v>0.01</v>
      </c>
      <c r="U63" s="1497">
        <f>'Table 4'!AG11</f>
        <v>0.01</v>
      </c>
      <c r="V63" s="1507">
        <f>'Table 4'!AH11</f>
        <v>0</v>
      </c>
      <c r="W63" s="1499">
        <f>'Table 4'!AI11</f>
        <v>0.01</v>
      </c>
      <c r="X63" s="1813">
        <f>(W63-E63)/E63</f>
        <v>-0.75</v>
      </c>
      <c r="Y63" s="1497">
        <f>'Table 4'!AL11</f>
        <v>0.01</v>
      </c>
      <c r="Z63" s="1507">
        <f>'Table 4'!AM11</f>
        <v>0</v>
      </c>
      <c r="AA63" s="1499">
        <f>'Table 4'!AN11</f>
        <v>0.01</v>
      </c>
      <c r="AC63" s="1653">
        <f>W63-E63</f>
        <v>-0.03</v>
      </c>
    </row>
    <row r="64" spans="1:29" ht="15.75" thickBot="1">
      <c r="A64" s="1488" t="s">
        <v>62</v>
      </c>
      <c r="B64" s="1489" t="s">
        <v>17</v>
      </c>
      <c r="C64" s="1922">
        <f>'Table 4'!J12</f>
        <v>0.94</v>
      </c>
      <c r="D64" s="1503">
        <f>'Table 4'!K12</f>
        <v>0</v>
      </c>
      <c r="E64" s="1500">
        <f>'Table 4'!L12</f>
        <v>0.94</v>
      </c>
      <c r="F64" s="1922">
        <f>'Table 4'!M12</f>
        <v>1.04</v>
      </c>
      <c r="G64" s="1503">
        <f>'Table 4'!N12</f>
        <v>0</v>
      </c>
      <c r="H64" s="1500">
        <f>'Table 4'!O12</f>
        <v>1.04</v>
      </c>
      <c r="I64" s="1922">
        <f>'Table 4'!Q12</f>
        <v>1.05</v>
      </c>
      <c r="J64" s="1503">
        <f>'Table 4'!R12</f>
        <v>0</v>
      </c>
      <c r="K64" s="1500">
        <f>'Table 4'!S12</f>
        <v>1.05</v>
      </c>
      <c r="L64" s="1922">
        <f>'Table 4'!U12</f>
        <v>1.07</v>
      </c>
      <c r="M64" s="1503">
        <f>'Table 4'!V12</f>
        <v>0</v>
      </c>
      <c r="N64" s="1500">
        <f>'Table 4'!W12</f>
        <v>1.07</v>
      </c>
      <c r="O64" s="1922">
        <f>'Table 4'!Y12</f>
        <v>1.08</v>
      </c>
      <c r="P64" s="1503">
        <f>'Table 4'!Z12</f>
        <v>0</v>
      </c>
      <c r="Q64" s="1500">
        <f>'Table 4'!AA12</f>
        <v>1.08</v>
      </c>
      <c r="R64" s="1922">
        <f>'Table 4'!AC12</f>
        <v>1.0900000000000001</v>
      </c>
      <c r="S64" s="1503">
        <f>'Table 4'!AD12</f>
        <v>0</v>
      </c>
      <c r="T64" s="1500">
        <f>'Table 4'!AE12</f>
        <v>1.0900000000000001</v>
      </c>
      <c r="U64" s="1922">
        <f>'Table 4'!AG12</f>
        <v>1.1100000000000001</v>
      </c>
      <c r="V64" s="1503">
        <f>'Table 4'!AH12</f>
        <v>0</v>
      </c>
      <c r="W64" s="1500">
        <f>'Table 4'!AI12</f>
        <v>1.1100000000000001</v>
      </c>
      <c r="X64" s="1819">
        <f t="shared" ref="X64:X83" si="209">(W64-E64)/E64</f>
        <v>0.18</v>
      </c>
      <c r="Y64" s="1922">
        <f>'Table 4'!AL12</f>
        <v>1.17</v>
      </c>
      <c r="Z64" s="1503">
        <f>'Table 4'!AM12</f>
        <v>0</v>
      </c>
      <c r="AA64" s="1500">
        <f>'Table 4'!AN12</f>
        <v>1.17</v>
      </c>
      <c r="AC64" s="846">
        <f t="shared" ref="AC64:AC83" si="210">W64-E64</f>
        <v>0.17</v>
      </c>
    </row>
    <row r="65" spans="1:29" ht="16.5" thickTop="1" thickBot="1">
      <c r="A65" s="1490" t="s">
        <v>62</v>
      </c>
      <c r="B65" s="1496" t="s">
        <v>18</v>
      </c>
      <c r="C65" s="1498">
        <f>SUM(C63:C64)</f>
        <v>0.98</v>
      </c>
      <c r="D65" s="1504">
        <f t="shared" ref="D65" si="211">SUM(D63:D64)</f>
        <v>0</v>
      </c>
      <c r="E65" s="1501">
        <f t="shared" ref="E65" si="212">SUM(E63:E64)</f>
        <v>0.98</v>
      </c>
      <c r="F65" s="1498">
        <f t="shared" ref="F65" si="213">SUM(F63:F64)</f>
        <v>1.05</v>
      </c>
      <c r="G65" s="1504">
        <f t="shared" ref="G65" si="214">SUM(G63:G64)</f>
        <v>0</v>
      </c>
      <c r="H65" s="1501">
        <f t="shared" ref="H65" si="215">SUM(H63:H64)</f>
        <v>1.05</v>
      </c>
      <c r="I65" s="1498">
        <f t="shared" ref="I65" si="216">SUM(I63:I64)</f>
        <v>1.06</v>
      </c>
      <c r="J65" s="1504">
        <f t="shared" ref="J65" si="217">SUM(J63:J64)</f>
        <v>0</v>
      </c>
      <c r="K65" s="1501">
        <f t="shared" ref="K65" si="218">SUM(K63:K64)</f>
        <v>1.06</v>
      </c>
      <c r="L65" s="1498">
        <f t="shared" ref="L65" si="219">SUM(L63:L64)</f>
        <v>1.08</v>
      </c>
      <c r="M65" s="1504">
        <f t="shared" ref="M65" si="220">SUM(M63:M64)</f>
        <v>0</v>
      </c>
      <c r="N65" s="1501">
        <f t="shared" ref="N65" si="221">SUM(N63:N64)</f>
        <v>1.08</v>
      </c>
      <c r="O65" s="1498">
        <f t="shared" ref="O65" si="222">SUM(O63:O64)</f>
        <v>1.0900000000000001</v>
      </c>
      <c r="P65" s="1504">
        <f t="shared" ref="P65" si="223">SUM(P63:P64)</f>
        <v>0</v>
      </c>
      <c r="Q65" s="1501">
        <f t="shared" ref="Q65" si="224">SUM(Q63:Q64)</f>
        <v>1.0900000000000001</v>
      </c>
      <c r="R65" s="1498">
        <f t="shared" ref="R65" si="225">SUM(R63:R64)</f>
        <v>1.1000000000000001</v>
      </c>
      <c r="S65" s="1504">
        <f t="shared" ref="S65" si="226">SUM(S63:S64)</f>
        <v>0</v>
      </c>
      <c r="T65" s="1501">
        <f t="shared" ref="T65" si="227">SUM(T63:T64)</f>
        <v>1.1000000000000001</v>
      </c>
      <c r="U65" s="1498">
        <f t="shared" ref="U65" si="228">SUM(U63:U64)</f>
        <v>1.1200000000000001</v>
      </c>
      <c r="V65" s="1504">
        <f t="shared" ref="V65" si="229">SUM(V63:V64)</f>
        <v>0</v>
      </c>
      <c r="W65" s="1501">
        <f t="shared" ref="W65" si="230">SUM(W63:W64)</f>
        <v>1.1200000000000001</v>
      </c>
      <c r="X65" s="1514">
        <f t="shared" si="209"/>
        <v>0.14000000000000001</v>
      </c>
      <c r="Y65" s="1498">
        <f t="shared" ref="Y65" si="231">SUM(Y63:Y64)</f>
        <v>1.18</v>
      </c>
      <c r="Z65" s="1504">
        <f t="shared" ref="Z65" si="232">SUM(Z63:Z64)</f>
        <v>0</v>
      </c>
      <c r="AA65" s="1501">
        <f t="shared" ref="AA65" si="233">SUM(AA63:AA64)</f>
        <v>1.18</v>
      </c>
      <c r="AC65" s="1823">
        <f t="shared" si="210"/>
        <v>0.14000000000000001</v>
      </c>
    </row>
    <row r="66" spans="1:29" ht="26.25">
      <c r="A66" s="282" t="s">
        <v>63</v>
      </c>
      <c r="B66" s="1492" t="s">
        <v>15</v>
      </c>
      <c r="C66" s="1497">
        <f>'Table 6'!K11</f>
        <v>0.28000000000000003</v>
      </c>
      <c r="D66" s="1507">
        <f>'Table 6'!L11</f>
        <v>0</v>
      </c>
      <c r="E66" s="1499">
        <f>'Table 6'!M11</f>
        <v>0.28000000000000003</v>
      </c>
      <c r="F66" s="1497">
        <f>'Table 6'!N11</f>
        <v>0.21</v>
      </c>
      <c r="G66" s="1507">
        <f>'Table 6'!O11</f>
        <v>0</v>
      </c>
      <c r="H66" s="1499">
        <f>'Table 6'!P11</f>
        <v>0.21</v>
      </c>
      <c r="I66" s="1497">
        <f>'Table 6'!Q11</f>
        <v>0.25</v>
      </c>
      <c r="J66" s="1507">
        <f>'Table 6'!R11</f>
        <v>0</v>
      </c>
      <c r="K66" s="1499">
        <f>'Table 6'!S11</f>
        <v>0.25</v>
      </c>
      <c r="L66" s="1497">
        <f>'Table 6'!T11</f>
        <v>0.27</v>
      </c>
      <c r="M66" s="1507">
        <f>'Table 6'!U11</f>
        <v>0</v>
      </c>
      <c r="N66" s="1499">
        <f>'Table 6'!V11</f>
        <v>0.27</v>
      </c>
      <c r="O66" s="1497">
        <f>'Table 6'!W11</f>
        <v>0.27</v>
      </c>
      <c r="P66" s="1507">
        <f>'Table 6'!X11</f>
        <v>0</v>
      </c>
      <c r="Q66" s="1499">
        <f>'Table 6'!Y11</f>
        <v>0.27</v>
      </c>
      <c r="R66" s="1497">
        <f>'Table 6'!Z11</f>
        <v>0.28000000000000003</v>
      </c>
      <c r="S66" s="1507">
        <f>'Table 6'!AA11</f>
        <v>0</v>
      </c>
      <c r="T66" s="1499">
        <f>'Table 6'!AB11</f>
        <v>0.28000000000000003</v>
      </c>
      <c r="U66" s="1497">
        <f>'Table 6'!AC11</f>
        <v>0.3</v>
      </c>
      <c r="V66" s="1507">
        <f>'Table 6'!AD11</f>
        <v>0</v>
      </c>
      <c r="W66" s="1499">
        <f>'Table 6'!AE11</f>
        <v>0.3</v>
      </c>
      <c r="X66" s="1813">
        <f t="shared" si="209"/>
        <v>7.0000000000000007E-2</v>
      </c>
      <c r="Y66" s="1497">
        <f>'Table 6'!AG11</f>
        <v>0.32</v>
      </c>
      <c r="Z66" s="1507">
        <f>'Table 6'!AH11</f>
        <v>0</v>
      </c>
      <c r="AA66" s="1499">
        <f>'Table 6'!AI11</f>
        <v>0.32</v>
      </c>
      <c r="AC66" s="1653">
        <f t="shared" si="210"/>
        <v>0.02</v>
      </c>
    </row>
    <row r="67" spans="1:29" ht="27" thickBot="1">
      <c r="A67" s="175" t="s">
        <v>63</v>
      </c>
      <c r="B67" s="1489" t="s">
        <v>17</v>
      </c>
      <c r="C67" s="1922">
        <f>'Table 6'!K12</f>
        <v>0.61</v>
      </c>
      <c r="D67" s="1503">
        <f>'Table 6'!L12</f>
        <v>0</v>
      </c>
      <c r="E67" s="1500">
        <f>'Table 6'!M12</f>
        <v>0.61</v>
      </c>
      <c r="F67" s="1922">
        <f>'Table 6'!N12</f>
        <v>0.56999999999999995</v>
      </c>
      <c r="G67" s="1503">
        <f>'Table 6'!O12</f>
        <v>0</v>
      </c>
      <c r="H67" s="1500">
        <f>'Table 6'!P12</f>
        <v>0.56999999999999995</v>
      </c>
      <c r="I67" s="1922">
        <f>'Table 6'!Q12</f>
        <v>0.56000000000000005</v>
      </c>
      <c r="J67" s="1503">
        <f>'Table 6'!R12</f>
        <v>0</v>
      </c>
      <c r="K67" s="1500">
        <f>'Table 6'!S12</f>
        <v>0.56000000000000005</v>
      </c>
      <c r="L67" s="1922">
        <f>'Table 6'!T12</f>
        <v>0.56000000000000005</v>
      </c>
      <c r="M67" s="1503">
        <f>'Table 6'!U12</f>
        <v>0</v>
      </c>
      <c r="N67" s="1500">
        <f>'Table 6'!V12</f>
        <v>0.56000000000000005</v>
      </c>
      <c r="O67" s="1922">
        <f>'Table 6'!W12</f>
        <v>0.55000000000000004</v>
      </c>
      <c r="P67" s="1503">
        <f>'Table 6'!X12</f>
        <v>0</v>
      </c>
      <c r="Q67" s="1500">
        <f>'Table 6'!Y12</f>
        <v>0.55000000000000004</v>
      </c>
      <c r="R67" s="1922">
        <f>'Table 6'!Z12</f>
        <v>0.55000000000000004</v>
      </c>
      <c r="S67" s="1503">
        <f>'Table 6'!AA12</f>
        <v>0</v>
      </c>
      <c r="T67" s="1500">
        <f>'Table 6'!AB12</f>
        <v>0.55000000000000004</v>
      </c>
      <c r="U67" s="1922">
        <f>'Table 6'!AC12</f>
        <v>0.53</v>
      </c>
      <c r="V67" s="1503">
        <f>'Table 6'!AD12</f>
        <v>0</v>
      </c>
      <c r="W67" s="1500">
        <f>'Table 6'!AE12</f>
        <v>0.53</v>
      </c>
      <c r="X67" s="1819">
        <f t="shared" si="209"/>
        <v>-0.13</v>
      </c>
      <c r="Y67" s="1922">
        <f>'Table 6'!AG12</f>
        <v>0.52</v>
      </c>
      <c r="Z67" s="1503">
        <f>'Table 6'!AH12</f>
        <v>0</v>
      </c>
      <c r="AA67" s="1500">
        <f>'Table 6'!AI12</f>
        <v>0.52</v>
      </c>
      <c r="AC67" s="846">
        <f t="shared" si="210"/>
        <v>-0.08</v>
      </c>
    </row>
    <row r="68" spans="1:29" ht="27.75" thickTop="1" thickBot="1">
      <c r="A68" s="1491" t="s">
        <v>63</v>
      </c>
      <c r="B68" s="1505" t="s">
        <v>18</v>
      </c>
      <c r="C68" s="1498">
        <f>SUM(C66:C67)</f>
        <v>0.89</v>
      </c>
      <c r="D68" s="1504">
        <f t="shared" ref="D68" si="234">SUM(D66:D67)</f>
        <v>0</v>
      </c>
      <c r="E68" s="1501">
        <f t="shared" ref="E68" si="235">SUM(E66:E67)</f>
        <v>0.89</v>
      </c>
      <c r="F68" s="1498">
        <f t="shared" ref="F68" si="236">SUM(F66:F67)</f>
        <v>0.78</v>
      </c>
      <c r="G68" s="1504">
        <f t="shared" ref="G68" si="237">SUM(G66:G67)</f>
        <v>0</v>
      </c>
      <c r="H68" s="1501">
        <f t="shared" ref="H68" si="238">SUM(H66:H67)</f>
        <v>0.78</v>
      </c>
      <c r="I68" s="1498">
        <f t="shared" ref="I68" si="239">SUM(I66:I67)</f>
        <v>0.81</v>
      </c>
      <c r="J68" s="1504">
        <f t="shared" ref="J68" si="240">SUM(J66:J67)</f>
        <v>0</v>
      </c>
      <c r="K68" s="1501">
        <f t="shared" ref="K68" si="241">SUM(K66:K67)</f>
        <v>0.81</v>
      </c>
      <c r="L68" s="1498">
        <f t="shared" ref="L68" si="242">SUM(L66:L67)</f>
        <v>0.83</v>
      </c>
      <c r="M68" s="1504">
        <f t="shared" ref="M68" si="243">SUM(M66:M67)</f>
        <v>0</v>
      </c>
      <c r="N68" s="1501">
        <f t="shared" ref="N68" si="244">SUM(N66:N67)</f>
        <v>0.83</v>
      </c>
      <c r="O68" s="1498">
        <f t="shared" ref="O68" si="245">SUM(O66:O67)</f>
        <v>0.82</v>
      </c>
      <c r="P68" s="1504">
        <f t="shared" ref="P68" si="246">SUM(P66:P67)</f>
        <v>0</v>
      </c>
      <c r="Q68" s="1501">
        <f t="shared" ref="Q68" si="247">SUM(Q66:Q67)</f>
        <v>0.82</v>
      </c>
      <c r="R68" s="1498">
        <f t="shared" ref="R68" si="248">SUM(R66:R67)</f>
        <v>0.83</v>
      </c>
      <c r="S68" s="1504">
        <f t="shared" ref="S68" si="249">SUM(S66:S67)</f>
        <v>0</v>
      </c>
      <c r="T68" s="1501">
        <f t="shared" ref="T68" si="250">SUM(T66:T67)</f>
        <v>0.83</v>
      </c>
      <c r="U68" s="1498">
        <f t="shared" ref="U68" si="251">SUM(U66:U67)</f>
        <v>0.83</v>
      </c>
      <c r="V68" s="1504">
        <f t="shared" ref="V68" si="252">SUM(V66:V67)</f>
        <v>0</v>
      </c>
      <c r="W68" s="1501">
        <f t="shared" ref="W68" si="253">SUM(W66:W67)</f>
        <v>0.83</v>
      </c>
      <c r="X68" s="1514">
        <f t="shared" si="209"/>
        <v>-7.0000000000000007E-2</v>
      </c>
      <c r="Y68" s="1498">
        <f t="shared" ref="Y68" si="254">SUM(Y66:Y67)</f>
        <v>0.84</v>
      </c>
      <c r="Z68" s="1504">
        <f t="shared" ref="Z68" si="255">SUM(Z66:Z67)</f>
        <v>0</v>
      </c>
      <c r="AA68" s="1501">
        <f t="shared" ref="AA68" si="256">SUM(AA66:AA67)</f>
        <v>0.84</v>
      </c>
      <c r="AC68" s="1823">
        <f t="shared" si="210"/>
        <v>-0.06</v>
      </c>
    </row>
    <row r="69" spans="1:29">
      <c r="A69" s="993" t="s">
        <v>64</v>
      </c>
      <c r="B69" s="1492" t="s">
        <v>15</v>
      </c>
      <c r="C69" s="1497">
        <f>'Table 7'!C11</f>
        <v>0</v>
      </c>
      <c r="D69" s="1507">
        <f>'Table 7'!D11</f>
        <v>0</v>
      </c>
      <c r="E69" s="1499">
        <f>'Table 7'!E11</f>
        <v>0</v>
      </c>
      <c r="F69" s="1497">
        <f>'Table 7'!F11</f>
        <v>0</v>
      </c>
      <c r="G69" s="1507">
        <f>'Table 7'!G11</f>
        <v>0</v>
      </c>
      <c r="H69" s="1499">
        <f>'Table 7'!H11</f>
        <v>0</v>
      </c>
      <c r="I69" s="1497">
        <f>'Table 7'!I11</f>
        <v>0</v>
      </c>
      <c r="J69" s="1507">
        <f>'Table 7'!J11</f>
        <v>0</v>
      </c>
      <c r="K69" s="1499">
        <f>'Table 7'!K11</f>
        <v>0</v>
      </c>
      <c r="L69" s="1497">
        <f>'Table 7'!L11</f>
        <v>0</v>
      </c>
      <c r="M69" s="1507">
        <f>'Table 7'!M11</f>
        <v>0</v>
      </c>
      <c r="N69" s="1499">
        <f>'Table 7'!N11</f>
        <v>0</v>
      </c>
      <c r="O69" s="1497">
        <f>'Table 7'!O11</f>
        <v>0</v>
      </c>
      <c r="P69" s="1507">
        <f>'Table 7'!P11</f>
        <v>0</v>
      </c>
      <c r="Q69" s="1499">
        <f>'Table 7'!Q11</f>
        <v>0</v>
      </c>
      <c r="R69" s="1497">
        <f>'Table 7'!R11</f>
        <v>0</v>
      </c>
      <c r="S69" s="1507">
        <f>'Table 7'!S11</f>
        <v>0</v>
      </c>
      <c r="T69" s="1499">
        <f>'Table 7'!T11</f>
        <v>0</v>
      </c>
      <c r="U69" s="1497">
        <f>'Table 7'!U11</f>
        <v>0</v>
      </c>
      <c r="V69" s="1507">
        <f>'Table 7'!V11</f>
        <v>0</v>
      </c>
      <c r="W69" s="1499">
        <f>'Table 7'!W11</f>
        <v>0</v>
      </c>
      <c r="X69" s="1821" t="s">
        <v>16</v>
      </c>
      <c r="Y69" s="1497">
        <f>'Table 7'!AG11</f>
        <v>0</v>
      </c>
      <c r="Z69" s="1507">
        <f>'Table 7'!AH11</f>
        <v>0</v>
      </c>
      <c r="AA69" s="1499">
        <f>'Table 7'!AI11</f>
        <v>0</v>
      </c>
      <c r="AC69" s="1653">
        <f t="shared" si="210"/>
        <v>0</v>
      </c>
    </row>
    <row r="70" spans="1:29" ht="15.75" thickBot="1">
      <c r="A70" s="175" t="s">
        <v>64</v>
      </c>
      <c r="B70" s="1489" t="s">
        <v>17</v>
      </c>
      <c r="C70" s="1922">
        <f>'Table 7'!C12</f>
        <v>1.82</v>
      </c>
      <c r="D70" s="1503">
        <f>'Table 7'!D12</f>
        <v>0</v>
      </c>
      <c r="E70" s="1500">
        <f>'Table 7'!E12</f>
        <v>1.82</v>
      </c>
      <c r="F70" s="1922">
        <f>'Table 7'!F12</f>
        <v>1.89</v>
      </c>
      <c r="G70" s="1503">
        <f>'Table 7'!G12</f>
        <v>0</v>
      </c>
      <c r="H70" s="1500">
        <f>'Table 7'!H12</f>
        <v>1.89</v>
      </c>
      <c r="I70" s="1922">
        <f>'Table 7'!I12</f>
        <v>1.87</v>
      </c>
      <c r="J70" s="1503">
        <f>'Table 7'!J12</f>
        <v>0</v>
      </c>
      <c r="K70" s="1500">
        <f>'Table 7'!K12</f>
        <v>1.87</v>
      </c>
      <c r="L70" s="1922">
        <f>'Table 7'!L12</f>
        <v>1.85</v>
      </c>
      <c r="M70" s="1503">
        <f>'Table 7'!M12</f>
        <v>0</v>
      </c>
      <c r="N70" s="1500">
        <f>'Table 7'!N12</f>
        <v>1.85</v>
      </c>
      <c r="O70" s="1922">
        <f>'Table 7'!O12</f>
        <v>1.88</v>
      </c>
      <c r="P70" s="1503">
        <f>'Table 7'!P12</f>
        <v>0</v>
      </c>
      <c r="Q70" s="1500">
        <f>'Table 7'!Q12</f>
        <v>1.88</v>
      </c>
      <c r="R70" s="1922">
        <f>'Table 7'!R12</f>
        <v>1.87</v>
      </c>
      <c r="S70" s="1503">
        <f>'Table 7'!S12</f>
        <v>0</v>
      </c>
      <c r="T70" s="1500">
        <f>'Table 7'!T12</f>
        <v>1.87</v>
      </c>
      <c r="U70" s="1922">
        <f>'Table 7'!U12</f>
        <v>1.86</v>
      </c>
      <c r="V70" s="1503">
        <f>'Table 7'!V12</f>
        <v>0</v>
      </c>
      <c r="W70" s="1500">
        <f>'Table 7'!W12</f>
        <v>1.86</v>
      </c>
      <c r="X70" s="1819">
        <f t="shared" si="209"/>
        <v>0.02</v>
      </c>
      <c r="Y70" s="1922">
        <f>'Table 7'!AG12</f>
        <v>2.38</v>
      </c>
      <c r="Z70" s="1503">
        <f>'Table 7'!AH12</f>
        <v>0</v>
      </c>
      <c r="AA70" s="1500">
        <f>'Table 7'!AI12</f>
        <v>2.38</v>
      </c>
      <c r="AC70" s="846">
        <f t="shared" si="210"/>
        <v>0.04</v>
      </c>
    </row>
    <row r="71" spans="1:29" ht="16.5" thickTop="1" thickBot="1">
      <c r="A71" s="1490" t="s">
        <v>64</v>
      </c>
      <c r="B71" s="1505" t="s">
        <v>18</v>
      </c>
      <c r="C71" s="1498">
        <f>SUM(C69:C70)</f>
        <v>1.82</v>
      </c>
      <c r="D71" s="1504">
        <f t="shared" ref="D71" si="257">SUM(D69:D70)</f>
        <v>0</v>
      </c>
      <c r="E71" s="1501">
        <f t="shared" ref="E71" si="258">SUM(E69:E70)</f>
        <v>1.82</v>
      </c>
      <c r="F71" s="1498">
        <f t="shared" ref="F71" si="259">SUM(F69:F70)</f>
        <v>1.89</v>
      </c>
      <c r="G71" s="1504">
        <f t="shared" ref="G71" si="260">SUM(G69:G70)</f>
        <v>0</v>
      </c>
      <c r="H71" s="1501">
        <f t="shared" ref="H71" si="261">SUM(H69:H70)</f>
        <v>1.89</v>
      </c>
      <c r="I71" s="1498">
        <f t="shared" ref="I71" si="262">SUM(I69:I70)</f>
        <v>1.87</v>
      </c>
      <c r="J71" s="1504">
        <f t="shared" ref="J71" si="263">SUM(J69:J70)</f>
        <v>0</v>
      </c>
      <c r="K71" s="1501">
        <f t="shared" ref="K71" si="264">SUM(K69:K70)</f>
        <v>1.87</v>
      </c>
      <c r="L71" s="1498">
        <f t="shared" ref="L71" si="265">SUM(L69:L70)</f>
        <v>1.85</v>
      </c>
      <c r="M71" s="1504">
        <f t="shared" ref="M71" si="266">SUM(M69:M70)</f>
        <v>0</v>
      </c>
      <c r="N71" s="1501">
        <f t="shared" ref="N71" si="267">SUM(N69:N70)</f>
        <v>1.85</v>
      </c>
      <c r="O71" s="1498">
        <f t="shared" ref="O71" si="268">SUM(O69:O70)</f>
        <v>1.88</v>
      </c>
      <c r="P71" s="1504">
        <f t="shared" ref="P71" si="269">SUM(P69:P70)</f>
        <v>0</v>
      </c>
      <c r="Q71" s="1501">
        <f t="shared" ref="Q71" si="270">SUM(Q69:Q70)</f>
        <v>1.88</v>
      </c>
      <c r="R71" s="1498">
        <f t="shared" ref="R71" si="271">SUM(R69:R70)</f>
        <v>1.87</v>
      </c>
      <c r="S71" s="1504">
        <f t="shared" ref="S71" si="272">SUM(S69:S70)</f>
        <v>0</v>
      </c>
      <c r="T71" s="1501">
        <f t="shared" ref="T71" si="273">SUM(T69:T70)</f>
        <v>1.87</v>
      </c>
      <c r="U71" s="1498">
        <f t="shared" ref="U71" si="274">SUM(U69:U70)</f>
        <v>1.86</v>
      </c>
      <c r="V71" s="1504">
        <f t="shared" ref="V71" si="275">SUM(V69:V70)</f>
        <v>0</v>
      </c>
      <c r="W71" s="1501">
        <f t="shared" ref="W71" si="276">SUM(W69:W70)</f>
        <v>1.86</v>
      </c>
      <c r="X71" s="1514">
        <f t="shared" si="209"/>
        <v>0.02</v>
      </c>
      <c r="Y71" s="1498">
        <f t="shared" ref="Y71" si="277">SUM(Y69:Y70)</f>
        <v>2.38</v>
      </c>
      <c r="Z71" s="1504">
        <f t="shared" ref="Z71" si="278">SUM(Z69:Z70)</f>
        <v>0</v>
      </c>
      <c r="AA71" s="1501">
        <f t="shared" ref="AA71" si="279">SUM(AA69:AA70)</f>
        <v>2.38</v>
      </c>
      <c r="AC71" s="1823">
        <f t="shared" si="210"/>
        <v>0.04</v>
      </c>
    </row>
    <row r="72" spans="1:29">
      <c r="A72" s="282" t="s">
        <v>65</v>
      </c>
      <c r="B72" s="1492" t="s">
        <v>15</v>
      </c>
      <c r="C72" s="1497">
        <f>'Table 8'!C11</f>
        <v>0</v>
      </c>
      <c r="D72" s="1507">
        <f>'Table 8'!D11</f>
        <v>0</v>
      </c>
      <c r="E72" s="1499">
        <f>'Table 8'!E11</f>
        <v>0</v>
      </c>
      <c r="F72" s="1497">
        <f>'Table 8'!F11</f>
        <v>0</v>
      </c>
      <c r="G72" s="1507">
        <f>'Table 8'!G11</f>
        <v>0</v>
      </c>
      <c r="H72" s="1499">
        <f>'Table 8'!H11</f>
        <v>0</v>
      </c>
      <c r="I72" s="1497">
        <f>'Table 8'!I11</f>
        <v>0</v>
      </c>
      <c r="J72" s="1507">
        <f>'Table 8'!J11</f>
        <v>0</v>
      </c>
      <c r="K72" s="1499">
        <f>'Table 8'!K11</f>
        <v>0</v>
      </c>
      <c r="L72" s="1497">
        <f>'Table 8'!L11</f>
        <v>0</v>
      </c>
      <c r="M72" s="1507">
        <f>'Table 8'!M11</f>
        <v>0</v>
      </c>
      <c r="N72" s="1499">
        <f>'Table 8'!N11</f>
        <v>0</v>
      </c>
      <c r="O72" s="1497">
        <f>'Table 8'!O11</f>
        <v>0</v>
      </c>
      <c r="P72" s="1507">
        <f>'Table 8'!P11</f>
        <v>0</v>
      </c>
      <c r="Q72" s="1499">
        <f>'Table 8'!Q11</f>
        <v>0</v>
      </c>
      <c r="R72" s="1497">
        <f>'Table 8'!R11</f>
        <v>0</v>
      </c>
      <c r="S72" s="1507">
        <f>'Table 8'!S11</f>
        <v>0</v>
      </c>
      <c r="T72" s="1499">
        <f>'Table 8'!T11</f>
        <v>0</v>
      </c>
      <c r="U72" s="1497">
        <f>'Table 8'!U11</f>
        <v>0</v>
      </c>
      <c r="V72" s="1507">
        <f>'Table 8'!V11</f>
        <v>0</v>
      </c>
      <c r="W72" s="1499">
        <f>'Table 8'!W11</f>
        <v>0</v>
      </c>
      <c r="X72" s="1821" t="s">
        <v>16</v>
      </c>
      <c r="Y72" s="1497">
        <f>'Table 8'!Y11</f>
        <v>0</v>
      </c>
      <c r="Z72" s="1507">
        <f>'Table 8'!Z11</f>
        <v>0</v>
      </c>
      <c r="AA72" s="1499">
        <f>'Table 8'!AA11</f>
        <v>0</v>
      </c>
      <c r="AC72" s="1653">
        <f t="shared" si="210"/>
        <v>0</v>
      </c>
    </row>
    <row r="73" spans="1:29" ht="15.75" thickBot="1">
      <c r="A73" s="175" t="s">
        <v>65</v>
      </c>
      <c r="B73" s="1489" t="s">
        <v>17</v>
      </c>
      <c r="C73" s="1922">
        <f>'Table 8'!C12</f>
        <v>0.3</v>
      </c>
      <c r="D73" s="1503">
        <f>'Table 8'!D12</f>
        <v>0</v>
      </c>
      <c r="E73" s="1500">
        <f>'Table 8'!E12</f>
        <v>0.3</v>
      </c>
      <c r="F73" s="1922">
        <f>'Table 8'!F12</f>
        <v>0.3</v>
      </c>
      <c r="G73" s="1503">
        <f>'Table 8'!G12</f>
        <v>0</v>
      </c>
      <c r="H73" s="1500">
        <f>'Table 8'!H12</f>
        <v>0.3</v>
      </c>
      <c r="I73" s="1922">
        <f>'Table 8'!I12</f>
        <v>0.3</v>
      </c>
      <c r="J73" s="1503">
        <f>'Table 8'!J12</f>
        <v>0</v>
      </c>
      <c r="K73" s="1500">
        <f>'Table 8'!K12</f>
        <v>0.3</v>
      </c>
      <c r="L73" s="1922">
        <f>'Table 8'!L12</f>
        <v>0.3</v>
      </c>
      <c r="M73" s="1503">
        <f>'Table 8'!M12</f>
        <v>0</v>
      </c>
      <c r="N73" s="1500">
        <f>'Table 8'!N12</f>
        <v>0.3</v>
      </c>
      <c r="O73" s="1922">
        <f>'Table 8'!O12</f>
        <v>0.3</v>
      </c>
      <c r="P73" s="1503">
        <f>'Table 8'!P12</f>
        <v>0</v>
      </c>
      <c r="Q73" s="1500">
        <f>'Table 8'!Q12</f>
        <v>0.3</v>
      </c>
      <c r="R73" s="1922">
        <f>'Table 8'!R12</f>
        <v>0.3</v>
      </c>
      <c r="S73" s="1503">
        <f>'Table 8'!S12</f>
        <v>0</v>
      </c>
      <c r="T73" s="1500">
        <f>'Table 8'!T12</f>
        <v>0.3</v>
      </c>
      <c r="U73" s="1922">
        <f>'Table 8'!U12</f>
        <v>0.3</v>
      </c>
      <c r="V73" s="1503">
        <f>'Table 8'!V12</f>
        <v>0</v>
      </c>
      <c r="W73" s="1500">
        <f>'Table 8'!W12</f>
        <v>0.3</v>
      </c>
      <c r="X73" s="1819">
        <f t="shared" si="209"/>
        <v>0</v>
      </c>
      <c r="Y73" s="1922">
        <f>'Table 8'!Y12</f>
        <v>0.35</v>
      </c>
      <c r="Z73" s="1503">
        <f>'Table 8'!Z12</f>
        <v>0</v>
      </c>
      <c r="AA73" s="1500">
        <f>'Table 8'!AA12</f>
        <v>0.35</v>
      </c>
      <c r="AC73" s="846">
        <f t="shared" si="210"/>
        <v>0</v>
      </c>
    </row>
    <row r="74" spans="1:29" ht="16.5" thickTop="1" thickBot="1">
      <c r="A74" s="1491" t="s">
        <v>65</v>
      </c>
      <c r="B74" s="1505" t="s">
        <v>18</v>
      </c>
      <c r="C74" s="1498">
        <f>SUM(C72:C73)</f>
        <v>0.3</v>
      </c>
      <c r="D74" s="1504">
        <f t="shared" ref="D74" si="280">SUM(D72:D73)</f>
        <v>0</v>
      </c>
      <c r="E74" s="1501">
        <f t="shared" ref="E74" si="281">SUM(E72:E73)</f>
        <v>0.3</v>
      </c>
      <c r="F74" s="1498">
        <f t="shared" ref="F74" si="282">SUM(F72:F73)</f>
        <v>0.3</v>
      </c>
      <c r="G74" s="1504">
        <f t="shared" ref="G74" si="283">SUM(G72:G73)</f>
        <v>0</v>
      </c>
      <c r="H74" s="1501">
        <f t="shared" ref="H74" si="284">SUM(H72:H73)</f>
        <v>0.3</v>
      </c>
      <c r="I74" s="1498">
        <f t="shared" ref="I74" si="285">SUM(I72:I73)</f>
        <v>0.3</v>
      </c>
      <c r="J74" s="1504">
        <f t="shared" ref="J74" si="286">SUM(J72:J73)</f>
        <v>0</v>
      </c>
      <c r="K74" s="1501">
        <f t="shared" ref="K74" si="287">SUM(K72:K73)</f>
        <v>0.3</v>
      </c>
      <c r="L74" s="1498">
        <f t="shared" ref="L74" si="288">SUM(L72:L73)</f>
        <v>0.3</v>
      </c>
      <c r="M74" s="1504">
        <f t="shared" ref="M74" si="289">SUM(M72:M73)</f>
        <v>0</v>
      </c>
      <c r="N74" s="1501">
        <f t="shared" ref="N74" si="290">SUM(N72:N73)</f>
        <v>0.3</v>
      </c>
      <c r="O74" s="1498">
        <f t="shared" ref="O74" si="291">SUM(O72:O73)</f>
        <v>0.3</v>
      </c>
      <c r="P74" s="1504">
        <f t="shared" ref="P74" si="292">SUM(P72:P73)</f>
        <v>0</v>
      </c>
      <c r="Q74" s="1501">
        <f t="shared" ref="Q74" si="293">SUM(Q72:Q73)</f>
        <v>0.3</v>
      </c>
      <c r="R74" s="1498">
        <f t="shared" ref="R74" si="294">SUM(R72:R73)</f>
        <v>0.3</v>
      </c>
      <c r="S74" s="1504">
        <f t="shared" ref="S74" si="295">SUM(S72:S73)</f>
        <v>0</v>
      </c>
      <c r="T74" s="1501">
        <f t="shared" ref="T74" si="296">SUM(T72:T73)</f>
        <v>0.3</v>
      </c>
      <c r="U74" s="1498">
        <f t="shared" ref="U74" si="297">SUM(U72:U73)</f>
        <v>0.3</v>
      </c>
      <c r="V74" s="1504">
        <f t="shared" ref="V74" si="298">SUM(V72:V73)</f>
        <v>0</v>
      </c>
      <c r="W74" s="1501">
        <f t="shared" ref="W74" si="299">SUM(W72:W73)</f>
        <v>0.3</v>
      </c>
      <c r="X74" s="1514">
        <f t="shared" si="209"/>
        <v>0</v>
      </c>
      <c r="Y74" s="1498">
        <f t="shared" ref="Y74" si="300">SUM(Y72:Y73)</f>
        <v>0.35</v>
      </c>
      <c r="Z74" s="1504">
        <f t="shared" ref="Z74" si="301">SUM(Z72:Z73)</f>
        <v>0</v>
      </c>
      <c r="AA74" s="1501">
        <f t="shared" ref="AA74" si="302">SUM(AA72:AA73)</f>
        <v>0.35</v>
      </c>
      <c r="AC74" s="1823">
        <f t="shared" si="210"/>
        <v>0</v>
      </c>
    </row>
    <row r="75" spans="1:29" ht="15" customHeight="1">
      <c r="A75" s="282" t="s">
        <v>66</v>
      </c>
      <c r="B75" s="1492" t="s">
        <v>15</v>
      </c>
      <c r="C75" s="1497">
        <f>'Table 9'!C11</f>
        <v>0</v>
      </c>
      <c r="D75" s="1507">
        <f>'Table 9'!D11</f>
        <v>0</v>
      </c>
      <c r="E75" s="1499">
        <f>'Table 9'!E11</f>
        <v>0</v>
      </c>
      <c r="F75" s="1497">
        <f>'Table 9'!F11</f>
        <v>0</v>
      </c>
      <c r="G75" s="1507">
        <f>'Table 9'!G11</f>
        <v>0</v>
      </c>
      <c r="H75" s="1499">
        <f>'Table 9'!H11</f>
        <v>0</v>
      </c>
      <c r="I75" s="1497">
        <f>'Table 9'!I11</f>
        <v>0</v>
      </c>
      <c r="J75" s="1507">
        <f>'Table 9'!J11</f>
        <v>0</v>
      </c>
      <c r="K75" s="1499">
        <f>'Table 9'!K11</f>
        <v>0</v>
      </c>
      <c r="L75" s="1497">
        <f>'Table 9'!L11</f>
        <v>0</v>
      </c>
      <c r="M75" s="1507">
        <f>'Table 9'!M11</f>
        <v>0</v>
      </c>
      <c r="N75" s="1499">
        <f>'Table 9'!N11</f>
        <v>0</v>
      </c>
      <c r="O75" s="1497">
        <f>'Table 9'!O11</f>
        <v>0</v>
      </c>
      <c r="P75" s="1507">
        <f>'Table 9'!P11</f>
        <v>0</v>
      </c>
      <c r="Q75" s="1499">
        <f>'Table 9'!Q11</f>
        <v>0</v>
      </c>
      <c r="R75" s="1497">
        <f>'Table 9'!R11</f>
        <v>0</v>
      </c>
      <c r="S75" s="1507">
        <f>'Table 9'!S11</f>
        <v>0</v>
      </c>
      <c r="T75" s="1499">
        <f>'Table 9'!T11</f>
        <v>0</v>
      </c>
      <c r="U75" s="1497">
        <f>'Table 9'!U11</f>
        <v>0</v>
      </c>
      <c r="V75" s="1507">
        <f>'Table 9'!V11</f>
        <v>0</v>
      </c>
      <c r="W75" s="1499">
        <f>'Table 9'!W11</f>
        <v>0</v>
      </c>
      <c r="X75" s="1821" t="s">
        <v>16</v>
      </c>
      <c r="Y75" s="1497">
        <f>U75</f>
        <v>0</v>
      </c>
      <c r="Z75" s="1507">
        <f t="shared" ref="Z75:Z76" si="303">V75</f>
        <v>0</v>
      </c>
      <c r="AA75" s="1499">
        <f t="shared" ref="AA75:AA76" si="304">W75</f>
        <v>0</v>
      </c>
      <c r="AC75" s="1653">
        <f t="shared" si="210"/>
        <v>0</v>
      </c>
    </row>
    <row r="76" spans="1:29" ht="15" customHeight="1" thickBot="1">
      <c r="A76" s="1488" t="s">
        <v>66</v>
      </c>
      <c r="B76" s="1489" t="s">
        <v>17</v>
      </c>
      <c r="C76" s="1922">
        <f>'Table 9'!C12</f>
        <v>1.04</v>
      </c>
      <c r="D76" s="1503">
        <f>'Table 9'!D12</f>
        <v>0</v>
      </c>
      <c r="E76" s="1500">
        <f>'Table 9'!E12</f>
        <v>1.04</v>
      </c>
      <c r="F76" s="1922">
        <f>'Table 9'!F12</f>
        <v>1.06</v>
      </c>
      <c r="G76" s="1503">
        <f>'Table 9'!G12</f>
        <v>0</v>
      </c>
      <c r="H76" s="1500">
        <f>'Table 9'!H12</f>
        <v>1.06</v>
      </c>
      <c r="I76" s="1922">
        <f>'Table 9'!I12</f>
        <v>1.06</v>
      </c>
      <c r="J76" s="1503">
        <f>'Table 9'!J12</f>
        <v>0</v>
      </c>
      <c r="K76" s="1500">
        <f>'Table 9'!K12</f>
        <v>1.06</v>
      </c>
      <c r="L76" s="1922">
        <f>'Table 9'!L12</f>
        <v>1.06</v>
      </c>
      <c r="M76" s="1503">
        <f>'Table 9'!M12</f>
        <v>0</v>
      </c>
      <c r="N76" s="1500">
        <f>'Table 9'!N12</f>
        <v>1.06</v>
      </c>
      <c r="O76" s="1922">
        <f>'Table 9'!O12</f>
        <v>1.06</v>
      </c>
      <c r="P76" s="1503">
        <f>'Table 9'!P12</f>
        <v>0</v>
      </c>
      <c r="Q76" s="1500">
        <f>'Table 9'!Q12</f>
        <v>1.06</v>
      </c>
      <c r="R76" s="1922">
        <f>'Table 9'!R12</f>
        <v>1.06</v>
      </c>
      <c r="S76" s="1503">
        <f>'Table 9'!S12</f>
        <v>0</v>
      </c>
      <c r="T76" s="1500">
        <f>'Table 9'!T12</f>
        <v>1.06</v>
      </c>
      <c r="U76" s="1922">
        <f>'Table 9'!U12</f>
        <v>1.05</v>
      </c>
      <c r="V76" s="1503">
        <f>'Table 9'!V12</f>
        <v>0</v>
      </c>
      <c r="W76" s="1500">
        <f>'Table 9'!W12</f>
        <v>1.05</v>
      </c>
      <c r="X76" s="1819">
        <f t="shared" si="209"/>
        <v>0.01</v>
      </c>
      <c r="Y76" s="1922">
        <f>U76</f>
        <v>1.05</v>
      </c>
      <c r="Z76" s="1503">
        <f t="shared" si="303"/>
        <v>0</v>
      </c>
      <c r="AA76" s="1500">
        <f t="shared" si="304"/>
        <v>1.05</v>
      </c>
      <c r="AC76" s="846">
        <f t="shared" si="210"/>
        <v>0.01</v>
      </c>
    </row>
    <row r="77" spans="1:29" ht="27.75" thickTop="1" thickBot="1">
      <c r="A77" s="1490" t="s">
        <v>66</v>
      </c>
      <c r="B77" s="1505" t="s">
        <v>18</v>
      </c>
      <c r="C77" s="1498">
        <f>SUM(C75:C76)</f>
        <v>1.04</v>
      </c>
      <c r="D77" s="1504">
        <f t="shared" ref="D77" si="305">SUM(D75:D76)</f>
        <v>0</v>
      </c>
      <c r="E77" s="1501">
        <f t="shared" ref="E77" si="306">SUM(E75:E76)</f>
        <v>1.04</v>
      </c>
      <c r="F77" s="1498">
        <f t="shared" ref="F77" si="307">SUM(F75:F76)</f>
        <v>1.06</v>
      </c>
      <c r="G77" s="1504">
        <f t="shared" ref="G77" si="308">SUM(G75:G76)</f>
        <v>0</v>
      </c>
      <c r="H77" s="1501">
        <f t="shared" ref="H77" si="309">SUM(H75:H76)</f>
        <v>1.06</v>
      </c>
      <c r="I77" s="1498">
        <f t="shared" ref="I77" si="310">SUM(I75:I76)</f>
        <v>1.06</v>
      </c>
      <c r="J77" s="1504">
        <f t="shared" ref="J77" si="311">SUM(J75:J76)</f>
        <v>0</v>
      </c>
      <c r="K77" s="1501">
        <f t="shared" ref="K77" si="312">SUM(K75:K76)</f>
        <v>1.06</v>
      </c>
      <c r="L77" s="1498">
        <f t="shared" ref="L77" si="313">SUM(L75:L76)</f>
        <v>1.06</v>
      </c>
      <c r="M77" s="1504">
        <f t="shared" ref="M77" si="314">SUM(M75:M76)</f>
        <v>0</v>
      </c>
      <c r="N77" s="1501">
        <f t="shared" ref="N77" si="315">SUM(N75:N76)</f>
        <v>1.06</v>
      </c>
      <c r="O77" s="1498">
        <f t="shared" ref="O77" si="316">SUM(O75:O76)</f>
        <v>1.06</v>
      </c>
      <c r="P77" s="1504">
        <f t="shared" ref="P77" si="317">SUM(P75:P76)</f>
        <v>0</v>
      </c>
      <c r="Q77" s="1501">
        <f t="shared" ref="Q77" si="318">SUM(Q75:Q76)</f>
        <v>1.06</v>
      </c>
      <c r="R77" s="1498">
        <f t="shared" ref="R77" si="319">SUM(R75:R76)</f>
        <v>1.06</v>
      </c>
      <c r="S77" s="1504">
        <f t="shared" ref="S77" si="320">SUM(S75:S76)</f>
        <v>0</v>
      </c>
      <c r="T77" s="1501">
        <f t="shared" ref="T77" si="321">SUM(T75:T76)</f>
        <v>1.06</v>
      </c>
      <c r="U77" s="1498">
        <f t="shared" ref="U77" si="322">SUM(U75:U76)</f>
        <v>1.05</v>
      </c>
      <c r="V77" s="1504">
        <f t="shared" ref="V77" si="323">SUM(V75:V76)</f>
        <v>0</v>
      </c>
      <c r="W77" s="1501">
        <f t="shared" ref="W77" si="324">SUM(W75:W76)</f>
        <v>1.05</v>
      </c>
      <c r="X77" s="1514">
        <f t="shared" si="209"/>
        <v>0.01</v>
      </c>
      <c r="Y77" s="1498">
        <f t="shared" ref="Y77" si="325">SUM(Y75:Y76)</f>
        <v>1.05</v>
      </c>
      <c r="Z77" s="1504">
        <f t="shared" ref="Z77" si="326">SUM(Z75:Z76)</f>
        <v>0</v>
      </c>
      <c r="AA77" s="1501">
        <f t="shared" ref="AA77" si="327">SUM(AA75:AA76)</f>
        <v>1.05</v>
      </c>
      <c r="AC77" s="1823">
        <f t="shared" si="210"/>
        <v>0.01</v>
      </c>
    </row>
    <row r="78" spans="1:29">
      <c r="A78" s="1493" t="s">
        <v>67</v>
      </c>
      <c r="B78" s="1492" t="s">
        <v>15</v>
      </c>
      <c r="C78" s="1497">
        <f>'Table 10'!C11</f>
        <v>0</v>
      </c>
      <c r="D78" s="1507">
        <f>'Table 10'!D11</f>
        <v>0</v>
      </c>
      <c r="E78" s="1499">
        <f>'Table 10'!E11</f>
        <v>0</v>
      </c>
      <c r="F78" s="1497">
        <f>'Table 10'!F11</f>
        <v>0</v>
      </c>
      <c r="G78" s="1507">
        <f>'Table 10'!G11</f>
        <v>0</v>
      </c>
      <c r="H78" s="1499">
        <f>'Table 10'!H11</f>
        <v>0</v>
      </c>
      <c r="I78" s="1497">
        <f>'Table 10'!I11</f>
        <v>0</v>
      </c>
      <c r="J78" s="1507">
        <f>'Table 10'!J11</f>
        <v>0</v>
      </c>
      <c r="K78" s="1499">
        <f>'Table 10'!K11</f>
        <v>0</v>
      </c>
      <c r="L78" s="1497">
        <f>'Table 10'!L11</f>
        <v>0</v>
      </c>
      <c r="M78" s="1507">
        <f>'Table 10'!M11</f>
        <v>0</v>
      </c>
      <c r="N78" s="1499">
        <f>'Table 10'!N11</f>
        <v>0</v>
      </c>
      <c r="O78" s="1497">
        <f>'Table 10'!O11</f>
        <v>0</v>
      </c>
      <c r="P78" s="1507">
        <f>'Table 10'!P11</f>
        <v>0</v>
      </c>
      <c r="Q78" s="1499">
        <f>'Table 10'!Q11</f>
        <v>0</v>
      </c>
      <c r="R78" s="1497">
        <f>'Table 10'!R11</f>
        <v>0</v>
      </c>
      <c r="S78" s="1507">
        <f>'Table 10'!S11</f>
        <v>0</v>
      </c>
      <c r="T78" s="1499">
        <f>'Table 10'!T11</f>
        <v>0</v>
      </c>
      <c r="U78" s="1497">
        <f>'Table 10'!U11</f>
        <v>0</v>
      </c>
      <c r="V78" s="1507">
        <f>'Table 10'!V11</f>
        <v>0</v>
      </c>
      <c r="W78" s="1499">
        <f>'Table 10'!W11</f>
        <v>0</v>
      </c>
      <c r="X78" s="1821" t="s">
        <v>16</v>
      </c>
      <c r="Y78" s="1497">
        <f>U78</f>
        <v>0</v>
      </c>
      <c r="Z78" s="1507">
        <f t="shared" ref="Z78:Z79" si="328">V78</f>
        <v>0</v>
      </c>
      <c r="AA78" s="1499">
        <f t="shared" ref="AA78:AA79" si="329">W78</f>
        <v>0</v>
      </c>
      <c r="AC78" s="1653">
        <f t="shared" si="210"/>
        <v>0</v>
      </c>
    </row>
    <row r="79" spans="1:29" ht="15.75" thickBot="1">
      <c r="A79" s="175" t="s">
        <v>67</v>
      </c>
      <c r="B79" s="1489" t="s">
        <v>17</v>
      </c>
      <c r="C79" s="1922">
        <f>'Table 10'!C12</f>
        <v>0</v>
      </c>
      <c r="D79" s="1503">
        <f>'Table 10'!D12</f>
        <v>0</v>
      </c>
      <c r="E79" s="1500">
        <f>'Table 10'!E12</f>
        <v>0</v>
      </c>
      <c r="F79" s="1922">
        <f>'Table 10'!F12</f>
        <v>0</v>
      </c>
      <c r="G79" s="1503">
        <f>'Table 10'!G12</f>
        <v>0</v>
      </c>
      <c r="H79" s="1500">
        <f>'Table 10'!H12</f>
        <v>0</v>
      </c>
      <c r="I79" s="1922">
        <f>'Table 10'!I12</f>
        <v>0</v>
      </c>
      <c r="J79" s="1503">
        <f>'Table 10'!J12</f>
        <v>0</v>
      </c>
      <c r="K79" s="1500">
        <f>'Table 10'!K12</f>
        <v>0</v>
      </c>
      <c r="L79" s="1922">
        <f>'Table 10'!L12</f>
        <v>0</v>
      </c>
      <c r="M79" s="1503">
        <f>'Table 10'!M12</f>
        <v>0</v>
      </c>
      <c r="N79" s="1500">
        <f>'Table 10'!N12</f>
        <v>0</v>
      </c>
      <c r="O79" s="1922">
        <f>'Table 10'!O12</f>
        <v>0</v>
      </c>
      <c r="P79" s="1503">
        <f>'Table 10'!P12</f>
        <v>0</v>
      </c>
      <c r="Q79" s="1500">
        <f>'Table 10'!Q12</f>
        <v>0</v>
      </c>
      <c r="R79" s="1922">
        <f>'Table 10'!R12</f>
        <v>0</v>
      </c>
      <c r="S79" s="1503">
        <f>'Table 10'!S12</f>
        <v>0</v>
      </c>
      <c r="T79" s="1500">
        <f>'Table 10'!T12</f>
        <v>0</v>
      </c>
      <c r="U79" s="1922">
        <f>'Table 10'!U12</f>
        <v>0</v>
      </c>
      <c r="V79" s="1503">
        <f>'Table 10'!V12</f>
        <v>0</v>
      </c>
      <c r="W79" s="1500">
        <f>'Table 10'!W12</f>
        <v>0</v>
      </c>
      <c r="X79" s="1820" t="s">
        <v>16</v>
      </c>
      <c r="Y79" s="1922">
        <f>U79</f>
        <v>0</v>
      </c>
      <c r="Z79" s="1503">
        <f t="shared" si="328"/>
        <v>0</v>
      </c>
      <c r="AA79" s="1500">
        <f t="shared" si="329"/>
        <v>0</v>
      </c>
      <c r="AC79" s="846">
        <f t="shared" si="210"/>
        <v>0</v>
      </c>
    </row>
    <row r="80" spans="1:29" ht="16.5" thickTop="1" thickBot="1">
      <c r="A80" s="1491" t="s">
        <v>67</v>
      </c>
      <c r="B80" s="1505" t="s">
        <v>18</v>
      </c>
      <c r="C80" s="1498">
        <f>SUM(C78:C79)</f>
        <v>0</v>
      </c>
      <c r="D80" s="1504">
        <f t="shared" ref="D80" si="330">SUM(D78:D79)</f>
        <v>0</v>
      </c>
      <c r="E80" s="1501">
        <f t="shared" ref="E80" si="331">SUM(E78:E79)</f>
        <v>0</v>
      </c>
      <c r="F80" s="1498">
        <f t="shared" ref="F80" si="332">SUM(F78:F79)</f>
        <v>0</v>
      </c>
      <c r="G80" s="1504">
        <f t="shared" ref="G80" si="333">SUM(G78:G79)</f>
        <v>0</v>
      </c>
      <c r="H80" s="1501">
        <f t="shared" ref="H80" si="334">SUM(H78:H79)</f>
        <v>0</v>
      </c>
      <c r="I80" s="1498">
        <f t="shared" ref="I80" si="335">SUM(I78:I79)</f>
        <v>0</v>
      </c>
      <c r="J80" s="1504">
        <f t="shared" ref="J80" si="336">SUM(J78:J79)</f>
        <v>0</v>
      </c>
      <c r="K80" s="1501">
        <f t="shared" ref="K80" si="337">SUM(K78:K79)</f>
        <v>0</v>
      </c>
      <c r="L80" s="1498">
        <f t="shared" ref="L80" si="338">SUM(L78:L79)</f>
        <v>0</v>
      </c>
      <c r="M80" s="1504">
        <f t="shared" ref="M80" si="339">SUM(M78:M79)</f>
        <v>0</v>
      </c>
      <c r="N80" s="1501">
        <f t="shared" ref="N80" si="340">SUM(N78:N79)</f>
        <v>0</v>
      </c>
      <c r="O80" s="1498">
        <f t="shared" ref="O80" si="341">SUM(O78:O79)</f>
        <v>0</v>
      </c>
      <c r="P80" s="1504">
        <f t="shared" ref="P80" si="342">SUM(P78:P79)</f>
        <v>0</v>
      </c>
      <c r="Q80" s="1501">
        <f t="shared" ref="Q80" si="343">SUM(Q78:Q79)</f>
        <v>0</v>
      </c>
      <c r="R80" s="1498">
        <f t="shared" ref="R80" si="344">SUM(R78:R79)</f>
        <v>0</v>
      </c>
      <c r="S80" s="1504">
        <f t="shared" ref="S80" si="345">SUM(S78:S79)</f>
        <v>0</v>
      </c>
      <c r="T80" s="1501">
        <f t="shared" ref="T80" si="346">SUM(T78:T79)</f>
        <v>0</v>
      </c>
      <c r="U80" s="1498">
        <f t="shared" ref="U80" si="347">SUM(U78:U79)</f>
        <v>0</v>
      </c>
      <c r="V80" s="1504">
        <f t="shared" ref="V80" si="348">SUM(V78:V79)</f>
        <v>0</v>
      </c>
      <c r="W80" s="1501">
        <f t="shared" ref="W80" si="349">SUM(W78:W79)</f>
        <v>0</v>
      </c>
      <c r="X80" s="1533" t="s">
        <v>16</v>
      </c>
      <c r="Y80" s="1498">
        <f t="shared" ref="Y80" si="350">SUM(Y78:Y79)</f>
        <v>0</v>
      </c>
      <c r="Z80" s="1504">
        <f t="shared" ref="Z80" si="351">SUM(Z78:Z79)</f>
        <v>0</v>
      </c>
      <c r="AA80" s="1501">
        <f t="shared" ref="AA80" si="352">SUM(AA78:AA79)</f>
        <v>0</v>
      </c>
      <c r="AC80" s="1823">
        <f t="shared" si="210"/>
        <v>0</v>
      </c>
    </row>
    <row r="81" spans="1:29" ht="15.75" thickBot="1">
      <c r="A81" s="1494" t="s">
        <v>696</v>
      </c>
      <c r="B81" s="1506" t="s">
        <v>15</v>
      </c>
      <c r="C81" s="1508">
        <f>C63+C66+C69+C72+C75+C78</f>
        <v>0.32</v>
      </c>
      <c r="D81" s="1536">
        <f t="shared" ref="D81:W81" si="353">D63+D66+D69+D72+D75+D78</f>
        <v>0</v>
      </c>
      <c r="E81" s="1534">
        <f t="shared" si="353"/>
        <v>0.32</v>
      </c>
      <c r="F81" s="1508">
        <f t="shared" si="353"/>
        <v>0.22</v>
      </c>
      <c r="G81" s="1536">
        <f t="shared" si="353"/>
        <v>0</v>
      </c>
      <c r="H81" s="1534">
        <f t="shared" si="353"/>
        <v>0.22</v>
      </c>
      <c r="I81" s="1508">
        <f t="shared" si="353"/>
        <v>0.26</v>
      </c>
      <c r="J81" s="1536">
        <f t="shared" si="353"/>
        <v>0</v>
      </c>
      <c r="K81" s="1534">
        <f t="shared" si="353"/>
        <v>0.26</v>
      </c>
      <c r="L81" s="1508">
        <f t="shared" si="353"/>
        <v>0.28000000000000003</v>
      </c>
      <c r="M81" s="1536">
        <f t="shared" si="353"/>
        <v>0</v>
      </c>
      <c r="N81" s="1534">
        <f t="shared" si="353"/>
        <v>0.28000000000000003</v>
      </c>
      <c r="O81" s="1508">
        <f t="shared" si="353"/>
        <v>0.28000000000000003</v>
      </c>
      <c r="P81" s="1536">
        <f t="shared" si="353"/>
        <v>0</v>
      </c>
      <c r="Q81" s="1534">
        <f t="shared" si="353"/>
        <v>0.28000000000000003</v>
      </c>
      <c r="R81" s="1508">
        <f t="shared" si="353"/>
        <v>0.28999999999999998</v>
      </c>
      <c r="S81" s="1536">
        <f t="shared" si="353"/>
        <v>0</v>
      </c>
      <c r="T81" s="1534">
        <f t="shared" si="353"/>
        <v>0.28999999999999998</v>
      </c>
      <c r="U81" s="1508">
        <f t="shared" si="353"/>
        <v>0.31</v>
      </c>
      <c r="V81" s="1536">
        <f t="shared" si="353"/>
        <v>0</v>
      </c>
      <c r="W81" s="1534">
        <f t="shared" si="353"/>
        <v>0.31</v>
      </c>
      <c r="X81" s="1515">
        <f t="shared" si="209"/>
        <v>-0.03</v>
      </c>
      <c r="Y81" s="1508">
        <f t="shared" ref="Y81:AA81" si="354">Y63+Y66+Y69+Y72+Y75+Y78</f>
        <v>0.33</v>
      </c>
      <c r="Z81" s="1536">
        <f t="shared" si="354"/>
        <v>0</v>
      </c>
      <c r="AA81" s="1509">
        <f t="shared" si="354"/>
        <v>0.33</v>
      </c>
      <c r="AC81" s="1824">
        <f t="shared" si="210"/>
        <v>-0.01</v>
      </c>
    </row>
    <row r="82" spans="1:29" ht="15.75" thickBot="1">
      <c r="A82" s="1495" t="s">
        <v>696</v>
      </c>
      <c r="B82" s="1489" t="s">
        <v>17</v>
      </c>
      <c r="C82" s="1510">
        <f>C64+C67+C70+C73+C76+C79</f>
        <v>4.71</v>
      </c>
      <c r="D82" s="1537">
        <f t="shared" ref="D82:W82" si="355">D64+D67+D70+D73+D76+D79</f>
        <v>0</v>
      </c>
      <c r="E82" s="1535">
        <f t="shared" si="355"/>
        <v>4.71</v>
      </c>
      <c r="F82" s="1510">
        <f t="shared" si="355"/>
        <v>4.8600000000000003</v>
      </c>
      <c r="G82" s="1537">
        <f t="shared" si="355"/>
        <v>0</v>
      </c>
      <c r="H82" s="1535">
        <f t="shared" si="355"/>
        <v>4.8600000000000003</v>
      </c>
      <c r="I82" s="1510">
        <f t="shared" si="355"/>
        <v>4.84</v>
      </c>
      <c r="J82" s="1537">
        <f t="shared" si="355"/>
        <v>0</v>
      </c>
      <c r="K82" s="1535">
        <f t="shared" si="355"/>
        <v>4.84</v>
      </c>
      <c r="L82" s="1510">
        <f t="shared" si="355"/>
        <v>4.84</v>
      </c>
      <c r="M82" s="1537">
        <f t="shared" si="355"/>
        <v>0</v>
      </c>
      <c r="N82" s="1535">
        <f t="shared" si="355"/>
        <v>4.84</v>
      </c>
      <c r="O82" s="1510">
        <f t="shared" si="355"/>
        <v>4.87</v>
      </c>
      <c r="P82" s="1537">
        <f t="shared" si="355"/>
        <v>0</v>
      </c>
      <c r="Q82" s="1535">
        <f t="shared" si="355"/>
        <v>4.87</v>
      </c>
      <c r="R82" s="1510">
        <f t="shared" si="355"/>
        <v>4.87</v>
      </c>
      <c r="S82" s="1537">
        <f t="shared" si="355"/>
        <v>0</v>
      </c>
      <c r="T82" s="1535">
        <f t="shared" si="355"/>
        <v>4.87</v>
      </c>
      <c r="U82" s="1510">
        <f t="shared" si="355"/>
        <v>4.8499999999999996</v>
      </c>
      <c r="V82" s="1537">
        <f t="shared" si="355"/>
        <v>0</v>
      </c>
      <c r="W82" s="1535">
        <f t="shared" si="355"/>
        <v>4.8499999999999996</v>
      </c>
      <c r="X82" s="1516">
        <f t="shared" si="209"/>
        <v>0.03</v>
      </c>
      <c r="Y82" s="1510">
        <f t="shared" ref="Y82:AA82" si="356">Y64+Y67+Y70+Y73+Y76+Y79</f>
        <v>5.47</v>
      </c>
      <c r="Z82" s="1537">
        <f t="shared" si="356"/>
        <v>0</v>
      </c>
      <c r="AA82" s="1511">
        <f t="shared" si="356"/>
        <v>5.47</v>
      </c>
      <c r="AC82" s="1825">
        <f t="shared" si="210"/>
        <v>0.14000000000000001</v>
      </c>
    </row>
    <row r="83" spans="1:29" ht="16.5" thickTop="1" thickBot="1">
      <c r="A83" s="3406" t="s">
        <v>697</v>
      </c>
      <c r="B83" s="3407"/>
      <c r="C83" s="1512">
        <f>C81+C82</f>
        <v>5.03</v>
      </c>
      <c r="D83" s="1538">
        <f t="shared" ref="D83" si="357">D81+D82</f>
        <v>0</v>
      </c>
      <c r="E83" s="1513">
        <f t="shared" ref="E83" si="358">E81+E82</f>
        <v>5.03</v>
      </c>
      <c r="F83" s="1512">
        <f t="shared" ref="F83" si="359">F81+F82</f>
        <v>5.08</v>
      </c>
      <c r="G83" s="1538">
        <f t="shared" ref="G83" si="360">G81+G82</f>
        <v>0</v>
      </c>
      <c r="H83" s="1513">
        <f t="shared" ref="H83" si="361">H81+H82</f>
        <v>5.08</v>
      </c>
      <c r="I83" s="1512">
        <f t="shared" ref="I83" si="362">I81+I82</f>
        <v>5.0999999999999996</v>
      </c>
      <c r="J83" s="1538">
        <f t="shared" ref="J83" si="363">J81+J82</f>
        <v>0</v>
      </c>
      <c r="K83" s="1513">
        <f t="shared" ref="K83" si="364">K81+K82</f>
        <v>5.0999999999999996</v>
      </c>
      <c r="L83" s="1512">
        <f t="shared" ref="L83" si="365">L81+L82</f>
        <v>5.12</v>
      </c>
      <c r="M83" s="1538">
        <f t="shared" ref="M83" si="366">M81+M82</f>
        <v>0</v>
      </c>
      <c r="N83" s="1513">
        <f t="shared" ref="N83" si="367">N81+N82</f>
        <v>5.12</v>
      </c>
      <c r="O83" s="1512">
        <f t="shared" ref="O83" si="368">O81+O82</f>
        <v>5.15</v>
      </c>
      <c r="P83" s="1538">
        <f t="shared" ref="P83" si="369">P81+P82</f>
        <v>0</v>
      </c>
      <c r="Q83" s="1513">
        <f t="shared" ref="Q83" si="370">Q81+Q82</f>
        <v>5.15</v>
      </c>
      <c r="R83" s="1512">
        <f t="shared" ref="R83" si="371">R81+R82</f>
        <v>5.16</v>
      </c>
      <c r="S83" s="1538">
        <f t="shared" ref="S83" si="372">S81+S82</f>
        <v>0</v>
      </c>
      <c r="T83" s="1513">
        <f t="shared" ref="T83" si="373">T81+T82</f>
        <v>5.16</v>
      </c>
      <c r="U83" s="1512">
        <f t="shared" ref="U83" si="374">U81+U82</f>
        <v>5.16</v>
      </c>
      <c r="V83" s="1538">
        <f t="shared" ref="V83" si="375">V81+V82</f>
        <v>0</v>
      </c>
      <c r="W83" s="1513">
        <f t="shared" ref="W83" si="376">W81+W82</f>
        <v>5.16</v>
      </c>
      <c r="X83" s="1517">
        <f t="shared" si="209"/>
        <v>0.03</v>
      </c>
      <c r="Y83" s="1512">
        <f t="shared" ref="Y83" si="377">Y81+Y82</f>
        <v>5.8</v>
      </c>
      <c r="Z83" s="1538">
        <f t="shared" ref="Z83" si="378">Z81+Z82</f>
        <v>0</v>
      </c>
      <c r="AA83" s="1513">
        <f t="shared" ref="AA83" si="379">AA81+AA82</f>
        <v>5.8</v>
      </c>
      <c r="AC83" s="855">
        <f t="shared" si="210"/>
        <v>0.13</v>
      </c>
    </row>
    <row r="84" spans="1:29">
      <c r="A84" s="89" t="s">
        <v>35</v>
      </c>
    </row>
    <row r="85" spans="1:29">
      <c r="A85" s="1" t="s">
        <v>68</v>
      </c>
    </row>
    <row r="86" spans="1:29">
      <c r="A86" s="1" t="s">
        <v>69</v>
      </c>
    </row>
    <row r="88" spans="1:29" ht="15.75" thickBot="1">
      <c r="A88" s="1" t="s">
        <v>698</v>
      </c>
    </row>
    <row r="89" spans="1:29" ht="15.75" customHeight="1" thickBot="1">
      <c r="A89" s="3204" t="s">
        <v>54</v>
      </c>
      <c r="B89" s="3206" t="s">
        <v>2</v>
      </c>
      <c r="C89" s="3261" t="s">
        <v>55</v>
      </c>
      <c r="D89" s="3262"/>
      <c r="E89" s="3263"/>
      <c r="F89" s="3261" t="s">
        <v>56</v>
      </c>
      <c r="G89" s="3262"/>
      <c r="H89" s="3262"/>
      <c r="I89" s="3262"/>
      <c r="J89" s="3262"/>
      <c r="K89" s="3262"/>
      <c r="L89" s="3262"/>
      <c r="M89" s="3262"/>
      <c r="N89" s="3262"/>
      <c r="O89" s="3262"/>
      <c r="P89" s="3262"/>
      <c r="Q89" s="3262"/>
      <c r="R89" s="3262"/>
      <c r="S89" s="3262"/>
      <c r="T89" s="3262"/>
      <c r="U89" s="3262"/>
      <c r="V89" s="3262"/>
      <c r="W89" s="3263"/>
      <c r="X89" s="3255" t="s">
        <v>57</v>
      </c>
      <c r="Y89" s="3261" t="s">
        <v>58</v>
      </c>
      <c r="Z89" s="3262"/>
      <c r="AA89" s="3263"/>
      <c r="AC89" s="3255" t="s">
        <v>80</v>
      </c>
    </row>
    <row r="90" spans="1:29">
      <c r="A90" s="3205"/>
      <c r="B90" s="3207"/>
      <c r="C90" s="3258">
        <v>2015</v>
      </c>
      <c r="D90" s="3264"/>
      <c r="E90" s="3245"/>
      <c r="F90" s="3258">
        <v>2020</v>
      </c>
      <c r="G90" s="3264"/>
      <c r="H90" s="3245"/>
      <c r="I90" s="3258">
        <v>2025</v>
      </c>
      <c r="J90" s="3264"/>
      <c r="K90" s="3245"/>
      <c r="L90" s="3258">
        <v>2030</v>
      </c>
      <c r="M90" s="3264"/>
      <c r="N90" s="3245"/>
      <c r="O90" s="3258">
        <v>2035</v>
      </c>
      <c r="P90" s="3264"/>
      <c r="Q90" s="3245"/>
      <c r="R90" s="3258">
        <v>2040</v>
      </c>
      <c r="S90" s="3264"/>
      <c r="T90" s="3245"/>
      <c r="U90" s="3258">
        <v>2045</v>
      </c>
      <c r="V90" s="3264"/>
      <c r="W90" s="3245"/>
      <c r="X90" s="3256"/>
      <c r="Y90" s="3258">
        <v>2045</v>
      </c>
      <c r="Z90" s="3264"/>
      <c r="AA90" s="3245"/>
      <c r="AC90" s="3256"/>
    </row>
    <row r="91" spans="1:29" ht="15.75" thickBot="1">
      <c r="A91" s="3485"/>
      <c r="B91" s="3208"/>
      <c r="C91" s="1130" t="s">
        <v>60</v>
      </c>
      <c r="D91" s="1128" t="s">
        <v>61</v>
      </c>
      <c r="E91" s="1681" t="s">
        <v>18</v>
      </c>
      <c r="F91" s="1127" t="s">
        <v>60</v>
      </c>
      <c r="G91" s="1131" t="s">
        <v>61</v>
      </c>
      <c r="H91" s="1680" t="s">
        <v>18</v>
      </c>
      <c r="I91" s="1130" t="s">
        <v>60</v>
      </c>
      <c r="J91" s="1128" t="s">
        <v>61</v>
      </c>
      <c r="K91" s="1681" t="s">
        <v>18</v>
      </c>
      <c r="L91" s="1127" t="s">
        <v>60</v>
      </c>
      <c r="M91" s="1131" t="s">
        <v>61</v>
      </c>
      <c r="N91" s="1680" t="s">
        <v>18</v>
      </c>
      <c r="O91" s="1130" t="s">
        <v>60</v>
      </c>
      <c r="P91" s="1128" t="s">
        <v>61</v>
      </c>
      <c r="Q91" s="1681" t="s">
        <v>18</v>
      </c>
      <c r="R91" s="1130" t="s">
        <v>60</v>
      </c>
      <c r="S91" s="1131" t="s">
        <v>61</v>
      </c>
      <c r="T91" s="1680" t="s">
        <v>18</v>
      </c>
      <c r="U91" s="1130" t="s">
        <v>60</v>
      </c>
      <c r="V91" s="1131" t="s">
        <v>61</v>
      </c>
      <c r="W91" s="1680" t="s">
        <v>18</v>
      </c>
      <c r="X91" s="3257"/>
      <c r="Y91" s="1817" t="s">
        <v>60</v>
      </c>
      <c r="Z91" s="1818" t="s">
        <v>61</v>
      </c>
      <c r="AA91" s="1135" t="s">
        <v>18</v>
      </c>
      <c r="AC91" s="3483"/>
    </row>
    <row r="92" spans="1:29">
      <c r="A92" s="993" t="s">
        <v>62</v>
      </c>
      <c r="B92" s="1492" t="s">
        <v>15</v>
      </c>
      <c r="C92" s="1497">
        <f>'Table 4'!J14</f>
        <v>12.89</v>
      </c>
      <c r="D92" s="1507">
        <f>'Table 4'!K14</f>
        <v>0</v>
      </c>
      <c r="E92" s="1499">
        <f>'Table 4'!L14</f>
        <v>12.89</v>
      </c>
      <c r="F92" s="1497">
        <f>'Table 4'!M14</f>
        <v>13.7</v>
      </c>
      <c r="G92" s="1507">
        <f>'Table 4'!N14</f>
        <v>0</v>
      </c>
      <c r="H92" s="1499">
        <f>'Table 4'!O14+'Table 4'!P14</f>
        <v>14.99</v>
      </c>
      <c r="I92" s="1497">
        <f>'Table 4'!Q14</f>
        <v>15.29</v>
      </c>
      <c r="J92" s="1507">
        <f>'Table 4'!R14</f>
        <v>0</v>
      </c>
      <c r="K92" s="1499">
        <f>'Table 4'!S14+'Table 4'!T14</f>
        <v>16.579999999999998</v>
      </c>
      <c r="L92" s="1497">
        <f>'Table 4'!U14</f>
        <v>15.63</v>
      </c>
      <c r="M92" s="1507">
        <f>'Table 4'!V14</f>
        <v>0</v>
      </c>
      <c r="N92" s="1499">
        <f>'Table 4'!W14+'Table 4'!X14</f>
        <v>16.920000000000002</v>
      </c>
      <c r="O92" s="1497">
        <f>'Table 4'!Y14</f>
        <v>16.77</v>
      </c>
      <c r="P92" s="1507">
        <f>'Table 4'!Z14</f>
        <v>0</v>
      </c>
      <c r="Q92" s="1499">
        <f>'Table 4'!AA14+'Table 4'!AB14</f>
        <v>18.059999999999999</v>
      </c>
      <c r="R92" s="1497">
        <f>'Table 4'!AC14</f>
        <v>17.440000000000001</v>
      </c>
      <c r="S92" s="1507">
        <f>'Table 4'!AD14</f>
        <v>0</v>
      </c>
      <c r="T92" s="1499">
        <f>'Table 4'!AE14+'Table 4'!AF14</f>
        <v>18.73</v>
      </c>
      <c r="U92" s="1497">
        <f>'Table 4'!AG14</f>
        <v>18.16</v>
      </c>
      <c r="V92" s="1507">
        <f>'Table 4'!AH14</f>
        <v>0</v>
      </c>
      <c r="W92" s="1499">
        <f>'Table 4'!AI14+'Table 4'!AJ14</f>
        <v>19.600000000000001</v>
      </c>
      <c r="X92" s="1813">
        <f>(W92-E92)/E92</f>
        <v>0.52</v>
      </c>
      <c r="Y92" s="1497">
        <f>'Table 4'!AL14</f>
        <v>19.25</v>
      </c>
      <c r="Z92" s="1507">
        <f>'Table 4'!AM14</f>
        <v>0</v>
      </c>
      <c r="AA92" s="1499">
        <f>'Table 4'!AN14+'Table 4'!AO14</f>
        <v>20.78</v>
      </c>
      <c r="AC92" s="1653">
        <f>W92-E92</f>
        <v>6.71</v>
      </c>
    </row>
    <row r="93" spans="1:29" ht="26.25">
      <c r="A93" s="993" t="s">
        <v>63</v>
      </c>
      <c r="B93" s="1492" t="s">
        <v>15</v>
      </c>
      <c r="C93" s="1497">
        <f>'Table 6'!K14</f>
        <v>6.8</v>
      </c>
      <c r="D93" s="1507">
        <f>'Table 6'!L14</f>
        <v>0</v>
      </c>
      <c r="E93" s="1499">
        <f>'Table 6'!M14</f>
        <v>6.8</v>
      </c>
      <c r="F93" s="1497">
        <f>'Table 6'!N14</f>
        <v>5.0999999999999996</v>
      </c>
      <c r="G93" s="1507">
        <f>'Table 6'!O14</f>
        <v>0</v>
      </c>
      <c r="H93" s="1499">
        <f>'Table 6'!P14</f>
        <v>5.0999999999999996</v>
      </c>
      <c r="I93" s="1497">
        <f>'Table 6'!Q14</f>
        <v>5.61</v>
      </c>
      <c r="J93" s="1507">
        <f>'Table 6'!R14</f>
        <v>0</v>
      </c>
      <c r="K93" s="1499">
        <f>'Table 6'!S14</f>
        <v>5.61</v>
      </c>
      <c r="L93" s="1497">
        <f>'Table 6'!T14</f>
        <v>6.31</v>
      </c>
      <c r="M93" s="1507">
        <f>'Table 6'!U14</f>
        <v>0</v>
      </c>
      <c r="N93" s="1499">
        <f>'Table 6'!V14</f>
        <v>6.31</v>
      </c>
      <c r="O93" s="1497">
        <f>'Table 6'!W14</f>
        <v>6.55</v>
      </c>
      <c r="P93" s="1507">
        <f>'Table 6'!X14</f>
        <v>0</v>
      </c>
      <c r="Q93" s="1499">
        <f>'Table 6'!Y14</f>
        <v>6.55</v>
      </c>
      <c r="R93" s="1497">
        <f>'Table 6'!Z14</f>
        <v>6.75</v>
      </c>
      <c r="S93" s="1507">
        <f>'Table 6'!AA14</f>
        <v>0</v>
      </c>
      <c r="T93" s="1499">
        <f>'Table 6'!AB14</f>
        <v>6.75</v>
      </c>
      <c r="U93" s="1497">
        <f>'Table 6'!AC14</f>
        <v>6.9</v>
      </c>
      <c r="V93" s="1507">
        <f>'Table 6'!AD14</f>
        <v>0</v>
      </c>
      <c r="W93" s="1499">
        <f>'Table 6'!AE14</f>
        <v>6.9</v>
      </c>
      <c r="X93" s="1813">
        <f t="shared" ref="X93:X98" si="380">(W93-E93)/E93</f>
        <v>0.01</v>
      </c>
      <c r="Y93" s="1497">
        <f>'Table 6'!AG14</f>
        <v>7.31</v>
      </c>
      <c r="Z93" s="1507">
        <f>'Table 6'!AH14</f>
        <v>0</v>
      </c>
      <c r="AA93" s="1499">
        <f>'Table 6'!AI14</f>
        <v>7.31</v>
      </c>
      <c r="AC93" s="1653">
        <f t="shared" ref="AC93:AC98" si="381">W93-E93</f>
        <v>0.1</v>
      </c>
    </row>
    <row r="94" spans="1:29">
      <c r="A94" s="798" t="s">
        <v>64</v>
      </c>
      <c r="B94" s="1492" t="s">
        <v>15</v>
      </c>
      <c r="C94" s="1497">
        <f>'Table 7'!C14</f>
        <v>1.1000000000000001</v>
      </c>
      <c r="D94" s="1507">
        <f>'Table 7'!D14</f>
        <v>0.13</v>
      </c>
      <c r="E94" s="1499">
        <f>'Table 7'!E14</f>
        <v>1.23</v>
      </c>
      <c r="F94" s="1497">
        <f>'Table 7'!F14</f>
        <v>1.23</v>
      </c>
      <c r="G94" s="1507">
        <f>'Table 7'!G14</f>
        <v>0.14000000000000001</v>
      </c>
      <c r="H94" s="1499">
        <f>'Table 7'!H14</f>
        <v>1.37</v>
      </c>
      <c r="I94" s="1497">
        <f>'Table 7'!I14</f>
        <v>1.23</v>
      </c>
      <c r="J94" s="1507">
        <f>'Table 7'!J14</f>
        <v>0.15</v>
      </c>
      <c r="K94" s="1499">
        <f>'Table 7'!K14</f>
        <v>1.38</v>
      </c>
      <c r="L94" s="1497">
        <f>'Table 7'!L14</f>
        <v>1.23</v>
      </c>
      <c r="M94" s="1507">
        <f>'Table 7'!M14</f>
        <v>0.15</v>
      </c>
      <c r="N94" s="1499">
        <f>'Table 7'!N14</f>
        <v>1.38</v>
      </c>
      <c r="O94" s="1497">
        <f>'Table 7'!O14</f>
        <v>1.24</v>
      </c>
      <c r="P94" s="1507">
        <f>'Table 7'!P14</f>
        <v>0.15</v>
      </c>
      <c r="Q94" s="1499">
        <f>'Table 7'!Q14</f>
        <v>1.39</v>
      </c>
      <c r="R94" s="1497">
        <f>'Table 7'!R14</f>
        <v>1.26</v>
      </c>
      <c r="S94" s="1507">
        <f>'Table 7'!S14</f>
        <v>0.15</v>
      </c>
      <c r="T94" s="1499">
        <f>'Table 7'!T14</f>
        <v>1.41</v>
      </c>
      <c r="U94" s="1497">
        <f>'Table 7'!U14</f>
        <v>1.28</v>
      </c>
      <c r="V94" s="1507">
        <f>'Table 7'!V14</f>
        <v>0.15</v>
      </c>
      <c r="W94" s="1499">
        <f>'Table 7'!W14</f>
        <v>1.43</v>
      </c>
      <c r="X94" s="1813">
        <f t="shared" si="380"/>
        <v>0.16</v>
      </c>
      <c r="Y94" s="1497">
        <f>'Table 7'!AG14</f>
        <v>1.54</v>
      </c>
      <c r="Z94" s="1507">
        <f>'Table 7'!AH14</f>
        <v>0.18</v>
      </c>
      <c r="AA94" s="1499">
        <f>'Table 7'!AI14</f>
        <v>1.72</v>
      </c>
      <c r="AC94" s="1653">
        <f t="shared" si="381"/>
        <v>0.2</v>
      </c>
    </row>
    <row r="95" spans="1:29">
      <c r="A95" s="798" t="s">
        <v>65</v>
      </c>
      <c r="B95" s="1492" t="s">
        <v>15</v>
      </c>
      <c r="C95" s="1497">
        <f>'Table 8'!C14</f>
        <v>0.21</v>
      </c>
      <c r="D95" s="1507">
        <f>'Table 8'!D14</f>
        <v>0.2</v>
      </c>
      <c r="E95" s="1499">
        <f>'Table 8'!E14</f>
        <v>0.41</v>
      </c>
      <c r="F95" s="1497">
        <f>'Table 8'!F14</f>
        <v>0.23</v>
      </c>
      <c r="G95" s="1507">
        <f>'Table 8'!G14</f>
        <v>0.22</v>
      </c>
      <c r="H95" s="1499">
        <f>'Table 8'!H14</f>
        <v>0.45</v>
      </c>
      <c r="I95" s="1497">
        <f>'Table 8'!I14</f>
        <v>0.26</v>
      </c>
      <c r="J95" s="1507">
        <f>'Table 8'!J14</f>
        <v>0.24</v>
      </c>
      <c r="K95" s="1499">
        <f>'Table 8'!K14</f>
        <v>0.5</v>
      </c>
      <c r="L95" s="1497">
        <f>'Table 8'!L14</f>
        <v>0.28000000000000003</v>
      </c>
      <c r="M95" s="1507">
        <f>'Table 8'!M14</f>
        <v>0.26</v>
      </c>
      <c r="N95" s="1499">
        <f>'Table 8'!N14</f>
        <v>0.54</v>
      </c>
      <c r="O95" s="1497">
        <f>'Table 8'!O14</f>
        <v>0.3</v>
      </c>
      <c r="P95" s="1507">
        <f>'Table 8'!P14</f>
        <v>0.28999999999999998</v>
      </c>
      <c r="Q95" s="1499">
        <f>'Table 8'!Q14</f>
        <v>0.59</v>
      </c>
      <c r="R95" s="1497">
        <f>'Table 8'!R14</f>
        <v>0.32</v>
      </c>
      <c r="S95" s="1507">
        <f>'Table 8'!S14</f>
        <v>0.3</v>
      </c>
      <c r="T95" s="1499">
        <f>'Table 8'!T14</f>
        <v>0.62</v>
      </c>
      <c r="U95" s="1497">
        <f>'Table 8'!U14</f>
        <v>0.33</v>
      </c>
      <c r="V95" s="1507">
        <f>'Table 8'!V14</f>
        <v>0.32</v>
      </c>
      <c r="W95" s="1499">
        <f>'Table 8'!W14</f>
        <v>0.65</v>
      </c>
      <c r="X95" s="1813">
        <f t="shared" si="380"/>
        <v>0.59</v>
      </c>
      <c r="Y95" s="1497">
        <f>'Table 8'!Y14</f>
        <v>0.46</v>
      </c>
      <c r="Z95" s="1507">
        <f>'Table 8'!Z14</f>
        <v>0.44</v>
      </c>
      <c r="AA95" s="1499">
        <f>'Table 8'!AA14</f>
        <v>0.9</v>
      </c>
      <c r="AC95" s="1653">
        <f t="shared" si="381"/>
        <v>0.24</v>
      </c>
    </row>
    <row r="96" spans="1:29" ht="15" customHeight="1">
      <c r="A96" s="798" t="s">
        <v>66</v>
      </c>
      <c r="B96" s="1518" t="s">
        <v>15</v>
      </c>
      <c r="C96" s="1519">
        <f>'Table 9'!C14</f>
        <v>0.31</v>
      </c>
      <c r="D96" s="1520">
        <f>'Table 9'!D14</f>
        <v>0</v>
      </c>
      <c r="E96" s="1521">
        <f>'Table 9'!E14</f>
        <v>0.31</v>
      </c>
      <c r="F96" s="1519">
        <f>'Table 9'!F14</f>
        <v>0.32</v>
      </c>
      <c r="G96" s="1520">
        <f>'Table 9'!G14</f>
        <v>0</v>
      </c>
      <c r="H96" s="1521">
        <f>'Table 9'!H14</f>
        <v>0.32</v>
      </c>
      <c r="I96" s="1519">
        <f>'Table 9'!I14</f>
        <v>0.34</v>
      </c>
      <c r="J96" s="1520">
        <f>'Table 9'!J14</f>
        <v>0</v>
      </c>
      <c r="K96" s="1521">
        <f>'Table 9'!K14</f>
        <v>0.34</v>
      </c>
      <c r="L96" s="1519">
        <f>'Table 9'!L14</f>
        <v>0.35</v>
      </c>
      <c r="M96" s="1520">
        <f>'Table 9'!M14</f>
        <v>0</v>
      </c>
      <c r="N96" s="1521">
        <f>'Table 9'!N14</f>
        <v>0.35</v>
      </c>
      <c r="O96" s="1519">
        <f>'Table 9'!O14</f>
        <v>0.37</v>
      </c>
      <c r="P96" s="1520">
        <f>'Table 9'!P14</f>
        <v>0</v>
      </c>
      <c r="Q96" s="1521">
        <f>'Table 9'!Q14</f>
        <v>0.37</v>
      </c>
      <c r="R96" s="1519">
        <f>'Table 9'!R14</f>
        <v>0.38</v>
      </c>
      <c r="S96" s="1520">
        <f>'Table 9'!S14</f>
        <v>0</v>
      </c>
      <c r="T96" s="1521">
        <f>'Table 9'!T14</f>
        <v>0.38</v>
      </c>
      <c r="U96" s="1519">
        <f>'Table 9'!U14</f>
        <v>0.39</v>
      </c>
      <c r="V96" s="1520">
        <f>'Table 9'!V14</f>
        <v>0</v>
      </c>
      <c r="W96" s="1521">
        <f>'Table 9'!W14</f>
        <v>0.39</v>
      </c>
      <c r="X96" s="1814">
        <f t="shared" si="380"/>
        <v>0.26</v>
      </c>
      <c r="Y96" s="1519">
        <f>U96</f>
        <v>0.39</v>
      </c>
      <c r="Z96" s="1520">
        <f t="shared" ref="Z96:Z97" si="382">V96</f>
        <v>0</v>
      </c>
      <c r="AA96" s="1521">
        <f t="shared" ref="AA96:AA97" si="383">W96</f>
        <v>0.39</v>
      </c>
      <c r="AC96" s="841">
        <f t="shared" si="381"/>
        <v>0.08</v>
      </c>
    </row>
    <row r="97" spans="1:29" ht="15.75" thickBot="1">
      <c r="A97" s="175" t="s">
        <v>67</v>
      </c>
      <c r="B97" s="1489" t="s">
        <v>15</v>
      </c>
      <c r="C97" s="1522">
        <f>'Table 10'!C14</f>
        <v>0</v>
      </c>
      <c r="D97" s="1523">
        <f>'Table 10'!D14</f>
        <v>0</v>
      </c>
      <c r="E97" s="1524">
        <f>'Table 10'!E14</f>
        <v>0</v>
      </c>
      <c r="F97" s="1522">
        <f>'Table 10'!F14</f>
        <v>0</v>
      </c>
      <c r="G97" s="1523">
        <f>'Table 10'!G14</f>
        <v>0</v>
      </c>
      <c r="H97" s="1524">
        <f>'Table 10'!H14</f>
        <v>0</v>
      </c>
      <c r="I97" s="1522">
        <f>'Table 10'!I14</f>
        <v>0</v>
      </c>
      <c r="J97" s="1523">
        <f>'Table 10'!J14</f>
        <v>0</v>
      </c>
      <c r="K97" s="1524">
        <f>'Table 10'!K14</f>
        <v>0</v>
      </c>
      <c r="L97" s="1522">
        <f>'Table 10'!L14</f>
        <v>0</v>
      </c>
      <c r="M97" s="1523">
        <f>'Table 10'!M14</f>
        <v>0</v>
      </c>
      <c r="N97" s="1524">
        <f>'Table 10'!N14</f>
        <v>0</v>
      </c>
      <c r="O97" s="1522">
        <f>'Table 10'!O14</f>
        <v>0</v>
      </c>
      <c r="P97" s="1523">
        <f>'Table 10'!P14</f>
        <v>0</v>
      </c>
      <c r="Q97" s="1524">
        <f>'Table 10'!Q14</f>
        <v>0</v>
      </c>
      <c r="R97" s="1522">
        <f>'Table 10'!R14</f>
        <v>0</v>
      </c>
      <c r="S97" s="1523">
        <f>'Table 10'!S14</f>
        <v>0</v>
      </c>
      <c r="T97" s="1524">
        <f>'Table 10'!T14</f>
        <v>0</v>
      </c>
      <c r="U97" s="1522">
        <f>'Table 10'!U14</f>
        <v>0</v>
      </c>
      <c r="V97" s="1523">
        <f>'Table 10'!V14</f>
        <v>0</v>
      </c>
      <c r="W97" s="1524">
        <f>'Table 10'!W14</f>
        <v>0</v>
      </c>
      <c r="X97" s="1815" t="s">
        <v>16</v>
      </c>
      <c r="Y97" s="1522">
        <f>U97</f>
        <v>0</v>
      </c>
      <c r="Z97" s="1523">
        <f t="shared" si="382"/>
        <v>0</v>
      </c>
      <c r="AA97" s="1524">
        <f t="shared" si="383"/>
        <v>0</v>
      </c>
      <c r="AC97" s="1822">
        <f t="shared" si="381"/>
        <v>0</v>
      </c>
    </row>
    <row r="98" spans="1:29" ht="16.5" thickTop="1" thickBot="1">
      <c r="A98" s="3481" t="s">
        <v>699</v>
      </c>
      <c r="B98" s="3482"/>
      <c r="C98" s="1512">
        <f t="shared" ref="C98:W98" si="384">C92+C93+C94+C95+C96+C97</f>
        <v>21.31</v>
      </c>
      <c r="D98" s="1538">
        <f t="shared" si="384"/>
        <v>0.33</v>
      </c>
      <c r="E98" s="1513">
        <f t="shared" si="384"/>
        <v>21.64</v>
      </c>
      <c r="F98" s="1512">
        <f t="shared" si="384"/>
        <v>20.58</v>
      </c>
      <c r="G98" s="1538">
        <f t="shared" si="384"/>
        <v>0.36</v>
      </c>
      <c r="H98" s="1513">
        <f t="shared" si="384"/>
        <v>22.23</v>
      </c>
      <c r="I98" s="1512">
        <f t="shared" si="384"/>
        <v>22.73</v>
      </c>
      <c r="J98" s="1538">
        <f t="shared" si="384"/>
        <v>0.39</v>
      </c>
      <c r="K98" s="1513">
        <f t="shared" si="384"/>
        <v>24.41</v>
      </c>
      <c r="L98" s="1512">
        <f t="shared" si="384"/>
        <v>23.8</v>
      </c>
      <c r="M98" s="1538">
        <f t="shared" si="384"/>
        <v>0.41</v>
      </c>
      <c r="N98" s="1513">
        <f t="shared" si="384"/>
        <v>25.5</v>
      </c>
      <c r="O98" s="1512">
        <f t="shared" si="384"/>
        <v>25.23</v>
      </c>
      <c r="P98" s="1538">
        <f t="shared" si="384"/>
        <v>0.44</v>
      </c>
      <c r="Q98" s="1513">
        <f t="shared" si="384"/>
        <v>26.96</v>
      </c>
      <c r="R98" s="1512">
        <f t="shared" si="384"/>
        <v>26.15</v>
      </c>
      <c r="S98" s="1538">
        <f t="shared" si="384"/>
        <v>0.45</v>
      </c>
      <c r="T98" s="1513">
        <f t="shared" si="384"/>
        <v>27.89</v>
      </c>
      <c r="U98" s="1512">
        <f t="shared" si="384"/>
        <v>27.06</v>
      </c>
      <c r="V98" s="1538">
        <f t="shared" si="384"/>
        <v>0.47</v>
      </c>
      <c r="W98" s="1513">
        <f t="shared" si="384"/>
        <v>28.97</v>
      </c>
      <c r="X98" s="1517">
        <f t="shared" si="380"/>
        <v>0.34</v>
      </c>
      <c r="Y98" s="1512">
        <f>Y92+Y93+Y94+Y95+Y96+Y97</f>
        <v>28.95</v>
      </c>
      <c r="Z98" s="1538">
        <f>Z92+Z93+Z94+Z95+Z96+Z97</f>
        <v>0.62</v>
      </c>
      <c r="AA98" s="1513">
        <f>AA92+AA93+AA94+AA95+AA96+AA97</f>
        <v>31.1</v>
      </c>
      <c r="AC98" s="855">
        <f t="shared" si="381"/>
        <v>7.33</v>
      </c>
    </row>
    <row r="99" spans="1:29">
      <c r="A99" s="89" t="s">
        <v>35</v>
      </c>
    </row>
    <row r="100" spans="1:29">
      <c r="A100" s="1" t="s">
        <v>68</v>
      </c>
    </row>
    <row r="101" spans="1:29">
      <c r="A101" s="1" t="s">
        <v>69</v>
      </c>
    </row>
    <row r="102" spans="1:29">
      <c r="A102" s="1" t="s">
        <v>70</v>
      </c>
    </row>
    <row r="104" spans="1:29" ht="15.75" thickBot="1">
      <c r="A104" s="1" t="s">
        <v>700</v>
      </c>
    </row>
    <row r="105" spans="1:29" ht="15.75" customHeight="1" thickBot="1">
      <c r="A105" s="3204" t="s">
        <v>54</v>
      </c>
      <c r="B105" s="3206" t="s">
        <v>2</v>
      </c>
      <c r="C105" s="3261" t="s">
        <v>55</v>
      </c>
      <c r="D105" s="3262"/>
      <c r="E105" s="3263"/>
      <c r="F105" s="3261" t="s">
        <v>56</v>
      </c>
      <c r="G105" s="3262"/>
      <c r="H105" s="3262"/>
      <c r="I105" s="3262"/>
      <c r="J105" s="3262"/>
      <c r="K105" s="3262"/>
      <c r="L105" s="3262"/>
      <c r="M105" s="3262"/>
      <c r="N105" s="3262"/>
      <c r="O105" s="3262"/>
      <c r="P105" s="3262"/>
      <c r="Q105" s="3262"/>
      <c r="R105" s="3262"/>
      <c r="S105" s="3262"/>
      <c r="T105" s="3262"/>
      <c r="U105" s="3262"/>
      <c r="V105" s="3262"/>
      <c r="W105" s="3263"/>
      <c r="X105" s="3255" t="s">
        <v>57</v>
      </c>
      <c r="Y105" s="3261" t="s">
        <v>58</v>
      </c>
      <c r="Z105" s="3262"/>
      <c r="AA105" s="3263"/>
      <c r="AC105" s="3255" t="s">
        <v>80</v>
      </c>
    </row>
    <row r="106" spans="1:29">
      <c r="A106" s="3205"/>
      <c r="B106" s="3207"/>
      <c r="C106" s="3258">
        <v>2015</v>
      </c>
      <c r="D106" s="3264"/>
      <c r="E106" s="3245"/>
      <c r="F106" s="3258">
        <v>2020</v>
      </c>
      <c r="G106" s="3264"/>
      <c r="H106" s="3245"/>
      <c r="I106" s="3258">
        <v>2025</v>
      </c>
      <c r="J106" s="3264"/>
      <c r="K106" s="3245"/>
      <c r="L106" s="3258">
        <v>2030</v>
      </c>
      <c r="M106" s="3264"/>
      <c r="N106" s="3245"/>
      <c r="O106" s="3258">
        <v>2035</v>
      </c>
      <c r="P106" s="3264"/>
      <c r="Q106" s="3245"/>
      <c r="R106" s="3258">
        <v>2040</v>
      </c>
      <c r="S106" s="3264"/>
      <c r="T106" s="3245"/>
      <c r="U106" s="3258">
        <v>2045</v>
      </c>
      <c r="V106" s="3264"/>
      <c r="W106" s="3245"/>
      <c r="X106" s="3256"/>
      <c r="Y106" s="3258">
        <v>2045</v>
      </c>
      <c r="Z106" s="3264"/>
      <c r="AA106" s="3245"/>
      <c r="AC106" s="3256"/>
    </row>
    <row r="107" spans="1:29" ht="15.75" thickBot="1">
      <c r="A107" s="3485"/>
      <c r="B107" s="3208"/>
      <c r="C107" s="1130" t="s">
        <v>60</v>
      </c>
      <c r="D107" s="1128" t="s">
        <v>61</v>
      </c>
      <c r="E107" s="1681" t="s">
        <v>18</v>
      </c>
      <c r="F107" s="1127" t="s">
        <v>60</v>
      </c>
      <c r="G107" s="1131" t="s">
        <v>61</v>
      </c>
      <c r="H107" s="1680" t="s">
        <v>18</v>
      </c>
      <c r="I107" s="1130" t="s">
        <v>60</v>
      </c>
      <c r="J107" s="1128" t="s">
        <v>61</v>
      </c>
      <c r="K107" s="1681" t="s">
        <v>18</v>
      </c>
      <c r="L107" s="1127" t="s">
        <v>60</v>
      </c>
      <c r="M107" s="1131" t="s">
        <v>61</v>
      </c>
      <c r="N107" s="1680" t="s">
        <v>18</v>
      </c>
      <c r="O107" s="1130" t="s">
        <v>60</v>
      </c>
      <c r="P107" s="1128" t="s">
        <v>61</v>
      </c>
      <c r="Q107" s="1681" t="s">
        <v>18</v>
      </c>
      <c r="R107" s="1130" t="s">
        <v>60</v>
      </c>
      <c r="S107" s="1131" t="s">
        <v>61</v>
      </c>
      <c r="T107" s="1680" t="s">
        <v>18</v>
      </c>
      <c r="U107" s="1130" t="s">
        <v>60</v>
      </c>
      <c r="V107" s="1131" t="s">
        <v>61</v>
      </c>
      <c r="W107" s="1680" t="s">
        <v>18</v>
      </c>
      <c r="X107" s="3257"/>
      <c r="Y107" s="1817" t="s">
        <v>60</v>
      </c>
      <c r="Z107" s="1818" t="s">
        <v>61</v>
      </c>
      <c r="AA107" s="1135" t="s">
        <v>18</v>
      </c>
      <c r="AC107" s="3483"/>
    </row>
    <row r="108" spans="1:29">
      <c r="A108" s="993" t="s">
        <v>62</v>
      </c>
      <c r="B108" s="1492" t="s">
        <v>17</v>
      </c>
      <c r="C108" s="1497">
        <f>'Table 4'!J15</f>
        <v>3.32</v>
      </c>
      <c r="D108" s="1507">
        <f>'Table 4'!K15</f>
        <v>0</v>
      </c>
      <c r="E108" s="1499">
        <f>'Table 4'!L15</f>
        <v>3.32</v>
      </c>
      <c r="F108" s="1497">
        <f>'Table 4'!M15</f>
        <v>3.47</v>
      </c>
      <c r="G108" s="1507">
        <f>'Table 4'!N15</f>
        <v>0</v>
      </c>
      <c r="H108" s="1499">
        <f>'Table 4'!O15</f>
        <v>3.47</v>
      </c>
      <c r="I108" s="1497">
        <f>'Table 4'!Q15</f>
        <v>3.58</v>
      </c>
      <c r="J108" s="1507">
        <f>'Table 4'!R15</f>
        <v>0</v>
      </c>
      <c r="K108" s="1499">
        <f>'Table 4'!S15</f>
        <v>3.58</v>
      </c>
      <c r="L108" s="1497">
        <f>'Table 4'!U15</f>
        <v>3.68</v>
      </c>
      <c r="M108" s="1507">
        <f>'Table 4'!V15</f>
        <v>0</v>
      </c>
      <c r="N108" s="1499">
        <f>'Table 4'!W15</f>
        <v>3.68</v>
      </c>
      <c r="O108" s="1497">
        <f>'Table 4'!Y15</f>
        <v>3.78</v>
      </c>
      <c r="P108" s="1507">
        <f>'Table 4'!Z15</f>
        <v>0</v>
      </c>
      <c r="Q108" s="1499">
        <f>'Table 4'!AA15</f>
        <v>3.78</v>
      </c>
      <c r="R108" s="1497">
        <f>'Table 4'!AC15</f>
        <v>3.89</v>
      </c>
      <c r="S108" s="1507">
        <f>'Table 4'!AD15</f>
        <v>0</v>
      </c>
      <c r="T108" s="1499">
        <f>'Table 4'!AE15</f>
        <v>3.89</v>
      </c>
      <c r="U108" s="1497">
        <f>'Table 4'!AG15</f>
        <v>4</v>
      </c>
      <c r="V108" s="1507">
        <f>'Table 4'!AH15</f>
        <v>0</v>
      </c>
      <c r="W108" s="1499">
        <f>'Table 4'!AI15</f>
        <v>4</v>
      </c>
      <c r="X108" s="1813">
        <f>(W108-E108)/E108</f>
        <v>0.2</v>
      </c>
      <c r="Y108" s="1497">
        <f>'Table 4'!AL15</f>
        <v>4.24</v>
      </c>
      <c r="Z108" s="1507">
        <f>'Table 4'!AM15</f>
        <v>0</v>
      </c>
      <c r="AA108" s="1499">
        <f>'Table 4'!AN15</f>
        <v>4.24</v>
      </c>
      <c r="AC108" s="1653">
        <f>W108-E108</f>
        <v>0.68</v>
      </c>
    </row>
    <row r="109" spans="1:29" ht="26.25">
      <c r="A109" s="993" t="s">
        <v>63</v>
      </c>
      <c r="B109" s="1492" t="s">
        <v>17</v>
      </c>
      <c r="C109" s="1497">
        <f>'Table 6'!K15</f>
        <v>2.65</v>
      </c>
      <c r="D109" s="1507">
        <f>'Table 6'!L15</f>
        <v>0</v>
      </c>
      <c r="E109" s="1499">
        <f>'Table 6'!M15</f>
        <v>2.65</v>
      </c>
      <c r="F109" s="1497">
        <f>'Table 6'!N15</f>
        <v>2.73</v>
      </c>
      <c r="G109" s="1507">
        <f>'Table 6'!O15</f>
        <v>0</v>
      </c>
      <c r="H109" s="1499">
        <f>'Table 6'!P15</f>
        <v>2.73</v>
      </c>
      <c r="I109" s="1497">
        <f>'Table 6'!Q15</f>
        <v>2.86</v>
      </c>
      <c r="J109" s="1507">
        <f>'Table 6'!R15</f>
        <v>0</v>
      </c>
      <c r="K109" s="1499">
        <f>'Table 6'!S15</f>
        <v>2.86</v>
      </c>
      <c r="L109" s="1497">
        <f>'Table 6'!T15</f>
        <v>2.97</v>
      </c>
      <c r="M109" s="1507">
        <f>'Table 6'!U15</f>
        <v>0</v>
      </c>
      <c r="N109" s="1499">
        <f>'Table 6'!V15</f>
        <v>2.97</v>
      </c>
      <c r="O109" s="1497">
        <f>'Table 6'!W15</f>
        <v>3.05</v>
      </c>
      <c r="P109" s="1507">
        <f>'Table 6'!X15</f>
        <v>0</v>
      </c>
      <c r="Q109" s="1499">
        <f>'Table 6'!Y15</f>
        <v>3.05</v>
      </c>
      <c r="R109" s="1497">
        <f>'Table 6'!Z15</f>
        <v>3.12</v>
      </c>
      <c r="S109" s="1507">
        <f>'Table 6'!AA15</f>
        <v>0</v>
      </c>
      <c r="T109" s="1499">
        <f>'Table 6'!AB15</f>
        <v>3.12</v>
      </c>
      <c r="U109" s="1497">
        <f>'Table 6'!AC15</f>
        <v>3.18</v>
      </c>
      <c r="V109" s="1507">
        <f>'Table 6'!AD15</f>
        <v>0</v>
      </c>
      <c r="W109" s="1499">
        <f>'Table 6'!AE15</f>
        <v>3.18</v>
      </c>
      <c r="X109" s="1813">
        <f t="shared" ref="X109:X114" si="385">(W109-E109)/E109</f>
        <v>0.2</v>
      </c>
      <c r="Y109" s="1497">
        <f>'Table 6'!AG15</f>
        <v>3.32</v>
      </c>
      <c r="Z109" s="1507">
        <f>'Table 6'!AH15</f>
        <v>0</v>
      </c>
      <c r="AA109" s="1499">
        <f>'Table 6'!AI15</f>
        <v>3.32</v>
      </c>
      <c r="AC109" s="1653">
        <f t="shared" ref="AC109:AC114" si="386">W109-E109</f>
        <v>0.53</v>
      </c>
    </row>
    <row r="110" spans="1:29">
      <c r="A110" s="798" t="s">
        <v>64</v>
      </c>
      <c r="B110" s="1492" t="s">
        <v>17</v>
      </c>
      <c r="C110" s="1497">
        <f>'Table 7'!C15</f>
        <v>4.66</v>
      </c>
      <c r="D110" s="1507">
        <f>'Table 7'!D15</f>
        <v>0</v>
      </c>
      <c r="E110" s="1499">
        <f>'Table 7'!E15</f>
        <v>4.66</v>
      </c>
      <c r="F110" s="1497">
        <f>'Table 7'!F15</f>
        <v>4.34</v>
      </c>
      <c r="G110" s="1507">
        <f>'Table 7'!G15</f>
        <v>0</v>
      </c>
      <c r="H110" s="1499">
        <f>'Table 7'!H15</f>
        <v>4.34</v>
      </c>
      <c r="I110" s="1497">
        <f>'Table 7'!I15</f>
        <v>5.47</v>
      </c>
      <c r="J110" s="1507">
        <f>'Table 7'!J15</f>
        <v>0</v>
      </c>
      <c r="K110" s="1499">
        <f>'Table 7'!K15</f>
        <v>5.47</v>
      </c>
      <c r="L110" s="1497">
        <f>'Table 7'!L15</f>
        <v>6.41</v>
      </c>
      <c r="M110" s="1507">
        <f>'Table 7'!M15</f>
        <v>0</v>
      </c>
      <c r="N110" s="1499">
        <f>'Table 7'!N15</f>
        <v>6.41</v>
      </c>
      <c r="O110" s="1497">
        <f>'Table 7'!O15</f>
        <v>7.35</v>
      </c>
      <c r="P110" s="1507">
        <f>'Table 7'!P15</f>
        <v>0</v>
      </c>
      <c r="Q110" s="1499">
        <f>'Table 7'!Q15</f>
        <v>7.35</v>
      </c>
      <c r="R110" s="1497">
        <f>'Table 7'!R15</f>
        <v>8.49</v>
      </c>
      <c r="S110" s="1507">
        <f>'Table 7'!S15</f>
        <v>0</v>
      </c>
      <c r="T110" s="1499">
        <f>'Table 7'!T15</f>
        <v>8.49</v>
      </c>
      <c r="U110" s="1497">
        <f>'Table 7'!U15</f>
        <v>9.64</v>
      </c>
      <c r="V110" s="1507">
        <f>'Table 7'!V15</f>
        <v>0</v>
      </c>
      <c r="W110" s="1499">
        <f>'Table 7'!W15</f>
        <v>9.64</v>
      </c>
      <c r="X110" s="1813">
        <f t="shared" si="385"/>
        <v>1.07</v>
      </c>
      <c r="Y110" s="1497">
        <f>'Table 7'!AG15</f>
        <v>12.22</v>
      </c>
      <c r="Z110" s="1507">
        <f>'Table 7'!AH15</f>
        <v>0</v>
      </c>
      <c r="AA110" s="1499">
        <f>'Table 7'!AI15</f>
        <v>12.22</v>
      </c>
      <c r="AC110" s="1653">
        <f t="shared" si="386"/>
        <v>4.9800000000000004</v>
      </c>
    </row>
    <row r="111" spans="1:29">
      <c r="A111" s="798" t="s">
        <v>65</v>
      </c>
      <c r="B111" s="1492" t="s">
        <v>17</v>
      </c>
      <c r="C111" s="1497">
        <f>'Table 8'!C15</f>
        <v>0.73</v>
      </c>
      <c r="D111" s="1507">
        <f>'Table 8'!D15</f>
        <v>0</v>
      </c>
      <c r="E111" s="1499">
        <f>'Table 8'!E15</f>
        <v>0.73</v>
      </c>
      <c r="F111" s="1497">
        <f>'Table 8'!F15</f>
        <v>0.76</v>
      </c>
      <c r="G111" s="1507">
        <f>'Table 8'!G15</f>
        <v>0</v>
      </c>
      <c r="H111" s="1499">
        <f>'Table 8'!H15</f>
        <v>0.76</v>
      </c>
      <c r="I111" s="1497">
        <f>'Table 8'!I15</f>
        <v>0.79</v>
      </c>
      <c r="J111" s="1507">
        <f>'Table 8'!J15</f>
        <v>0</v>
      </c>
      <c r="K111" s="1499">
        <f>'Table 8'!K15</f>
        <v>0.79</v>
      </c>
      <c r="L111" s="1497">
        <f>'Table 8'!L15</f>
        <v>0.82</v>
      </c>
      <c r="M111" s="1507">
        <f>'Table 8'!M15</f>
        <v>0</v>
      </c>
      <c r="N111" s="1499">
        <f>'Table 8'!N15</f>
        <v>0.82</v>
      </c>
      <c r="O111" s="1497">
        <f>'Table 8'!O15</f>
        <v>0.84</v>
      </c>
      <c r="P111" s="1507">
        <f>'Table 8'!P15</f>
        <v>0</v>
      </c>
      <c r="Q111" s="1499">
        <f>'Table 8'!Q15</f>
        <v>0.84</v>
      </c>
      <c r="R111" s="1497">
        <f>'Table 8'!R15</f>
        <v>0.86</v>
      </c>
      <c r="S111" s="1507">
        <f>'Table 8'!S15</f>
        <v>0</v>
      </c>
      <c r="T111" s="1499">
        <f>'Table 8'!T15</f>
        <v>0.86</v>
      </c>
      <c r="U111" s="1497">
        <f>'Table 8'!U15</f>
        <v>0.88</v>
      </c>
      <c r="V111" s="1507">
        <f>'Table 8'!V15</f>
        <v>0</v>
      </c>
      <c r="W111" s="1499">
        <f>'Table 8'!W15</f>
        <v>0.88</v>
      </c>
      <c r="X111" s="1813">
        <f t="shared" si="385"/>
        <v>0.21</v>
      </c>
      <c r="Y111" s="1497">
        <f>'Table 8'!Y15</f>
        <v>0.91</v>
      </c>
      <c r="Z111" s="1507">
        <f>'Table 8'!Z15</f>
        <v>0</v>
      </c>
      <c r="AA111" s="1499">
        <f>'Table 8'!AA15</f>
        <v>0.91</v>
      </c>
      <c r="AC111" s="1653">
        <f t="shared" si="386"/>
        <v>0.15</v>
      </c>
    </row>
    <row r="112" spans="1:29" ht="15" customHeight="1">
      <c r="A112" s="798" t="s">
        <v>66</v>
      </c>
      <c r="B112" s="1518" t="s">
        <v>17</v>
      </c>
      <c r="C112" s="1519">
        <f>'Table 9'!C15</f>
        <v>0.41</v>
      </c>
      <c r="D112" s="1520">
        <f>'Table 9'!D15</f>
        <v>0</v>
      </c>
      <c r="E112" s="1521">
        <f>'Table 9'!E15</f>
        <v>0.41</v>
      </c>
      <c r="F112" s="1519">
        <f>'Table 9'!F15</f>
        <v>0.42</v>
      </c>
      <c r="G112" s="1520">
        <f>'Table 9'!G15</f>
        <v>0</v>
      </c>
      <c r="H112" s="1521">
        <f>'Table 9'!H15</f>
        <v>0.42</v>
      </c>
      <c r="I112" s="1519">
        <f>'Table 9'!I15</f>
        <v>0.44</v>
      </c>
      <c r="J112" s="1520">
        <f>'Table 9'!J15</f>
        <v>0</v>
      </c>
      <c r="K112" s="1521">
        <f>'Table 9'!K15</f>
        <v>0.44</v>
      </c>
      <c r="L112" s="1519">
        <f>'Table 9'!L15</f>
        <v>0.46</v>
      </c>
      <c r="M112" s="1520">
        <f>'Table 9'!M15</f>
        <v>0</v>
      </c>
      <c r="N112" s="1521">
        <f>'Table 9'!N15</f>
        <v>0.46</v>
      </c>
      <c r="O112" s="1519">
        <f>'Table 9'!O15</f>
        <v>0.47</v>
      </c>
      <c r="P112" s="1520">
        <f>'Table 9'!P15</f>
        <v>0</v>
      </c>
      <c r="Q112" s="1521">
        <f>'Table 9'!Q15</f>
        <v>0.47</v>
      </c>
      <c r="R112" s="1519">
        <f>'Table 9'!R15</f>
        <v>0.48</v>
      </c>
      <c r="S112" s="1520">
        <f>'Table 9'!S15</f>
        <v>0</v>
      </c>
      <c r="T112" s="1521">
        <f>'Table 9'!T15</f>
        <v>0.48</v>
      </c>
      <c r="U112" s="1519">
        <f>'Table 9'!U15</f>
        <v>0.49</v>
      </c>
      <c r="V112" s="1520">
        <f>'Table 9'!V15</f>
        <v>0</v>
      </c>
      <c r="W112" s="1521">
        <f>'Table 9'!W15</f>
        <v>0.49</v>
      </c>
      <c r="X112" s="1814">
        <f t="shared" si="385"/>
        <v>0.2</v>
      </c>
      <c r="Y112" s="1519">
        <f>U112</f>
        <v>0.49</v>
      </c>
      <c r="Z112" s="1520">
        <f t="shared" ref="Z112:Z113" si="387">V112</f>
        <v>0</v>
      </c>
      <c r="AA112" s="1521">
        <f t="shared" ref="AA112:AA113" si="388">W112</f>
        <v>0.49</v>
      </c>
      <c r="AC112" s="841">
        <f t="shared" si="386"/>
        <v>0.08</v>
      </c>
    </row>
    <row r="113" spans="1:29" ht="15.75" thickBot="1">
      <c r="A113" s="175" t="s">
        <v>67</v>
      </c>
      <c r="B113" s="1489" t="s">
        <v>17</v>
      </c>
      <c r="C113" s="1522">
        <f>'Table 10'!C15</f>
        <v>0</v>
      </c>
      <c r="D113" s="1523">
        <f>'Table 10'!D15</f>
        <v>0</v>
      </c>
      <c r="E113" s="1524">
        <f>'Table 10'!E15</f>
        <v>0</v>
      </c>
      <c r="F113" s="1522">
        <f>'Table 10'!F15</f>
        <v>0</v>
      </c>
      <c r="G113" s="1523">
        <f>'Table 10'!G15</f>
        <v>0</v>
      </c>
      <c r="H113" s="1524">
        <f>'Table 10'!H15</f>
        <v>0</v>
      </c>
      <c r="I113" s="1522">
        <f>'Table 10'!I15</f>
        <v>0</v>
      </c>
      <c r="J113" s="1523">
        <f>'Table 10'!J15</f>
        <v>0</v>
      </c>
      <c r="K113" s="1524">
        <f>'Table 10'!K15</f>
        <v>0</v>
      </c>
      <c r="L113" s="1522">
        <f>'Table 10'!L15</f>
        <v>0</v>
      </c>
      <c r="M113" s="1523">
        <f>'Table 10'!M15</f>
        <v>0</v>
      </c>
      <c r="N113" s="1524">
        <f>'Table 10'!N15</f>
        <v>0</v>
      </c>
      <c r="O113" s="1522">
        <f>'Table 10'!O15</f>
        <v>0</v>
      </c>
      <c r="P113" s="1523">
        <f>'Table 10'!P15</f>
        <v>0</v>
      </c>
      <c r="Q113" s="1524">
        <f>'Table 10'!Q15</f>
        <v>0</v>
      </c>
      <c r="R113" s="1522">
        <f>'Table 10'!R15</f>
        <v>0</v>
      </c>
      <c r="S113" s="1523">
        <f>'Table 10'!S15</f>
        <v>0</v>
      </c>
      <c r="T113" s="1524">
        <f>'Table 10'!T15</f>
        <v>0</v>
      </c>
      <c r="U113" s="1522">
        <f>'Table 10'!U15</f>
        <v>0</v>
      </c>
      <c r="V113" s="1523">
        <f>'Table 10'!V15</f>
        <v>0</v>
      </c>
      <c r="W113" s="1524">
        <f>'Table 10'!W15</f>
        <v>0</v>
      </c>
      <c r="X113" s="1815" t="s">
        <v>16</v>
      </c>
      <c r="Y113" s="1522">
        <f>U113</f>
        <v>0</v>
      </c>
      <c r="Z113" s="1523">
        <f t="shared" si="387"/>
        <v>0</v>
      </c>
      <c r="AA113" s="1524">
        <f t="shared" si="388"/>
        <v>0</v>
      </c>
      <c r="AC113" s="1822">
        <f t="shared" si="386"/>
        <v>0</v>
      </c>
    </row>
    <row r="114" spans="1:29" ht="16.5" thickTop="1" thickBot="1">
      <c r="A114" s="3481" t="s">
        <v>701</v>
      </c>
      <c r="B114" s="3482"/>
      <c r="C114" s="1512">
        <f t="shared" ref="C114:W114" si="389">C108+C109+C110+C111+C112+C113</f>
        <v>11.77</v>
      </c>
      <c r="D114" s="1538">
        <f t="shared" si="389"/>
        <v>0</v>
      </c>
      <c r="E114" s="1513">
        <f t="shared" si="389"/>
        <v>11.77</v>
      </c>
      <c r="F114" s="1512">
        <f t="shared" si="389"/>
        <v>11.72</v>
      </c>
      <c r="G114" s="1538">
        <f t="shared" si="389"/>
        <v>0</v>
      </c>
      <c r="H114" s="1513">
        <f t="shared" si="389"/>
        <v>11.72</v>
      </c>
      <c r="I114" s="1512">
        <f t="shared" si="389"/>
        <v>13.14</v>
      </c>
      <c r="J114" s="1538">
        <f t="shared" si="389"/>
        <v>0</v>
      </c>
      <c r="K114" s="1513">
        <f t="shared" si="389"/>
        <v>13.14</v>
      </c>
      <c r="L114" s="1512">
        <f t="shared" si="389"/>
        <v>14.34</v>
      </c>
      <c r="M114" s="1538">
        <f t="shared" si="389"/>
        <v>0</v>
      </c>
      <c r="N114" s="1513">
        <f t="shared" si="389"/>
        <v>14.34</v>
      </c>
      <c r="O114" s="1512">
        <f t="shared" si="389"/>
        <v>15.49</v>
      </c>
      <c r="P114" s="1538">
        <f t="shared" si="389"/>
        <v>0</v>
      </c>
      <c r="Q114" s="1513">
        <f t="shared" si="389"/>
        <v>15.49</v>
      </c>
      <c r="R114" s="1512">
        <f t="shared" si="389"/>
        <v>16.84</v>
      </c>
      <c r="S114" s="1538">
        <f t="shared" si="389"/>
        <v>0</v>
      </c>
      <c r="T114" s="1513">
        <f t="shared" si="389"/>
        <v>16.84</v>
      </c>
      <c r="U114" s="1512">
        <f t="shared" si="389"/>
        <v>18.190000000000001</v>
      </c>
      <c r="V114" s="1538">
        <f t="shared" si="389"/>
        <v>0</v>
      </c>
      <c r="W114" s="1513">
        <f t="shared" si="389"/>
        <v>18.190000000000001</v>
      </c>
      <c r="X114" s="1517">
        <f t="shared" si="385"/>
        <v>0.55000000000000004</v>
      </c>
      <c r="Y114" s="1512">
        <f>Y108+Y109+Y110+Y111+Y112+Y113</f>
        <v>21.18</v>
      </c>
      <c r="Z114" s="1538">
        <f>Z108+Z109+Z110+Z111+Z112+Z113</f>
        <v>0</v>
      </c>
      <c r="AA114" s="1513">
        <f>AA108+AA109+AA110+AA111+AA112+AA113</f>
        <v>21.18</v>
      </c>
      <c r="AC114" s="855">
        <f t="shared" si="386"/>
        <v>6.42</v>
      </c>
    </row>
    <row r="115" spans="1:29">
      <c r="A115" s="89" t="s">
        <v>35</v>
      </c>
    </row>
    <row r="116" spans="1:29">
      <c r="A116" s="1" t="s">
        <v>68</v>
      </c>
    </row>
    <row r="117" spans="1:29">
      <c r="A117" s="1" t="s">
        <v>69</v>
      </c>
    </row>
    <row r="119" spans="1:29" ht="15.75" thickBot="1">
      <c r="A119" s="1" t="s">
        <v>702</v>
      </c>
    </row>
    <row r="120" spans="1:29" ht="15.75" customHeight="1" thickBot="1">
      <c r="A120" s="3204" t="s">
        <v>54</v>
      </c>
      <c r="B120" s="3206" t="s">
        <v>2</v>
      </c>
      <c r="C120" s="3261" t="s">
        <v>55</v>
      </c>
      <c r="D120" s="3262"/>
      <c r="E120" s="3263"/>
      <c r="F120" s="3261" t="s">
        <v>56</v>
      </c>
      <c r="G120" s="3262"/>
      <c r="H120" s="3262"/>
      <c r="I120" s="3262"/>
      <c r="J120" s="3262"/>
      <c r="K120" s="3262"/>
      <c r="L120" s="3262"/>
      <c r="M120" s="3262"/>
      <c r="N120" s="3262"/>
      <c r="O120" s="3262"/>
      <c r="P120" s="3262"/>
      <c r="Q120" s="3262"/>
      <c r="R120" s="3262"/>
      <c r="S120" s="3262"/>
      <c r="T120" s="3262"/>
      <c r="U120" s="3262"/>
      <c r="V120" s="3262"/>
      <c r="W120" s="3263"/>
      <c r="X120" s="3255" t="s">
        <v>57</v>
      </c>
      <c r="Y120" s="3261" t="s">
        <v>58</v>
      </c>
      <c r="Z120" s="3262"/>
      <c r="AA120" s="3263"/>
      <c r="AC120" s="3255" t="s">
        <v>80</v>
      </c>
    </row>
    <row r="121" spans="1:29">
      <c r="A121" s="3205"/>
      <c r="B121" s="3207"/>
      <c r="C121" s="3258">
        <v>2015</v>
      </c>
      <c r="D121" s="3264"/>
      <c r="E121" s="3245"/>
      <c r="F121" s="3258">
        <v>2020</v>
      </c>
      <c r="G121" s="3264"/>
      <c r="H121" s="3245"/>
      <c r="I121" s="3258">
        <v>2025</v>
      </c>
      <c r="J121" s="3264"/>
      <c r="K121" s="3245"/>
      <c r="L121" s="3258">
        <v>2030</v>
      </c>
      <c r="M121" s="3264"/>
      <c r="N121" s="3245"/>
      <c r="O121" s="3258">
        <v>2035</v>
      </c>
      <c r="P121" s="3264"/>
      <c r="Q121" s="3245"/>
      <c r="R121" s="3258">
        <v>2040</v>
      </c>
      <c r="S121" s="3264"/>
      <c r="T121" s="3245"/>
      <c r="U121" s="3258">
        <v>2045</v>
      </c>
      <c r="V121" s="3264"/>
      <c r="W121" s="3245"/>
      <c r="X121" s="3256"/>
      <c r="Y121" s="3258">
        <v>2045</v>
      </c>
      <c r="Z121" s="3264"/>
      <c r="AA121" s="3245"/>
      <c r="AC121" s="3256"/>
    </row>
    <row r="122" spans="1:29" ht="15.75" thickBot="1">
      <c r="A122" s="3485"/>
      <c r="B122" s="3208"/>
      <c r="C122" s="1130" t="s">
        <v>60</v>
      </c>
      <c r="D122" s="1128" t="s">
        <v>61</v>
      </c>
      <c r="E122" s="1681" t="s">
        <v>18</v>
      </c>
      <c r="F122" s="1127" t="s">
        <v>60</v>
      </c>
      <c r="G122" s="1131" t="s">
        <v>61</v>
      </c>
      <c r="H122" s="1680" t="s">
        <v>18</v>
      </c>
      <c r="I122" s="1130" t="s">
        <v>60</v>
      </c>
      <c r="J122" s="1128" t="s">
        <v>61</v>
      </c>
      <c r="K122" s="1681" t="s">
        <v>18</v>
      </c>
      <c r="L122" s="1127" t="s">
        <v>60</v>
      </c>
      <c r="M122" s="1131" t="s">
        <v>61</v>
      </c>
      <c r="N122" s="1680" t="s">
        <v>18</v>
      </c>
      <c r="O122" s="1130" t="s">
        <v>60</v>
      </c>
      <c r="P122" s="1128" t="s">
        <v>61</v>
      </c>
      <c r="Q122" s="1681" t="s">
        <v>18</v>
      </c>
      <c r="R122" s="1130" t="s">
        <v>60</v>
      </c>
      <c r="S122" s="1131" t="s">
        <v>61</v>
      </c>
      <c r="T122" s="1680" t="s">
        <v>18</v>
      </c>
      <c r="U122" s="1130" t="s">
        <v>60</v>
      </c>
      <c r="V122" s="1131" t="s">
        <v>61</v>
      </c>
      <c r="W122" s="1680" t="s">
        <v>18</v>
      </c>
      <c r="X122" s="3257"/>
      <c r="Y122" s="1817" t="s">
        <v>60</v>
      </c>
      <c r="Z122" s="1818" t="s">
        <v>61</v>
      </c>
      <c r="AA122" s="1135" t="s">
        <v>18</v>
      </c>
      <c r="AC122" s="3483"/>
    </row>
    <row r="123" spans="1:29">
      <c r="A123" s="993" t="s">
        <v>62</v>
      </c>
      <c r="B123" s="1492" t="s">
        <v>15</v>
      </c>
      <c r="C123" s="1497">
        <f>'Table 4'!J16</f>
        <v>106.52</v>
      </c>
      <c r="D123" s="1507">
        <f>'Table 4'!K16</f>
        <v>0</v>
      </c>
      <c r="E123" s="1499">
        <f>'Table 4'!L16</f>
        <v>106.52</v>
      </c>
      <c r="F123" s="1497">
        <f>'Table 4'!M16</f>
        <v>110.97</v>
      </c>
      <c r="G123" s="1507">
        <f>'Table 4'!N16</f>
        <v>0</v>
      </c>
      <c r="H123" s="1499">
        <f>'Table 4'!O16</f>
        <v>110.97</v>
      </c>
      <c r="I123" s="1497">
        <f>'Table 4'!Q16</f>
        <v>118.59</v>
      </c>
      <c r="J123" s="1507">
        <f>'Table 4'!R16</f>
        <v>0</v>
      </c>
      <c r="K123" s="1499">
        <f>'Table 4'!S16</f>
        <v>118.59</v>
      </c>
      <c r="L123" s="1497">
        <f>'Table 4'!U16</f>
        <v>124.49</v>
      </c>
      <c r="M123" s="1507">
        <f>'Table 4'!V16</f>
        <v>0</v>
      </c>
      <c r="N123" s="1499">
        <f>'Table 4'!W16</f>
        <v>124.49</v>
      </c>
      <c r="O123" s="1497">
        <f>'Table 4'!Y16</f>
        <v>129.65</v>
      </c>
      <c r="P123" s="1507">
        <f>'Table 4'!Z16</f>
        <v>0</v>
      </c>
      <c r="Q123" s="1499">
        <f>'Table 4'!AA16</f>
        <v>129.65</v>
      </c>
      <c r="R123" s="1497">
        <f>'Table 4'!AC16</f>
        <v>133.77000000000001</v>
      </c>
      <c r="S123" s="1507">
        <f>'Table 4'!AD16</f>
        <v>0</v>
      </c>
      <c r="T123" s="1499">
        <f>'Table 4'!AE16</f>
        <v>133.77000000000001</v>
      </c>
      <c r="U123" s="1497">
        <f>'Table 4'!AG16</f>
        <v>137.38</v>
      </c>
      <c r="V123" s="1507">
        <f>'Table 4'!AH16</f>
        <v>0</v>
      </c>
      <c r="W123" s="1499">
        <f>'Table 4'!AI16</f>
        <v>137.38</v>
      </c>
      <c r="X123" s="1813">
        <f>(W123-E123)/E123</f>
        <v>0.28999999999999998</v>
      </c>
      <c r="Y123" s="1497">
        <f>'Table 4'!AL16</f>
        <v>145.62</v>
      </c>
      <c r="Z123" s="1507">
        <f>'Table 4'!AM16</f>
        <v>0</v>
      </c>
      <c r="AA123" s="1499">
        <f>'Table 4'!AN16</f>
        <v>145.62</v>
      </c>
      <c r="AC123" s="1653">
        <f>W123-E123</f>
        <v>30.86</v>
      </c>
    </row>
    <row r="124" spans="1:29" ht="26.25">
      <c r="A124" s="993" t="s">
        <v>63</v>
      </c>
      <c r="B124" s="1492" t="s">
        <v>15</v>
      </c>
      <c r="C124" s="1497">
        <f>'Table 6'!K16</f>
        <v>12.73</v>
      </c>
      <c r="D124" s="1507">
        <f>'Table 6'!L16</f>
        <v>0</v>
      </c>
      <c r="E124" s="1499">
        <f>'Table 6'!M16</f>
        <v>12.73</v>
      </c>
      <c r="F124" s="1497">
        <f>'Table 6'!N16</f>
        <v>22.16</v>
      </c>
      <c r="G124" s="1507">
        <f>'Table 6'!O16</f>
        <v>0</v>
      </c>
      <c r="H124" s="1499">
        <f>'Table 6'!P16</f>
        <v>22.16</v>
      </c>
      <c r="I124" s="1497">
        <f>'Table 6'!Q16</f>
        <v>23.81</v>
      </c>
      <c r="J124" s="1507">
        <f>'Table 6'!R16</f>
        <v>0</v>
      </c>
      <c r="K124" s="1499">
        <f>'Table 6'!S16</f>
        <v>23.81</v>
      </c>
      <c r="L124" s="1497">
        <f>'Table 6'!T16</f>
        <v>25.07</v>
      </c>
      <c r="M124" s="1507">
        <f>'Table 6'!U16</f>
        <v>0</v>
      </c>
      <c r="N124" s="1499">
        <f>'Table 6'!V16</f>
        <v>25.07</v>
      </c>
      <c r="O124" s="1497">
        <f>'Table 6'!W16</f>
        <v>26.19</v>
      </c>
      <c r="P124" s="1507">
        <f>'Table 6'!X16</f>
        <v>0</v>
      </c>
      <c r="Q124" s="1499">
        <f>'Table 6'!Y16</f>
        <v>26.19</v>
      </c>
      <c r="R124" s="1497">
        <f>'Table 6'!Z16</f>
        <v>27.08</v>
      </c>
      <c r="S124" s="1507">
        <f>'Table 6'!AA16</f>
        <v>0</v>
      </c>
      <c r="T124" s="1499">
        <f>'Table 6'!AB16</f>
        <v>27.08</v>
      </c>
      <c r="U124" s="1497">
        <f>'Table 6'!AC16</f>
        <v>27.85</v>
      </c>
      <c r="V124" s="1507">
        <f>'Table 6'!AD16</f>
        <v>0</v>
      </c>
      <c r="W124" s="1499">
        <f>'Table 6'!AE16</f>
        <v>27.85</v>
      </c>
      <c r="X124" s="1813">
        <f t="shared" ref="X124:X129" si="390">(W124-E124)/E124</f>
        <v>1.19</v>
      </c>
      <c r="Y124" s="1497">
        <f>'Table 6'!AG16</f>
        <v>29.52</v>
      </c>
      <c r="Z124" s="1507">
        <f>'Table 6'!AH16</f>
        <v>0</v>
      </c>
      <c r="AA124" s="1499">
        <f>'Table 6'!AI16</f>
        <v>29.52</v>
      </c>
      <c r="AC124" s="1653">
        <f t="shared" ref="AC124:AC129" si="391">W124-E124</f>
        <v>15.12</v>
      </c>
    </row>
    <row r="125" spans="1:29">
      <c r="A125" s="798" t="s">
        <v>64</v>
      </c>
      <c r="B125" s="1492" t="s">
        <v>15</v>
      </c>
      <c r="C125" s="1497">
        <f>'Table 7'!C16</f>
        <v>0.1</v>
      </c>
      <c r="D125" s="1507">
        <f>'Table 7'!D16</f>
        <v>1.66</v>
      </c>
      <c r="E125" s="1499">
        <f>'Table 7'!E16</f>
        <v>1.76</v>
      </c>
      <c r="F125" s="1497">
        <f>'Table 7'!F16</f>
        <v>0.09</v>
      </c>
      <c r="G125" s="1507">
        <f>'Table 7'!G16</f>
        <v>1.51</v>
      </c>
      <c r="H125" s="1499">
        <f>'Table 7'!H16</f>
        <v>1.6</v>
      </c>
      <c r="I125" s="1497">
        <f>'Table 7'!I16</f>
        <v>0.09</v>
      </c>
      <c r="J125" s="1507">
        <f>'Table 7'!J16</f>
        <v>1.52</v>
      </c>
      <c r="K125" s="1499">
        <f>'Table 7'!K16</f>
        <v>1.61</v>
      </c>
      <c r="L125" s="1497">
        <f>'Table 7'!L16</f>
        <v>0.09</v>
      </c>
      <c r="M125" s="1507">
        <f>'Table 7'!M16</f>
        <v>1.53</v>
      </c>
      <c r="N125" s="1499">
        <f>'Table 7'!N16</f>
        <v>1.62</v>
      </c>
      <c r="O125" s="1497">
        <f>'Table 7'!O16</f>
        <v>0.09</v>
      </c>
      <c r="P125" s="1507">
        <f>'Table 7'!P16</f>
        <v>1.52</v>
      </c>
      <c r="Q125" s="1499">
        <f>'Table 7'!Q16</f>
        <v>1.61</v>
      </c>
      <c r="R125" s="1497">
        <f>'Table 7'!R16</f>
        <v>0.09</v>
      </c>
      <c r="S125" s="1507">
        <f>'Table 7'!S16</f>
        <v>1.53</v>
      </c>
      <c r="T125" s="1499">
        <f>'Table 7'!T16</f>
        <v>1.62</v>
      </c>
      <c r="U125" s="1497">
        <f>'Table 7'!U16</f>
        <v>0.09</v>
      </c>
      <c r="V125" s="1507">
        <f>'Table 7'!V16</f>
        <v>1.52</v>
      </c>
      <c r="W125" s="1499">
        <f>'Table 7'!W16</f>
        <v>1.61</v>
      </c>
      <c r="X125" s="1813">
        <f t="shared" si="390"/>
        <v>-0.09</v>
      </c>
      <c r="Y125" s="1497">
        <f>'Table 7'!AG16</f>
        <v>0.11</v>
      </c>
      <c r="Z125" s="1507">
        <f>'Table 7'!AH16</f>
        <v>1.83</v>
      </c>
      <c r="AA125" s="1499">
        <f>'Table 7'!AI16</f>
        <v>1.94</v>
      </c>
      <c r="AC125" s="1653">
        <f t="shared" si="391"/>
        <v>-0.15</v>
      </c>
    </row>
    <row r="126" spans="1:29">
      <c r="A126" s="798" t="s">
        <v>65</v>
      </c>
      <c r="B126" s="1492" t="s">
        <v>15</v>
      </c>
      <c r="C126" s="1497">
        <f>'Table 8'!C16</f>
        <v>1.64</v>
      </c>
      <c r="D126" s="1507">
        <f>'Table 8'!D16</f>
        <v>3.19</v>
      </c>
      <c r="E126" s="1499">
        <f>'Table 8'!E16</f>
        <v>4.83</v>
      </c>
      <c r="F126" s="1497">
        <f>'Table 8'!F16</f>
        <v>1.75</v>
      </c>
      <c r="G126" s="1507">
        <f>'Table 8'!G16</f>
        <v>3.4</v>
      </c>
      <c r="H126" s="1499">
        <f>'Table 8'!H16</f>
        <v>5.15</v>
      </c>
      <c r="I126" s="1497">
        <f>'Table 8'!I16</f>
        <v>1.86</v>
      </c>
      <c r="J126" s="1507">
        <f>'Table 8'!J16</f>
        <v>3.62</v>
      </c>
      <c r="K126" s="1499">
        <f>'Table 8'!K16</f>
        <v>5.48</v>
      </c>
      <c r="L126" s="1497">
        <f>'Table 8'!L16</f>
        <v>1.95</v>
      </c>
      <c r="M126" s="1507">
        <f>'Table 8'!M16</f>
        <v>3.79</v>
      </c>
      <c r="N126" s="1499">
        <f>'Table 8'!N16</f>
        <v>5.74</v>
      </c>
      <c r="O126" s="1497">
        <f>'Table 8'!O16</f>
        <v>2.02</v>
      </c>
      <c r="P126" s="1507">
        <f>'Table 8'!P16</f>
        <v>3.94</v>
      </c>
      <c r="Q126" s="1499">
        <f>'Table 8'!Q16</f>
        <v>5.96</v>
      </c>
      <c r="R126" s="1497">
        <f>'Table 8'!R16</f>
        <v>2.08</v>
      </c>
      <c r="S126" s="1507">
        <f>'Table 8'!S16</f>
        <v>4.0599999999999996</v>
      </c>
      <c r="T126" s="1499">
        <f>'Table 8'!T16</f>
        <v>6.14</v>
      </c>
      <c r="U126" s="1497">
        <f>'Table 8'!U16</f>
        <v>2.14</v>
      </c>
      <c r="V126" s="1507">
        <f>'Table 8'!V16</f>
        <v>4.16</v>
      </c>
      <c r="W126" s="1499">
        <f>'Table 8'!W16</f>
        <v>6.3</v>
      </c>
      <c r="X126" s="1813">
        <f t="shared" si="390"/>
        <v>0.3</v>
      </c>
      <c r="Y126" s="1497">
        <f>'Table 8'!Y16</f>
        <v>2.95</v>
      </c>
      <c r="Z126" s="1507">
        <f>'Table 8'!Z16</f>
        <v>5.74</v>
      </c>
      <c r="AA126" s="1499">
        <f>'Table 8'!AA16</f>
        <v>8.69</v>
      </c>
      <c r="AC126" s="1653">
        <f t="shared" si="391"/>
        <v>1.47</v>
      </c>
    </row>
    <row r="127" spans="1:29" ht="15" customHeight="1">
      <c r="A127" s="798" t="s">
        <v>66</v>
      </c>
      <c r="B127" s="1518" t="s">
        <v>15</v>
      </c>
      <c r="C127" s="1519">
        <f>'Table 9'!C16</f>
        <v>14.16</v>
      </c>
      <c r="D127" s="1520">
        <f>'Table 9'!D16</f>
        <v>0.79</v>
      </c>
      <c r="E127" s="1521">
        <f>'Table 9'!E16</f>
        <v>14.95</v>
      </c>
      <c r="F127" s="1519">
        <f>'Table 9'!F16</f>
        <v>15.07</v>
      </c>
      <c r="G127" s="1520">
        <f>'Table 9'!G16</f>
        <v>0.84</v>
      </c>
      <c r="H127" s="1521">
        <f>'Table 9'!H16</f>
        <v>15.91</v>
      </c>
      <c r="I127" s="1519">
        <f>'Table 9'!I16</f>
        <v>16.02</v>
      </c>
      <c r="J127" s="1520">
        <f>'Table 9'!J16</f>
        <v>0.89</v>
      </c>
      <c r="K127" s="1521">
        <f>'Table 9'!K16</f>
        <v>16.91</v>
      </c>
      <c r="L127" s="1519">
        <f>'Table 9'!L16</f>
        <v>16.75</v>
      </c>
      <c r="M127" s="1520">
        <f>'Table 9'!M16</f>
        <v>0.93</v>
      </c>
      <c r="N127" s="1521">
        <f>'Table 9'!N16</f>
        <v>17.68</v>
      </c>
      <c r="O127" s="1519">
        <f>'Table 9'!O16</f>
        <v>17.38</v>
      </c>
      <c r="P127" s="1520">
        <f>'Table 9'!P16</f>
        <v>0.97</v>
      </c>
      <c r="Q127" s="1521">
        <f>'Table 9'!Q16</f>
        <v>18.350000000000001</v>
      </c>
      <c r="R127" s="1519">
        <f>'Table 9'!R16</f>
        <v>17.899999999999999</v>
      </c>
      <c r="S127" s="1520">
        <f>'Table 9'!S16</f>
        <v>1</v>
      </c>
      <c r="T127" s="1521">
        <f>'Table 9'!T16</f>
        <v>18.899999999999999</v>
      </c>
      <c r="U127" s="1519">
        <f>'Table 9'!U16</f>
        <v>18.350000000000001</v>
      </c>
      <c r="V127" s="1520">
        <f>'Table 9'!V16</f>
        <v>1.02</v>
      </c>
      <c r="W127" s="1521">
        <f>'Table 9'!W16</f>
        <v>19.37</v>
      </c>
      <c r="X127" s="1814">
        <f t="shared" si="390"/>
        <v>0.3</v>
      </c>
      <c r="Y127" s="1519">
        <f>U127</f>
        <v>18.350000000000001</v>
      </c>
      <c r="Z127" s="1520">
        <f t="shared" ref="Z127:Z128" si="392">V127</f>
        <v>1.02</v>
      </c>
      <c r="AA127" s="1521">
        <f t="shared" ref="AA127:AA128" si="393">W127</f>
        <v>19.37</v>
      </c>
      <c r="AC127" s="841">
        <f t="shared" si="391"/>
        <v>4.42</v>
      </c>
    </row>
    <row r="128" spans="1:29" ht="15.75" thickBot="1">
      <c r="A128" s="175" t="s">
        <v>67</v>
      </c>
      <c r="B128" s="1489" t="s">
        <v>15</v>
      </c>
      <c r="C128" s="1522">
        <f>'Table 10'!C16</f>
        <v>6.37</v>
      </c>
      <c r="D128" s="1523">
        <f>'Table 10'!D16</f>
        <v>12.18</v>
      </c>
      <c r="E128" s="1524">
        <f>'Table 10'!E16</f>
        <v>18.55</v>
      </c>
      <c r="F128" s="1522">
        <f>'Table 10'!F16</f>
        <v>5.04</v>
      </c>
      <c r="G128" s="1523">
        <f>'Table 10'!G16</f>
        <v>13.08</v>
      </c>
      <c r="H128" s="1524">
        <f>'Table 10'!H16</f>
        <v>18.12</v>
      </c>
      <c r="I128" s="1522">
        <f>'Table 10'!I16</f>
        <v>5.18</v>
      </c>
      <c r="J128" s="1523">
        <f>'Table 10'!J16</f>
        <v>13.44</v>
      </c>
      <c r="K128" s="1524">
        <f>'Table 10'!K16</f>
        <v>18.62</v>
      </c>
      <c r="L128" s="1522">
        <f>'Table 10'!L16</f>
        <v>5.4</v>
      </c>
      <c r="M128" s="1523">
        <f>'Table 10'!M16</f>
        <v>13.99</v>
      </c>
      <c r="N128" s="1524">
        <f>'Table 10'!N16</f>
        <v>19.39</v>
      </c>
      <c r="O128" s="1522">
        <f>'Table 10'!O16</f>
        <v>5.8</v>
      </c>
      <c r="P128" s="1523">
        <f>'Table 10'!P16</f>
        <v>15.07</v>
      </c>
      <c r="Q128" s="1524">
        <f>'Table 10'!Q16</f>
        <v>20.87</v>
      </c>
      <c r="R128" s="1522">
        <f>'Table 10'!R16</f>
        <v>6.25</v>
      </c>
      <c r="S128" s="1523">
        <f>'Table 10'!S16</f>
        <v>16.21</v>
      </c>
      <c r="T128" s="1524">
        <f>'Table 10'!T16</f>
        <v>22.46</v>
      </c>
      <c r="U128" s="1522">
        <f>'Table 10'!U16</f>
        <v>6.72</v>
      </c>
      <c r="V128" s="1523">
        <f>'Table 10'!V16</f>
        <v>17.440000000000001</v>
      </c>
      <c r="W128" s="1524">
        <f>'Table 10'!W16</f>
        <v>24.16</v>
      </c>
      <c r="X128" s="1816">
        <f t="shared" si="390"/>
        <v>0.3</v>
      </c>
      <c r="Y128" s="1522">
        <f>U128</f>
        <v>6.72</v>
      </c>
      <c r="Z128" s="1523">
        <f t="shared" si="392"/>
        <v>17.440000000000001</v>
      </c>
      <c r="AA128" s="1524">
        <f t="shared" si="393"/>
        <v>24.16</v>
      </c>
      <c r="AC128" s="1822">
        <f t="shared" si="391"/>
        <v>5.61</v>
      </c>
    </row>
    <row r="129" spans="1:29" ht="16.5" thickTop="1" thickBot="1">
      <c r="A129" s="3481" t="s">
        <v>703</v>
      </c>
      <c r="B129" s="3482"/>
      <c r="C129" s="1512">
        <f t="shared" ref="C129:W129" si="394">C123+C124+C125+C126+C127+C128</f>
        <v>141.52000000000001</v>
      </c>
      <c r="D129" s="1538">
        <f t="shared" si="394"/>
        <v>17.82</v>
      </c>
      <c r="E129" s="1513">
        <f t="shared" si="394"/>
        <v>159.34</v>
      </c>
      <c r="F129" s="1512">
        <f t="shared" si="394"/>
        <v>155.08000000000001</v>
      </c>
      <c r="G129" s="1538">
        <f t="shared" si="394"/>
        <v>18.829999999999998</v>
      </c>
      <c r="H129" s="1513">
        <f t="shared" si="394"/>
        <v>173.91</v>
      </c>
      <c r="I129" s="1512">
        <f t="shared" si="394"/>
        <v>165.55</v>
      </c>
      <c r="J129" s="1538">
        <f t="shared" si="394"/>
        <v>19.47</v>
      </c>
      <c r="K129" s="1513">
        <f t="shared" si="394"/>
        <v>185.02</v>
      </c>
      <c r="L129" s="1512">
        <f t="shared" si="394"/>
        <v>173.75</v>
      </c>
      <c r="M129" s="1538">
        <f t="shared" si="394"/>
        <v>20.239999999999998</v>
      </c>
      <c r="N129" s="1513">
        <f t="shared" si="394"/>
        <v>193.99</v>
      </c>
      <c r="O129" s="1512">
        <f t="shared" si="394"/>
        <v>181.13</v>
      </c>
      <c r="P129" s="1538">
        <f t="shared" si="394"/>
        <v>21.5</v>
      </c>
      <c r="Q129" s="1513">
        <f t="shared" si="394"/>
        <v>202.63</v>
      </c>
      <c r="R129" s="1512">
        <f t="shared" si="394"/>
        <v>187.17</v>
      </c>
      <c r="S129" s="1538">
        <f t="shared" si="394"/>
        <v>22.8</v>
      </c>
      <c r="T129" s="1513">
        <f t="shared" si="394"/>
        <v>209.97</v>
      </c>
      <c r="U129" s="1512">
        <f t="shared" si="394"/>
        <v>192.53</v>
      </c>
      <c r="V129" s="1538">
        <f t="shared" si="394"/>
        <v>24.14</v>
      </c>
      <c r="W129" s="1513">
        <f t="shared" si="394"/>
        <v>216.67</v>
      </c>
      <c r="X129" s="1517">
        <f t="shared" si="390"/>
        <v>0.36</v>
      </c>
      <c r="Y129" s="1512">
        <f>Y123+Y124+Y125+Y126+Y127+Y128</f>
        <v>203.27</v>
      </c>
      <c r="Z129" s="1538">
        <f>Z123+Z124+Z125+Z126+Z127+Z128</f>
        <v>26.03</v>
      </c>
      <c r="AA129" s="1513">
        <f>AA123+AA124+AA125+AA126+AA127+AA128</f>
        <v>229.3</v>
      </c>
      <c r="AC129" s="855">
        <f t="shared" si="391"/>
        <v>57.33</v>
      </c>
    </row>
    <row r="130" spans="1:29">
      <c r="A130" s="89" t="s">
        <v>35</v>
      </c>
    </row>
    <row r="131" spans="1:29">
      <c r="A131" s="1" t="s">
        <v>68</v>
      </c>
    </row>
    <row r="132" spans="1:29">
      <c r="A132" s="1" t="s">
        <v>69</v>
      </c>
    </row>
    <row r="134" spans="1:29" ht="15.75" thickBot="1">
      <c r="A134" s="1" t="s">
        <v>704</v>
      </c>
    </row>
    <row r="135" spans="1:29" ht="15.75" customHeight="1" thickBot="1">
      <c r="A135" s="3204" t="s">
        <v>54</v>
      </c>
      <c r="B135" s="3206" t="s">
        <v>2</v>
      </c>
      <c r="C135" s="3261" t="s">
        <v>55</v>
      </c>
      <c r="D135" s="3262"/>
      <c r="E135" s="3263"/>
      <c r="F135" s="3261" t="s">
        <v>56</v>
      </c>
      <c r="G135" s="3262"/>
      <c r="H135" s="3262"/>
      <c r="I135" s="3262"/>
      <c r="J135" s="3262"/>
      <c r="K135" s="3262"/>
      <c r="L135" s="3262"/>
      <c r="M135" s="3262"/>
      <c r="N135" s="3262"/>
      <c r="O135" s="3262"/>
      <c r="P135" s="3262"/>
      <c r="Q135" s="3262"/>
      <c r="R135" s="3262"/>
      <c r="S135" s="3262"/>
      <c r="T135" s="3262"/>
      <c r="U135" s="3262"/>
      <c r="V135" s="3262"/>
      <c r="W135" s="3263"/>
      <c r="X135" s="3255" t="s">
        <v>57</v>
      </c>
      <c r="Y135" s="3261" t="s">
        <v>58</v>
      </c>
      <c r="Z135" s="3262"/>
      <c r="AA135" s="3263"/>
      <c r="AC135" s="3255" t="s">
        <v>80</v>
      </c>
    </row>
    <row r="136" spans="1:29">
      <c r="A136" s="3205"/>
      <c r="B136" s="3207"/>
      <c r="C136" s="3258">
        <v>2015</v>
      </c>
      <c r="D136" s="3264"/>
      <c r="E136" s="3245"/>
      <c r="F136" s="3258">
        <v>2020</v>
      </c>
      <c r="G136" s="3264"/>
      <c r="H136" s="3245"/>
      <c r="I136" s="3258">
        <v>2025</v>
      </c>
      <c r="J136" s="3264"/>
      <c r="K136" s="3245"/>
      <c r="L136" s="3258">
        <v>2030</v>
      </c>
      <c r="M136" s="3264"/>
      <c r="N136" s="3245"/>
      <c r="O136" s="3258">
        <v>2035</v>
      </c>
      <c r="P136" s="3264"/>
      <c r="Q136" s="3245"/>
      <c r="R136" s="3258">
        <v>2040</v>
      </c>
      <c r="S136" s="3264"/>
      <c r="T136" s="3245"/>
      <c r="U136" s="3258">
        <v>2045</v>
      </c>
      <c r="V136" s="3264"/>
      <c r="W136" s="3245"/>
      <c r="X136" s="3256"/>
      <c r="Y136" s="3258">
        <v>2045</v>
      </c>
      <c r="Z136" s="3264"/>
      <c r="AA136" s="3245"/>
      <c r="AC136" s="3256"/>
    </row>
    <row r="137" spans="1:29" ht="15.75" thickBot="1">
      <c r="A137" s="3485"/>
      <c r="B137" s="3208"/>
      <c r="C137" s="1130" t="s">
        <v>60</v>
      </c>
      <c r="D137" s="1128" t="s">
        <v>61</v>
      </c>
      <c r="E137" s="1681" t="s">
        <v>18</v>
      </c>
      <c r="F137" s="1127" t="s">
        <v>60</v>
      </c>
      <c r="G137" s="1131" t="s">
        <v>61</v>
      </c>
      <c r="H137" s="1680" t="s">
        <v>18</v>
      </c>
      <c r="I137" s="1130" t="s">
        <v>60</v>
      </c>
      <c r="J137" s="1128" t="s">
        <v>61</v>
      </c>
      <c r="K137" s="1681" t="s">
        <v>18</v>
      </c>
      <c r="L137" s="1127" t="s">
        <v>60</v>
      </c>
      <c r="M137" s="1131" t="s">
        <v>61</v>
      </c>
      <c r="N137" s="1680" t="s">
        <v>18</v>
      </c>
      <c r="O137" s="1130" t="s">
        <v>60</v>
      </c>
      <c r="P137" s="1128" t="s">
        <v>61</v>
      </c>
      <c r="Q137" s="1681" t="s">
        <v>18</v>
      </c>
      <c r="R137" s="1130" t="s">
        <v>60</v>
      </c>
      <c r="S137" s="1131" t="s">
        <v>61</v>
      </c>
      <c r="T137" s="1680" t="s">
        <v>18</v>
      </c>
      <c r="U137" s="1130" t="s">
        <v>60</v>
      </c>
      <c r="V137" s="1131" t="s">
        <v>61</v>
      </c>
      <c r="W137" s="1680" t="s">
        <v>18</v>
      </c>
      <c r="X137" s="3257"/>
      <c r="Y137" s="1817" t="s">
        <v>60</v>
      </c>
      <c r="Z137" s="1818" t="s">
        <v>61</v>
      </c>
      <c r="AA137" s="1135" t="s">
        <v>18</v>
      </c>
      <c r="AC137" s="3483"/>
    </row>
    <row r="138" spans="1:29">
      <c r="A138" s="993" t="s">
        <v>62</v>
      </c>
      <c r="B138" s="1492" t="s">
        <v>15</v>
      </c>
      <c r="C138" s="1497">
        <f>'Table 4'!J17</f>
        <v>8.98</v>
      </c>
      <c r="D138" s="1507">
        <f>'Table 4'!K17</f>
        <v>7.0000000000000007E-2</v>
      </c>
      <c r="E138" s="1499">
        <f>'Table 4'!L17</f>
        <v>9.0500000000000007</v>
      </c>
      <c r="F138" s="1497">
        <f>'Table 4'!M17</f>
        <v>10.26</v>
      </c>
      <c r="G138" s="1507">
        <f>'Table 4'!N17</f>
        <v>0.03</v>
      </c>
      <c r="H138" s="1499">
        <f>'Table 4'!O17</f>
        <v>10.29</v>
      </c>
      <c r="I138" s="1497">
        <f>'Table 4'!Q17</f>
        <v>11.42</v>
      </c>
      <c r="J138" s="1507">
        <f>'Table 4'!R17</f>
        <v>0.03</v>
      </c>
      <c r="K138" s="1499">
        <f>'Table 4'!S17</f>
        <v>11.45</v>
      </c>
      <c r="L138" s="1497">
        <f>'Table 4'!U17</f>
        <v>12.42</v>
      </c>
      <c r="M138" s="1507">
        <f>'Table 4'!V17</f>
        <v>0.03</v>
      </c>
      <c r="N138" s="1499">
        <f>'Table 4'!W17</f>
        <v>12.45</v>
      </c>
      <c r="O138" s="1497">
        <f>'Table 4'!Y17</f>
        <v>13.23</v>
      </c>
      <c r="P138" s="1507">
        <f>'Table 4'!Z17</f>
        <v>0.03</v>
      </c>
      <c r="Q138" s="1499">
        <f>'Table 4'!AA17</f>
        <v>13.26</v>
      </c>
      <c r="R138" s="1497">
        <f>'Table 4'!AC17</f>
        <v>13.76</v>
      </c>
      <c r="S138" s="1507">
        <f>'Table 4'!AD17</f>
        <v>0.03</v>
      </c>
      <c r="T138" s="1499">
        <f>'Table 4'!AE17</f>
        <v>13.79</v>
      </c>
      <c r="U138" s="1497">
        <f>'Table 4'!AG17</f>
        <v>14.3</v>
      </c>
      <c r="V138" s="1507">
        <f>'Table 4'!AH17</f>
        <v>0.03</v>
      </c>
      <c r="W138" s="1499">
        <f>'Table 4'!AI17</f>
        <v>14.33</v>
      </c>
      <c r="X138" s="1813">
        <f>(W138-E138)/E138</f>
        <v>0.57999999999999996</v>
      </c>
      <c r="Y138" s="1497">
        <f>'Table 4'!AL17</f>
        <v>15.15</v>
      </c>
      <c r="Z138" s="1507">
        <f>'Table 4'!AM17</f>
        <v>0.03</v>
      </c>
      <c r="AA138" s="1499">
        <f>'Table 4'!AN17</f>
        <v>15.18</v>
      </c>
      <c r="AC138" s="1653">
        <f>W138-E138</f>
        <v>5.28</v>
      </c>
    </row>
    <row r="139" spans="1:29" ht="26.25">
      <c r="A139" s="993" t="s">
        <v>63</v>
      </c>
      <c r="B139" s="1492" t="s">
        <v>15</v>
      </c>
      <c r="C139" s="1497">
        <f>'Table 6'!K17</f>
        <v>0.31</v>
      </c>
      <c r="D139" s="1507">
        <f>'Table 6'!L17</f>
        <v>0</v>
      </c>
      <c r="E139" s="1499">
        <f>'Table 6'!M17</f>
        <v>0.31</v>
      </c>
      <c r="F139" s="1497">
        <f>'Table 6'!N17</f>
        <v>0.3</v>
      </c>
      <c r="G139" s="1507">
        <f>'Table 6'!O17</f>
        <v>0</v>
      </c>
      <c r="H139" s="1499">
        <f>'Table 6'!P17</f>
        <v>0.3</v>
      </c>
      <c r="I139" s="1497">
        <f>'Table 6'!Q17</f>
        <v>0.3</v>
      </c>
      <c r="J139" s="1507">
        <f>'Table 6'!R17</f>
        <v>0</v>
      </c>
      <c r="K139" s="1499">
        <f>'Table 6'!S17</f>
        <v>0.3</v>
      </c>
      <c r="L139" s="1497">
        <f>'Table 6'!T17</f>
        <v>0.38</v>
      </c>
      <c r="M139" s="1507">
        <f>'Table 6'!U17</f>
        <v>0</v>
      </c>
      <c r="N139" s="1499">
        <f>'Table 6'!V17</f>
        <v>0.38</v>
      </c>
      <c r="O139" s="1497">
        <f>'Table 6'!W17</f>
        <v>0.39</v>
      </c>
      <c r="P139" s="1507">
        <f>'Table 6'!X17</f>
        <v>0</v>
      </c>
      <c r="Q139" s="1499">
        <f>'Table 6'!Y17</f>
        <v>0.39</v>
      </c>
      <c r="R139" s="1497">
        <f>'Table 6'!Z17</f>
        <v>0.39</v>
      </c>
      <c r="S139" s="1507">
        <f>'Table 6'!AA17</f>
        <v>0</v>
      </c>
      <c r="T139" s="1499">
        <f>'Table 6'!AB17</f>
        <v>0.39</v>
      </c>
      <c r="U139" s="1497">
        <f>'Table 6'!AC17</f>
        <v>0.4</v>
      </c>
      <c r="V139" s="1507">
        <f>'Table 6'!AD17</f>
        <v>0</v>
      </c>
      <c r="W139" s="1499">
        <f>'Table 6'!AE17</f>
        <v>0.4</v>
      </c>
      <c r="X139" s="1813">
        <f t="shared" ref="X139:X144" si="395">(W139-E139)/E139</f>
        <v>0.28999999999999998</v>
      </c>
      <c r="Y139" s="1497">
        <f>'Table 6'!AG17</f>
        <v>0.42</v>
      </c>
      <c r="Z139" s="1507">
        <f>'Table 6'!AH17</f>
        <v>0</v>
      </c>
      <c r="AA139" s="1499">
        <f>'Table 6'!AI17</f>
        <v>0.42</v>
      </c>
      <c r="AC139" s="1653">
        <f t="shared" ref="AC139:AC144" si="396">W139-E139</f>
        <v>0.09</v>
      </c>
    </row>
    <row r="140" spans="1:29">
      <c r="A140" s="798" t="s">
        <v>64</v>
      </c>
      <c r="B140" s="1492" t="s">
        <v>15</v>
      </c>
      <c r="C140" s="1497">
        <f>'Table 7'!C17</f>
        <v>6.45</v>
      </c>
      <c r="D140" s="1507">
        <f>'Table 7'!D17</f>
        <v>0.41</v>
      </c>
      <c r="E140" s="1499">
        <f>'Table 7'!E17</f>
        <v>6.86</v>
      </c>
      <c r="F140" s="1497">
        <f>'Table 7'!F17</f>
        <v>10.56</v>
      </c>
      <c r="G140" s="1507">
        <f>'Table 7'!G17</f>
        <v>0.67</v>
      </c>
      <c r="H140" s="1499">
        <f>'Table 7'!H17</f>
        <v>11.23</v>
      </c>
      <c r="I140" s="1497">
        <f>'Table 7'!I17</f>
        <v>10.47</v>
      </c>
      <c r="J140" s="1507">
        <f>'Table 7'!J17</f>
        <v>0.67</v>
      </c>
      <c r="K140" s="1499">
        <f>'Table 7'!K17</f>
        <v>11.14</v>
      </c>
      <c r="L140" s="1497">
        <f>'Table 7'!L17</f>
        <v>10.34</v>
      </c>
      <c r="M140" s="1507">
        <f>'Table 7'!M17</f>
        <v>0.66</v>
      </c>
      <c r="N140" s="1499">
        <f>'Table 7'!N17</f>
        <v>11</v>
      </c>
      <c r="O140" s="1497">
        <f>'Table 7'!O17</f>
        <v>10.32</v>
      </c>
      <c r="P140" s="1507">
        <f>'Table 7'!P17</f>
        <v>0.66</v>
      </c>
      <c r="Q140" s="1499">
        <f>'Table 7'!Q17</f>
        <v>10.98</v>
      </c>
      <c r="R140" s="1497">
        <f>'Table 7'!R17</f>
        <v>10.199999999999999</v>
      </c>
      <c r="S140" s="1507">
        <f>'Table 7'!S17</f>
        <v>0.65</v>
      </c>
      <c r="T140" s="1499">
        <f>'Table 7'!T17</f>
        <v>10.85</v>
      </c>
      <c r="U140" s="1497">
        <f>'Table 7'!U17</f>
        <v>10.130000000000001</v>
      </c>
      <c r="V140" s="1507">
        <f>'Table 7'!V17</f>
        <v>0.64</v>
      </c>
      <c r="W140" s="1499">
        <f>'Table 7'!W17</f>
        <v>10.77</v>
      </c>
      <c r="X140" s="1813">
        <f t="shared" si="395"/>
        <v>0.56999999999999995</v>
      </c>
      <c r="Y140" s="1497">
        <f>'Table 7'!AG17</f>
        <v>14.24</v>
      </c>
      <c r="Z140" s="1507">
        <f>'Table 7'!AH17</f>
        <v>0.9</v>
      </c>
      <c r="AA140" s="1499">
        <f>'Table 7'!AI17</f>
        <v>15.14</v>
      </c>
      <c r="AC140" s="1653">
        <f t="shared" si="396"/>
        <v>3.91</v>
      </c>
    </row>
    <row r="141" spans="1:29">
      <c r="A141" s="798" t="s">
        <v>65</v>
      </c>
      <c r="B141" s="1492" t="s">
        <v>15</v>
      </c>
      <c r="C141" s="1497">
        <f>'Table 8'!C17</f>
        <v>0.43</v>
      </c>
      <c r="D141" s="1507">
        <f>'Table 8'!D17</f>
        <v>1.41</v>
      </c>
      <c r="E141" s="1499">
        <f>'Table 8'!E17</f>
        <v>1.84</v>
      </c>
      <c r="F141" s="1497">
        <f>'Table 8'!F17</f>
        <v>0.48</v>
      </c>
      <c r="G141" s="1507">
        <f>'Table 8'!G17</f>
        <v>1.59</v>
      </c>
      <c r="H141" s="1499">
        <f>'Table 8'!H17</f>
        <v>2.0699999999999998</v>
      </c>
      <c r="I141" s="1497">
        <f>'Table 8'!I17</f>
        <v>0.54</v>
      </c>
      <c r="J141" s="1507">
        <f>'Table 8'!J17</f>
        <v>1.75</v>
      </c>
      <c r="K141" s="1499">
        <f>'Table 8'!K17</f>
        <v>2.29</v>
      </c>
      <c r="L141" s="1497">
        <f>'Table 8'!L17</f>
        <v>0.57999999999999996</v>
      </c>
      <c r="M141" s="1507">
        <f>'Table 8'!M17</f>
        <v>1.9</v>
      </c>
      <c r="N141" s="1499">
        <f>'Table 8'!N17</f>
        <v>2.48</v>
      </c>
      <c r="O141" s="1497">
        <f>'Table 8'!O17</f>
        <v>0.61</v>
      </c>
      <c r="P141" s="1507">
        <f>'Table 8'!P17</f>
        <v>2.02</v>
      </c>
      <c r="Q141" s="1499">
        <f>'Table 8'!Q17</f>
        <v>2.63</v>
      </c>
      <c r="R141" s="1497">
        <f>'Table 8'!R17</f>
        <v>0.64</v>
      </c>
      <c r="S141" s="1507">
        <f>'Table 8'!S17</f>
        <v>2.09</v>
      </c>
      <c r="T141" s="1499">
        <f>'Table 8'!T17</f>
        <v>2.73</v>
      </c>
      <c r="U141" s="1497">
        <f>'Table 8'!U17</f>
        <v>0.66</v>
      </c>
      <c r="V141" s="1507">
        <f>'Table 8'!V17</f>
        <v>2.15</v>
      </c>
      <c r="W141" s="1499">
        <f>'Table 8'!W17</f>
        <v>2.81</v>
      </c>
      <c r="X141" s="1813">
        <f t="shared" si="395"/>
        <v>0.53</v>
      </c>
      <c r="Y141" s="1497">
        <f>'Table 8'!Y17</f>
        <v>0.76</v>
      </c>
      <c r="Z141" s="1507">
        <f>'Table 8'!Z17</f>
        <v>2.5</v>
      </c>
      <c r="AA141" s="1499">
        <f>'Table 8'!AA17</f>
        <v>3.26</v>
      </c>
      <c r="AC141" s="1653">
        <f t="shared" si="396"/>
        <v>0.97</v>
      </c>
    </row>
    <row r="142" spans="1:29" ht="15" customHeight="1">
      <c r="A142" s="798" t="s">
        <v>66</v>
      </c>
      <c r="B142" s="1518" t="s">
        <v>15</v>
      </c>
      <c r="C142" s="1519">
        <f>'Table 9'!C17</f>
        <v>0.26</v>
      </c>
      <c r="D142" s="1520">
        <f>'Table 9'!D17</f>
        <v>0</v>
      </c>
      <c r="E142" s="1521">
        <f>'Table 9'!E17</f>
        <v>0.26</v>
      </c>
      <c r="F142" s="1519">
        <f>'Table 9'!F17</f>
        <v>0.27</v>
      </c>
      <c r="G142" s="1520">
        <f>'Table 9'!G17</f>
        <v>0</v>
      </c>
      <c r="H142" s="1521">
        <f>'Table 9'!H17</f>
        <v>0.27</v>
      </c>
      <c r="I142" s="1519">
        <f>'Table 9'!I17</f>
        <v>0.28000000000000003</v>
      </c>
      <c r="J142" s="1520">
        <f>'Table 9'!J17</f>
        <v>0</v>
      </c>
      <c r="K142" s="1521">
        <f>'Table 9'!K17</f>
        <v>0.28000000000000003</v>
      </c>
      <c r="L142" s="1519">
        <f>'Table 9'!L17</f>
        <v>0.28999999999999998</v>
      </c>
      <c r="M142" s="1520">
        <f>'Table 9'!M17</f>
        <v>0</v>
      </c>
      <c r="N142" s="1521">
        <f>'Table 9'!N17</f>
        <v>0.28999999999999998</v>
      </c>
      <c r="O142" s="1519">
        <f>'Table 9'!O17</f>
        <v>0.3</v>
      </c>
      <c r="P142" s="1520">
        <f>'Table 9'!P17</f>
        <v>0</v>
      </c>
      <c r="Q142" s="1521">
        <f>'Table 9'!Q17</f>
        <v>0.3</v>
      </c>
      <c r="R142" s="1519">
        <f>'Table 9'!R17</f>
        <v>0.31</v>
      </c>
      <c r="S142" s="1520">
        <f>'Table 9'!S17</f>
        <v>0</v>
      </c>
      <c r="T142" s="1521">
        <f>'Table 9'!T17</f>
        <v>0.31</v>
      </c>
      <c r="U142" s="1519">
        <f>'Table 9'!U17</f>
        <v>0.31</v>
      </c>
      <c r="V142" s="1520">
        <f>'Table 9'!V17</f>
        <v>0</v>
      </c>
      <c r="W142" s="1521">
        <f>'Table 9'!W17</f>
        <v>0.31</v>
      </c>
      <c r="X142" s="1814">
        <f t="shared" si="395"/>
        <v>0.19</v>
      </c>
      <c r="Y142" s="1519">
        <f>U142</f>
        <v>0.31</v>
      </c>
      <c r="Z142" s="1520">
        <f t="shared" ref="Z142:Z143" si="397">V142</f>
        <v>0</v>
      </c>
      <c r="AA142" s="1521">
        <f t="shared" ref="AA142:AA143" si="398">W142</f>
        <v>0.31</v>
      </c>
      <c r="AC142" s="841">
        <f t="shared" si="396"/>
        <v>0.05</v>
      </c>
    </row>
    <row r="143" spans="1:29" ht="15.75" thickBot="1">
      <c r="A143" s="175" t="s">
        <v>67</v>
      </c>
      <c r="B143" s="1489" t="s">
        <v>15</v>
      </c>
      <c r="C143" s="1522">
        <f>'Table 10'!C17</f>
        <v>0</v>
      </c>
      <c r="D143" s="1523">
        <f>'Table 10'!D17</f>
        <v>0</v>
      </c>
      <c r="E143" s="1524">
        <f>'Table 10'!E17</f>
        <v>0</v>
      </c>
      <c r="F143" s="1522">
        <f>'Table 10'!F17</f>
        <v>0</v>
      </c>
      <c r="G143" s="1523">
        <f>'Table 10'!G17</f>
        <v>0</v>
      </c>
      <c r="H143" s="1524">
        <f>'Table 10'!H17</f>
        <v>0</v>
      </c>
      <c r="I143" s="1522">
        <f>'Table 10'!I17</f>
        <v>0</v>
      </c>
      <c r="J143" s="1523">
        <f>'Table 10'!J17</f>
        <v>0</v>
      </c>
      <c r="K143" s="1524">
        <f>'Table 10'!K17</f>
        <v>0</v>
      </c>
      <c r="L143" s="1522">
        <f>'Table 10'!L17</f>
        <v>0</v>
      </c>
      <c r="M143" s="1523">
        <f>'Table 10'!M17</f>
        <v>0</v>
      </c>
      <c r="N143" s="1524">
        <f>'Table 10'!N17</f>
        <v>0</v>
      </c>
      <c r="O143" s="1522">
        <f>'Table 10'!O17</f>
        <v>0</v>
      </c>
      <c r="P143" s="1523">
        <f>'Table 10'!P17</f>
        <v>0</v>
      </c>
      <c r="Q143" s="1524">
        <f>'Table 10'!Q17</f>
        <v>0</v>
      </c>
      <c r="R143" s="1522">
        <f>'Table 10'!R17</f>
        <v>0</v>
      </c>
      <c r="S143" s="1523">
        <f>'Table 10'!S17</f>
        <v>0</v>
      </c>
      <c r="T143" s="1524">
        <f>'Table 10'!T17</f>
        <v>0</v>
      </c>
      <c r="U143" s="1522">
        <f>'Table 10'!U17</f>
        <v>0</v>
      </c>
      <c r="V143" s="1523">
        <f>'Table 10'!V17</f>
        <v>0</v>
      </c>
      <c r="W143" s="1524">
        <f>'Table 10'!W17</f>
        <v>0</v>
      </c>
      <c r="X143" s="1815" t="s">
        <v>16</v>
      </c>
      <c r="Y143" s="1522">
        <f>U143</f>
        <v>0</v>
      </c>
      <c r="Z143" s="1523">
        <f t="shared" si="397"/>
        <v>0</v>
      </c>
      <c r="AA143" s="1524">
        <f t="shared" si="398"/>
        <v>0</v>
      </c>
      <c r="AC143" s="1822">
        <f t="shared" si="396"/>
        <v>0</v>
      </c>
    </row>
    <row r="144" spans="1:29" ht="16.5" thickTop="1" thickBot="1">
      <c r="A144" s="3481" t="s">
        <v>705</v>
      </c>
      <c r="B144" s="3482"/>
      <c r="C144" s="1512">
        <f t="shared" ref="C144:W144" si="399">C138+C139+C140+C141+C142+C143</f>
        <v>16.43</v>
      </c>
      <c r="D144" s="1538">
        <f t="shared" si="399"/>
        <v>1.89</v>
      </c>
      <c r="E144" s="1513">
        <f t="shared" si="399"/>
        <v>18.32</v>
      </c>
      <c r="F144" s="1512">
        <f t="shared" si="399"/>
        <v>21.87</v>
      </c>
      <c r="G144" s="1538">
        <f t="shared" si="399"/>
        <v>2.29</v>
      </c>
      <c r="H144" s="1513">
        <f t="shared" si="399"/>
        <v>24.16</v>
      </c>
      <c r="I144" s="1512">
        <f t="shared" si="399"/>
        <v>23.01</v>
      </c>
      <c r="J144" s="1538">
        <f t="shared" si="399"/>
        <v>2.4500000000000002</v>
      </c>
      <c r="K144" s="1513">
        <f t="shared" si="399"/>
        <v>25.46</v>
      </c>
      <c r="L144" s="1512">
        <f t="shared" si="399"/>
        <v>24.01</v>
      </c>
      <c r="M144" s="1538">
        <f t="shared" si="399"/>
        <v>2.59</v>
      </c>
      <c r="N144" s="1513">
        <f t="shared" si="399"/>
        <v>26.6</v>
      </c>
      <c r="O144" s="1512">
        <f t="shared" si="399"/>
        <v>24.85</v>
      </c>
      <c r="P144" s="1538">
        <f t="shared" si="399"/>
        <v>2.71</v>
      </c>
      <c r="Q144" s="1513">
        <f t="shared" si="399"/>
        <v>27.56</v>
      </c>
      <c r="R144" s="1512">
        <f t="shared" si="399"/>
        <v>25.3</v>
      </c>
      <c r="S144" s="1538">
        <f t="shared" si="399"/>
        <v>2.77</v>
      </c>
      <c r="T144" s="1513">
        <f t="shared" si="399"/>
        <v>28.07</v>
      </c>
      <c r="U144" s="1512">
        <f t="shared" si="399"/>
        <v>25.8</v>
      </c>
      <c r="V144" s="1538">
        <f t="shared" si="399"/>
        <v>2.82</v>
      </c>
      <c r="W144" s="1513">
        <f t="shared" si="399"/>
        <v>28.62</v>
      </c>
      <c r="X144" s="1517">
        <f t="shared" si="395"/>
        <v>0.56000000000000005</v>
      </c>
      <c r="Y144" s="1512">
        <f>Y138+Y139+Y140+Y141+Y142+Y143</f>
        <v>30.88</v>
      </c>
      <c r="Z144" s="1538">
        <f>Z138+Z139+Z140+Z141+Z142+Z143</f>
        <v>3.43</v>
      </c>
      <c r="AA144" s="1513">
        <f>AA138+AA139+AA140+AA141+AA142+AA143</f>
        <v>34.31</v>
      </c>
      <c r="AC144" s="855">
        <f t="shared" si="396"/>
        <v>10.3</v>
      </c>
    </row>
    <row r="145" spans="1:29">
      <c r="A145" s="89" t="s">
        <v>35</v>
      </c>
    </row>
    <row r="146" spans="1:29">
      <c r="A146" s="1" t="s">
        <v>68</v>
      </c>
    </row>
    <row r="147" spans="1:29">
      <c r="A147" s="1" t="s">
        <v>69</v>
      </c>
    </row>
    <row r="149" spans="1:29" ht="15.75" thickBot="1">
      <c r="A149" s="1" t="s">
        <v>706</v>
      </c>
    </row>
    <row r="150" spans="1:29" ht="15.75" customHeight="1" thickBot="1">
      <c r="A150" s="3204" t="s">
        <v>54</v>
      </c>
      <c r="B150" s="3206" t="s">
        <v>2</v>
      </c>
      <c r="C150" s="3261" t="s">
        <v>55</v>
      </c>
      <c r="D150" s="3262"/>
      <c r="E150" s="3263"/>
      <c r="F150" s="3261" t="s">
        <v>56</v>
      </c>
      <c r="G150" s="3262"/>
      <c r="H150" s="3262"/>
      <c r="I150" s="3262"/>
      <c r="J150" s="3262"/>
      <c r="K150" s="3262"/>
      <c r="L150" s="3262"/>
      <c r="M150" s="3262"/>
      <c r="N150" s="3262"/>
      <c r="O150" s="3262"/>
      <c r="P150" s="3262"/>
      <c r="Q150" s="3262"/>
      <c r="R150" s="3262"/>
      <c r="S150" s="3262"/>
      <c r="T150" s="3262"/>
      <c r="U150" s="3262"/>
      <c r="V150" s="3262"/>
      <c r="W150" s="3263"/>
      <c r="X150" s="3255" t="s">
        <v>57</v>
      </c>
      <c r="Y150" s="3261" t="s">
        <v>58</v>
      </c>
      <c r="Z150" s="3262"/>
      <c r="AA150" s="3263"/>
      <c r="AC150" s="3255" t="s">
        <v>80</v>
      </c>
    </row>
    <row r="151" spans="1:29">
      <c r="A151" s="3205"/>
      <c r="B151" s="3207"/>
      <c r="C151" s="3258">
        <v>2015</v>
      </c>
      <c r="D151" s="3264"/>
      <c r="E151" s="3245"/>
      <c r="F151" s="3258">
        <v>2020</v>
      </c>
      <c r="G151" s="3264"/>
      <c r="H151" s="3245"/>
      <c r="I151" s="3258">
        <v>2025</v>
      </c>
      <c r="J151" s="3264"/>
      <c r="K151" s="3245"/>
      <c r="L151" s="3258">
        <v>2030</v>
      </c>
      <c r="M151" s="3264"/>
      <c r="N151" s="3245"/>
      <c r="O151" s="3258">
        <v>2035</v>
      </c>
      <c r="P151" s="3264"/>
      <c r="Q151" s="3245"/>
      <c r="R151" s="3258">
        <v>2040</v>
      </c>
      <c r="S151" s="3264"/>
      <c r="T151" s="3245"/>
      <c r="U151" s="3258">
        <v>2045</v>
      </c>
      <c r="V151" s="3264"/>
      <c r="W151" s="3245"/>
      <c r="X151" s="3256"/>
      <c r="Y151" s="3258">
        <v>2045</v>
      </c>
      <c r="Z151" s="3264"/>
      <c r="AA151" s="3245"/>
      <c r="AC151" s="3256"/>
    </row>
    <row r="152" spans="1:29" ht="15.75" thickBot="1">
      <c r="A152" s="3485"/>
      <c r="B152" s="3208"/>
      <c r="C152" s="1130" t="s">
        <v>60</v>
      </c>
      <c r="D152" s="1128" t="s">
        <v>61</v>
      </c>
      <c r="E152" s="1681" t="s">
        <v>18</v>
      </c>
      <c r="F152" s="1127" t="s">
        <v>60</v>
      </c>
      <c r="G152" s="1131" t="s">
        <v>61</v>
      </c>
      <c r="H152" s="1680" t="s">
        <v>18</v>
      </c>
      <c r="I152" s="1130" t="s">
        <v>60</v>
      </c>
      <c r="J152" s="1128" t="s">
        <v>61</v>
      </c>
      <c r="K152" s="1681" t="s">
        <v>18</v>
      </c>
      <c r="L152" s="1127" t="s">
        <v>60</v>
      </c>
      <c r="M152" s="1131" t="s">
        <v>61</v>
      </c>
      <c r="N152" s="1680" t="s">
        <v>18</v>
      </c>
      <c r="O152" s="1130" t="s">
        <v>60</v>
      </c>
      <c r="P152" s="1128" t="s">
        <v>61</v>
      </c>
      <c r="Q152" s="1681" t="s">
        <v>18</v>
      </c>
      <c r="R152" s="1130" t="s">
        <v>60</v>
      </c>
      <c r="S152" s="1131" t="s">
        <v>61</v>
      </c>
      <c r="T152" s="1680" t="s">
        <v>18</v>
      </c>
      <c r="U152" s="1130" t="s">
        <v>60</v>
      </c>
      <c r="V152" s="1131" t="s">
        <v>61</v>
      </c>
      <c r="W152" s="1680" t="s">
        <v>18</v>
      </c>
      <c r="X152" s="3257"/>
      <c r="Y152" s="1817" t="s">
        <v>60</v>
      </c>
      <c r="Z152" s="1818" t="s">
        <v>61</v>
      </c>
      <c r="AA152" s="1135" t="s">
        <v>18</v>
      </c>
      <c r="AC152" s="3483"/>
    </row>
    <row r="153" spans="1:29">
      <c r="A153" s="993" t="s">
        <v>62</v>
      </c>
      <c r="B153" s="1492" t="s">
        <v>17</v>
      </c>
      <c r="C153" s="1497">
        <f>'Table 4'!J18</f>
        <v>0.22</v>
      </c>
      <c r="D153" s="1507">
        <f>'Table 4'!K18</f>
        <v>0</v>
      </c>
      <c r="E153" s="1499">
        <f>'Table 4'!L18</f>
        <v>0.22</v>
      </c>
      <c r="F153" s="1497">
        <f>'Table 4'!M18</f>
        <v>0.22</v>
      </c>
      <c r="G153" s="1507">
        <f>'Table 4'!N18</f>
        <v>0</v>
      </c>
      <c r="H153" s="1499">
        <f>'Table 4'!O18</f>
        <v>0.22</v>
      </c>
      <c r="I153" s="1497">
        <f>'Table 4'!Q18</f>
        <v>0.25</v>
      </c>
      <c r="J153" s="1507">
        <f>'Table 4'!R18</f>
        <v>0</v>
      </c>
      <c r="K153" s="1499">
        <f>'Table 4'!S18</f>
        <v>0.25</v>
      </c>
      <c r="L153" s="1497">
        <f>'Table 4'!U18</f>
        <v>0.27</v>
      </c>
      <c r="M153" s="1507">
        <f>'Table 4'!V18</f>
        <v>0</v>
      </c>
      <c r="N153" s="1499">
        <f>'Table 4'!W18</f>
        <v>0.27</v>
      </c>
      <c r="O153" s="1497">
        <f>'Table 4'!Y18</f>
        <v>0.28000000000000003</v>
      </c>
      <c r="P153" s="1507">
        <f>'Table 4'!Z18</f>
        <v>0</v>
      </c>
      <c r="Q153" s="1499">
        <f>'Table 4'!AA18</f>
        <v>0.28000000000000003</v>
      </c>
      <c r="R153" s="1497">
        <f>'Table 4'!AC18</f>
        <v>0.28000000000000003</v>
      </c>
      <c r="S153" s="1507">
        <f>'Table 4'!AD18</f>
        <v>0</v>
      </c>
      <c r="T153" s="1499">
        <f>'Table 4'!AE18</f>
        <v>0.28000000000000003</v>
      </c>
      <c r="U153" s="1497">
        <f>'Table 4'!AG18</f>
        <v>0.28000000000000003</v>
      </c>
      <c r="V153" s="1507">
        <f>'Table 4'!AH18</f>
        <v>0</v>
      </c>
      <c r="W153" s="1499">
        <f>'Table 4'!AI18</f>
        <v>0.28000000000000003</v>
      </c>
      <c r="X153" s="1813">
        <f>(W153-E153)/E153</f>
        <v>0.27</v>
      </c>
      <c r="Y153" s="1497">
        <f>'Table 4'!AL18</f>
        <v>0.3</v>
      </c>
      <c r="Z153" s="1507">
        <f>'Table 4'!AM18</f>
        <v>0</v>
      </c>
      <c r="AA153" s="1499">
        <f>'Table 4'!AN18</f>
        <v>0.3</v>
      </c>
      <c r="AC153" s="1653">
        <f>W153-E153</f>
        <v>0.06</v>
      </c>
    </row>
    <row r="154" spans="1:29" ht="26.25">
      <c r="A154" s="993" t="s">
        <v>63</v>
      </c>
      <c r="B154" s="1492" t="s">
        <v>17</v>
      </c>
      <c r="C154" s="1497">
        <f>'Table 6'!K18</f>
        <v>0.98</v>
      </c>
      <c r="D154" s="1507">
        <f>'Table 6'!L18</f>
        <v>0</v>
      </c>
      <c r="E154" s="1499">
        <f>'Table 6'!M18</f>
        <v>0.98</v>
      </c>
      <c r="F154" s="1497">
        <f>'Table 6'!N18</f>
        <v>1.05</v>
      </c>
      <c r="G154" s="1507">
        <f>'Table 6'!O18</f>
        <v>0</v>
      </c>
      <c r="H154" s="1499">
        <f>'Table 6'!P18</f>
        <v>1.05</v>
      </c>
      <c r="I154" s="1497">
        <f>'Table 6'!Q18</f>
        <v>1.0900000000000001</v>
      </c>
      <c r="J154" s="1507">
        <f>'Table 6'!R18</f>
        <v>0</v>
      </c>
      <c r="K154" s="1499">
        <f>'Table 6'!S18</f>
        <v>1.0900000000000001</v>
      </c>
      <c r="L154" s="1497">
        <f>'Table 6'!T18</f>
        <v>1.1299999999999999</v>
      </c>
      <c r="M154" s="1507">
        <f>'Table 6'!U18</f>
        <v>0</v>
      </c>
      <c r="N154" s="1499">
        <f>'Table 6'!V18</f>
        <v>1.1299999999999999</v>
      </c>
      <c r="O154" s="1497">
        <f>'Table 6'!W18</f>
        <v>1.17</v>
      </c>
      <c r="P154" s="1507">
        <f>'Table 6'!X18</f>
        <v>0</v>
      </c>
      <c r="Q154" s="1499">
        <f>'Table 6'!Y18</f>
        <v>1.17</v>
      </c>
      <c r="R154" s="1497">
        <f>'Table 6'!Z18</f>
        <v>1.21</v>
      </c>
      <c r="S154" s="1507">
        <f>'Table 6'!AA18</f>
        <v>0</v>
      </c>
      <c r="T154" s="1499">
        <f>'Table 6'!AB18</f>
        <v>1.21</v>
      </c>
      <c r="U154" s="1497">
        <f>'Table 6'!AC18</f>
        <v>1.24</v>
      </c>
      <c r="V154" s="1507">
        <f>'Table 6'!AD18</f>
        <v>0</v>
      </c>
      <c r="W154" s="1499">
        <f>'Table 6'!AE18</f>
        <v>1.24</v>
      </c>
      <c r="X154" s="1813">
        <f t="shared" ref="X154:X159" si="400">(W154-E154)/E154</f>
        <v>0.27</v>
      </c>
      <c r="Y154" s="1497">
        <f>'Table 6'!AG18</f>
        <v>1.31</v>
      </c>
      <c r="Z154" s="1507">
        <f>'Table 6'!AH18</f>
        <v>0</v>
      </c>
      <c r="AA154" s="1499">
        <f>'Table 6'!AI18</f>
        <v>1.31</v>
      </c>
      <c r="AC154" s="1653">
        <f t="shared" ref="AC154:AC159" si="401">W154-E154</f>
        <v>0.26</v>
      </c>
    </row>
    <row r="155" spans="1:29">
      <c r="A155" s="798" t="s">
        <v>64</v>
      </c>
      <c r="B155" s="1492" t="s">
        <v>17</v>
      </c>
      <c r="C155" s="1497">
        <f>'Table 7'!C18</f>
        <v>19.010000000000002</v>
      </c>
      <c r="D155" s="1507">
        <f>'Table 7'!D18</f>
        <v>0</v>
      </c>
      <c r="E155" s="1499">
        <f>'Table 7'!E18</f>
        <v>19.010000000000002</v>
      </c>
      <c r="F155" s="1497">
        <f>'Table 7'!F18</f>
        <v>19</v>
      </c>
      <c r="G155" s="1507">
        <f>'Table 7'!G18</f>
        <v>0</v>
      </c>
      <c r="H155" s="1499">
        <f>'Table 7'!H18</f>
        <v>19</v>
      </c>
      <c r="I155" s="1497">
        <f>'Table 7'!I18</f>
        <v>19.649999999999999</v>
      </c>
      <c r="J155" s="1507">
        <f>'Table 7'!J18</f>
        <v>0</v>
      </c>
      <c r="K155" s="1499">
        <f>'Table 7'!K18</f>
        <v>19.649999999999999</v>
      </c>
      <c r="L155" s="1497">
        <f>'Table 7'!L18</f>
        <v>20.3</v>
      </c>
      <c r="M155" s="1507">
        <f>'Table 7'!M18</f>
        <v>0</v>
      </c>
      <c r="N155" s="1499">
        <f>'Table 7'!N18</f>
        <v>20.3</v>
      </c>
      <c r="O155" s="1497">
        <f>'Table 7'!O18</f>
        <v>21.06</v>
      </c>
      <c r="P155" s="1507">
        <f>'Table 7'!P18</f>
        <v>0</v>
      </c>
      <c r="Q155" s="1499">
        <f>'Table 7'!Q18</f>
        <v>21.06</v>
      </c>
      <c r="R155" s="1497">
        <f>'Table 7'!R18</f>
        <v>21.78</v>
      </c>
      <c r="S155" s="1507">
        <f>'Table 7'!S18</f>
        <v>0</v>
      </c>
      <c r="T155" s="1499">
        <f>'Table 7'!T18</f>
        <v>21.78</v>
      </c>
      <c r="U155" s="1497">
        <f>'Table 7'!U18</f>
        <v>22.57</v>
      </c>
      <c r="V155" s="1507">
        <f>'Table 7'!V18</f>
        <v>0</v>
      </c>
      <c r="W155" s="1499">
        <f>'Table 7'!W18</f>
        <v>22.57</v>
      </c>
      <c r="X155" s="1813">
        <f t="shared" si="400"/>
        <v>0.19</v>
      </c>
      <c r="Y155" s="1497">
        <f>'Table 7'!AG18</f>
        <v>28.32</v>
      </c>
      <c r="Z155" s="1507">
        <f>'Table 7'!AH18</f>
        <v>0</v>
      </c>
      <c r="AA155" s="1499">
        <f>'Table 7'!AI18</f>
        <v>28.32</v>
      </c>
      <c r="AC155" s="1653">
        <f t="shared" si="401"/>
        <v>3.56</v>
      </c>
    </row>
    <row r="156" spans="1:29">
      <c r="A156" s="798" t="s">
        <v>65</v>
      </c>
      <c r="B156" s="1492" t="s">
        <v>17</v>
      </c>
      <c r="C156" s="1497">
        <f>'Table 8'!C18</f>
        <v>0.16</v>
      </c>
      <c r="D156" s="1507">
        <f>'Table 8'!D18</f>
        <v>0</v>
      </c>
      <c r="E156" s="1499">
        <f>'Table 8'!E18</f>
        <v>0.16</v>
      </c>
      <c r="F156" s="1497">
        <f>'Table 8'!F18</f>
        <v>0</v>
      </c>
      <c r="G156" s="1507">
        <f>'Table 8'!G18</f>
        <v>0</v>
      </c>
      <c r="H156" s="1499">
        <f>'Table 8'!H18</f>
        <v>0.17</v>
      </c>
      <c r="I156" s="1497">
        <f>'Table 8'!I18</f>
        <v>0.18</v>
      </c>
      <c r="J156" s="1507">
        <f>'Table 8'!J18</f>
        <v>0</v>
      </c>
      <c r="K156" s="1499">
        <f>'Table 8'!K18</f>
        <v>0.18</v>
      </c>
      <c r="L156" s="1497">
        <f>'Table 8'!L18</f>
        <v>0.19</v>
      </c>
      <c r="M156" s="1507">
        <f>'Table 8'!M18</f>
        <v>0</v>
      </c>
      <c r="N156" s="1499">
        <f>'Table 8'!N18</f>
        <v>0.19</v>
      </c>
      <c r="O156" s="1497">
        <f>'Table 8'!O18</f>
        <v>0.2</v>
      </c>
      <c r="P156" s="1507">
        <f>'Table 8'!P18</f>
        <v>0</v>
      </c>
      <c r="Q156" s="1499">
        <f>'Table 8'!Q18</f>
        <v>0.2</v>
      </c>
      <c r="R156" s="1497">
        <f>'Table 8'!R18</f>
        <v>0.21</v>
      </c>
      <c r="S156" s="1507">
        <f>'Table 8'!S18</f>
        <v>0</v>
      </c>
      <c r="T156" s="1499">
        <f>'Table 8'!T18</f>
        <v>0.21</v>
      </c>
      <c r="U156" s="1497">
        <f>'Table 8'!U18</f>
        <v>0.22</v>
      </c>
      <c r="V156" s="1507">
        <f>'Table 8'!V18</f>
        <v>0</v>
      </c>
      <c r="W156" s="1499">
        <f>'Table 8'!W18</f>
        <v>0.22</v>
      </c>
      <c r="X156" s="1813">
        <f t="shared" si="400"/>
        <v>0.38</v>
      </c>
      <c r="Y156" s="1497">
        <f>'Table 8'!Y18</f>
        <v>0.23</v>
      </c>
      <c r="Z156" s="1507">
        <f>'Table 8'!Z18</f>
        <v>0</v>
      </c>
      <c r="AA156" s="1499">
        <f>'Table 8'!AA18</f>
        <v>0.23</v>
      </c>
      <c r="AC156" s="1653">
        <f t="shared" si="401"/>
        <v>0.06</v>
      </c>
    </row>
    <row r="157" spans="1:29" ht="15" customHeight="1">
      <c r="A157" s="798" t="s">
        <v>66</v>
      </c>
      <c r="B157" s="1518" t="s">
        <v>17</v>
      </c>
      <c r="C157" s="1519">
        <f>'Table 9'!C18</f>
        <v>0.37</v>
      </c>
      <c r="D157" s="1520">
        <f>'Table 9'!D18</f>
        <v>0</v>
      </c>
      <c r="E157" s="1521">
        <f>'Table 9'!E18</f>
        <v>0.37</v>
      </c>
      <c r="F157" s="1519">
        <f>'Table 9'!F18</f>
        <v>0.4</v>
      </c>
      <c r="G157" s="1520">
        <f>'Table 9'!G18</f>
        <v>0</v>
      </c>
      <c r="H157" s="1521">
        <f>'Table 9'!H18</f>
        <v>0.4</v>
      </c>
      <c r="I157" s="1519">
        <f>'Table 9'!I18</f>
        <v>0.42</v>
      </c>
      <c r="J157" s="1520">
        <f>'Table 9'!J18</f>
        <v>0</v>
      </c>
      <c r="K157" s="1521">
        <f>'Table 9'!K18</f>
        <v>0.42</v>
      </c>
      <c r="L157" s="1519">
        <f>'Table 9'!L18</f>
        <v>0.44</v>
      </c>
      <c r="M157" s="1520">
        <f>'Table 9'!M18</f>
        <v>0</v>
      </c>
      <c r="N157" s="1521">
        <f>'Table 9'!N18</f>
        <v>0.44</v>
      </c>
      <c r="O157" s="1519">
        <f>'Table 9'!O18</f>
        <v>0.46</v>
      </c>
      <c r="P157" s="1520">
        <f>'Table 9'!P18</f>
        <v>0</v>
      </c>
      <c r="Q157" s="1521">
        <f>'Table 9'!Q18</f>
        <v>0.46</v>
      </c>
      <c r="R157" s="1519">
        <f>'Table 9'!R18</f>
        <v>0.47</v>
      </c>
      <c r="S157" s="1520">
        <f>'Table 9'!S18</f>
        <v>0</v>
      </c>
      <c r="T157" s="1521">
        <f>'Table 9'!T18</f>
        <v>0.47</v>
      </c>
      <c r="U157" s="1519">
        <f>'Table 9'!U18</f>
        <v>0.48</v>
      </c>
      <c r="V157" s="1520">
        <f>'Table 9'!V18</f>
        <v>0</v>
      </c>
      <c r="W157" s="1521">
        <f>'Table 9'!W18</f>
        <v>0.48</v>
      </c>
      <c r="X157" s="1814">
        <f t="shared" si="400"/>
        <v>0.3</v>
      </c>
      <c r="Y157" s="1519">
        <f>U157</f>
        <v>0.48</v>
      </c>
      <c r="Z157" s="1520">
        <f t="shared" ref="Z157:Z158" si="402">V157</f>
        <v>0</v>
      </c>
      <c r="AA157" s="1521">
        <f t="shared" ref="AA157:AA158" si="403">W157</f>
        <v>0.48</v>
      </c>
      <c r="AC157" s="841">
        <f t="shared" si="401"/>
        <v>0.11</v>
      </c>
    </row>
    <row r="158" spans="1:29" ht="15.75" thickBot="1">
      <c r="A158" s="175" t="s">
        <v>67</v>
      </c>
      <c r="B158" s="1489" t="s">
        <v>17</v>
      </c>
      <c r="C158" s="1522">
        <f>'Table 10'!C18</f>
        <v>0</v>
      </c>
      <c r="D158" s="1523">
        <f>'Table 10'!D18</f>
        <v>0</v>
      </c>
      <c r="E158" s="1524">
        <f>'Table 10'!E18</f>
        <v>0</v>
      </c>
      <c r="F158" s="1522">
        <f>'Table 10'!F18</f>
        <v>0</v>
      </c>
      <c r="G158" s="1523">
        <f>'Table 10'!G18</f>
        <v>0</v>
      </c>
      <c r="H158" s="1524">
        <f>'Table 10'!H18</f>
        <v>0</v>
      </c>
      <c r="I158" s="1522">
        <f>'Table 10'!I18</f>
        <v>0</v>
      </c>
      <c r="J158" s="1523">
        <f>'Table 10'!J18</f>
        <v>0</v>
      </c>
      <c r="K158" s="1524">
        <f>'Table 10'!K18</f>
        <v>0</v>
      </c>
      <c r="L158" s="1522">
        <f>'Table 10'!L18</f>
        <v>0</v>
      </c>
      <c r="M158" s="1523">
        <f>'Table 10'!M18</f>
        <v>0</v>
      </c>
      <c r="N158" s="1524">
        <f>'Table 10'!N18</f>
        <v>0</v>
      </c>
      <c r="O158" s="1522">
        <f>'Table 10'!O18</f>
        <v>0</v>
      </c>
      <c r="P158" s="1523">
        <f>'Table 10'!P18</f>
        <v>0</v>
      </c>
      <c r="Q158" s="1524">
        <f>'Table 10'!Q18</f>
        <v>0</v>
      </c>
      <c r="R158" s="1522">
        <f>'Table 10'!R18</f>
        <v>0</v>
      </c>
      <c r="S158" s="1523">
        <f>'Table 10'!S18</f>
        <v>0</v>
      </c>
      <c r="T158" s="1524">
        <f>'Table 10'!T18</f>
        <v>0</v>
      </c>
      <c r="U158" s="1522">
        <f>'Table 10'!U18</f>
        <v>0</v>
      </c>
      <c r="V158" s="1523">
        <f>'Table 10'!V18</f>
        <v>0</v>
      </c>
      <c r="W158" s="1524">
        <f>'Table 10'!W18</f>
        <v>0</v>
      </c>
      <c r="X158" s="1815" t="s">
        <v>16</v>
      </c>
      <c r="Y158" s="1522">
        <f>U158</f>
        <v>0</v>
      </c>
      <c r="Z158" s="1523">
        <f t="shared" si="402"/>
        <v>0</v>
      </c>
      <c r="AA158" s="1524">
        <f t="shared" si="403"/>
        <v>0</v>
      </c>
      <c r="AC158" s="1822">
        <f t="shared" si="401"/>
        <v>0</v>
      </c>
    </row>
    <row r="159" spans="1:29" ht="16.5" thickTop="1" thickBot="1">
      <c r="A159" s="3481" t="s">
        <v>707</v>
      </c>
      <c r="B159" s="3482"/>
      <c r="C159" s="1512">
        <f t="shared" ref="C159:W159" si="404">C153+C154+C155+C156+C157+C158</f>
        <v>20.74</v>
      </c>
      <c r="D159" s="1538">
        <f t="shared" si="404"/>
        <v>0</v>
      </c>
      <c r="E159" s="1513">
        <f t="shared" si="404"/>
        <v>20.74</v>
      </c>
      <c r="F159" s="1512">
        <f t="shared" si="404"/>
        <v>20.67</v>
      </c>
      <c r="G159" s="1538">
        <f t="shared" si="404"/>
        <v>0</v>
      </c>
      <c r="H159" s="1513">
        <f t="shared" si="404"/>
        <v>20.84</v>
      </c>
      <c r="I159" s="1512">
        <f t="shared" si="404"/>
        <v>21.59</v>
      </c>
      <c r="J159" s="1538">
        <f t="shared" si="404"/>
        <v>0</v>
      </c>
      <c r="K159" s="1513">
        <f t="shared" si="404"/>
        <v>21.59</v>
      </c>
      <c r="L159" s="1512">
        <f t="shared" si="404"/>
        <v>22.33</v>
      </c>
      <c r="M159" s="1538">
        <f t="shared" si="404"/>
        <v>0</v>
      </c>
      <c r="N159" s="1513">
        <f t="shared" si="404"/>
        <v>22.33</v>
      </c>
      <c r="O159" s="1512">
        <f t="shared" si="404"/>
        <v>23.17</v>
      </c>
      <c r="P159" s="1538">
        <f t="shared" si="404"/>
        <v>0</v>
      </c>
      <c r="Q159" s="1513">
        <f t="shared" si="404"/>
        <v>23.17</v>
      </c>
      <c r="R159" s="1512">
        <f t="shared" si="404"/>
        <v>23.95</v>
      </c>
      <c r="S159" s="1538">
        <f t="shared" si="404"/>
        <v>0</v>
      </c>
      <c r="T159" s="1513">
        <f t="shared" si="404"/>
        <v>23.95</v>
      </c>
      <c r="U159" s="1512">
        <f t="shared" si="404"/>
        <v>24.79</v>
      </c>
      <c r="V159" s="1538">
        <f t="shared" si="404"/>
        <v>0</v>
      </c>
      <c r="W159" s="1513">
        <f t="shared" si="404"/>
        <v>24.79</v>
      </c>
      <c r="X159" s="1517">
        <f t="shared" si="400"/>
        <v>0.2</v>
      </c>
      <c r="Y159" s="1512">
        <f>Y153+Y154+Y155+Y156+Y157+Y158</f>
        <v>30.64</v>
      </c>
      <c r="Z159" s="1538">
        <f>Z153+Z154+Z155+Z156+Z157+Z158</f>
        <v>0</v>
      </c>
      <c r="AA159" s="1513">
        <f>AA153+AA154+AA155+AA156+AA157+AA158</f>
        <v>30.64</v>
      </c>
      <c r="AC159" s="855">
        <f t="shared" si="401"/>
        <v>4.05</v>
      </c>
    </row>
    <row r="160" spans="1:29">
      <c r="A160" s="89" t="s">
        <v>35</v>
      </c>
    </row>
    <row r="161" spans="1:29">
      <c r="A161" s="1" t="s">
        <v>68</v>
      </c>
    </row>
    <row r="162" spans="1:29">
      <c r="A162" s="1" t="s">
        <v>69</v>
      </c>
    </row>
    <row r="164" spans="1:29" ht="15.75" thickBot="1">
      <c r="A164" s="1" t="s">
        <v>708</v>
      </c>
    </row>
    <row r="165" spans="1:29" ht="15.75" customHeight="1" thickBot="1">
      <c r="A165" s="3204" t="s">
        <v>54</v>
      </c>
      <c r="B165" s="3206" t="s">
        <v>2</v>
      </c>
      <c r="C165" s="3261" t="s">
        <v>55</v>
      </c>
      <c r="D165" s="3262"/>
      <c r="E165" s="3263"/>
      <c r="F165" s="3261" t="s">
        <v>56</v>
      </c>
      <c r="G165" s="3262"/>
      <c r="H165" s="3262"/>
      <c r="I165" s="3262"/>
      <c r="J165" s="3262"/>
      <c r="K165" s="3262"/>
      <c r="L165" s="3262"/>
      <c r="M165" s="3262"/>
      <c r="N165" s="3262"/>
      <c r="O165" s="3262"/>
      <c r="P165" s="3262"/>
      <c r="Q165" s="3262"/>
      <c r="R165" s="3262"/>
      <c r="S165" s="3262"/>
      <c r="T165" s="3262"/>
      <c r="U165" s="3262"/>
      <c r="V165" s="3262"/>
      <c r="W165" s="3263"/>
      <c r="X165" s="3255" t="s">
        <v>57</v>
      </c>
      <c r="Y165" s="3261" t="s">
        <v>58</v>
      </c>
      <c r="Z165" s="3262"/>
      <c r="AA165" s="3263"/>
      <c r="AC165" s="3255" t="s">
        <v>80</v>
      </c>
    </row>
    <row r="166" spans="1:29">
      <c r="A166" s="3205"/>
      <c r="B166" s="3207"/>
      <c r="C166" s="3258">
        <v>2015</v>
      </c>
      <c r="D166" s="3264"/>
      <c r="E166" s="3245"/>
      <c r="F166" s="3258">
        <v>2020</v>
      </c>
      <c r="G166" s="3264"/>
      <c r="H166" s="3245"/>
      <c r="I166" s="3258">
        <v>2025</v>
      </c>
      <c r="J166" s="3264"/>
      <c r="K166" s="3245"/>
      <c r="L166" s="3258">
        <v>2030</v>
      </c>
      <c r="M166" s="3264"/>
      <c r="N166" s="3245"/>
      <c r="O166" s="3258">
        <v>2035</v>
      </c>
      <c r="P166" s="3264"/>
      <c r="Q166" s="3245"/>
      <c r="R166" s="3258">
        <v>2040</v>
      </c>
      <c r="S166" s="3264"/>
      <c r="T166" s="3245"/>
      <c r="U166" s="3258">
        <v>2045</v>
      </c>
      <c r="V166" s="3264"/>
      <c r="W166" s="3245"/>
      <c r="X166" s="3256"/>
      <c r="Y166" s="3258">
        <v>2045</v>
      </c>
      <c r="Z166" s="3264"/>
      <c r="AA166" s="3245"/>
      <c r="AC166" s="3256"/>
    </row>
    <row r="167" spans="1:29" ht="15.75" thickBot="1">
      <c r="A167" s="3485"/>
      <c r="B167" s="3208"/>
      <c r="C167" s="1130" t="s">
        <v>60</v>
      </c>
      <c r="D167" s="1128" t="s">
        <v>61</v>
      </c>
      <c r="E167" s="1681" t="s">
        <v>18</v>
      </c>
      <c r="F167" s="1127" t="s">
        <v>60</v>
      </c>
      <c r="G167" s="1131" t="s">
        <v>61</v>
      </c>
      <c r="H167" s="1680" t="s">
        <v>18</v>
      </c>
      <c r="I167" s="1130" t="s">
        <v>60</v>
      </c>
      <c r="J167" s="1128" t="s">
        <v>61</v>
      </c>
      <c r="K167" s="1681" t="s">
        <v>18</v>
      </c>
      <c r="L167" s="1127" t="s">
        <v>60</v>
      </c>
      <c r="M167" s="1131" t="s">
        <v>61</v>
      </c>
      <c r="N167" s="1680" t="s">
        <v>18</v>
      </c>
      <c r="O167" s="1130" t="s">
        <v>60</v>
      </c>
      <c r="P167" s="1128" t="s">
        <v>61</v>
      </c>
      <c r="Q167" s="1681" t="s">
        <v>18</v>
      </c>
      <c r="R167" s="1130" t="s">
        <v>60</v>
      </c>
      <c r="S167" s="1131" t="s">
        <v>61</v>
      </c>
      <c r="T167" s="1680" t="s">
        <v>18</v>
      </c>
      <c r="U167" s="1130" t="s">
        <v>60</v>
      </c>
      <c r="V167" s="1131" t="s">
        <v>61</v>
      </c>
      <c r="W167" s="1680" t="s">
        <v>18</v>
      </c>
      <c r="X167" s="3257"/>
      <c r="Y167" s="1817" t="s">
        <v>60</v>
      </c>
      <c r="Z167" s="1818" t="s">
        <v>61</v>
      </c>
      <c r="AA167" s="1135" t="s">
        <v>18</v>
      </c>
      <c r="AC167" s="3483"/>
    </row>
    <row r="168" spans="1:29">
      <c r="A168" s="993" t="s">
        <v>62</v>
      </c>
      <c r="B168" s="1492" t="s">
        <v>17</v>
      </c>
      <c r="C168" s="1497">
        <f>'Table 4'!J19</f>
        <v>0.91</v>
      </c>
      <c r="D168" s="1507">
        <f>'Table 4'!K19</f>
        <v>0</v>
      </c>
      <c r="E168" s="1499">
        <f>'Table 4'!L19</f>
        <v>0.91</v>
      </c>
      <c r="F168" s="1497">
        <f>'Table 4'!M19</f>
        <v>1.03</v>
      </c>
      <c r="G168" s="1507">
        <f>'Table 4'!N19</f>
        <v>0</v>
      </c>
      <c r="H168" s="1499">
        <f>'Table 4'!O19</f>
        <v>1.03</v>
      </c>
      <c r="I168" s="1497">
        <f>'Table 4'!Q19</f>
        <v>1.03</v>
      </c>
      <c r="J168" s="1507">
        <f>'Table 4'!R19</f>
        <v>0</v>
      </c>
      <c r="K168" s="1499">
        <f>'Table 4'!S19</f>
        <v>1.03</v>
      </c>
      <c r="L168" s="1497">
        <f>'Table 4'!U19</f>
        <v>1.03</v>
      </c>
      <c r="M168" s="1507">
        <f>'Table 4'!V19</f>
        <v>0</v>
      </c>
      <c r="N168" s="1499">
        <f>'Table 4'!W19</f>
        <v>1.03</v>
      </c>
      <c r="O168" s="1497">
        <f>'Table 4'!Y19</f>
        <v>1.03</v>
      </c>
      <c r="P168" s="1507">
        <f>'Table 4'!Z19</f>
        <v>0</v>
      </c>
      <c r="Q168" s="1499">
        <f>'Table 4'!AA19</f>
        <v>1.03</v>
      </c>
      <c r="R168" s="1497">
        <f>'Table 4'!AC19</f>
        <v>1.03</v>
      </c>
      <c r="S168" s="1507">
        <f>'Table 4'!AD19</f>
        <v>0</v>
      </c>
      <c r="T168" s="1499">
        <f>'Table 4'!AE19</f>
        <v>1.03</v>
      </c>
      <c r="U168" s="1497">
        <f>'Table 4'!AG19</f>
        <v>1.03</v>
      </c>
      <c r="V168" s="1507">
        <f>'Table 4'!AH19</f>
        <v>0</v>
      </c>
      <c r="W168" s="1499">
        <f>'Table 4'!AI19</f>
        <v>1.03</v>
      </c>
      <c r="X168" s="1813">
        <f>(W168-E168)/E168</f>
        <v>0.13</v>
      </c>
      <c r="Y168" s="1497">
        <f>'Table 4'!AL19</f>
        <v>1.0900000000000001</v>
      </c>
      <c r="Z168" s="1507">
        <f>'Table 4'!AM19</f>
        <v>0</v>
      </c>
      <c r="AA168" s="1499">
        <f>'Table 4'!AN19</f>
        <v>1.0900000000000001</v>
      </c>
      <c r="AC168" s="1653">
        <f>W168-E168</f>
        <v>0.12</v>
      </c>
    </row>
    <row r="169" spans="1:29" ht="26.25">
      <c r="A169" s="993" t="s">
        <v>63</v>
      </c>
      <c r="B169" s="1492" t="s">
        <v>17</v>
      </c>
      <c r="C169" s="1497">
        <f>'Table 6'!K19</f>
        <v>0.51</v>
      </c>
      <c r="D169" s="1507">
        <f>'Table 6'!L19</f>
        <v>0</v>
      </c>
      <c r="E169" s="1499">
        <f>'Table 6'!M19</f>
        <v>0.51</v>
      </c>
      <c r="F169" s="1497">
        <f>'Table 6'!N19</f>
        <v>0.49</v>
      </c>
      <c r="G169" s="1507">
        <f>'Table 6'!O19</f>
        <v>0</v>
      </c>
      <c r="H169" s="1499">
        <f>'Table 6'!P19</f>
        <v>0.49</v>
      </c>
      <c r="I169" s="1497">
        <f>'Table 6'!Q19</f>
        <v>0.5</v>
      </c>
      <c r="J169" s="1507">
        <f>'Table 6'!R19</f>
        <v>0</v>
      </c>
      <c r="K169" s="1499">
        <f>'Table 6'!S19</f>
        <v>0.5</v>
      </c>
      <c r="L169" s="1497">
        <f>'Table 6'!T19</f>
        <v>0.5</v>
      </c>
      <c r="M169" s="1507">
        <f>'Table 6'!U19</f>
        <v>0</v>
      </c>
      <c r="N169" s="1499">
        <f>'Table 6'!V19</f>
        <v>0.5</v>
      </c>
      <c r="O169" s="1497">
        <f>'Table 6'!W19</f>
        <v>0.5</v>
      </c>
      <c r="P169" s="1507">
        <f>'Table 6'!X19</f>
        <v>0</v>
      </c>
      <c r="Q169" s="1499">
        <f>'Table 6'!Y19</f>
        <v>0.5</v>
      </c>
      <c r="R169" s="1497">
        <f>'Table 6'!Z19</f>
        <v>0.5</v>
      </c>
      <c r="S169" s="1507">
        <f>'Table 6'!AA19</f>
        <v>0</v>
      </c>
      <c r="T169" s="1499">
        <f>'Table 6'!AB19</f>
        <v>0.5</v>
      </c>
      <c r="U169" s="1497">
        <f>'Table 6'!AC19</f>
        <v>0.51</v>
      </c>
      <c r="V169" s="1507">
        <f>'Table 6'!AD19</f>
        <v>0</v>
      </c>
      <c r="W169" s="1499">
        <f>'Table 6'!AE19</f>
        <v>0.51</v>
      </c>
      <c r="X169" s="1813">
        <f t="shared" ref="X169:X174" si="405">(W169-E169)/E169</f>
        <v>0</v>
      </c>
      <c r="Y169" s="1497">
        <f>'Table 6'!AG19</f>
        <v>0.54</v>
      </c>
      <c r="Z169" s="1507">
        <f>'Table 6'!AH19</f>
        <v>0</v>
      </c>
      <c r="AA169" s="1499">
        <f>'Table 6'!AI19</f>
        <v>0.54</v>
      </c>
      <c r="AC169" s="1653">
        <f t="shared" ref="AC169:AC174" si="406">W169-E169</f>
        <v>0</v>
      </c>
    </row>
    <row r="170" spans="1:29">
      <c r="A170" s="798" t="s">
        <v>64</v>
      </c>
      <c r="B170" s="1492" t="s">
        <v>17</v>
      </c>
      <c r="C170" s="1497">
        <f>'Table 7'!C19</f>
        <v>16.100000000000001</v>
      </c>
      <c r="D170" s="1507">
        <f>'Table 7'!D19</f>
        <v>0</v>
      </c>
      <c r="E170" s="1499">
        <f>'Table 7'!E19</f>
        <v>16.100000000000001</v>
      </c>
      <c r="F170" s="1497">
        <f>'Table 7'!F19</f>
        <v>13.95</v>
      </c>
      <c r="G170" s="1507">
        <f>'Table 7'!G19</f>
        <v>0</v>
      </c>
      <c r="H170" s="1499">
        <f>'Table 7'!H19</f>
        <v>13.95</v>
      </c>
      <c r="I170" s="1497">
        <f>'Table 7'!I19</f>
        <v>14.69</v>
      </c>
      <c r="J170" s="1507">
        <f>'Table 7'!J19</f>
        <v>0</v>
      </c>
      <c r="K170" s="1499">
        <f>'Table 7'!K19</f>
        <v>14.69</v>
      </c>
      <c r="L170" s="1497">
        <f>'Table 7'!L19</f>
        <v>15.36</v>
      </c>
      <c r="M170" s="1507">
        <f>'Table 7'!M19</f>
        <v>0</v>
      </c>
      <c r="N170" s="1499">
        <f>'Table 7'!N19</f>
        <v>15.36</v>
      </c>
      <c r="O170" s="1497">
        <f>'Table 7'!O19</f>
        <v>16.100000000000001</v>
      </c>
      <c r="P170" s="1507">
        <f>'Table 7'!P19</f>
        <v>0</v>
      </c>
      <c r="Q170" s="1499">
        <f>'Table 7'!Q19</f>
        <v>16.100000000000001</v>
      </c>
      <c r="R170" s="1497">
        <f>'Table 7'!R19</f>
        <v>16.86</v>
      </c>
      <c r="S170" s="1507">
        <f>'Table 7'!S19</f>
        <v>0</v>
      </c>
      <c r="T170" s="1499">
        <f>'Table 7'!T19</f>
        <v>16.86</v>
      </c>
      <c r="U170" s="1497">
        <f>'Table 7'!U19</f>
        <v>17.55</v>
      </c>
      <c r="V170" s="1507">
        <f>'Table 7'!V19</f>
        <v>0</v>
      </c>
      <c r="W170" s="1499">
        <f>'Table 7'!W19</f>
        <v>17.55</v>
      </c>
      <c r="X170" s="1813">
        <f t="shared" si="405"/>
        <v>0.09</v>
      </c>
      <c r="Y170" s="1497">
        <f>'Table 7'!AG19</f>
        <v>22.45</v>
      </c>
      <c r="Z170" s="1507">
        <f>'Table 7'!AH19</f>
        <v>0</v>
      </c>
      <c r="AA170" s="1499">
        <f>'Table 7'!AI19</f>
        <v>22.45</v>
      </c>
      <c r="AC170" s="1653">
        <f t="shared" si="406"/>
        <v>1.45</v>
      </c>
    </row>
    <row r="171" spans="1:29">
      <c r="A171" s="798" t="s">
        <v>65</v>
      </c>
      <c r="B171" s="1492" t="s">
        <v>17</v>
      </c>
      <c r="C171" s="1497">
        <f>'Table 8'!C19</f>
        <v>0.1</v>
      </c>
      <c r="D171" s="1507">
        <f>'Table 8'!D19</f>
        <v>0</v>
      </c>
      <c r="E171" s="1499">
        <f>'Table 8'!E19</f>
        <v>0.1</v>
      </c>
      <c r="F171" s="1497">
        <f>'Table 8'!F19</f>
        <v>0</v>
      </c>
      <c r="G171" s="1507">
        <f>'Table 8'!G19</f>
        <v>0</v>
      </c>
      <c r="H171" s="1499">
        <f>'Table 8'!H19</f>
        <v>0.1</v>
      </c>
      <c r="I171" s="1497">
        <f>'Table 8'!I19</f>
        <v>0.1</v>
      </c>
      <c r="J171" s="1507">
        <f>'Table 8'!J19</f>
        <v>0</v>
      </c>
      <c r="K171" s="1499">
        <f>'Table 8'!K19</f>
        <v>0.1</v>
      </c>
      <c r="L171" s="1497">
        <f>'Table 8'!L19</f>
        <v>0.1</v>
      </c>
      <c r="M171" s="1507">
        <f>'Table 8'!M19</f>
        <v>0</v>
      </c>
      <c r="N171" s="1499">
        <f>'Table 8'!N19</f>
        <v>0.1</v>
      </c>
      <c r="O171" s="1497">
        <f>'Table 8'!O19</f>
        <v>0.1</v>
      </c>
      <c r="P171" s="1507">
        <f>'Table 8'!P19</f>
        <v>0</v>
      </c>
      <c r="Q171" s="1499">
        <f>'Table 8'!Q19</f>
        <v>0.1</v>
      </c>
      <c r="R171" s="1497">
        <f>'Table 8'!R19</f>
        <v>0.1</v>
      </c>
      <c r="S171" s="1507">
        <f>'Table 8'!S19</f>
        <v>0</v>
      </c>
      <c r="T171" s="1499">
        <f>'Table 8'!T19</f>
        <v>0.1</v>
      </c>
      <c r="U171" s="1497">
        <f>'Table 8'!U19</f>
        <v>0.1</v>
      </c>
      <c r="V171" s="1507">
        <f>'Table 8'!V19</f>
        <v>0</v>
      </c>
      <c r="W171" s="1499">
        <f>'Table 8'!W19</f>
        <v>0.1</v>
      </c>
      <c r="X171" s="1813">
        <f t="shared" si="405"/>
        <v>0</v>
      </c>
      <c r="Y171" s="1497">
        <f>'Table 8'!Y19</f>
        <v>0.17</v>
      </c>
      <c r="Z171" s="1507">
        <f>'Table 8'!Z19</f>
        <v>0</v>
      </c>
      <c r="AA171" s="1499">
        <f>'Table 8'!AA19</f>
        <v>0.17</v>
      </c>
      <c r="AC171" s="1653">
        <f t="shared" si="406"/>
        <v>0</v>
      </c>
    </row>
    <row r="172" spans="1:29" ht="15" customHeight="1">
      <c r="A172" s="798" t="s">
        <v>66</v>
      </c>
      <c r="B172" s="1518" t="s">
        <v>17</v>
      </c>
      <c r="C172" s="1519">
        <f>'Table 9'!C19</f>
        <v>22.94</v>
      </c>
      <c r="D172" s="1520">
        <f>'Table 9'!D19</f>
        <v>17.190000000000001</v>
      </c>
      <c r="E172" s="1521">
        <f>'Table 9'!E19</f>
        <v>40.130000000000003</v>
      </c>
      <c r="F172" s="1519">
        <f>'Table 9'!F19</f>
        <v>22.94</v>
      </c>
      <c r="G172" s="1520">
        <f>'Table 9'!G19</f>
        <v>17.190000000000001</v>
      </c>
      <c r="H172" s="1521">
        <f>'Table 9'!H19</f>
        <v>40.130000000000003</v>
      </c>
      <c r="I172" s="1519">
        <f>'Table 9'!I19</f>
        <v>22.94</v>
      </c>
      <c r="J172" s="1520">
        <f>'Table 9'!J19</f>
        <v>17.190000000000001</v>
      </c>
      <c r="K172" s="1521">
        <f>'Table 9'!K19</f>
        <v>40.130000000000003</v>
      </c>
      <c r="L172" s="1519">
        <f>'Table 9'!L19</f>
        <v>22.94</v>
      </c>
      <c r="M172" s="1520">
        <f>'Table 9'!M19</f>
        <v>17.190000000000001</v>
      </c>
      <c r="N172" s="1521">
        <f>'Table 9'!N19</f>
        <v>40.130000000000003</v>
      </c>
      <c r="O172" s="1519">
        <f>'Table 9'!O19</f>
        <v>22.94</v>
      </c>
      <c r="P172" s="1520">
        <f>'Table 9'!P19</f>
        <v>17.190000000000001</v>
      </c>
      <c r="Q172" s="1521">
        <f>'Table 9'!Q19</f>
        <v>40.130000000000003</v>
      </c>
      <c r="R172" s="1519">
        <f>'Table 9'!R19</f>
        <v>22.94</v>
      </c>
      <c r="S172" s="1520">
        <f>'Table 9'!S19</f>
        <v>17.190000000000001</v>
      </c>
      <c r="T172" s="1521">
        <f>'Table 9'!T19</f>
        <v>40.130000000000003</v>
      </c>
      <c r="U172" s="1519">
        <f>'Table 9'!U19</f>
        <v>22.94</v>
      </c>
      <c r="V172" s="1520">
        <f>'Table 9'!V19</f>
        <v>17.190000000000001</v>
      </c>
      <c r="W172" s="1521">
        <f>'Table 9'!W19</f>
        <v>40.130000000000003</v>
      </c>
      <c r="X172" s="1814">
        <f t="shared" si="405"/>
        <v>0</v>
      </c>
      <c r="Y172" s="1519">
        <f>U172</f>
        <v>22.94</v>
      </c>
      <c r="Z172" s="1520">
        <f t="shared" ref="Z172:Z173" si="407">V172</f>
        <v>17.190000000000001</v>
      </c>
      <c r="AA172" s="1521">
        <f t="shared" ref="AA172:AA173" si="408">W172</f>
        <v>40.130000000000003</v>
      </c>
      <c r="AC172" s="841">
        <f t="shared" si="406"/>
        <v>0</v>
      </c>
    </row>
    <row r="173" spans="1:29" ht="15.75" thickBot="1">
      <c r="A173" s="175" t="s">
        <v>67</v>
      </c>
      <c r="B173" s="1489" t="s">
        <v>17</v>
      </c>
      <c r="C173" s="1522">
        <f>'Table 10'!C19</f>
        <v>0</v>
      </c>
      <c r="D173" s="1523">
        <f>'Table 10'!D19</f>
        <v>0</v>
      </c>
      <c r="E173" s="1524">
        <f>'Table 10'!E19</f>
        <v>0</v>
      </c>
      <c r="F173" s="1522">
        <f>'Table 10'!F19</f>
        <v>0</v>
      </c>
      <c r="G173" s="1523">
        <f>'Table 10'!G19</f>
        <v>0</v>
      </c>
      <c r="H173" s="1524">
        <f>'Table 10'!H19</f>
        <v>0</v>
      </c>
      <c r="I173" s="1522">
        <f>'Table 10'!I19</f>
        <v>0</v>
      </c>
      <c r="J173" s="1523">
        <f>'Table 10'!J19</f>
        <v>0</v>
      </c>
      <c r="K173" s="1524">
        <f>'Table 10'!K19</f>
        <v>0</v>
      </c>
      <c r="L173" s="1522">
        <f>'Table 10'!L19</f>
        <v>0</v>
      </c>
      <c r="M173" s="1523">
        <f>'Table 10'!M19</f>
        <v>0</v>
      </c>
      <c r="N173" s="1524">
        <f>'Table 10'!N19</f>
        <v>0</v>
      </c>
      <c r="O173" s="1522">
        <f>'Table 10'!O19</f>
        <v>0</v>
      </c>
      <c r="P173" s="1523">
        <f>'Table 10'!P19</f>
        <v>0</v>
      </c>
      <c r="Q173" s="1524">
        <f>'Table 10'!Q19</f>
        <v>0</v>
      </c>
      <c r="R173" s="1522">
        <f>'Table 10'!R19</f>
        <v>0</v>
      </c>
      <c r="S173" s="1523">
        <f>'Table 10'!S19</f>
        <v>0</v>
      </c>
      <c r="T173" s="1524">
        <f>'Table 10'!T19</f>
        <v>0</v>
      </c>
      <c r="U173" s="1522">
        <f>'Table 10'!U19</f>
        <v>0</v>
      </c>
      <c r="V173" s="1523">
        <f>'Table 10'!V19</f>
        <v>0</v>
      </c>
      <c r="W173" s="1524">
        <f>'Table 10'!W19</f>
        <v>0</v>
      </c>
      <c r="X173" s="1815" t="s">
        <v>16</v>
      </c>
      <c r="Y173" s="1522">
        <f>U173</f>
        <v>0</v>
      </c>
      <c r="Z173" s="1523">
        <f t="shared" si="407"/>
        <v>0</v>
      </c>
      <c r="AA173" s="1524">
        <f t="shared" si="408"/>
        <v>0</v>
      </c>
      <c r="AC173" s="1822">
        <f t="shared" si="406"/>
        <v>0</v>
      </c>
    </row>
    <row r="174" spans="1:29" ht="16.5" thickTop="1" thickBot="1">
      <c r="A174" s="3481" t="s">
        <v>709</v>
      </c>
      <c r="B174" s="3482"/>
      <c r="C174" s="1512">
        <f t="shared" ref="C174:W174" si="409">C168+C169+C170+C171+C172+C173</f>
        <v>40.56</v>
      </c>
      <c r="D174" s="1538">
        <f t="shared" si="409"/>
        <v>17.190000000000001</v>
      </c>
      <c r="E174" s="1513">
        <f t="shared" si="409"/>
        <v>57.75</v>
      </c>
      <c r="F174" s="1512">
        <f t="shared" si="409"/>
        <v>38.409999999999997</v>
      </c>
      <c r="G174" s="1538">
        <f t="shared" si="409"/>
        <v>17.190000000000001</v>
      </c>
      <c r="H174" s="1513">
        <f t="shared" si="409"/>
        <v>55.7</v>
      </c>
      <c r="I174" s="1512">
        <f t="shared" si="409"/>
        <v>39.26</v>
      </c>
      <c r="J174" s="1538">
        <f t="shared" si="409"/>
        <v>17.190000000000001</v>
      </c>
      <c r="K174" s="1513">
        <f t="shared" si="409"/>
        <v>56.45</v>
      </c>
      <c r="L174" s="1512">
        <f t="shared" si="409"/>
        <v>39.93</v>
      </c>
      <c r="M174" s="1538">
        <f t="shared" si="409"/>
        <v>17.190000000000001</v>
      </c>
      <c r="N174" s="1513">
        <f t="shared" si="409"/>
        <v>57.12</v>
      </c>
      <c r="O174" s="1512">
        <f t="shared" si="409"/>
        <v>40.67</v>
      </c>
      <c r="P174" s="1538">
        <f t="shared" si="409"/>
        <v>17.190000000000001</v>
      </c>
      <c r="Q174" s="1513">
        <f t="shared" si="409"/>
        <v>57.86</v>
      </c>
      <c r="R174" s="1512">
        <f t="shared" si="409"/>
        <v>41.43</v>
      </c>
      <c r="S174" s="1538">
        <f t="shared" si="409"/>
        <v>17.190000000000001</v>
      </c>
      <c r="T174" s="1513">
        <f t="shared" si="409"/>
        <v>58.62</v>
      </c>
      <c r="U174" s="1512">
        <f t="shared" si="409"/>
        <v>42.13</v>
      </c>
      <c r="V174" s="1538">
        <f t="shared" si="409"/>
        <v>17.190000000000001</v>
      </c>
      <c r="W174" s="1513">
        <f t="shared" si="409"/>
        <v>59.32</v>
      </c>
      <c r="X174" s="1517">
        <f t="shared" si="405"/>
        <v>0.03</v>
      </c>
      <c r="Y174" s="1512">
        <f>Y168+Y169+Y170+Y171+Y172+Y173</f>
        <v>47.19</v>
      </c>
      <c r="Z174" s="1538">
        <f>Z168+Z169+Z170+Z171+Z172+Z173</f>
        <v>17.190000000000001</v>
      </c>
      <c r="AA174" s="1513">
        <f>AA168+AA169+AA170+AA171+AA172+AA173</f>
        <v>64.38</v>
      </c>
      <c r="AC174" s="855">
        <f t="shared" si="406"/>
        <v>1.57</v>
      </c>
    </row>
    <row r="175" spans="1:29">
      <c r="A175" s="89" t="s">
        <v>35</v>
      </c>
    </row>
    <row r="176" spans="1:29">
      <c r="A176" s="1" t="s">
        <v>68</v>
      </c>
    </row>
    <row r="177" spans="1:29">
      <c r="A177" s="1" t="s">
        <v>69</v>
      </c>
    </row>
    <row r="179" spans="1:29" ht="15.75" thickBot="1">
      <c r="A179" s="1" t="s">
        <v>710</v>
      </c>
    </row>
    <row r="180" spans="1:29" ht="15.75" customHeight="1" thickBot="1">
      <c r="A180" s="3204" t="s">
        <v>54</v>
      </c>
      <c r="B180" s="3206" t="s">
        <v>2</v>
      </c>
      <c r="C180" s="3261" t="s">
        <v>55</v>
      </c>
      <c r="D180" s="3262"/>
      <c r="E180" s="3263"/>
      <c r="F180" s="3261" t="s">
        <v>56</v>
      </c>
      <c r="G180" s="3262"/>
      <c r="H180" s="3262"/>
      <c r="I180" s="3262"/>
      <c r="J180" s="3262"/>
      <c r="K180" s="3262"/>
      <c r="L180" s="3262"/>
      <c r="M180" s="3262"/>
      <c r="N180" s="3262"/>
      <c r="O180" s="3262"/>
      <c r="P180" s="3262"/>
      <c r="Q180" s="3262"/>
      <c r="R180" s="3262"/>
      <c r="S180" s="3262"/>
      <c r="T180" s="3262"/>
      <c r="U180" s="3262"/>
      <c r="V180" s="3262"/>
      <c r="W180" s="3263"/>
      <c r="X180" s="3255" t="s">
        <v>57</v>
      </c>
      <c r="Y180" s="3261" t="s">
        <v>58</v>
      </c>
      <c r="Z180" s="3262"/>
      <c r="AA180" s="3263"/>
      <c r="AC180" s="3255" t="s">
        <v>80</v>
      </c>
    </row>
    <row r="181" spans="1:29">
      <c r="A181" s="3205"/>
      <c r="B181" s="3207"/>
      <c r="C181" s="3258">
        <v>2015</v>
      </c>
      <c r="D181" s="3264"/>
      <c r="E181" s="3245"/>
      <c r="F181" s="3258">
        <v>2020</v>
      </c>
      <c r="G181" s="3264"/>
      <c r="H181" s="3245"/>
      <c r="I181" s="3258">
        <v>2025</v>
      </c>
      <c r="J181" s="3264"/>
      <c r="K181" s="3245"/>
      <c r="L181" s="3258">
        <v>2030</v>
      </c>
      <c r="M181" s="3264"/>
      <c r="N181" s="3245"/>
      <c r="O181" s="3258">
        <v>2035</v>
      </c>
      <c r="P181" s="3264"/>
      <c r="Q181" s="3245"/>
      <c r="R181" s="3258">
        <v>2040</v>
      </c>
      <c r="S181" s="3264"/>
      <c r="T181" s="3245"/>
      <c r="U181" s="3258">
        <v>2045</v>
      </c>
      <c r="V181" s="3264"/>
      <c r="W181" s="3245"/>
      <c r="X181" s="3256"/>
      <c r="Y181" s="3258">
        <v>2045</v>
      </c>
      <c r="Z181" s="3264"/>
      <c r="AA181" s="3245"/>
      <c r="AC181" s="3256"/>
    </row>
    <row r="182" spans="1:29" ht="15.75" thickBot="1">
      <c r="A182" s="3485"/>
      <c r="B182" s="3208"/>
      <c r="C182" s="1130" t="s">
        <v>60</v>
      </c>
      <c r="D182" s="1128" t="s">
        <v>61</v>
      </c>
      <c r="E182" s="1681" t="s">
        <v>18</v>
      </c>
      <c r="F182" s="1127" t="s">
        <v>60</v>
      </c>
      <c r="G182" s="1131" t="s">
        <v>61</v>
      </c>
      <c r="H182" s="1680" t="s">
        <v>18</v>
      </c>
      <c r="I182" s="1130" t="s">
        <v>60</v>
      </c>
      <c r="J182" s="1128" t="s">
        <v>61</v>
      </c>
      <c r="K182" s="1681" t="s">
        <v>18</v>
      </c>
      <c r="L182" s="1127" t="s">
        <v>60</v>
      </c>
      <c r="M182" s="1131" t="s">
        <v>61</v>
      </c>
      <c r="N182" s="1680" t="s">
        <v>18</v>
      </c>
      <c r="O182" s="1130" t="s">
        <v>60</v>
      </c>
      <c r="P182" s="1128" t="s">
        <v>61</v>
      </c>
      <c r="Q182" s="1681" t="s">
        <v>18</v>
      </c>
      <c r="R182" s="1130" t="s">
        <v>60</v>
      </c>
      <c r="S182" s="1131" t="s">
        <v>61</v>
      </c>
      <c r="T182" s="1680" t="s">
        <v>18</v>
      </c>
      <c r="U182" s="1130" t="s">
        <v>60</v>
      </c>
      <c r="V182" s="1131" t="s">
        <v>61</v>
      </c>
      <c r="W182" s="1680" t="s">
        <v>18</v>
      </c>
      <c r="X182" s="3257"/>
      <c r="Y182" s="1817" t="s">
        <v>60</v>
      </c>
      <c r="Z182" s="1818" t="s">
        <v>61</v>
      </c>
      <c r="AA182" s="1135" t="s">
        <v>18</v>
      </c>
      <c r="AC182" s="3483"/>
    </row>
    <row r="183" spans="1:29">
      <c r="A183" s="993" t="s">
        <v>62</v>
      </c>
      <c r="B183" s="1492" t="s">
        <v>15</v>
      </c>
      <c r="C183" s="1497">
        <f>'Table 4'!J20</f>
        <v>6.92</v>
      </c>
      <c r="D183" s="1507">
        <f>'Table 4'!K20</f>
        <v>0</v>
      </c>
      <c r="E183" s="1499">
        <f>'Table 4'!L20</f>
        <v>6.92</v>
      </c>
      <c r="F183" s="1497">
        <f>'Table 4'!M20</f>
        <v>8.07</v>
      </c>
      <c r="G183" s="1507">
        <f>'Table 4'!N20</f>
        <v>0</v>
      </c>
      <c r="H183" s="1499">
        <f>'Table 4'!O20+'Table 4'!P20</f>
        <v>8.07</v>
      </c>
      <c r="I183" s="1497">
        <f>'Table 4'!Q20</f>
        <v>8.69</v>
      </c>
      <c r="J183" s="1507">
        <f>'Table 4'!R20</f>
        <v>0</v>
      </c>
      <c r="K183" s="1499">
        <f>'Table 4'!S20+'Table 4'!T20</f>
        <v>8.69</v>
      </c>
      <c r="L183" s="1497">
        <f>'Table 4'!U20</f>
        <v>9.15</v>
      </c>
      <c r="M183" s="1507">
        <f>'Table 4'!V20</f>
        <v>0</v>
      </c>
      <c r="N183" s="1499">
        <f>'Table 4'!W20+'Table 4'!X20</f>
        <v>9.15</v>
      </c>
      <c r="O183" s="1497">
        <f>'Table 4'!Y20</f>
        <v>9.3800000000000008</v>
      </c>
      <c r="P183" s="1507">
        <f>'Table 4'!Z20</f>
        <v>0</v>
      </c>
      <c r="Q183" s="1499">
        <f>'Table 4'!AA20+'Table 4'!AB20</f>
        <v>9.51</v>
      </c>
      <c r="R183" s="1497">
        <f>'Table 4'!AC20</f>
        <v>9.4</v>
      </c>
      <c r="S183" s="1507">
        <f>'Table 4'!AD20</f>
        <v>0</v>
      </c>
      <c r="T183" s="1499">
        <f>'Table 4'!AE20+'Table 4'!AF20</f>
        <v>9.81</v>
      </c>
      <c r="U183" s="1497">
        <f>'Table 4'!AG20</f>
        <v>9.4</v>
      </c>
      <c r="V183" s="1507">
        <f>'Table 4'!AH20</f>
        <v>0</v>
      </c>
      <c r="W183" s="1499">
        <f>'Table 4'!AI20+'Table 4'!AJ20</f>
        <v>10.08</v>
      </c>
      <c r="X183" s="1813">
        <f>(W183-E183)/E183</f>
        <v>0.46</v>
      </c>
      <c r="Y183" s="1497">
        <f>'Table 4'!AL20</f>
        <v>9.74</v>
      </c>
      <c r="Z183" s="1507">
        <f>'Table 4'!AM20</f>
        <v>0</v>
      </c>
      <c r="AA183" s="1499">
        <f>'Table 4'!AN20+'Table 4'!AO20</f>
        <v>10.69</v>
      </c>
      <c r="AC183" s="1653">
        <f>W183-E183</f>
        <v>3.16</v>
      </c>
    </row>
    <row r="184" spans="1:29" ht="26.25">
      <c r="A184" s="993" t="s">
        <v>63</v>
      </c>
      <c r="B184" s="1492" t="s">
        <v>15</v>
      </c>
      <c r="C184" s="1497">
        <f>'Table 6'!K20</f>
        <v>3.87</v>
      </c>
      <c r="D184" s="1507">
        <f>'Table 6'!L20</f>
        <v>0</v>
      </c>
      <c r="E184" s="1499">
        <f>'Table 6'!M20</f>
        <v>3.87</v>
      </c>
      <c r="F184" s="1497">
        <f>'Table 6'!N20</f>
        <v>1.49</v>
      </c>
      <c r="G184" s="1507">
        <f>'Table 6'!O20</f>
        <v>0</v>
      </c>
      <c r="H184" s="1499">
        <f>'Table 6'!P20</f>
        <v>1.49</v>
      </c>
      <c r="I184" s="1497">
        <f>'Table 6'!Q20</f>
        <v>1.72</v>
      </c>
      <c r="J184" s="1507">
        <f>'Table 6'!R20</f>
        <v>0</v>
      </c>
      <c r="K184" s="1499">
        <f>'Table 6'!S20</f>
        <v>1.72</v>
      </c>
      <c r="L184" s="1497">
        <f>'Table 6'!T20</f>
        <v>1.85</v>
      </c>
      <c r="M184" s="1507">
        <f>'Table 6'!U20</f>
        <v>0</v>
      </c>
      <c r="N184" s="1499">
        <f>'Table 6'!V20</f>
        <v>1.85</v>
      </c>
      <c r="O184" s="1497">
        <f>'Table 6'!W20</f>
        <v>2.0299999999999998</v>
      </c>
      <c r="P184" s="1507">
        <f>'Table 6'!X20</f>
        <v>0</v>
      </c>
      <c r="Q184" s="1499">
        <f>'Table 6'!Y20</f>
        <v>2.0299999999999998</v>
      </c>
      <c r="R184" s="1497">
        <f>'Table 6'!Z20</f>
        <v>2.16</v>
      </c>
      <c r="S184" s="1507">
        <f>'Table 6'!AA20</f>
        <v>0</v>
      </c>
      <c r="T184" s="1499">
        <f>'Table 6'!AB20</f>
        <v>2.16</v>
      </c>
      <c r="U184" s="1497">
        <f>'Table 6'!AC20</f>
        <v>2.2799999999999998</v>
      </c>
      <c r="V184" s="1507">
        <f>'Table 6'!AD20</f>
        <v>0</v>
      </c>
      <c r="W184" s="1499">
        <f>'Table 6'!AE20</f>
        <v>2.2799999999999998</v>
      </c>
      <c r="X184" s="1813">
        <f t="shared" ref="X184:X189" si="410">(W184-E184)/E184</f>
        <v>-0.41</v>
      </c>
      <c r="Y184" s="1497">
        <f>'Table 6'!AG20</f>
        <v>2.42</v>
      </c>
      <c r="Z184" s="1507">
        <f>'Table 6'!AH20</f>
        <v>0</v>
      </c>
      <c r="AA184" s="1499">
        <f>'Table 6'!AI20</f>
        <v>2.42</v>
      </c>
      <c r="AC184" s="1653">
        <f t="shared" ref="AC184:AC189" si="411">W184-E184</f>
        <v>-1.59</v>
      </c>
    </row>
    <row r="185" spans="1:29">
      <c r="A185" s="798" t="s">
        <v>64</v>
      </c>
      <c r="B185" s="1492" t="s">
        <v>15</v>
      </c>
      <c r="C185" s="1497">
        <f>'Table 7'!C20</f>
        <v>0.67</v>
      </c>
      <c r="D185" s="1507">
        <f>'Table 7'!D20</f>
        <v>0</v>
      </c>
      <c r="E185" s="1499">
        <f>'Table 7'!E20</f>
        <v>0.67</v>
      </c>
      <c r="F185" s="1497">
        <f>'Table 7'!F20</f>
        <v>0.95</v>
      </c>
      <c r="G185" s="1507">
        <f>'Table 7'!G20</f>
        <v>0</v>
      </c>
      <c r="H185" s="1499">
        <f>'Table 7'!H20</f>
        <v>0.95</v>
      </c>
      <c r="I185" s="1497">
        <f>'Table 7'!I20</f>
        <v>0.97</v>
      </c>
      <c r="J185" s="1507">
        <f>'Table 7'!J20</f>
        <v>0</v>
      </c>
      <c r="K185" s="1499">
        <f>'Table 7'!K20</f>
        <v>0.97</v>
      </c>
      <c r="L185" s="1497">
        <f>'Table 7'!L20</f>
        <v>0.97</v>
      </c>
      <c r="M185" s="1507">
        <f>'Table 7'!M20</f>
        <v>0</v>
      </c>
      <c r="N185" s="1499">
        <f>'Table 7'!N20</f>
        <v>0.97</v>
      </c>
      <c r="O185" s="1497">
        <f>'Table 7'!O20</f>
        <v>0.98</v>
      </c>
      <c r="P185" s="1507">
        <f>'Table 7'!P20</f>
        <v>0</v>
      </c>
      <c r="Q185" s="1499">
        <f>'Table 7'!Q20</f>
        <v>0.98</v>
      </c>
      <c r="R185" s="1497">
        <f>'Table 7'!R20</f>
        <v>0.98</v>
      </c>
      <c r="S185" s="1507">
        <f>'Table 7'!S20</f>
        <v>0</v>
      </c>
      <c r="T185" s="1499">
        <f>'Table 7'!T20</f>
        <v>0.98</v>
      </c>
      <c r="U185" s="1497">
        <f>'Table 7'!U20</f>
        <v>1.17</v>
      </c>
      <c r="V185" s="1507">
        <f>'Table 7'!V20</f>
        <v>0</v>
      </c>
      <c r="W185" s="1499">
        <f>'Table 7'!W20</f>
        <v>1.17</v>
      </c>
      <c r="X185" s="1813">
        <f t="shared" si="410"/>
        <v>0.75</v>
      </c>
      <c r="Y185" s="1497">
        <f>'Table 7'!AG20</f>
        <v>1.29</v>
      </c>
      <c r="Z185" s="1507">
        <f>'Table 7'!AH20</f>
        <v>0</v>
      </c>
      <c r="AA185" s="1499">
        <f>'Table 7'!AI20</f>
        <v>1.29</v>
      </c>
      <c r="AC185" s="1653">
        <f t="shared" si="411"/>
        <v>0.5</v>
      </c>
    </row>
    <row r="186" spans="1:29">
      <c r="A186" s="798" t="s">
        <v>65</v>
      </c>
      <c r="B186" s="1492" t="s">
        <v>15</v>
      </c>
      <c r="C186" s="1497">
        <f>'Table 8'!C20</f>
        <v>0.86</v>
      </c>
      <c r="D186" s="1507">
        <f>'Table 8'!D20</f>
        <v>1.64</v>
      </c>
      <c r="E186" s="1499">
        <f>'Table 8'!E20</f>
        <v>2.5</v>
      </c>
      <c r="F186" s="1497">
        <f>'Table 8'!F20</f>
        <v>0.95</v>
      </c>
      <c r="G186" s="1507">
        <f>'Table 8'!G20</f>
        <v>1.8</v>
      </c>
      <c r="H186" s="1499">
        <f>'Table 8'!H20</f>
        <v>2.75</v>
      </c>
      <c r="I186" s="1497">
        <f>'Table 8'!I20</f>
        <v>1.05</v>
      </c>
      <c r="J186" s="1507">
        <f>'Table 8'!J20</f>
        <v>1.99</v>
      </c>
      <c r="K186" s="1499">
        <f>'Table 8'!K20</f>
        <v>3.04</v>
      </c>
      <c r="L186" s="1497">
        <f>'Table 8'!L20</f>
        <v>1.1200000000000001</v>
      </c>
      <c r="M186" s="1507">
        <f>'Table 8'!M20</f>
        <v>2.14</v>
      </c>
      <c r="N186" s="1499">
        <f>'Table 8'!N20</f>
        <v>3.26</v>
      </c>
      <c r="O186" s="1497">
        <f>'Table 8'!O20</f>
        <v>1.19</v>
      </c>
      <c r="P186" s="1507">
        <f>'Table 8'!P20</f>
        <v>2.2599999999999998</v>
      </c>
      <c r="Q186" s="1499">
        <f>'Table 8'!Q20</f>
        <v>3.45</v>
      </c>
      <c r="R186" s="1497">
        <f>'Table 8'!R20</f>
        <v>1.24</v>
      </c>
      <c r="S186" s="1507">
        <f>'Table 8'!S20</f>
        <v>2.37</v>
      </c>
      <c r="T186" s="1499">
        <f>'Table 8'!T20</f>
        <v>3.61</v>
      </c>
      <c r="U186" s="1497">
        <f>'Table 8'!U20</f>
        <v>1.29</v>
      </c>
      <c r="V186" s="1507">
        <f>'Table 8'!V20</f>
        <v>2.46</v>
      </c>
      <c r="W186" s="1499">
        <f>'Table 8'!W20</f>
        <v>3.75</v>
      </c>
      <c r="X186" s="1813">
        <f t="shared" si="410"/>
        <v>0.5</v>
      </c>
      <c r="Y186" s="1497">
        <f>'Table 8'!Y20</f>
        <v>1.58</v>
      </c>
      <c r="Z186" s="1507">
        <f>'Table 8'!Z20</f>
        <v>3</v>
      </c>
      <c r="AA186" s="1499">
        <f>'Table 8'!AA20</f>
        <v>4.58</v>
      </c>
      <c r="AC186" s="1653">
        <f t="shared" si="411"/>
        <v>1.25</v>
      </c>
    </row>
    <row r="187" spans="1:29" ht="15" customHeight="1">
      <c r="A187" s="798" t="s">
        <v>66</v>
      </c>
      <c r="B187" s="1518" t="s">
        <v>15</v>
      </c>
      <c r="C187" s="1519">
        <f>'Table 9'!C20</f>
        <v>33.06</v>
      </c>
      <c r="D187" s="1520">
        <f>'Table 9'!D20</f>
        <v>0.05</v>
      </c>
      <c r="E187" s="1521">
        <f>'Table 9'!E20</f>
        <v>33.11</v>
      </c>
      <c r="F187" s="1519">
        <f>'Table 9'!F20</f>
        <v>33.090000000000003</v>
      </c>
      <c r="G187" s="1520">
        <f>'Table 9'!G20</f>
        <v>0.05</v>
      </c>
      <c r="H187" s="1521">
        <f>'Table 9'!H20</f>
        <v>33.14</v>
      </c>
      <c r="I187" s="1519">
        <f>'Table 9'!I20</f>
        <v>33.130000000000003</v>
      </c>
      <c r="J187" s="1520">
        <f>'Table 9'!J20</f>
        <v>0.05</v>
      </c>
      <c r="K187" s="1521">
        <f>'Table 9'!K20</f>
        <v>33.18</v>
      </c>
      <c r="L187" s="1519">
        <f>'Table 9'!L20</f>
        <v>33.159999999999997</v>
      </c>
      <c r="M187" s="1520">
        <f>'Table 9'!M20</f>
        <v>0.05</v>
      </c>
      <c r="N187" s="1521">
        <f>'Table 9'!N20</f>
        <v>33.21</v>
      </c>
      <c r="O187" s="1519">
        <f>'Table 9'!O20</f>
        <v>33.18</v>
      </c>
      <c r="P187" s="1520">
        <f>'Table 9'!P20</f>
        <v>0.05</v>
      </c>
      <c r="Q187" s="1521">
        <f>'Table 9'!Q20</f>
        <v>33.229999999999997</v>
      </c>
      <c r="R187" s="1519">
        <f>'Table 9'!R20</f>
        <v>33.200000000000003</v>
      </c>
      <c r="S187" s="1520">
        <f>'Table 9'!S20</f>
        <v>0.05</v>
      </c>
      <c r="T187" s="1521">
        <f>'Table 9'!T20</f>
        <v>33.25</v>
      </c>
      <c r="U187" s="1519">
        <f>'Table 9'!U20</f>
        <v>33.22</v>
      </c>
      <c r="V187" s="1520">
        <f>'Table 9'!V20</f>
        <v>0.05</v>
      </c>
      <c r="W187" s="1521">
        <f>'Table 9'!W20</f>
        <v>33.270000000000003</v>
      </c>
      <c r="X187" s="1814">
        <f t="shared" si="410"/>
        <v>0</v>
      </c>
      <c r="Y187" s="1519">
        <f>U187</f>
        <v>33.22</v>
      </c>
      <c r="Z187" s="1520">
        <f t="shared" ref="Z187:Z188" si="412">V187</f>
        <v>0.05</v>
      </c>
      <c r="AA187" s="1521">
        <f t="shared" ref="AA187:AA188" si="413">W187</f>
        <v>33.270000000000003</v>
      </c>
      <c r="AC187" s="841">
        <f t="shared" si="411"/>
        <v>0.16</v>
      </c>
    </row>
    <row r="188" spans="1:29" ht="15.75" thickBot="1">
      <c r="A188" s="175" t="s">
        <v>67</v>
      </c>
      <c r="B188" s="1489" t="s">
        <v>15</v>
      </c>
      <c r="C188" s="1522">
        <f>'Table 10'!C20</f>
        <v>0</v>
      </c>
      <c r="D188" s="1523">
        <f>'Table 10'!D20</f>
        <v>0</v>
      </c>
      <c r="E188" s="1524">
        <f>'Table 10'!E20</f>
        <v>0</v>
      </c>
      <c r="F188" s="1522">
        <f>'Table 10'!F20</f>
        <v>0</v>
      </c>
      <c r="G188" s="1523">
        <f>'Table 10'!G20</f>
        <v>0</v>
      </c>
      <c r="H188" s="1524">
        <f>'Table 10'!H20</f>
        <v>0</v>
      </c>
      <c r="I188" s="1522">
        <f>'Table 10'!I20</f>
        <v>0</v>
      </c>
      <c r="J188" s="1523">
        <f>'Table 10'!J20</f>
        <v>0</v>
      </c>
      <c r="K188" s="1524">
        <f>'Table 10'!K20</f>
        <v>0</v>
      </c>
      <c r="L188" s="1522">
        <f>'Table 10'!L20</f>
        <v>0</v>
      </c>
      <c r="M188" s="1523">
        <f>'Table 10'!M20</f>
        <v>0</v>
      </c>
      <c r="N188" s="1524">
        <f>'Table 10'!N20</f>
        <v>0</v>
      </c>
      <c r="O188" s="1522">
        <f>'Table 10'!O20</f>
        <v>0</v>
      </c>
      <c r="P188" s="1523">
        <f>'Table 10'!P20</f>
        <v>0</v>
      </c>
      <c r="Q188" s="1524">
        <f>'Table 10'!Q20</f>
        <v>0</v>
      </c>
      <c r="R188" s="1522">
        <f>'Table 10'!R20</f>
        <v>0</v>
      </c>
      <c r="S188" s="1523">
        <f>'Table 10'!S20</f>
        <v>0</v>
      </c>
      <c r="T188" s="1524">
        <f>'Table 10'!T20</f>
        <v>0</v>
      </c>
      <c r="U188" s="1522">
        <f>'Table 10'!U20</f>
        <v>0</v>
      </c>
      <c r="V188" s="1523">
        <f>'Table 10'!V20</f>
        <v>0</v>
      </c>
      <c r="W188" s="1524">
        <f>'Table 10'!W20</f>
        <v>0</v>
      </c>
      <c r="X188" s="1815" t="s">
        <v>16</v>
      </c>
      <c r="Y188" s="1522">
        <f>U188</f>
        <v>0</v>
      </c>
      <c r="Z188" s="1523">
        <f t="shared" si="412"/>
        <v>0</v>
      </c>
      <c r="AA188" s="1524">
        <f t="shared" si="413"/>
        <v>0</v>
      </c>
      <c r="AC188" s="1822">
        <f t="shared" si="411"/>
        <v>0</v>
      </c>
    </row>
    <row r="189" spans="1:29" ht="16.5" thickTop="1" thickBot="1">
      <c r="A189" s="3481" t="s">
        <v>711</v>
      </c>
      <c r="B189" s="3482"/>
      <c r="C189" s="1512">
        <f t="shared" ref="C189:W189" si="414">C183+C184+C185+C186+C187+C188</f>
        <v>45.38</v>
      </c>
      <c r="D189" s="1538">
        <f t="shared" si="414"/>
        <v>1.69</v>
      </c>
      <c r="E189" s="1513">
        <f t="shared" si="414"/>
        <v>47.07</v>
      </c>
      <c r="F189" s="1512">
        <f t="shared" si="414"/>
        <v>44.55</v>
      </c>
      <c r="G189" s="1538">
        <f t="shared" si="414"/>
        <v>1.85</v>
      </c>
      <c r="H189" s="1513">
        <f t="shared" si="414"/>
        <v>46.4</v>
      </c>
      <c r="I189" s="1512">
        <f t="shared" si="414"/>
        <v>45.56</v>
      </c>
      <c r="J189" s="1538">
        <f t="shared" si="414"/>
        <v>2.04</v>
      </c>
      <c r="K189" s="1513">
        <f t="shared" si="414"/>
        <v>47.6</v>
      </c>
      <c r="L189" s="1512">
        <f t="shared" si="414"/>
        <v>46.25</v>
      </c>
      <c r="M189" s="1538">
        <f t="shared" si="414"/>
        <v>2.19</v>
      </c>
      <c r="N189" s="1513">
        <f t="shared" si="414"/>
        <v>48.44</v>
      </c>
      <c r="O189" s="1512">
        <f t="shared" si="414"/>
        <v>46.76</v>
      </c>
      <c r="P189" s="1538">
        <f t="shared" si="414"/>
        <v>2.31</v>
      </c>
      <c r="Q189" s="1513">
        <f t="shared" si="414"/>
        <v>49.2</v>
      </c>
      <c r="R189" s="1512">
        <f t="shared" si="414"/>
        <v>46.98</v>
      </c>
      <c r="S189" s="1538">
        <f t="shared" si="414"/>
        <v>2.42</v>
      </c>
      <c r="T189" s="1513">
        <f t="shared" si="414"/>
        <v>49.81</v>
      </c>
      <c r="U189" s="1512">
        <f t="shared" si="414"/>
        <v>47.36</v>
      </c>
      <c r="V189" s="1538">
        <f t="shared" si="414"/>
        <v>2.5099999999999998</v>
      </c>
      <c r="W189" s="1513">
        <f t="shared" si="414"/>
        <v>50.55</v>
      </c>
      <c r="X189" s="1517">
        <f t="shared" si="410"/>
        <v>7.0000000000000007E-2</v>
      </c>
      <c r="Y189" s="1512">
        <f>Y183+Y184+Y185+Y186+Y187+Y188</f>
        <v>48.25</v>
      </c>
      <c r="Z189" s="1538">
        <f>Z183+Z184+Z185+Z186+Z187+Z188</f>
        <v>3.05</v>
      </c>
      <c r="AA189" s="1513">
        <f>AA183+AA184+AA185+AA186+AA187+AA188</f>
        <v>52.25</v>
      </c>
      <c r="AC189" s="855">
        <f t="shared" si="411"/>
        <v>3.48</v>
      </c>
    </row>
    <row r="190" spans="1:29">
      <c r="A190" s="89" t="s">
        <v>35</v>
      </c>
    </row>
    <row r="191" spans="1:29">
      <c r="A191" s="1" t="s">
        <v>68</v>
      </c>
    </row>
    <row r="192" spans="1:29">
      <c r="A192" s="1" t="s">
        <v>69</v>
      </c>
    </row>
    <row r="193" spans="1:29">
      <c r="A193" s="1" t="s">
        <v>70</v>
      </c>
    </row>
    <row r="195" spans="1:29" ht="15.75" thickBot="1">
      <c r="A195" s="1" t="s">
        <v>712</v>
      </c>
    </row>
    <row r="196" spans="1:29" ht="15.75" customHeight="1" thickBot="1">
      <c r="A196" s="3204" t="s">
        <v>54</v>
      </c>
      <c r="B196" s="3206" t="s">
        <v>2</v>
      </c>
      <c r="C196" s="3261" t="s">
        <v>55</v>
      </c>
      <c r="D196" s="3262"/>
      <c r="E196" s="3263"/>
      <c r="F196" s="3261" t="s">
        <v>56</v>
      </c>
      <c r="G196" s="3262"/>
      <c r="H196" s="3262"/>
      <c r="I196" s="3262"/>
      <c r="J196" s="3262"/>
      <c r="K196" s="3262"/>
      <c r="L196" s="3262"/>
      <c r="M196" s="3262"/>
      <c r="N196" s="3262"/>
      <c r="O196" s="3262"/>
      <c r="P196" s="3262"/>
      <c r="Q196" s="3262"/>
      <c r="R196" s="3262"/>
      <c r="S196" s="3262"/>
      <c r="T196" s="3262"/>
      <c r="U196" s="3262"/>
      <c r="V196" s="3262"/>
      <c r="W196" s="3263"/>
      <c r="X196" s="3255" t="s">
        <v>57</v>
      </c>
      <c r="Y196" s="3261" t="s">
        <v>58</v>
      </c>
      <c r="Z196" s="3262"/>
      <c r="AA196" s="3263"/>
      <c r="AC196" s="3255" t="s">
        <v>80</v>
      </c>
    </row>
    <row r="197" spans="1:29">
      <c r="A197" s="3205"/>
      <c r="B197" s="3207"/>
      <c r="C197" s="3258">
        <v>2015</v>
      </c>
      <c r="D197" s="3264"/>
      <c r="E197" s="3245"/>
      <c r="F197" s="3258">
        <v>2020</v>
      </c>
      <c r="G197" s="3264"/>
      <c r="H197" s="3245"/>
      <c r="I197" s="3258">
        <v>2025</v>
      </c>
      <c r="J197" s="3264"/>
      <c r="K197" s="3245"/>
      <c r="L197" s="3258">
        <v>2030</v>
      </c>
      <c r="M197" s="3264"/>
      <c r="N197" s="3245"/>
      <c r="O197" s="3258">
        <v>2035</v>
      </c>
      <c r="P197" s="3264"/>
      <c r="Q197" s="3245"/>
      <c r="R197" s="3258">
        <v>2040</v>
      </c>
      <c r="S197" s="3264"/>
      <c r="T197" s="3245"/>
      <c r="U197" s="3258">
        <v>2045</v>
      </c>
      <c r="V197" s="3264"/>
      <c r="W197" s="3245"/>
      <c r="X197" s="3256"/>
      <c r="Y197" s="3258">
        <v>2045</v>
      </c>
      <c r="Z197" s="3264"/>
      <c r="AA197" s="3245"/>
      <c r="AC197" s="3256"/>
    </row>
    <row r="198" spans="1:29" ht="15.75" thickBot="1">
      <c r="A198" s="3485"/>
      <c r="B198" s="3208"/>
      <c r="C198" s="1130" t="s">
        <v>60</v>
      </c>
      <c r="D198" s="1128" t="s">
        <v>61</v>
      </c>
      <c r="E198" s="1681" t="s">
        <v>18</v>
      </c>
      <c r="F198" s="1127" t="s">
        <v>60</v>
      </c>
      <c r="G198" s="1131" t="s">
        <v>61</v>
      </c>
      <c r="H198" s="1680" t="s">
        <v>18</v>
      </c>
      <c r="I198" s="1130" t="s">
        <v>60</v>
      </c>
      <c r="J198" s="1128" t="s">
        <v>61</v>
      </c>
      <c r="K198" s="1681" t="s">
        <v>18</v>
      </c>
      <c r="L198" s="1127" t="s">
        <v>60</v>
      </c>
      <c r="M198" s="1131" t="s">
        <v>61</v>
      </c>
      <c r="N198" s="1680" t="s">
        <v>18</v>
      </c>
      <c r="O198" s="1130" t="s">
        <v>60</v>
      </c>
      <c r="P198" s="1128" t="s">
        <v>61</v>
      </c>
      <c r="Q198" s="1681" t="s">
        <v>18</v>
      </c>
      <c r="R198" s="1130" t="s">
        <v>60</v>
      </c>
      <c r="S198" s="1131" t="s">
        <v>61</v>
      </c>
      <c r="T198" s="1680" t="s">
        <v>18</v>
      </c>
      <c r="U198" s="1130" t="s">
        <v>60</v>
      </c>
      <c r="V198" s="1131" t="s">
        <v>61</v>
      </c>
      <c r="W198" s="1680" t="s">
        <v>18</v>
      </c>
      <c r="X198" s="3257"/>
      <c r="Y198" s="1817" t="s">
        <v>60</v>
      </c>
      <c r="Z198" s="1818" t="s">
        <v>61</v>
      </c>
      <c r="AA198" s="1135" t="s">
        <v>18</v>
      </c>
      <c r="AC198" s="3483"/>
    </row>
    <row r="199" spans="1:29">
      <c r="A199" s="993" t="s">
        <v>62</v>
      </c>
      <c r="B199" s="1492" t="s">
        <v>15</v>
      </c>
      <c r="C199" s="1497">
        <f>'Table 4'!J21</f>
        <v>2.1800000000000002</v>
      </c>
      <c r="D199" s="1507">
        <f>'Table 4'!K21</f>
        <v>0</v>
      </c>
      <c r="E199" s="1499">
        <f>'Table 4'!L21</f>
        <v>2.1800000000000002</v>
      </c>
      <c r="F199" s="1497">
        <f>'Table 4'!M21</f>
        <v>2.1</v>
      </c>
      <c r="G199" s="1507">
        <f>'Table 4'!N21</f>
        <v>0</v>
      </c>
      <c r="H199" s="1499">
        <f>'Table 4'!O21</f>
        <v>2.1</v>
      </c>
      <c r="I199" s="1497">
        <f>'Table 4'!Q21</f>
        <v>2.11</v>
      </c>
      <c r="J199" s="1507">
        <f>'Table 4'!R21</f>
        <v>0</v>
      </c>
      <c r="K199" s="1499">
        <f>'Table 4'!S21</f>
        <v>2.11</v>
      </c>
      <c r="L199" s="1497">
        <f>'Table 4'!U21</f>
        <v>2.12</v>
      </c>
      <c r="M199" s="1507">
        <f>'Table 4'!V21</f>
        <v>0</v>
      </c>
      <c r="N199" s="1499">
        <f>'Table 4'!W21</f>
        <v>2.12</v>
      </c>
      <c r="O199" s="1497">
        <f>'Table 4'!Y21</f>
        <v>2.13</v>
      </c>
      <c r="P199" s="1507">
        <f>'Table 4'!Z21</f>
        <v>0</v>
      </c>
      <c r="Q199" s="1499">
        <f>'Table 4'!AA21</f>
        <v>2.13</v>
      </c>
      <c r="R199" s="1497">
        <f>'Table 4'!AC21</f>
        <v>2.14</v>
      </c>
      <c r="S199" s="1507">
        <f>'Table 4'!AD21</f>
        <v>0</v>
      </c>
      <c r="T199" s="1499">
        <f>'Table 4'!AE21</f>
        <v>2.14</v>
      </c>
      <c r="U199" s="1497">
        <f>'Table 4'!AG21</f>
        <v>2.15</v>
      </c>
      <c r="V199" s="1507">
        <f>'Table 4'!AH21</f>
        <v>0</v>
      </c>
      <c r="W199" s="1499">
        <f>'Table 4'!AI21</f>
        <v>2.15</v>
      </c>
      <c r="X199" s="1813">
        <f>(W199-E199)/E199</f>
        <v>-0.01</v>
      </c>
      <c r="Y199" s="1497">
        <f>'Table 4'!AL21</f>
        <v>2.2799999999999998</v>
      </c>
      <c r="Z199" s="1507">
        <f>'Table 4'!AM21</f>
        <v>0</v>
      </c>
      <c r="AA199" s="1499">
        <f>'Table 4'!AN21</f>
        <v>2.2799999999999998</v>
      </c>
      <c r="AC199" s="1653">
        <f>W199-E199</f>
        <v>-0.03</v>
      </c>
    </row>
    <row r="200" spans="1:29" ht="26.25">
      <c r="A200" s="993" t="s">
        <v>63</v>
      </c>
      <c r="B200" s="1492" t="s">
        <v>15</v>
      </c>
      <c r="C200" s="1497">
        <f>'Table 6'!K21</f>
        <v>2.5499999999999998</v>
      </c>
      <c r="D200" s="1507">
        <f>'Table 6'!L21</f>
        <v>0</v>
      </c>
      <c r="E200" s="1499">
        <f>'Table 6'!M21</f>
        <v>2.5499999999999998</v>
      </c>
      <c r="F200" s="1497">
        <f>'Table 6'!N21</f>
        <v>3.24</v>
      </c>
      <c r="G200" s="1507">
        <f>'Table 6'!O21</f>
        <v>0</v>
      </c>
      <c r="H200" s="1499">
        <f>'Table 6'!P21</f>
        <v>3.24</v>
      </c>
      <c r="I200" s="1497">
        <f>'Table 6'!Q21</f>
        <v>3.24</v>
      </c>
      <c r="J200" s="1507">
        <f>'Table 6'!R21</f>
        <v>0</v>
      </c>
      <c r="K200" s="1499">
        <f>'Table 6'!S21</f>
        <v>3.24</v>
      </c>
      <c r="L200" s="1497">
        <f>'Table 6'!T21</f>
        <v>3.24</v>
      </c>
      <c r="M200" s="1507">
        <f>'Table 6'!U21</f>
        <v>0</v>
      </c>
      <c r="N200" s="1499">
        <f>'Table 6'!V21</f>
        <v>3.24</v>
      </c>
      <c r="O200" s="1497">
        <f>'Table 6'!W21</f>
        <v>3.24</v>
      </c>
      <c r="P200" s="1507">
        <f>'Table 6'!X21</f>
        <v>0</v>
      </c>
      <c r="Q200" s="1499">
        <f>'Table 6'!Y21</f>
        <v>3.24</v>
      </c>
      <c r="R200" s="1497">
        <f>'Table 6'!Z21</f>
        <v>3.24</v>
      </c>
      <c r="S200" s="1507">
        <f>'Table 6'!AA21</f>
        <v>0</v>
      </c>
      <c r="T200" s="1499">
        <f>'Table 6'!AB21</f>
        <v>3.24</v>
      </c>
      <c r="U200" s="1497">
        <f>'Table 6'!AC21</f>
        <v>3.24</v>
      </c>
      <c r="V200" s="1507">
        <f>'Table 6'!AD21</f>
        <v>0</v>
      </c>
      <c r="W200" s="1499">
        <f>'Table 6'!AE21</f>
        <v>3.24</v>
      </c>
      <c r="X200" s="1813">
        <f t="shared" ref="X200:X205" si="415">(W200-E200)/E200</f>
        <v>0.27</v>
      </c>
      <c r="Y200" s="1497">
        <f>'Table 6'!AG21</f>
        <v>3.43</v>
      </c>
      <c r="Z200" s="1507">
        <f>'Table 6'!AH21</f>
        <v>0</v>
      </c>
      <c r="AA200" s="1499">
        <f>'Table 6'!AI21</f>
        <v>3.43</v>
      </c>
      <c r="AC200" s="1653">
        <f t="shared" ref="AC200:AC205" si="416">W200-E200</f>
        <v>0.69</v>
      </c>
    </row>
    <row r="201" spans="1:29">
      <c r="A201" s="798" t="s">
        <v>64</v>
      </c>
      <c r="B201" s="1492" t="s">
        <v>15</v>
      </c>
      <c r="C201" s="1497">
        <f>'Table 7'!C21</f>
        <v>15.5</v>
      </c>
      <c r="D201" s="1507">
        <f>'Table 7'!D21</f>
        <v>0.26</v>
      </c>
      <c r="E201" s="1499">
        <f>'Table 7'!E21</f>
        <v>15.76</v>
      </c>
      <c r="F201" s="1497">
        <f>'Table 7'!F21</f>
        <v>16.75</v>
      </c>
      <c r="G201" s="1507">
        <f>'Table 7'!G21</f>
        <v>0.28000000000000003</v>
      </c>
      <c r="H201" s="1499">
        <f>'Table 7'!H21</f>
        <v>17.03</v>
      </c>
      <c r="I201" s="1497">
        <f>'Table 7'!I21</f>
        <v>17.75</v>
      </c>
      <c r="J201" s="1507">
        <f>'Table 7'!J21</f>
        <v>0.3</v>
      </c>
      <c r="K201" s="1499">
        <f>'Table 7'!K21</f>
        <v>18.05</v>
      </c>
      <c r="L201" s="1497">
        <f>'Table 7'!L21</f>
        <v>18.64</v>
      </c>
      <c r="M201" s="1507">
        <f>'Table 7'!M21</f>
        <v>0.31</v>
      </c>
      <c r="N201" s="1499">
        <f>'Table 7'!N21</f>
        <v>18.95</v>
      </c>
      <c r="O201" s="1497">
        <f>'Table 7'!O21</f>
        <v>19.45</v>
      </c>
      <c r="P201" s="1507">
        <f>'Table 7'!P21</f>
        <v>0.33</v>
      </c>
      <c r="Q201" s="1499">
        <f>'Table 7'!Q21</f>
        <v>19.78</v>
      </c>
      <c r="R201" s="1497">
        <f>'Table 7'!R21</f>
        <v>20.38</v>
      </c>
      <c r="S201" s="1507">
        <f>'Table 7'!S21</f>
        <v>0.34</v>
      </c>
      <c r="T201" s="1499">
        <f>'Table 7'!T21</f>
        <v>20.72</v>
      </c>
      <c r="U201" s="1497">
        <f>'Table 7'!U21</f>
        <v>21.3</v>
      </c>
      <c r="V201" s="1507">
        <f>'Table 7'!V21</f>
        <v>0.36</v>
      </c>
      <c r="W201" s="1499">
        <f>'Table 7'!W21</f>
        <v>21.66</v>
      </c>
      <c r="X201" s="1813">
        <f t="shared" si="415"/>
        <v>0.37</v>
      </c>
      <c r="Y201" s="1497">
        <f>'Table 7'!AG21</f>
        <v>28.77</v>
      </c>
      <c r="Z201" s="1507">
        <f>'Table 7'!AH21</f>
        <v>0.48</v>
      </c>
      <c r="AA201" s="1499">
        <f>'Table 7'!AI21</f>
        <v>29.25</v>
      </c>
      <c r="AC201" s="1653">
        <f t="shared" si="416"/>
        <v>5.9</v>
      </c>
    </row>
    <row r="202" spans="1:29">
      <c r="A202" s="798" t="s">
        <v>65</v>
      </c>
      <c r="B202" s="1492" t="s">
        <v>15</v>
      </c>
      <c r="C202" s="1497">
        <f>'Table 8'!C21</f>
        <v>0.37</v>
      </c>
      <c r="D202" s="1507">
        <f>'Table 8'!D21</f>
        <v>0.49</v>
      </c>
      <c r="E202" s="1499">
        <f>'Table 8'!E21</f>
        <v>0.86</v>
      </c>
      <c r="F202" s="1497">
        <f>'Table 8'!F21</f>
        <v>0.37</v>
      </c>
      <c r="G202" s="1507">
        <f>'Table 8'!G21</f>
        <v>0.5</v>
      </c>
      <c r="H202" s="1499">
        <f>'Table 8'!H21</f>
        <v>0.87</v>
      </c>
      <c r="I202" s="1497">
        <f>'Table 8'!I21</f>
        <v>0.37</v>
      </c>
      <c r="J202" s="1507">
        <f>'Table 8'!J21</f>
        <v>0.5</v>
      </c>
      <c r="K202" s="1499">
        <f>'Table 8'!K21</f>
        <v>0.87</v>
      </c>
      <c r="L202" s="1497">
        <f>'Table 8'!L21</f>
        <v>0.37</v>
      </c>
      <c r="M202" s="1507">
        <f>'Table 8'!M21</f>
        <v>0.5</v>
      </c>
      <c r="N202" s="1499">
        <f>'Table 8'!N21</f>
        <v>0.87</v>
      </c>
      <c r="O202" s="1497">
        <f>'Table 8'!O21</f>
        <v>0.37</v>
      </c>
      <c r="P202" s="1507">
        <f>'Table 8'!P21</f>
        <v>0.5</v>
      </c>
      <c r="Q202" s="1499">
        <f>'Table 8'!Q21</f>
        <v>0.87</v>
      </c>
      <c r="R202" s="1497">
        <f>'Table 8'!R21</f>
        <v>0.37</v>
      </c>
      <c r="S202" s="1507">
        <f>'Table 8'!S21</f>
        <v>0.5</v>
      </c>
      <c r="T202" s="1499">
        <f>'Table 8'!T21</f>
        <v>0.87</v>
      </c>
      <c r="U202" s="1497">
        <f>'Table 8'!U21</f>
        <v>0.37</v>
      </c>
      <c r="V202" s="1507">
        <f>'Table 8'!V21</f>
        <v>0.5</v>
      </c>
      <c r="W202" s="1499">
        <f>'Table 8'!W21</f>
        <v>0.87</v>
      </c>
      <c r="X202" s="1813">
        <f t="shared" si="415"/>
        <v>0.01</v>
      </c>
      <c r="Y202" s="1497">
        <f>'Table 8'!Y21</f>
        <v>0.68</v>
      </c>
      <c r="Z202" s="1507">
        <f>'Table 8'!Z21</f>
        <v>0.9</v>
      </c>
      <c r="AA202" s="1499">
        <f>'Table 8'!AA21</f>
        <v>1.58</v>
      </c>
      <c r="AC202" s="1653">
        <f t="shared" si="416"/>
        <v>0.01</v>
      </c>
    </row>
    <row r="203" spans="1:29" ht="15" customHeight="1">
      <c r="A203" s="798" t="s">
        <v>66</v>
      </c>
      <c r="B203" s="1518" t="s">
        <v>15</v>
      </c>
      <c r="C203" s="1519">
        <f>'Table 9'!C21</f>
        <v>3.69</v>
      </c>
      <c r="D203" s="1520">
        <f>'Table 9'!D21</f>
        <v>23.85</v>
      </c>
      <c r="E203" s="1521">
        <f>'Table 9'!E21</f>
        <v>27.54</v>
      </c>
      <c r="F203" s="1519">
        <f>'Table 9'!F21</f>
        <v>3.69</v>
      </c>
      <c r="G203" s="1520">
        <f>'Table 9'!G21</f>
        <v>23.87</v>
      </c>
      <c r="H203" s="1521">
        <f>'Table 9'!H21</f>
        <v>27.56</v>
      </c>
      <c r="I203" s="1519">
        <f>'Table 9'!I21</f>
        <v>3.69</v>
      </c>
      <c r="J203" s="1520">
        <f>'Table 9'!J21</f>
        <v>23.88</v>
      </c>
      <c r="K203" s="1521">
        <f>'Table 9'!K21</f>
        <v>27.57</v>
      </c>
      <c r="L203" s="1519">
        <f>'Table 9'!L21</f>
        <v>3.69</v>
      </c>
      <c r="M203" s="1520">
        <f>'Table 9'!M21</f>
        <v>23.88</v>
      </c>
      <c r="N203" s="1521">
        <f>'Table 9'!N21</f>
        <v>27.57</v>
      </c>
      <c r="O203" s="1519">
        <f>'Table 9'!O21</f>
        <v>3.7</v>
      </c>
      <c r="P203" s="1520">
        <f>'Table 9'!P21</f>
        <v>23.88</v>
      </c>
      <c r="Q203" s="1521">
        <f>'Table 9'!Q21</f>
        <v>27.58</v>
      </c>
      <c r="R203" s="1519">
        <f>'Table 9'!R21</f>
        <v>3.7</v>
      </c>
      <c r="S203" s="1520">
        <f>'Table 9'!S21</f>
        <v>23.89</v>
      </c>
      <c r="T203" s="1521">
        <f>'Table 9'!T21</f>
        <v>27.59</v>
      </c>
      <c r="U203" s="1519">
        <f>'Table 9'!U21</f>
        <v>3.7</v>
      </c>
      <c r="V203" s="1520">
        <f>'Table 9'!V21</f>
        <v>23.9</v>
      </c>
      <c r="W203" s="1521">
        <f>'Table 9'!W21</f>
        <v>27.6</v>
      </c>
      <c r="X203" s="1814">
        <f t="shared" si="415"/>
        <v>0</v>
      </c>
      <c r="Y203" s="1519">
        <f>U203</f>
        <v>3.7</v>
      </c>
      <c r="Z203" s="1520">
        <f t="shared" ref="Z203:Z204" si="417">V203</f>
        <v>23.9</v>
      </c>
      <c r="AA203" s="1521">
        <f t="shared" ref="AA203:AA204" si="418">W203</f>
        <v>27.6</v>
      </c>
      <c r="AC203" s="841">
        <f t="shared" si="416"/>
        <v>0.06</v>
      </c>
    </row>
    <row r="204" spans="1:29" ht="15.75" thickBot="1">
      <c r="A204" s="175" t="s">
        <v>67</v>
      </c>
      <c r="B204" s="1489" t="s">
        <v>15</v>
      </c>
      <c r="C204" s="1522">
        <f>'Table 10'!C21</f>
        <v>0.45</v>
      </c>
      <c r="D204" s="1523">
        <f>'Table 10'!D21</f>
        <v>0.3</v>
      </c>
      <c r="E204" s="1524">
        <f>'Table 10'!E21</f>
        <v>0.75</v>
      </c>
      <c r="F204" s="1522">
        <f>'Table 10'!F21</f>
        <v>0.48</v>
      </c>
      <c r="G204" s="1523">
        <f>'Table 10'!G21</f>
        <v>0.32</v>
      </c>
      <c r="H204" s="1524">
        <f>'Table 10'!H21</f>
        <v>0.8</v>
      </c>
      <c r="I204" s="1522">
        <f>'Table 10'!I21</f>
        <v>0.51</v>
      </c>
      <c r="J204" s="1523">
        <f>'Table 10'!J21</f>
        <v>0.34</v>
      </c>
      <c r="K204" s="1524">
        <f>'Table 10'!K21</f>
        <v>0.85</v>
      </c>
      <c r="L204" s="1522">
        <f>'Table 10'!L21</f>
        <v>0.54</v>
      </c>
      <c r="M204" s="1523">
        <f>'Table 10'!M21</f>
        <v>0.36</v>
      </c>
      <c r="N204" s="1524">
        <f>'Table 10'!N21</f>
        <v>0.9</v>
      </c>
      <c r="O204" s="1522">
        <f>'Table 10'!O21</f>
        <v>0.56000000000000005</v>
      </c>
      <c r="P204" s="1523">
        <f>'Table 10'!P21</f>
        <v>0.37</v>
      </c>
      <c r="Q204" s="1524">
        <f>'Table 10'!Q21</f>
        <v>0.93</v>
      </c>
      <c r="R204" s="1522">
        <f>'Table 10'!R21</f>
        <v>0.56999999999999995</v>
      </c>
      <c r="S204" s="1523">
        <f>'Table 10'!S21</f>
        <v>0.38</v>
      </c>
      <c r="T204" s="1524">
        <f>'Table 10'!T21</f>
        <v>0.95</v>
      </c>
      <c r="U204" s="1522">
        <f>'Table 10'!U21</f>
        <v>0.57999999999999996</v>
      </c>
      <c r="V204" s="1523">
        <f>'Table 10'!V21</f>
        <v>0.39</v>
      </c>
      <c r="W204" s="1524">
        <f>'Table 10'!W21</f>
        <v>0.97</v>
      </c>
      <c r="X204" s="1816">
        <f t="shared" si="415"/>
        <v>0.28999999999999998</v>
      </c>
      <c r="Y204" s="1522">
        <f>U204</f>
        <v>0.57999999999999996</v>
      </c>
      <c r="Z204" s="1523">
        <f t="shared" si="417"/>
        <v>0.39</v>
      </c>
      <c r="AA204" s="1524">
        <f t="shared" si="418"/>
        <v>0.97</v>
      </c>
      <c r="AC204" s="1822">
        <f t="shared" si="416"/>
        <v>0.22</v>
      </c>
    </row>
    <row r="205" spans="1:29" ht="16.5" thickTop="1" thickBot="1">
      <c r="A205" s="3481" t="s">
        <v>713</v>
      </c>
      <c r="B205" s="3482"/>
      <c r="C205" s="1512">
        <f t="shared" ref="C205:W205" si="419">C199+C200+C201+C202+C203+C204</f>
        <v>24.74</v>
      </c>
      <c r="D205" s="1538">
        <f t="shared" si="419"/>
        <v>24.9</v>
      </c>
      <c r="E205" s="1513">
        <f t="shared" si="419"/>
        <v>49.64</v>
      </c>
      <c r="F205" s="1512">
        <f t="shared" si="419"/>
        <v>26.63</v>
      </c>
      <c r="G205" s="1538">
        <f t="shared" si="419"/>
        <v>24.97</v>
      </c>
      <c r="H205" s="1513">
        <f t="shared" si="419"/>
        <v>51.6</v>
      </c>
      <c r="I205" s="1512">
        <f t="shared" si="419"/>
        <v>27.67</v>
      </c>
      <c r="J205" s="1538">
        <f t="shared" si="419"/>
        <v>25.02</v>
      </c>
      <c r="K205" s="1513">
        <f t="shared" si="419"/>
        <v>52.69</v>
      </c>
      <c r="L205" s="1512">
        <f t="shared" si="419"/>
        <v>28.6</v>
      </c>
      <c r="M205" s="1538">
        <f t="shared" si="419"/>
        <v>25.05</v>
      </c>
      <c r="N205" s="1513">
        <f t="shared" si="419"/>
        <v>53.65</v>
      </c>
      <c r="O205" s="1512">
        <f t="shared" si="419"/>
        <v>29.45</v>
      </c>
      <c r="P205" s="1538">
        <f t="shared" si="419"/>
        <v>25.08</v>
      </c>
      <c r="Q205" s="1513">
        <f t="shared" si="419"/>
        <v>54.53</v>
      </c>
      <c r="R205" s="1512">
        <f t="shared" si="419"/>
        <v>30.4</v>
      </c>
      <c r="S205" s="1538">
        <f t="shared" si="419"/>
        <v>25.11</v>
      </c>
      <c r="T205" s="1513">
        <f t="shared" si="419"/>
        <v>55.51</v>
      </c>
      <c r="U205" s="1512">
        <f t="shared" si="419"/>
        <v>31.34</v>
      </c>
      <c r="V205" s="1538">
        <f t="shared" si="419"/>
        <v>25.15</v>
      </c>
      <c r="W205" s="1513">
        <f t="shared" si="419"/>
        <v>56.49</v>
      </c>
      <c r="X205" s="1517">
        <f t="shared" si="415"/>
        <v>0.14000000000000001</v>
      </c>
      <c r="Y205" s="1512">
        <f>Y199+Y200+Y201+Y202+Y203+Y204</f>
        <v>39.44</v>
      </c>
      <c r="Z205" s="1538">
        <f>Z199+Z200+Z201+Z202+Z203+Z204</f>
        <v>25.67</v>
      </c>
      <c r="AA205" s="1513">
        <f>AA199+AA200+AA201+AA202+AA203+AA204</f>
        <v>65.11</v>
      </c>
      <c r="AC205" s="855">
        <f t="shared" si="416"/>
        <v>6.85</v>
      </c>
    </row>
    <row r="206" spans="1:29">
      <c r="A206" s="89" t="s">
        <v>35</v>
      </c>
    </row>
    <row r="207" spans="1:29">
      <c r="A207" s="1" t="s">
        <v>68</v>
      </c>
    </row>
    <row r="208" spans="1:29">
      <c r="A208" s="1" t="s">
        <v>69</v>
      </c>
    </row>
    <row r="210" spans="1:29" ht="15.75" thickBot="1">
      <c r="A210" s="1" t="s">
        <v>714</v>
      </c>
    </row>
    <row r="211" spans="1:29" ht="15.75" customHeight="1" thickBot="1">
      <c r="A211" s="3204" t="s">
        <v>54</v>
      </c>
      <c r="B211" s="3206" t="s">
        <v>2</v>
      </c>
      <c r="C211" s="3261" t="s">
        <v>55</v>
      </c>
      <c r="D211" s="3262"/>
      <c r="E211" s="3263"/>
      <c r="F211" s="3261" t="s">
        <v>56</v>
      </c>
      <c r="G211" s="3262"/>
      <c r="H211" s="3262"/>
      <c r="I211" s="3262"/>
      <c r="J211" s="3262"/>
      <c r="K211" s="3262"/>
      <c r="L211" s="3262"/>
      <c r="M211" s="3262"/>
      <c r="N211" s="3262"/>
      <c r="O211" s="3262"/>
      <c r="P211" s="3262"/>
      <c r="Q211" s="3262"/>
      <c r="R211" s="3262"/>
      <c r="S211" s="3262"/>
      <c r="T211" s="3262"/>
      <c r="U211" s="3262"/>
      <c r="V211" s="3262"/>
      <c r="W211" s="3263"/>
      <c r="X211" s="3255" t="s">
        <v>57</v>
      </c>
      <c r="Y211" s="3261" t="s">
        <v>58</v>
      </c>
      <c r="Z211" s="3262"/>
      <c r="AA211" s="3263"/>
      <c r="AC211" s="3255" t="s">
        <v>80</v>
      </c>
    </row>
    <row r="212" spans="1:29">
      <c r="A212" s="3205"/>
      <c r="B212" s="3207"/>
      <c r="C212" s="3258">
        <v>2015</v>
      </c>
      <c r="D212" s="3264"/>
      <c r="E212" s="3245"/>
      <c r="F212" s="3258">
        <v>2020</v>
      </c>
      <c r="G212" s="3264"/>
      <c r="H212" s="3245"/>
      <c r="I212" s="3258">
        <v>2025</v>
      </c>
      <c r="J212" s="3264"/>
      <c r="K212" s="3245"/>
      <c r="L212" s="3258">
        <v>2030</v>
      </c>
      <c r="M212" s="3264"/>
      <c r="N212" s="3245"/>
      <c r="O212" s="3258">
        <v>2035</v>
      </c>
      <c r="P212" s="3264"/>
      <c r="Q212" s="3245"/>
      <c r="R212" s="3258">
        <v>2040</v>
      </c>
      <c r="S212" s="3264"/>
      <c r="T212" s="3245"/>
      <c r="U212" s="3258">
        <v>2045</v>
      </c>
      <c r="V212" s="3264"/>
      <c r="W212" s="3245"/>
      <c r="X212" s="3256"/>
      <c r="Y212" s="3258">
        <v>2045</v>
      </c>
      <c r="Z212" s="3264"/>
      <c r="AA212" s="3245"/>
      <c r="AC212" s="3256"/>
    </row>
    <row r="213" spans="1:29" ht="15.75" thickBot="1">
      <c r="A213" s="3485"/>
      <c r="B213" s="3208"/>
      <c r="C213" s="1130" t="s">
        <v>60</v>
      </c>
      <c r="D213" s="1128" t="s">
        <v>61</v>
      </c>
      <c r="E213" s="1681" t="s">
        <v>18</v>
      </c>
      <c r="F213" s="1127" t="s">
        <v>60</v>
      </c>
      <c r="G213" s="1131" t="s">
        <v>61</v>
      </c>
      <c r="H213" s="1680" t="s">
        <v>18</v>
      </c>
      <c r="I213" s="1130" t="s">
        <v>60</v>
      </c>
      <c r="J213" s="1128" t="s">
        <v>61</v>
      </c>
      <c r="K213" s="1681" t="s">
        <v>18</v>
      </c>
      <c r="L213" s="1127" t="s">
        <v>60</v>
      </c>
      <c r="M213" s="1131" t="s">
        <v>61</v>
      </c>
      <c r="N213" s="1680" t="s">
        <v>18</v>
      </c>
      <c r="O213" s="1130" t="s">
        <v>60</v>
      </c>
      <c r="P213" s="1128" t="s">
        <v>61</v>
      </c>
      <c r="Q213" s="1681" t="s">
        <v>18</v>
      </c>
      <c r="R213" s="1130" t="s">
        <v>60</v>
      </c>
      <c r="S213" s="1131" t="s">
        <v>61</v>
      </c>
      <c r="T213" s="1680" t="s">
        <v>18</v>
      </c>
      <c r="U213" s="1130" t="s">
        <v>60</v>
      </c>
      <c r="V213" s="1131" t="s">
        <v>61</v>
      </c>
      <c r="W213" s="1680" t="s">
        <v>18</v>
      </c>
      <c r="X213" s="3257"/>
      <c r="Y213" s="1817" t="s">
        <v>60</v>
      </c>
      <c r="Z213" s="1818" t="s">
        <v>61</v>
      </c>
      <c r="AA213" s="1135" t="s">
        <v>18</v>
      </c>
      <c r="AC213" s="3483"/>
    </row>
    <row r="214" spans="1:29">
      <c r="A214" s="993" t="s">
        <v>62</v>
      </c>
      <c r="B214" s="1492" t="s">
        <v>15</v>
      </c>
      <c r="C214" s="1497">
        <f>'Table 4'!J22</f>
        <v>19.21</v>
      </c>
      <c r="D214" s="1507">
        <f>'Table 4'!K22</f>
        <v>0</v>
      </c>
      <c r="E214" s="1499">
        <f>'Table 4'!L22</f>
        <v>19.21</v>
      </c>
      <c r="F214" s="1497">
        <f>'Table 4'!M22</f>
        <v>28.56</v>
      </c>
      <c r="G214" s="1507">
        <f>'Table 4'!N22</f>
        <v>0</v>
      </c>
      <c r="H214" s="1499">
        <f>'Table 4'!O22+'Table 4'!P22</f>
        <v>30.77</v>
      </c>
      <c r="I214" s="1497">
        <f>'Table 4'!Q22</f>
        <v>32.479999999999997</v>
      </c>
      <c r="J214" s="1507">
        <f>'Table 4'!R22</f>
        <v>0</v>
      </c>
      <c r="K214" s="1499">
        <f>'Table 4'!S22+'Table 4'!T22</f>
        <v>36.32</v>
      </c>
      <c r="L214" s="1497">
        <f>'Table 4'!U22</f>
        <v>32.590000000000003</v>
      </c>
      <c r="M214" s="1507">
        <f>'Table 4'!V22</f>
        <v>0</v>
      </c>
      <c r="N214" s="1499">
        <f>'Table 4'!W22+'Table 4'!X22</f>
        <v>40.99</v>
      </c>
      <c r="O214" s="1497">
        <f>'Table 4'!Y22</f>
        <v>32.65</v>
      </c>
      <c r="P214" s="1507">
        <f>'Table 4'!Z22</f>
        <v>0</v>
      </c>
      <c r="Q214" s="1499">
        <f>'Table 4'!AA22+'Table 4'!AB22</f>
        <v>44.79</v>
      </c>
      <c r="R214" s="1497">
        <f>'Table 4'!AC22</f>
        <v>32.76</v>
      </c>
      <c r="S214" s="1507">
        <f>'Table 4'!AD22</f>
        <v>0</v>
      </c>
      <c r="T214" s="1499">
        <f>'Table 4'!AE22+'Table 4'!AF22</f>
        <v>48.04</v>
      </c>
      <c r="U214" s="1497">
        <f>'Table 4'!AG22</f>
        <v>33.07</v>
      </c>
      <c r="V214" s="1507">
        <f>'Table 4'!AH22</f>
        <v>0</v>
      </c>
      <c r="W214" s="1499">
        <f>'Table 4'!AI22+'Table 4'!AJ22</f>
        <v>51.02</v>
      </c>
      <c r="X214" s="1813">
        <f>(W214-E214)/E214</f>
        <v>1.66</v>
      </c>
      <c r="Y214" s="1497">
        <f>'Table 4'!AL22</f>
        <v>33.75</v>
      </c>
      <c r="Z214" s="1507">
        <f>'Table 4'!AM22</f>
        <v>0</v>
      </c>
      <c r="AA214" s="1499">
        <f>'Table 4'!AN22+'Table 4'!AO22</f>
        <v>54.08</v>
      </c>
      <c r="AC214" s="1653">
        <f>W214-E214</f>
        <v>31.81</v>
      </c>
    </row>
    <row r="215" spans="1:29" ht="26.25">
      <c r="A215" s="993" t="s">
        <v>63</v>
      </c>
      <c r="B215" s="1492" t="s">
        <v>15</v>
      </c>
      <c r="C215" s="1497">
        <f>'Table 6'!K22</f>
        <v>2.78</v>
      </c>
      <c r="D215" s="1507">
        <f>'Table 6'!L22</f>
        <v>0</v>
      </c>
      <c r="E215" s="1499">
        <f>'Table 6'!M22</f>
        <v>2.78</v>
      </c>
      <c r="F215" s="1497">
        <f>'Table 6'!N22</f>
        <v>4.6100000000000003</v>
      </c>
      <c r="G215" s="1507">
        <f>'Table 6'!O22</f>
        <v>0</v>
      </c>
      <c r="H215" s="1499">
        <f>'Table 6'!P22</f>
        <v>4.6100000000000003</v>
      </c>
      <c r="I215" s="1497">
        <f>'Table 6'!Q22</f>
        <v>5.4</v>
      </c>
      <c r="J215" s="1507">
        <f>'Table 6'!R22</f>
        <v>0</v>
      </c>
      <c r="K215" s="1499">
        <f>'Table 6'!S22</f>
        <v>5.4</v>
      </c>
      <c r="L215" s="1497">
        <f>'Table 6'!T22</f>
        <v>6.22</v>
      </c>
      <c r="M215" s="1507">
        <f>'Table 6'!U22</f>
        <v>0</v>
      </c>
      <c r="N215" s="1499">
        <f>'Table 6'!V22</f>
        <v>6.22</v>
      </c>
      <c r="O215" s="1497">
        <f>'Table 6'!W22</f>
        <v>6.89</v>
      </c>
      <c r="P215" s="1507">
        <f>'Table 6'!X22</f>
        <v>0</v>
      </c>
      <c r="Q215" s="1499">
        <f>'Table 6'!Y22</f>
        <v>6.89</v>
      </c>
      <c r="R215" s="1497">
        <f>'Table 6'!Z22</f>
        <v>7.6</v>
      </c>
      <c r="S215" s="1507">
        <f>'Table 6'!AA22</f>
        <v>0</v>
      </c>
      <c r="T215" s="1499">
        <f>'Table 6'!AB22</f>
        <v>7.6</v>
      </c>
      <c r="U215" s="1497">
        <f>'Table 6'!AC22</f>
        <v>8.25</v>
      </c>
      <c r="V215" s="1507">
        <f>'Table 6'!AD22</f>
        <v>0</v>
      </c>
      <c r="W215" s="1499">
        <f>'Table 6'!AE22</f>
        <v>8.25</v>
      </c>
      <c r="X215" s="1813">
        <f t="shared" ref="X215:X220" si="420">(W215-E215)/E215</f>
        <v>1.97</v>
      </c>
      <c r="Y215" s="1497">
        <f>'Table 6'!AG22</f>
        <v>8.74</v>
      </c>
      <c r="Z215" s="1507">
        <f>'Table 6'!AH22</f>
        <v>0</v>
      </c>
      <c r="AA215" s="1499">
        <f>'Table 6'!AI22</f>
        <v>8.74</v>
      </c>
      <c r="AC215" s="1653">
        <f t="shared" ref="AC215:AC220" si="421">W215-E215</f>
        <v>5.47</v>
      </c>
    </row>
    <row r="216" spans="1:29">
      <c r="A216" s="798" t="s">
        <v>64</v>
      </c>
      <c r="B216" s="1492" t="s">
        <v>15</v>
      </c>
      <c r="C216" s="1497">
        <f>'Table 7'!C22</f>
        <v>18.18</v>
      </c>
      <c r="D216" s="1507">
        <f>'Table 7'!D22</f>
        <v>0</v>
      </c>
      <c r="E216" s="1499">
        <f>'Table 7'!E22</f>
        <v>18.18</v>
      </c>
      <c r="F216" s="1497">
        <f>'Table 7'!F22</f>
        <v>25.76</v>
      </c>
      <c r="G216" s="1507">
        <f>'Table 7'!G22</f>
        <v>0</v>
      </c>
      <c r="H216" s="1499">
        <f>'Table 7'!H22</f>
        <v>25.76</v>
      </c>
      <c r="I216" s="1497">
        <f>'Table 7'!I22</f>
        <v>25.35</v>
      </c>
      <c r="J216" s="1507">
        <f>'Table 7'!J22</f>
        <v>0</v>
      </c>
      <c r="K216" s="1499">
        <f>'Table 7'!K22</f>
        <v>25.35</v>
      </c>
      <c r="L216" s="1497">
        <f>'Table 7'!L22</f>
        <v>24.87</v>
      </c>
      <c r="M216" s="1507">
        <f>'Table 7'!M22</f>
        <v>0</v>
      </c>
      <c r="N216" s="1499">
        <f>'Table 7'!N22</f>
        <v>24.87</v>
      </c>
      <c r="O216" s="1497">
        <f>'Table 7'!O22</f>
        <v>24.46</v>
      </c>
      <c r="P216" s="1507">
        <f>'Table 7'!P22</f>
        <v>0</v>
      </c>
      <c r="Q216" s="1499">
        <f>'Table 7'!Q22</f>
        <v>24.46</v>
      </c>
      <c r="R216" s="1497">
        <f>'Table 7'!R22</f>
        <v>23.92</v>
      </c>
      <c r="S216" s="1507">
        <f>'Table 7'!S22</f>
        <v>0</v>
      </c>
      <c r="T216" s="1499">
        <f>'Table 7'!T22</f>
        <v>23.92</v>
      </c>
      <c r="U216" s="1497">
        <f>'Table 7'!U22</f>
        <v>23.41</v>
      </c>
      <c r="V216" s="1507">
        <f>'Table 7'!V22</f>
        <v>0</v>
      </c>
      <c r="W216" s="1499">
        <f>'Table 7'!W22</f>
        <v>23.41</v>
      </c>
      <c r="X216" s="1813">
        <f t="shared" si="420"/>
        <v>0.28999999999999998</v>
      </c>
      <c r="Y216" s="1497">
        <f>'Table 7'!AG22</f>
        <v>34.25</v>
      </c>
      <c r="Z216" s="1507">
        <f>'Table 7'!AH22</f>
        <v>0</v>
      </c>
      <c r="AA216" s="1499">
        <f>'Table 7'!AI22</f>
        <v>34.25</v>
      </c>
      <c r="AC216" s="1653">
        <f t="shared" si="421"/>
        <v>5.23</v>
      </c>
    </row>
    <row r="217" spans="1:29">
      <c r="A217" s="798" t="s">
        <v>65</v>
      </c>
      <c r="B217" s="1492" t="s">
        <v>15</v>
      </c>
      <c r="C217" s="1497">
        <f>'Table 8'!C22</f>
        <v>0.52</v>
      </c>
      <c r="D217" s="1507">
        <f>'Table 8'!D22</f>
        <v>4.1900000000000004</v>
      </c>
      <c r="E217" s="1499">
        <f>'Table 8'!E22</f>
        <v>4.71</v>
      </c>
      <c r="F217" s="1497">
        <f>'Table 8'!F22</f>
        <v>0.61</v>
      </c>
      <c r="G217" s="1507">
        <f>'Table 8'!G22</f>
        <v>4.93</v>
      </c>
      <c r="H217" s="1499">
        <f>'Table 8'!H22</f>
        <v>5.54</v>
      </c>
      <c r="I217" s="1497">
        <f>'Table 8'!I22</f>
        <v>0.72</v>
      </c>
      <c r="J217" s="1507">
        <f>'Table 8'!J22</f>
        <v>5.81</v>
      </c>
      <c r="K217" s="1499">
        <f>'Table 8'!K22</f>
        <v>6.53</v>
      </c>
      <c r="L217" s="1497">
        <f>'Table 8'!L22</f>
        <v>0.81</v>
      </c>
      <c r="M217" s="1507">
        <f>'Table 8'!M22</f>
        <v>6.57</v>
      </c>
      <c r="N217" s="1499">
        <f>'Table 8'!N22</f>
        <v>7.38</v>
      </c>
      <c r="O217" s="1497">
        <f>'Table 8'!O22</f>
        <v>0.89</v>
      </c>
      <c r="P217" s="1507">
        <f>'Table 8'!P22</f>
        <v>7.18</v>
      </c>
      <c r="Q217" s="1499">
        <f>'Table 8'!Q22</f>
        <v>8.07</v>
      </c>
      <c r="R217" s="1497">
        <f>'Table 8'!R22</f>
        <v>0.96</v>
      </c>
      <c r="S217" s="1507">
        <f>'Table 8'!S22</f>
        <v>7.74</v>
      </c>
      <c r="T217" s="1499">
        <f>'Table 8'!T22</f>
        <v>8.6999999999999993</v>
      </c>
      <c r="U217" s="1497">
        <f>'Table 8'!U22</f>
        <v>1.03</v>
      </c>
      <c r="V217" s="1507">
        <f>'Table 8'!V22</f>
        <v>8.27</v>
      </c>
      <c r="W217" s="1499">
        <f>'Table 8'!W22</f>
        <v>9.3000000000000007</v>
      </c>
      <c r="X217" s="1813">
        <f t="shared" si="420"/>
        <v>0.97</v>
      </c>
      <c r="Y217" s="1497">
        <f>'Table 8'!Y22</f>
        <v>1.23</v>
      </c>
      <c r="Z217" s="1507">
        <f>'Table 8'!Z22</f>
        <v>9.93</v>
      </c>
      <c r="AA217" s="1499">
        <f>'Table 8'!AA22</f>
        <v>11.16</v>
      </c>
      <c r="AC217" s="1653">
        <f t="shared" si="421"/>
        <v>4.59</v>
      </c>
    </row>
    <row r="218" spans="1:29" ht="15" customHeight="1">
      <c r="A218" s="798" t="s">
        <v>66</v>
      </c>
      <c r="B218" s="1518" t="s">
        <v>15</v>
      </c>
      <c r="C218" s="1519">
        <f>'Table 9'!C22</f>
        <v>0.56000000000000005</v>
      </c>
      <c r="D218" s="1520">
        <f>'Table 9'!D22</f>
        <v>0.2</v>
      </c>
      <c r="E218" s="1521">
        <f>'Table 9'!E22</f>
        <v>0.76</v>
      </c>
      <c r="F218" s="1519">
        <f>'Table 9'!F22</f>
        <v>0.64</v>
      </c>
      <c r="G218" s="1520">
        <f>'Table 9'!G22</f>
        <v>0.23</v>
      </c>
      <c r="H218" s="1521">
        <f>'Table 9'!H22</f>
        <v>0.87</v>
      </c>
      <c r="I218" s="1519">
        <f>'Table 9'!I22</f>
        <v>0.74</v>
      </c>
      <c r="J218" s="1520">
        <f>'Table 9'!J22</f>
        <v>0.27</v>
      </c>
      <c r="K218" s="1521">
        <f>'Table 9'!K22</f>
        <v>1.01</v>
      </c>
      <c r="L218" s="1519">
        <f>'Table 9'!L22</f>
        <v>0.83</v>
      </c>
      <c r="M218" s="1520">
        <f>'Table 9'!M22</f>
        <v>0.3</v>
      </c>
      <c r="N218" s="1521">
        <f>'Table 9'!N22</f>
        <v>1.1299999999999999</v>
      </c>
      <c r="O218" s="1519">
        <f>'Table 9'!O22</f>
        <v>0.9</v>
      </c>
      <c r="P218" s="1520">
        <f>'Table 9'!P22</f>
        <v>0.32</v>
      </c>
      <c r="Q218" s="1521">
        <f>'Table 9'!Q22</f>
        <v>1.22</v>
      </c>
      <c r="R218" s="1519">
        <f>'Table 9'!R22</f>
        <v>0.97</v>
      </c>
      <c r="S218" s="1520">
        <f>'Table 9'!S22</f>
        <v>0.34</v>
      </c>
      <c r="T218" s="1521">
        <f>'Table 9'!T22</f>
        <v>1.31</v>
      </c>
      <c r="U218" s="1519">
        <f>'Table 9'!U22</f>
        <v>1.02</v>
      </c>
      <c r="V218" s="1520">
        <f>'Table 9'!V22</f>
        <v>0.37</v>
      </c>
      <c r="W218" s="1521">
        <f>'Table 9'!W22</f>
        <v>1.39</v>
      </c>
      <c r="X218" s="1814">
        <f t="shared" si="420"/>
        <v>0.83</v>
      </c>
      <c r="Y218" s="1519">
        <f>U218</f>
        <v>1.02</v>
      </c>
      <c r="Z218" s="1520">
        <f t="shared" ref="Z218:Z219" si="422">V218</f>
        <v>0.37</v>
      </c>
      <c r="AA218" s="1521">
        <f t="shared" ref="AA218:AA219" si="423">W218</f>
        <v>1.39</v>
      </c>
      <c r="AC218" s="841">
        <f t="shared" si="421"/>
        <v>0.63</v>
      </c>
    </row>
    <row r="219" spans="1:29" ht="15.75" thickBot="1">
      <c r="A219" s="175" t="s">
        <v>67</v>
      </c>
      <c r="B219" s="1489" t="s">
        <v>15</v>
      </c>
      <c r="C219" s="1522">
        <f>'Table 10'!C22</f>
        <v>0</v>
      </c>
      <c r="D219" s="1523">
        <f>'Table 10'!D22</f>
        <v>0</v>
      </c>
      <c r="E219" s="1524">
        <f>'Table 10'!E22</f>
        <v>0</v>
      </c>
      <c r="F219" s="1522">
        <f>'Table 10'!F22</f>
        <v>0</v>
      </c>
      <c r="G219" s="1523">
        <f>'Table 10'!G22</f>
        <v>0</v>
      </c>
      <c r="H219" s="1524">
        <f>'Table 10'!H22</f>
        <v>0</v>
      </c>
      <c r="I219" s="1522">
        <f>'Table 10'!I22</f>
        <v>0</v>
      </c>
      <c r="J219" s="1523">
        <f>'Table 10'!J22</f>
        <v>0</v>
      </c>
      <c r="K219" s="1524">
        <f>'Table 10'!K22</f>
        <v>0</v>
      </c>
      <c r="L219" s="1522">
        <f>'Table 10'!L22</f>
        <v>0</v>
      </c>
      <c r="M219" s="1523">
        <f>'Table 10'!M22</f>
        <v>0</v>
      </c>
      <c r="N219" s="1524">
        <f>'Table 10'!N22</f>
        <v>0</v>
      </c>
      <c r="O219" s="1522">
        <f>'Table 10'!O22</f>
        <v>0</v>
      </c>
      <c r="P219" s="1523">
        <f>'Table 10'!P22</f>
        <v>0</v>
      </c>
      <c r="Q219" s="1524">
        <f>'Table 10'!Q22</f>
        <v>0</v>
      </c>
      <c r="R219" s="1522">
        <f>'Table 10'!R22</f>
        <v>0</v>
      </c>
      <c r="S219" s="1523">
        <f>'Table 10'!S22</f>
        <v>0</v>
      </c>
      <c r="T219" s="1524">
        <f>'Table 10'!T22</f>
        <v>0</v>
      </c>
      <c r="U219" s="1522">
        <f>'Table 10'!U22</f>
        <v>0</v>
      </c>
      <c r="V219" s="1523">
        <f>'Table 10'!V22</f>
        <v>0</v>
      </c>
      <c r="W219" s="1524">
        <f>'Table 10'!W22</f>
        <v>0</v>
      </c>
      <c r="X219" s="1815" t="s">
        <v>16</v>
      </c>
      <c r="Y219" s="1522">
        <f>U219</f>
        <v>0</v>
      </c>
      <c r="Z219" s="1523">
        <f t="shared" si="422"/>
        <v>0</v>
      </c>
      <c r="AA219" s="1524">
        <f t="shared" si="423"/>
        <v>0</v>
      </c>
      <c r="AC219" s="1822">
        <f t="shared" si="421"/>
        <v>0</v>
      </c>
    </row>
    <row r="220" spans="1:29" ht="16.5" thickTop="1" thickBot="1">
      <c r="A220" s="3481" t="s">
        <v>715</v>
      </c>
      <c r="B220" s="3482"/>
      <c r="C220" s="1512">
        <f t="shared" ref="C220:W220" si="424">C214+C215+C216+C217+C218+C219</f>
        <v>41.25</v>
      </c>
      <c r="D220" s="1538">
        <f t="shared" si="424"/>
        <v>4.3899999999999997</v>
      </c>
      <c r="E220" s="1513">
        <f t="shared" si="424"/>
        <v>45.64</v>
      </c>
      <c r="F220" s="1512">
        <f t="shared" si="424"/>
        <v>60.18</v>
      </c>
      <c r="G220" s="1538">
        <f t="shared" si="424"/>
        <v>5.16</v>
      </c>
      <c r="H220" s="1513">
        <f t="shared" si="424"/>
        <v>67.55</v>
      </c>
      <c r="I220" s="1512">
        <f t="shared" si="424"/>
        <v>64.69</v>
      </c>
      <c r="J220" s="1538">
        <f t="shared" si="424"/>
        <v>6.08</v>
      </c>
      <c r="K220" s="1513">
        <f t="shared" si="424"/>
        <v>74.61</v>
      </c>
      <c r="L220" s="1512">
        <f t="shared" si="424"/>
        <v>65.319999999999993</v>
      </c>
      <c r="M220" s="1538">
        <f t="shared" si="424"/>
        <v>6.87</v>
      </c>
      <c r="N220" s="1513">
        <f t="shared" si="424"/>
        <v>80.59</v>
      </c>
      <c r="O220" s="1512">
        <f t="shared" si="424"/>
        <v>65.790000000000006</v>
      </c>
      <c r="P220" s="1538">
        <f t="shared" si="424"/>
        <v>7.5</v>
      </c>
      <c r="Q220" s="1513">
        <f t="shared" si="424"/>
        <v>85.43</v>
      </c>
      <c r="R220" s="1512">
        <f t="shared" si="424"/>
        <v>66.209999999999994</v>
      </c>
      <c r="S220" s="1538">
        <f t="shared" si="424"/>
        <v>8.08</v>
      </c>
      <c r="T220" s="1513">
        <f t="shared" si="424"/>
        <v>89.57</v>
      </c>
      <c r="U220" s="1512">
        <f t="shared" si="424"/>
        <v>66.78</v>
      </c>
      <c r="V220" s="1538">
        <f t="shared" si="424"/>
        <v>8.64</v>
      </c>
      <c r="W220" s="1513">
        <f t="shared" si="424"/>
        <v>93.37</v>
      </c>
      <c r="X220" s="1517">
        <f t="shared" si="420"/>
        <v>1.05</v>
      </c>
      <c r="Y220" s="1512">
        <f>Y214+Y215+Y216+Y217+Y218+Y219</f>
        <v>78.989999999999995</v>
      </c>
      <c r="Z220" s="1538">
        <f>Z214+Z215+Z216+Z217+Z218+Z219</f>
        <v>10.3</v>
      </c>
      <c r="AA220" s="1513">
        <f>AA214+AA215+AA216+AA217+AA218+AA219</f>
        <v>109.62</v>
      </c>
      <c r="AC220" s="855">
        <f t="shared" si="421"/>
        <v>47.73</v>
      </c>
    </row>
    <row r="221" spans="1:29">
      <c r="A221" s="89" t="s">
        <v>35</v>
      </c>
    </row>
    <row r="222" spans="1:29">
      <c r="A222" s="1" t="s">
        <v>68</v>
      </c>
    </row>
    <row r="223" spans="1:29">
      <c r="A223" s="1" t="s">
        <v>69</v>
      </c>
    </row>
    <row r="224" spans="1:29">
      <c r="A224" s="1" t="s">
        <v>70</v>
      </c>
    </row>
    <row r="226" spans="1:29" ht="15.75" thickBot="1">
      <c r="A226" s="1" t="s">
        <v>716</v>
      </c>
    </row>
    <row r="227" spans="1:29" ht="15.75" customHeight="1" thickBot="1">
      <c r="A227" s="3204" t="s">
        <v>54</v>
      </c>
      <c r="B227" s="3206" t="s">
        <v>2</v>
      </c>
      <c r="C227" s="3261" t="s">
        <v>55</v>
      </c>
      <c r="D227" s="3262"/>
      <c r="E227" s="3263"/>
      <c r="F227" s="3261" t="s">
        <v>56</v>
      </c>
      <c r="G227" s="3262"/>
      <c r="H227" s="3262"/>
      <c r="I227" s="3262"/>
      <c r="J227" s="3262"/>
      <c r="K227" s="3262"/>
      <c r="L227" s="3262"/>
      <c r="M227" s="3262"/>
      <c r="N227" s="3262"/>
      <c r="O227" s="3262"/>
      <c r="P227" s="3262"/>
      <c r="Q227" s="3262"/>
      <c r="R227" s="3262"/>
      <c r="S227" s="3262"/>
      <c r="T227" s="3262"/>
      <c r="U227" s="3262"/>
      <c r="V227" s="3262"/>
      <c r="W227" s="3263"/>
      <c r="X227" s="3255" t="s">
        <v>57</v>
      </c>
      <c r="Y227" s="3261" t="s">
        <v>58</v>
      </c>
      <c r="Z227" s="3262"/>
      <c r="AA227" s="3263"/>
      <c r="AC227" s="3255" t="s">
        <v>80</v>
      </c>
    </row>
    <row r="228" spans="1:29">
      <c r="A228" s="3205"/>
      <c r="B228" s="3207"/>
      <c r="C228" s="3258">
        <v>2015</v>
      </c>
      <c r="D228" s="3264"/>
      <c r="E228" s="3245"/>
      <c r="F228" s="3258">
        <v>2020</v>
      </c>
      <c r="G228" s="3264"/>
      <c r="H228" s="3245"/>
      <c r="I228" s="3258">
        <v>2025</v>
      </c>
      <c r="J228" s="3264"/>
      <c r="K228" s="3245"/>
      <c r="L228" s="3258">
        <v>2030</v>
      </c>
      <c r="M228" s="3264"/>
      <c r="N228" s="3245"/>
      <c r="O228" s="3258">
        <v>2035</v>
      </c>
      <c r="P228" s="3264"/>
      <c r="Q228" s="3245"/>
      <c r="R228" s="3258">
        <v>2040</v>
      </c>
      <c r="S228" s="3264"/>
      <c r="T228" s="3245"/>
      <c r="U228" s="3258">
        <v>2045</v>
      </c>
      <c r="V228" s="3264"/>
      <c r="W228" s="3245"/>
      <c r="X228" s="3256"/>
      <c r="Y228" s="3258">
        <v>2045</v>
      </c>
      <c r="Z228" s="3264"/>
      <c r="AA228" s="3245"/>
      <c r="AC228" s="3256"/>
    </row>
    <row r="229" spans="1:29" ht="15.75" thickBot="1">
      <c r="A229" s="3485"/>
      <c r="B229" s="3208"/>
      <c r="C229" s="1130" t="s">
        <v>60</v>
      </c>
      <c r="D229" s="1128" t="s">
        <v>61</v>
      </c>
      <c r="E229" s="1681" t="s">
        <v>18</v>
      </c>
      <c r="F229" s="1127" t="s">
        <v>60</v>
      </c>
      <c r="G229" s="1131" t="s">
        <v>61</v>
      </c>
      <c r="H229" s="1680" t="s">
        <v>18</v>
      </c>
      <c r="I229" s="1130" t="s">
        <v>60</v>
      </c>
      <c r="J229" s="1128" t="s">
        <v>61</v>
      </c>
      <c r="K229" s="1681" t="s">
        <v>18</v>
      </c>
      <c r="L229" s="1127" t="s">
        <v>60</v>
      </c>
      <c r="M229" s="1131" t="s">
        <v>61</v>
      </c>
      <c r="N229" s="1680" t="s">
        <v>18</v>
      </c>
      <c r="O229" s="1130" t="s">
        <v>60</v>
      </c>
      <c r="P229" s="1128" t="s">
        <v>61</v>
      </c>
      <c r="Q229" s="1681" t="s">
        <v>18</v>
      </c>
      <c r="R229" s="1130" t="s">
        <v>60</v>
      </c>
      <c r="S229" s="1131" t="s">
        <v>61</v>
      </c>
      <c r="T229" s="1680" t="s">
        <v>18</v>
      </c>
      <c r="U229" s="1130" t="s">
        <v>60</v>
      </c>
      <c r="V229" s="1131" t="s">
        <v>61</v>
      </c>
      <c r="W229" s="1680" t="s">
        <v>18</v>
      </c>
      <c r="X229" s="3257"/>
      <c r="Y229" s="1817" t="s">
        <v>60</v>
      </c>
      <c r="Z229" s="1818" t="s">
        <v>61</v>
      </c>
      <c r="AA229" s="1135" t="s">
        <v>18</v>
      </c>
      <c r="AC229" s="3483"/>
    </row>
    <row r="230" spans="1:29">
      <c r="A230" s="993" t="s">
        <v>62</v>
      </c>
      <c r="B230" s="1492" t="s">
        <v>17</v>
      </c>
      <c r="C230" s="1497">
        <f>'Table 4'!J23</f>
        <v>1.32</v>
      </c>
      <c r="D230" s="1507">
        <f>'Table 4'!K23</f>
        <v>0</v>
      </c>
      <c r="E230" s="1499">
        <f>'Table 4'!L23</f>
        <v>1.32</v>
      </c>
      <c r="F230" s="1497">
        <f>'Table 4'!M23</f>
        <v>1.45</v>
      </c>
      <c r="G230" s="1507">
        <f>'Table 4'!N23</f>
        <v>0</v>
      </c>
      <c r="H230" s="1499">
        <f>'Table 4'!O23</f>
        <v>1.45</v>
      </c>
      <c r="I230" s="1497">
        <f>'Table 4'!Q23</f>
        <v>1.61</v>
      </c>
      <c r="J230" s="1507">
        <f>'Table 4'!R23</f>
        <v>0</v>
      </c>
      <c r="K230" s="1499">
        <f>'Table 4'!S23</f>
        <v>1.61</v>
      </c>
      <c r="L230" s="1497">
        <f>'Table 4'!U23</f>
        <v>1.73</v>
      </c>
      <c r="M230" s="1507">
        <f>'Table 4'!V23</f>
        <v>0</v>
      </c>
      <c r="N230" s="1499">
        <f>'Table 4'!W23</f>
        <v>1.73</v>
      </c>
      <c r="O230" s="1497">
        <f>'Table 4'!Y23</f>
        <v>1.79</v>
      </c>
      <c r="P230" s="1507">
        <f>'Table 4'!Z23</f>
        <v>0</v>
      </c>
      <c r="Q230" s="1499">
        <f>'Table 4'!AA23</f>
        <v>1.79</v>
      </c>
      <c r="R230" s="1497">
        <f>'Table 4'!AC23</f>
        <v>1.84</v>
      </c>
      <c r="S230" s="1507">
        <f>'Table 4'!AD23</f>
        <v>0</v>
      </c>
      <c r="T230" s="1499">
        <f>'Table 4'!AE23</f>
        <v>1.84</v>
      </c>
      <c r="U230" s="1497">
        <f>'Table 4'!AG23</f>
        <v>1.87</v>
      </c>
      <c r="V230" s="1507">
        <f>'Table 4'!AH23</f>
        <v>0</v>
      </c>
      <c r="W230" s="1499">
        <f>'Table 4'!AI23</f>
        <v>1.87</v>
      </c>
      <c r="X230" s="1813">
        <f>(W230-E230)/E230</f>
        <v>0.42</v>
      </c>
      <c r="Y230" s="1497">
        <f>'Table 4'!AL23</f>
        <v>1.98</v>
      </c>
      <c r="Z230" s="1507">
        <f>'Table 4'!AM23</f>
        <v>0</v>
      </c>
      <c r="AA230" s="1499">
        <f>'Table 4'!AN23</f>
        <v>1.98</v>
      </c>
      <c r="AC230" s="1653">
        <f>W230-E230</f>
        <v>0.55000000000000004</v>
      </c>
    </row>
    <row r="231" spans="1:29" ht="26.25">
      <c r="A231" s="993" t="s">
        <v>63</v>
      </c>
      <c r="B231" s="1492" t="s">
        <v>17</v>
      </c>
      <c r="C231" s="1497">
        <f>'Table 6'!K23</f>
        <v>2.2200000000000002</v>
      </c>
      <c r="D231" s="1507">
        <f>'Table 6'!L23</f>
        <v>0</v>
      </c>
      <c r="E231" s="1499">
        <f>'Table 6'!M23</f>
        <v>2.2200000000000002</v>
      </c>
      <c r="F231" s="1497">
        <f>'Table 6'!N23</f>
        <v>2.34</v>
      </c>
      <c r="G231" s="1507">
        <f>'Table 6'!O23</f>
        <v>0</v>
      </c>
      <c r="H231" s="1499">
        <f>'Table 6'!P23</f>
        <v>2.34</v>
      </c>
      <c r="I231" s="1497">
        <f>'Table 6'!Q23</f>
        <v>2.44</v>
      </c>
      <c r="J231" s="1507">
        <f>'Table 6'!R23</f>
        <v>0</v>
      </c>
      <c r="K231" s="1499">
        <f>'Table 6'!S23</f>
        <v>2.44</v>
      </c>
      <c r="L231" s="1497">
        <f>'Table 6'!T23</f>
        <v>2.54</v>
      </c>
      <c r="M231" s="1507">
        <f>'Table 6'!U23</f>
        <v>0</v>
      </c>
      <c r="N231" s="1499">
        <f>'Table 6'!V23</f>
        <v>2.54</v>
      </c>
      <c r="O231" s="1497">
        <f>'Table 6'!W23</f>
        <v>2.62</v>
      </c>
      <c r="P231" s="1507">
        <f>'Table 6'!X23</f>
        <v>0</v>
      </c>
      <c r="Q231" s="1499">
        <f>'Table 6'!Y23</f>
        <v>2.62</v>
      </c>
      <c r="R231" s="1497">
        <f>'Table 6'!Z23</f>
        <v>2.69</v>
      </c>
      <c r="S231" s="1507">
        <f>'Table 6'!AA23</f>
        <v>0</v>
      </c>
      <c r="T231" s="1499">
        <f>'Table 6'!AB23</f>
        <v>2.69</v>
      </c>
      <c r="U231" s="1497">
        <f>'Table 6'!AC23</f>
        <v>2.76</v>
      </c>
      <c r="V231" s="1507">
        <f>'Table 6'!AD23</f>
        <v>0</v>
      </c>
      <c r="W231" s="1499">
        <f>'Table 6'!AE23</f>
        <v>2.76</v>
      </c>
      <c r="X231" s="1813">
        <f t="shared" ref="X231:X236" si="425">(W231-E231)/E231</f>
        <v>0.24</v>
      </c>
      <c r="Y231" s="1497">
        <f>'Table 6'!AG23</f>
        <v>2.92</v>
      </c>
      <c r="Z231" s="1507">
        <f>'Table 6'!AH23</f>
        <v>0</v>
      </c>
      <c r="AA231" s="1499">
        <f>'Table 6'!AI23</f>
        <v>2.92</v>
      </c>
      <c r="AC231" s="1653">
        <f t="shared" ref="AC231:AC236" si="426">W231-E231</f>
        <v>0.54</v>
      </c>
    </row>
    <row r="232" spans="1:29">
      <c r="A232" s="798" t="s">
        <v>64</v>
      </c>
      <c r="B232" s="1492" t="s">
        <v>17</v>
      </c>
      <c r="C232" s="1497">
        <f>'Table 7'!C23</f>
        <v>33.9</v>
      </c>
      <c r="D232" s="1507">
        <f>'Table 7'!D23</f>
        <v>0</v>
      </c>
      <c r="E232" s="1499">
        <f>'Table 7'!E23</f>
        <v>33.9</v>
      </c>
      <c r="F232" s="1497">
        <f>'Table 7'!F23</f>
        <v>36.39</v>
      </c>
      <c r="G232" s="1507">
        <f>'Table 7'!G23</f>
        <v>0</v>
      </c>
      <c r="H232" s="1499">
        <f>'Table 7'!H23</f>
        <v>36.39</v>
      </c>
      <c r="I232" s="1497">
        <f>'Table 7'!I23</f>
        <v>38.47</v>
      </c>
      <c r="J232" s="1507">
        <f>'Table 7'!J23</f>
        <v>0</v>
      </c>
      <c r="K232" s="1499">
        <f>'Table 7'!K23</f>
        <v>38.47</v>
      </c>
      <c r="L232" s="1497">
        <f>'Table 7'!L23</f>
        <v>39.99</v>
      </c>
      <c r="M232" s="1507">
        <f>'Table 7'!M23</f>
        <v>0</v>
      </c>
      <c r="N232" s="1499">
        <f>'Table 7'!N23</f>
        <v>39.99</v>
      </c>
      <c r="O232" s="1497">
        <f>'Table 7'!O23</f>
        <v>41.84</v>
      </c>
      <c r="P232" s="1507">
        <f>'Table 7'!P23</f>
        <v>0</v>
      </c>
      <c r="Q232" s="1499">
        <f>'Table 7'!Q23</f>
        <v>41.84</v>
      </c>
      <c r="R232" s="1497">
        <f>'Table 7'!R23</f>
        <v>43.65</v>
      </c>
      <c r="S232" s="1507">
        <f>'Table 7'!S23</f>
        <v>0</v>
      </c>
      <c r="T232" s="1499">
        <f>'Table 7'!T23</f>
        <v>43.65</v>
      </c>
      <c r="U232" s="1497">
        <f>'Table 7'!U23</f>
        <v>45.58</v>
      </c>
      <c r="V232" s="1507">
        <f>'Table 7'!V23</f>
        <v>0</v>
      </c>
      <c r="W232" s="1499">
        <f>'Table 7'!W23</f>
        <v>45.58</v>
      </c>
      <c r="X232" s="1813">
        <f t="shared" si="425"/>
        <v>0.34</v>
      </c>
      <c r="Y232" s="1497">
        <f>'Table 7'!AG23</f>
        <v>58.13</v>
      </c>
      <c r="Z232" s="1507">
        <f>'Table 7'!AH23</f>
        <v>0</v>
      </c>
      <c r="AA232" s="1499">
        <f>'Table 7'!AI23</f>
        <v>58.13</v>
      </c>
      <c r="AC232" s="1653">
        <f t="shared" si="426"/>
        <v>11.68</v>
      </c>
    </row>
    <row r="233" spans="1:29">
      <c r="A233" s="798" t="s">
        <v>65</v>
      </c>
      <c r="B233" s="1492" t="s">
        <v>17</v>
      </c>
      <c r="C233" s="1497">
        <f>'Table 8'!C23</f>
        <v>0.41</v>
      </c>
      <c r="D233" s="1507">
        <f>'Table 8'!D23</f>
        <v>0</v>
      </c>
      <c r="E233" s="1499">
        <f>'Table 8'!E23</f>
        <v>0.41</v>
      </c>
      <c r="F233" s="1497">
        <f>'Table 8'!F23</f>
        <v>0.43</v>
      </c>
      <c r="G233" s="1507">
        <f>'Table 8'!G23</f>
        <v>0</v>
      </c>
      <c r="H233" s="1499">
        <f>'Table 8'!H23</f>
        <v>0.43</v>
      </c>
      <c r="I233" s="1497">
        <f>'Table 8'!I23</f>
        <v>0.45</v>
      </c>
      <c r="J233" s="1507">
        <f>'Table 8'!J23</f>
        <v>0</v>
      </c>
      <c r="K233" s="1499">
        <f>'Table 8'!K23</f>
        <v>0.45</v>
      </c>
      <c r="L233" s="1497">
        <f>'Table 8'!L23</f>
        <v>0.47</v>
      </c>
      <c r="M233" s="1507">
        <f>'Table 8'!M23</f>
        <v>0</v>
      </c>
      <c r="N233" s="1499">
        <f>'Table 8'!N23</f>
        <v>0.47</v>
      </c>
      <c r="O233" s="1497">
        <f>'Table 8'!O23</f>
        <v>0.49</v>
      </c>
      <c r="P233" s="1507">
        <f>'Table 8'!P23</f>
        <v>0</v>
      </c>
      <c r="Q233" s="1499">
        <f>'Table 8'!Q23</f>
        <v>0.49</v>
      </c>
      <c r="R233" s="1497">
        <f>'Table 8'!R23</f>
        <v>0.5</v>
      </c>
      <c r="S233" s="1507">
        <f>'Table 8'!S23</f>
        <v>0</v>
      </c>
      <c r="T233" s="1499">
        <f>'Table 8'!T23</f>
        <v>0.5</v>
      </c>
      <c r="U233" s="1497">
        <f>'Table 8'!U23</f>
        <v>0.51</v>
      </c>
      <c r="V233" s="1507">
        <f>'Table 8'!V23</f>
        <v>0</v>
      </c>
      <c r="W233" s="1499">
        <f>'Table 8'!W23</f>
        <v>0.51</v>
      </c>
      <c r="X233" s="1813">
        <f t="shared" si="425"/>
        <v>0.24</v>
      </c>
      <c r="Y233" s="1497">
        <f>'Table 8'!Y23</f>
        <v>0.62</v>
      </c>
      <c r="Z233" s="1507">
        <f>'Table 8'!Z23</f>
        <v>0</v>
      </c>
      <c r="AA233" s="1499">
        <f>'Table 8'!AA23</f>
        <v>0.62</v>
      </c>
      <c r="AC233" s="1653">
        <f t="shared" si="426"/>
        <v>0.1</v>
      </c>
    </row>
    <row r="234" spans="1:29" ht="15" customHeight="1">
      <c r="A234" s="798" t="s">
        <v>66</v>
      </c>
      <c r="B234" s="1518" t="s">
        <v>17</v>
      </c>
      <c r="C234" s="1519">
        <f>'Table 9'!C23</f>
        <v>3.73</v>
      </c>
      <c r="D234" s="1520">
        <f>'Table 9'!D23</f>
        <v>0</v>
      </c>
      <c r="E234" s="1521">
        <f>'Table 9'!E23</f>
        <v>3.73</v>
      </c>
      <c r="F234" s="1519">
        <f>'Table 9'!F23</f>
        <v>3.94</v>
      </c>
      <c r="G234" s="1520">
        <f>'Table 9'!G23</f>
        <v>0</v>
      </c>
      <c r="H234" s="1521">
        <f>'Table 9'!H23</f>
        <v>3.94</v>
      </c>
      <c r="I234" s="1519">
        <f>'Table 9'!I23</f>
        <v>4.1500000000000004</v>
      </c>
      <c r="J234" s="1520">
        <f>'Table 9'!J23</f>
        <v>0</v>
      </c>
      <c r="K234" s="1521">
        <f>'Table 9'!K23</f>
        <v>4.1500000000000004</v>
      </c>
      <c r="L234" s="1519">
        <f>'Table 9'!L23</f>
        <v>4.34</v>
      </c>
      <c r="M234" s="1520">
        <f>'Table 9'!M23</f>
        <v>0</v>
      </c>
      <c r="N234" s="1521">
        <f>'Table 9'!N23</f>
        <v>4.34</v>
      </c>
      <c r="O234" s="1519">
        <f>'Table 9'!O23</f>
        <v>4.49</v>
      </c>
      <c r="P234" s="1520">
        <f>'Table 9'!P23</f>
        <v>0</v>
      </c>
      <c r="Q234" s="1521">
        <f>'Table 9'!Q23</f>
        <v>4.49</v>
      </c>
      <c r="R234" s="1519">
        <f>'Table 9'!R23</f>
        <v>4.6100000000000003</v>
      </c>
      <c r="S234" s="1520">
        <f>'Table 9'!S23</f>
        <v>0</v>
      </c>
      <c r="T234" s="1521">
        <f>'Table 9'!T23</f>
        <v>4.6100000000000003</v>
      </c>
      <c r="U234" s="1519">
        <f>'Table 9'!U23</f>
        <v>4.72</v>
      </c>
      <c r="V234" s="1520">
        <f>'Table 9'!V23</f>
        <v>0</v>
      </c>
      <c r="W234" s="1521">
        <f>'Table 9'!W23</f>
        <v>4.72</v>
      </c>
      <c r="X234" s="1814">
        <f t="shared" si="425"/>
        <v>0.27</v>
      </c>
      <c r="Y234" s="1519">
        <f>U234</f>
        <v>4.72</v>
      </c>
      <c r="Z234" s="1520">
        <f t="shared" ref="Z234:Z235" si="427">V234</f>
        <v>0</v>
      </c>
      <c r="AA234" s="1521">
        <f t="shared" ref="AA234:AA235" si="428">W234</f>
        <v>4.72</v>
      </c>
      <c r="AC234" s="841">
        <f t="shared" si="426"/>
        <v>0.99</v>
      </c>
    </row>
    <row r="235" spans="1:29" ht="15.75" thickBot="1">
      <c r="A235" s="175" t="s">
        <v>67</v>
      </c>
      <c r="B235" s="1489" t="s">
        <v>17</v>
      </c>
      <c r="C235" s="1522">
        <f>'Table 10'!C23</f>
        <v>0.1</v>
      </c>
      <c r="D235" s="1523">
        <f>'Table 10'!D23</f>
        <v>0.06</v>
      </c>
      <c r="E235" s="1524">
        <f>'Table 10'!E23</f>
        <v>0.16</v>
      </c>
      <c r="F235" s="1522">
        <f>'Table 10'!F23</f>
        <v>7.0000000000000007E-2</v>
      </c>
      <c r="G235" s="1523">
        <f>'Table 10'!G23</f>
        <v>0.05</v>
      </c>
      <c r="H235" s="1524">
        <f>'Table 10'!H23</f>
        <v>0.12</v>
      </c>
      <c r="I235" s="1522">
        <f>'Table 10'!I23</f>
        <v>7.0000000000000007E-2</v>
      </c>
      <c r="J235" s="1523">
        <f>'Table 10'!J23</f>
        <v>0.05</v>
      </c>
      <c r="K235" s="1524">
        <f>'Table 10'!K23</f>
        <v>0.12</v>
      </c>
      <c r="L235" s="1522">
        <f>'Table 10'!L23</f>
        <v>7.0000000000000007E-2</v>
      </c>
      <c r="M235" s="1523">
        <f>'Table 10'!M23</f>
        <v>0.05</v>
      </c>
      <c r="N235" s="1524">
        <f>'Table 10'!N23</f>
        <v>0.12</v>
      </c>
      <c r="O235" s="1522">
        <f>'Table 10'!O23</f>
        <v>7.0000000000000007E-2</v>
      </c>
      <c r="P235" s="1523">
        <f>'Table 10'!P23</f>
        <v>0.05</v>
      </c>
      <c r="Q235" s="1524">
        <f>'Table 10'!Q23</f>
        <v>0.12</v>
      </c>
      <c r="R235" s="1522">
        <f>'Table 10'!R23</f>
        <v>7.0000000000000007E-2</v>
      </c>
      <c r="S235" s="1523">
        <f>'Table 10'!S23</f>
        <v>0.05</v>
      </c>
      <c r="T235" s="1524">
        <f>'Table 10'!T23</f>
        <v>0.12</v>
      </c>
      <c r="U235" s="1522">
        <f>'Table 10'!U23</f>
        <v>7.0000000000000007E-2</v>
      </c>
      <c r="V235" s="1523">
        <f>'Table 10'!V23</f>
        <v>0.05</v>
      </c>
      <c r="W235" s="1524">
        <f>'Table 10'!W23</f>
        <v>0.12</v>
      </c>
      <c r="X235" s="1816">
        <f t="shared" si="425"/>
        <v>-0.25</v>
      </c>
      <c r="Y235" s="1522">
        <f>U235</f>
        <v>7.0000000000000007E-2</v>
      </c>
      <c r="Z235" s="1523">
        <f t="shared" si="427"/>
        <v>0.05</v>
      </c>
      <c r="AA235" s="1524">
        <f t="shared" si="428"/>
        <v>0.12</v>
      </c>
      <c r="AC235" s="1822">
        <f t="shared" si="426"/>
        <v>-0.04</v>
      </c>
    </row>
    <row r="236" spans="1:29" ht="16.5" thickTop="1" thickBot="1">
      <c r="A236" s="3481" t="s">
        <v>717</v>
      </c>
      <c r="B236" s="3482"/>
      <c r="C236" s="1512">
        <f t="shared" ref="C236:W236" si="429">C230+C231+C232+C233+C234+C235</f>
        <v>41.68</v>
      </c>
      <c r="D236" s="1538">
        <f t="shared" si="429"/>
        <v>0.06</v>
      </c>
      <c r="E236" s="1513">
        <f t="shared" si="429"/>
        <v>41.74</v>
      </c>
      <c r="F236" s="1512">
        <f t="shared" si="429"/>
        <v>44.62</v>
      </c>
      <c r="G236" s="1538">
        <f t="shared" si="429"/>
        <v>0.05</v>
      </c>
      <c r="H236" s="1513">
        <f t="shared" si="429"/>
        <v>44.67</v>
      </c>
      <c r="I236" s="1512">
        <f t="shared" si="429"/>
        <v>47.19</v>
      </c>
      <c r="J236" s="1538">
        <f t="shared" si="429"/>
        <v>0.05</v>
      </c>
      <c r="K236" s="1513">
        <f t="shared" si="429"/>
        <v>47.24</v>
      </c>
      <c r="L236" s="1512">
        <f t="shared" si="429"/>
        <v>49.14</v>
      </c>
      <c r="M236" s="1538">
        <f t="shared" si="429"/>
        <v>0.05</v>
      </c>
      <c r="N236" s="1513">
        <f t="shared" si="429"/>
        <v>49.19</v>
      </c>
      <c r="O236" s="1512">
        <f t="shared" si="429"/>
        <v>51.3</v>
      </c>
      <c r="P236" s="1538">
        <f t="shared" si="429"/>
        <v>0.05</v>
      </c>
      <c r="Q236" s="1513">
        <f t="shared" si="429"/>
        <v>51.35</v>
      </c>
      <c r="R236" s="1512">
        <f t="shared" si="429"/>
        <v>53.36</v>
      </c>
      <c r="S236" s="1538">
        <f t="shared" si="429"/>
        <v>0.05</v>
      </c>
      <c r="T236" s="1513">
        <f t="shared" si="429"/>
        <v>53.41</v>
      </c>
      <c r="U236" s="1512">
        <f t="shared" si="429"/>
        <v>55.51</v>
      </c>
      <c r="V236" s="1538">
        <f t="shared" si="429"/>
        <v>0.05</v>
      </c>
      <c r="W236" s="1513">
        <f t="shared" si="429"/>
        <v>55.56</v>
      </c>
      <c r="X236" s="1517">
        <f t="shared" si="425"/>
        <v>0.33</v>
      </c>
      <c r="Y236" s="1512">
        <f>Y230+Y231+Y232+Y233+Y234+Y235</f>
        <v>68.44</v>
      </c>
      <c r="Z236" s="1538">
        <f>Z230+Z231+Z232+Z233+Z234+Z235</f>
        <v>0.05</v>
      </c>
      <c r="AA236" s="1513">
        <f>AA230+AA231+AA232+AA233+AA234+AA235</f>
        <v>68.489999999999995</v>
      </c>
      <c r="AC236" s="855">
        <f t="shared" si="426"/>
        <v>13.82</v>
      </c>
    </row>
    <row r="237" spans="1:29">
      <c r="A237" s="89" t="s">
        <v>35</v>
      </c>
    </row>
    <row r="238" spans="1:29">
      <c r="A238" s="1" t="s">
        <v>68</v>
      </c>
    </row>
    <row r="239" spans="1:29">
      <c r="A239" s="1" t="s">
        <v>69</v>
      </c>
    </row>
    <row r="241" spans="1:29" ht="15.75" thickBot="1">
      <c r="A241" s="1" t="s">
        <v>718</v>
      </c>
    </row>
    <row r="242" spans="1:29" ht="15.75" customHeight="1" thickBot="1">
      <c r="A242" s="3204" t="s">
        <v>54</v>
      </c>
      <c r="B242" s="3206" t="s">
        <v>2</v>
      </c>
      <c r="C242" s="3261" t="s">
        <v>55</v>
      </c>
      <c r="D242" s="3262"/>
      <c r="E242" s="3263"/>
      <c r="F242" s="3261" t="s">
        <v>56</v>
      </c>
      <c r="G242" s="3262"/>
      <c r="H242" s="3262"/>
      <c r="I242" s="3262"/>
      <c r="J242" s="3262"/>
      <c r="K242" s="3262"/>
      <c r="L242" s="3262"/>
      <c r="M242" s="3262"/>
      <c r="N242" s="3262"/>
      <c r="O242" s="3262"/>
      <c r="P242" s="3262"/>
      <c r="Q242" s="3262"/>
      <c r="R242" s="3262"/>
      <c r="S242" s="3262"/>
      <c r="T242" s="3262"/>
      <c r="U242" s="3262"/>
      <c r="V242" s="3262"/>
      <c r="W242" s="3263"/>
      <c r="X242" s="3255" t="s">
        <v>57</v>
      </c>
      <c r="Y242" s="3261" t="s">
        <v>58</v>
      </c>
      <c r="Z242" s="3262"/>
      <c r="AA242" s="3263"/>
      <c r="AC242" s="3255" t="s">
        <v>80</v>
      </c>
    </row>
    <row r="243" spans="1:29">
      <c r="A243" s="3205"/>
      <c r="B243" s="3207"/>
      <c r="C243" s="3258">
        <v>2015</v>
      </c>
      <c r="D243" s="3264"/>
      <c r="E243" s="3245"/>
      <c r="F243" s="3258">
        <v>2020</v>
      </c>
      <c r="G243" s="3264"/>
      <c r="H243" s="3245"/>
      <c r="I243" s="3258">
        <v>2025</v>
      </c>
      <c r="J243" s="3264"/>
      <c r="K243" s="3245"/>
      <c r="L243" s="3258">
        <v>2030</v>
      </c>
      <c r="M243" s="3264"/>
      <c r="N243" s="3245"/>
      <c r="O243" s="3258">
        <v>2035</v>
      </c>
      <c r="P243" s="3264"/>
      <c r="Q243" s="3245"/>
      <c r="R243" s="3258">
        <v>2040</v>
      </c>
      <c r="S243" s="3264"/>
      <c r="T243" s="3245"/>
      <c r="U243" s="3258">
        <v>2045</v>
      </c>
      <c r="V243" s="3264"/>
      <c r="W243" s="3245"/>
      <c r="X243" s="3256"/>
      <c r="Y243" s="3258">
        <v>2045</v>
      </c>
      <c r="Z243" s="3264"/>
      <c r="AA243" s="3245"/>
      <c r="AC243" s="3256"/>
    </row>
    <row r="244" spans="1:29" ht="15.75" thickBot="1">
      <c r="A244" s="3485"/>
      <c r="B244" s="3208"/>
      <c r="C244" s="1130" t="s">
        <v>60</v>
      </c>
      <c r="D244" s="1128" t="s">
        <v>61</v>
      </c>
      <c r="E244" s="1681" t="s">
        <v>18</v>
      </c>
      <c r="F244" s="1127" t="s">
        <v>60</v>
      </c>
      <c r="G244" s="1131" t="s">
        <v>61</v>
      </c>
      <c r="H244" s="1680" t="s">
        <v>18</v>
      </c>
      <c r="I244" s="1130" t="s">
        <v>60</v>
      </c>
      <c r="J244" s="1128" t="s">
        <v>61</v>
      </c>
      <c r="K244" s="1681" t="s">
        <v>18</v>
      </c>
      <c r="L244" s="1127" t="s">
        <v>60</v>
      </c>
      <c r="M244" s="1131" t="s">
        <v>61</v>
      </c>
      <c r="N244" s="1680" t="s">
        <v>18</v>
      </c>
      <c r="O244" s="1130" t="s">
        <v>60</v>
      </c>
      <c r="P244" s="1128" t="s">
        <v>61</v>
      </c>
      <c r="Q244" s="1681" t="s">
        <v>18</v>
      </c>
      <c r="R244" s="1130" t="s">
        <v>60</v>
      </c>
      <c r="S244" s="1131" t="s">
        <v>61</v>
      </c>
      <c r="T244" s="1680" t="s">
        <v>18</v>
      </c>
      <c r="U244" s="1130" t="s">
        <v>60</v>
      </c>
      <c r="V244" s="1131" t="s">
        <v>61</v>
      </c>
      <c r="W244" s="1680" t="s">
        <v>18</v>
      </c>
      <c r="X244" s="3257"/>
      <c r="Y244" s="1817" t="s">
        <v>60</v>
      </c>
      <c r="Z244" s="1818" t="s">
        <v>61</v>
      </c>
      <c r="AA244" s="1135" t="s">
        <v>18</v>
      </c>
      <c r="AC244" s="3483"/>
    </row>
    <row r="245" spans="1:29">
      <c r="A245" s="993" t="s">
        <v>62</v>
      </c>
      <c r="B245" s="1492" t="s">
        <v>17</v>
      </c>
      <c r="C245" s="1497">
        <f>'Table 4'!J24</f>
        <v>0.26</v>
      </c>
      <c r="D245" s="1507">
        <f>'Table 4'!K24</f>
        <v>0</v>
      </c>
      <c r="E245" s="1499">
        <f>'Table 4'!L24</f>
        <v>0.26</v>
      </c>
      <c r="F245" s="1497">
        <f>'Table 4'!M24</f>
        <v>0.24</v>
      </c>
      <c r="G245" s="1507">
        <f>'Table 4'!N24</f>
        <v>0</v>
      </c>
      <c r="H245" s="1499">
        <f>'Table 4'!O24</f>
        <v>0.24</v>
      </c>
      <c r="I245" s="1497">
        <f>'Table 4'!Q24</f>
        <v>0.24</v>
      </c>
      <c r="J245" s="1507">
        <f>'Table 4'!R24</f>
        <v>0</v>
      </c>
      <c r="K245" s="1499">
        <f>'Table 4'!S24</f>
        <v>0.24</v>
      </c>
      <c r="L245" s="1497">
        <f>'Table 4'!U24</f>
        <v>0.24</v>
      </c>
      <c r="M245" s="1507">
        <f>'Table 4'!V24</f>
        <v>0</v>
      </c>
      <c r="N245" s="1499">
        <f>'Table 4'!W24</f>
        <v>0.24</v>
      </c>
      <c r="O245" s="1497">
        <f>'Table 4'!Y24</f>
        <v>0.25</v>
      </c>
      <c r="P245" s="1507">
        <f>'Table 4'!Z24</f>
        <v>0</v>
      </c>
      <c r="Q245" s="1499">
        <f>'Table 4'!AA24</f>
        <v>0.25</v>
      </c>
      <c r="R245" s="1497">
        <f>'Table 4'!AC24</f>
        <v>0.25</v>
      </c>
      <c r="S245" s="1507">
        <f>'Table 4'!AD24</f>
        <v>0</v>
      </c>
      <c r="T245" s="1499">
        <f>'Table 4'!AE24</f>
        <v>0.25</v>
      </c>
      <c r="U245" s="1497">
        <f>'Table 4'!AG24</f>
        <v>0.25</v>
      </c>
      <c r="V245" s="1507">
        <f>'Table 4'!AH24</f>
        <v>0</v>
      </c>
      <c r="W245" s="1499">
        <f>'Table 4'!AI24</f>
        <v>0.25</v>
      </c>
      <c r="X245" s="1813">
        <f>(W245-E245)/E245</f>
        <v>-0.04</v>
      </c>
      <c r="Y245" s="1497">
        <f>'Table 4'!AL24</f>
        <v>0.27</v>
      </c>
      <c r="Z245" s="1507">
        <f>'Table 4'!AM24</f>
        <v>0</v>
      </c>
      <c r="AA245" s="1499">
        <f>'Table 4'!AN24</f>
        <v>0.27</v>
      </c>
      <c r="AC245" s="1653">
        <f>W245-E245</f>
        <v>-0.01</v>
      </c>
    </row>
    <row r="246" spans="1:29" ht="26.25">
      <c r="A246" s="993" t="s">
        <v>63</v>
      </c>
      <c r="B246" s="1492" t="s">
        <v>17</v>
      </c>
      <c r="C246" s="1497">
        <f>'Table 6'!K24</f>
        <v>0.67</v>
      </c>
      <c r="D246" s="1507">
        <f>'Table 6'!L24</f>
        <v>0</v>
      </c>
      <c r="E246" s="1499">
        <f>'Table 6'!M24</f>
        <v>0.67</v>
      </c>
      <c r="F246" s="1497">
        <f>'Table 6'!N24</f>
        <v>0.65</v>
      </c>
      <c r="G246" s="1507">
        <f>'Table 6'!O24</f>
        <v>0</v>
      </c>
      <c r="H246" s="1499">
        <f>'Table 6'!P24</f>
        <v>0.65</v>
      </c>
      <c r="I246" s="1497">
        <f>'Table 6'!Q24</f>
        <v>0.65</v>
      </c>
      <c r="J246" s="1507">
        <f>'Table 6'!R24</f>
        <v>0</v>
      </c>
      <c r="K246" s="1499">
        <f>'Table 6'!S24</f>
        <v>0.65</v>
      </c>
      <c r="L246" s="1497">
        <f>'Table 6'!T24</f>
        <v>0.65</v>
      </c>
      <c r="M246" s="1507">
        <f>'Table 6'!U24</f>
        <v>0</v>
      </c>
      <c r="N246" s="1499">
        <f>'Table 6'!V24</f>
        <v>0.65</v>
      </c>
      <c r="O246" s="1497">
        <f>'Table 6'!W24</f>
        <v>0.66</v>
      </c>
      <c r="P246" s="1507">
        <f>'Table 6'!X24</f>
        <v>0</v>
      </c>
      <c r="Q246" s="1499">
        <f>'Table 6'!Y24</f>
        <v>0.66</v>
      </c>
      <c r="R246" s="1497">
        <f>'Table 6'!Z24</f>
        <v>0.66</v>
      </c>
      <c r="S246" s="1507">
        <f>'Table 6'!AA24</f>
        <v>0</v>
      </c>
      <c r="T246" s="1499">
        <f>'Table 6'!AB24</f>
        <v>0.66</v>
      </c>
      <c r="U246" s="1497">
        <f>'Table 6'!AC24</f>
        <v>0.66</v>
      </c>
      <c r="V246" s="1507">
        <f>'Table 6'!AD24</f>
        <v>0</v>
      </c>
      <c r="W246" s="1499">
        <f>'Table 6'!AE24</f>
        <v>0.66</v>
      </c>
      <c r="X246" s="1813">
        <f t="shared" ref="X246:X251" si="430">(W246-E246)/E246</f>
        <v>-0.01</v>
      </c>
      <c r="Y246" s="1497">
        <f>'Table 6'!AG24</f>
        <v>0.7</v>
      </c>
      <c r="Z246" s="1507">
        <f>'Table 6'!AH24</f>
        <v>0</v>
      </c>
      <c r="AA246" s="1499">
        <f>'Table 6'!AI24</f>
        <v>0.7</v>
      </c>
      <c r="AC246" s="1653">
        <f t="shared" ref="AC246:AC251" si="431">W246-E246</f>
        <v>-0.01</v>
      </c>
    </row>
    <row r="247" spans="1:29">
      <c r="A247" s="798" t="s">
        <v>64</v>
      </c>
      <c r="B247" s="1492" t="s">
        <v>17</v>
      </c>
      <c r="C247" s="1497">
        <f>'Table 7'!C24</f>
        <v>1.22</v>
      </c>
      <c r="D247" s="1507">
        <f>'Table 7'!D24</f>
        <v>0</v>
      </c>
      <c r="E247" s="1499">
        <f>'Table 7'!E24</f>
        <v>1.22</v>
      </c>
      <c r="F247" s="1497">
        <f>'Table 7'!F24</f>
        <v>1.32</v>
      </c>
      <c r="G247" s="1507">
        <f>'Table 7'!G24</f>
        <v>0</v>
      </c>
      <c r="H247" s="1499">
        <f>'Table 7'!H24</f>
        <v>1.32</v>
      </c>
      <c r="I247" s="1497">
        <f>'Table 7'!I24</f>
        <v>1.53</v>
      </c>
      <c r="J247" s="1507">
        <f>'Table 7'!J24</f>
        <v>0</v>
      </c>
      <c r="K247" s="1499">
        <f>'Table 7'!K24</f>
        <v>1.53</v>
      </c>
      <c r="L247" s="1497">
        <f>'Table 7'!L24</f>
        <v>1.68</v>
      </c>
      <c r="M247" s="1507">
        <f>'Table 7'!M24</f>
        <v>0</v>
      </c>
      <c r="N247" s="1499">
        <f>'Table 7'!N24</f>
        <v>1.68</v>
      </c>
      <c r="O247" s="1497">
        <f>'Table 7'!O24</f>
        <v>1.77</v>
      </c>
      <c r="P247" s="1507">
        <f>'Table 7'!P24</f>
        <v>0</v>
      </c>
      <c r="Q247" s="1499">
        <f>'Table 7'!Q24</f>
        <v>1.77</v>
      </c>
      <c r="R247" s="1497">
        <f>'Table 7'!R24</f>
        <v>1.94</v>
      </c>
      <c r="S247" s="1507">
        <f>'Table 7'!S24</f>
        <v>0</v>
      </c>
      <c r="T247" s="1499">
        <f>'Table 7'!T24</f>
        <v>1.94</v>
      </c>
      <c r="U247" s="1497">
        <f>'Table 7'!U24</f>
        <v>2.06</v>
      </c>
      <c r="V247" s="1507">
        <f>'Table 7'!V24</f>
        <v>0</v>
      </c>
      <c r="W247" s="1499">
        <f>'Table 7'!W24</f>
        <v>2.06</v>
      </c>
      <c r="X247" s="1813">
        <f t="shared" si="430"/>
        <v>0.69</v>
      </c>
      <c r="Y247" s="1497">
        <f>'Table 7'!AG24</f>
        <v>2.68</v>
      </c>
      <c r="Z247" s="1507">
        <f>'Table 7'!AH24</f>
        <v>0</v>
      </c>
      <c r="AA247" s="1499">
        <f>'Table 7'!AI24</f>
        <v>2.68</v>
      </c>
      <c r="AC247" s="1653">
        <f t="shared" si="431"/>
        <v>0.84</v>
      </c>
    </row>
    <row r="248" spans="1:29">
      <c r="A248" s="798" t="s">
        <v>65</v>
      </c>
      <c r="B248" s="1492" t="s">
        <v>17</v>
      </c>
      <c r="C248" s="1497">
        <f>'Table 8'!C24</f>
        <v>0.1</v>
      </c>
      <c r="D248" s="1507">
        <f>'Table 8'!D24</f>
        <v>0</v>
      </c>
      <c r="E248" s="1499">
        <f>'Table 8'!E24</f>
        <v>0.1</v>
      </c>
      <c r="F248" s="1497">
        <f>'Table 8'!F24</f>
        <v>0</v>
      </c>
      <c r="G248" s="1507">
        <f>'Table 8'!G24</f>
        <v>0</v>
      </c>
      <c r="H248" s="1499">
        <f>'Table 8'!H24</f>
        <v>0.1</v>
      </c>
      <c r="I248" s="1497">
        <f>'Table 8'!I24</f>
        <v>0.1</v>
      </c>
      <c r="J248" s="1507">
        <f>'Table 8'!J24</f>
        <v>0</v>
      </c>
      <c r="K248" s="1499">
        <f>'Table 8'!K24</f>
        <v>0.1</v>
      </c>
      <c r="L248" s="1497">
        <f>'Table 8'!L24</f>
        <v>0.1</v>
      </c>
      <c r="M248" s="1507">
        <f>'Table 8'!M24</f>
        <v>0</v>
      </c>
      <c r="N248" s="1499">
        <f>'Table 8'!N24</f>
        <v>0.1</v>
      </c>
      <c r="O248" s="1497">
        <f>'Table 8'!O24</f>
        <v>0.1</v>
      </c>
      <c r="P248" s="1507">
        <f>'Table 8'!P24</f>
        <v>0</v>
      </c>
      <c r="Q248" s="1499">
        <f>'Table 8'!Q24</f>
        <v>0.1</v>
      </c>
      <c r="R248" s="1497">
        <f>'Table 8'!R24</f>
        <v>0.1</v>
      </c>
      <c r="S248" s="1507">
        <f>'Table 8'!S24</f>
        <v>0</v>
      </c>
      <c r="T248" s="1499">
        <f>'Table 8'!T24</f>
        <v>0.1</v>
      </c>
      <c r="U248" s="1497">
        <f>'Table 8'!U24</f>
        <v>0.1</v>
      </c>
      <c r="V248" s="1507">
        <f>'Table 8'!V24</f>
        <v>0</v>
      </c>
      <c r="W248" s="1499">
        <f>'Table 8'!W24</f>
        <v>0.1</v>
      </c>
      <c r="X248" s="1813">
        <f t="shared" si="430"/>
        <v>0</v>
      </c>
      <c r="Y248" s="1497">
        <f>'Table 8'!Y24</f>
        <v>0.14000000000000001</v>
      </c>
      <c r="Z248" s="1507">
        <f>'Table 8'!Z24</f>
        <v>0</v>
      </c>
      <c r="AA248" s="1499">
        <f>'Table 8'!AA24</f>
        <v>0.14000000000000001</v>
      </c>
      <c r="AC248" s="1653">
        <f t="shared" si="431"/>
        <v>0</v>
      </c>
    </row>
    <row r="249" spans="1:29" ht="15" customHeight="1">
      <c r="A249" s="798" t="s">
        <v>66</v>
      </c>
      <c r="B249" s="1518" t="s">
        <v>17</v>
      </c>
      <c r="C249" s="1519">
        <f>'Table 9'!C24</f>
        <v>0.51</v>
      </c>
      <c r="D249" s="1520">
        <f>'Table 9'!D24</f>
        <v>0</v>
      </c>
      <c r="E249" s="1521">
        <f>'Table 9'!E24</f>
        <v>0.51</v>
      </c>
      <c r="F249" s="1519">
        <f>'Table 9'!F24</f>
        <v>0.5</v>
      </c>
      <c r="G249" s="1520">
        <f>'Table 9'!G24</f>
        <v>0</v>
      </c>
      <c r="H249" s="1521">
        <f>'Table 9'!H24</f>
        <v>0.5</v>
      </c>
      <c r="I249" s="1519">
        <f>'Table 9'!I24</f>
        <v>0.5</v>
      </c>
      <c r="J249" s="1520">
        <f>'Table 9'!J24</f>
        <v>0</v>
      </c>
      <c r="K249" s="1521">
        <f>'Table 9'!K24</f>
        <v>0.5</v>
      </c>
      <c r="L249" s="1519">
        <f>'Table 9'!L24</f>
        <v>0.5</v>
      </c>
      <c r="M249" s="1520">
        <f>'Table 9'!M24</f>
        <v>0</v>
      </c>
      <c r="N249" s="1521">
        <f>'Table 9'!N24</f>
        <v>0.5</v>
      </c>
      <c r="O249" s="1519">
        <f>'Table 9'!O24</f>
        <v>0.5</v>
      </c>
      <c r="P249" s="1520">
        <f>'Table 9'!P24</f>
        <v>0</v>
      </c>
      <c r="Q249" s="1521">
        <f>'Table 9'!Q24</f>
        <v>0.5</v>
      </c>
      <c r="R249" s="1519">
        <f>'Table 9'!R24</f>
        <v>0.5</v>
      </c>
      <c r="S249" s="1520">
        <f>'Table 9'!S24</f>
        <v>0</v>
      </c>
      <c r="T249" s="1521">
        <f>'Table 9'!T24</f>
        <v>0.5</v>
      </c>
      <c r="U249" s="1519">
        <f>'Table 9'!U24</f>
        <v>0.5</v>
      </c>
      <c r="V249" s="1520">
        <f>'Table 9'!V24</f>
        <v>0</v>
      </c>
      <c r="W249" s="1521">
        <f>'Table 9'!W24</f>
        <v>0.5</v>
      </c>
      <c r="X249" s="1814">
        <f t="shared" si="430"/>
        <v>-0.02</v>
      </c>
      <c r="Y249" s="1519">
        <f>U249</f>
        <v>0.5</v>
      </c>
      <c r="Z249" s="1520">
        <f t="shared" ref="Z249:Z250" si="432">V249</f>
        <v>0</v>
      </c>
      <c r="AA249" s="1521">
        <f t="shared" ref="AA249:AA250" si="433">W249</f>
        <v>0.5</v>
      </c>
      <c r="AC249" s="841">
        <f t="shared" si="431"/>
        <v>-0.01</v>
      </c>
    </row>
    <row r="250" spans="1:29" ht="15.75" thickBot="1">
      <c r="A250" s="175" t="s">
        <v>67</v>
      </c>
      <c r="B250" s="1489" t="s">
        <v>17</v>
      </c>
      <c r="C250" s="1522">
        <f>'Table 10'!C24</f>
        <v>0</v>
      </c>
      <c r="D250" s="1523">
        <f>'Table 10'!D24</f>
        <v>0</v>
      </c>
      <c r="E250" s="1524">
        <f>'Table 10'!E24</f>
        <v>0</v>
      </c>
      <c r="F250" s="1522">
        <f>'Table 10'!F24</f>
        <v>0</v>
      </c>
      <c r="G250" s="1523">
        <f>'Table 10'!G24</f>
        <v>0</v>
      </c>
      <c r="H250" s="1524">
        <f>'Table 10'!H24</f>
        <v>0</v>
      </c>
      <c r="I250" s="1522">
        <f>'Table 10'!I24</f>
        <v>0</v>
      </c>
      <c r="J250" s="1523">
        <f>'Table 10'!J24</f>
        <v>0</v>
      </c>
      <c r="K250" s="1524">
        <f>'Table 10'!K24</f>
        <v>0</v>
      </c>
      <c r="L250" s="1522">
        <f>'Table 10'!L24</f>
        <v>0</v>
      </c>
      <c r="M250" s="1523">
        <f>'Table 10'!M24</f>
        <v>0</v>
      </c>
      <c r="N250" s="1524">
        <f>'Table 10'!N24</f>
        <v>0</v>
      </c>
      <c r="O250" s="1522">
        <f>'Table 10'!O24</f>
        <v>0</v>
      </c>
      <c r="P250" s="1523">
        <f>'Table 10'!P24</f>
        <v>0</v>
      </c>
      <c r="Q250" s="1524">
        <f>'Table 10'!Q24</f>
        <v>0</v>
      </c>
      <c r="R250" s="1522">
        <f>'Table 10'!R24</f>
        <v>0</v>
      </c>
      <c r="S250" s="1523">
        <f>'Table 10'!S24</f>
        <v>0</v>
      </c>
      <c r="T250" s="1524">
        <f>'Table 10'!T24</f>
        <v>0</v>
      </c>
      <c r="U250" s="1522">
        <f>'Table 10'!U24</f>
        <v>0</v>
      </c>
      <c r="V250" s="1523">
        <f>'Table 10'!V24</f>
        <v>0</v>
      </c>
      <c r="W250" s="1524">
        <f>'Table 10'!W24</f>
        <v>0</v>
      </c>
      <c r="X250" s="1815" t="s">
        <v>16</v>
      </c>
      <c r="Y250" s="1522">
        <f>U250</f>
        <v>0</v>
      </c>
      <c r="Z250" s="1523">
        <f t="shared" si="432"/>
        <v>0</v>
      </c>
      <c r="AA250" s="1524">
        <f t="shared" si="433"/>
        <v>0</v>
      </c>
      <c r="AC250" s="1822">
        <f t="shared" si="431"/>
        <v>0</v>
      </c>
    </row>
    <row r="251" spans="1:29" ht="16.5" thickTop="1" thickBot="1">
      <c r="A251" s="3481" t="s">
        <v>719</v>
      </c>
      <c r="B251" s="3482"/>
      <c r="C251" s="1512">
        <f t="shared" ref="C251:W251" si="434">C245+C246+C247+C248+C249+C250</f>
        <v>2.76</v>
      </c>
      <c r="D251" s="1538">
        <f t="shared" si="434"/>
        <v>0</v>
      </c>
      <c r="E251" s="1513">
        <f t="shared" si="434"/>
        <v>2.76</v>
      </c>
      <c r="F251" s="1512">
        <f t="shared" si="434"/>
        <v>2.71</v>
      </c>
      <c r="G251" s="1538">
        <f t="shared" si="434"/>
        <v>0</v>
      </c>
      <c r="H251" s="1513">
        <f t="shared" si="434"/>
        <v>2.81</v>
      </c>
      <c r="I251" s="1512">
        <f t="shared" si="434"/>
        <v>3.02</v>
      </c>
      <c r="J251" s="1538">
        <f t="shared" si="434"/>
        <v>0</v>
      </c>
      <c r="K251" s="1513">
        <f t="shared" si="434"/>
        <v>3.02</v>
      </c>
      <c r="L251" s="1512">
        <f t="shared" si="434"/>
        <v>3.17</v>
      </c>
      <c r="M251" s="1538">
        <f t="shared" si="434"/>
        <v>0</v>
      </c>
      <c r="N251" s="1513">
        <f t="shared" si="434"/>
        <v>3.17</v>
      </c>
      <c r="O251" s="1512">
        <f t="shared" si="434"/>
        <v>3.28</v>
      </c>
      <c r="P251" s="1538">
        <f t="shared" si="434"/>
        <v>0</v>
      </c>
      <c r="Q251" s="1513">
        <f t="shared" si="434"/>
        <v>3.28</v>
      </c>
      <c r="R251" s="1512">
        <f t="shared" si="434"/>
        <v>3.45</v>
      </c>
      <c r="S251" s="1538">
        <f t="shared" si="434"/>
        <v>0</v>
      </c>
      <c r="T251" s="1513">
        <f t="shared" si="434"/>
        <v>3.45</v>
      </c>
      <c r="U251" s="1512">
        <f t="shared" si="434"/>
        <v>3.57</v>
      </c>
      <c r="V251" s="1538">
        <f t="shared" si="434"/>
        <v>0</v>
      </c>
      <c r="W251" s="1513">
        <f t="shared" si="434"/>
        <v>3.57</v>
      </c>
      <c r="X251" s="1517">
        <f t="shared" si="430"/>
        <v>0.28999999999999998</v>
      </c>
      <c r="Y251" s="1512">
        <f>Y245+Y246+Y247+Y248+Y249+Y250</f>
        <v>4.29</v>
      </c>
      <c r="Z251" s="1538">
        <f>Z245+Z246+Z247+Z248+Z249+Z250</f>
        <v>0</v>
      </c>
      <c r="AA251" s="1513">
        <f>AA245+AA246+AA247+AA248+AA249+AA250</f>
        <v>4.29</v>
      </c>
      <c r="AC251" s="855">
        <f t="shared" si="431"/>
        <v>0.81</v>
      </c>
    </row>
    <row r="252" spans="1:29">
      <c r="A252" s="89" t="s">
        <v>35</v>
      </c>
    </row>
    <row r="253" spans="1:29">
      <c r="A253" s="1" t="s">
        <v>68</v>
      </c>
    </row>
    <row r="254" spans="1:29">
      <c r="A254" s="1" t="s">
        <v>69</v>
      </c>
    </row>
    <row r="256" spans="1:29" ht="15.75" thickBot="1">
      <c r="A256" s="1" t="s">
        <v>720</v>
      </c>
    </row>
    <row r="257" spans="1:29" ht="15.75" customHeight="1" thickBot="1">
      <c r="A257" s="3204" t="s">
        <v>54</v>
      </c>
      <c r="B257" s="3206" t="s">
        <v>2</v>
      </c>
      <c r="C257" s="3261" t="s">
        <v>55</v>
      </c>
      <c r="D257" s="3262"/>
      <c r="E257" s="3263"/>
      <c r="F257" s="3261" t="s">
        <v>56</v>
      </c>
      <c r="G257" s="3262"/>
      <c r="H257" s="3262"/>
      <c r="I257" s="3262"/>
      <c r="J257" s="3262"/>
      <c r="K257" s="3262"/>
      <c r="L257" s="3262"/>
      <c r="M257" s="3262"/>
      <c r="N257" s="3262"/>
      <c r="O257" s="3262"/>
      <c r="P257" s="3262"/>
      <c r="Q257" s="3262"/>
      <c r="R257" s="3262"/>
      <c r="S257" s="3262"/>
      <c r="T257" s="3262"/>
      <c r="U257" s="3262"/>
      <c r="V257" s="3262"/>
      <c r="W257" s="3263"/>
      <c r="X257" s="3255" t="s">
        <v>57</v>
      </c>
      <c r="Y257" s="3261" t="s">
        <v>58</v>
      </c>
      <c r="Z257" s="3262"/>
      <c r="AA257" s="3263"/>
      <c r="AC257" s="3255" t="s">
        <v>80</v>
      </c>
    </row>
    <row r="258" spans="1:29">
      <c r="A258" s="3205"/>
      <c r="B258" s="3207"/>
      <c r="C258" s="3258">
        <v>2015</v>
      </c>
      <c r="D258" s="3264"/>
      <c r="E258" s="3245"/>
      <c r="F258" s="3258">
        <v>2020</v>
      </c>
      <c r="G258" s="3264"/>
      <c r="H258" s="3245"/>
      <c r="I258" s="3258">
        <v>2025</v>
      </c>
      <c r="J258" s="3264"/>
      <c r="K258" s="3245"/>
      <c r="L258" s="3258">
        <v>2030</v>
      </c>
      <c r="M258" s="3264"/>
      <c r="N258" s="3245"/>
      <c r="O258" s="3258">
        <v>2035</v>
      </c>
      <c r="P258" s="3264"/>
      <c r="Q258" s="3245"/>
      <c r="R258" s="3258">
        <v>2040</v>
      </c>
      <c r="S258" s="3264"/>
      <c r="T258" s="3245"/>
      <c r="U258" s="3258">
        <v>2045</v>
      </c>
      <c r="V258" s="3264"/>
      <c r="W258" s="3245"/>
      <c r="X258" s="3256"/>
      <c r="Y258" s="3258">
        <v>2045</v>
      </c>
      <c r="Z258" s="3264"/>
      <c r="AA258" s="3245"/>
      <c r="AC258" s="3256"/>
    </row>
    <row r="259" spans="1:29" ht="15.75" thickBot="1">
      <c r="A259" s="3485"/>
      <c r="B259" s="3208"/>
      <c r="C259" s="1130" t="s">
        <v>60</v>
      </c>
      <c r="D259" s="1128" t="s">
        <v>61</v>
      </c>
      <c r="E259" s="1681" t="s">
        <v>18</v>
      </c>
      <c r="F259" s="1127" t="s">
        <v>60</v>
      </c>
      <c r="G259" s="1131" t="s">
        <v>61</v>
      </c>
      <c r="H259" s="1680" t="s">
        <v>18</v>
      </c>
      <c r="I259" s="1130" t="s">
        <v>60</v>
      </c>
      <c r="J259" s="1128" t="s">
        <v>61</v>
      </c>
      <c r="K259" s="1681" t="s">
        <v>18</v>
      </c>
      <c r="L259" s="1127" t="s">
        <v>60</v>
      </c>
      <c r="M259" s="1131" t="s">
        <v>61</v>
      </c>
      <c r="N259" s="1680" t="s">
        <v>18</v>
      </c>
      <c r="O259" s="1130" t="s">
        <v>60</v>
      </c>
      <c r="P259" s="1128" t="s">
        <v>61</v>
      </c>
      <c r="Q259" s="1681" t="s">
        <v>18</v>
      </c>
      <c r="R259" s="1130" t="s">
        <v>60</v>
      </c>
      <c r="S259" s="1131" t="s">
        <v>61</v>
      </c>
      <c r="T259" s="1680" t="s">
        <v>18</v>
      </c>
      <c r="U259" s="1130" t="s">
        <v>60</v>
      </c>
      <c r="V259" s="1131" t="s">
        <v>61</v>
      </c>
      <c r="W259" s="1680" t="s">
        <v>18</v>
      </c>
      <c r="X259" s="3257"/>
      <c r="Y259" s="1817" t="s">
        <v>60</v>
      </c>
      <c r="Z259" s="1818" t="s">
        <v>61</v>
      </c>
      <c r="AA259" s="1135" t="s">
        <v>18</v>
      </c>
      <c r="AC259" s="3483"/>
    </row>
    <row r="260" spans="1:29">
      <c r="A260" s="993" t="s">
        <v>62</v>
      </c>
      <c r="B260" s="1492" t="s">
        <v>17</v>
      </c>
      <c r="C260" s="1497">
        <f>'Table 4'!J37</f>
        <v>0.65</v>
      </c>
      <c r="D260" s="1507">
        <f>'Table 4'!K37</f>
        <v>0</v>
      </c>
      <c r="E260" s="1499">
        <f>'Table 4'!L37</f>
        <v>0.65</v>
      </c>
      <c r="F260" s="1497">
        <f>'Table 4'!M37</f>
        <v>0.8</v>
      </c>
      <c r="G260" s="1507">
        <f>'Table 4'!N37</f>
        <v>0</v>
      </c>
      <c r="H260" s="1499">
        <f>'Table 4'!O37</f>
        <v>0.8</v>
      </c>
      <c r="I260" s="1497">
        <f>'Table 4'!Q37</f>
        <v>0.84</v>
      </c>
      <c r="J260" s="1507">
        <f>'Table 4'!R37</f>
        <v>0</v>
      </c>
      <c r="K260" s="1499">
        <f>'Table 4'!S37</f>
        <v>0.84</v>
      </c>
      <c r="L260" s="1497">
        <f>'Table 4'!U37</f>
        <v>0.87</v>
      </c>
      <c r="M260" s="1507">
        <f>'Table 4'!V37</f>
        <v>0</v>
      </c>
      <c r="N260" s="1499">
        <f>'Table 4'!W37</f>
        <v>0.87</v>
      </c>
      <c r="O260" s="1497">
        <f>'Table 4'!Y37</f>
        <v>0.87</v>
      </c>
      <c r="P260" s="1507">
        <f>'Table 4'!Z37</f>
        <v>0</v>
      </c>
      <c r="Q260" s="1499">
        <f>'Table 4'!AA37</f>
        <v>0.87</v>
      </c>
      <c r="R260" s="1497">
        <f>'Table 4'!AC37</f>
        <v>0.87</v>
      </c>
      <c r="S260" s="1507">
        <f>'Table 4'!AD37</f>
        <v>0</v>
      </c>
      <c r="T260" s="1499">
        <f>'Table 4'!AE37</f>
        <v>0.87</v>
      </c>
      <c r="U260" s="1497">
        <f>'Table 4'!AG37</f>
        <v>0.87</v>
      </c>
      <c r="V260" s="1507">
        <f>'Table 4'!AH37</f>
        <v>0</v>
      </c>
      <c r="W260" s="1499">
        <f>'Table 4'!AI37</f>
        <v>0.87</v>
      </c>
      <c r="X260" s="1813">
        <f>(W260-E260)/E260</f>
        <v>0.34</v>
      </c>
      <c r="Y260" s="1497">
        <f>'Table 4'!AL37</f>
        <v>0.92</v>
      </c>
      <c r="Z260" s="1507">
        <f>'Table 4'!AM37</f>
        <v>0</v>
      </c>
      <c r="AA260" s="1499">
        <f>'Table 4'!AN37</f>
        <v>0.87</v>
      </c>
      <c r="AC260" s="1653">
        <f>W260-E260</f>
        <v>0.22</v>
      </c>
    </row>
    <row r="261" spans="1:29" ht="26.25">
      <c r="A261" s="993" t="s">
        <v>63</v>
      </c>
      <c r="B261" s="1492" t="s">
        <v>17</v>
      </c>
      <c r="C261" s="1497">
        <f>'Table 6'!K38</f>
        <v>1.21</v>
      </c>
      <c r="D261" s="1507">
        <f>'Table 6'!L38</f>
        <v>0</v>
      </c>
      <c r="E261" s="1499">
        <f>'Table 6'!M38</f>
        <v>1.21</v>
      </c>
      <c r="F261" s="1497">
        <f>'Table 6'!N38</f>
        <v>1.18</v>
      </c>
      <c r="G261" s="1507">
        <f>'Table 6'!O38</f>
        <v>0</v>
      </c>
      <c r="H261" s="1499">
        <f>'Table 6'!P38</f>
        <v>1.18</v>
      </c>
      <c r="I261" s="1497">
        <f>'Table 6'!Q38</f>
        <v>1.18</v>
      </c>
      <c r="J261" s="1507">
        <f>'Table 6'!R38</f>
        <v>0</v>
      </c>
      <c r="K261" s="1499">
        <f>'Table 6'!S38</f>
        <v>1.18</v>
      </c>
      <c r="L261" s="1497">
        <f>'Table 6'!T38</f>
        <v>1.19</v>
      </c>
      <c r="M261" s="1507">
        <f>'Table 6'!U38</f>
        <v>0</v>
      </c>
      <c r="N261" s="1499">
        <f>'Table 6'!V38</f>
        <v>1.19</v>
      </c>
      <c r="O261" s="1497">
        <f>'Table 6'!W38</f>
        <v>1.19</v>
      </c>
      <c r="P261" s="1507">
        <f>'Table 6'!X38</f>
        <v>0</v>
      </c>
      <c r="Q261" s="1499">
        <f>'Table 6'!Y38</f>
        <v>1.19</v>
      </c>
      <c r="R261" s="1497">
        <f>'Table 6'!Z38</f>
        <v>1.19</v>
      </c>
      <c r="S261" s="1507">
        <f>'Table 6'!AA38</f>
        <v>0</v>
      </c>
      <c r="T261" s="1499">
        <f>'Table 6'!AB38</f>
        <v>1.19</v>
      </c>
      <c r="U261" s="1497">
        <f>'Table 6'!AC38</f>
        <v>1.19</v>
      </c>
      <c r="V261" s="1507">
        <f>'Table 6'!AD38</f>
        <v>0</v>
      </c>
      <c r="W261" s="1499">
        <f>'Table 6'!AE38</f>
        <v>1.19</v>
      </c>
      <c r="X261" s="1813">
        <f t="shared" ref="X261:X266" si="435">(W261-E261)/E261</f>
        <v>-0.02</v>
      </c>
      <c r="Y261" s="1497">
        <f>'Table 6'!AG38</f>
        <v>1.26</v>
      </c>
      <c r="Z261" s="1507">
        <f>'Table 6'!AH38</f>
        <v>0</v>
      </c>
      <c r="AA261" s="1499">
        <f>'Table 6'!AI38</f>
        <v>1.26</v>
      </c>
      <c r="AC261" s="1653">
        <f t="shared" ref="AC261:AC266" si="436">W261-E261</f>
        <v>-0.02</v>
      </c>
    </row>
    <row r="262" spans="1:29">
      <c r="A262" s="798" t="s">
        <v>64</v>
      </c>
      <c r="B262" s="1492" t="s">
        <v>17</v>
      </c>
      <c r="C262" s="1497">
        <f>'Table 7'!C40</f>
        <v>6.81</v>
      </c>
      <c r="D262" s="1507">
        <f>'Table 7'!D40</f>
        <v>0</v>
      </c>
      <c r="E262" s="1499">
        <f>'Table 7'!E40</f>
        <v>6.81</v>
      </c>
      <c r="F262" s="1497">
        <f>'Table 7'!F40</f>
        <v>5.56</v>
      </c>
      <c r="G262" s="1507">
        <f>'Table 7'!G40</f>
        <v>0</v>
      </c>
      <c r="H262" s="1499">
        <f>'Table 7'!H40</f>
        <v>5.56</v>
      </c>
      <c r="I262" s="1497">
        <f>'Table 7'!I40</f>
        <v>6.01</v>
      </c>
      <c r="J262" s="1507">
        <f>'Table 7'!J40</f>
        <v>0</v>
      </c>
      <c r="K262" s="1499">
        <f>'Table 7'!K40</f>
        <v>6.01</v>
      </c>
      <c r="L262" s="1497">
        <f>'Table 7'!L40</f>
        <v>6.45</v>
      </c>
      <c r="M262" s="1507">
        <f>'Table 7'!M40</f>
        <v>0</v>
      </c>
      <c r="N262" s="1499">
        <f>'Table 7'!N40</f>
        <v>6.45</v>
      </c>
      <c r="O262" s="1497">
        <f>'Table 7'!O40</f>
        <v>6.86</v>
      </c>
      <c r="P262" s="1507">
        <f>'Table 7'!P40</f>
        <v>0</v>
      </c>
      <c r="Q262" s="1499">
        <f>'Table 7'!Q40</f>
        <v>6.86</v>
      </c>
      <c r="R262" s="1497">
        <f>'Table 7'!R40</f>
        <v>7.36</v>
      </c>
      <c r="S262" s="1507">
        <f>'Table 7'!S40</f>
        <v>0</v>
      </c>
      <c r="T262" s="1499">
        <f>'Table 7'!T40</f>
        <v>7.36</v>
      </c>
      <c r="U262" s="1497">
        <f>'Table 7'!U40</f>
        <v>7.73</v>
      </c>
      <c r="V262" s="1507">
        <f>'Table 7'!V40</f>
        <v>0</v>
      </c>
      <c r="W262" s="1499">
        <f>'Table 7'!W40</f>
        <v>7.73</v>
      </c>
      <c r="X262" s="1813">
        <f t="shared" si="435"/>
        <v>0.14000000000000001</v>
      </c>
      <c r="Y262" s="1497">
        <f>'Table 7'!AG40</f>
        <v>9.9700000000000006</v>
      </c>
      <c r="Z262" s="1507">
        <f>'Table 7'!AH40</f>
        <v>0</v>
      </c>
      <c r="AA262" s="1499">
        <f>'Table 7'!AI40</f>
        <v>9.9700000000000006</v>
      </c>
      <c r="AC262" s="1653">
        <f t="shared" si="436"/>
        <v>0.92</v>
      </c>
    </row>
    <row r="263" spans="1:29">
      <c r="A263" s="798" t="s">
        <v>65</v>
      </c>
      <c r="B263" s="1492" t="s">
        <v>17</v>
      </c>
      <c r="C263" s="1497">
        <f>'Table 8'!C39</f>
        <v>0.12</v>
      </c>
      <c r="D263" s="1507">
        <f>'Table 8'!D39</f>
        <v>0</v>
      </c>
      <c r="E263" s="1499">
        <f>'Table 8'!E39</f>
        <v>0.12</v>
      </c>
      <c r="F263" s="1497">
        <f>'Table 8'!F39</f>
        <v>0</v>
      </c>
      <c r="G263" s="1507">
        <f>'Table 8'!G39</f>
        <v>0</v>
      </c>
      <c r="H263" s="1499">
        <f>'Table 8'!H39</f>
        <v>0.12</v>
      </c>
      <c r="I263" s="1497">
        <f>'Table 8'!I39</f>
        <v>0.12</v>
      </c>
      <c r="J263" s="1507">
        <f>'Table 8'!J39</f>
        <v>0</v>
      </c>
      <c r="K263" s="1499">
        <f>'Table 8'!K39</f>
        <v>0.12</v>
      </c>
      <c r="L263" s="1497">
        <f>'Table 8'!L39</f>
        <v>0.12</v>
      </c>
      <c r="M263" s="1507">
        <f>'Table 8'!M39</f>
        <v>0</v>
      </c>
      <c r="N263" s="1499">
        <f>'Table 8'!N39</f>
        <v>0.12</v>
      </c>
      <c r="O263" s="1497">
        <f>'Table 8'!O39</f>
        <v>0.12</v>
      </c>
      <c r="P263" s="1507">
        <f>'Table 8'!P39</f>
        <v>0</v>
      </c>
      <c r="Q263" s="1499">
        <f>'Table 8'!Q39</f>
        <v>0.12</v>
      </c>
      <c r="R263" s="1497">
        <f>'Table 8'!R39</f>
        <v>0.12</v>
      </c>
      <c r="S263" s="1507">
        <f>'Table 8'!S39</f>
        <v>0</v>
      </c>
      <c r="T263" s="1499">
        <f>'Table 8'!T39</f>
        <v>0.12</v>
      </c>
      <c r="U263" s="1497">
        <f>'Table 8'!U39</f>
        <v>0.12</v>
      </c>
      <c r="V263" s="1507">
        <f>'Table 8'!V39</f>
        <v>0</v>
      </c>
      <c r="W263" s="1499">
        <f>'Table 8'!W39</f>
        <v>0.12</v>
      </c>
      <c r="X263" s="1813">
        <f t="shared" si="435"/>
        <v>0</v>
      </c>
      <c r="Y263" s="1497">
        <f>'Table 8'!Y39</f>
        <v>0.12</v>
      </c>
      <c r="Z263" s="1507">
        <f>'Table 8'!Z39</f>
        <v>0</v>
      </c>
      <c r="AA263" s="1499">
        <f>'Table 8'!AA39</f>
        <v>0.12</v>
      </c>
      <c r="AC263" s="1653">
        <f t="shared" si="436"/>
        <v>0</v>
      </c>
    </row>
    <row r="264" spans="1:29" ht="15" customHeight="1">
      <c r="A264" s="798" t="s">
        <v>66</v>
      </c>
      <c r="B264" s="1518" t="s">
        <v>17</v>
      </c>
      <c r="C264" s="1519">
        <f>'Table 9'!C39</f>
        <v>0.2</v>
      </c>
      <c r="D264" s="1520">
        <f>'Table 9'!D39</f>
        <v>0</v>
      </c>
      <c r="E264" s="1521">
        <f>'Table 9'!E39</f>
        <v>0.2</v>
      </c>
      <c r="F264" s="1519">
        <f>'Table 9'!F39</f>
        <v>0.2</v>
      </c>
      <c r="G264" s="1520">
        <f>'Table 9'!G39</f>
        <v>0</v>
      </c>
      <c r="H264" s="1521">
        <f>'Table 9'!H39</f>
        <v>0.2</v>
      </c>
      <c r="I264" s="1519">
        <f>'Table 9'!I39</f>
        <v>0.2</v>
      </c>
      <c r="J264" s="1520">
        <f>'Table 9'!J39</f>
        <v>0</v>
      </c>
      <c r="K264" s="1521">
        <f>'Table 9'!K39</f>
        <v>0.2</v>
      </c>
      <c r="L264" s="1519">
        <f>'Table 9'!L39</f>
        <v>0.2</v>
      </c>
      <c r="M264" s="1520">
        <f>'Table 9'!M39</f>
        <v>0</v>
      </c>
      <c r="N264" s="1521">
        <f>'Table 9'!N39</f>
        <v>0.2</v>
      </c>
      <c r="O264" s="1519">
        <f>'Table 9'!O39</f>
        <v>0.2</v>
      </c>
      <c r="P264" s="1520">
        <f>'Table 9'!P39</f>
        <v>0</v>
      </c>
      <c r="Q264" s="1521">
        <f>'Table 9'!Q39</f>
        <v>0.2</v>
      </c>
      <c r="R264" s="1519">
        <f>'Table 9'!R39</f>
        <v>0.2</v>
      </c>
      <c r="S264" s="1520">
        <f>'Table 9'!S39</f>
        <v>0</v>
      </c>
      <c r="T264" s="1521">
        <f>'Table 9'!T39</f>
        <v>0.2</v>
      </c>
      <c r="U264" s="1519">
        <f>'Table 9'!U39</f>
        <v>0.2</v>
      </c>
      <c r="V264" s="1520">
        <f>'Table 9'!V39</f>
        <v>0</v>
      </c>
      <c r="W264" s="1521">
        <f>'Table 9'!W39</f>
        <v>0.2</v>
      </c>
      <c r="X264" s="1814">
        <f t="shared" si="435"/>
        <v>0</v>
      </c>
      <c r="Y264" s="1519">
        <f>U264</f>
        <v>0.2</v>
      </c>
      <c r="Z264" s="1520">
        <f t="shared" ref="Z264:Z265" si="437">V264</f>
        <v>0</v>
      </c>
      <c r="AA264" s="1521">
        <f t="shared" ref="AA264:AA265" si="438">W264</f>
        <v>0.2</v>
      </c>
      <c r="AC264" s="841">
        <f t="shared" si="436"/>
        <v>0</v>
      </c>
    </row>
    <row r="265" spans="1:29" ht="15.75" thickBot="1">
      <c r="A265" s="175" t="s">
        <v>67</v>
      </c>
      <c r="B265" s="1489" t="s">
        <v>17</v>
      </c>
      <c r="C265" s="1522">
        <f>'Table 10'!C38</f>
        <v>0</v>
      </c>
      <c r="D265" s="1523">
        <f>'Table 10'!D38</f>
        <v>0</v>
      </c>
      <c r="E265" s="1524">
        <f>'Table 10'!E38</f>
        <v>0</v>
      </c>
      <c r="F265" s="1522">
        <f>'Table 10'!F38</f>
        <v>0</v>
      </c>
      <c r="G265" s="1523">
        <f>'Table 10'!G38</f>
        <v>0</v>
      </c>
      <c r="H265" s="1524">
        <f>'Table 10'!H38</f>
        <v>0</v>
      </c>
      <c r="I265" s="1522">
        <f>'Table 10'!I38</f>
        <v>0</v>
      </c>
      <c r="J265" s="1523">
        <f>'Table 10'!J38</f>
        <v>0</v>
      </c>
      <c r="K265" s="1524">
        <f>'Table 10'!K38</f>
        <v>0</v>
      </c>
      <c r="L265" s="1522">
        <f>'Table 10'!L38</f>
        <v>0</v>
      </c>
      <c r="M265" s="1523">
        <f>'Table 10'!M38</f>
        <v>0</v>
      </c>
      <c r="N265" s="1524">
        <f>'Table 10'!N38</f>
        <v>0</v>
      </c>
      <c r="O265" s="1522">
        <f>'Table 10'!O38</f>
        <v>0</v>
      </c>
      <c r="P265" s="1523">
        <f>'Table 10'!P38</f>
        <v>0</v>
      </c>
      <c r="Q265" s="1524">
        <f>'Table 10'!Q38</f>
        <v>0</v>
      </c>
      <c r="R265" s="1522">
        <f>'Table 10'!R38</f>
        <v>0</v>
      </c>
      <c r="S265" s="1523">
        <f>'Table 10'!S38</f>
        <v>0</v>
      </c>
      <c r="T265" s="1524">
        <f>'Table 10'!T38</f>
        <v>0</v>
      </c>
      <c r="U265" s="1522">
        <f>'Table 10'!U38</f>
        <v>0</v>
      </c>
      <c r="V265" s="1523">
        <f>'Table 10'!V38</f>
        <v>0</v>
      </c>
      <c r="W265" s="1524">
        <f>'Table 10'!W38</f>
        <v>0</v>
      </c>
      <c r="X265" s="1815" t="s">
        <v>16</v>
      </c>
      <c r="Y265" s="1522">
        <f>U265</f>
        <v>0</v>
      </c>
      <c r="Z265" s="1523">
        <f t="shared" si="437"/>
        <v>0</v>
      </c>
      <c r="AA265" s="1524">
        <f t="shared" si="438"/>
        <v>0</v>
      </c>
      <c r="AC265" s="1822">
        <f t="shared" si="436"/>
        <v>0</v>
      </c>
    </row>
    <row r="266" spans="1:29" ht="16.5" thickTop="1" thickBot="1">
      <c r="A266" s="3481" t="s">
        <v>721</v>
      </c>
      <c r="B266" s="3482"/>
      <c r="C266" s="1512">
        <f t="shared" ref="C266:W266" si="439">C260+C261+C262+C263+C264+C265</f>
        <v>8.99</v>
      </c>
      <c r="D266" s="1538">
        <f t="shared" si="439"/>
        <v>0</v>
      </c>
      <c r="E266" s="1513">
        <f t="shared" si="439"/>
        <v>8.99</v>
      </c>
      <c r="F266" s="1512">
        <f t="shared" si="439"/>
        <v>7.74</v>
      </c>
      <c r="G266" s="1538">
        <f t="shared" si="439"/>
        <v>0</v>
      </c>
      <c r="H266" s="1513">
        <f t="shared" si="439"/>
        <v>7.86</v>
      </c>
      <c r="I266" s="1512">
        <f t="shared" si="439"/>
        <v>8.35</v>
      </c>
      <c r="J266" s="1538">
        <f t="shared" si="439"/>
        <v>0</v>
      </c>
      <c r="K266" s="1513">
        <f t="shared" si="439"/>
        <v>8.35</v>
      </c>
      <c r="L266" s="1512">
        <f t="shared" si="439"/>
        <v>8.83</v>
      </c>
      <c r="M266" s="1538">
        <f t="shared" si="439"/>
        <v>0</v>
      </c>
      <c r="N266" s="1513">
        <f t="shared" si="439"/>
        <v>8.83</v>
      </c>
      <c r="O266" s="1512">
        <f t="shared" si="439"/>
        <v>9.24</v>
      </c>
      <c r="P266" s="1538">
        <f t="shared" si="439"/>
        <v>0</v>
      </c>
      <c r="Q266" s="1513">
        <f t="shared" si="439"/>
        <v>9.24</v>
      </c>
      <c r="R266" s="1512">
        <f t="shared" si="439"/>
        <v>9.74</v>
      </c>
      <c r="S266" s="1538">
        <f t="shared" si="439"/>
        <v>0</v>
      </c>
      <c r="T266" s="1513">
        <f t="shared" si="439"/>
        <v>9.74</v>
      </c>
      <c r="U266" s="1512">
        <f t="shared" si="439"/>
        <v>10.11</v>
      </c>
      <c r="V266" s="1538">
        <f t="shared" si="439"/>
        <v>0</v>
      </c>
      <c r="W266" s="1513">
        <f t="shared" si="439"/>
        <v>10.11</v>
      </c>
      <c r="X266" s="1517">
        <f t="shared" si="435"/>
        <v>0.12</v>
      </c>
      <c r="Y266" s="1512">
        <f>Y260+Y261+Y262+Y263+Y264+Y265</f>
        <v>12.47</v>
      </c>
      <c r="Z266" s="1538">
        <f>Z260+Z261+Z262+Z263+Z264+Z265</f>
        <v>0</v>
      </c>
      <c r="AA266" s="1513">
        <f>AA260+AA261+AA262+AA263+AA264+AA265</f>
        <v>12.42</v>
      </c>
      <c r="AC266" s="855">
        <f t="shared" si="436"/>
        <v>1.1200000000000001</v>
      </c>
    </row>
    <row r="267" spans="1:29">
      <c r="A267" s="89" t="s">
        <v>35</v>
      </c>
    </row>
    <row r="268" spans="1:29">
      <c r="A268" s="1" t="s">
        <v>68</v>
      </c>
    </row>
    <row r="269" spans="1:29">
      <c r="A269" s="1" t="s">
        <v>69</v>
      </c>
    </row>
    <row r="271" spans="1:29" ht="15.75" thickBot="1">
      <c r="A271" s="1" t="s">
        <v>722</v>
      </c>
    </row>
    <row r="272" spans="1:29" ht="15.75" customHeight="1" thickBot="1">
      <c r="A272" s="3204" t="s">
        <v>54</v>
      </c>
      <c r="B272" s="3206" t="s">
        <v>2</v>
      </c>
      <c r="C272" s="3261" t="s">
        <v>55</v>
      </c>
      <c r="D272" s="3262"/>
      <c r="E272" s="3263"/>
      <c r="F272" s="3261" t="s">
        <v>56</v>
      </c>
      <c r="G272" s="3262"/>
      <c r="H272" s="3262"/>
      <c r="I272" s="3262"/>
      <c r="J272" s="3262"/>
      <c r="K272" s="3262"/>
      <c r="L272" s="3262"/>
      <c r="M272" s="3262"/>
      <c r="N272" s="3262"/>
      <c r="O272" s="3262"/>
      <c r="P272" s="3262"/>
      <c r="Q272" s="3262"/>
      <c r="R272" s="3262"/>
      <c r="S272" s="3262"/>
      <c r="T272" s="3262"/>
      <c r="U272" s="3262"/>
      <c r="V272" s="3262"/>
      <c r="W272" s="3263"/>
      <c r="X272" s="3255" t="s">
        <v>57</v>
      </c>
      <c r="Y272" s="3261" t="s">
        <v>58</v>
      </c>
      <c r="Z272" s="3262"/>
      <c r="AA272" s="3263"/>
      <c r="AC272" s="3255" t="s">
        <v>80</v>
      </c>
    </row>
    <row r="273" spans="1:29">
      <c r="A273" s="3205"/>
      <c r="B273" s="3207"/>
      <c r="C273" s="3258">
        <v>2015</v>
      </c>
      <c r="D273" s="3264"/>
      <c r="E273" s="3245"/>
      <c r="F273" s="3258">
        <v>2020</v>
      </c>
      <c r="G273" s="3264"/>
      <c r="H273" s="3245"/>
      <c r="I273" s="3258">
        <v>2025</v>
      </c>
      <c r="J273" s="3264"/>
      <c r="K273" s="3245"/>
      <c r="L273" s="3258">
        <v>2030</v>
      </c>
      <c r="M273" s="3264"/>
      <c r="N273" s="3245"/>
      <c r="O273" s="3258">
        <v>2035</v>
      </c>
      <c r="P273" s="3264"/>
      <c r="Q273" s="3245"/>
      <c r="R273" s="3258">
        <v>2040</v>
      </c>
      <c r="S273" s="3264"/>
      <c r="T273" s="3245"/>
      <c r="U273" s="3258">
        <v>2045</v>
      </c>
      <c r="V273" s="3264"/>
      <c r="W273" s="3245"/>
      <c r="X273" s="3256"/>
      <c r="Y273" s="3258">
        <v>2045</v>
      </c>
      <c r="Z273" s="3264"/>
      <c r="AA273" s="3245"/>
      <c r="AC273" s="3256"/>
    </row>
    <row r="274" spans="1:29" ht="15.75" thickBot="1">
      <c r="A274" s="3485"/>
      <c r="B274" s="3208"/>
      <c r="C274" s="1130" t="s">
        <v>60</v>
      </c>
      <c r="D274" s="1128" t="s">
        <v>61</v>
      </c>
      <c r="E274" s="1681" t="s">
        <v>18</v>
      </c>
      <c r="F274" s="1127" t="s">
        <v>60</v>
      </c>
      <c r="G274" s="1131" t="s">
        <v>61</v>
      </c>
      <c r="H274" s="1680" t="s">
        <v>18</v>
      </c>
      <c r="I274" s="1130" t="s">
        <v>60</v>
      </c>
      <c r="J274" s="1128" t="s">
        <v>61</v>
      </c>
      <c r="K274" s="1681" t="s">
        <v>18</v>
      </c>
      <c r="L274" s="1127" t="s">
        <v>60</v>
      </c>
      <c r="M274" s="1131" t="s">
        <v>61</v>
      </c>
      <c r="N274" s="1680" t="s">
        <v>18</v>
      </c>
      <c r="O274" s="1130" t="s">
        <v>60</v>
      </c>
      <c r="P274" s="1128" t="s">
        <v>61</v>
      </c>
      <c r="Q274" s="1681" t="s">
        <v>18</v>
      </c>
      <c r="R274" s="1130" t="s">
        <v>60</v>
      </c>
      <c r="S274" s="1131" t="s">
        <v>61</v>
      </c>
      <c r="T274" s="1680" t="s">
        <v>18</v>
      </c>
      <c r="U274" s="1130" t="s">
        <v>60</v>
      </c>
      <c r="V274" s="1131" t="s">
        <v>61</v>
      </c>
      <c r="W274" s="1680" t="s">
        <v>18</v>
      </c>
      <c r="X274" s="3257"/>
      <c r="Y274" s="1817" t="s">
        <v>60</v>
      </c>
      <c r="Z274" s="1818" t="s">
        <v>61</v>
      </c>
      <c r="AA274" s="1135" t="s">
        <v>18</v>
      </c>
      <c r="AC274" s="3483"/>
    </row>
    <row r="275" spans="1:29">
      <c r="A275" s="993" t="s">
        <v>62</v>
      </c>
      <c r="B275" s="1492" t="s">
        <v>17</v>
      </c>
      <c r="C275" s="1497">
        <f>'Table 4'!J38</f>
        <v>0</v>
      </c>
      <c r="D275" s="1507">
        <f>'Table 4'!K38</f>
        <v>0</v>
      </c>
      <c r="E275" s="1499">
        <f>'Table 4'!L38</f>
        <v>0</v>
      </c>
      <c r="F275" s="1497">
        <f>'Table 4'!M38</f>
        <v>0</v>
      </c>
      <c r="G275" s="1507">
        <f>'Table 4'!N38</f>
        <v>0</v>
      </c>
      <c r="H275" s="1499">
        <f>'Table 4'!O38</f>
        <v>0</v>
      </c>
      <c r="I275" s="1497">
        <f>'Table 4'!Q38</f>
        <v>0</v>
      </c>
      <c r="J275" s="1507">
        <f>'Table 4'!R38</f>
        <v>0</v>
      </c>
      <c r="K275" s="1499">
        <f>'Table 4'!S38</f>
        <v>0</v>
      </c>
      <c r="L275" s="1497">
        <f>'Table 4'!U38</f>
        <v>0</v>
      </c>
      <c r="M275" s="1507">
        <f>'Table 4'!V38</f>
        <v>0</v>
      </c>
      <c r="N275" s="1499">
        <f>'Table 4'!W38</f>
        <v>0</v>
      </c>
      <c r="O275" s="1497">
        <f>'Table 4'!Y38</f>
        <v>0</v>
      </c>
      <c r="P275" s="1507">
        <f>'Table 4'!Z38</f>
        <v>0</v>
      </c>
      <c r="Q275" s="1499">
        <f>'Table 4'!AA38</f>
        <v>0</v>
      </c>
      <c r="R275" s="1497">
        <f>'Table 4'!AC38</f>
        <v>0</v>
      </c>
      <c r="S275" s="1507">
        <f>'Table 4'!AD38</f>
        <v>0</v>
      </c>
      <c r="T275" s="1499">
        <f>'Table 4'!AE38</f>
        <v>0</v>
      </c>
      <c r="U275" s="1497">
        <f>'Table 4'!AG38</f>
        <v>0</v>
      </c>
      <c r="V275" s="1507">
        <f>'Table 4'!AH38</f>
        <v>0</v>
      </c>
      <c r="W275" s="1499">
        <f>'Table 4'!AI38</f>
        <v>0</v>
      </c>
      <c r="X275" s="1821" t="s">
        <v>16</v>
      </c>
      <c r="Y275" s="1497">
        <f>'Table 4'!AL38</f>
        <v>0</v>
      </c>
      <c r="Z275" s="1507">
        <f>'Table 4'!AM38</f>
        <v>0</v>
      </c>
      <c r="AA275" s="1499">
        <f>'Table 4'!AN38</f>
        <v>0</v>
      </c>
      <c r="AC275" s="1653">
        <f>W275-E275</f>
        <v>0</v>
      </c>
    </row>
    <row r="276" spans="1:29" ht="26.25">
      <c r="A276" s="993" t="s">
        <v>63</v>
      </c>
      <c r="B276" s="1492" t="s">
        <v>17</v>
      </c>
      <c r="C276" s="1497">
        <f>'Table 6'!K39</f>
        <v>0.25</v>
      </c>
      <c r="D276" s="1507">
        <f>'Table 6'!L39</f>
        <v>0</v>
      </c>
      <c r="E276" s="1499">
        <f>'Table 6'!M39</f>
        <v>0.25</v>
      </c>
      <c r="F276" s="1497">
        <f>'Table 6'!N39</f>
        <v>0.25</v>
      </c>
      <c r="G276" s="1507">
        <f>'Table 6'!O39</f>
        <v>0</v>
      </c>
      <c r="H276" s="1499">
        <f>'Table 6'!P39</f>
        <v>0.25</v>
      </c>
      <c r="I276" s="1497">
        <f>'Table 6'!Q39</f>
        <v>0.25</v>
      </c>
      <c r="J276" s="1507">
        <f>'Table 6'!R39</f>
        <v>0</v>
      </c>
      <c r="K276" s="1499">
        <f>'Table 6'!S39</f>
        <v>0.25</v>
      </c>
      <c r="L276" s="1497">
        <f>'Table 6'!T39</f>
        <v>0.26</v>
      </c>
      <c r="M276" s="1507">
        <f>'Table 6'!U39</f>
        <v>0</v>
      </c>
      <c r="N276" s="1499">
        <f>'Table 6'!V39</f>
        <v>0.26</v>
      </c>
      <c r="O276" s="1497">
        <f>'Table 6'!W39</f>
        <v>0.26</v>
      </c>
      <c r="P276" s="1507">
        <f>'Table 6'!X39</f>
        <v>0</v>
      </c>
      <c r="Q276" s="1499">
        <f>'Table 6'!Y39</f>
        <v>0.26</v>
      </c>
      <c r="R276" s="1497">
        <f>'Table 6'!Z39</f>
        <v>0.26</v>
      </c>
      <c r="S276" s="1507">
        <f>'Table 6'!AA39</f>
        <v>0</v>
      </c>
      <c r="T276" s="1499">
        <f>'Table 6'!AB39</f>
        <v>0.26</v>
      </c>
      <c r="U276" s="1497">
        <f>'Table 6'!AC39</f>
        <v>0.26</v>
      </c>
      <c r="V276" s="1507">
        <f>'Table 6'!AD39</f>
        <v>0</v>
      </c>
      <c r="W276" s="1499">
        <f>'Table 6'!AE39</f>
        <v>0.26</v>
      </c>
      <c r="X276" s="1813">
        <f t="shared" ref="X276:X281" si="440">(W276-E276)/E276</f>
        <v>0.04</v>
      </c>
      <c r="Y276" s="1497">
        <f>'Table 6'!AG39</f>
        <v>0.28000000000000003</v>
      </c>
      <c r="Z276" s="1507">
        <f>'Table 6'!AH39</f>
        <v>0</v>
      </c>
      <c r="AA276" s="1499">
        <f>'Table 6'!AI39</f>
        <v>0.28000000000000003</v>
      </c>
      <c r="AC276" s="1653">
        <f t="shared" ref="AC276:AC281" si="441">W276-E276</f>
        <v>0.01</v>
      </c>
    </row>
    <row r="277" spans="1:29">
      <c r="A277" s="798" t="s">
        <v>64</v>
      </c>
      <c r="B277" s="1492" t="s">
        <v>17</v>
      </c>
      <c r="C277" s="1497">
        <f>'Table 7'!C41</f>
        <v>3.27</v>
      </c>
      <c r="D277" s="1507">
        <f>'Table 7'!D41</f>
        <v>0.02</v>
      </c>
      <c r="E277" s="1499">
        <f>'Table 7'!E41</f>
        <v>3.29</v>
      </c>
      <c r="F277" s="1497">
        <f>'Table 7'!F41</f>
        <v>2.72</v>
      </c>
      <c r="G277" s="1507">
        <f>'Table 7'!G41</f>
        <v>0.02</v>
      </c>
      <c r="H277" s="1499">
        <f>'Table 7'!H41</f>
        <v>2.74</v>
      </c>
      <c r="I277" s="1497">
        <f>'Table 7'!I41</f>
        <v>2.73</v>
      </c>
      <c r="J277" s="1507">
        <f>'Table 7'!J41</f>
        <v>0.02</v>
      </c>
      <c r="K277" s="1499">
        <f>'Table 7'!K41</f>
        <v>2.75</v>
      </c>
      <c r="L277" s="1497">
        <f>'Table 7'!L41</f>
        <v>2.74</v>
      </c>
      <c r="M277" s="1507">
        <f>'Table 7'!M41</f>
        <v>0.02</v>
      </c>
      <c r="N277" s="1499">
        <f>'Table 7'!N41</f>
        <v>2.76</v>
      </c>
      <c r="O277" s="1497">
        <f>'Table 7'!O41</f>
        <v>2.77</v>
      </c>
      <c r="P277" s="1507">
        <f>'Table 7'!P41</f>
        <v>0.02</v>
      </c>
      <c r="Q277" s="1499">
        <f>'Table 7'!Q41</f>
        <v>2.79</v>
      </c>
      <c r="R277" s="1497">
        <f>'Table 7'!R41</f>
        <v>2.78</v>
      </c>
      <c r="S277" s="1507">
        <f>'Table 7'!S41</f>
        <v>0.02</v>
      </c>
      <c r="T277" s="1499">
        <f>'Table 7'!T41</f>
        <v>2.8</v>
      </c>
      <c r="U277" s="1497">
        <f>'Table 7'!U41</f>
        <v>2.81</v>
      </c>
      <c r="V277" s="1507">
        <f>'Table 7'!V41</f>
        <v>0.02</v>
      </c>
      <c r="W277" s="1499">
        <f>'Table 7'!W41</f>
        <v>2.83</v>
      </c>
      <c r="X277" s="1813">
        <f t="shared" si="440"/>
        <v>-0.14000000000000001</v>
      </c>
      <c r="Y277" s="1497">
        <f>'Table 7'!AG41</f>
        <v>3.44</v>
      </c>
      <c r="Z277" s="1507">
        <f>'Table 7'!AH41</f>
        <v>0.02</v>
      </c>
      <c r="AA277" s="1499">
        <f>'Table 7'!AI41</f>
        <v>3.46</v>
      </c>
      <c r="AC277" s="1653">
        <f t="shared" si="441"/>
        <v>-0.46</v>
      </c>
    </row>
    <row r="278" spans="1:29">
      <c r="A278" s="798" t="s">
        <v>65</v>
      </c>
      <c r="B278" s="1492" t="s">
        <v>17</v>
      </c>
      <c r="C278" s="1497">
        <f>'Table 8'!C40</f>
        <v>0.09</v>
      </c>
      <c r="D278" s="1507">
        <f>'Table 8'!D40</f>
        <v>0</v>
      </c>
      <c r="E278" s="1499">
        <f>'Table 8'!E40</f>
        <v>0.09</v>
      </c>
      <c r="F278" s="1497">
        <f>'Table 8'!F40</f>
        <v>0.09</v>
      </c>
      <c r="G278" s="1507">
        <f>'Table 8'!G40</f>
        <v>0</v>
      </c>
      <c r="H278" s="1499">
        <f>'Table 8'!H40</f>
        <v>0.09</v>
      </c>
      <c r="I278" s="1497">
        <f>'Table 8'!I40</f>
        <v>0.09</v>
      </c>
      <c r="J278" s="1507">
        <f>'Table 8'!J40</f>
        <v>0</v>
      </c>
      <c r="K278" s="1499">
        <f>'Table 8'!K40</f>
        <v>0.09</v>
      </c>
      <c r="L278" s="1497">
        <f>'Table 8'!L40</f>
        <v>0.09</v>
      </c>
      <c r="M278" s="1507">
        <f>'Table 8'!M40</f>
        <v>0</v>
      </c>
      <c r="N278" s="1499">
        <f>'Table 8'!N40</f>
        <v>0.09</v>
      </c>
      <c r="O278" s="1497">
        <f>'Table 8'!O40</f>
        <v>0.09</v>
      </c>
      <c r="P278" s="1507">
        <f>'Table 8'!P40</f>
        <v>0</v>
      </c>
      <c r="Q278" s="1499">
        <f>'Table 8'!Q40</f>
        <v>0.09</v>
      </c>
      <c r="R278" s="1497">
        <f>'Table 8'!R40</f>
        <v>0.09</v>
      </c>
      <c r="S278" s="1507">
        <f>'Table 8'!S40</f>
        <v>0</v>
      </c>
      <c r="T278" s="1499">
        <f>'Table 8'!T40</f>
        <v>0.09</v>
      </c>
      <c r="U278" s="1497">
        <f>'Table 8'!U40</f>
        <v>0.09</v>
      </c>
      <c r="V278" s="1507">
        <f>'Table 8'!V40</f>
        <v>0</v>
      </c>
      <c r="W278" s="1499">
        <f>'Table 8'!W40</f>
        <v>0.09</v>
      </c>
      <c r="X278" s="1813">
        <f t="shared" si="440"/>
        <v>0</v>
      </c>
      <c r="Y278" s="1497">
        <f>'Table 8'!Y40</f>
        <v>0.12</v>
      </c>
      <c r="Z278" s="1507">
        <f>'Table 8'!Z40</f>
        <v>0</v>
      </c>
      <c r="AA278" s="1499">
        <f>'Table 8'!AA40</f>
        <v>0.12</v>
      </c>
      <c r="AC278" s="1653">
        <f t="shared" si="441"/>
        <v>0</v>
      </c>
    </row>
    <row r="279" spans="1:29" ht="15" customHeight="1">
      <c r="A279" s="798" t="s">
        <v>66</v>
      </c>
      <c r="B279" s="1518" t="s">
        <v>17</v>
      </c>
      <c r="C279" s="1519">
        <f>'Table 9'!C40</f>
        <v>0.16</v>
      </c>
      <c r="D279" s="1520">
        <f>'Table 9'!D40</f>
        <v>0</v>
      </c>
      <c r="E279" s="1521">
        <f>'Table 9'!E40</f>
        <v>0.16</v>
      </c>
      <c r="F279" s="1519">
        <f>'Table 9'!F40</f>
        <v>0.16</v>
      </c>
      <c r="G279" s="1520">
        <f>'Table 9'!G40</f>
        <v>0</v>
      </c>
      <c r="H279" s="1521">
        <f>'Table 9'!H40</f>
        <v>0.16</v>
      </c>
      <c r="I279" s="1519">
        <f>'Table 9'!I40</f>
        <v>0.16</v>
      </c>
      <c r="J279" s="1520">
        <f>'Table 9'!J40</f>
        <v>0</v>
      </c>
      <c r="K279" s="1521">
        <f>'Table 9'!K40</f>
        <v>0.16</v>
      </c>
      <c r="L279" s="1519">
        <f>'Table 9'!L40</f>
        <v>0.16</v>
      </c>
      <c r="M279" s="1520">
        <f>'Table 9'!M40</f>
        <v>0</v>
      </c>
      <c r="N279" s="1521">
        <f>'Table 9'!N40</f>
        <v>0.16</v>
      </c>
      <c r="O279" s="1519">
        <f>'Table 9'!O40</f>
        <v>0.16</v>
      </c>
      <c r="P279" s="1520">
        <f>'Table 9'!P40</f>
        <v>0</v>
      </c>
      <c r="Q279" s="1521">
        <f>'Table 9'!Q40</f>
        <v>0.16</v>
      </c>
      <c r="R279" s="1519">
        <f>'Table 9'!R40</f>
        <v>0.16</v>
      </c>
      <c r="S279" s="1520">
        <f>'Table 9'!S40</f>
        <v>0</v>
      </c>
      <c r="T279" s="1521">
        <f>'Table 9'!T40</f>
        <v>0.16</v>
      </c>
      <c r="U279" s="1519">
        <f>'Table 9'!U40</f>
        <v>0.16</v>
      </c>
      <c r="V279" s="1520">
        <f>'Table 9'!V40</f>
        <v>0</v>
      </c>
      <c r="W279" s="1521">
        <f>'Table 9'!W40</f>
        <v>0.16</v>
      </c>
      <c r="X279" s="1814">
        <f t="shared" si="440"/>
        <v>0</v>
      </c>
      <c r="Y279" s="1519">
        <f>U279</f>
        <v>0.16</v>
      </c>
      <c r="Z279" s="1520">
        <f t="shared" ref="Z279:Z280" si="442">V279</f>
        <v>0</v>
      </c>
      <c r="AA279" s="1521">
        <f t="shared" ref="AA279:AA280" si="443">W279</f>
        <v>0.16</v>
      </c>
      <c r="AC279" s="841">
        <f t="shared" si="441"/>
        <v>0</v>
      </c>
    </row>
    <row r="280" spans="1:29" ht="15.75" thickBot="1">
      <c r="A280" s="175" t="s">
        <v>67</v>
      </c>
      <c r="B280" s="1489" t="s">
        <v>17</v>
      </c>
      <c r="C280" s="1522">
        <f>'Table 10'!C39</f>
        <v>0</v>
      </c>
      <c r="D280" s="1523">
        <f>'Table 10'!D39</f>
        <v>0</v>
      </c>
      <c r="E280" s="1524">
        <f>'Table 10'!E39</f>
        <v>0</v>
      </c>
      <c r="F280" s="1522">
        <f>'Table 10'!F39</f>
        <v>0</v>
      </c>
      <c r="G280" s="1523">
        <f>'Table 10'!G39</f>
        <v>0</v>
      </c>
      <c r="H280" s="1524">
        <f>'Table 10'!H39</f>
        <v>0</v>
      </c>
      <c r="I280" s="1522">
        <f>'Table 10'!I39</f>
        <v>0</v>
      </c>
      <c r="J280" s="1523">
        <f>'Table 10'!J39</f>
        <v>0</v>
      </c>
      <c r="K280" s="1524">
        <f>'Table 10'!K39</f>
        <v>0</v>
      </c>
      <c r="L280" s="1522">
        <f>'Table 10'!L39</f>
        <v>0</v>
      </c>
      <c r="M280" s="1523">
        <f>'Table 10'!M39</f>
        <v>0</v>
      </c>
      <c r="N280" s="1524">
        <f>'Table 10'!N39</f>
        <v>0</v>
      </c>
      <c r="O280" s="1522">
        <f>'Table 10'!O39</f>
        <v>0</v>
      </c>
      <c r="P280" s="1523">
        <f>'Table 10'!P39</f>
        <v>0</v>
      </c>
      <c r="Q280" s="1524">
        <f>'Table 10'!Q39</f>
        <v>0</v>
      </c>
      <c r="R280" s="1522">
        <f>'Table 10'!R39</f>
        <v>0</v>
      </c>
      <c r="S280" s="1523">
        <f>'Table 10'!S39</f>
        <v>0</v>
      </c>
      <c r="T280" s="1524">
        <f>'Table 10'!T39</f>
        <v>0</v>
      </c>
      <c r="U280" s="1522">
        <f>'Table 10'!U39</f>
        <v>0</v>
      </c>
      <c r="V280" s="1523">
        <f>'Table 10'!V39</f>
        <v>0</v>
      </c>
      <c r="W280" s="1524">
        <f>'Table 10'!W39</f>
        <v>0</v>
      </c>
      <c r="X280" s="1815" t="s">
        <v>16</v>
      </c>
      <c r="Y280" s="1522">
        <f>U280</f>
        <v>0</v>
      </c>
      <c r="Z280" s="1523">
        <f t="shared" si="442"/>
        <v>0</v>
      </c>
      <c r="AA280" s="1524">
        <f t="shared" si="443"/>
        <v>0</v>
      </c>
      <c r="AC280" s="1822">
        <f t="shared" si="441"/>
        <v>0</v>
      </c>
    </row>
    <row r="281" spans="1:29" ht="16.5" thickTop="1" thickBot="1">
      <c r="A281" s="3481" t="s">
        <v>723</v>
      </c>
      <c r="B281" s="3482"/>
      <c r="C281" s="1512">
        <f t="shared" ref="C281:W281" si="444">C275+C276+C277+C278+C279+C280</f>
        <v>3.77</v>
      </c>
      <c r="D281" s="1538">
        <f t="shared" si="444"/>
        <v>0.02</v>
      </c>
      <c r="E281" s="1513">
        <f t="shared" si="444"/>
        <v>3.79</v>
      </c>
      <c r="F281" s="1512">
        <f t="shared" si="444"/>
        <v>3.22</v>
      </c>
      <c r="G281" s="1538">
        <f t="shared" si="444"/>
        <v>0.02</v>
      </c>
      <c r="H281" s="1513">
        <f t="shared" si="444"/>
        <v>3.24</v>
      </c>
      <c r="I281" s="1512">
        <f t="shared" si="444"/>
        <v>3.23</v>
      </c>
      <c r="J281" s="1538">
        <f t="shared" si="444"/>
        <v>0.02</v>
      </c>
      <c r="K281" s="1513">
        <f t="shared" si="444"/>
        <v>3.25</v>
      </c>
      <c r="L281" s="1512">
        <f t="shared" si="444"/>
        <v>3.25</v>
      </c>
      <c r="M281" s="1538">
        <f t="shared" si="444"/>
        <v>0.02</v>
      </c>
      <c r="N281" s="1513">
        <f t="shared" si="444"/>
        <v>3.27</v>
      </c>
      <c r="O281" s="1512">
        <f t="shared" si="444"/>
        <v>3.28</v>
      </c>
      <c r="P281" s="1538">
        <f t="shared" si="444"/>
        <v>0.02</v>
      </c>
      <c r="Q281" s="1513">
        <f t="shared" si="444"/>
        <v>3.3</v>
      </c>
      <c r="R281" s="1512">
        <f t="shared" si="444"/>
        <v>3.29</v>
      </c>
      <c r="S281" s="1538">
        <f t="shared" si="444"/>
        <v>0.02</v>
      </c>
      <c r="T281" s="1513">
        <f t="shared" si="444"/>
        <v>3.31</v>
      </c>
      <c r="U281" s="1512">
        <f t="shared" si="444"/>
        <v>3.32</v>
      </c>
      <c r="V281" s="1538">
        <f t="shared" si="444"/>
        <v>0.02</v>
      </c>
      <c r="W281" s="1513">
        <f t="shared" si="444"/>
        <v>3.34</v>
      </c>
      <c r="X281" s="1517">
        <f t="shared" si="440"/>
        <v>-0.12</v>
      </c>
      <c r="Y281" s="1512">
        <f>Y275+Y276+Y277+Y278+Y279+Y280</f>
        <v>4</v>
      </c>
      <c r="Z281" s="1538">
        <f>Z275+Z276+Z277+Z278+Z279+Z280</f>
        <v>0.02</v>
      </c>
      <c r="AA281" s="1513">
        <f>AA275+AA276+AA277+AA278+AA279+AA280</f>
        <v>4.0199999999999996</v>
      </c>
      <c r="AC281" s="855">
        <f t="shared" si="441"/>
        <v>-0.45</v>
      </c>
    </row>
    <row r="282" spans="1:29">
      <c r="A282" s="89" t="s">
        <v>35</v>
      </c>
    </row>
    <row r="283" spans="1:29">
      <c r="A283" s="1" t="s">
        <v>68</v>
      </c>
    </row>
    <row r="284" spans="1:29">
      <c r="A284" s="1" t="s">
        <v>69</v>
      </c>
    </row>
    <row r="286" spans="1:29" ht="15.75" thickBot="1">
      <c r="A286" s="1" t="s">
        <v>724</v>
      </c>
    </row>
    <row r="287" spans="1:29" ht="15.75" customHeight="1" thickBot="1">
      <c r="A287" s="3204" t="s">
        <v>54</v>
      </c>
      <c r="B287" s="3206" t="s">
        <v>2</v>
      </c>
      <c r="C287" s="3261" t="s">
        <v>55</v>
      </c>
      <c r="D287" s="3262"/>
      <c r="E287" s="3263"/>
      <c r="F287" s="3261" t="s">
        <v>56</v>
      </c>
      <c r="G287" s="3262"/>
      <c r="H287" s="3262"/>
      <c r="I287" s="3262"/>
      <c r="J287" s="3262"/>
      <c r="K287" s="3262"/>
      <c r="L287" s="3262"/>
      <c r="M287" s="3262"/>
      <c r="N287" s="3262"/>
      <c r="O287" s="3262"/>
      <c r="P287" s="3262"/>
      <c r="Q287" s="3262"/>
      <c r="R287" s="3262"/>
      <c r="S287" s="3262"/>
      <c r="T287" s="3262"/>
      <c r="U287" s="3262"/>
      <c r="V287" s="3262"/>
      <c r="W287" s="3263"/>
      <c r="X287" s="3255" t="s">
        <v>57</v>
      </c>
      <c r="Y287" s="3261" t="s">
        <v>58</v>
      </c>
      <c r="Z287" s="3262"/>
      <c r="AA287" s="3263"/>
      <c r="AC287" s="3255" t="s">
        <v>80</v>
      </c>
    </row>
    <row r="288" spans="1:29">
      <c r="A288" s="3205"/>
      <c r="B288" s="3207"/>
      <c r="C288" s="3258">
        <v>2015</v>
      </c>
      <c r="D288" s="3264"/>
      <c r="E288" s="3245"/>
      <c r="F288" s="3258">
        <v>2020</v>
      </c>
      <c r="G288" s="3264"/>
      <c r="H288" s="3245"/>
      <c r="I288" s="3258">
        <v>2025</v>
      </c>
      <c r="J288" s="3264"/>
      <c r="K288" s="3245"/>
      <c r="L288" s="3258">
        <v>2030</v>
      </c>
      <c r="M288" s="3264"/>
      <c r="N288" s="3245"/>
      <c r="O288" s="3258">
        <v>2035</v>
      </c>
      <c r="P288" s="3264"/>
      <c r="Q288" s="3245"/>
      <c r="R288" s="3258">
        <v>2040</v>
      </c>
      <c r="S288" s="3264"/>
      <c r="T288" s="3245"/>
      <c r="U288" s="3258">
        <v>2045</v>
      </c>
      <c r="V288" s="3264"/>
      <c r="W288" s="3245"/>
      <c r="X288" s="3256"/>
      <c r="Y288" s="3258">
        <v>2045</v>
      </c>
      <c r="Z288" s="3264"/>
      <c r="AA288" s="3245"/>
      <c r="AC288" s="3256"/>
    </row>
    <row r="289" spans="1:29" ht="15.75" thickBot="1">
      <c r="A289" s="3485"/>
      <c r="B289" s="3208"/>
      <c r="C289" s="1130" t="s">
        <v>60</v>
      </c>
      <c r="D289" s="1128" t="s">
        <v>61</v>
      </c>
      <c r="E289" s="1681" t="s">
        <v>18</v>
      </c>
      <c r="F289" s="1127" t="s">
        <v>60</v>
      </c>
      <c r="G289" s="1131" t="s">
        <v>61</v>
      </c>
      <c r="H289" s="1680" t="s">
        <v>18</v>
      </c>
      <c r="I289" s="1130" t="s">
        <v>60</v>
      </c>
      <c r="J289" s="1128" t="s">
        <v>61</v>
      </c>
      <c r="K289" s="1681" t="s">
        <v>18</v>
      </c>
      <c r="L289" s="1127" t="s">
        <v>60</v>
      </c>
      <c r="M289" s="1131" t="s">
        <v>61</v>
      </c>
      <c r="N289" s="1680" t="s">
        <v>18</v>
      </c>
      <c r="O289" s="1130" t="s">
        <v>60</v>
      </c>
      <c r="P289" s="1128" t="s">
        <v>61</v>
      </c>
      <c r="Q289" s="1681" t="s">
        <v>18</v>
      </c>
      <c r="R289" s="1130" t="s">
        <v>60</v>
      </c>
      <c r="S289" s="1131" t="s">
        <v>61</v>
      </c>
      <c r="T289" s="1680" t="s">
        <v>18</v>
      </c>
      <c r="U289" s="1130" t="s">
        <v>60</v>
      </c>
      <c r="V289" s="1131" t="s">
        <v>61</v>
      </c>
      <c r="W289" s="1680" t="s">
        <v>18</v>
      </c>
      <c r="X289" s="3257"/>
      <c r="Y289" s="1817" t="s">
        <v>60</v>
      </c>
      <c r="Z289" s="1818" t="s">
        <v>61</v>
      </c>
      <c r="AA289" s="1135" t="s">
        <v>18</v>
      </c>
      <c r="AC289" s="3483"/>
    </row>
    <row r="290" spans="1:29">
      <c r="A290" s="993" t="s">
        <v>62</v>
      </c>
      <c r="B290" s="1492" t="s">
        <v>17</v>
      </c>
      <c r="C290" s="1497">
        <f>'Table 4'!J39</f>
        <v>0.15</v>
      </c>
      <c r="D290" s="1507">
        <f>'Table 4'!K39</f>
        <v>0</v>
      </c>
      <c r="E290" s="1499">
        <f>'Table 4'!L39</f>
        <v>0.15</v>
      </c>
      <c r="F290" s="1497">
        <f>'Table 4'!M39</f>
        <v>0.16</v>
      </c>
      <c r="G290" s="1507">
        <f>'Table 4'!N39</f>
        <v>0</v>
      </c>
      <c r="H290" s="1499">
        <f>'Table 4'!O39</f>
        <v>0.16</v>
      </c>
      <c r="I290" s="1497">
        <f>'Table 4'!Q39</f>
        <v>0.16</v>
      </c>
      <c r="J290" s="1507">
        <f>'Table 4'!R39</f>
        <v>0</v>
      </c>
      <c r="K290" s="1499">
        <f>'Table 4'!S39</f>
        <v>0.16</v>
      </c>
      <c r="L290" s="1497">
        <f>'Table 4'!U39</f>
        <v>0.16</v>
      </c>
      <c r="M290" s="1507">
        <f>'Table 4'!V39</f>
        <v>0</v>
      </c>
      <c r="N290" s="1499">
        <f>'Table 4'!W39</f>
        <v>0.16</v>
      </c>
      <c r="O290" s="1497">
        <f>'Table 4'!Y39</f>
        <v>0.16</v>
      </c>
      <c r="P290" s="1507">
        <f>'Table 4'!Z39</f>
        <v>0</v>
      </c>
      <c r="Q290" s="1499">
        <f>'Table 4'!AA39</f>
        <v>0.16</v>
      </c>
      <c r="R290" s="1497">
        <f>'Table 4'!AC39</f>
        <v>0.16</v>
      </c>
      <c r="S290" s="1507">
        <f>'Table 4'!AD39</f>
        <v>0</v>
      </c>
      <c r="T290" s="1499">
        <f>'Table 4'!AE39</f>
        <v>0.16</v>
      </c>
      <c r="U290" s="1497">
        <f>'Table 4'!AG39</f>
        <v>0.16</v>
      </c>
      <c r="V290" s="1507">
        <f>'Table 4'!AH39</f>
        <v>0</v>
      </c>
      <c r="W290" s="1499">
        <f>'Table 4'!AI39</f>
        <v>0.16</v>
      </c>
      <c r="X290" s="1813">
        <f>(W290-E290)/E290</f>
        <v>7.0000000000000007E-2</v>
      </c>
      <c r="Y290" s="1497">
        <f>'Table 4'!AL39</f>
        <v>0.17</v>
      </c>
      <c r="Z290" s="1507">
        <f>'Table 4'!AM39</f>
        <v>0</v>
      </c>
      <c r="AA290" s="1499">
        <f>'Table 4'!AN39</f>
        <v>0.17</v>
      </c>
      <c r="AC290" s="1653">
        <f>W290-E290</f>
        <v>0.01</v>
      </c>
    </row>
    <row r="291" spans="1:29" ht="26.25">
      <c r="A291" s="993" t="s">
        <v>63</v>
      </c>
      <c r="B291" s="1492" t="s">
        <v>17</v>
      </c>
      <c r="C291" s="1497">
        <f>'Table 6'!K40</f>
        <v>0.56000000000000005</v>
      </c>
      <c r="D291" s="1507">
        <f>'Table 6'!L40</f>
        <v>0</v>
      </c>
      <c r="E291" s="1499">
        <f>'Table 6'!M40</f>
        <v>0.56000000000000005</v>
      </c>
      <c r="F291" s="1497">
        <f>'Table 6'!N40</f>
        <v>0.6</v>
      </c>
      <c r="G291" s="1507">
        <f>'Table 6'!O40</f>
        <v>0</v>
      </c>
      <c r="H291" s="1499">
        <f>'Table 6'!P40</f>
        <v>0.6</v>
      </c>
      <c r="I291" s="1497">
        <f>'Table 6'!Q40</f>
        <v>0.64</v>
      </c>
      <c r="J291" s="1507">
        <f>'Table 6'!R40</f>
        <v>0</v>
      </c>
      <c r="K291" s="1499">
        <f>'Table 6'!S40</f>
        <v>0.64</v>
      </c>
      <c r="L291" s="1497">
        <f>'Table 6'!T40</f>
        <v>0.67</v>
      </c>
      <c r="M291" s="1507">
        <f>'Table 6'!U40</f>
        <v>0</v>
      </c>
      <c r="N291" s="1499">
        <f>'Table 6'!V40</f>
        <v>0.67</v>
      </c>
      <c r="O291" s="1497">
        <f>'Table 6'!W40</f>
        <v>0.7</v>
      </c>
      <c r="P291" s="1507">
        <f>'Table 6'!X40</f>
        <v>0</v>
      </c>
      <c r="Q291" s="1499">
        <f>'Table 6'!Y40</f>
        <v>0.7</v>
      </c>
      <c r="R291" s="1497">
        <f>'Table 6'!Z40</f>
        <v>0.72</v>
      </c>
      <c r="S291" s="1507">
        <f>'Table 6'!AA40</f>
        <v>0</v>
      </c>
      <c r="T291" s="1499">
        <f>'Table 6'!AB40</f>
        <v>0.72</v>
      </c>
      <c r="U291" s="1497">
        <f>'Table 6'!AC40</f>
        <v>0.74</v>
      </c>
      <c r="V291" s="1507">
        <f>'Table 6'!AD40</f>
        <v>0</v>
      </c>
      <c r="W291" s="1499">
        <f>'Table 6'!AE40</f>
        <v>0.74</v>
      </c>
      <c r="X291" s="1813">
        <f t="shared" ref="X291:X296" si="445">(W291-E291)/E291</f>
        <v>0.32</v>
      </c>
      <c r="Y291" s="1497">
        <f>'Table 6'!AG40</f>
        <v>0.78</v>
      </c>
      <c r="Z291" s="1507">
        <f>'Table 6'!AH40</f>
        <v>0</v>
      </c>
      <c r="AA291" s="1499">
        <f>'Table 6'!AI40</f>
        <v>0.78</v>
      </c>
      <c r="AC291" s="1653">
        <f t="shared" ref="AC291:AC296" si="446">W291-E291</f>
        <v>0.18</v>
      </c>
    </row>
    <row r="292" spans="1:29">
      <c r="A292" s="798" t="s">
        <v>64</v>
      </c>
      <c r="B292" s="1492" t="s">
        <v>17</v>
      </c>
      <c r="C292" s="1497">
        <f>'Table 7'!C42</f>
        <v>11.76</v>
      </c>
      <c r="D292" s="1507">
        <f>'Table 7'!D42</f>
        <v>0</v>
      </c>
      <c r="E292" s="1499">
        <f>'Table 7'!E42</f>
        <v>11.76</v>
      </c>
      <c r="F292" s="1497">
        <f>'Table 7'!F42</f>
        <v>11.4</v>
      </c>
      <c r="G292" s="1507">
        <f>'Table 7'!G42</f>
        <v>0</v>
      </c>
      <c r="H292" s="1499">
        <f>'Table 7'!H42</f>
        <v>11.4</v>
      </c>
      <c r="I292" s="1497">
        <f>'Table 7'!I42</f>
        <v>12.43</v>
      </c>
      <c r="J292" s="1507">
        <f>'Table 7'!J42</f>
        <v>0</v>
      </c>
      <c r="K292" s="1499">
        <f>'Table 7'!K42</f>
        <v>12.43</v>
      </c>
      <c r="L292" s="1497">
        <f>'Table 7'!L42</f>
        <v>13.36</v>
      </c>
      <c r="M292" s="1507">
        <f>'Table 7'!M42</f>
        <v>0</v>
      </c>
      <c r="N292" s="1499">
        <f>'Table 7'!N42</f>
        <v>13.36</v>
      </c>
      <c r="O292" s="1497">
        <f>'Table 7'!O42</f>
        <v>14.27</v>
      </c>
      <c r="P292" s="1507">
        <f>'Table 7'!P42</f>
        <v>0</v>
      </c>
      <c r="Q292" s="1499">
        <f>'Table 7'!Q42</f>
        <v>14.27</v>
      </c>
      <c r="R292" s="1497">
        <f>'Table 7'!R42</f>
        <v>15.3</v>
      </c>
      <c r="S292" s="1507">
        <f>'Table 7'!S42</f>
        <v>0</v>
      </c>
      <c r="T292" s="1499">
        <f>'Table 7'!T42</f>
        <v>15.3</v>
      </c>
      <c r="U292" s="1497">
        <f>'Table 7'!U42</f>
        <v>16.23</v>
      </c>
      <c r="V292" s="1507">
        <f>'Table 7'!V42</f>
        <v>0</v>
      </c>
      <c r="W292" s="1499">
        <f>'Table 7'!W42</f>
        <v>16.23</v>
      </c>
      <c r="X292" s="1813">
        <f t="shared" si="445"/>
        <v>0.38</v>
      </c>
      <c r="Y292" s="1497">
        <f>'Table 7'!AG42</f>
        <v>20.5</v>
      </c>
      <c r="Z292" s="1507">
        <f>'Table 7'!AH42</f>
        <v>0</v>
      </c>
      <c r="AA292" s="1499">
        <f>'Table 7'!AI42</f>
        <v>20.5</v>
      </c>
      <c r="AC292" s="1653">
        <f t="shared" si="446"/>
        <v>4.47</v>
      </c>
    </row>
    <row r="293" spans="1:29">
      <c r="A293" s="798" t="s">
        <v>65</v>
      </c>
      <c r="B293" s="1492" t="s">
        <v>17</v>
      </c>
      <c r="C293" s="1497">
        <f>'Table 8'!C41</f>
        <v>0.06</v>
      </c>
      <c r="D293" s="1507">
        <f>'Table 8'!D41</f>
        <v>0</v>
      </c>
      <c r="E293" s="1499">
        <f>'Table 8'!E41</f>
        <v>0.06</v>
      </c>
      <c r="F293" s="1497">
        <f>'Table 8'!F41</f>
        <v>0</v>
      </c>
      <c r="G293" s="1507">
        <f>'Table 8'!G41</f>
        <v>0</v>
      </c>
      <c r="H293" s="1499">
        <f>'Table 8'!H41</f>
        <v>0.06</v>
      </c>
      <c r="I293" s="1497">
        <f>'Table 8'!I41</f>
        <v>0.06</v>
      </c>
      <c r="J293" s="1507">
        <f>'Table 8'!J41</f>
        <v>0</v>
      </c>
      <c r="K293" s="1499">
        <f>'Table 8'!K41</f>
        <v>0.06</v>
      </c>
      <c r="L293" s="1497">
        <f>'Table 8'!L41</f>
        <v>0.06</v>
      </c>
      <c r="M293" s="1507">
        <f>'Table 8'!M41</f>
        <v>0</v>
      </c>
      <c r="N293" s="1499">
        <f>'Table 8'!N41</f>
        <v>0.06</v>
      </c>
      <c r="O293" s="1497">
        <f>'Table 8'!O41</f>
        <v>0.06</v>
      </c>
      <c r="P293" s="1507">
        <f>'Table 8'!P41</f>
        <v>0</v>
      </c>
      <c r="Q293" s="1499">
        <f>'Table 8'!Q41</f>
        <v>0.06</v>
      </c>
      <c r="R293" s="1497">
        <f>'Table 8'!R41</f>
        <v>0.06</v>
      </c>
      <c r="S293" s="1507">
        <f>'Table 8'!S41</f>
        <v>0</v>
      </c>
      <c r="T293" s="1499">
        <f>'Table 8'!T41</f>
        <v>0.06</v>
      </c>
      <c r="U293" s="1497">
        <f>'Table 8'!U41</f>
        <v>0.06</v>
      </c>
      <c r="V293" s="1507">
        <f>'Table 8'!V41</f>
        <v>0</v>
      </c>
      <c r="W293" s="1499">
        <f>'Table 8'!W41</f>
        <v>0.06</v>
      </c>
      <c r="X293" s="1813">
        <f t="shared" si="445"/>
        <v>0</v>
      </c>
      <c r="Y293" s="1497">
        <f>'Table 8'!Y41</f>
        <v>0.06</v>
      </c>
      <c r="Z293" s="1507">
        <f>'Table 8'!Z41</f>
        <v>0</v>
      </c>
      <c r="AA293" s="1499">
        <f>'Table 8'!AA41</f>
        <v>0.06</v>
      </c>
      <c r="AC293" s="1653">
        <f t="shared" si="446"/>
        <v>0</v>
      </c>
    </row>
    <row r="294" spans="1:29" ht="15" customHeight="1">
      <c r="A294" s="798" t="s">
        <v>66</v>
      </c>
      <c r="B294" s="1518" t="s">
        <v>17</v>
      </c>
      <c r="C294" s="1519">
        <f>'Table 9'!C41</f>
        <v>0.33</v>
      </c>
      <c r="D294" s="1520">
        <f>'Table 9'!D41</f>
        <v>0</v>
      </c>
      <c r="E294" s="1521">
        <f>'Table 9'!E41</f>
        <v>0.33</v>
      </c>
      <c r="F294" s="1519">
        <f>'Table 9'!F41</f>
        <v>0.35</v>
      </c>
      <c r="G294" s="1520">
        <f>'Table 9'!G41</f>
        <v>0</v>
      </c>
      <c r="H294" s="1521">
        <f>'Table 9'!H41</f>
        <v>0.35</v>
      </c>
      <c r="I294" s="1519">
        <f>'Table 9'!I41</f>
        <v>0.37</v>
      </c>
      <c r="J294" s="1520">
        <f>'Table 9'!J41</f>
        <v>0</v>
      </c>
      <c r="K294" s="1521">
        <f>'Table 9'!K41</f>
        <v>0.37</v>
      </c>
      <c r="L294" s="1519">
        <f>'Table 9'!L41</f>
        <v>0.38</v>
      </c>
      <c r="M294" s="1520">
        <f>'Table 9'!M41</f>
        <v>0</v>
      </c>
      <c r="N294" s="1521">
        <f>'Table 9'!N41</f>
        <v>0.38</v>
      </c>
      <c r="O294" s="1519">
        <f>'Table 9'!O41</f>
        <v>0.39</v>
      </c>
      <c r="P294" s="1520">
        <f>'Table 9'!P41</f>
        <v>0</v>
      </c>
      <c r="Q294" s="1521">
        <f>'Table 9'!Q41</f>
        <v>0.39</v>
      </c>
      <c r="R294" s="1519">
        <f>'Table 9'!R41</f>
        <v>0.4</v>
      </c>
      <c r="S294" s="1520">
        <f>'Table 9'!S41</f>
        <v>0</v>
      </c>
      <c r="T294" s="1521">
        <f>'Table 9'!T41</f>
        <v>0.4</v>
      </c>
      <c r="U294" s="1519">
        <f>'Table 9'!U41</f>
        <v>0.41</v>
      </c>
      <c r="V294" s="1520">
        <f>'Table 9'!V41</f>
        <v>0</v>
      </c>
      <c r="W294" s="1521">
        <f>'Table 9'!W41</f>
        <v>0.41</v>
      </c>
      <c r="X294" s="1814">
        <f t="shared" si="445"/>
        <v>0.24</v>
      </c>
      <c r="Y294" s="1519">
        <f>U294</f>
        <v>0.41</v>
      </c>
      <c r="Z294" s="1520">
        <f t="shared" ref="Z294:Z295" si="447">V294</f>
        <v>0</v>
      </c>
      <c r="AA294" s="1521">
        <f t="shared" ref="AA294:AA295" si="448">W294</f>
        <v>0.41</v>
      </c>
      <c r="AC294" s="841">
        <f t="shared" si="446"/>
        <v>0.08</v>
      </c>
    </row>
    <row r="295" spans="1:29" ht="15.75" thickBot="1">
      <c r="A295" s="175" t="s">
        <v>67</v>
      </c>
      <c r="B295" s="1489" t="s">
        <v>17</v>
      </c>
      <c r="C295" s="1522">
        <f>'Table 10'!C40</f>
        <v>0</v>
      </c>
      <c r="D295" s="1523">
        <f>'Table 10'!D40</f>
        <v>0</v>
      </c>
      <c r="E295" s="1524">
        <f>'Table 10'!E40</f>
        <v>0</v>
      </c>
      <c r="F295" s="1522">
        <f>'Table 10'!F40</f>
        <v>0</v>
      </c>
      <c r="G295" s="1523">
        <f>'Table 10'!G40</f>
        <v>0</v>
      </c>
      <c r="H295" s="1524">
        <f>'Table 10'!H40</f>
        <v>0</v>
      </c>
      <c r="I295" s="1522">
        <f>'Table 10'!I40</f>
        <v>0</v>
      </c>
      <c r="J295" s="1523">
        <f>'Table 10'!J40</f>
        <v>0</v>
      </c>
      <c r="K295" s="1524">
        <f>'Table 10'!K40</f>
        <v>0</v>
      </c>
      <c r="L295" s="1522">
        <f>'Table 10'!L40</f>
        <v>0</v>
      </c>
      <c r="M295" s="1523">
        <f>'Table 10'!M40</f>
        <v>0</v>
      </c>
      <c r="N295" s="1524">
        <f>'Table 10'!N40</f>
        <v>0</v>
      </c>
      <c r="O295" s="1522">
        <f>'Table 10'!O40</f>
        <v>0</v>
      </c>
      <c r="P295" s="1523">
        <f>'Table 10'!P40</f>
        <v>0</v>
      </c>
      <c r="Q295" s="1524">
        <f>'Table 10'!Q40</f>
        <v>0</v>
      </c>
      <c r="R295" s="1522">
        <f>'Table 10'!R40</f>
        <v>0</v>
      </c>
      <c r="S295" s="1523">
        <f>'Table 10'!S40</f>
        <v>0</v>
      </c>
      <c r="T295" s="1524">
        <f>'Table 10'!T40</f>
        <v>0</v>
      </c>
      <c r="U295" s="1522">
        <f>'Table 10'!U40</f>
        <v>0</v>
      </c>
      <c r="V295" s="1523">
        <f>'Table 10'!V40</f>
        <v>0</v>
      </c>
      <c r="W295" s="1524">
        <f>'Table 10'!W40</f>
        <v>0</v>
      </c>
      <c r="X295" s="1815" t="s">
        <v>16</v>
      </c>
      <c r="Y295" s="1522">
        <f>U295</f>
        <v>0</v>
      </c>
      <c r="Z295" s="1523">
        <f t="shared" si="447"/>
        <v>0</v>
      </c>
      <c r="AA295" s="1524">
        <f t="shared" si="448"/>
        <v>0</v>
      </c>
      <c r="AC295" s="1822">
        <f t="shared" si="446"/>
        <v>0</v>
      </c>
    </row>
    <row r="296" spans="1:29" ht="16.5" thickTop="1" thickBot="1">
      <c r="A296" s="3481" t="s">
        <v>725</v>
      </c>
      <c r="B296" s="3482"/>
      <c r="C296" s="1512">
        <f t="shared" ref="C296:W296" si="449">C290+C291+C292+C293+C294+C295</f>
        <v>12.86</v>
      </c>
      <c r="D296" s="1538">
        <f t="shared" si="449"/>
        <v>0</v>
      </c>
      <c r="E296" s="1513">
        <f t="shared" si="449"/>
        <v>12.86</v>
      </c>
      <c r="F296" s="1512">
        <f t="shared" si="449"/>
        <v>12.51</v>
      </c>
      <c r="G296" s="1538">
        <f t="shared" si="449"/>
        <v>0</v>
      </c>
      <c r="H296" s="1513">
        <f t="shared" si="449"/>
        <v>12.57</v>
      </c>
      <c r="I296" s="1512">
        <f t="shared" si="449"/>
        <v>13.66</v>
      </c>
      <c r="J296" s="1538">
        <f t="shared" si="449"/>
        <v>0</v>
      </c>
      <c r="K296" s="1513">
        <f t="shared" si="449"/>
        <v>13.66</v>
      </c>
      <c r="L296" s="1512">
        <f t="shared" si="449"/>
        <v>14.63</v>
      </c>
      <c r="M296" s="1538">
        <f t="shared" si="449"/>
        <v>0</v>
      </c>
      <c r="N296" s="1513">
        <f t="shared" si="449"/>
        <v>14.63</v>
      </c>
      <c r="O296" s="1512">
        <f t="shared" si="449"/>
        <v>15.58</v>
      </c>
      <c r="P296" s="1538">
        <f t="shared" si="449"/>
        <v>0</v>
      </c>
      <c r="Q296" s="1513">
        <f t="shared" si="449"/>
        <v>15.58</v>
      </c>
      <c r="R296" s="1512">
        <f t="shared" si="449"/>
        <v>16.64</v>
      </c>
      <c r="S296" s="1538">
        <f t="shared" si="449"/>
        <v>0</v>
      </c>
      <c r="T296" s="1513">
        <f t="shared" si="449"/>
        <v>16.64</v>
      </c>
      <c r="U296" s="1512">
        <f t="shared" si="449"/>
        <v>17.600000000000001</v>
      </c>
      <c r="V296" s="1538">
        <f t="shared" si="449"/>
        <v>0</v>
      </c>
      <c r="W296" s="1513">
        <f t="shared" si="449"/>
        <v>17.600000000000001</v>
      </c>
      <c r="X296" s="1517">
        <f t="shared" si="445"/>
        <v>0.37</v>
      </c>
      <c r="Y296" s="1512">
        <f>Y290+Y291+Y292+Y293+Y294+Y295</f>
        <v>21.92</v>
      </c>
      <c r="Z296" s="1538">
        <f>Z290+Z291+Z292+Z293+Z294+Z295</f>
        <v>0</v>
      </c>
      <c r="AA296" s="1513">
        <f>AA290+AA291+AA292+AA293+AA294+AA295</f>
        <v>21.92</v>
      </c>
      <c r="AC296" s="855">
        <f t="shared" si="446"/>
        <v>4.74</v>
      </c>
    </row>
    <row r="297" spans="1:29">
      <c r="A297" s="89" t="s">
        <v>35</v>
      </c>
    </row>
    <row r="298" spans="1:29">
      <c r="A298" s="1" t="s">
        <v>68</v>
      </c>
    </row>
    <row r="299" spans="1:29">
      <c r="A299" s="1" t="s">
        <v>69</v>
      </c>
    </row>
    <row r="301" spans="1:29" ht="15.75" thickBot="1">
      <c r="A301" s="1" t="s">
        <v>726</v>
      </c>
    </row>
    <row r="302" spans="1:29" ht="15.75" customHeight="1" thickBot="1">
      <c r="A302" s="3204" t="s">
        <v>54</v>
      </c>
      <c r="B302" s="3206" t="s">
        <v>2</v>
      </c>
      <c r="C302" s="3261" t="s">
        <v>55</v>
      </c>
      <c r="D302" s="3262"/>
      <c r="E302" s="3263"/>
      <c r="F302" s="3261" t="s">
        <v>56</v>
      </c>
      <c r="G302" s="3262"/>
      <c r="H302" s="3262"/>
      <c r="I302" s="3262"/>
      <c r="J302" s="3262"/>
      <c r="K302" s="3262"/>
      <c r="L302" s="3262"/>
      <c r="M302" s="3262"/>
      <c r="N302" s="3262"/>
      <c r="O302" s="3262"/>
      <c r="P302" s="3262"/>
      <c r="Q302" s="3262"/>
      <c r="R302" s="3262"/>
      <c r="S302" s="3262"/>
      <c r="T302" s="3262"/>
      <c r="U302" s="3262"/>
      <c r="V302" s="3262"/>
      <c r="W302" s="3263"/>
      <c r="X302" s="3255" t="s">
        <v>57</v>
      </c>
      <c r="Y302" s="3261" t="s">
        <v>58</v>
      </c>
      <c r="Z302" s="3262"/>
      <c r="AA302" s="3263"/>
      <c r="AC302" s="3255" t="s">
        <v>80</v>
      </c>
    </row>
    <row r="303" spans="1:29">
      <c r="A303" s="3205"/>
      <c r="B303" s="3207"/>
      <c r="C303" s="3258">
        <v>2015</v>
      </c>
      <c r="D303" s="3264"/>
      <c r="E303" s="3245"/>
      <c r="F303" s="3258">
        <v>2020</v>
      </c>
      <c r="G303" s="3264"/>
      <c r="H303" s="3245"/>
      <c r="I303" s="3258">
        <v>2025</v>
      </c>
      <c r="J303" s="3264"/>
      <c r="K303" s="3245"/>
      <c r="L303" s="3258">
        <v>2030</v>
      </c>
      <c r="M303" s="3264"/>
      <c r="N303" s="3245"/>
      <c r="O303" s="3258">
        <v>2035</v>
      </c>
      <c r="P303" s="3264"/>
      <c r="Q303" s="3245"/>
      <c r="R303" s="3258">
        <v>2040</v>
      </c>
      <c r="S303" s="3264"/>
      <c r="T303" s="3245"/>
      <c r="U303" s="3258">
        <v>2045</v>
      </c>
      <c r="V303" s="3264"/>
      <c r="W303" s="3245"/>
      <c r="X303" s="3256"/>
      <c r="Y303" s="3258">
        <v>2045</v>
      </c>
      <c r="Z303" s="3264"/>
      <c r="AA303" s="3245"/>
      <c r="AC303" s="3256"/>
    </row>
    <row r="304" spans="1:29" ht="15.75" thickBot="1">
      <c r="A304" s="3485"/>
      <c r="B304" s="3208"/>
      <c r="C304" s="1130" t="s">
        <v>60</v>
      </c>
      <c r="D304" s="1128" t="s">
        <v>61</v>
      </c>
      <c r="E304" s="1681" t="s">
        <v>18</v>
      </c>
      <c r="F304" s="1127" t="s">
        <v>60</v>
      </c>
      <c r="G304" s="1131" t="s">
        <v>61</v>
      </c>
      <c r="H304" s="1680" t="s">
        <v>18</v>
      </c>
      <c r="I304" s="1130" t="s">
        <v>60</v>
      </c>
      <c r="J304" s="1128" t="s">
        <v>61</v>
      </c>
      <c r="K304" s="1681" t="s">
        <v>18</v>
      </c>
      <c r="L304" s="1127" t="s">
        <v>60</v>
      </c>
      <c r="M304" s="1131" t="s">
        <v>61</v>
      </c>
      <c r="N304" s="1680" t="s">
        <v>18</v>
      </c>
      <c r="O304" s="1130" t="s">
        <v>60</v>
      </c>
      <c r="P304" s="1128" t="s">
        <v>61</v>
      </c>
      <c r="Q304" s="1681" t="s">
        <v>18</v>
      </c>
      <c r="R304" s="1130" t="s">
        <v>60</v>
      </c>
      <c r="S304" s="1131" t="s">
        <v>61</v>
      </c>
      <c r="T304" s="1680" t="s">
        <v>18</v>
      </c>
      <c r="U304" s="1130" t="s">
        <v>60</v>
      </c>
      <c r="V304" s="1131" t="s">
        <v>61</v>
      </c>
      <c r="W304" s="1680" t="s">
        <v>18</v>
      </c>
      <c r="X304" s="3257"/>
      <c r="Y304" s="1817" t="s">
        <v>60</v>
      </c>
      <c r="Z304" s="1818" t="s">
        <v>61</v>
      </c>
      <c r="AA304" s="1135" t="s">
        <v>18</v>
      </c>
      <c r="AC304" s="3483"/>
    </row>
    <row r="305" spans="1:29">
      <c r="A305" s="993" t="s">
        <v>62</v>
      </c>
      <c r="B305" s="1492" t="s">
        <v>17</v>
      </c>
      <c r="C305" s="1497">
        <f>'Table 4'!J40</f>
        <v>0.68</v>
      </c>
      <c r="D305" s="1507">
        <f>'Table 4'!K40</f>
        <v>0</v>
      </c>
      <c r="E305" s="1499">
        <f>'Table 4'!L40</f>
        <v>0.68</v>
      </c>
      <c r="F305" s="1497">
        <f>'Table 4'!M40</f>
        <v>0.61</v>
      </c>
      <c r="G305" s="1507">
        <f>'Table 4'!N40</f>
        <v>0</v>
      </c>
      <c r="H305" s="1499">
        <f>'Table 4'!O40</f>
        <v>0.61</v>
      </c>
      <c r="I305" s="1497">
        <f>'Table 4'!Q40</f>
        <v>0.62</v>
      </c>
      <c r="J305" s="1507">
        <f>'Table 4'!R40</f>
        <v>0</v>
      </c>
      <c r="K305" s="1499">
        <f>'Table 4'!S40</f>
        <v>0.62</v>
      </c>
      <c r="L305" s="1497">
        <f>'Table 4'!U40</f>
        <v>0.64</v>
      </c>
      <c r="M305" s="1507">
        <f>'Table 4'!V40</f>
        <v>0</v>
      </c>
      <c r="N305" s="1499">
        <f>'Table 4'!W40</f>
        <v>0.64</v>
      </c>
      <c r="O305" s="1497">
        <f>'Table 4'!Y40</f>
        <v>0.64</v>
      </c>
      <c r="P305" s="1507">
        <f>'Table 4'!Z40</f>
        <v>0</v>
      </c>
      <c r="Q305" s="1499">
        <f>'Table 4'!AA40</f>
        <v>0.64</v>
      </c>
      <c r="R305" s="1497">
        <f>'Table 4'!AC40</f>
        <v>0.65</v>
      </c>
      <c r="S305" s="1507">
        <f>'Table 4'!AD40</f>
        <v>0</v>
      </c>
      <c r="T305" s="1499">
        <f>'Table 4'!AE40</f>
        <v>0.65</v>
      </c>
      <c r="U305" s="1497">
        <f>'Table 4'!AG40</f>
        <v>0.66</v>
      </c>
      <c r="V305" s="1507">
        <f>'Table 4'!AH40</f>
        <v>0</v>
      </c>
      <c r="W305" s="1499">
        <f>'Table 4'!AI40</f>
        <v>0.66</v>
      </c>
      <c r="X305" s="1813">
        <f>(W305-E305)/E305</f>
        <v>-0.03</v>
      </c>
      <c r="Y305" s="1497">
        <f>'Table 4'!AL40</f>
        <v>0.7</v>
      </c>
      <c r="Z305" s="1507">
        <f>'Table 4'!AM40</f>
        <v>0</v>
      </c>
      <c r="AA305" s="1499">
        <f>'Table 4'!AN40</f>
        <v>0.7</v>
      </c>
      <c r="AC305" s="1653">
        <f>W305-E305</f>
        <v>-0.02</v>
      </c>
    </row>
    <row r="306" spans="1:29" ht="26.25">
      <c r="A306" s="993" t="s">
        <v>63</v>
      </c>
      <c r="B306" s="1492" t="s">
        <v>17</v>
      </c>
      <c r="C306" s="1497">
        <f>'Table 6'!K41</f>
        <v>0.92</v>
      </c>
      <c r="D306" s="1507">
        <f>'Table 6'!L41</f>
        <v>0</v>
      </c>
      <c r="E306" s="1499">
        <f>'Table 6'!M41</f>
        <v>0.92</v>
      </c>
      <c r="F306" s="1497">
        <f>'Table 6'!N41</f>
        <v>0.88</v>
      </c>
      <c r="G306" s="1507">
        <f>'Table 6'!O41</f>
        <v>0</v>
      </c>
      <c r="H306" s="1499">
        <f>'Table 6'!P41</f>
        <v>0.88</v>
      </c>
      <c r="I306" s="1497">
        <f>'Table 6'!Q41</f>
        <v>0.9</v>
      </c>
      <c r="J306" s="1507">
        <f>'Table 6'!R41</f>
        <v>0</v>
      </c>
      <c r="K306" s="1499">
        <f>'Table 6'!S41</f>
        <v>0.9</v>
      </c>
      <c r="L306" s="1497">
        <f>'Table 6'!T41</f>
        <v>0.92</v>
      </c>
      <c r="M306" s="1507">
        <f>'Table 6'!U41</f>
        <v>0</v>
      </c>
      <c r="N306" s="1499">
        <f>'Table 6'!V41</f>
        <v>0.92</v>
      </c>
      <c r="O306" s="1497">
        <f>'Table 6'!W41</f>
        <v>0.94</v>
      </c>
      <c r="P306" s="1507">
        <f>'Table 6'!X41</f>
        <v>0</v>
      </c>
      <c r="Q306" s="1499">
        <f>'Table 6'!Y41</f>
        <v>0.94</v>
      </c>
      <c r="R306" s="1497">
        <f>'Table 6'!Z41</f>
        <v>0.97</v>
      </c>
      <c r="S306" s="1507">
        <f>'Table 6'!AA41</f>
        <v>0</v>
      </c>
      <c r="T306" s="1499">
        <f>'Table 6'!AB41</f>
        <v>0.97</v>
      </c>
      <c r="U306" s="1497">
        <f>'Table 6'!AC41</f>
        <v>0.98</v>
      </c>
      <c r="V306" s="1507">
        <f>'Table 6'!AD41</f>
        <v>0</v>
      </c>
      <c r="W306" s="1499">
        <f>'Table 6'!AE41</f>
        <v>0.98</v>
      </c>
      <c r="X306" s="1813">
        <f t="shared" ref="X306:X311" si="450">(W306-E306)/E306</f>
        <v>7.0000000000000007E-2</v>
      </c>
      <c r="Y306" s="1497">
        <f>'Table 6'!AG41</f>
        <v>1.03</v>
      </c>
      <c r="Z306" s="1507">
        <f>'Table 6'!AH41</f>
        <v>0</v>
      </c>
      <c r="AA306" s="1499">
        <f>'Table 6'!AI41</f>
        <v>1.03</v>
      </c>
      <c r="AC306" s="1653">
        <f t="shared" ref="AC306:AC311" si="451">W306-E306</f>
        <v>0.06</v>
      </c>
    </row>
    <row r="307" spans="1:29">
      <c r="A307" s="798" t="s">
        <v>64</v>
      </c>
      <c r="B307" s="1492" t="s">
        <v>17</v>
      </c>
      <c r="C307" s="1497">
        <f>'Table 7'!C43</f>
        <v>14.8</v>
      </c>
      <c r="D307" s="1507">
        <f>'Table 7'!D43</f>
        <v>0</v>
      </c>
      <c r="E307" s="1499">
        <f>'Table 7'!E43</f>
        <v>14.8</v>
      </c>
      <c r="F307" s="1497">
        <f>'Table 7'!F43</f>
        <v>14.28</v>
      </c>
      <c r="G307" s="1507">
        <f>'Table 7'!G43</f>
        <v>0</v>
      </c>
      <c r="H307" s="1499">
        <f>'Table 7'!H43</f>
        <v>14.28</v>
      </c>
      <c r="I307" s="1497">
        <f>'Table 7'!I43</f>
        <v>15.76</v>
      </c>
      <c r="J307" s="1507">
        <f>'Table 7'!J43</f>
        <v>0</v>
      </c>
      <c r="K307" s="1499">
        <f>'Table 7'!K43</f>
        <v>15.76</v>
      </c>
      <c r="L307" s="1497">
        <f>'Table 7'!L43</f>
        <v>17.14</v>
      </c>
      <c r="M307" s="1507">
        <f>'Table 7'!M43</f>
        <v>0</v>
      </c>
      <c r="N307" s="1499">
        <f>'Table 7'!N43</f>
        <v>17.14</v>
      </c>
      <c r="O307" s="1497">
        <f>'Table 7'!O43</f>
        <v>18.36</v>
      </c>
      <c r="P307" s="1507">
        <f>'Table 7'!P43</f>
        <v>0</v>
      </c>
      <c r="Q307" s="1499">
        <f>'Table 7'!Q43</f>
        <v>18.36</v>
      </c>
      <c r="R307" s="1497">
        <f>'Table 7'!R43</f>
        <v>19.75</v>
      </c>
      <c r="S307" s="1507">
        <f>'Table 7'!S43</f>
        <v>0</v>
      </c>
      <c r="T307" s="1499">
        <f>'Table 7'!T43</f>
        <v>19.75</v>
      </c>
      <c r="U307" s="1497">
        <f>'Table 7'!U43</f>
        <v>20.96</v>
      </c>
      <c r="V307" s="1507">
        <f>'Table 7'!V43</f>
        <v>0</v>
      </c>
      <c r="W307" s="1499">
        <f>'Table 7'!W43</f>
        <v>20.96</v>
      </c>
      <c r="X307" s="1813">
        <f t="shared" si="450"/>
        <v>0.42</v>
      </c>
      <c r="Y307" s="1497">
        <f>'Table 7'!AG43</f>
        <v>26.53</v>
      </c>
      <c r="Z307" s="1507">
        <f>'Table 7'!AH43</f>
        <v>0</v>
      </c>
      <c r="AA307" s="1499">
        <f>'Table 7'!AI43</f>
        <v>26.53</v>
      </c>
      <c r="AC307" s="1653">
        <f t="shared" si="451"/>
        <v>6.16</v>
      </c>
    </row>
    <row r="308" spans="1:29">
      <c r="A308" s="798" t="s">
        <v>65</v>
      </c>
      <c r="B308" s="1492" t="s">
        <v>17</v>
      </c>
      <c r="C308" s="1497">
        <f>'Table 8'!C42</f>
        <v>0.21</v>
      </c>
      <c r="D308" s="1507">
        <f>'Table 8'!D42</f>
        <v>0</v>
      </c>
      <c r="E308" s="1499">
        <f>'Table 8'!E42</f>
        <v>0.21</v>
      </c>
      <c r="F308" s="1497">
        <f>'Table 8'!F42</f>
        <v>0.21</v>
      </c>
      <c r="G308" s="1507">
        <f>'Table 8'!G42</f>
        <v>0</v>
      </c>
      <c r="H308" s="1499">
        <f>'Table 8'!H42</f>
        <v>0.21</v>
      </c>
      <c r="I308" s="1497">
        <f>'Table 8'!I42</f>
        <v>0.22</v>
      </c>
      <c r="J308" s="1507">
        <f>'Table 8'!J42</f>
        <v>0</v>
      </c>
      <c r="K308" s="1499">
        <f>'Table 8'!K42</f>
        <v>0.22</v>
      </c>
      <c r="L308" s="1497">
        <f>'Table 8'!L42</f>
        <v>0.22</v>
      </c>
      <c r="M308" s="1507">
        <f>'Table 8'!M42</f>
        <v>0</v>
      </c>
      <c r="N308" s="1499">
        <f>'Table 8'!N42</f>
        <v>0.22</v>
      </c>
      <c r="O308" s="1497">
        <f>'Table 8'!O42</f>
        <v>0.22</v>
      </c>
      <c r="P308" s="1507">
        <f>'Table 8'!P42</f>
        <v>0</v>
      </c>
      <c r="Q308" s="1499">
        <f>'Table 8'!Q42</f>
        <v>0.22</v>
      </c>
      <c r="R308" s="1497">
        <f>'Table 8'!R42</f>
        <v>0.22</v>
      </c>
      <c r="S308" s="1507">
        <f>'Table 8'!S42</f>
        <v>0</v>
      </c>
      <c r="T308" s="1499">
        <f>'Table 8'!T42</f>
        <v>0.22</v>
      </c>
      <c r="U308" s="1497">
        <f>'Table 8'!U42</f>
        <v>0.22</v>
      </c>
      <c r="V308" s="1507">
        <f>'Table 8'!V42</f>
        <v>0</v>
      </c>
      <c r="W308" s="1499">
        <f>'Table 8'!W42</f>
        <v>0.22</v>
      </c>
      <c r="X308" s="1813">
        <f t="shared" si="450"/>
        <v>0.05</v>
      </c>
      <c r="Y308" s="1497">
        <f>'Table 8'!Y42</f>
        <v>0.26</v>
      </c>
      <c r="Z308" s="1507">
        <f>'Table 8'!Z42</f>
        <v>0</v>
      </c>
      <c r="AA308" s="1499">
        <f>'Table 8'!AA42</f>
        <v>0.26</v>
      </c>
      <c r="AC308" s="1653">
        <f t="shared" si="451"/>
        <v>0.01</v>
      </c>
    </row>
    <row r="309" spans="1:29" ht="15" customHeight="1">
      <c r="A309" s="798" t="s">
        <v>66</v>
      </c>
      <c r="B309" s="1518" t="s">
        <v>17</v>
      </c>
      <c r="C309" s="1519">
        <f>'Table 9'!C42</f>
        <v>0.16</v>
      </c>
      <c r="D309" s="1520">
        <f>'Table 9'!D42</f>
        <v>0</v>
      </c>
      <c r="E309" s="1521">
        <f>'Table 9'!E42</f>
        <v>0.16</v>
      </c>
      <c r="F309" s="1519">
        <f>'Table 9'!F42</f>
        <v>0.16</v>
      </c>
      <c r="G309" s="1520">
        <f>'Table 9'!G42</f>
        <v>0</v>
      </c>
      <c r="H309" s="1521">
        <f>'Table 9'!H42</f>
        <v>0.16</v>
      </c>
      <c r="I309" s="1519">
        <f>'Table 9'!I42</f>
        <v>0.16</v>
      </c>
      <c r="J309" s="1520">
        <f>'Table 9'!J42</f>
        <v>0</v>
      </c>
      <c r="K309" s="1521">
        <f>'Table 9'!K42</f>
        <v>0.16</v>
      </c>
      <c r="L309" s="1519">
        <f>'Table 9'!L42</f>
        <v>0.16</v>
      </c>
      <c r="M309" s="1520">
        <f>'Table 9'!M42</f>
        <v>0</v>
      </c>
      <c r="N309" s="1521">
        <f>'Table 9'!N42</f>
        <v>0.16</v>
      </c>
      <c r="O309" s="1519">
        <f>'Table 9'!O42</f>
        <v>0.16</v>
      </c>
      <c r="P309" s="1520">
        <f>'Table 9'!P42</f>
        <v>0</v>
      </c>
      <c r="Q309" s="1521">
        <f>'Table 9'!Q42</f>
        <v>0.16</v>
      </c>
      <c r="R309" s="1519">
        <f>'Table 9'!R42</f>
        <v>0.16</v>
      </c>
      <c r="S309" s="1520">
        <f>'Table 9'!S42</f>
        <v>0</v>
      </c>
      <c r="T309" s="1521">
        <f>'Table 9'!T42</f>
        <v>0.16</v>
      </c>
      <c r="U309" s="1519">
        <f>'Table 9'!U42</f>
        <v>0.16</v>
      </c>
      <c r="V309" s="1520">
        <f>'Table 9'!V42</f>
        <v>0</v>
      </c>
      <c r="W309" s="1521">
        <f>'Table 9'!W42</f>
        <v>0.16</v>
      </c>
      <c r="X309" s="1814">
        <f t="shared" si="450"/>
        <v>0</v>
      </c>
      <c r="Y309" s="1519">
        <f>U309</f>
        <v>0.16</v>
      </c>
      <c r="Z309" s="1520">
        <f t="shared" ref="Z309:Z310" si="452">V309</f>
        <v>0</v>
      </c>
      <c r="AA309" s="1521">
        <f t="shared" ref="AA309:AA310" si="453">W309</f>
        <v>0.16</v>
      </c>
      <c r="AC309" s="841">
        <f t="shared" si="451"/>
        <v>0</v>
      </c>
    </row>
    <row r="310" spans="1:29" ht="15.75" thickBot="1">
      <c r="A310" s="175" t="s">
        <v>67</v>
      </c>
      <c r="B310" s="1489" t="s">
        <v>17</v>
      </c>
      <c r="C310" s="1522">
        <f>'Table 10'!C41</f>
        <v>0</v>
      </c>
      <c r="D310" s="1523">
        <f>'Table 10'!D41</f>
        <v>0</v>
      </c>
      <c r="E310" s="1524">
        <f>'Table 10'!E41</f>
        <v>0</v>
      </c>
      <c r="F310" s="1522">
        <f>'Table 10'!F41</f>
        <v>0</v>
      </c>
      <c r="G310" s="1523">
        <f>'Table 10'!G41</f>
        <v>0</v>
      </c>
      <c r="H310" s="1524">
        <f>'Table 10'!H41</f>
        <v>0</v>
      </c>
      <c r="I310" s="1522">
        <f>'Table 10'!I41</f>
        <v>0</v>
      </c>
      <c r="J310" s="1523">
        <f>'Table 10'!J41</f>
        <v>0</v>
      </c>
      <c r="K310" s="1524">
        <f>'Table 10'!K41</f>
        <v>0</v>
      </c>
      <c r="L310" s="1522">
        <f>'Table 10'!L41</f>
        <v>0</v>
      </c>
      <c r="M310" s="1523">
        <f>'Table 10'!M41</f>
        <v>0</v>
      </c>
      <c r="N310" s="1524">
        <f>'Table 10'!N41</f>
        <v>0</v>
      </c>
      <c r="O310" s="1522">
        <f>'Table 10'!O41</f>
        <v>0</v>
      </c>
      <c r="P310" s="1523">
        <f>'Table 10'!P41</f>
        <v>0</v>
      </c>
      <c r="Q310" s="1524">
        <f>'Table 10'!Q41</f>
        <v>0</v>
      </c>
      <c r="R310" s="1522">
        <f>'Table 10'!R41</f>
        <v>0</v>
      </c>
      <c r="S310" s="1523">
        <f>'Table 10'!S41</f>
        <v>0</v>
      </c>
      <c r="T310" s="1524">
        <f>'Table 10'!T41</f>
        <v>0</v>
      </c>
      <c r="U310" s="1522">
        <f>'Table 10'!U41</f>
        <v>0</v>
      </c>
      <c r="V310" s="1523">
        <f>'Table 10'!V41</f>
        <v>0</v>
      </c>
      <c r="W310" s="1524">
        <f>'Table 10'!W41</f>
        <v>0</v>
      </c>
      <c r="X310" s="1815" t="s">
        <v>16</v>
      </c>
      <c r="Y310" s="1522">
        <f>U310</f>
        <v>0</v>
      </c>
      <c r="Z310" s="1523">
        <f t="shared" si="452"/>
        <v>0</v>
      </c>
      <c r="AA310" s="1524">
        <f t="shared" si="453"/>
        <v>0</v>
      </c>
      <c r="AC310" s="1822">
        <f t="shared" si="451"/>
        <v>0</v>
      </c>
    </row>
    <row r="311" spans="1:29" ht="16.5" thickTop="1" thickBot="1">
      <c r="A311" s="3481" t="s">
        <v>727</v>
      </c>
      <c r="B311" s="3482"/>
      <c r="C311" s="1512">
        <f t="shared" ref="C311:W311" si="454">C305+C306+C307+C308+C309+C310</f>
        <v>16.77</v>
      </c>
      <c r="D311" s="1538">
        <f t="shared" si="454"/>
        <v>0</v>
      </c>
      <c r="E311" s="1513">
        <f t="shared" si="454"/>
        <v>16.77</v>
      </c>
      <c r="F311" s="1512">
        <f t="shared" si="454"/>
        <v>16.14</v>
      </c>
      <c r="G311" s="1538">
        <f t="shared" si="454"/>
        <v>0</v>
      </c>
      <c r="H311" s="1513">
        <f t="shared" si="454"/>
        <v>16.14</v>
      </c>
      <c r="I311" s="1512">
        <f t="shared" si="454"/>
        <v>17.66</v>
      </c>
      <c r="J311" s="1538">
        <f t="shared" si="454"/>
        <v>0</v>
      </c>
      <c r="K311" s="1513">
        <f t="shared" si="454"/>
        <v>17.66</v>
      </c>
      <c r="L311" s="1512">
        <f t="shared" si="454"/>
        <v>19.079999999999998</v>
      </c>
      <c r="M311" s="1538">
        <f t="shared" si="454"/>
        <v>0</v>
      </c>
      <c r="N311" s="1513">
        <f t="shared" si="454"/>
        <v>19.079999999999998</v>
      </c>
      <c r="O311" s="1512">
        <f t="shared" si="454"/>
        <v>20.32</v>
      </c>
      <c r="P311" s="1538">
        <f t="shared" si="454"/>
        <v>0</v>
      </c>
      <c r="Q311" s="1513">
        <f t="shared" si="454"/>
        <v>20.32</v>
      </c>
      <c r="R311" s="1512">
        <f t="shared" si="454"/>
        <v>21.75</v>
      </c>
      <c r="S311" s="1538">
        <f t="shared" si="454"/>
        <v>0</v>
      </c>
      <c r="T311" s="1513">
        <f t="shared" si="454"/>
        <v>21.75</v>
      </c>
      <c r="U311" s="1512">
        <f t="shared" si="454"/>
        <v>22.98</v>
      </c>
      <c r="V311" s="1538">
        <f t="shared" si="454"/>
        <v>0</v>
      </c>
      <c r="W311" s="1513">
        <f t="shared" si="454"/>
        <v>22.98</v>
      </c>
      <c r="X311" s="1517">
        <f t="shared" si="450"/>
        <v>0.37</v>
      </c>
      <c r="Y311" s="1512">
        <f>Y305+Y306+Y307+Y308+Y309+Y310</f>
        <v>28.68</v>
      </c>
      <c r="Z311" s="1538">
        <f>Z305+Z306+Z307+Z308+Z309+Z310</f>
        <v>0</v>
      </c>
      <c r="AA311" s="1513">
        <f>AA305+AA306+AA307+AA308+AA309+AA310</f>
        <v>28.68</v>
      </c>
      <c r="AC311" s="855">
        <f t="shared" si="451"/>
        <v>6.21</v>
      </c>
    </row>
    <row r="312" spans="1:29">
      <c r="A312" s="89" t="s">
        <v>35</v>
      </c>
    </row>
    <row r="313" spans="1:29">
      <c r="A313" s="1" t="s">
        <v>68</v>
      </c>
    </row>
    <row r="314" spans="1:29">
      <c r="A314" s="1" t="s">
        <v>69</v>
      </c>
    </row>
    <row r="316" spans="1:29" ht="15.75" thickBot="1">
      <c r="A316" s="1" t="s">
        <v>728</v>
      </c>
    </row>
    <row r="317" spans="1:29" ht="15.75" customHeight="1" thickBot="1">
      <c r="A317" s="3204" t="s">
        <v>54</v>
      </c>
      <c r="B317" s="3206" t="s">
        <v>2</v>
      </c>
      <c r="C317" s="3261" t="s">
        <v>55</v>
      </c>
      <c r="D317" s="3262"/>
      <c r="E317" s="3263"/>
      <c r="F317" s="3261" t="s">
        <v>56</v>
      </c>
      <c r="G317" s="3262"/>
      <c r="H317" s="3262"/>
      <c r="I317" s="3262"/>
      <c r="J317" s="3262"/>
      <c r="K317" s="3262"/>
      <c r="L317" s="3262"/>
      <c r="M317" s="3262"/>
      <c r="N317" s="3262"/>
      <c r="O317" s="3262"/>
      <c r="P317" s="3262"/>
      <c r="Q317" s="3262"/>
      <c r="R317" s="3262"/>
      <c r="S317" s="3262"/>
      <c r="T317" s="3262"/>
      <c r="U317" s="3262"/>
      <c r="V317" s="3262"/>
      <c r="W317" s="3263"/>
      <c r="X317" s="3255" t="s">
        <v>57</v>
      </c>
      <c r="Y317" s="3261" t="s">
        <v>58</v>
      </c>
      <c r="Z317" s="3262"/>
      <c r="AA317" s="3263"/>
      <c r="AC317" s="3255" t="s">
        <v>80</v>
      </c>
    </row>
    <row r="318" spans="1:29">
      <c r="A318" s="3205"/>
      <c r="B318" s="3207"/>
      <c r="C318" s="3258">
        <v>2015</v>
      </c>
      <c r="D318" s="3264"/>
      <c r="E318" s="3245"/>
      <c r="F318" s="3258">
        <v>2020</v>
      </c>
      <c r="G318" s="3264"/>
      <c r="H318" s="3245"/>
      <c r="I318" s="3258">
        <v>2025</v>
      </c>
      <c r="J318" s="3264"/>
      <c r="K318" s="3245"/>
      <c r="L318" s="3258">
        <v>2030</v>
      </c>
      <c r="M318" s="3264"/>
      <c r="N318" s="3245"/>
      <c r="O318" s="3258">
        <v>2035</v>
      </c>
      <c r="P318" s="3264"/>
      <c r="Q318" s="3245"/>
      <c r="R318" s="3258">
        <v>2040</v>
      </c>
      <c r="S318" s="3264"/>
      <c r="T318" s="3245"/>
      <c r="U318" s="3258">
        <v>2045</v>
      </c>
      <c r="V318" s="3264"/>
      <c r="W318" s="3245"/>
      <c r="X318" s="3256"/>
      <c r="Y318" s="3258">
        <v>2045</v>
      </c>
      <c r="Z318" s="3264"/>
      <c r="AA318" s="3245"/>
      <c r="AC318" s="3256"/>
    </row>
    <row r="319" spans="1:29" ht="15.75" thickBot="1">
      <c r="A319" s="3485"/>
      <c r="B319" s="3208"/>
      <c r="C319" s="1130" t="s">
        <v>60</v>
      </c>
      <c r="D319" s="1128" t="s">
        <v>61</v>
      </c>
      <c r="E319" s="1681" t="s">
        <v>18</v>
      </c>
      <c r="F319" s="1127" t="s">
        <v>60</v>
      </c>
      <c r="G319" s="1131" t="s">
        <v>61</v>
      </c>
      <c r="H319" s="1680" t="s">
        <v>18</v>
      </c>
      <c r="I319" s="1130" t="s">
        <v>60</v>
      </c>
      <c r="J319" s="1128" t="s">
        <v>61</v>
      </c>
      <c r="K319" s="1681" t="s">
        <v>18</v>
      </c>
      <c r="L319" s="1127" t="s">
        <v>60</v>
      </c>
      <c r="M319" s="1131" t="s">
        <v>61</v>
      </c>
      <c r="N319" s="1680" t="s">
        <v>18</v>
      </c>
      <c r="O319" s="1130" t="s">
        <v>60</v>
      </c>
      <c r="P319" s="1128" t="s">
        <v>61</v>
      </c>
      <c r="Q319" s="1681" t="s">
        <v>18</v>
      </c>
      <c r="R319" s="1130" t="s">
        <v>60</v>
      </c>
      <c r="S319" s="1131" t="s">
        <v>61</v>
      </c>
      <c r="T319" s="1680" t="s">
        <v>18</v>
      </c>
      <c r="U319" s="1130" t="s">
        <v>60</v>
      </c>
      <c r="V319" s="1131" t="s">
        <v>61</v>
      </c>
      <c r="W319" s="1680" t="s">
        <v>18</v>
      </c>
      <c r="X319" s="3257"/>
      <c r="Y319" s="1817" t="s">
        <v>60</v>
      </c>
      <c r="Z319" s="1818" t="s">
        <v>61</v>
      </c>
      <c r="AA319" s="1135" t="s">
        <v>18</v>
      </c>
      <c r="AC319" s="3483"/>
    </row>
    <row r="320" spans="1:29">
      <c r="A320" s="993" t="s">
        <v>62</v>
      </c>
      <c r="B320" s="1492" t="s">
        <v>17</v>
      </c>
      <c r="C320" s="1497">
        <f>'Table 4'!J41</f>
        <v>1.1399999999999999</v>
      </c>
      <c r="D320" s="1507">
        <f>'Table 4'!K41</f>
        <v>0</v>
      </c>
      <c r="E320" s="1499">
        <f>'Table 4'!L41</f>
        <v>1.1399999999999999</v>
      </c>
      <c r="F320" s="1497">
        <f>'Table 4'!M41</f>
        <v>1.27</v>
      </c>
      <c r="G320" s="1507">
        <f>'Table 4'!N41</f>
        <v>0</v>
      </c>
      <c r="H320" s="1499">
        <f>'Table 4'!O41</f>
        <v>1.27</v>
      </c>
      <c r="I320" s="1497">
        <f>'Table 4'!Q41</f>
        <v>1.29</v>
      </c>
      <c r="J320" s="1507">
        <f>'Table 4'!R41</f>
        <v>0</v>
      </c>
      <c r="K320" s="1499">
        <f>'Table 4'!S41</f>
        <v>1.29</v>
      </c>
      <c r="L320" s="1497">
        <f>'Table 4'!U41</f>
        <v>1.31</v>
      </c>
      <c r="M320" s="1507">
        <f>'Table 4'!V41</f>
        <v>0</v>
      </c>
      <c r="N320" s="1499">
        <f>'Table 4'!W41</f>
        <v>1.31</v>
      </c>
      <c r="O320" s="1497">
        <f>'Table 4'!Y41</f>
        <v>1.31</v>
      </c>
      <c r="P320" s="1507">
        <f>'Table 4'!Z41</f>
        <v>0</v>
      </c>
      <c r="Q320" s="1499">
        <f>'Table 4'!AA41</f>
        <v>1.31</v>
      </c>
      <c r="R320" s="1497">
        <f>'Table 4'!AC41</f>
        <v>1.32</v>
      </c>
      <c r="S320" s="1507">
        <f>'Table 4'!AD41</f>
        <v>0</v>
      </c>
      <c r="T320" s="1499">
        <f>'Table 4'!AE41</f>
        <v>1.32</v>
      </c>
      <c r="U320" s="1497">
        <f>'Table 4'!AG41</f>
        <v>1.33</v>
      </c>
      <c r="V320" s="1507">
        <f>'Table 4'!AH41</f>
        <v>0</v>
      </c>
      <c r="W320" s="1499">
        <f>'Table 4'!AI41</f>
        <v>1.33</v>
      </c>
      <c r="X320" s="1813">
        <f>(W320-E320)/E320</f>
        <v>0.17</v>
      </c>
      <c r="Y320" s="1497">
        <f>'Table 4'!AL41</f>
        <v>1.41</v>
      </c>
      <c r="Z320" s="1507">
        <f>'Table 4'!AM41</f>
        <v>0</v>
      </c>
      <c r="AA320" s="1499">
        <f>'Table 4'!AN41</f>
        <v>1.41</v>
      </c>
      <c r="AC320" s="1653">
        <f>W320-E320</f>
        <v>0.19</v>
      </c>
    </row>
    <row r="321" spans="1:29" ht="26.25">
      <c r="A321" s="993" t="s">
        <v>63</v>
      </c>
      <c r="B321" s="1492" t="s">
        <v>17</v>
      </c>
      <c r="C321" s="1497">
        <f>'Table 6'!K42</f>
        <v>0.71</v>
      </c>
      <c r="D321" s="1507">
        <f>'Table 6'!L42</f>
        <v>0</v>
      </c>
      <c r="E321" s="1499">
        <f>'Table 6'!M42</f>
        <v>0.71</v>
      </c>
      <c r="F321" s="1497">
        <f>'Table 6'!N42</f>
        <v>0.7</v>
      </c>
      <c r="G321" s="1507">
        <f>'Table 6'!O42</f>
        <v>0</v>
      </c>
      <c r="H321" s="1499">
        <f>'Table 6'!P42</f>
        <v>0.7</v>
      </c>
      <c r="I321" s="1497">
        <f>'Table 6'!Q42</f>
        <v>0.71</v>
      </c>
      <c r="J321" s="1507">
        <f>'Table 6'!R42</f>
        <v>0</v>
      </c>
      <c r="K321" s="1499">
        <f>'Table 6'!S42</f>
        <v>0.71</v>
      </c>
      <c r="L321" s="1497">
        <f>'Table 6'!T42</f>
        <v>0.72</v>
      </c>
      <c r="M321" s="1507">
        <f>'Table 6'!U42</f>
        <v>0</v>
      </c>
      <c r="N321" s="1499">
        <f>'Table 6'!V42</f>
        <v>0.72</v>
      </c>
      <c r="O321" s="1497">
        <f>'Table 6'!W42</f>
        <v>0.72</v>
      </c>
      <c r="P321" s="1507">
        <f>'Table 6'!X42</f>
        <v>0</v>
      </c>
      <c r="Q321" s="1499">
        <f>'Table 6'!Y42</f>
        <v>0.72</v>
      </c>
      <c r="R321" s="1497">
        <f>'Table 6'!Z42</f>
        <v>0.73</v>
      </c>
      <c r="S321" s="1507">
        <f>'Table 6'!AA42</f>
        <v>0</v>
      </c>
      <c r="T321" s="1499">
        <f>'Table 6'!AB42</f>
        <v>0.73</v>
      </c>
      <c r="U321" s="1497">
        <f>'Table 6'!AC42</f>
        <v>0.73</v>
      </c>
      <c r="V321" s="1507">
        <f>'Table 6'!AD42</f>
        <v>0</v>
      </c>
      <c r="W321" s="1499">
        <f>'Table 6'!AE42</f>
        <v>0.73</v>
      </c>
      <c r="X321" s="1813">
        <f t="shared" ref="X321:X326" si="455">(W321-E321)/E321</f>
        <v>0.03</v>
      </c>
      <c r="Y321" s="1497">
        <f>'Table 6'!AG42</f>
        <v>0.77</v>
      </c>
      <c r="Z321" s="1507">
        <f>'Table 6'!AH42</f>
        <v>0</v>
      </c>
      <c r="AA321" s="1499">
        <f>'Table 6'!AI42</f>
        <v>0.77</v>
      </c>
      <c r="AC321" s="1653">
        <f t="shared" ref="AC321:AC326" si="456">W321-E321</f>
        <v>0.02</v>
      </c>
    </row>
    <row r="322" spans="1:29">
      <c r="A322" s="798" t="s">
        <v>64</v>
      </c>
      <c r="B322" s="1492" t="s">
        <v>17</v>
      </c>
      <c r="C322" s="1497">
        <f>'Table 7'!C44</f>
        <v>20.87</v>
      </c>
      <c r="D322" s="1507">
        <f>'Table 7'!D44</f>
        <v>0</v>
      </c>
      <c r="E322" s="1499">
        <f>'Table 7'!E44</f>
        <v>20.87</v>
      </c>
      <c r="F322" s="1497">
        <f>'Table 7'!F44</f>
        <v>21.5</v>
      </c>
      <c r="G322" s="1507">
        <f>'Table 7'!G44</f>
        <v>0</v>
      </c>
      <c r="H322" s="1499">
        <f>'Table 7'!H44</f>
        <v>21.5</v>
      </c>
      <c r="I322" s="1497">
        <f>'Table 7'!I44</f>
        <v>22.43</v>
      </c>
      <c r="J322" s="1507">
        <f>'Table 7'!J44</f>
        <v>0</v>
      </c>
      <c r="K322" s="1499">
        <f>'Table 7'!K44</f>
        <v>22.43</v>
      </c>
      <c r="L322" s="1497">
        <f>'Table 7'!L44</f>
        <v>23.2</v>
      </c>
      <c r="M322" s="1507">
        <f>'Table 7'!M44</f>
        <v>0</v>
      </c>
      <c r="N322" s="1499">
        <f>'Table 7'!N44</f>
        <v>23.2</v>
      </c>
      <c r="O322" s="1497">
        <f>'Table 7'!O44</f>
        <v>24.12</v>
      </c>
      <c r="P322" s="1507">
        <f>'Table 7'!P44</f>
        <v>0</v>
      </c>
      <c r="Q322" s="1499">
        <f>'Table 7'!Q44</f>
        <v>24.12</v>
      </c>
      <c r="R322" s="1497">
        <f>'Table 7'!R44</f>
        <v>25.06</v>
      </c>
      <c r="S322" s="1507">
        <f>'Table 7'!S44</f>
        <v>0</v>
      </c>
      <c r="T322" s="1499">
        <f>'Table 7'!T44</f>
        <v>25.06</v>
      </c>
      <c r="U322" s="1497">
        <f>'Table 7'!U44</f>
        <v>26.03</v>
      </c>
      <c r="V322" s="1507">
        <f>'Table 7'!V44</f>
        <v>0</v>
      </c>
      <c r="W322" s="1499">
        <f>'Table 7'!W44</f>
        <v>26.03</v>
      </c>
      <c r="X322" s="1813">
        <f t="shared" si="455"/>
        <v>0.25</v>
      </c>
      <c r="Y322" s="1497">
        <f>'Table 7'!AG44</f>
        <v>33.01</v>
      </c>
      <c r="Z322" s="1507">
        <f>'Table 7'!AH44</f>
        <v>0</v>
      </c>
      <c r="AA322" s="1499">
        <f>'Table 7'!AI44</f>
        <v>33.01</v>
      </c>
      <c r="AC322" s="1653">
        <f t="shared" si="456"/>
        <v>5.16</v>
      </c>
    </row>
    <row r="323" spans="1:29">
      <c r="A323" s="798" t="s">
        <v>65</v>
      </c>
      <c r="B323" s="1492" t="s">
        <v>17</v>
      </c>
      <c r="C323" s="1497">
        <f>'Table 8'!C43</f>
        <v>0.32</v>
      </c>
      <c r="D323" s="1507">
        <f>'Table 8'!D43</f>
        <v>0</v>
      </c>
      <c r="E323" s="1499">
        <f>'Table 8'!E43</f>
        <v>0.32</v>
      </c>
      <c r="F323" s="1497">
        <f>'Table 8'!F43</f>
        <v>0.32</v>
      </c>
      <c r="G323" s="1507">
        <f>'Table 8'!G43</f>
        <v>0</v>
      </c>
      <c r="H323" s="1499">
        <f>'Table 8'!H43</f>
        <v>0.32</v>
      </c>
      <c r="I323" s="1497">
        <f>'Table 8'!I43</f>
        <v>0.33</v>
      </c>
      <c r="J323" s="1507">
        <f>'Table 8'!J43</f>
        <v>0</v>
      </c>
      <c r="K323" s="1499">
        <f>'Table 8'!K43</f>
        <v>0.33</v>
      </c>
      <c r="L323" s="1497">
        <f>'Table 8'!L43</f>
        <v>0.33</v>
      </c>
      <c r="M323" s="1507">
        <f>'Table 8'!M43</f>
        <v>0</v>
      </c>
      <c r="N323" s="1499">
        <f>'Table 8'!N43</f>
        <v>0.33</v>
      </c>
      <c r="O323" s="1497">
        <f>'Table 8'!O43</f>
        <v>0.33</v>
      </c>
      <c r="P323" s="1507">
        <f>'Table 8'!P43</f>
        <v>0</v>
      </c>
      <c r="Q323" s="1499">
        <f>'Table 8'!Q43</f>
        <v>0.33</v>
      </c>
      <c r="R323" s="1497">
        <f>'Table 8'!R43</f>
        <v>0.33</v>
      </c>
      <c r="S323" s="1507">
        <f>'Table 8'!S43</f>
        <v>0</v>
      </c>
      <c r="T323" s="1499">
        <f>'Table 8'!T43</f>
        <v>0.33</v>
      </c>
      <c r="U323" s="1497">
        <f>'Table 8'!U43</f>
        <v>0.33</v>
      </c>
      <c r="V323" s="1507">
        <f>'Table 8'!V43</f>
        <v>0</v>
      </c>
      <c r="W323" s="1499">
        <f>'Table 8'!W43</f>
        <v>0.33</v>
      </c>
      <c r="X323" s="1813">
        <f t="shared" si="455"/>
        <v>0.03</v>
      </c>
      <c r="Y323" s="1497">
        <f>'Table 8'!Y43</f>
        <v>0.35</v>
      </c>
      <c r="Z323" s="1507">
        <f>'Table 8'!Z43</f>
        <v>0</v>
      </c>
      <c r="AA323" s="1499">
        <f>'Table 8'!AA43</f>
        <v>0.35</v>
      </c>
      <c r="AC323" s="1653">
        <f t="shared" si="456"/>
        <v>0.01</v>
      </c>
    </row>
    <row r="324" spans="1:29" ht="15" customHeight="1">
      <c r="A324" s="798" t="s">
        <v>66</v>
      </c>
      <c r="B324" s="1518" t="s">
        <v>17</v>
      </c>
      <c r="C324" s="1519">
        <f>'Table 9'!C43</f>
        <v>1</v>
      </c>
      <c r="D324" s="1520">
        <f>'Table 9'!D43</f>
        <v>0</v>
      </c>
      <c r="E324" s="1521">
        <f>'Table 9'!E43</f>
        <v>1</v>
      </c>
      <c r="F324" s="1519">
        <f>'Table 9'!F43</f>
        <v>1.01</v>
      </c>
      <c r="G324" s="1520">
        <f>'Table 9'!G43</f>
        <v>0</v>
      </c>
      <c r="H324" s="1521">
        <f>'Table 9'!H43</f>
        <v>1.01</v>
      </c>
      <c r="I324" s="1519">
        <f>'Table 9'!I43</f>
        <v>1.03</v>
      </c>
      <c r="J324" s="1520">
        <f>'Table 9'!J43</f>
        <v>0</v>
      </c>
      <c r="K324" s="1521">
        <f>'Table 9'!K43</f>
        <v>1.03</v>
      </c>
      <c r="L324" s="1519">
        <f>'Table 9'!L43</f>
        <v>1.04</v>
      </c>
      <c r="M324" s="1520">
        <f>'Table 9'!M43</f>
        <v>0</v>
      </c>
      <c r="N324" s="1521">
        <f>'Table 9'!N43</f>
        <v>1.04</v>
      </c>
      <c r="O324" s="1519">
        <f>'Table 9'!O43</f>
        <v>1.05</v>
      </c>
      <c r="P324" s="1520">
        <f>'Table 9'!P43</f>
        <v>0</v>
      </c>
      <c r="Q324" s="1521">
        <f>'Table 9'!Q43</f>
        <v>1.05</v>
      </c>
      <c r="R324" s="1519">
        <f>'Table 9'!R43</f>
        <v>1.06</v>
      </c>
      <c r="S324" s="1520">
        <f>'Table 9'!S43</f>
        <v>0</v>
      </c>
      <c r="T324" s="1521">
        <f>'Table 9'!T43</f>
        <v>1.06</v>
      </c>
      <c r="U324" s="1519">
        <f>'Table 9'!U43</f>
        <v>1.07</v>
      </c>
      <c r="V324" s="1520">
        <f>'Table 9'!V43</f>
        <v>0</v>
      </c>
      <c r="W324" s="1521">
        <f>'Table 9'!W43</f>
        <v>1.07</v>
      </c>
      <c r="X324" s="1814">
        <f t="shared" si="455"/>
        <v>7.0000000000000007E-2</v>
      </c>
      <c r="Y324" s="1519">
        <f>U324</f>
        <v>1.07</v>
      </c>
      <c r="Z324" s="1520">
        <f t="shared" ref="Z324:Z325" si="457">V324</f>
        <v>0</v>
      </c>
      <c r="AA324" s="1521">
        <f t="shared" ref="AA324:AA325" si="458">W324</f>
        <v>1.07</v>
      </c>
      <c r="AC324" s="841">
        <f t="shared" si="456"/>
        <v>7.0000000000000007E-2</v>
      </c>
    </row>
    <row r="325" spans="1:29" ht="15.75" thickBot="1">
      <c r="A325" s="175" t="s">
        <v>67</v>
      </c>
      <c r="B325" s="1489" t="s">
        <v>17</v>
      </c>
      <c r="C325" s="1522">
        <f>'Table 10'!C42</f>
        <v>0</v>
      </c>
      <c r="D325" s="1523">
        <f>'Table 10'!D42</f>
        <v>0</v>
      </c>
      <c r="E325" s="1524">
        <f>'Table 10'!E42</f>
        <v>0</v>
      </c>
      <c r="F325" s="1522">
        <f>'Table 10'!F42</f>
        <v>0</v>
      </c>
      <c r="G325" s="1523">
        <f>'Table 10'!G42</f>
        <v>0</v>
      </c>
      <c r="H325" s="1524">
        <f>'Table 10'!H42</f>
        <v>0</v>
      </c>
      <c r="I325" s="1522">
        <f>'Table 10'!I42</f>
        <v>0</v>
      </c>
      <c r="J325" s="1523">
        <f>'Table 10'!J42</f>
        <v>0</v>
      </c>
      <c r="K325" s="1524">
        <f>'Table 10'!K42</f>
        <v>0</v>
      </c>
      <c r="L325" s="1522">
        <f>'Table 10'!L42</f>
        <v>0</v>
      </c>
      <c r="M325" s="1523">
        <f>'Table 10'!M42</f>
        <v>0</v>
      </c>
      <c r="N325" s="1524">
        <f>'Table 10'!N42</f>
        <v>0</v>
      </c>
      <c r="O325" s="1522">
        <f>'Table 10'!O42</f>
        <v>0</v>
      </c>
      <c r="P325" s="1523">
        <f>'Table 10'!P42</f>
        <v>0</v>
      </c>
      <c r="Q325" s="1524">
        <f>'Table 10'!Q42</f>
        <v>0</v>
      </c>
      <c r="R325" s="1522">
        <f>'Table 10'!R42</f>
        <v>0</v>
      </c>
      <c r="S325" s="1523">
        <f>'Table 10'!S42</f>
        <v>0</v>
      </c>
      <c r="T325" s="1524">
        <f>'Table 10'!T42</f>
        <v>0</v>
      </c>
      <c r="U325" s="1522">
        <f>'Table 10'!U42</f>
        <v>0</v>
      </c>
      <c r="V325" s="1523">
        <f>'Table 10'!V42</f>
        <v>0</v>
      </c>
      <c r="W325" s="1524">
        <f>'Table 10'!W42</f>
        <v>0</v>
      </c>
      <c r="X325" s="1815" t="s">
        <v>16</v>
      </c>
      <c r="Y325" s="1522">
        <f>U325</f>
        <v>0</v>
      </c>
      <c r="Z325" s="1523">
        <f t="shared" si="457"/>
        <v>0</v>
      </c>
      <c r="AA325" s="1524">
        <f t="shared" si="458"/>
        <v>0</v>
      </c>
      <c r="AC325" s="1822">
        <f t="shared" si="456"/>
        <v>0</v>
      </c>
    </row>
    <row r="326" spans="1:29" ht="16.5" thickTop="1" thickBot="1">
      <c r="A326" s="3481" t="s">
        <v>729</v>
      </c>
      <c r="B326" s="3482"/>
      <c r="C326" s="1512">
        <f t="shared" ref="C326:W326" si="459">C320+C321+C322+C323+C324+C325</f>
        <v>24.04</v>
      </c>
      <c r="D326" s="1538">
        <f t="shared" si="459"/>
        <v>0</v>
      </c>
      <c r="E326" s="1513">
        <f t="shared" si="459"/>
        <v>24.04</v>
      </c>
      <c r="F326" s="1512">
        <f t="shared" si="459"/>
        <v>24.8</v>
      </c>
      <c r="G326" s="1538">
        <f t="shared" si="459"/>
        <v>0</v>
      </c>
      <c r="H326" s="1513">
        <f t="shared" si="459"/>
        <v>24.8</v>
      </c>
      <c r="I326" s="1512">
        <f t="shared" si="459"/>
        <v>25.79</v>
      </c>
      <c r="J326" s="1538">
        <f t="shared" si="459"/>
        <v>0</v>
      </c>
      <c r="K326" s="1513">
        <f t="shared" si="459"/>
        <v>25.79</v>
      </c>
      <c r="L326" s="1512">
        <f t="shared" si="459"/>
        <v>26.6</v>
      </c>
      <c r="M326" s="1538">
        <f t="shared" si="459"/>
        <v>0</v>
      </c>
      <c r="N326" s="1513">
        <f t="shared" si="459"/>
        <v>26.6</v>
      </c>
      <c r="O326" s="1512">
        <f t="shared" si="459"/>
        <v>27.53</v>
      </c>
      <c r="P326" s="1538">
        <f t="shared" si="459"/>
        <v>0</v>
      </c>
      <c r="Q326" s="1513">
        <f t="shared" si="459"/>
        <v>27.53</v>
      </c>
      <c r="R326" s="1512">
        <f t="shared" si="459"/>
        <v>28.5</v>
      </c>
      <c r="S326" s="1538">
        <f t="shared" si="459"/>
        <v>0</v>
      </c>
      <c r="T326" s="1513">
        <f t="shared" si="459"/>
        <v>28.5</v>
      </c>
      <c r="U326" s="1512">
        <f t="shared" si="459"/>
        <v>29.49</v>
      </c>
      <c r="V326" s="1538">
        <f t="shared" si="459"/>
        <v>0</v>
      </c>
      <c r="W326" s="1513">
        <f t="shared" si="459"/>
        <v>29.49</v>
      </c>
      <c r="X326" s="1517">
        <f t="shared" si="455"/>
        <v>0.23</v>
      </c>
      <c r="Y326" s="1512">
        <f>Y320+Y321+Y322+Y323+Y324+Y325</f>
        <v>36.61</v>
      </c>
      <c r="Z326" s="1538">
        <f>Z320+Z321+Z322+Z323+Z324+Z325</f>
        <v>0</v>
      </c>
      <c r="AA326" s="1513">
        <f>AA320+AA321+AA322+AA323+AA324+AA325</f>
        <v>36.61</v>
      </c>
      <c r="AC326" s="855">
        <f t="shared" si="456"/>
        <v>5.45</v>
      </c>
    </row>
    <row r="327" spans="1:29">
      <c r="A327" s="89" t="s">
        <v>35</v>
      </c>
    </row>
    <row r="328" spans="1:29">
      <c r="A328" s="1" t="s">
        <v>68</v>
      </c>
    </row>
    <row r="329" spans="1:29">
      <c r="A329" s="1" t="s">
        <v>69</v>
      </c>
    </row>
    <row r="331" spans="1:29" ht="15.75" thickBot="1">
      <c r="A331" s="1" t="s">
        <v>730</v>
      </c>
    </row>
    <row r="332" spans="1:29" ht="15.75" customHeight="1" thickBot="1">
      <c r="A332" s="3204" t="s">
        <v>54</v>
      </c>
      <c r="B332" s="3206" t="s">
        <v>2</v>
      </c>
      <c r="C332" s="3261" t="s">
        <v>55</v>
      </c>
      <c r="D332" s="3262"/>
      <c r="E332" s="3263"/>
      <c r="F332" s="3261" t="s">
        <v>56</v>
      </c>
      <c r="G332" s="3262"/>
      <c r="H332" s="3262"/>
      <c r="I332" s="3262"/>
      <c r="J332" s="3262"/>
      <c r="K332" s="3262"/>
      <c r="L332" s="3262"/>
      <c r="M332" s="3262"/>
      <c r="N332" s="3262"/>
      <c r="O332" s="3262"/>
      <c r="P332" s="3262"/>
      <c r="Q332" s="3262"/>
      <c r="R332" s="3262"/>
      <c r="S332" s="3262"/>
      <c r="T332" s="3262"/>
      <c r="U332" s="3262"/>
      <c r="V332" s="3262"/>
      <c r="W332" s="3263"/>
      <c r="X332" s="3255" t="s">
        <v>57</v>
      </c>
      <c r="Y332" s="3261" t="s">
        <v>58</v>
      </c>
      <c r="Z332" s="3262"/>
      <c r="AA332" s="3263"/>
      <c r="AC332" s="3255" t="s">
        <v>80</v>
      </c>
    </row>
    <row r="333" spans="1:29">
      <c r="A333" s="3205"/>
      <c r="B333" s="3207"/>
      <c r="C333" s="3258">
        <v>2015</v>
      </c>
      <c r="D333" s="3264"/>
      <c r="E333" s="3245"/>
      <c r="F333" s="3258">
        <v>2020</v>
      </c>
      <c r="G333" s="3264"/>
      <c r="H333" s="3245"/>
      <c r="I333" s="3258">
        <v>2025</v>
      </c>
      <c r="J333" s="3264"/>
      <c r="K333" s="3245"/>
      <c r="L333" s="3258">
        <v>2030</v>
      </c>
      <c r="M333" s="3264"/>
      <c r="N333" s="3245"/>
      <c r="O333" s="3258">
        <v>2035</v>
      </c>
      <c r="P333" s="3264"/>
      <c r="Q333" s="3245"/>
      <c r="R333" s="3258">
        <v>2040</v>
      </c>
      <c r="S333" s="3264"/>
      <c r="T333" s="3245"/>
      <c r="U333" s="3258">
        <v>2045</v>
      </c>
      <c r="V333" s="3264"/>
      <c r="W333" s="3245"/>
      <c r="X333" s="3256"/>
      <c r="Y333" s="3258">
        <v>2045</v>
      </c>
      <c r="Z333" s="3264"/>
      <c r="AA333" s="3245"/>
      <c r="AC333" s="3256"/>
    </row>
    <row r="334" spans="1:29" ht="15.75" thickBot="1">
      <c r="A334" s="3485"/>
      <c r="B334" s="3208"/>
      <c r="C334" s="1130" t="s">
        <v>60</v>
      </c>
      <c r="D334" s="1128" t="s">
        <v>61</v>
      </c>
      <c r="E334" s="1681" t="s">
        <v>18</v>
      </c>
      <c r="F334" s="1127" t="s">
        <v>60</v>
      </c>
      <c r="G334" s="1131" t="s">
        <v>61</v>
      </c>
      <c r="H334" s="1680" t="s">
        <v>18</v>
      </c>
      <c r="I334" s="1130" t="s">
        <v>60</v>
      </c>
      <c r="J334" s="1128" t="s">
        <v>61</v>
      </c>
      <c r="K334" s="1681" t="s">
        <v>18</v>
      </c>
      <c r="L334" s="1127" t="s">
        <v>60</v>
      </c>
      <c r="M334" s="1131" t="s">
        <v>61</v>
      </c>
      <c r="N334" s="1680" t="s">
        <v>18</v>
      </c>
      <c r="O334" s="1130" t="s">
        <v>60</v>
      </c>
      <c r="P334" s="1128" t="s">
        <v>61</v>
      </c>
      <c r="Q334" s="1681" t="s">
        <v>18</v>
      </c>
      <c r="R334" s="1130" t="s">
        <v>60</v>
      </c>
      <c r="S334" s="1131" t="s">
        <v>61</v>
      </c>
      <c r="T334" s="1680" t="s">
        <v>18</v>
      </c>
      <c r="U334" s="1130" t="s">
        <v>60</v>
      </c>
      <c r="V334" s="1131" t="s">
        <v>61</v>
      </c>
      <c r="W334" s="1680" t="s">
        <v>18</v>
      </c>
      <c r="X334" s="3257"/>
      <c r="Y334" s="1817" t="s">
        <v>60</v>
      </c>
      <c r="Z334" s="1818" t="s">
        <v>61</v>
      </c>
      <c r="AA334" s="1135" t="s">
        <v>18</v>
      </c>
      <c r="AC334" s="3483"/>
    </row>
    <row r="335" spans="1:29">
      <c r="A335" s="993" t="s">
        <v>62</v>
      </c>
      <c r="B335" s="1492" t="s">
        <v>17</v>
      </c>
      <c r="C335" s="1497">
        <f>'Table 4'!J42</f>
        <v>1.74</v>
      </c>
      <c r="D335" s="1507">
        <f>'Table 4'!K42</f>
        <v>0</v>
      </c>
      <c r="E335" s="1499">
        <f>'Table 4'!L42</f>
        <v>1.74</v>
      </c>
      <c r="F335" s="1497">
        <f>'Table 4'!M42</f>
        <v>1.87</v>
      </c>
      <c r="G335" s="1507">
        <f>'Table 4'!N42</f>
        <v>0</v>
      </c>
      <c r="H335" s="1499">
        <f>'Table 4'!O42</f>
        <v>1.87</v>
      </c>
      <c r="I335" s="1497">
        <f>'Table 4'!Q42</f>
        <v>1.93</v>
      </c>
      <c r="J335" s="1507">
        <f>'Table 4'!R42</f>
        <v>0</v>
      </c>
      <c r="K335" s="1499">
        <f>'Table 4'!S42</f>
        <v>1.93</v>
      </c>
      <c r="L335" s="1497">
        <f>'Table 4'!U42</f>
        <v>1.97</v>
      </c>
      <c r="M335" s="1507">
        <f>'Table 4'!V42</f>
        <v>0</v>
      </c>
      <c r="N335" s="1499">
        <f>'Table 4'!W42</f>
        <v>1.97</v>
      </c>
      <c r="O335" s="1497">
        <f>'Table 4'!Y42</f>
        <v>2</v>
      </c>
      <c r="P335" s="1507">
        <f>'Table 4'!Z42</f>
        <v>0</v>
      </c>
      <c r="Q335" s="1499">
        <f>'Table 4'!AA42</f>
        <v>2</v>
      </c>
      <c r="R335" s="1497">
        <f>'Table 4'!AC42</f>
        <v>2.0299999999999998</v>
      </c>
      <c r="S335" s="1507">
        <f>'Table 4'!AD42</f>
        <v>0</v>
      </c>
      <c r="T335" s="1499">
        <f>'Table 4'!AE42</f>
        <v>2.0299999999999998</v>
      </c>
      <c r="U335" s="1497">
        <f>'Table 4'!AG42</f>
        <v>2.06</v>
      </c>
      <c r="V335" s="1507">
        <f>'Table 4'!AH42</f>
        <v>0</v>
      </c>
      <c r="W335" s="1499">
        <f>'Table 4'!AI42</f>
        <v>2.06</v>
      </c>
      <c r="X335" s="1813">
        <f>(W335-E335)/E335</f>
        <v>0.18</v>
      </c>
      <c r="Y335" s="1497">
        <f>'Table 4'!AL42</f>
        <v>2.1800000000000002</v>
      </c>
      <c r="Z335" s="1507">
        <f>'Table 4'!AM42</f>
        <v>0</v>
      </c>
      <c r="AA335" s="1499">
        <f>'Table 4'!AN42</f>
        <v>2.1800000000000002</v>
      </c>
      <c r="AC335" s="1653">
        <f>W335-E335</f>
        <v>0.32</v>
      </c>
    </row>
    <row r="336" spans="1:29" ht="26.25">
      <c r="A336" s="993" t="s">
        <v>63</v>
      </c>
      <c r="B336" s="1492" t="s">
        <v>17</v>
      </c>
      <c r="C336" s="1497">
        <f>'Table 6'!K43</f>
        <v>0.59</v>
      </c>
      <c r="D336" s="1507">
        <f>'Table 6'!L43</f>
        <v>0</v>
      </c>
      <c r="E336" s="1499">
        <f>'Table 6'!M43</f>
        <v>0.59</v>
      </c>
      <c r="F336" s="1497">
        <f>'Table 6'!N43</f>
        <v>0.6</v>
      </c>
      <c r="G336" s="1507">
        <f>'Table 6'!O43</f>
        <v>0</v>
      </c>
      <c r="H336" s="1499">
        <f>'Table 6'!P43</f>
        <v>0.6</v>
      </c>
      <c r="I336" s="1497">
        <f>'Table 6'!Q43</f>
        <v>0.6</v>
      </c>
      <c r="J336" s="1507">
        <f>'Table 6'!R43</f>
        <v>0</v>
      </c>
      <c r="K336" s="1499">
        <f>'Table 6'!S43</f>
        <v>0.6</v>
      </c>
      <c r="L336" s="1497">
        <f>'Table 6'!T43</f>
        <v>0.59</v>
      </c>
      <c r="M336" s="1507">
        <f>'Table 6'!U43</f>
        <v>0</v>
      </c>
      <c r="N336" s="1499">
        <f>'Table 6'!V43</f>
        <v>0.59</v>
      </c>
      <c r="O336" s="1497">
        <f>'Table 6'!W43</f>
        <v>0.59</v>
      </c>
      <c r="P336" s="1507">
        <f>'Table 6'!X43</f>
        <v>0</v>
      </c>
      <c r="Q336" s="1499">
        <f>'Table 6'!Y43</f>
        <v>0.59</v>
      </c>
      <c r="R336" s="1497">
        <f>'Table 6'!Z43</f>
        <v>0.59</v>
      </c>
      <c r="S336" s="1507">
        <f>'Table 6'!AA43</f>
        <v>0</v>
      </c>
      <c r="T336" s="1499">
        <f>'Table 6'!AB43</f>
        <v>0.59</v>
      </c>
      <c r="U336" s="1497">
        <f>'Table 6'!AC43</f>
        <v>0.59</v>
      </c>
      <c r="V336" s="1507">
        <f>'Table 6'!AD43</f>
        <v>0</v>
      </c>
      <c r="W336" s="1499">
        <f>'Table 6'!AE43</f>
        <v>0.59</v>
      </c>
      <c r="X336" s="1813">
        <f t="shared" ref="X336:X341" si="460">(W336-E336)/E336</f>
        <v>0</v>
      </c>
      <c r="Y336" s="1497">
        <f>'Table 6'!AG43</f>
        <v>0.62</v>
      </c>
      <c r="Z336" s="1507">
        <f>'Table 6'!AH43</f>
        <v>0</v>
      </c>
      <c r="AA336" s="1499">
        <f>'Table 6'!AI43</f>
        <v>0.62</v>
      </c>
      <c r="AC336" s="1653">
        <f t="shared" ref="AC336:AC341" si="461">W336-E336</f>
        <v>0</v>
      </c>
    </row>
    <row r="337" spans="1:29">
      <c r="A337" s="798" t="s">
        <v>64</v>
      </c>
      <c r="B337" s="1492" t="s">
        <v>17</v>
      </c>
      <c r="C337" s="1497">
        <f>'Table 7'!C45</f>
        <v>0.46</v>
      </c>
      <c r="D337" s="1507">
        <f>'Table 7'!D45</f>
        <v>0</v>
      </c>
      <c r="E337" s="1499">
        <f>'Table 7'!E45</f>
        <v>0.46</v>
      </c>
      <c r="F337" s="1497">
        <f>'Table 7'!F45</f>
        <v>0.52</v>
      </c>
      <c r="G337" s="1507">
        <f>'Table 7'!G45</f>
        <v>0</v>
      </c>
      <c r="H337" s="1499">
        <f>'Table 7'!H45</f>
        <v>0.52</v>
      </c>
      <c r="I337" s="1497">
        <f>'Table 7'!I45</f>
        <v>0.51</v>
      </c>
      <c r="J337" s="1507">
        <f>'Table 7'!J45</f>
        <v>0</v>
      </c>
      <c r="K337" s="1499">
        <f>'Table 7'!K45</f>
        <v>0.51</v>
      </c>
      <c r="L337" s="1497">
        <f>'Table 7'!L45</f>
        <v>0.51</v>
      </c>
      <c r="M337" s="1507">
        <f>'Table 7'!M45</f>
        <v>0</v>
      </c>
      <c r="N337" s="1499">
        <f>'Table 7'!N45</f>
        <v>0.51</v>
      </c>
      <c r="O337" s="1497">
        <f>'Table 7'!O45</f>
        <v>0.5</v>
      </c>
      <c r="P337" s="1507">
        <f>'Table 7'!P45</f>
        <v>0</v>
      </c>
      <c r="Q337" s="1499">
        <f>'Table 7'!Q45</f>
        <v>0.5</v>
      </c>
      <c r="R337" s="1497">
        <f>'Table 7'!R45</f>
        <v>0.5</v>
      </c>
      <c r="S337" s="1507">
        <f>'Table 7'!S45</f>
        <v>0</v>
      </c>
      <c r="T337" s="1499">
        <f>'Table 7'!T45</f>
        <v>0.5</v>
      </c>
      <c r="U337" s="1497">
        <f>'Table 7'!U45</f>
        <v>0.49</v>
      </c>
      <c r="V337" s="1507">
        <f>'Table 7'!V45</f>
        <v>0</v>
      </c>
      <c r="W337" s="1499">
        <f>'Table 7'!W45</f>
        <v>0.49</v>
      </c>
      <c r="X337" s="1813">
        <f t="shared" si="460"/>
        <v>7.0000000000000007E-2</v>
      </c>
      <c r="Y337" s="1497">
        <f>'Table 7'!AG45</f>
        <v>0.64</v>
      </c>
      <c r="Z337" s="1507">
        <f>'Table 7'!AH45</f>
        <v>0</v>
      </c>
      <c r="AA337" s="1499">
        <f>'Table 7'!AI45</f>
        <v>0.64</v>
      </c>
      <c r="AC337" s="1653">
        <f t="shared" si="461"/>
        <v>0.03</v>
      </c>
    </row>
    <row r="338" spans="1:29">
      <c r="A338" s="798" t="s">
        <v>65</v>
      </c>
      <c r="B338" s="1492" t="s">
        <v>17</v>
      </c>
      <c r="C338" s="1497">
        <f>'Table 8'!C44</f>
        <v>0.35</v>
      </c>
      <c r="D338" s="1507">
        <f>'Table 8'!D44</f>
        <v>0</v>
      </c>
      <c r="E338" s="1499">
        <f>'Table 8'!E44</f>
        <v>0.35</v>
      </c>
      <c r="F338" s="1497">
        <f>'Table 8'!F44</f>
        <v>0.36</v>
      </c>
      <c r="G338" s="1507">
        <f>'Table 8'!G44</f>
        <v>0</v>
      </c>
      <c r="H338" s="1499">
        <f>'Table 8'!H44</f>
        <v>0.36</v>
      </c>
      <c r="I338" s="1497">
        <f>'Table 8'!I44</f>
        <v>0.37</v>
      </c>
      <c r="J338" s="1507">
        <f>'Table 8'!J44</f>
        <v>0</v>
      </c>
      <c r="K338" s="1499">
        <f>'Table 8'!K44</f>
        <v>0.37</v>
      </c>
      <c r="L338" s="1497">
        <f>'Table 8'!L44</f>
        <v>0.38</v>
      </c>
      <c r="M338" s="1507">
        <f>'Table 8'!M44</f>
        <v>0</v>
      </c>
      <c r="N338" s="1499">
        <f>'Table 8'!N44</f>
        <v>0.38</v>
      </c>
      <c r="O338" s="1497">
        <f>'Table 8'!O44</f>
        <v>0.39</v>
      </c>
      <c r="P338" s="1507">
        <f>'Table 8'!P44</f>
        <v>0</v>
      </c>
      <c r="Q338" s="1499">
        <f>'Table 8'!Q44</f>
        <v>0.39</v>
      </c>
      <c r="R338" s="1497">
        <f>'Table 8'!R44</f>
        <v>0.39</v>
      </c>
      <c r="S338" s="1507">
        <f>'Table 8'!S44</f>
        <v>0</v>
      </c>
      <c r="T338" s="1499">
        <f>'Table 8'!T44</f>
        <v>0.39</v>
      </c>
      <c r="U338" s="1497">
        <f>'Table 8'!U44</f>
        <v>0.4</v>
      </c>
      <c r="V338" s="1507">
        <f>'Table 8'!V44</f>
        <v>0</v>
      </c>
      <c r="W338" s="1499">
        <f>'Table 8'!W44</f>
        <v>0.4</v>
      </c>
      <c r="X338" s="1813">
        <f t="shared" si="460"/>
        <v>0.14000000000000001</v>
      </c>
      <c r="Y338" s="1497">
        <f>'Table 8'!Y44</f>
        <v>0.45</v>
      </c>
      <c r="Z338" s="1507">
        <f>'Table 8'!Z44</f>
        <v>0</v>
      </c>
      <c r="AA338" s="1499">
        <f>'Table 8'!AA44</f>
        <v>0.45</v>
      </c>
      <c r="AC338" s="1653">
        <f t="shared" si="461"/>
        <v>0.05</v>
      </c>
    </row>
    <row r="339" spans="1:29" ht="15" customHeight="1">
      <c r="A339" s="798" t="s">
        <v>66</v>
      </c>
      <c r="B339" s="1518" t="s">
        <v>17</v>
      </c>
      <c r="C339" s="1519">
        <f>'Table 9'!C44</f>
        <v>39.51</v>
      </c>
      <c r="D339" s="1520">
        <f>'Table 9'!D44</f>
        <v>0.17</v>
      </c>
      <c r="E339" s="1521">
        <f>'Table 9'!E44</f>
        <v>39.68</v>
      </c>
      <c r="F339" s="1519">
        <f>'Table 9'!F44</f>
        <v>39.53</v>
      </c>
      <c r="G339" s="1520">
        <f>'Table 9'!G44</f>
        <v>0.17</v>
      </c>
      <c r="H339" s="1521">
        <f>'Table 9'!H44</f>
        <v>39.700000000000003</v>
      </c>
      <c r="I339" s="1519">
        <f>'Table 9'!I44</f>
        <v>39.549999999999997</v>
      </c>
      <c r="J339" s="1520">
        <f>'Table 9'!J44</f>
        <v>0.17</v>
      </c>
      <c r="K339" s="1521">
        <f>'Table 9'!K44</f>
        <v>39.72</v>
      </c>
      <c r="L339" s="1519">
        <f>'Table 9'!L44</f>
        <v>39.56</v>
      </c>
      <c r="M339" s="1520">
        <f>'Table 9'!M44</f>
        <v>0.17</v>
      </c>
      <c r="N339" s="1521">
        <f>'Table 9'!N44</f>
        <v>39.729999999999997</v>
      </c>
      <c r="O339" s="1519">
        <f>'Table 9'!O44</f>
        <v>39.57</v>
      </c>
      <c r="P339" s="1520">
        <f>'Table 9'!P44</f>
        <v>0.17</v>
      </c>
      <c r="Q339" s="1521">
        <f>'Table 9'!Q44</f>
        <v>39.74</v>
      </c>
      <c r="R339" s="1519">
        <f>'Table 9'!R44</f>
        <v>39.58</v>
      </c>
      <c r="S339" s="1520">
        <f>'Table 9'!S44</f>
        <v>0.17</v>
      </c>
      <c r="T339" s="1521">
        <f>'Table 9'!T44</f>
        <v>39.75</v>
      </c>
      <c r="U339" s="1519">
        <f>'Table 9'!U44</f>
        <v>39.590000000000003</v>
      </c>
      <c r="V339" s="1520">
        <f>'Table 9'!V44</f>
        <v>0.17</v>
      </c>
      <c r="W339" s="1521">
        <f>'Table 9'!W44</f>
        <v>39.76</v>
      </c>
      <c r="X339" s="1814">
        <f t="shared" si="460"/>
        <v>0</v>
      </c>
      <c r="Y339" s="1519">
        <f>U339</f>
        <v>39.590000000000003</v>
      </c>
      <c r="Z339" s="1520">
        <f t="shared" ref="Z339:Z340" si="462">V339</f>
        <v>0.17</v>
      </c>
      <c r="AA339" s="1521">
        <f t="shared" ref="AA339:AA340" si="463">W339</f>
        <v>39.76</v>
      </c>
      <c r="AC339" s="841">
        <f t="shared" si="461"/>
        <v>0.08</v>
      </c>
    </row>
    <row r="340" spans="1:29" ht="15.75" thickBot="1">
      <c r="A340" s="175" t="s">
        <v>67</v>
      </c>
      <c r="B340" s="1489" t="s">
        <v>17</v>
      </c>
      <c r="C340" s="1522">
        <f>'Table 10'!C43</f>
        <v>0</v>
      </c>
      <c r="D340" s="1523">
        <f>'Table 10'!D43</f>
        <v>0</v>
      </c>
      <c r="E340" s="1524">
        <f>'Table 10'!E43</f>
        <v>0</v>
      </c>
      <c r="F340" s="1522">
        <f>'Table 10'!F43</f>
        <v>0</v>
      </c>
      <c r="G340" s="1523">
        <f>'Table 10'!G43</f>
        <v>0</v>
      </c>
      <c r="H340" s="1524">
        <f>'Table 10'!H43</f>
        <v>0</v>
      </c>
      <c r="I340" s="1522">
        <f>'Table 10'!I43</f>
        <v>0</v>
      </c>
      <c r="J340" s="1523">
        <f>'Table 10'!J43</f>
        <v>0</v>
      </c>
      <c r="K340" s="1524">
        <f>'Table 10'!K43</f>
        <v>0</v>
      </c>
      <c r="L340" s="1522">
        <f>'Table 10'!L43</f>
        <v>0</v>
      </c>
      <c r="M340" s="1523">
        <f>'Table 10'!M43</f>
        <v>0</v>
      </c>
      <c r="N340" s="1524">
        <f>'Table 10'!N43</f>
        <v>0</v>
      </c>
      <c r="O340" s="1522">
        <f>'Table 10'!O43</f>
        <v>0</v>
      </c>
      <c r="P340" s="1523">
        <f>'Table 10'!P43</f>
        <v>0</v>
      </c>
      <c r="Q340" s="1524">
        <f>'Table 10'!Q43</f>
        <v>0</v>
      </c>
      <c r="R340" s="1522">
        <f>'Table 10'!R43</f>
        <v>0</v>
      </c>
      <c r="S340" s="1523">
        <f>'Table 10'!S43</f>
        <v>0</v>
      </c>
      <c r="T340" s="1524">
        <f>'Table 10'!T43</f>
        <v>0</v>
      </c>
      <c r="U340" s="1522">
        <f>'Table 10'!U43</f>
        <v>0</v>
      </c>
      <c r="V340" s="1523">
        <f>'Table 10'!V43</f>
        <v>0</v>
      </c>
      <c r="W340" s="1524">
        <f>'Table 10'!W43</f>
        <v>0</v>
      </c>
      <c r="X340" s="1815" t="s">
        <v>16</v>
      </c>
      <c r="Y340" s="1522">
        <f>U340</f>
        <v>0</v>
      </c>
      <c r="Z340" s="1523">
        <f t="shared" si="462"/>
        <v>0</v>
      </c>
      <c r="AA340" s="1524">
        <f t="shared" si="463"/>
        <v>0</v>
      </c>
      <c r="AC340" s="1822">
        <f t="shared" si="461"/>
        <v>0</v>
      </c>
    </row>
    <row r="341" spans="1:29" ht="16.5" thickTop="1" thickBot="1">
      <c r="A341" s="3481" t="s">
        <v>731</v>
      </c>
      <c r="B341" s="3482"/>
      <c r="C341" s="1512">
        <f t="shared" ref="C341:W341" si="464">C335+C336+C337+C338+C339+C340</f>
        <v>42.65</v>
      </c>
      <c r="D341" s="1538">
        <f t="shared" si="464"/>
        <v>0.17</v>
      </c>
      <c r="E341" s="1513">
        <f t="shared" si="464"/>
        <v>42.82</v>
      </c>
      <c r="F341" s="1512">
        <f t="shared" si="464"/>
        <v>42.88</v>
      </c>
      <c r="G341" s="1538">
        <f t="shared" si="464"/>
        <v>0.17</v>
      </c>
      <c r="H341" s="1513">
        <f t="shared" si="464"/>
        <v>43.05</v>
      </c>
      <c r="I341" s="1512">
        <f t="shared" si="464"/>
        <v>42.96</v>
      </c>
      <c r="J341" s="1538">
        <f t="shared" si="464"/>
        <v>0.17</v>
      </c>
      <c r="K341" s="1513">
        <f t="shared" si="464"/>
        <v>43.13</v>
      </c>
      <c r="L341" s="1512">
        <f t="shared" si="464"/>
        <v>43.01</v>
      </c>
      <c r="M341" s="1538">
        <f t="shared" si="464"/>
        <v>0.17</v>
      </c>
      <c r="N341" s="1513">
        <f t="shared" si="464"/>
        <v>43.18</v>
      </c>
      <c r="O341" s="1512">
        <f t="shared" si="464"/>
        <v>43.05</v>
      </c>
      <c r="P341" s="1538">
        <f t="shared" si="464"/>
        <v>0.17</v>
      </c>
      <c r="Q341" s="1513">
        <f t="shared" si="464"/>
        <v>43.22</v>
      </c>
      <c r="R341" s="1512">
        <f t="shared" si="464"/>
        <v>43.09</v>
      </c>
      <c r="S341" s="1538">
        <f t="shared" si="464"/>
        <v>0.17</v>
      </c>
      <c r="T341" s="1513">
        <f t="shared" si="464"/>
        <v>43.26</v>
      </c>
      <c r="U341" s="1512">
        <f t="shared" si="464"/>
        <v>43.13</v>
      </c>
      <c r="V341" s="1538">
        <f t="shared" si="464"/>
        <v>0.17</v>
      </c>
      <c r="W341" s="1513">
        <f t="shared" si="464"/>
        <v>43.3</v>
      </c>
      <c r="X341" s="1517">
        <f t="shared" si="460"/>
        <v>0.01</v>
      </c>
      <c r="Y341" s="1512">
        <f>Y335+Y336+Y337+Y338+Y339+Y340</f>
        <v>43.48</v>
      </c>
      <c r="Z341" s="1538">
        <f>Z335+Z336+Z337+Z338+Z339+Z340</f>
        <v>0.17</v>
      </c>
      <c r="AA341" s="1513">
        <f>AA335+AA336+AA337+AA338+AA339+AA340</f>
        <v>43.65</v>
      </c>
      <c r="AC341" s="855">
        <f t="shared" si="461"/>
        <v>0.48</v>
      </c>
    </row>
    <row r="342" spans="1:29">
      <c r="A342" s="89" t="s">
        <v>35</v>
      </c>
    </row>
    <row r="343" spans="1:29">
      <c r="A343" s="1" t="s">
        <v>68</v>
      </c>
      <c r="S343" t="s">
        <v>36</v>
      </c>
    </row>
    <row r="344" spans="1:29">
      <c r="A344" s="1" t="s">
        <v>69</v>
      </c>
    </row>
  </sheetData>
  <mergeCells count="320">
    <mergeCell ref="U3:W3"/>
    <mergeCell ref="A25:B25"/>
    <mergeCell ref="F2:W2"/>
    <mergeCell ref="A31:A33"/>
    <mergeCell ref="B31:B33"/>
    <mergeCell ref="C31:E31"/>
    <mergeCell ref="F31:W31"/>
    <mergeCell ref="X2:X4"/>
    <mergeCell ref="Y2:AA2"/>
    <mergeCell ref="C3:E3"/>
    <mergeCell ref="F3:H3"/>
    <mergeCell ref="I3:K3"/>
    <mergeCell ref="L3:N3"/>
    <mergeCell ref="O3:Q3"/>
    <mergeCell ref="R3:T3"/>
    <mergeCell ref="Y3:AA3"/>
    <mergeCell ref="A2:A4"/>
    <mergeCell ref="B2:B4"/>
    <mergeCell ref="C2:E2"/>
    <mergeCell ref="A54:B54"/>
    <mergeCell ref="A60:A62"/>
    <mergeCell ref="B60:B62"/>
    <mergeCell ref="C60:E60"/>
    <mergeCell ref="F60:W60"/>
    <mergeCell ref="X60:X62"/>
    <mergeCell ref="X31:X33"/>
    <mergeCell ref="Y31:AA31"/>
    <mergeCell ref="C32:E32"/>
    <mergeCell ref="F32:H32"/>
    <mergeCell ref="I32:K32"/>
    <mergeCell ref="L32:N32"/>
    <mergeCell ref="O32:Q32"/>
    <mergeCell ref="R32:T32"/>
    <mergeCell ref="U32:W32"/>
    <mergeCell ref="Y32:AA32"/>
    <mergeCell ref="A83:B83"/>
    <mergeCell ref="A89:A91"/>
    <mergeCell ref="B89:B91"/>
    <mergeCell ref="C89:E89"/>
    <mergeCell ref="F89:W89"/>
    <mergeCell ref="X89:X91"/>
    <mergeCell ref="Y60:AA60"/>
    <mergeCell ref="C61:E61"/>
    <mergeCell ref="F61:H61"/>
    <mergeCell ref="I61:K61"/>
    <mergeCell ref="L61:N61"/>
    <mergeCell ref="O61:Q61"/>
    <mergeCell ref="R61:T61"/>
    <mergeCell ref="U61:W61"/>
    <mergeCell ref="Y61:AA61"/>
    <mergeCell ref="A105:A107"/>
    <mergeCell ref="B105:B107"/>
    <mergeCell ref="C105:E105"/>
    <mergeCell ref="F105:W105"/>
    <mergeCell ref="X105:X107"/>
    <mergeCell ref="Y89:AA89"/>
    <mergeCell ref="C90:E90"/>
    <mergeCell ref="F90:H90"/>
    <mergeCell ref="I90:K90"/>
    <mergeCell ref="L90:N90"/>
    <mergeCell ref="O90:Q90"/>
    <mergeCell ref="R90:T90"/>
    <mergeCell ref="U90:W90"/>
    <mergeCell ref="Y90:AA90"/>
    <mergeCell ref="Y105:AA105"/>
    <mergeCell ref="C106:E106"/>
    <mergeCell ref="F106:H106"/>
    <mergeCell ref="I106:K106"/>
    <mergeCell ref="L106:N106"/>
    <mergeCell ref="O106:Q106"/>
    <mergeCell ref="R106:T106"/>
    <mergeCell ref="U106:W106"/>
    <mergeCell ref="Y106:AA106"/>
    <mergeCell ref="A98:B98"/>
    <mergeCell ref="O121:Q121"/>
    <mergeCell ref="R121:T121"/>
    <mergeCell ref="U121:W121"/>
    <mergeCell ref="Y121:AA121"/>
    <mergeCell ref="A135:A137"/>
    <mergeCell ref="B135:B137"/>
    <mergeCell ref="C135:E135"/>
    <mergeCell ref="F135:W135"/>
    <mergeCell ref="X135:X137"/>
    <mergeCell ref="Y135:AA135"/>
    <mergeCell ref="A120:A122"/>
    <mergeCell ref="B120:B122"/>
    <mergeCell ref="C120:E120"/>
    <mergeCell ref="F120:W120"/>
    <mergeCell ref="X120:X122"/>
    <mergeCell ref="Y120:AA120"/>
    <mergeCell ref="C121:E121"/>
    <mergeCell ref="F121:H121"/>
    <mergeCell ref="I121:K121"/>
    <mergeCell ref="L121:N121"/>
    <mergeCell ref="I151:K151"/>
    <mergeCell ref="L151:N151"/>
    <mergeCell ref="O151:Q151"/>
    <mergeCell ref="R151:T151"/>
    <mergeCell ref="U151:W151"/>
    <mergeCell ref="Y151:AA151"/>
    <mergeCell ref="U136:W136"/>
    <mergeCell ref="Y136:AA136"/>
    <mergeCell ref="A150:A152"/>
    <mergeCell ref="B150:B152"/>
    <mergeCell ref="C150:E150"/>
    <mergeCell ref="F150:W150"/>
    <mergeCell ref="X150:X152"/>
    <mergeCell ref="Y150:AA150"/>
    <mergeCell ref="C151:E151"/>
    <mergeCell ref="F151:H151"/>
    <mergeCell ref="C136:E136"/>
    <mergeCell ref="F136:H136"/>
    <mergeCell ref="I136:K136"/>
    <mergeCell ref="L136:N136"/>
    <mergeCell ref="O136:Q136"/>
    <mergeCell ref="R136:T136"/>
    <mergeCell ref="O166:Q166"/>
    <mergeCell ref="R166:T166"/>
    <mergeCell ref="U166:W166"/>
    <mergeCell ref="Y166:AA166"/>
    <mergeCell ref="A180:A182"/>
    <mergeCell ref="B180:B182"/>
    <mergeCell ref="C180:E180"/>
    <mergeCell ref="F180:W180"/>
    <mergeCell ref="X180:X182"/>
    <mergeCell ref="Y180:AA180"/>
    <mergeCell ref="A165:A167"/>
    <mergeCell ref="B165:B167"/>
    <mergeCell ref="C165:E165"/>
    <mergeCell ref="F165:W165"/>
    <mergeCell ref="X165:X167"/>
    <mergeCell ref="Y165:AA165"/>
    <mergeCell ref="C166:E166"/>
    <mergeCell ref="F166:H166"/>
    <mergeCell ref="I166:K166"/>
    <mergeCell ref="L166:N166"/>
    <mergeCell ref="I197:K197"/>
    <mergeCell ref="L197:N197"/>
    <mergeCell ref="O197:Q197"/>
    <mergeCell ref="R197:T197"/>
    <mergeCell ref="U197:W197"/>
    <mergeCell ref="Y197:AA197"/>
    <mergeCell ref="U181:W181"/>
    <mergeCell ref="Y181:AA181"/>
    <mergeCell ref="A196:A198"/>
    <mergeCell ref="B196:B198"/>
    <mergeCell ref="C196:E196"/>
    <mergeCell ref="F196:W196"/>
    <mergeCell ref="X196:X198"/>
    <mergeCell ref="Y196:AA196"/>
    <mergeCell ref="C197:E197"/>
    <mergeCell ref="F197:H197"/>
    <mergeCell ref="C181:E181"/>
    <mergeCell ref="F181:H181"/>
    <mergeCell ref="I181:K181"/>
    <mergeCell ref="L181:N181"/>
    <mergeCell ref="O181:Q181"/>
    <mergeCell ref="R181:T181"/>
    <mergeCell ref="O212:Q212"/>
    <mergeCell ref="R212:T212"/>
    <mergeCell ref="U212:W212"/>
    <mergeCell ref="Y212:AA212"/>
    <mergeCell ref="A227:A229"/>
    <mergeCell ref="B227:B229"/>
    <mergeCell ref="C227:E227"/>
    <mergeCell ref="F227:W227"/>
    <mergeCell ref="X227:X229"/>
    <mergeCell ref="Y227:AA227"/>
    <mergeCell ref="A211:A213"/>
    <mergeCell ref="B211:B213"/>
    <mergeCell ref="C211:E211"/>
    <mergeCell ref="F211:W211"/>
    <mergeCell ref="X211:X213"/>
    <mergeCell ref="Y211:AA211"/>
    <mergeCell ref="C212:E212"/>
    <mergeCell ref="F212:H212"/>
    <mergeCell ref="I212:K212"/>
    <mergeCell ref="L212:N212"/>
    <mergeCell ref="I243:K243"/>
    <mergeCell ref="L243:N243"/>
    <mergeCell ref="O243:Q243"/>
    <mergeCell ref="R243:T243"/>
    <mergeCell ref="U243:W243"/>
    <mergeCell ref="Y243:AA243"/>
    <mergeCell ref="U228:W228"/>
    <mergeCell ref="Y228:AA228"/>
    <mergeCell ref="A242:A244"/>
    <mergeCell ref="B242:B244"/>
    <mergeCell ref="C242:E242"/>
    <mergeCell ref="F242:W242"/>
    <mergeCell ref="X242:X244"/>
    <mergeCell ref="Y242:AA242"/>
    <mergeCell ref="C243:E243"/>
    <mergeCell ref="F243:H243"/>
    <mergeCell ref="C228:E228"/>
    <mergeCell ref="F228:H228"/>
    <mergeCell ref="I228:K228"/>
    <mergeCell ref="L228:N228"/>
    <mergeCell ref="O228:Q228"/>
    <mergeCell ref="R228:T228"/>
    <mergeCell ref="O258:Q258"/>
    <mergeCell ref="R258:T258"/>
    <mergeCell ref="U258:W258"/>
    <mergeCell ref="Y258:AA258"/>
    <mergeCell ref="A272:A274"/>
    <mergeCell ref="B272:B274"/>
    <mergeCell ref="C272:E272"/>
    <mergeCell ref="F272:W272"/>
    <mergeCell ref="X272:X274"/>
    <mergeCell ref="Y272:AA272"/>
    <mergeCell ref="A257:A259"/>
    <mergeCell ref="B257:B259"/>
    <mergeCell ref="C257:E257"/>
    <mergeCell ref="F257:W257"/>
    <mergeCell ref="X257:X259"/>
    <mergeCell ref="Y257:AA257"/>
    <mergeCell ref="C258:E258"/>
    <mergeCell ref="F258:H258"/>
    <mergeCell ref="I258:K258"/>
    <mergeCell ref="L258:N258"/>
    <mergeCell ref="I288:K288"/>
    <mergeCell ref="L288:N288"/>
    <mergeCell ref="O288:Q288"/>
    <mergeCell ref="R288:T288"/>
    <mergeCell ref="U288:W288"/>
    <mergeCell ref="Y288:AA288"/>
    <mergeCell ref="U273:W273"/>
    <mergeCell ref="Y273:AA273"/>
    <mergeCell ref="A287:A289"/>
    <mergeCell ref="B287:B289"/>
    <mergeCell ref="C287:E287"/>
    <mergeCell ref="F287:W287"/>
    <mergeCell ref="X287:X289"/>
    <mergeCell ref="Y287:AA287"/>
    <mergeCell ref="C288:E288"/>
    <mergeCell ref="F288:H288"/>
    <mergeCell ref="C273:E273"/>
    <mergeCell ref="F273:H273"/>
    <mergeCell ref="I273:K273"/>
    <mergeCell ref="L273:N273"/>
    <mergeCell ref="O273:Q273"/>
    <mergeCell ref="R273:T273"/>
    <mergeCell ref="O303:Q303"/>
    <mergeCell ref="R303:T303"/>
    <mergeCell ref="U303:W303"/>
    <mergeCell ref="Y303:AA303"/>
    <mergeCell ref="A317:A319"/>
    <mergeCell ref="B317:B319"/>
    <mergeCell ref="C317:E317"/>
    <mergeCell ref="F317:W317"/>
    <mergeCell ref="X317:X319"/>
    <mergeCell ref="Y317:AA317"/>
    <mergeCell ref="A302:A304"/>
    <mergeCell ref="B302:B304"/>
    <mergeCell ref="C302:E302"/>
    <mergeCell ref="F302:W302"/>
    <mergeCell ref="X302:X304"/>
    <mergeCell ref="Y302:AA302"/>
    <mergeCell ref="C303:E303"/>
    <mergeCell ref="F303:H303"/>
    <mergeCell ref="I303:K303"/>
    <mergeCell ref="L303:N303"/>
    <mergeCell ref="I333:K333"/>
    <mergeCell ref="L333:N333"/>
    <mergeCell ref="O333:Q333"/>
    <mergeCell ref="R333:T333"/>
    <mergeCell ref="U333:W333"/>
    <mergeCell ref="Y333:AA333"/>
    <mergeCell ref="U318:W318"/>
    <mergeCell ref="Y318:AA318"/>
    <mergeCell ref="A332:A334"/>
    <mergeCell ref="B332:B334"/>
    <mergeCell ref="C332:E332"/>
    <mergeCell ref="F332:W332"/>
    <mergeCell ref="X332:X334"/>
    <mergeCell ref="Y332:AA332"/>
    <mergeCell ref="C333:E333"/>
    <mergeCell ref="F333:H333"/>
    <mergeCell ref="C318:E318"/>
    <mergeCell ref="F318:H318"/>
    <mergeCell ref="I318:K318"/>
    <mergeCell ref="L318:N318"/>
    <mergeCell ref="O318:Q318"/>
    <mergeCell ref="R318:T318"/>
    <mergeCell ref="AC2:AC4"/>
    <mergeCell ref="AC31:AC33"/>
    <mergeCell ref="AC60:AC62"/>
    <mergeCell ref="AC89:AC91"/>
    <mergeCell ref="AC105:AC107"/>
    <mergeCell ref="AC120:AC122"/>
    <mergeCell ref="AC135:AC137"/>
    <mergeCell ref="AC150:AC152"/>
    <mergeCell ref="AC165:AC167"/>
    <mergeCell ref="AC317:AC319"/>
    <mergeCell ref="AC332:AC334"/>
    <mergeCell ref="AC180:AC182"/>
    <mergeCell ref="AC196:AC198"/>
    <mergeCell ref="AC211:AC213"/>
    <mergeCell ref="AC227:AC229"/>
    <mergeCell ref="AC242:AC244"/>
    <mergeCell ref="AC257:AC259"/>
    <mergeCell ref="AC272:AC274"/>
    <mergeCell ref="AC287:AC289"/>
    <mergeCell ref="AC302:AC304"/>
    <mergeCell ref="A251:B251"/>
    <mergeCell ref="A266:B266"/>
    <mergeCell ref="A281:B281"/>
    <mergeCell ref="A296:B296"/>
    <mergeCell ref="A311:B311"/>
    <mergeCell ref="A326:B326"/>
    <mergeCell ref="A341:B341"/>
    <mergeCell ref="A114:B114"/>
    <mergeCell ref="A129:B129"/>
    <mergeCell ref="A144:B144"/>
    <mergeCell ref="A159:B159"/>
    <mergeCell ref="A174:B174"/>
    <mergeCell ref="A189:B189"/>
    <mergeCell ref="A205:B205"/>
    <mergeCell ref="A236:B236"/>
    <mergeCell ref="A220:B220"/>
  </mergeCells>
  <pageMargins left="0.7" right="0.7" top="0.75" bottom="0.75" header="0.3" footer="0.3"/>
  <pageSetup paperSize="3" scale="70" fitToHeight="0" orientation="landscape" r:id="rId1"/>
  <rowBreaks count="5" manualBreakCount="5">
    <brk id="57" max="16383" man="1"/>
    <brk id="117" max="16383" man="1"/>
    <brk id="177" max="16383" man="1"/>
    <brk id="239" max="16383" man="1"/>
    <brk id="2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6"/>
  <sheetViews>
    <sheetView workbookViewId="0">
      <pane xSplit="1" topLeftCell="B1" activePane="topRight" state="frozen"/>
      <selection pane="topRight" activeCell="X14" sqref="X14"/>
    </sheetView>
  </sheetViews>
  <sheetFormatPr defaultColWidth="9.140625" defaultRowHeight="12.75"/>
  <cols>
    <col min="1" max="1" width="13.5703125" style="2" customWidth="1"/>
    <col min="2" max="2" width="9.140625" style="2" customWidth="1"/>
    <col min="3" max="19" width="9.140625" style="2"/>
    <col min="20" max="23" width="9.140625" style="2" customWidth="1"/>
    <col min="24" max="24" width="10.5703125" style="2" customWidth="1"/>
    <col min="25" max="27" width="9.140625" style="2" customWidth="1"/>
    <col min="28" max="28" width="9.85546875" style="2" customWidth="1"/>
    <col min="29" max="29" width="10.5703125" style="2" hidden="1" customWidth="1"/>
    <col min="30" max="30" width="9.140625" style="2"/>
    <col min="31" max="32" width="10.5703125" style="2" customWidth="1"/>
    <col min="33" max="16384" width="9.140625" style="2"/>
  </cols>
  <sheetData>
    <row r="1" spans="1:29" ht="27.95" customHeight="1" thickBot="1">
      <c r="A1" s="3224" t="s">
        <v>72</v>
      </c>
      <c r="B1" s="3224"/>
      <c r="C1" s="3224"/>
      <c r="D1" s="3224"/>
      <c r="E1" s="3224"/>
      <c r="F1" s="3224"/>
      <c r="G1" s="3224"/>
      <c r="H1" s="3224"/>
      <c r="I1" s="3224"/>
      <c r="J1" s="3224"/>
      <c r="K1" s="3224"/>
      <c r="L1" s="3224"/>
      <c r="M1" s="3224"/>
      <c r="N1" s="3224"/>
      <c r="O1" s="3224"/>
      <c r="P1" s="3224"/>
      <c r="Q1" s="3224"/>
      <c r="R1" s="3224"/>
      <c r="S1" s="3224"/>
      <c r="T1" s="3224"/>
      <c r="U1" s="3224"/>
      <c r="V1" s="3224"/>
      <c r="W1" s="3224"/>
      <c r="X1" s="3224"/>
      <c r="Y1" s="3224"/>
      <c r="Z1" s="3224"/>
      <c r="AA1" s="3224"/>
    </row>
    <row r="2" spans="1:29" ht="15" customHeight="1" thickBot="1">
      <c r="A2" s="3206" t="s">
        <v>1</v>
      </c>
      <c r="B2" s="3233" t="s">
        <v>2</v>
      </c>
      <c r="C2" s="3221" t="s">
        <v>55</v>
      </c>
      <c r="D2" s="3222"/>
      <c r="E2" s="3223"/>
      <c r="F2" s="3221" t="s">
        <v>56</v>
      </c>
      <c r="G2" s="3222"/>
      <c r="H2" s="3222"/>
      <c r="I2" s="3222"/>
      <c r="J2" s="3222"/>
      <c r="K2" s="3222"/>
      <c r="L2" s="3222"/>
      <c r="M2" s="3222"/>
      <c r="N2" s="3222"/>
      <c r="O2" s="3222"/>
      <c r="P2" s="3222"/>
      <c r="Q2" s="3222"/>
      <c r="R2" s="3222"/>
      <c r="S2" s="3222"/>
      <c r="T2" s="3222"/>
      <c r="U2" s="3222"/>
      <c r="V2" s="3222"/>
      <c r="W2" s="3223"/>
      <c r="X2" s="3238" t="s">
        <v>57</v>
      </c>
      <c r="Y2" s="3221" t="s">
        <v>58</v>
      </c>
      <c r="Z2" s="3222"/>
      <c r="AA2" s="3223"/>
      <c r="AC2" s="3238" t="s">
        <v>59</v>
      </c>
    </row>
    <row r="3" spans="1:29" ht="15" customHeight="1">
      <c r="A3" s="3207"/>
      <c r="B3" s="3234"/>
      <c r="C3" s="3216">
        <v>2015</v>
      </c>
      <c r="D3" s="3217"/>
      <c r="E3" s="3218"/>
      <c r="F3" s="3217">
        <v>2020</v>
      </c>
      <c r="G3" s="3217"/>
      <c r="H3" s="3218"/>
      <c r="I3" s="3216">
        <v>2025</v>
      </c>
      <c r="J3" s="3217"/>
      <c r="K3" s="3218"/>
      <c r="L3" s="3216">
        <v>2030</v>
      </c>
      <c r="M3" s="3217"/>
      <c r="N3" s="3218"/>
      <c r="O3" s="3216">
        <v>2035</v>
      </c>
      <c r="P3" s="3217"/>
      <c r="Q3" s="3218"/>
      <c r="R3" s="3216">
        <v>2040</v>
      </c>
      <c r="S3" s="3217"/>
      <c r="T3" s="3218"/>
      <c r="U3" s="3216">
        <v>2045</v>
      </c>
      <c r="V3" s="3217"/>
      <c r="W3" s="3218"/>
      <c r="X3" s="3239"/>
      <c r="Y3" s="3216">
        <v>2045</v>
      </c>
      <c r="Z3" s="3217"/>
      <c r="AA3" s="3218"/>
      <c r="AC3" s="3239"/>
    </row>
    <row r="4" spans="1:29" ht="15.75" customHeight="1" thickBot="1">
      <c r="A4" s="3208"/>
      <c r="B4" s="3235"/>
      <c r="C4" s="1655" t="s">
        <v>60</v>
      </c>
      <c r="D4" s="1657" t="s">
        <v>61</v>
      </c>
      <c r="E4" s="1658" t="s">
        <v>18</v>
      </c>
      <c r="F4" s="1669" t="s">
        <v>60</v>
      </c>
      <c r="G4" s="1657" t="s">
        <v>61</v>
      </c>
      <c r="H4" s="1658" t="s">
        <v>18</v>
      </c>
      <c r="I4" s="1655" t="s">
        <v>60</v>
      </c>
      <c r="J4" s="1017" t="s">
        <v>61</v>
      </c>
      <c r="K4" s="1659" t="s">
        <v>18</v>
      </c>
      <c r="L4" s="1655" t="s">
        <v>60</v>
      </c>
      <c r="M4" s="1657" t="s">
        <v>61</v>
      </c>
      <c r="N4" s="1658" t="s">
        <v>18</v>
      </c>
      <c r="O4" s="1669" t="s">
        <v>60</v>
      </c>
      <c r="P4" s="1017" t="s">
        <v>61</v>
      </c>
      <c r="Q4" s="1656" t="s">
        <v>18</v>
      </c>
      <c r="R4" s="1655" t="s">
        <v>60</v>
      </c>
      <c r="S4" s="1657" t="s">
        <v>61</v>
      </c>
      <c r="T4" s="1658" t="s">
        <v>18</v>
      </c>
      <c r="U4" s="1655" t="s">
        <v>60</v>
      </c>
      <c r="V4" s="1657" t="s">
        <v>61</v>
      </c>
      <c r="W4" s="1658" t="s">
        <v>18</v>
      </c>
      <c r="X4" s="3240"/>
      <c r="Y4" s="1670" t="s">
        <v>60</v>
      </c>
      <c r="Z4" s="1671" t="s">
        <v>61</v>
      </c>
      <c r="AA4" s="1664" t="s">
        <v>18</v>
      </c>
      <c r="AC4" s="3240"/>
    </row>
    <row r="5" spans="1:29">
      <c r="A5" s="443" t="s">
        <v>14</v>
      </c>
      <c r="B5" s="121" t="s">
        <v>15</v>
      </c>
      <c r="C5" s="1300">
        <f>'Table 4'!J5+'Table 6'!K5+'Table 7'!C5+'Table 8'!C5+'Table 9'!C5+'Table 10'!C5</f>
        <v>25.79</v>
      </c>
      <c r="D5" s="112">
        <f>'Table 4'!K5+'Table 6'!L5+'Table 7'!D5+'Table 8'!D5+'Table 9'!D5+'Table 10'!D5</f>
        <v>0.08</v>
      </c>
      <c r="E5" s="1667">
        <f>'Table 4'!L5+'Table 6'!M5+'Table 7'!E5+'Table 8'!E5+'Table 9'!E5+'Table 10'!E5</f>
        <v>25.87</v>
      </c>
      <c r="F5" s="1300">
        <f>'Table 4'!M5+'Table 6'!N5+'Table 7'!F5+'Table 8'!F5+'Table 9'!F5+'Table 10'!F5</f>
        <v>26.7</v>
      </c>
      <c r="G5" s="112">
        <f>'Table 4'!N5+'Table 6'!O5+'Table 7'!G5+'Table 8'!G5+'Table 9'!G5+'Table 10'!G5</f>
        <v>0.08</v>
      </c>
      <c r="H5" s="1667">
        <f>'Table 4'!O5+'Table 6'!P5+'Table 7'!H5+'Table 8'!H5+'Table 9'!H5+'Table 10'!H5</f>
        <v>26.78</v>
      </c>
      <c r="I5" s="1300">
        <f>'Table 4'!Q5+'Table 6'!Q5+'Table 7'!I5+'Table 8'!I5+'Table 9'!I5+'Table 10'!I5</f>
        <v>27.28</v>
      </c>
      <c r="J5" s="112">
        <f>'Table 4'!R5+'Table 6'!R5+'Table 7'!J5+'Table 8'!J5+'Table 9'!J5+'Table 10'!J5</f>
        <v>0.08</v>
      </c>
      <c r="K5" s="1667">
        <f>'Table 4'!S5+'Table 6'!S5+'Table 7'!K5+'Table 8'!K5+'Table 9'!K5+'Table 10'!K5</f>
        <v>27.36</v>
      </c>
      <c r="L5" s="1300">
        <f>'Table 4'!U5+'Table 6'!T5+'Table 7'!L5+'Table 8'!L5+'Table 9'!L5+'Table 10'!L5</f>
        <v>27.71</v>
      </c>
      <c r="M5" s="112">
        <f>'Table 4'!V5+'Table 6'!U5+'Table 7'!M5+'Table 8'!M5+'Table 9'!M5+'Table 10'!M5</f>
        <v>0.08</v>
      </c>
      <c r="N5" s="1667">
        <f>'Table 4'!W5+'Table 6'!V5+'Table 7'!N5+'Table 8'!N5+'Table 9'!N5+'Table 10'!N5</f>
        <v>27.79</v>
      </c>
      <c r="O5" s="1300">
        <f>'Table 4'!Y5+'Table 6'!W5+'Table 7'!O5+'Table 8'!O5+'Table 9'!O5+'Table 10'!O5</f>
        <v>27.87</v>
      </c>
      <c r="P5" s="112">
        <f>'Table 4'!Z5+'Table 6'!X5+'Table 7'!P5+'Table 8'!P5+'Table 9'!P5+'Table 10'!P5</f>
        <v>0.08</v>
      </c>
      <c r="Q5" s="1667">
        <f>'Table 4'!AA5+'Table 6'!Y5+'Table 7'!Q5+'Table 8'!Q5+'Table 9'!Q5+'Table 10'!Q5</f>
        <v>27.95</v>
      </c>
      <c r="R5" s="1300">
        <f>'Table 4'!AC5+'Table 6'!Z5+'Table 7'!R5+'Table 8'!R5+'Table 9'!R5+'Table 10'!R5</f>
        <v>28.16</v>
      </c>
      <c r="S5" s="112">
        <f>'Table 4'!AD5+'Table 6'!AA5+'Table 7'!S5+'Table 8'!S5+'Table 9'!S5+'Table 10'!S5</f>
        <v>0.08</v>
      </c>
      <c r="T5" s="1668">
        <f>'Table 4'!AE5+'Table 6'!AB5+'Table 7'!T5+'Table 8'!T5+'Table 9'!T5+'Table 10'!T5</f>
        <v>28.24</v>
      </c>
      <c r="U5" s="1300">
        <f>'Table 4'!AG5+'Table 6'!AC5+'Table 7'!U5+'Table 8'!U5+'Table 9'!U5+'Table 10'!U5</f>
        <v>28.34</v>
      </c>
      <c r="V5" s="112">
        <f>'Table 4'!AH5+'Table 6'!AD5+'Table 7'!V5+'Table 8'!V5+'Table 9'!V5+'Table 10'!V5</f>
        <v>0.08</v>
      </c>
      <c r="W5" s="1668">
        <f>'Table 4'!AI5+'Table 6'!AE5+'Table 7'!W5+'Table 8'!W5+'Table 9'!W5+'Table 10'!W5</f>
        <v>28.42</v>
      </c>
      <c r="X5" s="1374">
        <f>(W5-E5)/E5</f>
        <v>0.1</v>
      </c>
      <c r="Y5" s="444">
        <f>'Table 4'!AL5+'Table 6'!AG5+'Table 7'!AG5+'Table 8'!Y5+'Table 9'!R5+'Table 10'!R5</f>
        <v>31.77</v>
      </c>
      <c r="Z5" s="585">
        <f>'Table 4'!AM5+'Table 6'!AH5+'Table 7'!AH5+'Table 8'!Z5+'Table 9'!S5+'Table 10'!S5</f>
        <v>0.14000000000000001</v>
      </c>
      <c r="AA5" s="450">
        <f>'Table 4'!AN5+'Table 6'!AI5+'Table 7'!AI5+'Table 8'!AA5+'Table 9'!T5+'Table 10'!T5</f>
        <v>31.91</v>
      </c>
      <c r="AC5" s="1632">
        <f>W5-E5</f>
        <v>2.5499999999999998</v>
      </c>
    </row>
    <row r="6" spans="1:29" ht="13.5" thickBot="1">
      <c r="A6" s="579" t="s">
        <v>14</v>
      </c>
      <c r="B6" s="1365" t="s">
        <v>17</v>
      </c>
      <c r="C6" s="1366">
        <f>'Table 4'!J6+'Table 6'!K6+'Table 7'!C6+'Table 8'!C6+'Table 9'!C6+'Table 10'!C6</f>
        <v>19.579999999999998</v>
      </c>
      <c r="D6" s="1213">
        <f>'Table 4'!K6+'Table 6'!L6+'Table 7'!D6+'Table 8'!D6+'Table 9'!D6+'Table 10'!D6</f>
        <v>0</v>
      </c>
      <c r="E6" s="1367">
        <f>'Table 4'!L6+'Table 6'!M6+'Table 7'!E6+'Table 8'!E6+'Table 9'!E6+'Table 10'!E6</f>
        <v>19.579999999999998</v>
      </c>
      <c r="F6" s="1366">
        <f>'Table 4'!M6+'Table 6'!N6+'Table 7'!F6+'Table 8'!F6+'Table 9'!F6+'Table 10'!F6</f>
        <v>19.45</v>
      </c>
      <c r="G6" s="1213">
        <f>'Table 4'!N6+'Table 6'!O6+'Table 7'!G6+'Table 8'!G6+'Table 9'!G6+'Table 10'!G6</f>
        <v>0</v>
      </c>
      <c r="H6" s="1367">
        <f>'Table 4'!O6+'Table 6'!P6+'Table 7'!H6+'Table 8'!H6+'Table 9'!H6+'Table 10'!H6</f>
        <v>19.45</v>
      </c>
      <c r="I6" s="1366">
        <f>'Table 4'!Q6+'Table 6'!Q6+'Table 7'!I6+'Table 8'!I6+'Table 9'!I6+'Table 10'!I6</f>
        <v>20.11</v>
      </c>
      <c r="J6" s="1213">
        <f>'Table 4'!R6+'Table 6'!R6+'Table 7'!J6+'Table 8'!J6+'Table 9'!J6+'Table 10'!J6</f>
        <v>0</v>
      </c>
      <c r="K6" s="1367">
        <f>'Table 4'!S6+'Table 6'!S6+'Table 7'!K6+'Table 8'!K6+'Table 9'!K6+'Table 10'!K6</f>
        <v>20.11</v>
      </c>
      <c r="L6" s="1366">
        <f>'Table 4'!U6+'Table 6'!T6+'Table 7'!L6+'Table 8'!L6+'Table 9'!L6+'Table 10'!L6</f>
        <v>20.8</v>
      </c>
      <c r="M6" s="1213">
        <f>'Table 4'!V6+'Table 6'!U6+'Table 7'!M6+'Table 8'!M6+'Table 9'!M6+'Table 10'!M6</f>
        <v>0</v>
      </c>
      <c r="N6" s="1367">
        <f>'Table 4'!W6+'Table 6'!V6+'Table 7'!N6+'Table 8'!N6+'Table 9'!N6+'Table 10'!N6</f>
        <v>20.8</v>
      </c>
      <c r="O6" s="1366">
        <f>'Table 4'!Y6+'Table 6'!W6+'Table 7'!O6+'Table 8'!O6+'Table 9'!O6+'Table 10'!O6</f>
        <v>21.88</v>
      </c>
      <c r="P6" s="1213">
        <f>'Table 4'!Z6+'Table 6'!X6+'Table 7'!P6+'Table 8'!P6+'Table 9'!P6+'Table 10'!P6</f>
        <v>0</v>
      </c>
      <c r="Q6" s="1367">
        <f>'Table 4'!AA6+'Table 6'!Y6+'Table 7'!Q6+'Table 8'!Q6+'Table 9'!Q6+'Table 10'!Q6</f>
        <v>21.88</v>
      </c>
      <c r="R6" s="1366">
        <f>'Table 4'!AC6+'Table 6'!Z6+'Table 7'!R6+'Table 8'!R6+'Table 9'!R6+'Table 10'!R6</f>
        <v>22.6</v>
      </c>
      <c r="S6" s="1213">
        <f>'Table 4'!AD6+'Table 6'!AA6+'Table 7'!S6+'Table 8'!S6+'Table 9'!S6+'Table 10'!S6</f>
        <v>0</v>
      </c>
      <c r="T6" s="1368">
        <f>'Table 4'!AE6+'Table 6'!AB6+'Table 7'!T6+'Table 8'!T6+'Table 9'!T6+'Table 10'!T6</f>
        <v>22.6</v>
      </c>
      <c r="U6" s="1366">
        <f>'Table 4'!AG6+'Table 6'!AC6+'Table 7'!U6+'Table 8'!U6+'Table 9'!U6+'Table 10'!U6</f>
        <v>23.29</v>
      </c>
      <c r="V6" s="1213">
        <f>'Table 4'!AH6+'Table 6'!AD6+'Table 7'!V6+'Table 8'!V6+'Table 9'!V6+'Table 10'!V6</f>
        <v>0</v>
      </c>
      <c r="W6" s="1368">
        <f>'Table 4'!AI6+'Table 6'!AE6+'Table 7'!W6+'Table 8'!W6+'Table 9'!W6+'Table 10'!W6</f>
        <v>23.29</v>
      </c>
      <c r="X6" s="1369">
        <f t="shared" ref="X6:X27" si="0">(W6-E6)/E6</f>
        <v>0.19</v>
      </c>
      <c r="Y6" s="556">
        <f>'Table 4'!AL6+'Table 6'!AG6+'Table 7'!AG6+'Table 8'!Y6+'Table 9'!R6+'Table 10'!R6</f>
        <v>27.1</v>
      </c>
      <c r="Z6" s="557">
        <f>'Table 4'!AM6+'Table 6'!AH6+'Table 7'!AH6+'Table 8'!Z6+'Table 9'!S6+'Table 10'!S6</f>
        <v>0</v>
      </c>
      <c r="AA6" s="558">
        <f>'Table 4'!AN6+'Table 6'!AI6+'Table 7'!AI6+'Table 8'!AA6+'Table 9'!T6+'Table 10'!T6</f>
        <v>27.1</v>
      </c>
      <c r="AC6" s="1595">
        <f t="shared" ref="AC6:AC27" si="1">W6-E6</f>
        <v>3.71</v>
      </c>
    </row>
    <row r="7" spans="1:29" s="67" customFormat="1" ht="14.25" thickTop="1" thickBot="1">
      <c r="A7" s="476" t="s">
        <v>14</v>
      </c>
      <c r="B7" s="1313" t="s">
        <v>18</v>
      </c>
      <c r="C7" s="1226">
        <f>C5+C6</f>
        <v>45.37</v>
      </c>
      <c r="D7" s="481">
        <f t="shared" ref="D7:T7" si="2">D5+D6</f>
        <v>0.08</v>
      </c>
      <c r="E7" s="447">
        <f t="shared" si="2"/>
        <v>45.45</v>
      </c>
      <c r="F7" s="1226">
        <f t="shared" si="2"/>
        <v>46.15</v>
      </c>
      <c r="G7" s="481">
        <f t="shared" si="2"/>
        <v>0.08</v>
      </c>
      <c r="H7" s="447">
        <f t="shared" si="2"/>
        <v>46.23</v>
      </c>
      <c r="I7" s="1226">
        <f t="shared" si="2"/>
        <v>47.39</v>
      </c>
      <c r="J7" s="481">
        <f t="shared" si="2"/>
        <v>0.08</v>
      </c>
      <c r="K7" s="447">
        <f t="shared" si="2"/>
        <v>47.47</v>
      </c>
      <c r="L7" s="1226">
        <f t="shared" si="2"/>
        <v>48.51</v>
      </c>
      <c r="M7" s="481">
        <f t="shared" si="2"/>
        <v>0.08</v>
      </c>
      <c r="N7" s="447">
        <f t="shared" si="2"/>
        <v>48.59</v>
      </c>
      <c r="O7" s="1226">
        <f t="shared" si="2"/>
        <v>49.75</v>
      </c>
      <c r="P7" s="481">
        <f t="shared" si="2"/>
        <v>0.08</v>
      </c>
      <c r="Q7" s="447">
        <f t="shared" si="2"/>
        <v>49.83</v>
      </c>
      <c r="R7" s="1226">
        <f t="shared" si="2"/>
        <v>50.76</v>
      </c>
      <c r="S7" s="481">
        <f t="shared" si="2"/>
        <v>0.08</v>
      </c>
      <c r="T7" s="477">
        <f t="shared" si="2"/>
        <v>50.84</v>
      </c>
      <c r="U7" s="1226">
        <f t="shared" ref="U7:W7" si="3">U5+U6</f>
        <v>51.63</v>
      </c>
      <c r="V7" s="481">
        <f t="shared" si="3"/>
        <v>0.08</v>
      </c>
      <c r="W7" s="477">
        <f t="shared" si="3"/>
        <v>51.71</v>
      </c>
      <c r="X7" s="1370">
        <f t="shared" si="0"/>
        <v>0.14000000000000001</v>
      </c>
      <c r="Y7" s="482">
        <f>Y5+Y6</f>
        <v>58.87</v>
      </c>
      <c r="Z7" s="554">
        <f>Z5+Z6</f>
        <v>0.14000000000000001</v>
      </c>
      <c r="AA7" s="486">
        <f>AA5+AA6</f>
        <v>59.01</v>
      </c>
      <c r="AC7" s="1596">
        <f t="shared" si="1"/>
        <v>6.26</v>
      </c>
    </row>
    <row r="8" spans="1:29">
      <c r="A8" s="475" t="s">
        <v>19</v>
      </c>
      <c r="B8" s="109" t="s">
        <v>15</v>
      </c>
      <c r="C8" s="1200">
        <f>'Table 4'!J8+'Table 6'!K8+'Table 7'!C8+'Table 8'!C8+'Table 9'!C8+'Table 10'!C8</f>
        <v>3.51</v>
      </c>
      <c r="D8" s="463">
        <f>'Table 4'!K8+'Table 6'!L8+'Table 7'!D8+'Table 8'!D8+'Table 9'!D8+'Table 10'!D8</f>
        <v>0.47</v>
      </c>
      <c r="E8" s="517">
        <f>'Table 4'!L8+'Table 6'!M8+'Table 7'!E8+'Table 8'!E8+'Table 9'!E8+'Table 10'!E8</f>
        <v>3.98</v>
      </c>
      <c r="F8" s="1200">
        <f>'Table 4'!M8+'Table 6'!N8+'Table 7'!F8+'Table 8'!F8+'Table 9'!F8+'Table 10'!F8</f>
        <v>3.81</v>
      </c>
      <c r="G8" s="463">
        <f>'Table 4'!N8+'Table 6'!O8+'Table 7'!G8+'Table 8'!G8+'Table 9'!G8+'Table 10'!G8</f>
        <v>0.43</v>
      </c>
      <c r="H8" s="517">
        <f>'Table 4'!O8+'Table 6'!P8+'Table 7'!H8+'Table 8'!H8+'Table 9'!H8+'Table 10'!H8</f>
        <v>4.24</v>
      </c>
      <c r="I8" s="1200">
        <f>'Table 4'!Q8+'Table 6'!Q8+'Table 7'!I8+'Table 8'!I8+'Table 9'!I8+'Table 10'!I8</f>
        <v>3.99</v>
      </c>
      <c r="J8" s="463">
        <f>'Table 4'!R8+'Table 6'!R8+'Table 7'!J8+'Table 8'!J8+'Table 9'!J8+'Table 10'!J8</f>
        <v>0.45</v>
      </c>
      <c r="K8" s="517">
        <f>'Table 4'!S8+'Table 6'!S8+'Table 7'!K8+'Table 8'!K8+'Table 9'!K8+'Table 10'!K8</f>
        <v>4.4400000000000004</v>
      </c>
      <c r="L8" s="1200">
        <f>'Table 4'!U8+'Table 6'!T8+'Table 7'!L8+'Table 8'!L8+'Table 9'!L8+'Table 10'!L8</f>
        <v>4.16</v>
      </c>
      <c r="M8" s="463">
        <f>'Table 4'!V8+'Table 6'!U8+'Table 7'!M8+'Table 8'!M8+'Table 9'!M8+'Table 10'!M8</f>
        <v>0.46</v>
      </c>
      <c r="N8" s="517">
        <f>'Table 4'!W8+'Table 6'!V8+'Table 7'!N8+'Table 8'!N8+'Table 9'!N8+'Table 10'!N8</f>
        <v>4.62</v>
      </c>
      <c r="O8" s="1200">
        <f>'Table 4'!Y8+'Table 6'!W8+'Table 7'!O8+'Table 8'!O8+'Table 9'!O8+'Table 10'!O8</f>
        <v>4.2699999999999996</v>
      </c>
      <c r="P8" s="463">
        <f>'Table 4'!Z8+'Table 6'!X8+'Table 7'!P8+'Table 8'!P8+'Table 9'!P8+'Table 10'!P8</f>
        <v>0.47</v>
      </c>
      <c r="Q8" s="517">
        <f>'Table 4'!AA8+'Table 6'!Y8+'Table 7'!Q8+'Table 8'!Q8+'Table 9'!Q8+'Table 10'!Q8</f>
        <v>4.74</v>
      </c>
      <c r="R8" s="1200">
        <f>'Table 4'!AC8+'Table 6'!Z8+'Table 7'!R8+'Table 8'!R8+'Table 9'!R8+'Table 10'!R8</f>
        <v>4.37</v>
      </c>
      <c r="S8" s="463">
        <f>'Table 4'!AD8+'Table 6'!AA8+'Table 7'!S8+'Table 8'!S8+'Table 9'!S8+'Table 10'!S8</f>
        <v>0.49</v>
      </c>
      <c r="T8" s="1371">
        <f>'Table 4'!AE8+'Table 6'!AB8+'Table 7'!T8+'Table 8'!T8+'Table 9'!T8+'Table 10'!T8</f>
        <v>4.8600000000000003</v>
      </c>
      <c r="U8" s="1200">
        <f>'Table 4'!AG8+'Table 6'!AC8+'Table 7'!U8+'Table 8'!U8+'Table 9'!U8+'Table 10'!U8</f>
        <v>4.47</v>
      </c>
      <c r="V8" s="463">
        <f>'Table 4'!AH8+'Table 6'!AD8+'Table 7'!V8+'Table 8'!V8+'Table 9'!V8+'Table 10'!V8</f>
        <v>0.49</v>
      </c>
      <c r="W8" s="1371">
        <f>'Table 4'!AI8+'Table 6'!AE8+'Table 7'!W8+'Table 8'!W8+'Table 9'!W8+'Table 10'!W8</f>
        <v>4.96</v>
      </c>
      <c r="X8" s="1372">
        <f t="shared" si="0"/>
        <v>0.25</v>
      </c>
      <c r="Y8" s="464">
        <f>'Table 4'!AL8+'Table 6'!AG8+'Table 7'!AG8+'Table 8'!Y8+'Table 9'!R8+'Table 10'!R8</f>
        <v>4.74</v>
      </c>
      <c r="Z8" s="559">
        <f>'Table 4'!AM8+'Table 6'!AH8+'Table 7'!AH8+'Table 8'!Z8+'Table 9'!S8+'Table 10'!S8</f>
        <v>0.52</v>
      </c>
      <c r="AA8" s="518">
        <f>'Table 4'!AN8+'Table 6'!AI8+'Table 7'!AI8+'Table 8'!AA8+'Table 9'!T8+'Table 10'!T8</f>
        <v>5.26</v>
      </c>
      <c r="AC8" s="1597">
        <f t="shared" si="1"/>
        <v>0.98</v>
      </c>
    </row>
    <row r="9" spans="1:29" ht="13.5" thickBot="1">
      <c r="A9" s="579" t="s">
        <v>19</v>
      </c>
      <c r="B9" s="1349" t="s">
        <v>17</v>
      </c>
      <c r="C9" s="1306">
        <f>'Table 4'!J9+'Table 6'!K9+'Table 7'!C9+'Table 8'!C9+'Table 9'!C9+'Table 10'!C9</f>
        <v>0.26</v>
      </c>
      <c r="D9" s="1057">
        <f>'Table 4'!K9+'Table 6'!L9+'Table 7'!D9+'Table 8'!D9+'Table 9'!D9+'Table 10'!D9</f>
        <v>0</v>
      </c>
      <c r="E9" s="1058">
        <f>'Table 4'!L9+'Table 6'!M9+'Table 7'!E9+'Table 8'!E9+'Table 9'!E9+'Table 10'!E9</f>
        <v>0.26</v>
      </c>
      <c r="F9" s="1306">
        <f>'Table 4'!M9+'Table 6'!N9+'Table 7'!F9+'Table 8'!F9+'Table 9'!F9+'Table 10'!F9</f>
        <v>0.28000000000000003</v>
      </c>
      <c r="G9" s="1057">
        <f>'Table 4'!N9+'Table 6'!O9+'Table 7'!G9+'Table 8'!G9+'Table 9'!G9+'Table 10'!G9</f>
        <v>0</v>
      </c>
      <c r="H9" s="1058">
        <f>'Table 4'!O9+'Table 6'!P9+'Table 7'!H9+'Table 8'!H9+'Table 9'!H9+'Table 10'!H9</f>
        <v>0.28000000000000003</v>
      </c>
      <c r="I9" s="1306">
        <f>'Table 4'!Q9+'Table 6'!Q9+'Table 7'!I9+'Table 8'!I9+'Table 9'!I9+'Table 10'!I9</f>
        <v>0.28999999999999998</v>
      </c>
      <c r="J9" s="1057">
        <f>'Table 4'!R9+'Table 6'!R9+'Table 7'!J9+'Table 8'!J9+'Table 9'!J9+'Table 10'!J9</f>
        <v>0</v>
      </c>
      <c r="K9" s="1058">
        <f>'Table 4'!S9+'Table 6'!S9+'Table 7'!K9+'Table 8'!K9+'Table 9'!K9+'Table 10'!K9</f>
        <v>0.28999999999999998</v>
      </c>
      <c r="L9" s="1306">
        <f>'Table 4'!U9+'Table 6'!T9+'Table 7'!L9+'Table 8'!L9+'Table 9'!L9+'Table 10'!L9</f>
        <v>0.3</v>
      </c>
      <c r="M9" s="1057">
        <f>'Table 4'!V9+'Table 6'!U9+'Table 7'!M9+'Table 8'!M9+'Table 9'!M9+'Table 10'!M9</f>
        <v>0</v>
      </c>
      <c r="N9" s="1058">
        <f>'Table 4'!W9+'Table 6'!V9+'Table 7'!N9+'Table 8'!N9+'Table 9'!N9+'Table 10'!N9</f>
        <v>0.3</v>
      </c>
      <c r="O9" s="1306">
        <f>'Table 4'!Y9+'Table 6'!W9+'Table 7'!O9+'Table 8'!O9+'Table 9'!O9+'Table 10'!O9</f>
        <v>0.31</v>
      </c>
      <c r="P9" s="1057">
        <f>'Table 4'!Z9+'Table 6'!X9+'Table 7'!P9+'Table 8'!P9+'Table 9'!P9+'Table 10'!P9</f>
        <v>0</v>
      </c>
      <c r="Q9" s="1058">
        <f>'Table 4'!AA9+'Table 6'!Y9+'Table 7'!Q9+'Table 8'!Q9+'Table 9'!Q9+'Table 10'!Q9</f>
        <v>0.31</v>
      </c>
      <c r="R9" s="1306">
        <f>'Table 4'!AC9+'Table 6'!Z9+'Table 7'!R9+'Table 8'!R9+'Table 9'!R9+'Table 10'!R9</f>
        <v>0.33</v>
      </c>
      <c r="S9" s="1057">
        <f>'Table 4'!AD9+'Table 6'!AA9+'Table 7'!S9+'Table 8'!S9+'Table 9'!S9+'Table 10'!S9</f>
        <v>0</v>
      </c>
      <c r="T9" s="1385">
        <f>'Table 4'!AE9+'Table 6'!AB9+'Table 7'!T9+'Table 8'!T9+'Table 9'!T9+'Table 10'!T9</f>
        <v>0.33</v>
      </c>
      <c r="U9" s="1306">
        <f>'Table 4'!AG9+'Table 6'!AC9+'Table 7'!U9+'Table 8'!U9+'Table 9'!U9+'Table 10'!U9</f>
        <v>0.34</v>
      </c>
      <c r="V9" s="1057">
        <f>'Table 4'!AH9+'Table 6'!AD9+'Table 7'!V9+'Table 8'!V9+'Table 9'!V9+'Table 10'!V9</f>
        <v>0</v>
      </c>
      <c r="W9" s="1385">
        <f>'Table 4'!AI9+'Table 6'!AE9+'Table 7'!W9+'Table 8'!W9+'Table 9'!W9+'Table 10'!W9</f>
        <v>0.34</v>
      </c>
      <c r="X9" s="1384">
        <f t="shared" si="0"/>
        <v>0.31</v>
      </c>
      <c r="Y9" s="467">
        <f>'Table 4'!AL9+'Table 6'!AG9+'Table 7'!AG9+'Table 8'!Y9+'Table 9'!R9+'Table 10'!R9</f>
        <v>0.33</v>
      </c>
      <c r="Z9" s="562">
        <f>'Table 4'!AM9+'Table 6'!AH9+'Table 7'!AH9+'Table 8'!Z9+'Table 9'!S9+'Table 10'!S9</f>
        <v>0</v>
      </c>
      <c r="AA9" s="943">
        <f>'Table 4'!AN9+'Table 6'!AI9+'Table 7'!AI9+'Table 8'!AA9+'Table 9'!T9+'Table 10'!T9</f>
        <v>0.33</v>
      </c>
      <c r="AC9" s="1741">
        <f t="shared" si="1"/>
        <v>0.08</v>
      </c>
    </row>
    <row r="10" spans="1:29" s="67" customFormat="1" ht="14.25" thickTop="1" thickBot="1">
      <c r="A10" s="279" t="s">
        <v>19</v>
      </c>
      <c r="B10" s="120" t="s">
        <v>18</v>
      </c>
      <c r="C10" s="1228">
        <f>SUM(C8:C9)</f>
        <v>3.77</v>
      </c>
      <c r="D10" s="128">
        <f t="shared" ref="D10:T10" si="4">SUM(D8:D9)</f>
        <v>0.47</v>
      </c>
      <c r="E10" s="469">
        <f t="shared" si="4"/>
        <v>4.24</v>
      </c>
      <c r="F10" s="1228">
        <f t="shared" si="4"/>
        <v>4.09</v>
      </c>
      <c r="G10" s="128">
        <f t="shared" si="4"/>
        <v>0.43</v>
      </c>
      <c r="H10" s="469">
        <f t="shared" si="4"/>
        <v>4.5199999999999996</v>
      </c>
      <c r="I10" s="1228">
        <f t="shared" si="4"/>
        <v>4.28</v>
      </c>
      <c r="J10" s="128">
        <f t="shared" si="4"/>
        <v>0.45</v>
      </c>
      <c r="K10" s="469">
        <f t="shared" si="4"/>
        <v>4.7300000000000004</v>
      </c>
      <c r="L10" s="1228">
        <f t="shared" si="4"/>
        <v>4.46</v>
      </c>
      <c r="M10" s="128">
        <f t="shared" si="4"/>
        <v>0.46</v>
      </c>
      <c r="N10" s="469">
        <f t="shared" si="4"/>
        <v>4.92</v>
      </c>
      <c r="O10" s="1228">
        <f t="shared" si="4"/>
        <v>4.58</v>
      </c>
      <c r="P10" s="128">
        <f t="shared" si="4"/>
        <v>0.47</v>
      </c>
      <c r="Q10" s="469">
        <f t="shared" si="4"/>
        <v>5.05</v>
      </c>
      <c r="R10" s="1228">
        <f t="shared" si="4"/>
        <v>4.7</v>
      </c>
      <c r="S10" s="128">
        <f t="shared" si="4"/>
        <v>0.49</v>
      </c>
      <c r="T10" s="119">
        <f t="shared" si="4"/>
        <v>5.19</v>
      </c>
      <c r="U10" s="1228">
        <f t="shared" ref="U10:W10" si="5">SUM(U8:U9)</f>
        <v>4.8099999999999996</v>
      </c>
      <c r="V10" s="128">
        <f t="shared" si="5"/>
        <v>0.49</v>
      </c>
      <c r="W10" s="119">
        <f t="shared" si="5"/>
        <v>5.3</v>
      </c>
      <c r="X10" s="1373">
        <f t="shared" si="0"/>
        <v>0.25</v>
      </c>
      <c r="Y10" s="470">
        <f>SUM(Y8:Y9)</f>
        <v>5.07</v>
      </c>
      <c r="Z10" s="555">
        <f>SUM(Z8:Z9)</f>
        <v>0.52</v>
      </c>
      <c r="AA10" s="474">
        <f>SUM(AA8:AA9)</f>
        <v>5.59</v>
      </c>
      <c r="AC10" s="1598">
        <f t="shared" si="1"/>
        <v>1.06</v>
      </c>
    </row>
    <row r="11" spans="1:29">
      <c r="A11" s="475" t="s">
        <v>20</v>
      </c>
      <c r="B11" s="109" t="s">
        <v>15</v>
      </c>
      <c r="C11" s="1200">
        <f>'Table 4'!J11+'Table 6'!K11+'Table 7'!C11+'Table 8'!C11+'Table 9'!C11+'Table 10'!C11</f>
        <v>0.32</v>
      </c>
      <c r="D11" s="463">
        <f>'Table 4'!K11+'Table 6'!L11+'Table 7'!D11+'Table 8'!D11+'Table 9'!D11+'Table 10'!D11</f>
        <v>0</v>
      </c>
      <c r="E11" s="517">
        <f>'Table 4'!L11+'Table 6'!M11+'Table 7'!E11+'Table 8'!E11+'Table 9'!E11+'Table 10'!E11</f>
        <v>0.32</v>
      </c>
      <c r="F11" s="1200">
        <f>'Table 4'!M11+'Table 6'!N11+'Table 7'!F11+'Table 8'!F11+'Table 9'!F11+'Table 10'!F11</f>
        <v>0.22</v>
      </c>
      <c r="G11" s="463">
        <f>'Table 4'!N11+'Table 6'!O11+'Table 7'!G11+'Table 8'!G11+'Table 9'!G11+'Table 10'!G11</f>
        <v>0</v>
      </c>
      <c r="H11" s="517">
        <f>'Table 4'!O11+'Table 6'!P11+'Table 7'!H11+'Table 8'!H11+'Table 9'!H11+'Table 10'!H11</f>
        <v>0.22</v>
      </c>
      <c r="I11" s="1200">
        <f>'Table 4'!Q11+'Table 6'!Q11+'Table 7'!I11+'Table 8'!I11+'Table 9'!I11+'Table 10'!I11</f>
        <v>0.26</v>
      </c>
      <c r="J11" s="463">
        <f>'Table 4'!R11+'Table 6'!R11+'Table 7'!J11+'Table 8'!J11+'Table 9'!J11+'Table 10'!J11</f>
        <v>0</v>
      </c>
      <c r="K11" s="517">
        <f>'Table 4'!S11+'Table 6'!S11+'Table 7'!K11+'Table 8'!K11+'Table 9'!K11+'Table 10'!K11</f>
        <v>0.26</v>
      </c>
      <c r="L11" s="1200">
        <f>'Table 4'!U11+'Table 6'!T11+'Table 7'!L11+'Table 8'!L11+'Table 9'!L11+'Table 10'!L11</f>
        <v>0.28000000000000003</v>
      </c>
      <c r="M11" s="463">
        <f>'Table 4'!V11+'Table 6'!U11+'Table 7'!M11+'Table 8'!M11+'Table 9'!M11+'Table 10'!M11</f>
        <v>0</v>
      </c>
      <c r="N11" s="517">
        <f>'Table 4'!W11+'Table 6'!V11+'Table 7'!N11+'Table 8'!N11+'Table 9'!N11+'Table 10'!N11</f>
        <v>0.28000000000000003</v>
      </c>
      <c r="O11" s="1200">
        <f>'Table 4'!Y11+'Table 6'!W11+'Table 7'!O11+'Table 8'!O11+'Table 9'!O11+'Table 10'!O11</f>
        <v>0.28000000000000003</v>
      </c>
      <c r="P11" s="463">
        <f>'Table 4'!Z11+'Table 6'!X11+'Table 7'!P11+'Table 8'!P11+'Table 9'!P11+'Table 10'!P11</f>
        <v>0</v>
      </c>
      <c r="Q11" s="517">
        <f>'Table 4'!AA11+'Table 6'!Y11+'Table 7'!Q11+'Table 8'!Q11+'Table 9'!Q11+'Table 10'!Q11</f>
        <v>0.28000000000000003</v>
      </c>
      <c r="R11" s="1200">
        <f>'Table 4'!AC11+'Table 6'!Z11+'Table 7'!R11+'Table 8'!R11+'Table 9'!R11+'Table 10'!R11</f>
        <v>0.28999999999999998</v>
      </c>
      <c r="S11" s="463">
        <f>'Table 4'!AD11+'Table 6'!AA11+'Table 7'!S11+'Table 8'!S11+'Table 9'!S11+'Table 10'!S11</f>
        <v>0</v>
      </c>
      <c r="T11" s="1371">
        <f>'Table 4'!AE11+'Table 6'!AB11+'Table 7'!T11+'Table 8'!T11+'Table 9'!T11+'Table 10'!T11</f>
        <v>0.28999999999999998</v>
      </c>
      <c r="U11" s="1200">
        <f>'Table 4'!AG11+'Table 6'!AC11+'Table 7'!U11+'Table 8'!U11+'Table 9'!U11+'Table 10'!U11</f>
        <v>0.31</v>
      </c>
      <c r="V11" s="463">
        <f>'Table 4'!AH11+'Table 6'!AD11+'Table 7'!V11+'Table 8'!V11+'Table 9'!V11+'Table 10'!V11</f>
        <v>0</v>
      </c>
      <c r="W11" s="1371">
        <f>'Table 4'!AI11+'Table 6'!AE11+'Table 7'!W11+'Table 8'!W11+'Table 9'!W11+'Table 10'!W11</f>
        <v>0.31</v>
      </c>
      <c r="X11" s="1372">
        <f t="shared" si="0"/>
        <v>-0.03</v>
      </c>
      <c r="Y11" s="464">
        <f>'Table 4'!AL11+'Table 6'!AG11+'Table 7'!AG11+'Table 8'!Y11+'Table 9'!R11+'Table 10'!R11</f>
        <v>0.33</v>
      </c>
      <c r="Z11" s="559">
        <f>'Table 4'!AM11+'Table 6'!AH11+'Table 7'!AH11+'Table 8'!Z11+'Table 9'!S11+'Table 10'!S11</f>
        <v>0</v>
      </c>
      <c r="AA11" s="518">
        <f>'Table 4'!AN11+'Table 6'!AI11+'Table 7'!AI11+'Table 8'!AA11+'Table 9'!T11+'Table 10'!T11</f>
        <v>0.33</v>
      </c>
      <c r="AC11" s="1597">
        <f t="shared" si="1"/>
        <v>-0.01</v>
      </c>
    </row>
    <row r="12" spans="1:29" ht="13.5" thickBot="1">
      <c r="A12" s="579" t="s">
        <v>20</v>
      </c>
      <c r="B12" s="1365" t="s">
        <v>17</v>
      </c>
      <c r="C12" s="1366">
        <f>'Table 4'!J12+'Table 6'!K12+'Table 7'!C12+'Table 8'!C12+'Table 9'!C12+'Table 10'!C12</f>
        <v>4.71</v>
      </c>
      <c r="D12" s="1213">
        <f>'Table 4'!K12+'Table 6'!L12+'Table 7'!D12+'Table 8'!D12+'Table 9'!D12+'Table 10'!D12</f>
        <v>0</v>
      </c>
      <c r="E12" s="1367">
        <f>'Table 4'!L12+'Table 6'!M12+'Table 7'!E12+'Table 8'!E12+'Table 9'!E12+'Table 10'!E12</f>
        <v>4.71</v>
      </c>
      <c r="F12" s="1366">
        <f>'Table 4'!M12+'Table 6'!N12+'Table 7'!F12+'Table 8'!F12+'Table 9'!F12+'Table 10'!F12</f>
        <v>4.8600000000000003</v>
      </c>
      <c r="G12" s="1213">
        <f>'Table 4'!N12+'Table 6'!O12+'Table 7'!G12+'Table 8'!G12+'Table 9'!G12+'Table 10'!G12</f>
        <v>0</v>
      </c>
      <c r="H12" s="1367">
        <f>'Table 4'!O12+'Table 6'!P12+'Table 7'!H12+'Table 8'!H12+'Table 9'!H12+'Table 10'!H12</f>
        <v>4.8600000000000003</v>
      </c>
      <c r="I12" s="1366">
        <f>'Table 4'!Q12+'Table 6'!Q12+'Table 7'!I12+'Table 8'!I12+'Table 9'!I12+'Table 10'!I12</f>
        <v>4.84</v>
      </c>
      <c r="J12" s="1213">
        <f>'Table 4'!R12+'Table 6'!R12+'Table 7'!J12+'Table 8'!J12+'Table 9'!J12+'Table 10'!J12</f>
        <v>0</v>
      </c>
      <c r="K12" s="1367">
        <f>'Table 4'!S12+'Table 6'!S12+'Table 7'!K12+'Table 8'!K12+'Table 9'!K12+'Table 10'!K12</f>
        <v>4.84</v>
      </c>
      <c r="L12" s="1366">
        <f>'Table 4'!U12+'Table 6'!T12+'Table 7'!L12+'Table 8'!L12+'Table 9'!L12+'Table 10'!L12</f>
        <v>4.84</v>
      </c>
      <c r="M12" s="1213">
        <f>'Table 4'!V12+'Table 6'!U12+'Table 7'!M12+'Table 8'!M12+'Table 9'!M12+'Table 10'!M12</f>
        <v>0</v>
      </c>
      <c r="N12" s="1367">
        <f>'Table 4'!W12+'Table 6'!V12+'Table 7'!N12+'Table 8'!N12+'Table 9'!N12+'Table 10'!N12</f>
        <v>4.84</v>
      </c>
      <c r="O12" s="1366">
        <f>'Table 4'!Y12+'Table 6'!W12+'Table 7'!O12+'Table 8'!O12+'Table 9'!O12+'Table 10'!O12</f>
        <v>4.87</v>
      </c>
      <c r="P12" s="1213">
        <f>'Table 4'!Z12+'Table 6'!X12+'Table 7'!P12+'Table 8'!P12+'Table 9'!P12+'Table 10'!P12</f>
        <v>0</v>
      </c>
      <c r="Q12" s="1367">
        <f>'Table 4'!AA12+'Table 6'!Y12+'Table 7'!Q12+'Table 8'!Q12+'Table 9'!Q12+'Table 10'!Q12</f>
        <v>4.87</v>
      </c>
      <c r="R12" s="1366">
        <f>'Table 4'!AC12+'Table 6'!Z12+'Table 7'!R12+'Table 8'!R12+'Table 9'!R12+'Table 10'!R12</f>
        <v>4.87</v>
      </c>
      <c r="S12" s="1213">
        <f>'Table 4'!AD12+'Table 6'!AA12+'Table 7'!S12+'Table 8'!S12+'Table 9'!S12+'Table 10'!S12</f>
        <v>0</v>
      </c>
      <c r="T12" s="1368">
        <f>'Table 4'!AE12+'Table 6'!AB12+'Table 7'!T12+'Table 8'!T12+'Table 9'!T12+'Table 10'!T12</f>
        <v>4.87</v>
      </c>
      <c r="U12" s="1366">
        <f>'Table 4'!AG12+'Table 6'!AC12+'Table 7'!U12+'Table 8'!U12+'Table 9'!U12+'Table 10'!U12</f>
        <v>4.8499999999999996</v>
      </c>
      <c r="V12" s="1213">
        <f>'Table 4'!AH12+'Table 6'!AD12+'Table 7'!V12+'Table 8'!V12+'Table 9'!V12+'Table 10'!V12</f>
        <v>0</v>
      </c>
      <c r="W12" s="1368">
        <f>'Table 4'!AI12+'Table 6'!AE12+'Table 7'!W12+'Table 8'!W12+'Table 9'!W12+'Table 10'!W12</f>
        <v>4.8499999999999996</v>
      </c>
      <c r="X12" s="1369">
        <f t="shared" si="0"/>
        <v>0.03</v>
      </c>
      <c r="Y12" s="556">
        <f>'Table 4'!AL12+'Table 6'!AG12+'Table 7'!AG12+'Table 8'!Y12+'Table 9'!R12+'Table 10'!R12</f>
        <v>5.48</v>
      </c>
      <c r="Z12" s="557">
        <f>'Table 4'!AM12+'Table 6'!AH12+'Table 7'!AH12+'Table 8'!Z12+'Table 9'!S12+'Table 10'!S12</f>
        <v>0</v>
      </c>
      <c r="AA12" s="558">
        <f>'Table 4'!AN12+'Table 6'!AI12+'Table 7'!AI12+'Table 8'!AA12+'Table 9'!T12+'Table 10'!T12</f>
        <v>5.48</v>
      </c>
      <c r="AC12" s="1595">
        <f t="shared" si="1"/>
        <v>0.14000000000000001</v>
      </c>
    </row>
    <row r="13" spans="1:29" s="67" customFormat="1" ht="14.25" thickTop="1" thickBot="1">
      <c r="A13" s="279" t="s">
        <v>20</v>
      </c>
      <c r="B13" s="120" t="s">
        <v>18</v>
      </c>
      <c r="C13" s="1228">
        <f>SUM(C11:C12)</f>
        <v>5.03</v>
      </c>
      <c r="D13" s="128">
        <f t="shared" ref="D13:T13" si="6">SUM(D11:D12)</f>
        <v>0</v>
      </c>
      <c r="E13" s="469">
        <f t="shared" si="6"/>
        <v>5.03</v>
      </c>
      <c r="F13" s="1228">
        <f t="shared" si="6"/>
        <v>5.08</v>
      </c>
      <c r="G13" s="128">
        <f t="shared" si="6"/>
        <v>0</v>
      </c>
      <c r="H13" s="469">
        <f t="shared" si="6"/>
        <v>5.08</v>
      </c>
      <c r="I13" s="1228">
        <f t="shared" si="6"/>
        <v>5.0999999999999996</v>
      </c>
      <c r="J13" s="128">
        <f t="shared" si="6"/>
        <v>0</v>
      </c>
      <c r="K13" s="469">
        <f t="shared" si="6"/>
        <v>5.0999999999999996</v>
      </c>
      <c r="L13" s="1228">
        <f t="shared" si="6"/>
        <v>5.12</v>
      </c>
      <c r="M13" s="128">
        <f t="shared" si="6"/>
        <v>0</v>
      </c>
      <c r="N13" s="469">
        <f t="shared" si="6"/>
        <v>5.12</v>
      </c>
      <c r="O13" s="1228">
        <f t="shared" si="6"/>
        <v>5.15</v>
      </c>
      <c r="P13" s="128">
        <f t="shared" si="6"/>
        <v>0</v>
      </c>
      <c r="Q13" s="469">
        <f t="shared" si="6"/>
        <v>5.15</v>
      </c>
      <c r="R13" s="1228">
        <f t="shared" si="6"/>
        <v>5.16</v>
      </c>
      <c r="S13" s="128">
        <f t="shared" si="6"/>
        <v>0</v>
      </c>
      <c r="T13" s="119">
        <f t="shared" si="6"/>
        <v>5.16</v>
      </c>
      <c r="U13" s="1228">
        <f t="shared" ref="U13:W13" si="7">SUM(U11:U12)</f>
        <v>5.16</v>
      </c>
      <c r="V13" s="128">
        <f t="shared" si="7"/>
        <v>0</v>
      </c>
      <c r="W13" s="119">
        <f t="shared" si="7"/>
        <v>5.16</v>
      </c>
      <c r="X13" s="1373">
        <f t="shared" si="0"/>
        <v>0.03</v>
      </c>
      <c r="Y13" s="470">
        <f>SUM(Y11:Y12)</f>
        <v>5.81</v>
      </c>
      <c r="Z13" s="555">
        <f>SUM(Z11:Z12)</f>
        <v>0</v>
      </c>
      <c r="AA13" s="474">
        <f>SUM(AA11:AA12)</f>
        <v>5.81</v>
      </c>
      <c r="AC13" s="1598">
        <f t="shared" si="1"/>
        <v>0.13</v>
      </c>
    </row>
    <row r="14" spans="1:29">
      <c r="A14" s="455" t="s">
        <v>21</v>
      </c>
      <c r="B14" s="1353" t="s">
        <v>15</v>
      </c>
      <c r="C14" s="1352">
        <f>'Table 4'!J14+'Table 6'!K14+'Table 7'!C14+'Table 8'!C14+'Table 9'!C14+'Table 10'!C14</f>
        <v>21.31</v>
      </c>
      <c r="D14" s="451">
        <f>'Table 4'!K14+'Table 6'!L14+'Table 7'!D14+'Table 8'!D14+'Table 9'!D14+'Table 10'!D14</f>
        <v>0.33</v>
      </c>
      <c r="E14" s="1078">
        <f>'Table 4'!L14+'Table 6'!M14+'Table 7'!E14+'Table 8'!E14+'Table 9'!E14+'Table 10'!E14</f>
        <v>21.64</v>
      </c>
      <c r="F14" s="1352">
        <f>'Table 4'!M14+'Table 6'!N14+'Table 7'!F14+'Table 8'!F14+'Table 9'!F14+'Table 10'!F14</f>
        <v>20.58</v>
      </c>
      <c r="G14" s="451">
        <f>'Table 4'!N14+'Table 6'!O14+'Table 7'!G14+'Table 8'!G14+'Table 9'!G14+'Table 10'!G14</f>
        <v>0.36</v>
      </c>
      <c r="H14" s="1078">
        <f>'Table 4'!O14+'Table 4'!P14+'Table 6'!P14+'Table 7'!H14+'Table 8'!H14+'Table 9'!H14+'Table 10'!H14</f>
        <v>22.23</v>
      </c>
      <c r="I14" s="1352">
        <f>'Table 4'!Q14+'Table 6'!Q14+'Table 7'!I14+'Table 8'!I14+'Table 9'!I14+'Table 10'!I14</f>
        <v>22.73</v>
      </c>
      <c r="J14" s="451">
        <f>'Table 4'!R14+'Table 6'!R14+'Table 7'!J14+'Table 8'!J14+'Table 9'!J14+'Table 10'!J14</f>
        <v>0.39</v>
      </c>
      <c r="K14" s="1078">
        <f>'Table 4'!S14+'Table 4'!T14+'Table 6'!S14+'Table 7'!K14+'Table 8'!K14+'Table 9'!K14+'Table 10'!K14</f>
        <v>24.41</v>
      </c>
      <c r="L14" s="1352">
        <f>'Table 4'!U14+'Table 6'!T14+'Table 7'!L14+'Table 8'!L14+'Table 9'!L14+'Table 10'!L14</f>
        <v>23.8</v>
      </c>
      <c r="M14" s="451">
        <f>'Table 4'!V14+'Table 6'!U14+'Table 7'!M14+'Table 8'!M14+'Table 9'!M14+'Table 10'!M14</f>
        <v>0.41</v>
      </c>
      <c r="N14" s="1078">
        <f>'Table 4'!W14+'Table 4'!X14+'Table 6'!V14+'Table 7'!N14+'Table 8'!N14+'Table 9'!N14+'Table 10'!N14</f>
        <v>25.5</v>
      </c>
      <c r="O14" s="1352">
        <f>'Table 4'!Y14+'Table 6'!W14+'Table 7'!O14+'Table 8'!O14+'Table 9'!O14+'Table 10'!O14</f>
        <v>25.23</v>
      </c>
      <c r="P14" s="451">
        <f>'Table 4'!Z14+'Table 6'!X14+'Table 7'!P14+'Table 8'!P14+'Table 9'!P14+'Table 10'!P14</f>
        <v>0.44</v>
      </c>
      <c r="Q14" s="1078">
        <f>'Table 4'!AA14+'Table 4'!AB14+'Table 6'!Y14+'Table 7'!Q14+'Table 8'!Q14+'Table 9'!Q14+'Table 10'!Q14</f>
        <v>26.96</v>
      </c>
      <c r="R14" s="1352">
        <f>'Table 4'!AC14+'Table 6'!Z14+'Table 7'!R14+'Table 8'!R14+'Table 9'!R14+'Table 10'!R14</f>
        <v>26.15</v>
      </c>
      <c r="S14" s="451">
        <f>'Table 4'!AD14+'Table 6'!AA14+'Table 7'!S14+'Table 8'!S14+'Table 9'!S14+'Table 10'!S14</f>
        <v>0.45</v>
      </c>
      <c r="T14" s="1847">
        <f>'Table 4'!AE14+'Table 4'!AF14+'Table 6'!AB14+'Table 7'!T14+'Table 8'!T14+'Table 9'!T14+'Table 10'!T14</f>
        <v>27.89</v>
      </c>
      <c r="U14" s="1352">
        <f>'Table 4'!AG14+'Table 6'!AC14+'Table 7'!U14+'Table 8'!U14+'Table 9'!U14+'Table 10'!U14</f>
        <v>27.06</v>
      </c>
      <c r="V14" s="451">
        <f>'Table 4'!AH14+'Table 6'!AD14+'Table 7'!V14+'Table 8'!V14+'Table 9'!V14+'Table 10'!V14</f>
        <v>0.47</v>
      </c>
      <c r="W14" s="1847">
        <f>'Table 4'!AI14+'Table 4'!AJ14+'Table 6'!AE14+'Table 7'!W14+'Table 8'!W14+'Table 9'!W14+'Table 10'!W14</f>
        <v>28.97</v>
      </c>
      <c r="X14" s="1374">
        <f t="shared" si="0"/>
        <v>0.34</v>
      </c>
      <c r="Y14" s="827">
        <f>'Table 4'!AL14+'Table 6'!AG14+'Table 7'!AG14+'Table 8'!Y14+'Table 9'!R14+'Table 10'!R14</f>
        <v>28.94</v>
      </c>
      <c r="Z14" s="560">
        <f>'Table 4'!AM14+'Table 6'!AH14+'Table 7'!AH14+'Table 8'!Z14+'Table 9'!S14+'Table 10'!S14</f>
        <v>0.62</v>
      </c>
      <c r="AA14" s="940">
        <f>'Table 4'!AN14+'Table 4'!AO14+'Table 6'!AI14+'Table 7'!AI14+'Table 8'!AA14+'Table 9'!T14+'Table 10'!T14</f>
        <v>31.09</v>
      </c>
      <c r="AC14" s="1599">
        <f t="shared" si="1"/>
        <v>7.33</v>
      </c>
    </row>
    <row r="15" spans="1:29">
      <c r="A15" s="455" t="s">
        <v>22</v>
      </c>
      <c r="B15" s="1353" t="s">
        <v>17</v>
      </c>
      <c r="C15" s="1352">
        <f>'Table 4'!J15+'Table 6'!K15+'Table 7'!C15+'Table 8'!C15+'Table 9'!C15+'Table 10'!C15</f>
        <v>11.77</v>
      </c>
      <c r="D15" s="451">
        <f>'Table 4'!K15+'Table 6'!L15+'Table 7'!D15+'Table 8'!D15+'Table 9'!D15+'Table 10'!D15</f>
        <v>0</v>
      </c>
      <c r="E15" s="1078">
        <f>'Table 4'!L15+'Table 6'!M15+'Table 7'!E15+'Table 8'!E15+'Table 9'!E15+'Table 10'!E15</f>
        <v>11.77</v>
      </c>
      <c r="F15" s="1352">
        <f>'Table 4'!M15+'Table 6'!N15+'Table 7'!F15+'Table 8'!F15+'Table 9'!F15+'Table 10'!F15</f>
        <v>11.72</v>
      </c>
      <c r="G15" s="451">
        <f>'Table 4'!N15+'Table 6'!O15+'Table 7'!G15+'Table 8'!G15+'Table 9'!G15+'Table 10'!G15</f>
        <v>0</v>
      </c>
      <c r="H15" s="1078">
        <f>'Table 4'!O15+'Table 6'!P15+'Table 7'!H15+'Table 8'!H15+'Table 9'!H15+'Table 10'!H15</f>
        <v>11.72</v>
      </c>
      <c r="I15" s="1352">
        <f>'Table 4'!Q15+'Table 6'!Q15+'Table 7'!I15+'Table 8'!I15+'Table 9'!I15+'Table 10'!I15</f>
        <v>13.14</v>
      </c>
      <c r="J15" s="451">
        <f>'Table 4'!R15+'Table 6'!R15+'Table 7'!J15+'Table 8'!J15+'Table 9'!J15+'Table 10'!J15</f>
        <v>0</v>
      </c>
      <c r="K15" s="1078">
        <f>'Table 4'!S15+'Table 6'!S15+'Table 7'!K15+'Table 8'!K15+'Table 9'!K15+'Table 10'!K15</f>
        <v>13.14</v>
      </c>
      <c r="L15" s="1352">
        <f>'Table 4'!U15+'Table 6'!T15+'Table 7'!L15+'Table 8'!L15+'Table 9'!L15+'Table 10'!L15</f>
        <v>14.34</v>
      </c>
      <c r="M15" s="451">
        <f>'Table 4'!V15+'Table 6'!U15+'Table 7'!M15+'Table 8'!M15+'Table 9'!M15+'Table 10'!M15</f>
        <v>0</v>
      </c>
      <c r="N15" s="1078">
        <f>'Table 4'!W15+'Table 6'!V15+'Table 7'!N15+'Table 8'!N15+'Table 9'!N15+'Table 10'!N15</f>
        <v>14.34</v>
      </c>
      <c r="O15" s="1352">
        <f>'Table 4'!Y15+'Table 6'!W15+'Table 7'!O15+'Table 8'!O15+'Table 9'!O15+'Table 10'!O15</f>
        <v>15.49</v>
      </c>
      <c r="P15" s="451">
        <f>'Table 4'!Z15+'Table 6'!X15+'Table 7'!P15+'Table 8'!P15+'Table 9'!P15+'Table 10'!P15</f>
        <v>0</v>
      </c>
      <c r="Q15" s="1078">
        <f>'Table 4'!AA15+'Table 6'!Y15+'Table 7'!Q15+'Table 8'!Q15+'Table 9'!Q15+'Table 10'!Q15</f>
        <v>15.49</v>
      </c>
      <c r="R15" s="1352">
        <f>'Table 4'!AC15+'Table 6'!Z15+'Table 7'!R15+'Table 8'!R15+'Table 9'!R15+'Table 10'!R15</f>
        <v>16.84</v>
      </c>
      <c r="S15" s="451">
        <f>'Table 4'!AD15+'Table 6'!AA15+'Table 7'!S15+'Table 8'!S15+'Table 9'!S15+'Table 10'!S15</f>
        <v>0</v>
      </c>
      <c r="T15" s="1847">
        <f>'Table 4'!AE15+'Table 6'!AB15+'Table 7'!T15+'Table 8'!T15+'Table 9'!T15+'Table 10'!T15</f>
        <v>16.84</v>
      </c>
      <c r="U15" s="1352">
        <f>'Table 4'!AG15+'Table 6'!AC15+'Table 7'!U15+'Table 8'!U15+'Table 9'!U15+'Table 10'!U15</f>
        <v>18.190000000000001</v>
      </c>
      <c r="V15" s="451">
        <f>'Table 4'!AH15+'Table 6'!AD15+'Table 7'!V15+'Table 8'!V15+'Table 9'!V15+'Table 10'!V15</f>
        <v>0</v>
      </c>
      <c r="W15" s="1847">
        <f>'Table 4'!AI15+'Table 6'!AE15+'Table 7'!W15+'Table 8'!W15+'Table 9'!W15+'Table 10'!W15</f>
        <v>18.190000000000001</v>
      </c>
      <c r="X15" s="1374">
        <f t="shared" si="0"/>
        <v>0.55000000000000004</v>
      </c>
      <c r="Y15" s="827">
        <f>'Table 4'!AL15+'Table 6'!AG15+'Table 7'!AG15+'Table 8'!Y15+'Table 9'!R15+'Table 10'!R15</f>
        <v>21.17</v>
      </c>
      <c r="Z15" s="560">
        <f>'Table 4'!AM15+'Table 6'!AH15+'Table 7'!AH15+'Table 8'!Z15+'Table 9'!S15+'Table 10'!S15</f>
        <v>0</v>
      </c>
      <c r="AA15" s="940">
        <f>'Table 4'!AN15+'Table 6'!AI15+'Table 7'!AI15+'Table 8'!AA15+'Table 9'!T15+'Table 10'!T15</f>
        <v>21.17</v>
      </c>
      <c r="AC15" s="1599">
        <f t="shared" si="1"/>
        <v>6.42</v>
      </c>
    </row>
    <row r="16" spans="1:29">
      <c r="A16" s="455" t="s">
        <v>23</v>
      </c>
      <c r="B16" s="1353" t="s">
        <v>15</v>
      </c>
      <c r="C16" s="1352">
        <f>'Table 4'!J16+'Table 6'!K16+'Table 7'!C16+'Table 8'!C16+'Table 9'!C16+'Table 10'!C16</f>
        <v>141.52000000000001</v>
      </c>
      <c r="D16" s="451">
        <f>'Table 4'!K16+'Table 6'!L16+'Table 7'!D16+'Table 8'!D16+'Table 9'!D16+'Table 10'!D16</f>
        <v>17.82</v>
      </c>
      <c r="E16" s="1078">
        <f>'Table 4'!L16+'Table 6'!M16+'Table 7'!E16+'Table 8'!E16+'Table 9'!E16+'Table 10'!E16</f>
        <v>159.34</v>
      </c>
      <c r="F16" s="1352">
        <f>'Table 4'!M16+'Table 6'!N16+'Table 7'!F16+'Table 8'!F16+'Table 9'!F16+'Table 10'!F16</f>
        <v>155.08000000000001</v>
      </c>
      <c r="G16" s="451">
        <f>'Table 4'!N16+'Table 6'!O16+'Table 7'!G16+'Table 8'!G16+'Table 9'!G16+'Table 10'!G16</f>
        <v>18.829999999999998</v>
      </c>
      <c r="H16" s="1078">
        <f>'Table 4'!O16+'Table 6'!P16+'Table 7'!H16+'Table 8'!H16+'Table 9'!H16+'Table 10'!H16</f>
        <v>173.91</v>
      </c>
      <c r="I16" s="1352">
        <f>'Table 4'!Q16+'Table 6'!Q16+'Table 7'!I16+'Table 8'!I16+'Table 9'!I16+'Table 10'!I16</f>
        <v>165.55</v>
      </c>
      <c r="J16" s="451">
        <f>'Table 4'!R16+'Table 6'!R16+'Table 7'!J16+'Table 8'!J16+'Table 9'!J16+'Table 10'!J16</f>
        <v>19.47</v>
      </c>
      <c r="K16" s="1078">
        <f>'Table 4'!S16+'Table 6'!S16+'Table 7'!K16+'Table 8'!K16+'Table 9'!K16+'Table 10'!K16</f>
        <v>185.02</v>
      </c>
      <c r="L16" s="1352">
        <f>'Table 4'!U16+'Table 6'!T16+'Table 7'!L16+'Table 8'!L16+'Table 9'!L16+'Table 10'!L16</f>
        <v>173.75</v>
      </c>
      <c r="M16" s="451">
        <f>'Table 4'!V16+'Table 6'!U16+'Table 7'!M16+'Table 8'!M16+'Table 9'!M16+'Table 10'!M16</f>
        <v>20.239999999999998</v>
      </c>
      <c r="N16" s="1078">
        <f>'Table 4'!W16+'Table 6'!V16+'Table 7'!N16+'Table 8'!N16+'Table 9'!N16+'Table 10'!N16</f>
        <v>193.99</v>
      </c>
      <c r="O16" s="1352">
        <f>'Table 4'!Y16+'Table 6'!W16+'Table 7'!O16+'Table 8'!O16+'Table 9'!O16+'Table 10'!O16</f>
        <v>181.13</v>
      </c>
      <c r="P16" s="451">
        <f>'Table 4'!Z16+'Table 6'!X16+'Table 7'!P16+'Table 8'!P16+'Table 9'!P16+'Table 10'!P16</f>
        <v>21.5</v>
      </c>
      <c r="Q16" s="1078">
        <f>'Table 4'!AA16+'Table 6'!Y16+'Table 7'!Q16+'Table 8'!Q16+'Table 9'!Q16+'Table 10'!Q16</f>
        <v>202.63</v>
      </c>
      <c r="R16" s="1352">
        <f>'Table 4'!AC16+'Table 6'!Z16+'Table 7'!R16+'Table 8'!R16+'Table 9'!R16+'Table 10'!R16</f>
        <v>187.17</v>
      </c>
      <c r="S16" s="451">
        <f>'Table 4'!AD16+'Table 6'!AA16+'Table 7'!S16+'Table 8'!S16+'Table 9'!S16+'Table 10'!S16</f>
        <v>22.8</v>
      </c>
      <c r="T16" s="1847">
        <f>'Table 4'!AE16+'Table 6'!AB16+'Table 7'!T16+'Table 8'!T16+'Table 9'!T16+'Table 10'!T16</f>
        <v>209.97</v>
      </c>
      <c r="U16" s="1352">
        <f>'Table 4'!AG16+'Table 6'!AC16+'Table 7'!U16+'Table 8'!U16+'Table 9'!U16+'Table 10'!U16</f>
        <v>192.53</v>
      </c>
      <c r="V16" s="451">
        <f>'Table 4'!AH16+'Table 6'!AD16+'Table 7'!V16+'Table 8'!V16+'Table 9'!V16+'Table 10'!V16</f>
        <v>24.14</v>
      </c>
      <c r="W16" s="1847">
        <f>'Table 4'!AI16+'Table 6'!AE16+'Table 7'!W16+'Table 8'!W16+'Table 9'!W16+'Table 10'!W16</f>
        <v>216.67</v>
      </c>
      <c r="X16" s="1374">
        <f t="shared" si="0"/>
        <v>0.36</v>
      </c>
      <c r="Y16" s="827">
        <f>'Table 4'!AL16+'Table 6'!AG16+'Table 7'!AG16+'Table 8'!Y16+'Table 9'!R16+'Table 10'!R16</f>
        <v>202.35</v>
      </c>
      <c r="Z16" s="560">
        <f>'Table 4'!AM16+'Table 6'!AH16+'Table 7'!AH16+'Table 8'!Z16+'Table 9'!S16+'Table 10'!S16</f>
        <v>24.78</v>
      </c>
      <c r="AA16" s="940">
        <f>'Table 4'!AN16+'Table 6'!AI16+'Table 7'!AI16+'Table 8'!AA16+'Table 9'!T16+'Table 10'!T16</f>
        <v>227.13</v>
      </c>
      <c r="AC16" s="1599">
        <f t="shared" si="1"/>
        <v>57.33</v>
      </c>
    </row>
    <row r="17" spans="1:29">
      <c r="A17" s="455" t="s">
        <v>24</v>
      </c>
      <c r="B17" s="1353" t="s">
        <v>15</v>
      </c>
      <c r="C17" s="1352">
        <f>'Table 4'!J17+'Table 6'!K17+'Table 7'!C17+'Table 8'!C17+'Table 9'!C17+'Table 10'!C17</f>
        <v>16.43</v>
      </c>
      <c r="D17" s="451">
        <f>'Table 4'!K17+'Table 6'!L17+'Table 7'!D17+'Table 8'!D17+'Table 9'!D17+'Table 10'!D17</f>
        <v>1.89</v>
      </c>
      <c r="E17" s="1078">
        <f>'Table 4'!L17+'Table 6'!M17+'Table 7'!E17+'Table 8'!E17+'Table 9'!E17+'Table 10'!E17</f>
        <v>18.32</v>
      </c>
      <c r="F17" s="1352">
        <f>'Table 4'!M17+'Table 6'!N17+'Table 7'!F17+'Table 8'!F17+'Table 9'!F17+'Table 10'!F17</f>
        <v>21.87</v>
      </c>
      <c r="G17" s="451">
        <f>'Table 4'!N17+'Table 6'!O17+'Table 7'!G17+'Table 8'!G17+'Table 9'!G17+'Table 10'!G17</f>
        <v>2.29</v>
      </c>
      <c r="H17" s="1078">
        <f>'Table 4'!O17+'Table 6'!P17+'Table 7'!H17+'Table 8'!H17+'Table 9'!H17+'Table 10'!H17</f>
        <v>24.16</v>
      </c>
      <c r="I17" s="1352">
        <f>'Table 4'!Q17+'Table 6'!Q17+'Table 7'!I17+'Table 8'!I17+'Table 9'!I17+'Table 10'!I17</f>
        <v>23.01</v>
      </c>
      <c r="J17" s="451">
        <f>'Table 4'!R17+'Table 6'!R17+'Table 7'!J17+'Table 8'!J17+'Table 9'!J17+'Table 10'!J17</f>
        <v>2.4500000000000002</v>
      </c>
      <c r="K17" s="1078">
        <f>'Table 4'!S17+'Table 6'!S17+'Table 7'!K17+'Table 8'!K17+'Table 9'!K17+'Table 10'!K17</f>
        <v>25.46</v>
      </c>
      <c r="L17" s="1352">
        <f>'Table 4'!U17+'Table 6'!T17+'Table 7'!L17+'Table 8'!L17+'Table 9'!L17+'Table 10'!L17</f>
        <v>24.01</v>
      </c>
      <c r="M17" s="451">
        <f>'Table 4'!V17+'Table 6'!U17+'Table 7'!M17+'Table 8'!M17+'Table 9'!M17+'Table 10'!M17</f>
        <v>2.59</v>
      </c>
      <c r="N17" s="1078">
        <f>'Table 4'!W17+'Table 6'!V17+'Table 7'!N17+'Table 8'!N17+'Table 9'!N17+'Table 10'!N17</f>
        <v>26.6</v>
      </c>
      <c r="O17" s="1352">
        <f>'Table 4'!Y17+'Table 6'!W17+'Table 7'!O17+'Table 8'!O17+'Table 9'!O17+'Table 10'!O17</f>
        <v>24.85</v>
      </c>
      <c r="P17" s="451">
        <f>'Table 4'!Z17+'Table 6'!X17+'Table 7'!P17+'Table 8'!P17+'Table 9'!P17+'Table 10'!P17</f>
        <v>2.71</v>
      </c>
      <c r="Q17" s="1078">
        <f>'Table 4'!AA17+'Table 6'!Y17+'Table 7'!Q17+'Table 8'!Q17+'Table 9'!Q17+'Table 10'!Q17</f>
        <v>27.56</v>
      </c>
      <c r="R17" s="1352">
        <f>'Table 4'!AC17+'Table 6'!Z17+'Table 7'!R17+'Table 8'!R17+'Table 9'!R17+'Table 10'!R17</f>
        <v>25.3</v>
      </c>
      <c r="S17" s="451">
        <f>'Table 4'!AD17+'Table 6'!AA17+'Table 7'!S17+'Table 8'!S17+'Table 9'!S17+'Table 10'!S17</f>
        <v>2.77</v>
      </c>
      <c r="T17" s="1847">
        <f>'Table 4'!AE17+'Table 6'!AB17+'Table 7'!T17+'Table 8'!T17+'Table 9'!T17+'Table 10'!T17</f>
        <v>28.07</v>
      </c>
      <c r="U17" s="1352">
        <f>'Table 4'!AG17+'Table 6'!AC17+'Table 7'!U17+'Table 8'!U17+'Table 9'!U17+'Table 10'!U17</f>
        <v>25.8</v>
      </c>
      <c r="V17" s="451">
        <f>'Table 4'!AH17+'Table 6'!AD17+'Table 7'!V17+'Table 8'!V17+'Table 9'!V17+'Table 10'!V17</f>
        <v>2.82</v>
      </c>
      <c r="W17" s="1847">
        <f>'Table 4'!AI17+'Table 6'!AE17+'Table 7'!W17+'Table 8'!W17+'Table 9'!W17+'Table 10'!W17</f>
        <v>28.62</v>
      </c>
      <c r="X17" s="1374">
        <f t="shared" si="0"/>
        <v>0.56000000000000005</v>
      </c>
      <c r="Y17" s="827">
        <f>'Table 4'!AL17+'Table 6'!AG17+'Table 7'!AG17+'Table 8'!Y17+'Table 9'!R17+'Table 10'!R17</f>
        <v>30.88</v>
      </c>
      <c r="Z17" s="560">
        <f>'Table 4'!AM17+'Table 6'!AH17+'Table 7'!AH17+'Table 8'!Z17+'Table 9'!S17+'Table 10'!S17</f>
        <v>3.43</v>
      </c>
      <c r="AA17" s="940">
        <f>'Table 4'!AN17+'Table 6'!AI17+'Table 7'!AI17+'Table 8'!AA17+'Table 9'!T17+'Table 10'!T17</f>
        <v>34.31</v>
      </c>
      <c r="AC17" s="1599">
        <f t="shared" si="1"/>
        <v>10.3</v>
      </c>
    </row>
    <row r="18" spans="1:29">
      <c r="A18" s="455" t="s">
        <v>25</v>
      </c>
      <c r="B18" s="1848" t="s">
        <v>17</v>
      </c>
      <c r="C18" s="1352">
        <f>'Table 4'!J18+'Table 6'!K18+'Table 7'!C18+'Table 8'!C18+'Table 9'!C18+'Table 10'!C18</f>
        <v>20.74</v>
      </c>
      <c r="D18" s="451">
        <f>'Table 4'!K18+'Table 6'!L18+'Table 7'!D18+'Table 8'!D18+'Table 9'!D18+'Table 10'!D18</f>
        <v>0</v>
      </c>
      <c r="E18" s="1078">
        <f>'Table 4'!L18+'Table 6'!M18+'Table 7'!E18+'Table 8'!E18+'Table 9'!E18+'Table 10'!E18</f>
        <v>20.74</v>
      </c>
      <c r="F18" s="1352">
        <f>'Table 4'!M18+'Table 6'!N18+'Table 7'!F18+'Table 8'!F18+'Table 9'!F18+'Table 10'!F18</f>
        <v>20.67</v>
      </c>
      <c r="G18" s="451">
        <f>'Table 4'!N18+'Table 6'!O18+'Table 7'!G18+'Table 8'!G18+'Table 9'!G18+'Table 10'!G18</f>
        <v>0</v>
      </c>
      <c r="H18" s="1078">
        <f>'Table 4'!O18+'Table 6'!P18+'Table 7'!H18+'Table 8'!H18+'Table 9'!H18+'Table 10'!H18</f>
        <v>20.84</v>
      </c>
      <c r="I18" s="1352">
        <f>'Table 4'!Q18+'Table 6'!Q18+'Table 7'!I18+'Table 8'!I18+'Table 9'!I18+'Table 10'!I18</f>
        <v>21.59</v>
      </c>
      <c r="J18" s="451">
        <f>'Table 4'!R18+'Table 6'!R18+'Table 7'!J18+'Table 8'!J18+'Table 9'!J18+'Table 10'!J18</f>
        <v>0</v>
      </c>
      <c r="K18" s="1078">
        <f>'Table 4'!S18+'Table 6'!S18+'Table 7'!K18+'Table 8'!K18+'Table 9'!K18+'Table 10'!K18</f>
        <v>21.59</v>
      </c>
      <c r="L18" s="1352">
        <f>'Table 4'!U18+'Table 6'!T18+'Table 7'!L18+'Table 8'!L18+'Table 9'!L18+'Table 10'!L18</f>
        <v>22.33</v>
      </c>
      <c r="M18" s="451">
        <f>'Table 4'!V18+'Table 6'!U18+'Table 7'!M18+'Table 8'!M18+'Table 9'!M18+'Table 10'!M18</f>
        <v>0</v>
      </c>
      <c r="N18" s="1078">
        <f>'Table 4'!W18+'Table 6'!V18+'Table 7'!N18+'Table 8'!N18+'Table 9'!N18+'Table 10'!N18</f>
        <v>22.33</v>
      </c>
      <c r="O18" s="1352">
        <f>'Table 4'!Y18+'Table 6'!W18+'Table 7'!O18+'Table 8'!O18+'Table 9'!O18+'Table 10'!O18</f>
        <v>23.17</v>
      </c>
      <c r="P18" s="451">
        <f>'Table 4'!Z18+'Table 6'!X18+'Table 7'!P18+'Table 8'!P18+'Table 9'!P18+'Table 10'!P18</f>
        <v>0</v>
      </c>
      <c r="Q18" s="1078">
        <f>'Table 4'!AA18+'Table 6'!Y18+'Table 7'!Q18+'Table 8'!Q18+'Table 9'!Q18+'Table 10'!Q18</f>
        <v>23.17</v>
      </c>
      <c r="R18" s="1352">
        <f>'Table 4'!AC18+'Table 6'!Z18+'Table 7'!R18+'Table 8'!R18+'Table 9'!R18+'Table 10'!R18</f>
        <v>23.95</v>
      </c>
      <c r="S18" s="451">
        <f>'Table 4'!AD18+'Table 6'!AA18+'Table 7'!S18+'Table 8'!S18+'Table 9'!S18+'Table 10'!S18</f>
        <v>0</v>
      </c>
      <c r="T18" s="1847">
        <f>'Table 4'!AE18+'Table 6'!AB18+'Table 7'!T18+'Table 8'!T18+'Table 9'!T18+'Table 10'!T18</f>
        <v>23.95</v>
      </c>
      <c r="U18" s="1352">
        <f>'Table 4'!AG18+'Table 6'!AC18+'Table 7'!U18+'Table 8'!U18+'Table 9'!U18+'Table 10'!U18</f>
        <v>24.79</v>
      </c>
      <c r="V18" s="451">
        <f>'Table 4'!AH18+'Table 6'!AD18+'Table 7'!V18+'Table 8'!V18+'Table 9'!V18+'Table 10'!V18</f>
        <v>0</v>
      </c>
      <c r="W18" s="1847">
        <f>'Table 4'!AI18+'Table 6'!AE18+'Table 7'!W18+'Table 8'!W18+'Table 9'!W18+'Table 10'!W18</f>
        <v>24.79</v>
      </c>
      <c r="X18" s="1374">
        <f t="shared" si="0"/>
        <v>0.2</v>
      </c>
      <c r="Y18" s="827">
        <f>'Table 4'!AL18+'Table 6'!AG18+'Table 7'!AG18+'Table 8'!Y18+'Table 9'!R18+'Table 10'!R18</f>
        <v>30.63</v>
      </c>
      <c r="Z18" s="560">
        <f>'Table 4'!AM18+'Table 6'!AH18+'Table 7'!AH18+'Table 8'!Z18+'Table 9'!S18+'Table 10'!S18</f>
        <v>0</v>
      </c>
      <c r="AA18" s="940">
        <f>'Table 4'!AN18+'Table 6'!AI18+'Table 7'!AI18+'Table 8'!AA18+'Table 9'!T18+'Table 10'!T18</f>
        <v>30.63</v>
      </c>
      <c r="AC18" s="1599">
        <f t="shared" si="1"/>
        <v>4.05</v>
      </c>
    </row>
    <row r="19" spans="1:29">
      <c r="A19" s="455" t="s">
        <v>26</v>
      </c>
      <c r="B19" s="1848" t="s">
        <v>17</v>
      </c>
      <c r="C19" s="1352">
        <f>'Table 4'!J19+'Table 6'!K19+'Table 7'!C19+'Table 8'!C19+'Table 9'!C19+'Table 10'!C19</f>
        <v>40.56</v>
      </c>
      <c r="D19" s="451">
        <f>'Table 4'!K19+'Table 6'!L19+'Table 7'!D19+'Table 8'!D19+'Table 9'!D19+'Table 10'!D19</f>
        <v>17.190000000000001</v>
      </c>
      <c r="E19" s="1078">
        <f>'Table 4'!L19+'Table 6'!M19+'Table 7'!E19+'Table 8'!E19+'Table 9'!E19+'Table 10'!E19</f>
        <v>57.75</v>
      </c>
      <c r="F19" s="1352">
        <f>'Table 4'!M19+'Table 6'!N19+'Table 7'!F19+'Table 8'!F19+'Table 9'!F19+'Table 10'!F19</f>
        <v>38.409999999999997</v>
      </c>
      <c r="G19" s="451">
        <f>'Table 4'!N19+'Table 6'!O19+'Table 7'!G19+'Table 8'!G19+'Table 9'!G19+'Table 10'!G19</f>
        <v>17.190000000000001</v>
      </c>
      <c r="H19" s="1078">
        <f>'Table 4'!O19+'Table 6'!P19+'Table 7'!H19+'Table 8'!H19+'Table 9'!H19+'Table 10'!H19</f>
        <v>55.7</v>
      </c>
      <c r="I19" s="1352">
        <f>'Table 4'!Q19+'Table 6'!Q19+'Table 7'!I19+'Table 8'!I19+'Table 9'!I19+'Table 10'!I19</f>
        <v>39.26</v>
      </c>
      <c r="J19" s="451">
        <f>'Table 4'!R19+'Table 6'!R19+'Table 7'!J19+'Table 8'!J19+'Table 9'!J19+'Table 10'!J19</f>
        <v>17.190000000000001</v>
      </c>
      <c r="K19" s="1078">
        <f>'Table 4'!S19+'Table 6'!S19+'Table 7'!K19+'Table 8'!K19+'Table 9'!K19+'Table 10'!K19</f>
        <v>56.45</v>
      </c>
      <c r="L19" s="1352">
        <f>'Table 4'!U19+'Table 6'!T19+'Table 7'!L19+'Table 8'!L19+'Table 9'!L19+'Table 10'!L19</f>
        <v>39.93</v>
      </c>
      <c r="M19" s="451">
        <f>'Table 4'!V19+'Table 6'!U19+'Table 7'!M19+'Table 8'!M19+'Table 9'!M19+'Table 10'!M19</f>
        <v>17.190000000000001</v>
      </c>
      <c r="N19" s="1078">
        <f>'Table 4'!W19+'Table 6'!V19+'Table 7'!N19+'Table 8'!N19+'Table 9'!N19+'Table 10'!N19</f>
        <v>57.12</v>
      </c>
      <c r="O19" s="1352">
        <f>'Table 4'!Y19+'Table 6'!W19+'Table 7'!O19+'Table 8'!O19+'Table 9'!O19+'Table 10'!O19</f>
        <v>40.67</v>
      </c>
      <c r="P19" s="451">
        <f>'Table 4'!Z19+'Table 6'!X19+'Table 7'!P19+'Table 8'!P19+'Table 9'!P19+'Table 10'!P19</f>
        <v>17.190000000000001</v>
      </c>
      <c r="Q19" s="1078">
        <f>'Table 4'!AA19+'Table 6'!Y19+'Table 7'!Q19+'Table 8'!Q19+'Table 9'!Q19+'Table 10'!Q19</f>
        <v>57.86</v>
      </c>
      <c r="R19" s="1352">
        <f>'Table 4'!AC19+'Table 6'!Z19+'Table 7'!R19+'Table 8'!R19+'Table 9'!R19+'Table 10'!R19</f>
        <v>41.43</v>
      </c>
      <c r="S19" s="451">
        <f>'Table 4'!AD19+'Table 6'!AA19+'Table 7'!S19+'Table 8'!S19+'Table 9'!S19+'Table 10'!S19</f>
        <v>17.190000000000001</v>
      </c>
      <c r="T19" s="1847">
        <f>'Table 4'!AE19+'Table 6'!AB19+'Table 7'!T19+'Table 8'!T19+'Table 9'!T19+'Table 10'!T19</f>
        <v>58.62</v>
      </c>
      <c r="U19" s="1352">
        <f>'Table 4'!AG19+'Table 6'!AC19+'Table 7'!U19+'Table 8'!U19+'Table 9'!U19+'Table 10'!U19</f>
        <v>42.13</v>
      </c>
      <c r="V19" s="451">
        <f>'Table 4'!AH19+'Table 6'!AD19+'Table 7'!V19+'Table 8'!V19+'Table 9'!V19+'Table 10'!V19</f>
        <v>17.190000000000001</v>
      </c>
      <c r="W19" s="1847">
        <f>'Table 4'!AI19+'Table 6'!AE19+'Table 7'!W19+'Table 8'!W19+'Table 9'!W19+'Table 10'!W19</f>
        <v>59.32</v>
      </c>
      <c r="X19" s="1374">
        <f t="shared" si="0"/>
        <v>0.03</v>
      </c>
      <c r="Y19" s="827">
        <f>'Table 4'!AL19+'Table 6'!AG19+'Table 7'!AG19+'Table 8'!Y19+'Table 9'!R19+'Table 10'!R19</f>
        <v>47.19</v>
      </c>
      <c r="Z19" s="560">
        <f>'Table 4'!AM19+'Table 6'!AH19+'Table 7'!AH19+'Table 8'!Z19+'Table 9'!S19+'Table 10'!S19</f>
        <v>17.190000000000001</v>
      </c>
      <c r="AA19" s="940">
        <f>'Table 4'!AN19+'Table 6'!AI19+'Table 7'!AI19+'Table 8'!AA19+'Table 9'!T19+'Table 10'!T19</f>
        <v>64.38</v>
      </c>
      <c r="AC19" s="1599">
        <f t="shared" si="1"/>
        <v>1.57</v>
      </c>
    </row>
    <row r="20" spans="1:29">
      <c r="A20" s="455" t="s">
        <v>27</v>
      </c>
      <c r="B20" s="1353" t="s">
        <v>15</v>
      </c>
      <c r="C20" s="1352">
        <f>'Table 4'!J20+'Table 6'!K20+'Table 7'!C20+'Table 8'!C20+'Table 9'!C20+'Table 10'!C20</f>
        <v>45.38</v>
      </c>
      <c r="D20" s="451">
        <f>'Table 4'!K20+'Table 6'!L20+'Table 7'!D20+'Table 8'!D20+'Table 9'!D20+'Table 10'!D20</f>
        <v>1.69</v>
      </c>
      <c r="E20" s="1078">
        <f>'Table 4'!L20+'Table 6'!M20+'Table 7'!E20+'Table 8'!E20+'Table 9'!E20+'Table 10'!E20</f>
        <v>47.07</v>
      </c>
      <c r="F20" s="1352">
        <f>'Table 4'!M20+'Table 6'!N20+'Table 7'!F20+'Table 8'!F20+'Table 9'!F20+'Table 10'!F20</f>
        <v>44.55</v>
      </c>
      <c r="G20" s="451">
        <f>'Table 4'!N20+'Table 6'!O20+'Table 7'!G20+'Table 8'!G20+'Table 9'!G20+'Table 10'!G20</f>
        <v>1.85</v>
      </c>
      <c r="H20" s="1078">
        <f>'Table 4'!O20+'Table 4'!P20+'Table 6'!P20+'Table 7'!H20+'Table 8'!H20+'Table 9'!H20+'Table 10'!H20</f>
        <v>46.4</v>
      </c>
      <c r="I20" s="1352">
        <f>'Table 4'!Q20+'Table 6'!Q20+'Table 7'!I20+'Table 8'!I20+'Table 9'!I20+'Table 10'!I20</f>
        <v>45.56</v>
      </c>
      <c r="J20" s="451">
        <f>'Table 4'!R20+'Table 6'!R20+'Table 7'!J20+'Table 8'!J20+'Table 9'!J20+'Table 10'!J20</f>
        <v>2.04</v>
      </c>
      <c r="K20" s="1078">
        <f>'Table 4'!S20+'Table 4'!T20+'Table 6'!S20+'Table 7'!K20+'Table 8'!K20+'Table 9'!K20+'Table 10'!K20</f>
        <v>47.6</v>
      </c>
      <c r="L20" s="1352">
        <f>'Table 4'!U20+'Table 6'!T20+'Table 7'!L20+'Table 8'!L20+'Table 9'!L20+'Table 10'!L20</f>
        <v>46.25</v>
      </c>
      <c r="M20" s="451">
        <f>'Table 4'!V20+'Table 6'!U20+'Table 7'!M20+'Table 8'!M20+'Table 9'!M20+'Table 10'!M20</f>
        <v>2.19</v>
      </c>
      <c r="N20" s="1078">
        <f>'Table 4'!W20+'Table 4'!X20+'Table 6'!V20+'Table 7'!N20+'Table 8'!N20+'Table 9'!N20+'Table 10'!N20</f>
        <v>48.44</v>
      </c>
      <c r="O20" s="1352">
        <f>'Table 4'!Y20+'Table 6'!W20+'Table 7'!O20+'Table 8'!O20+'Table 9'!O20+'Table 10'!O20</f>
        <v>46.76</v>
      </c>
      <c r="P20" s="451">
        <f>'Table 4'!Z20+'Table 6'!X20+'Table 7'!P20+'Table 8'!P20+'Table 9'!P20+'Table 10'!P20</f>
        <v>2.31</v>
      </c>
      <c r="Q20" s="1078">
        <f>'Table 4'!AA20+'Table 4'!AB20+'Table 6'!Y20+'Table 7'!Q20+'Table 8'!Q20+'Table 9'!Q20+'Table 10'!Q20</f>
        <v>49.2</v>
      </c>
      <c r="R20" s="1352">
        <f>'Table 4'!AC20+'Table 6'!Z20+'Table 7'!R20+'Table 8'!R20+'Table 9'!R20+'Table 10'!R20</f>
        <v>46.98</v>
      </c>
      <c r="S20" s="451">
        <f>'Table 4'!AD20+'Table 6'!AA20+'Table 7'!S20+'Table 8'!S20+'Table 9'!S20+'Table 10'!S20</f>
        <v>2.42</v>
      </c>
      <c r="T20" s="1847">
        <f>'Table 4'!AE20+'Table 4'!AF20+'Table 6'!AB20+'Table 7'!T20+'Table 8'!T20+'Table 9'!T20+'Table 10'!T20</f>
        <v>49.81</v>
      </c>
      <c r="U20" s="1352">
        <f>'Table 4'!AG20+'Table 6'!AC20+'Table 7'!U20+'Table 8'!U20+'Table 9'!U20+'Table 10'!U20</f>
        <v>47.36</v>
      </c>
      <c r="V20" s="451">
        <f>'Table 4'!AH20+'Table 6'!AD20+'Table 7'!V20+'Table 8'!V20+'Table 9'!V20+'Table 10'!V20</f>
        <v>2.5099999999999998</v>
      </c>
      <c r="W20" s="1847">
        <f>'Table 4'!AI20+'Table 4'!AJ20+'Table 6'!AE20+'Table 7'!W20+'Table 8'!W20+'Table 9'!W20+'Table 10'!W20</f>
        <v>50.55</v>
      </c>
      <c r="X20" s="1375">
        <f t="shared" si="0"/>
        <v>7.0000000000000007E-2</v>
      </c>
      <c r="Y20" s="827">
        <f>'Table 4'!AL20+'Table 6'!AG20+'Table 7'!AG20+'Table 8'!Y20+'Table 9'!R20+'Table 10'!R20</f>
        <v>48.23</v>
      </c>
      <c r="Z20" s="560">
        <f>'Table 4'!AM20+'Table 6'!AH20+'Table 7'!AH20+'Table 8'!Z20+'Table 9'!S20+'Table 10'!S20</f>
        <v>3.05</v>
      </c>
      <c r="AA20" s="940">
        <f>'Table 4'!AN20+'Table 4'!AO20+'Table 6'!AI20+'Table 7'!AI20+'Table 8'!AA20+'Table 9'!T20+'Table 10'!T20</f>
        <v>52.23</v>
      </c>
      <c r="AC20" s="1599">
        <f t="shared" si="1"/>
        <v>3.48</v>
      </c>
    </row>
    <row r="21" spans="1:29">
      <c r="A21" s="455" t="s">
        <v>28</v>
      </c>
      <c r="B21" s="1353" t="s">
        <v>15</v>
      </c>
      <c r="C21" s="1352">
        <f>'Table 4'!J21+'Table 6'!K21+'Table 7'!C21+'Table 8'!C21+'Table 9'!C21+'Table 10'!C21</f>
        <v>24.74</v>
      </c>
      <c r="D21" s="451">
        <f>'Table 4'!K21+'Table 6'!L21+'Table 7'!D21+'Table 8'!D21+'Table 9'!D21+'Table 10'!D21</f>
        <v>24.9</v>
      </c>
      <c r="E21" s="1078">
        <f>'Table 4'!L21+'Table 6'!M21+'Table 7'!E21+'Table 8'!E21+'Table 9'!E21+'Table 10'!E21</f>
        <v>49.64</v>
      </c>
      <c r="F21" s="1352">
        <f>'Table 4'!M21+'Table 6'!N21+'Table 7'!F21+'Table 8'!F21+'Table 9'!F21+'Table 10'!F21</f>
        <v>26.63</v>
      </c>
      <c r="G21" s="451">
        <f>'Table 4'!N21+'Table 6'!O21+'Table 7'!G21+'Table 8'!G21+'Table 9'!G21+'Table 10'!G21</f>
        <v>24.97</v>
      </c>
      <c r="H21" s="1078">
        <f>'Table 4'!O21+'Table 6'!P21+'Table 7'!H21+'Table 8'!H21+'Table 9'!H21+'Table 10'!H21</f>
        <v>51.6</v>
      </c>
      <c r="I21" s="1352">
        <f>'Table 4'!Q21+'Table 6'!Q21+'Table 7'!I21+'Table 8'!I21+'Table 9'!I21+'Table 10'!I21</f>
        <v>27.67</v>
      </c>
      <c r="J21" s="451">
        <f>'Table 4'!R21+'Table 6'!R21+'Table 7'!J21+'Table 8'!J21+'Table 9'!J21+'Table 10'!J21</f>
        <v>25.02</v>
      </c>
      <c r="K21" s="1078">
        <f>'Table 4'!S21+'Table 6'!S21+'Table 7'!K21+'Table 8'!K21+'Table 9'!K21+'Table 10'!K21</f>
        <v>52.69</v>
      </c>
      <c r="L21" s="1352">
        <f>'Table 4'!U21+'Table 6'!T21+'Table 7'!L21+'Table 8'!L21+'Table 9'!L21+'Table 10'!L21</f>
        <v>28.6</v>
      </c>
      <c r="M21" s="451">
        <f>'Table 4'!V21+'Table 6'!U21+'Table 7'!M21+'Table 8'!M21+'Table 9'!M21+'Table 10'!M21</f>
        <v>25.05</v>
      </c>
      <c r="N21" s="1078">
        <f>'Table 4'!W21+'Table 6'!V21+'Table 7'!N21+'Table 8'!N21+'Table 9'!N21+'Table 10'!N21</f>
        <v>53.65</v>
      </c>
      <c r="O21" s="1352">
        <f>'Table 4'!Y21+'Table 6'!W21+'Table 7'!O21+'Table 8'!O21+'Table 9'!O21+'Table 10'!O21</f>
        <v>29.45</v>
      </c>
      <c r="P21" s="451">
        <f>'Table 4'!Z21+'Table 6'!X21+'Table 7'!P21+'Table 8'!P21+'Table 9'!P21+'Table 10'!P21</f>
        <v>25.08</v>
      </c>
      <c r="Q21" s="1078">
        <f>'Table 4'!AA21+'Table 6'!Y21+'Table 7'!Q21+'Table 8'!Q21+'Table 9'!Q21+'Table 10'!Q21</f>
        <v>54.53</v>
      </c>
      <c r="R21" s="1352">
        <f>'Table 4'!AC21+'Table 6'!Z21+'Table 7'!R21+'Table 8'!R21+'Table 9'!R21+'Table 10'!R21</f>
        <v>30.4</v>
      </c>
      <c r="S21" s="451">
        <f>'Table 4'!AD21+'Table 6'!AA21+'Table 7'!S21+'Table 8'!S21+'Table 9'!S21+'Table 10'!S21</f>
        <v>25.11</v>
      </c>
      <c r="T21" s="1847">
        <f>'Table 4'!AE21+'Table 6'!AB21+'Table 7'!T21+'Table 8'!T21+'Table 9'!T21+'Table 10'!T21</f>
        <v>55.51</v>
      </c>
      <c r="U21" s="1352">
        <f>'Table 4'!AG21+'Table 6'!AC21+'Table 7'!U21+'Table 8'!U21+'Table 9'!U21+'Table 10'!U21</f>
        <v>31.34</v>
      </c>
      <c r="V21" s="451">
        <f>'Table 4'!AH21+'Table 6'!AD21+'Table 7'!V21+'Table 8'!V21+'Table 9'!V21+'Table 10'!V21</f>
        <v>25.15</v>
      </c>
      <c r="W21" s="1847">
        <f>'Table 4'!AI21+'Table 6'!AE21+'Table 7'!W21+'Table 8'!W21+'Table 9'!W21+'Table 10'!W21</f>
        <v>56.49</v>
      </c>
      <c r="X21" s="1375">
        <f t="shared" si="0"/>
        <v>0.14000000000000001</v>
      </c>
      <c r="Y21" s="827">
        <f>'Table 4'!AL21+'Table 6'!AG21+'Table 7'!AG21+'Table 8'!Y21+'Table 9'!R21+'Table 10'!R21</f>
        <v>39.43</v>
      </c>
      <c r="Z21" s="560">
        <f>'Table 4'!AM21+'Table 6'!AH21+'Table 7'!AH21+'Table 8'!Z21+'Table 9'!S21+'Table 10'!S21</f>
        <v>25.65</v>
      </c>
      <c r="AA21" s="940">
        <f>'Table 4'!AN21+'Table 6'!AI21+'Table 7'!AI21+'Table 8'!AA21+'Table 9'!T21+'Table 10'!T21</f>
        <v>65.08</v>
      </c>
      <c r="AC21" s="1599">
        <f t="shared" si="1"/>
        <v>6.85</v>
      </c>
    </row>
    <row r="22" spans="1:29">
      <c r="A22" s="455" t="s">
        <v>29</v>
      </c>
      <c r="B22" s="1353" t="s">
        <v>15</v>
      </c>
      <c r="C22" s="1352">
        <f>'Table 4'!J22+'Table 6'!K22+'Table 7'!C22+'Table 8'!C22+'Table 9'!C22+'Table 10'!C22</f>
        <v>41.25</v>
      </c>
      <c r="D22" s="451">
        <f>'Table 4'!K22+'Table 6'!L22+'Table 7'!D22+'Table 8'!D22+'Table 9'!D22+'Table 10'!D22</f>
        <v>4.3899999999999997</v>
      </c>
      <c r="E22" s="1078">
        <f>'Table 4'!L22+'Table 6'!M22+'Table 7'!E22+'Table 8'!E22+'Table 9'!E22+'Table 10'!E22</f>
        <v>45.64</v>
      </c>
      <c r="F22" s="1352">
        <f>'Table 4'!M22+'Table 6'!N22+'Table 7'!F22+'Table 8'!F22+'Table 9'!F22+'Table 10'!F22</f>
        <v>60.18</v>
      </c>
      <c r="G22" s="451">
        <f>'Table 4'!N22+'Table 6'!O22+'Table 7'!G22+'Table 8'!G22+'Table 9'!G22+'Table 10'!G22</f>
        <v>5.16</v>
      </c>
      <c r="H22" s="1078">
        <f>'Table 4'!O22+'Table 4'!P22+'Table 6'!P22+'Table 7'!H22+'Table 8'!H22+'Table 9'!H22+'Table 10'!H22</f>
        <v>67.55</v>
      </c>
      <c r="I22" s="1352">
        <f>'Table 4'!Q22+'Table 6'!Q22+'Table 7'!I22+'Table 8'!I22+'Table 9'!I22+'Table 10'!I22</f>
        <v>64.69</v>
      </c>
      <c r="J22" s="451">
        <f>'Table 4'!R22+'Table 6'!R22+'Table 7'!J22+'Table 8'!J22+'Table 9'!J22+'Table 10'!J22</f>
        <v>6.08</v>
      </c>
      <c r="K22" s="1078">
        <f>'Table 4'!S22+'Table 4'!T22+'Table 6'!S22+'Table 7'!K22+'Table 8'!K22+'Table 9'!K22+'Table 10'!K22</f>
        <v>74.61</v>
      </c>
      <c r="L22" s="1352">
        <f>'Table 4'!U22+'Table 6'!T22+'Table 7'!L22+'Table 8'!L22+'Table 9'!L22+'Table 10'!L22</f>
        <v>65.319999999999993</v>
      </c>
      <c r="M22" s="451">
        <f>'Table 4'!V22+'Table 6'!U22+'Table 7'!M22+'Table 8'!M22+'Table 9'!M22+'Table 10'!M22</f>
        <v>6.87</v>
      </c>
      <c r="N22" s="1078">
        <f>'Table 4'!W22+'Table 4'!X22+'Table 6'!V22+'Table 7'!N22+'Table 8'!N22+'Table 9'!N22+'Table 10'!N22</f>
        <v>80.59</v>
      </c>
      <c r="O22" s="1352">
        <f>'Table 4'!Y22+'Table 6'!W22+'Table 7'!O22+'Table 8'!O22+'Table 9'!O22+'Table 10'!O22</f>
        <v>65.790000000000006</v>
      </c>
      <c r="P22" s="451">
        <f>'Table 4'!Z22+'Table 6'!X22+'Table 7'!P22+'Table 8'!P22+'Table 9'!P22+'Table 10'!P22</f>
        <v>7.5</v>
      </c>
      <c r="Q22" s="1078">
        <f>'Table 4'!AA22+'Table 4'!AB22+'Table 6'!Y22+'Table 7'!Q22+'Table 8'!Q22+'Table 9'!Q22+'Table 10'!Q22</f>
        <v>85.43</v>
      </c>
      <c r="R22" s="1352">
        <f>'Table 4'!AC22+'Table 6'!Z22+'Table 7'!R22+'Table 8'!R22+'Table 9'!R22+'Table 10'!R22</f>
        <v>66.209999999999994</v>
      </c>
      <c r="S22" s="451">
        <f>'Table 4'!AD22+'Table 6'!AA22+'Table 7'!S22+'Table 8'!S22+'Table 9'!S22+'Table 10'!S22</f>
        <v>8.08</v>
      </c>
      <c r="T22" s="1847">
        <f>'Table 4'!AE22+'Table 4'!AF22+'Table 6'!AB22+'Table 7'!T22+'Table 8'!T22+'Table 9'!T22+'Table 10'!T22</f>
        <v>89.57</v>
      </c>
      <c r="U22" s="1352">
        <f>'Table 4'!AG22+'Table 6'!AC22+'Table 7'!U22+'Table 8'!U22+'Table 9'!U22+'Table 10'!U22</f>
        <v>66.78</v>
      </c>
      <c r="V22" s="451">
        <f>'Table 4'!AH22+'Table 6'!AD22+'Table 7'!V22+'Table 8'!V22+'Table 9'!V22+'Table 10'!V22</f>
        <v>8.64</v>
      </c>
      <c r="W22" s="1847">
        <f>'Table 4'!AI22+'Table 4'!AJ22+'Table 6'!AE22+'Table 7'!W22+'Table 8'!W22+'Table 9'!W22+'Table 10'!W22</f>
        <v>93.37</v>
      </c>
      <c r="X22" s="1375">
        <f t="shared" si="0"/>
        <v>1.05</v>
      </c>
      <c r="Y22" s="827">
        <f>'Table 4'!AL22+'Table 6'!AG22+'Table 7'!AG22+'Table 8'!Y22+'Table 9'!R22+'Table 10'!R22</f>
        <v>78.94</v>
      </c>
      <c r="Z22" s="560">
        <f>'Table 4'!AM22+'Table 6'!AH22+'Table 7'!AH22+'Table 8'!Z22+'Table 9'!S22+'Table 10'!S22</f>
        <v>10.27</v>
      </c>
      <c r="AA22" s="940">
        <f>'Table 4'!AN22+'Table 4'!AO22+'Table 6'!AI22+'Table 7'!AI22+'Table 8'!AA22+'Table 9'!T22+'Table 10'!T22</f>
        <v>109.54</v>
      </c>
      <c r="AC22" s="1599">
        <f t="shared" si="1"/>
        <v>47.73</v>
      </c>
    </row>
    <row r="23" spans="1:29">
      <c r="A23" s="456" t="s">
        <v>30</v>
      </c>
      <c r="B23" s="1353" t="s">
        <v>17</v>
      </c>
      <c r="C23" s="1352">
        <f>'Table 4'!J23+'Table 6'!K23+'Table 7'!C23+'Table 8'!C23+'Table 9'!C23+'Table 10'!C23</f>
        <v>41.68</v>
      </c>
      <c r="D23" s="451">
        <f>'Table 4'!K23+'Table 6'!L23+'Table 7'!D23+'Table 8'!D23+'Table 9'!D23+'Table 10'!D23</f>
        <v>0.06</v>
      </c>
      <c r="E23" s="1078">
        <f>'Table 4'!L23+'Table 6'!M23+'Table 7'!E23+'Table 8'!E23+'Table 9'!E23+'Table 10'!E23</f>
        <v>41.74</v>
      </c>
      <c r="F23" s="1352">
        <f>'Table 4'!M23+'Table 6'!N23+'Table 7'!F23+'Table 8'!F23+'Table 9'!F23+'Table 10'!F23</f>
        <v>44.62</v>
      </c>
      <c r="G23" s="451">
        <f>'Table 4'!N23+'Table 6'!O23+'Table 7'!G23+'Table 8'!G23+'Table 9'!G23+'Table 10'!G23</f>
        <v>0.05</v>
      </c>
      <c r="H23" s="1078">
        <f>'Table 4'!O23+'Table 6'!P23+'Table 7'!H23+'Table 8'!H23+'Table 9'!H23+'Table 10'!H23</f>
        <v>44.67</v>
      </c>
      <c r="I23" s="1352">
        <f>'Table 4'!Q23+'Table 6'!Q23+'Table 7'!I23+'Table 8'!I23+'Table 9'!I23+'Table 10'!I23</f>
        <v>47.19</v>
      </c>
      <c r="J23" s="451">
        <f>'Table 4'!R23+'Table 6'!R23+'Table 7'!J23+'Table 8'!J23+'Table 9'!J23+'Table 10'!J23</f>
        <v>0.05</v>
      </c>
      <c r="K23" s="1078">
        <f>'Table 4'!S23+'Table 6'!S23+'Table 7'!K23+'Table 8'!K23+'Table 9'!K23+'Table 10'!K23</f>
        <v>47.24</v>
      </c>
      <c r="L23" s="1352">
        <f>'Table 4'!U23+'Table 6'!T23+'Table 7'!L23+'Table 8'!L23+'Table 9'!L23+'Table 10'!L23</f>
        <v>49.14</v>
      </c>
      <c r="M23" s="451">
        <f>'Table 4'!V23+'Table 6'!U23+'Table 7'!M23+'Table 8'!M23+'Table 9'!M23+'Table 10'!M23</f>
        <v>0.05</v>
      </c>
      <c r="N23" s="1078">
        <f>'Table 4'!W23+'Table 6'!V23+'Table 7'!N23+'Table 8'!N23+'Table 9'!N23+'Table 10'!N23</f>
        <v>49.19</v>
      </c>
      <c r="O23" s="1352">
        <f>'Table 4'!Y23+'Table 6'!W23+'Table 7'!O23+'Table 8'!O23+'Table 9'!O23+'Table 10'!O23</f>
        <v>51.3</v>
      </c>
      <c r="P23" s="451">
        <f>'Table 4'!Z23+'Table 6'!X23+'Table 7'!P23+'Table 8'!P23+'Table 9'!P23+'Table 10'!P23</f>
        <v>0.05</v>
      </c>
      <c r="Q23" s="1078">
        <f>'Table 4'!AA23+'Table 6'!Y23+'Table 7'!Q23+'Table 8'!Q23+'Table 9'!Q23+'Table 10'!Q23</f>
        <v>51.35</v>
      </c>
      <c r="R23" s="1352">
        <f>'Table 4'!AC23+'Table 6'!Z23+'Table 7'!R23+'Table 8'!R23+'Table 9'!R23+'Table 10'!R23</f>
        <v>53.36</v>
      </c>
      <c r="S23" s="451">
        <f>'Table 4'!AD23+'Table 6'!AA23+'Table 7'!S23+'Table 8'!S23+'Table 9'!S23+'Table 10'!S23</f>
        <v>0.05</v>
      </c>
      <c r="T23" s="1847">
        <f>'Table 4'!AE23+'Table 6'!AB23+'Table 7'!T23+'Table 8'!T23+'Table 9'!T23+'Table 10'!T23</f>
        <v>53.41</v>
      </c>
      <c r="U23" s="1352">
        <f>'Table 4'!AG23+'Table 6'!AC23+'Table 7'!U23+'Table 8'!U23+'Table 9'!U23+'Table 10'!U23</f>
        <v>55.51</v>
      </c>
      <c r="V23" s="451">
        <f>'Table 4'!AH23+'Table 6'!AD23+'Table 7'!V23+'Table 8'!V23+'Table 9'!V23+'Table 10'!V23</f>
        <v>0.05</v>
      </c>
      <c r="W23" s="1847">
        <f>'Table 4'!AI23+'Table 6'!AE23+'Table 7'!W23+'Table 8'!W23+'Table 9'!W23+'Table 10'!W23</f>
        <v>55.56</v>
      </c>
      <c r="X23" s="1375">
        <f t="shared" si="0"/>
        <v>0.33</v>
      </c>
      <c r="Y23" s="827">
        <f>'Table 4'!AL23+'Table 6'!AG23+'Table 7'!AG23+'Table 8'!Y23+'Table 9'!R23+'Table 10'!R23</f>
        <v>68.33</v>
      </c>
      <c r="Z23" s="560">
        <f>'Table 4'!AM23+'Table 6'!AH23+'Table 7'!AH23+'Table 8'!Z23+'Table 9'!S23+'Table 10'!S23</f>
        <v>0.05</v>
      </c>
      <c r="AA23" s="940">
        <f>'Table 4'!AN23+'Table 6'!AI23+'Table 7'!AI23+'Table 8'!AA23+'Table 9'!T23+'Table 10'!T23</f>
        <v>68.38</v>
      </c>
      <c r="AB23" s="2" t="s">
        <v>36</v>
      </c>
      <c r="AC23" s="1599">
        <f t="shared" si="1"/>
        <v>13.82</v>
      </c>
    </row>
    <row r="24" spans="1:29" ht="13.5" thickBot="1">
      <c r="A24" s="579" t="s">
        <v>31</v>
      </c>
      <c r="B24" s="1349" t="s">
        <v>17</v>
      </c>
      <c r="C24" s="1306">
        <f>'Table 4'!J24+'Table 6'!K24+'Table 7'!C24+'Table 8'!C24+'Table 9'!C24+'Table 10'!C24</f>
        <v>2.76</v>
      </c>
      <c r="D24" s="1057">
        <f>'Table 4'!K24+'Table 6'!L24+'Table 7'!D24+'Table 8'!D24+'Table 9'!D24+'Table 10'!D24</f>
        <v>0</v>
      </c>
      <c r="E24" s="1058">
        <f>'Table 4'!L24+'Table 6'!M24+'Table 7'!E24+'Table 8'!E24+'Table 9'!E24+'Table 10'!E24</f>
        <v>2.76</v>
      </c>
      <c r="F24" s="1306">
        <f>'Table 4'!M24+'Table 6'!N24+'Table 7'!F24+'Table 8'!F24+'Table 9'!F24+'Table 10'!F24</f>
        <v>2.71</v>
      </c>
      <c r="G24" s="1057">
        <f>'Table 4'!N24+'Table 6'!O24+'Table 7'!G24+'Table 8'!G24+'Table 9'!G24+'Table 10'!G24</f>
        <v>0</v>
      </c>
      <c r="H24" s="1058">
        <f>'Table 4'!O24+'Table 6'!P24+'Table 7'!H24+'Table 8'!H24+'Table 9'!H24+'Table 10'!H24</f>
        <v>2.81</v>
      </c>
      <c r="I24" s="1306">
        <f>'Table 4'!Q24+'Table 6'!Q24+'Table 7'!I24+'Table 8'!I24+'Table 9'!I24+'Table 10'!I24</f>
        <v>3.02</v>
      </c>
      <c r="J24" s="1057">
        <f>'Table 4'!R24+'Table 6'!R24+'Table 7'!J24+'Table 8'!J24+'Table 9'!J24+'Table 10'!J24</f>
        <v>0</v>
      </c>
      <c r="K24" s="1058">
        <f>'Table 4'!S24+'Table 6'!S24+'Table 7'!K24+'Table 8'!K24+'Table 9'!K24+'Table 10'!K24</f>
        <v>3.02</v>
      </c>
      <c r="L24" s="1306">
        <f>'Table 4'!U24+'Table 6'!T24+'Table 7'!L24+'Table 8'!L24+'Table 9'!L24+'Table 10'!L24</f>
        <v>3.17</v>
      </c>
      <c r="M24" s="1057">
        <f>'Table 4'!V24+'Table 6'!U24+'Table 7'!M24+'Table 8'!M24+'Table 9'!M24+'Table 10'!M24</f>
        <v>0</v>
      </c>
      <c r="N24" s="1058">
        <f>'Table 4'!W24+'Table 6'!V24+'Table 7'!N24+'Table 8'!N24+'Table 9'!N24+'Table 10'!N24</f>
        <v>3.17</v>
      </c>
      <c r="O24" s="1306">
        <f>'Table 4'!Y24+'Table 6'!W24+'Table 7'!O24+'Table 8'!O24+'Table 9'!O24+'Table 10'!O24</f>
        <v>3.28</v>
      </c>
      <c r="P24" s="1057">
        <f>'Table 4'!Z24+'Table 6'!X24+'Table 7'!P24+'Table 8'!P24+'Table 9'!P24+'Table 10'!P24</f>
        <v>0</v>
      </c>
      <c r="Q24" s="1058">
        <f>'Table 4'!AA24+'Table 6'!Y24+'Table 7'!Q24+'Table 8'!Q24+'Table 9'!Q24+'Table 10'!Q24</f>
        <v>3.28</v>
      </c>
      <c r="R24" s="1306">
        <f>'Table 4'!AC24+'Table 6'!Z24+'Table 7'!R24+'Table 8'!R24+'Table 9'!R24+'Table 10'!R24</f>
        <v>3.45</v>
      </c>
      <c r="S24" s="1057">
        <f>'Table 4'!AD24+'Table 6'!AA24+'Table 7'!S24+'Table 8'!S24+'Table 9'!S24+'Table 10'!S24</f>
        <v>0</v>
      </c>
      <c r="T24" s="1385">
        <f>'Table 4'!AE24+'Table 6'!AB24+'Table 7'!T24+'Table 8'!T24+'Table 9'!T24+'Table 10'!T24</f>
        <v>3.45</v>
      </c>
      <c r="U24" s="1306">
        <f>'Table 4'!AG24+'Table 6'!AC24+'Table 7'!U24+'Table 8'!U24+'Table 9'!U24+'Table 10'!U24</f>
        <v>3.57</v>
      </c>
      <c r="V24" s="1057">
        <f>'Table 4'!AH24+'Table 6'!AD24+'Table 7'!V24+'Table 8'!V24+'Table 9'!V24+'Table 10'!V24</f>
        <v>0</v>
      </c>
      <c r="W24" s="1385">
        <f>'Table 4'!AI24+'Table 6'!AE24+'Table 7'!W24+'Table 8'!W24+'Table 9'!W24+'Table 10'!W24</f>
        <v>3.57</v>
      </c>
      <c r="X24" s="1384">
        <f t="shared" si="0"/>
        <v>0.28999999999999998</v>
      </c>
      <c r="Y24" s="467">
        <f>'Table 4'!AL24+'Table 6'!AG24+'Table 7'!AG24+'Table 8'!Y24+'Table 9'!R24+'Table 10'!R24</f>
        <v>4.29</v>
      </c>
      <c r="Z24" s="562">
        <f>'Table 4'!AM24+'Table 6'!AH24+'Table 7'!AH24+'Table 8'!Z24+'Table 9'!S24+'Table 10'!S24</f>
        <v>0</v>
      </c>
      <c r="AA24" s="943">
        <f>'Table 4'!AN24+'Table 6'!AI24+'Table 7'!AI24+'Table 8'!AA24+'Table 9'!T24+'Table 10'!T24</f>
        <v>4.29</v>
      </c>
      <c r="AC24" s="1741">
        <f t="shared" si="1"/>
        <v>0.81</v>
      </c>
    </row>
    <row r="25" spans="1:29" ht="14.25" thickTop="1" thickBot="1">
      <c r="A25" s="3231" t="s">
        <v>32</v>
      </c>
      <c r="B25" s="3232"/>
      <c r="C25" s="1226">
        <f>C5+C8+C11+C14+C16+C17+C20+C21+C22</f>
        <v>320.25</v>
      </c>
      <c r="D25" s="481">
        <f t="shared" ref="D25:W25" si="8">D5+D8+D11+D14+D16+D17+D20+D21+D22</f>
        <v>51.57</v>
      </c>
      <c r="E25" s="447">
        <f t="shared" si="8"/>
        <v>371.82</v>
      </c>
      <c r="F25" s="1226">
        <f t="shared" si="8"/>
        <v>359.62</v>
      </c>
      <c r="G25" s="481">
        <f t="shared" si="8"/>
        <v>53.97</v>
      </c>
      <c r="H25" s="447">
        <f t="shared" si="8"/>
        <v>417.09</v>
      </c>
      <c r="I25" s="1226">
        <f t="shared" si="8"/>
        <v>380.74</v>
      </c>
      <c r="J25" s="481">
        <f t="shared" si="8"/>
        <v>55.98</v>
      </c>
      <c r="K25" s="447">
        <f t="shared" si="8"/>
        <v>441.85</v>
      </c>
      <c r="L25" s="1226">
        <f t="shared" si="8"/>
        <v>393.88</v>
      </c>
      <c r="M25" s="481">
        <f t="shared" si="8"/>
        <v>57.89</v>
      </c>
      <c r="N25" s="447">
        <f t="shared" si="8"/>
        <v>461.46</v>
      </c>
      <c r="O25" s="1226">
        <f t="shared" si="8"/>
        <v>405.63</v>
      </c>
      <c r="P25" s="481">
        <f t="shared" si="8"/>
        <v>60.09</v>
      </c>
      <c r="Q25" s="447">
        <f t="shared" si="8"/>
        <v>479.28</v>
      </c>
      <c r="R25" s="1226">
        <f t="shared" si="8"/>
        <v>415.03</v>
      </c>
      <c r="S25" s="481">
        <f t="shared" si="8"/>
        <v>62.2</v>
      </c>
      <c r="T25" s="477">
        <f t="shared" si="8"/>
        <v>494.21</v>
      </c>
      <c r="U25" s="1226">
        <f t="shared" si="8"/>
        <v>423.99</v>
      </c>
      <c r="V25" s="481">
        <f t="shared" si="8"/>
        <v>64.3</v>
      </c>
      <c r="W25" s="477">
        <f t="shared" si="8"/>
        <v>508.36</v>
      </c>
      <c r="X25" s="1376">
        <f t="shared" si="0"/>
        <v>0.37</v>
      </c>
      <c r="Y25" s="482">
        <f t="shared" ref="Y25:AA25" si="9">Y5+Y8+Y11+Y14+Y16+Y17+Y20+Y21+Y22</f>
        <v>465.61</v>
      </c>
      <c r="Z25" s="554">
        <f t="shared" si="9"/>
        <v>68.459999999999994</v>
      </c>
      <c r="AA25" s="486">
        <f t="shared" si="9"/>
        <v>556.88</v>
      </c>
      <c r="AC25" s="1596">
        <f t="shared" si="1"/>
        <v>136.54</v>
      </c>
    </row>
    <row r="26" spans="1:29" ht="13.5" thickBot="1">
      <c r="A26" s="3229" t="s">
        <v>33</v>
      </c>
      <c r="B26" s="3230"/>
      <c r="C26" s="1341">
        <f>C6+C9+C12+C15+C18+C19+C23+C24</f>
        <v>142.06</v>
      </c>
      <c r="D26" s="492">
        <f t="shared" ref="D26:W26" si="10">D6+D9+D12+D15+D18+D19+D23+D24</f>
        <v>17.25</v>
      </c>
      <c r="E26" s="524">
        <f t="shared" si="10"/>
        <v>159.31</v>
      </c>
      <c r="F26" s="1341">
        <f t="shared" si="10"/>
        <v>142.72</v>
      </c>
      <c r="G26" s="492">
        <f t="shared" si="10"/>
        <v>17.239999999999998</v>
      </c>
      <c r="H26" s="524">
        <f t="shared" si="10"/>
        <v>160.33000000000001</v>
      </c>
      <c r="I26" s="1341">
        <f t="shared" si="10"/>
        <v>149.44</v>
      </c>
      <c r="J26" s="492">
        <f t="shared" si="10"/>
        <v>17.239999999999998</v>
      </c>
      <c r="K26" s="524">
        <f t="shared" si="10"/>
        <v>166.68</v>
      </c>
      <c r="L26" s="1341">
        <f t="shared" si="10"/>
        <v>154.85</v>
      </c>
      <c r="M26" s="492">
        <f t="shared" si="10"/>
        <v>17.239999999999998</v>
      </c>
      <c r="N26" s="524">
        <f t="shared" si="10"/>
        <v>172.09</v>
      </c>
      <c r="O26" s="1341">
        <f t="shared" si="10"/>
        <v>160.97</v>
      </c>
      <c r="P26" s="492">
        <f t="shared" si="10"/>
        <v>17.239999999999998</v>
      </c>
      <c r="Q26" s="524">
        <f t="shared" si="10"/>
        <v>178.21</v>
      </c>
      <c r="R26" s="1341">
        <f t="shared" si="10"/>
        <v>166.83</v>
      </c>
      <c r="S26" s="492">
        <f t="shared" si="10"/>
        <v>17.239999999999998</v>
      </c>
      <c r="T26" s="488">
        <f t="shared" si="10"/>
        <v>184.07</v>
      </c>
      <c r="U26" s="1341">
        <f t="shared" si="10"/>
        <v>172.67</v>
      </c>
      <c r="V26" s="492">
        <f t="shared" si="10"/>
        <v>17.239999999999998</v>
      </c>
      <c r="W26" s="488">
        <f t="shared" si="10"/>
        <v>189.91</v>
      </c>
      <c r="X26" s="1377">
        <f t="shared" si="0"/>
        <v>0.19</v>
      </c>
      <c r="Y26" s="493">
        <f t="shared" ref="Y26:AA26" si="11">Y6+Y9+Y12+Y15+Y18+Y19+Y23+Y24</f>
        <v>204.52</v>
      </c>
      <c r="Z26" s="561">
        <f t="shared" si="11"/>
        <v>17.239999999999998</v>
      </c>
      <c r="AA26" s="497">
        <f t="shared" si="11"/>
        <v>221.76</v>
      </c>
      <c r="AC26" s="1600">
        <f t="shared" si="1"/>
        <v>30.6</v>
      </c>
    </row>
    <row r="27" spans="1:29" s="67" customFormat="1" ht="13.5" thickBot="1">
      <c r="A27" s="3202" t="s">
        <v>34</v>
      </c>
      <c r="B27" s="3203"/>
      <c r="C27" s="1378">
        <f>C25+C26</f>
        <v>462.31</v>
      </c>
      <c r="D27" s="1379">
        <f t="shared" ref="D27:W27" si="12">D25+D26</f>
        <v>68.819999999999993</v>
      </c>
      <c r="E27" s="1380">
        <f t="shared" si="12"/>
        <v>531.13</v>
      </c>
      <c r="F27" s="1378">
        <f t="shared" si="12"/>
        <v>502.34</v>
      </c>
      <c r="G27" s="1379">
        <f t="shared" si="12"/>
        <v>71.209999999999994</v>
      </c>
      <c r="H27" s="1380">
        <f t="shared" si="12"/>
        <v>577.41999999999996</v>
      </c>
      <c r="I27" s="1378">
        <f t="shared" si="12"/>
        <v>530.17999999999995</v>
      </c>
      <c r="J27" s="1379">
        <f t="shared" si="12"/>
        <v>73.22</v>
      </c>
      <c r="K27" s="1380">
        <f t="shared" si="12"/>
        <v>608.53</v>
      </c>
      <c r="L27" s="1378">
        <f t="shared" si="12"/>
        <v>548.73</v>
      </c>
      <c r="M27" s="1379">
        <f t="shared" si="12"/>
        <v>75.13</v>
      </c>
      <c r="N27" s="1380">
        <f t="shared" si="12"/>
        <v>633.54999999999995</v>
      </c>
      <c r="O27" s="1378">
        <f t="shared" si="12"/>
        <v>566.6</v>
      </c>
      <c r="P27" s="1379">
        <f t="shared" si="12"/>
        <v>77.33</v>
      </c>
      <c r="Q27" s="1380">
        <f t="shared" si="12"/>
        <v>657.49</v>
      </c>
      <c r="R27" s="1378">
        <f t="shared" si="12"/>
        <v>581.86</v>
      </c>
      <c r="S27" s="1379">
        <f t="shared" si="12"/>
        <v>79.44</v>
      </c>
      <c r="T27" s="1381">
        <f t="shared" si="12"/>
        <v>678.28</v>
      </c>
      <c r="U27" s="1378">
        <f t="shared" si="12"/>
        <v>596.66</v>
      </c>
      <c r="V27" s="1379">
        <f t="shared" si="12"/>
        <v>81.540000000000006</v>
      </c>
      <c r="W27" s="1381">
        <f t="shared" si="12"/>
        <v>698.27</v>
      </c>
      <c r="X27" s="1382">
        <f t="shared" si="0"/>
        <v>0.31</v>
      </c>
      <c r="Y27" s="1378">
        <f t="shared" ref="Y27" si="13">Y25+Y26</f>
        <v>670.13</v>
      </c>
      <c r="Z27" s="1379">
        <f t="shared" ref="Z27" si="14">Z25+Z26</f>
        <v>85.7</v>
      </c>
      <c r="AA27" s="1380">
        <f t="shared" ref="AA27" si="15">AA25+AA26</f>
        <v>778.64</v>
      </c>
      <c r="AC27" s="1601">
        <f t="shared" si="1"/>
        <v>167.14</v>
      </c>
    </row>
    <row r="28" spans="1:29">
      <c r="A28" s="54" t="s">
        <v>35</v>
      </c>
      <c r="C28" s="1205"/>
      <c r="D28" s="1205"/>
      <c r="E28" s="1205"/>
      <c r="F28" s="1205"/>
      <c r="G28" s="1205"/>
      <c r="H28" s="1205"/>
      <c r="I28" s="1205"/>
      <c r="J28" s="1205"/>
      <c r="K28" s="1205"/>
      <c r="L28" s="1205"/>
      <c r="M28" s="1205"/>
      <c r="N28" s="1205"/>
      <c r="O28" s="1205"/>
    </row>
    <row r="29" spans="1:29">
      <c r="A29" s="2" t="s">
        <v>68</v>
      </c>
      <c r="C29" s="1205"/>
      <c r="D29" s="1205"/>
      <c r="E29" s="1205"/>
      <c r="F29" s="1205"/>
      <c r="G29" s="1205"/>
      <c r="H29" s="1205"/>
      <c r="I29" s="1205"/>
      <c r="J29" s="1205"/>
      <c r="K29" s="1205"/>
      <c r="L29" s="1205"/>
      <c r="M29" s="1205"/>
      <c r="N29" s="1205"/>
    </row>
    <row r="30" spans="1:29">
      <c r="A30" s="2" t="s">
        <v>69</v>
      </c>
      <c r="G30" s="2" t="s">
        <v>36</v>
      </c>
    </row>
    <row r="31" spans="1:29">
      <c r="A31" s="1" t="s">
        <v>73</v>
      </c>
    </row>
    <row r="33" spans="1:29" ht="13.5" thickBot="1">
      <c r="A33" s="3224" t="s">
        <v>74</v>
      </c>
      <c r="B33" s="3224"/>
      <c r="C33" s="3224"/>
      <c r="D33" s="3224"/>
      <c r="E33" s="3224"/>
      <c r="F33" s="3224"/>
      <c r="G33" s="3224"/>
      <c r="H33" s="3224"/>
      <c r="I33" s="3224"/>
      <c r="J33" s="3224"/>
      <c r="K33" s="3224"/>
      <c r="L33" s="3224"/>
      <c r="M33" s="3224"/>
      <c r="N33" s="3224"/>
      <c r="O33" s="3224"/>
      <c r="P33" s="3224"/>
      <c r="Q33" s="3224"/>
      <c r="R33" s="3224"/>
      <c r="S33" s="3224"/>
      <c r="T33" s="3224"/>
      <c r="U33" s="3224"/>
      <c r="V33" s="3224"/>
      <c r="W33" s="3224"/>
      <c r="X33" s="3224"/>
      <c r="Y33" s="3224"/>
      <c r="Z33" s="3224"/>
      <c r="AA33" s="3224"/>
    </row>
    <row r="34" spans="1:29" ht="13.5" thickBot="1">
      <c r="A34" s="3206" t="s">
        <v>1</v>
      </c>
      <c r="B34" s="3233" t="s">
        <v>2</v>
      </c>
      <c r="C34" s="3221" t="s">
        <v>55</v>
      </c>
      <c r="D34" s="3222"/>
      <c r="E34" s="3223"/>
      <c r="F34" s="3221" t="s">
        <v>56</v>
      </c>
      <c r="G34" s="3222"/>
      <c r="H34" s="3222"/>
      <c r="I34" s="3222"/>
      <c r="J34" s="3222"/>
      <c r="K34" s="3222"/>
      <c r="L34" s="3222"/>
      <c r="M34" s="3222"/>
      <c r="N34" s="3222"/>
      <c r="O34" s="3222"/>
      <c r="P34" s="3222"/>
      <c r="Q34" s="3222"/>
      <c r="R34" s="3222"/>
      <c r="S34" s="3222"/>
      <c r="T34" s="3222"/>
      <c r="U34" s="3222"/>
      <c r="V34" s="3222"/>
      <c r="W34" s="3223"/>
      <c r="X34" s="3238" t="s">
        <v>57</v>
      </c>
      <c r="Y34" s="3221" t="s">
        <v>58</v>
      </c>
      <c r="Z34" s="3222"/>
      <c r="AA34" s="3223"/>
      <c r="AC34" s="3238" t="s">
        <v>59</v>
      </c>
    </row>
    <row r="35" spans="1:29">
      <c r="A35" s="3207"/>
      <c r="B35" s="3234"/>
      <c r="C35" s="3216">
        <v>2015</v>
      </c>
      <c r="D35" s="3217"/>
      <c r="E35" s="3218"/>
      <c r="F35" s="3216">
        <v>2020</v>
      </c>
      <c r="G35" s="3217"/>
      <c r="H35" s="3218"/>
      <c r="I35" s="3216">
        <v>2025</v>
      </c>
      <c r="J35" s="3217"/>
      <c r="K35" s="3218"/>
      <c r="L35" s="3216">
        <v>2030</v>
      </c>
      <c r="M35" s="3217"/>
      <c r="N35" s="3218"/>
      <c r="O35" s="3216">
        <v>2035</v>
      </c>
      <c r="P35" s="3217"/>
      <c r="Q35" s="3218"/>
      <c r="R35" s="3216">
        <v>2040</v>
      </c>
      <c r="S35" s="3217"/>
      <c r="T35" s="3218"/>
      <c r="U35" s="3216">
        <v>2045</v>
      </c>
      <c r="V35" s="3217"/>
      <c r="W35" s="3218"/>
      <c r="X35" s="3239"/>
      <c r="Y35" s="3216">
        <v>2045</v>
      </c>
      <c r="Z35" s="3217"/>
      <c r="AA35" s="3218"/>
      <c r="AC35" s="3239"/>
    </row>
    <row r="36" spans="1:29" ht="15.75" customHeight="1" thickBot="1">
      <c r="A36" s="3208"/>
      <c r="B36" s="3235"/>
      <c r="C36" s="1655" t="s">
        <v>60</v>
      </c>
      <c r="D36" s="1657" t="s">
        <v>61</v>
      </c>
      <c r="E36" s="1658" t="s">
        <v>18</v>
      </c>
      <c r="F36" s="1669" t="s">
        <v>60</v>
      </c>
      <c r="G36" s="1657" t="s">
        <v>61</v>
      </c>
      <c r="H36" s="1658" t="s">
        <v>18</v>
      </c>
      <c r="I36" s="1655" t="s">
        <v>60</v>
      </c>
      <c r="J36" s="1017" t="s">
        <v>61</v>
      </c>
      <c r="K36" s="1659" t="s">
        <v>18</v>
      </c>
      <c r="L36" s="1655" t="s">
        <v>60</v>
      </c>
      <c r="M36" s="1657" t="s">
        <v>61</v>
      </c>
      <c r="N36" s="1658" t="s">
        <v>18</v>
      </c>
      <c r="O36" s="1669" t="s">
        <v>60</v>
      </c>
      <c r="P36" s="1017" t="s">
        <v>61</v>
      </c>
      <c r="Q36" s="1656" t="s">
        <v>18</v>
      </c>
      <c r="R36" s="1655" t="s">
        <v>60</v>
      </c>
      <c r="S36" s="1657" t="s">
        <v>61</v>
      </c>
      <c r="T36" s="1658" t="s">
        <v>18</v>
      </c>
      <c r="U36" s="1655" t="s">
        <v>60</v>
      </c>
      <c r="V36" s="1657" t="s">
        <v>61</v>
      </c>
      <c r="W36" s="1658" t="s">
        <v>18</v>
      </c>
      <c r="X36" s="3240"/>
      <c r="Y36" s="1670" t="s">
        <v>60</v>
      </c>
      <c r="Z36" s="1671" t="s">
        <v>61</v>
      </c>
      <c r="AA36" s="1664" t="s">
        <v>18</v>
      </c>
      <c r="AC36" s="3240"/>
    </row>
    <row r="37" spans="1:29">
      <c r="A37" s="443" t="s">
        <v>46</v>
      </c>
      <c r="B37" s="121" t="s">
        <v>17</v>
      </c>
      <c r="C37" s="1300">
        <f>'Table 4'!J37+'Table 6'!K38+'Table 7'!C40+'Table 8'!C39+'Table 9'!C39+'Table 10'!C38</f>
        <v>8.99</v>
      </c>
      <c r="D37" s="112">
        <f>'Table 4'!K37+'Table 6'!L38+'Table 7'!D40+'Table 8'!D39+'Table 9'!D39+'Table 10'!D38</f>
        <v>0</v>
      </c>
      <c r="E37" s="1667">
        <f>'Table 4'!L37+'Table 6'!M38+'Table 7'!E40+'Table 8'!E39+'Table 9'!E39+'Table 10'!E38</f>
        <v>8.99</v>
      </c>
      <c r="F37" s="1300">
        <f>'Table 4'!M37+'Table 6'!N38+'Table 7'!F40+'Table 8'!F39+'Table 9'!F39+'Table 10'!F38</f>
        <v>7.74</v>
      </c>
      <c r="G37" s="112">
        <f>'Table 4'!N37+'Table 6'!O38+'Table 7'!G40+'Table 8'!G39+'Table 9'!G39+'Table 10'!G38</f>
        <v>0</v>
      </c>
      <c r="H37" s="1667">
        <f>'Table 4'!O37+'Table 6'!P38+'Table 7'!H40+'Table 8'!H39+'Table 9'!H39+'Table 10'!H38</f>
        <v>7.86</v>
      </c>
      <c r="I37" s="1300">
        <f>'Table 4'!Q37+'Table 6'!Q38+'Table 7'!I40+'Table 8'!I39+'Table 9'!I39+'Table 10'!I38</f>
        <v>8.35</v>
      </c>
      <c r="J37" s="112">
        <f>'Table 4'!R37+'Table 6'!R38+'Table 7'!J40+'Table 8'!J39+'Table 9'!J39+'Table 10'!J38</f>
        <v>0</v>
      </c>
      <c r="K37" s="1667">
        <f>'Table 4'!S37+'Table 6'!S38+'Table 7'!K40+'Table 8'!K39+'Table 9'!K39+'Table 10'!K38</f>
        <v>8.35</v>
      </c>
      <c r="L37" s="1300">
        <f>'Table 4'!U37+'Table 6'!T38+'Table 7'!L40+'Table 8'!L39+'Table 9'!L39+'Table 10'!L38</f>
        <v>8.83</v>
      </c>
      <c r="M37" s="112">
        <f>'Table 4'!V37+'Table 6'!U38+'Table 7'!M40+'Table 8'!M39+'Table 9'!M39+'Table 10'!M38</f>
        <v>0</v>
      </c>
      <c r="N37" s="1667">
        <f>'Table 4'!W37+'Table 6'!V38+'Table 7'!N40+'Table 8'!N39+'Table 9'!N39+'Table 10'!N38</f>
        <v>8.83</v>
      </c>
      <c r="O37" s="1300">
        <f>'Table 4'!Y37+'Table 6'!W38+'Table 7'!O40+'Table 8'!O39+'Table 9'!O39+'Table 10'!O38</f>
        <v>9.24</v>
      </c>
      <c r="P37" s="112">
        <f>'Table 4'!Z37+'Table 6'!X38+'Table 7'!P40+'Table 8'!P39+'Table 9'!P39+'Table 10'!P38</f>
        <v>0</v>
      </c>
      <c r="Q37" s="1667">
        <f>'Table 4'!AA37+'Table 6'!Y38+'Table 7'!Q40+'Table 8'!Q39+'Table 9'!Q39+'Table 10'!Q38</f>
        <v>9.24</v>
      </c>
      <c r="R37" s="1300">
        <f>'Table 4'!AC37+'Table 6'!Z38+'Table 7'!R40+'Table 8'!R39+'Table 9'!R39+'Table 10'!R38</f>
        <v>9.74</v>
      </c>
      <c r="S37" s="112">
        <f>'Table 4'!AD37+'Table 6'!AA38+'Table 7'!S40+'Table 8'!S39+'Table 9'!S39+'Table 10'!S38</f>
        <v>0</v>
      </c>
      <c r="T37" s="1667">
        <f>'Table 4'!AE37+'Table 6'!AB38+'Table 7'!T40+'Table 8'!T39+'Table 9'!T39+'Table 10'!T38</f>
        <v>9.74</v>
      </c>
      <c r="U37" s="1300">
        <f>'Table 4'!AG37+'Table 6'!AC38+'Table 7'!U40+'Table 8'!U39+'Table 9'!U39+'Table 10'!U38</f>
        <v>10.11</v>
      </c>
      <c r="V37" s="112">
        <f>'Table 4'!AH37+'Table 6'!AD38+'Table 7'!V40+'Table 8'!V39+'Table 9'!V39+'Table 10'!V38</f>
        <v>0</v>
      </c>
      <c r="W37" s="1667">
        <f>'Table 4'!AI37+'Table 6'!AE38+'Table 7'!W40+'Table 8'!W39+'Table 9'!W39+'Table 10'!W38</f>
        <v>10.11</v>
      </c>
      <c r="X37" s="1374">
        <f t="shared" ref="X37:X43" si="16">(W37-E37)/E37</f>
        <v>0.12</v>
      </c>
      <c r="Y37" s="444">
        <f>'Table 4'!AL37+'Table 6'!AG38+'Table 7'!AG40+'Table 8'!Y39+'Table 9'!R39+'Table 10'!R38</f>
        <v>12.47</v>
      </c>
      <c r="Z37" s="585">
        <f>'Table 4'!AM37+'Table 6'!AH38+'Table 7'!AH40+'Table 8'!Z39+'Table 9'!S39+'Table 10'!S38</f>
        <v>0</v>
      </c>
      <c r="AA37" s="450">
        <f>'Table 4'!AN37+'Table 6'!AI38+'Table 7'!AI40+'Table 8'!AA39+'Table 9'!T39+'Table 10'!T38</f>
        <v>12.42</v>
      </c>
      <c r="AC37" s="1632">
        <f>W37-E37</f>
        <v>1.1200000000000001</v>
      </c>
    </row>
    <row r="38" spans="1:29">
      <c r="A38" s="443" t="s">
        <v>47</v>
      </c>
      <c r="B38" s="1352" t="s">
        <v>17</v>
      </c>
      <c r="C38" s="1352">
        <f>'Table 4'!J38+'Table 6'!K39+'Table 7'!C41+'Table 8'!C40+'Table 9'!C40+'Table 10'!C39</f>
        <v>3.77</v>
      </c>
      <c r="D38" s="451">
        <f>'Table 4'!K38+'Table 6'!L39+'Table 7'!D41+'Table 8'!D40+'Table 9'!D40+'Table 10'!D39</f>
        <v>0.02</v>
      </c>
      <c r="E38" s="1078">
        <f>'Table 4'!L38+'Table 6'!M39+'Table 7'!E41+'Table 8'!E40+'Table 9'!E40+'Table 10'!E39</f>
        <v>3.79</v>
      </c>
      <c r="F38" s="1352">
        <f>'Table 4'!M38+'Table 6'!N39+'Table 7'!F41+'Table 8'!F40+'Table 9'!F40+'Table 10'!F39</f>
        <v>3.22</v>
      </c>
      <c r="G38" s="451">
        <f>'Table 4'!N38+'Table 6'!O39+'Table 7'!G41+'Table 8'!G40+'Table 9'!G40+'Table 10'!G39</f>
        <v>0.02</v>
      </c>
      <c r="H38" s="1078">
        <f>'Table 4'!O38+'Table 6'!P39+'Table 7'!H41+'Table 8'!H40+'Table 9'!H40+'Table 10'!H39</f>
        <v>3.24</v>
      </c>
      <c r="I38" s="1352">
        <f>'Table 4'!Q38+'Table 6'!Q39+'Table 7'!I41+'Table 8'!I40+'Table 9'!I40+'Table 10'!I39</f>
        <v>3.23</v>
      </c>
      <c r="J38" s="451">
        <f>'Table 4'!R38+'Table 6'!R39+'Table 7'!J41+'Table 8'!J40+'Table 9'!J40+'Table 10'!J39</f>
        <v>0.02</v>
      </c>
      <c r="K38" s="1078">
        <f>'Table 4'!S38+'Table 6'!S39+'Table 7'!K41+'Table 8'!K40+'Table 9'!K40+'Table 10'!K39</f>
        <v>3.25</v>
      </c>
      <c r="L38" s="1352">
        <f>'Table 4'!U38+'Table 6'!T39+'Table 7'!L41+'Table 8'!L40+'Table 9'!L40+'Table 10'!L39</f>
        <v>3.25</v>
      </c>
      <c r="M38" s="451">
        <f>'Table 4'!V38+'Table 6'!U39+'Table 7'!M41+'Table 8'!M40+'Table 9'!M40+'Table 10'!M39</f>
        <v>0.02</v>
      </c>
      <c r="N38" s="1078">
        <f>'Table 4'!W38+'Table 6'!V39+'Table 7'!N41+'Table 8'!N40+'Table 9'!N40+'Table 10'!N39</f>
        <v>3.27</v>
      </c>
      <c r="O38" s="1352">
        <f>'Table 4'!Y38+'Table 6'!W39+'Table 7'!O41+'Table 8'!O40+'Table 9'!O40+'Table 10'!O39</f>
        <v>3.28</v>
      </c>
      <c r="P38" s="451">
        <f>'Table 4'!Z38+'Table 6'!X39+'Table 7'!P41+'Table 8'!P40+'Table 9'!P40+'Table 10'!P39</f>
        <v>0.02</v>
      </c>
      <c r="Q38" s="1078">
        <f>'Table 4'!AA38+'Table 6'!Y39+'Table 7'!Q41+'Table 8'!Q40+'Table 9'!Q40+'Table 10'!Q39</f>
        <v>3.3</v>
      </c>
      <c r="R38" s="1352">
        <f>'Table 4'!AC38+'Table 6'!Z39+'Table 7'!R41+'Table 8'!R40+'Table 9'!R40+'Table 10'!R39</f>
        <v>3.29</v>
      </c>
      <c r="S38" s="451">
        <f>'Table 4'!AD38+'Table 6'!AA39+'Table 7'!S41+'Table 8'!S40+'Table 9'!S40+'Table 10'!S39</f>
        <v>0.02</v>
      </c>
      <c r="T38" s="1078">
        <f>'Table 4'!AE38+'Table 6'!AB39+'Table 7'!T41+'Table 8'!T40+'Table 9'!T40+'Table 10'!T39</f>
        <v>3.31</v>
      </c>
      <c r="U38" s="1352">
        <f>'Table 4'!AG38+'Table 6'!AC39+'Table 7'!U41+'Table 8'!U40+'Table 9'!U40+'Table 10'!U39</f>
        <v>3.32</v>
      </c>
      <c r="V38" s="451">
        <f>'Table 4'!AH38+'Table 6'!AD39+'Table 7'!V41+'Table 8'!V40+'Table 9'!V40+'Table 10'!V39</f>
        <v>0.02</v>
      </c>
      <c r="W38" s="1078">
        <f>'Table 4'!AI38+'Table 6'!AE39+'Table 7'!W41+'Table 8'!W40+'Table 9'!W40+'Table 10'!W39</f>
        <v>3.34</v>
      </c>
      <c r="X38" s="1375">
        <f t="shared" si="16"/>
        <v>-0.12</v>
      </c>
      <c r="Y38" s="827">
        <f>'Table 4'!AL38+'Table 6'!AG39+'Table 7'!AG41+'Table 8'!Y40+'Table 9'!R40+'Table 10'!R39</f>
        <v>4</v>
      </c>
      <c r="Z38" s="560">
        <f>'Table 4'!AM38+'Table 6'!AH39+'Table 7'!AH41+'Table 8'!Z40+'Table 9'!S40+'Table 10'!S39</f>
        <v>0.02</v>
      </c>
      <c r="AA38" s="940">
        <f>'Table 4'!AN38+'Table 6'!AI39+'Table 7'!AI41+'Table 8'!AA40+'Table 9'!T40+'Table 10'!T39</f>
        <v>4.0199999999999996</v>
      </c>
      <c r="AC38" s="1599">
        <f t="shared" ref="AC38:AC43" si="17">W38-E38</f>
        <v>-0.45</v>
      </c>
    </row>
    <row r="39" spans="1:29">
      <c r="A39" s="455" t="s">
        <v>48</v>
      </c>
      <c r="B39" s="1353" t="s">
        <v>17</v>
      </c>
      <c r="C39" s="1352">
        <f>'Table 4'!J39+'Table 6'!K40+'Table 7'!C42+'Table 8'!C41+'Table 9'!C41+'Table 10'!C40</f>
        <v>12.86</v>
      </c>
      <c r="D39" s="451">
        <f>'Table 4'!K39+'Table 6'!L40+'Table 7'!D42+'Table 8'!D41+'Table 9'!D41+'Table 10'!D40</f>
        <v>0</v>
      </c>
      <c r="E39" s="1078">
        <f>'Table 4'!L39+'Table 6'!M40+'Table 7'!E42+'Table 8'!E41+'Table 9'!E41+'Table 10'!E40</f>
        <v>12.86</v>
      </c>
      <c r="F39" s="1352">
        <f>'Table 4'!M39+'Table 6'!N40+'Table 7'!F42+'Table 8'!F41+'Table 9'!F41+'Table 10'!F40</f>
        <v>12.51</v>
      </c>
      <c r="G39" s="451">
        <f>'Table 4'!N39+'Table 6'!O40+'Table 7'!G42+'Table 8'!G41+'Table 9'!G41+'Table 10'!G40</f>
        <v>0</v>
      </c>
      <c r="H39" s="1078">
        <f>'Table 4'!O39+'Table 6'!P40+'Table 7'!H42+'Table 8'!H41+'Table 9'!H41+'Table 10'!H40</f>
        <v>12.57</v>
      </c>
      <c r="I39" s="1352">
        <f>'Table 4'!Q39+'Table 6'!Q40+'Table 7'!I42+'Table 8'!I41+'Table 9'!I41+'Table 10'!I40</f>
        <v>13.66</v>
      </c>
      <c r="J39" s="451">
        <f>'Table 4'!R39+'Table 6'!R40+'Table 7'!J42+'Table 8'!J41+'Table 9'!J41+'Table 10'!J40</f>
        <v>0</v>
      </c>
      <c r="K39" s="1078">
        <f>'Table 4'!S39+'Table 6'!S40+'Table 7'!K42+'Table 8'!K41+'Table 9'!K41+'Table 10'!K40</f>
        <v>13.66</v>
      </c>
      <c r="L39" s="1352">
        <f>'Table 4'!U39+'Table 6'!T40+'Table 7'!L42+'Table 8'!L41+'Table 9'!L41+'Table 10'!L40</f>
        <v>14.63</v>
      </c>
      <c r="M39" s="451">
        <f>'Table 4'!V39+'Table 6'!U40+'Table 7'!M42+'Table 8'!M41+'Table 9'!M41+'Table 10'!M40</f>
        <v>0</v>
      </c>
      <c r="N39" s="1078">
        <f>'Table 4'!W39+'Table 6'!V40+'Table 7'!N42+'Table 8'!N41+'Table 9'!N41+'Table 10'!N40</f>
        <v>14.63</v>
      </c>
      <c r="O39" s="1352">
        <f>'Table 4'!Y39+'Table 6'!W40+'Table 7'!O42+'Table 8'!O41+'Table 9'!O41+'Table 10'!O40</f>
        <v>15.58</v>
      </c>
      <c r="P39" s="451">
        <f>'Table 4'!Z39+'Table 6'!X40+'Table 7'!P42+'Table 8'!P41+'Table 9'!P41+'Table 10'!P40</f>
        <v>0</v>
      </c>
      <c r="Q39" s="1078">
        <f>'Table 4'!AA39+'Table 6'!Y40+'Table 7'!Q42+'Table 8'!Q41+'Table 9'!Q41+'Table 10'!Q40</f>
        <v>15.58</v>
      </c>
      <c r="R39" s="1352">
        <f>'Table 4'!AC39+'Table 6'!Z40+'Table 7'!R42+'Table 8'!R41+'Table 9'!R41+'Table 10'!R40</f>
        <v>16.64</v>
      </c>
      <c r="S39" s="451">
        <f>'Table 4'!AD39+'Table 6'!AA40+'Table 7'!S42+'Table 8'!S41+'Table 9'!S41+'Table 10'!S40</f>
        <v>0</v>
      </c>
      <c r="T39" s="1078">
        <f>'Table 4'!AE39+'Table 6'!AB40+'Table 7'!T42+'Table 8'!T41+'Table 9'!T41+'Table 10'!T40</f>
        <v>16.64</v>
      </c>
      <c r="U39" s="1352">
        <f>'Table 4'!AG39+'Table 6'!AC40+'Table 7'!U42+'Table 8'!U41+'Table 9'!U41+'Table 10'!U40</f>
        <v>17.600000000000001</v>
      </c>
      <c r="V39" s="451">
        <f>'Table 4'!AH39+'Table 6'!AD40+'Table 7'!V42+'Table 8'!V41+'Table 9'!V41+'Table 10'!V40</f>
        <v>0</v>
      </c>
      <c r="W39" s="1078">
        <f>'Table 4'!AI39+'Table 6'!AE40+'Table 7'!W42+'Table 8'!W41+'Table 9'!W41+'Table 10'!W40</f>
        <v>17.600000000000001</v>
      </c>
      <c r="X39" s="1375">
        <f t="shared" si="16"/>
        <v>0.37</v>
      </c>
      <c r="Y39" s="827">
        <f>'Table 4'!AL39+'Table 6'!AG40+'Table 7'!AG42+'Table 8'!Y41+'Table 9'!R41+'Table 10'!R40</f>
        <v>21.91</v>
      </c>
      <c r="Z39" s="560">
        <f>'Table 4'!AM39+'Table 6'!AH40+'Table 7'!AH42+'Table 8'!Z41+'Table 9'!S41+'Table 10'!S40</f>
        <v>0</v>
      </c>
      <c r="AA39" s="940">
        <f>'Table 4'!AN39+'Table 6'!AI40+'Table 7'!AI42+'Table 8'!AA41+'Table 9'!T41+'Table 10'!T40</f>
        <v>21.91</v>
      </c>
      <c r="AC39" s="1599">
        <f t="shared" si="17"/>
        <v>4.74</v>
      </c>
    </row>
    <row r="40" spans="1:29">
      <c r="A40" s="458" t="s">
        <v>49</v>
      </c>
      <c r="B40" s="1362" t="s">
        <v>17</v>
      </c>
      <c r="C40" s="1358">
        <f>'Table 4'!J40+'Table 6'!K41+'Table 7'!C43+'Table 8'!C42+'Table 9'!C42+'Table 10'!C41</f>
        <v>16.77</v>
      </c>
      <c r="D40" s="1383">
        <f>'Table 4'!K40+'Table 6'!L41+'Table 7'!D43+'Table 8'!D42+'Table 9'!D42+'Table 10'!D41</f>
        <v>0</v>
      </c>
      <c r="E40" s="447">
        <f>'Table 4'!L40+'Table 6'!M41+'Table 7'!E43+'Table 8'!E42+'Table 9'!E42+'Table 10'!E41</f>
        <v>16.77</v>
      </c>
      <c r="F40" s="1358">
        <f>'Table 4'!M40+'Table 6'!N41+'Table 7'!F43+'Table 8'!F42+'Table 9'!F42+'Table 10'!F41</f>
        <v>16.14</v>
      </c>
      <c r="G40" s="1383">
        <f>'Table 4'!N40+'Table 6'!O41+'Table 7'!G43+'Table 8'!G42+'Table 9'!G42+'Table 10'!G41</f>
        <v>0</v>
      </c>
      <c r="H40" s="447">
        <f>'Table 4'!O40+'Table 6'!P41+'Table 7'!H43+'Table 8'!H42+'Table 9'!H42+'Table 10'!H41</f>
        <v>16.14</v>
      </c>
      <c r="I40" s="1358">
        <f>'Table 4'!Q40+'Table 6'!Q41+'Table 7'!I43+'Table 8'!I42+'Table 9'!I42+'Table 10'!I41</f>
        <v>17.66</v>
      </c>
      <c r="J40" s="1383">
        <f>'Table 4'!R40+'Table 6'!R41+'Table 7'!J43+'Table 8'!J42+'Table 9'!J42+'Table 10'!J41</f>
        <v>0</v>
      </c>
      <c r="K40" s="447">
        <f>'Table 4'!S40+'Table 6'!S41+'Table 7'!K43+'Table 8'!K42+'Table 9'!K42+'Table 10'!K41</f>
        <v>17.66</v>
      </c>
      <c r="L40" s="1358">
        <f>'Table 4'!U40+'Table 6'!T41+'Table 7'!L43+'Table 8'!L42+'Table 9'!L42+'Table 10'!L41</f>
        <v>19.079999999999998</v>
      </c>
      <c r="M40" s="1383">
        <f>'Table 4'!V40+'Table 6'!U41+'Table 7'!M43+'Table 8'!M42+'Table 9'!M42+'Table 10'!M41</f>
        <v>0</v>
      </c>
      <c r="N40" s="447">
        <f>'Table 4'!W40+'Table 6'!V41+'Table 7'!N43+'Table 8'!N42+'Table 9'!N42+'Table 10'!N41</f>
        <v>19.079999999999998</v>
      </c>
      <c r="O40" s="1358">
        <f>'Table 4'!Y40+'Table 6'!W41+'Table 7'!O43+'Table 8'!O42+'Table 9'!O42+'Table 10'!O41</f>
        <v>20.32</v>
      </c>
      <c r="P40" s="1383">
        <f>'Table 4'!Z40+'Table 6'!X41+'Table 7'!P43+'Table 8'!P42+'Table 9'!P42+'Table 10'!P41</f>
        <v>0</v>
      </c>
      <c r="Q40" s="447">
        <f>'Table 4'!AA40+'Table 6'!Y41+'Table 7'!Q43+'Table 8'!Q42+'Table 9'!Q42+'Table 10'!Q41</f>
        <v>20.32</v>
      </c>
      <c r="R40" s="1358">
        <f>'Table 4'!AC40+'Table 6'!Z41+'Table 7'!R43+'Table 8'!R42+'Table 9'!R42+'Table 10'!R41</f>
        <v>21.75</v>
      </c>
      <c r="S40" s="1383">
        <f>'Table 4'!AD40+'Table 6'!AA41+'Table 7'!S43+'Table 8'!S42+'Table 9'!S42+'Table 10'!S41</f>
        <v>0</v>
      </c>
      <c r="T40" s="447">
        <f>'Table 4'!AE40+'Table 6'!AB41+'Table 7'!T43+'Table 8'!T42+'Table 9'!T42+'Table 10'!T41</f>
        <v>21.75</v>
      </c>
      <c r="U40" s="1358">
        <f>'Table 4'!AG40+'Table 6'!AC41+'Table 7'!U43+'Table 8'!U42+'Table 9'!U42+'Table 10'!U41</f>
        <v>22.98</v>
      </c>
      <c r="V40" s="1383">
        <f>'Table 4'!AH40+'Table 6'!AD41+'Table 7'!V43+'Table 8'!V42+'Table 9'!V42+'Table 10'!V41</f>
        <v>0</v>
      </c>
      <c r="W40" s="447">
        <f>'Table 4'!AI40+'Table 6'!AE41+'Table 7'!W43+'Table 8'!W42+'Table 9'!W42+'Table 10'!W41</f>
        <v>22.98</v>
      </c>
      <c r="X40" s="1370">
        <f t="shared" si="16"/>
        <v>0.37</v>
      </c>
      <c r="Y40" s="459">
        <f>'Table 4'!AL40+'Table 6'!AG41+'Table 7'!AG43+'Table 8'!Y42+'Table 9'!R42+'Table 10'!R41</f>
        <v>28.68</v>
      </c>
      <c r="Z40" s="590">
        <f>'Table 4'!AM40+'Table 6'!AH41+'Table 7'!AH43+'Table 8'!Z42+'Table 9'!S42+'Table 10'!S41</f>
        <v>0</v>
      </c>
      <c r="AA40" s="486">
        <f>'Table 4'!AN40+'Table 6'!AI41+'Table 7'!AI43+'Table 8'!AA42+'Table 9'!T42+'Table 10'!T41</f>
        <v>28.68</v>
      </c>
      <c r="AC40" s="1602">
        <f t="shared" si="17"/>
        <v>6.21</v>
      </c>
    </row>
    <row r="41" spans="1:29">
      <c r="A41" s="455" t="s">
        <v>50</v>
      </c>
      <c r="B41" s="1353" t="s">
        <v>17</v>
      </c>
      <c r="C41" s="1352">
        <f>'Table 4'!J41+'Table 6'!K42+'Table 7'!C44+'Table 8'!C43+'Table 9'!C43+'Table 10'!C42</f>
        <v>24.04</v>
      </c>
      <c r="D41" s="451">
        <f>'Table 4'!K41+'Table 6'!L42+'Table 7'!D44+'Table 8'!D43+'Table 9'!D43+'Table 10'!D42</f>
        <v>0</v>
      </c>
      <c r="E41" s="1078">
        <f>'Table 4'!L41+'Table 6'!M42+'Table 7'!E44+'Table 8'!E43+'Table 9'!E43+'Table 10'!E42</f>
        <v>24.04</v>
      </c>
      <c r="F41" s="1352">
        <f>'Table 4'!M41+'Table 6'!N42+'Table 7'!F44+'Table 8'!F43+'Table 9'!F43+'Table 10'!F42</f>
        <v>24.8</v>
      </c>
      <c r="G41" s="451">
        <f>'Table 4'!N41+'Table 6'!O42+'Table 7'!G44+'Table 8'!G43+'Table 9'!G43+'Table 10'!G42</f>
        <v>0</v>
      </c>
      <c r="H41" s="1078">
        <f>'Table 4'!O41+'Table 6'!P42+'Table 7'!H44+'Table 8'!H43+'Table 9'!H43+'Table 10'!H42</f>
        <v>24.8</v>
      </c>
      <c r="I41" s="1352">
        <f>'Table 4'!Q41+'Table 6'!Q42+'Table 7'!I44+'Table 8'!I43+'Table 9'!I43+'Table 10'!I42</f>
        <v>25.79</v>
      </c>
      <c r="J41" s="451">
        <f>'Table 4'!R41+'Table 6'!R42+'Table 7'!J44+'Table 8'!J43+'Table 9'!J43+'Table 10'!J42</f>
        <v>0</v>
      </c>
      <c r="K41" s="1078">
        <f>'Table 4'!S41+'Table 6'!S42+'Table 7'!K44+'Table 8'!K43+'Table 9'!K43+'Table 10'!K42</f>
        <v>25.79</v>
      </c>
      <c r="L41" s="1352">
        <f>'Table 4'!U41+'Table 6'!T42+'Table 7'!L44+'Table 8'!L43+'Table 9'!L43+'Table 10'!L42</f>
        <v>26.6</v>
      </c>
      <c r="M41" s="451">
        <f>'Table 4'!V41+'Table 6'!U42+'Table 7'!M44+'Table 8'!M43+'Table 9'!M43+'Table 10'!M42</f>
        <v>0</v>
      </c>
      <c r="N41" s="1078">
        <f>'Table 4'!W41+'Table 6'!V42+'Table 7'!N44+'Table 8'!N43+'Table 9'!N43+'Table 10'!N42</f>
        <v>26.6</v>
      </c>
      <c r="O41" s="1352">
        <f>'Table 4'!Y41+'Table 6'!W42+'Table 7'!O44+'Table 8'!O43+'Table 9'!O43+'Table 10'!O42</f>
        <v>27.53</v>
      </c>
      <c r="P41" s="451">
        <f>'Table 4'!Z41+'Table 6'!X42+'Table 7'!P44+'Table 8'!P43+'Table 9'!P43+'Table 10'!P42</f>
        <v>0</v>
      </c>
      <c r="Q41" s="1078">
        <f>'Table 4'!AA41+'Table 6'!Y42+'Table 7'!Q44+'Table 8'!Q43+'Table 9'!Q43+'Table 10'!Q42</f>
        <v>27.53</v>
      </c>
      <c r="R41" s="1352">
        <f>'Table 4'!AC41+'Table 6'!Z42+'Table 7'!R44+'Table 8'!R43+'Table 9'!R43+'Table 10'!R42</f>
        <v>28.5</v>
      </c>
      <c r="S41" s="451">
        <f>'Table 4'!AD41+'Table 6'!AA42+'Table 7'!S44+'Table 8'!S43+'Table 9'!S43+'Table 10'!S42</f>
        <v>0</v>
      </c>
      <c r="T41" s="1078">
        <f>'Table 4'!AE41+'Table 6'!AB42+'Table 7'!T44+'Table 8'!T43+'Table 9'!T43+'Table 10'!T42</f>
        <v>28.5</v>
      </c>
      <c r="U41" s="1352">
        <f>'Table 4'!AG41+'Table 6'!AC42+'Table 7'!U44+'Table 8'!U43+'Table 9'!U43+'Table 10'!U42</f>
        <v>29.49</v>
      </c>
      <c r="V41" s="451">
        <f>'Table 4'!AH41+'Table 6'!AD42+'Table 7'!V44+'Table 8'!V43+'Table 9'!V43+'Table 10'!V42</f>
        <v>0</v>
      </c>
      <c r="W41" s="1078">
        <f>'Table 4'!AI41+'Table 6'!AE42+'Table 7'!W44+'Table 8'!W43+'Table 9'!W43+'Table 10'!W42</f>
        <v>29.49</v>
      </c>
      <c r="X41" s="1375">
        <f t="shared" si="16"/>
        <v>0.23</v>
      </c>
      <c r="Y41" s="827">
        <f>'Table 4'!AL41+'Table 6'!AG42+'Table 7'!AG44+'Table 8'!Y43+'Table 9'!R43+'Table 10'!R42</f>
        <v>36.6</v>
      </c>
      <c r="Z41" s="560">
        <f>'Table 4'!AM41+'Table 6'!AH42+'Table 7'!AH44+'Table 8'!Z43+'Table 9'!S43+'Table 10'!S42</f>
        <v>0</v>
      </c>
      <c r="AA41" s="940">
        <f>'Table 4'!AN41+'Table 6'!AI42+'Table 7'!AI44+'Table 8'!AA43+'Table 9'!T43+'Table 10'!T42</f>
        <v>36.6</v>
      </c>
      <c r="AC41" s="1599">
        <f t="shared" si="17"/>
        <v>5.45</v>
      </c>
    </row>
    <row r="42" spans="1:29" ht="13.5" thickBot="1">
      <c r="A42" s="579" t="s">
        <v>51</v>
      </c>
      <c r="B42" s="1349" t="s">
        <v>17</v>
      </c>
      <c r="C42" s="1306">
        <f>'Table 4'!J42+'Table 6'!K43+'Table 7'!C45+'Table 8'!C44+'Table 9'!C44+'Table 10'!C43</f>
        <v>42.65</v>
      </c>
      <c r="D42" s="1057">
        <f>'Table 4'!K42+'Table 6'!L43+'Table 7'!D45+'Table 8'!D44+'Table 9'!D44+'Table 10'!D43</f>
        <v>0.17</v>
      </c>
      <c r="E42" s="1058">
        <f>'Table 4'!L42+'Table 6'!M43+'Table 7'!E45+'Table 8'!E44+'Table 9'!E44+'Table 10'!E43</f>
        <v>42.82</v>
      </c>
      <c r="F42" s="1306">
        <f>'Table 4'!M42+'Table 6'!N43+'Table 7'!F45+'Table 8'!F44+'Table 9'!F44+'Table 10'!F43</f>
        <v>42.88</v>
      </c>
      <c r="G42" s="1057">
        <f>'Table 4'!N42+'Table 6'!O43+'Table 7'!G45+'Table 8'!G44+'Table 9'!G44+'Table 10'!G43</f>
        <v>0.17</v>
      </c>
      <c r="H42" s="1058">
        <f>'Table 4'!O42+'Table 6'!P43+'Table 7'!H45+'Table 8'!H44+'Table 9'!H44+'Table 10'!H43</f>
        <v>43.05</v>
      </c>
      <c r="I42" s="1306">
        <f>'Table 4'!Q42+'Table 6'!Q43+'Table 7'!I45+'Table 8'!I44+'Table 9'!I44+'Table 10'!I43</f>
        <v>42.96</v>
      </c>
      <c r="J42" s="1057">
        <f>'Table 4'!R42+'Table 6'!R43+'Table 7'!J45+'Table 8'!J44+'Table 9'!J44+'Table 10'!J43</f>
        <v>0.17</v>
      </c>
      <c r="K42" s="1058">
        <f>'Table 4'!S42+'Table 6'!S43+'Table 7'!K45+'Table 8'!K44+'Table 9'!K44+'Table 10'!K43</f>
        <v>43.13</v>
      </c>
      <c r="L42" s="1306">
        <f>'Table 4'!U42+'Table 6'!T43+'Table 7'!L45+'Table 8'!L44+'Table 9'!L44+'Table 10'!L43</f>
        <v>43.01</v>
      </c>
      <c r="M42" s="1057">
        <f>'Table 4'!V42+'Table 6'!U43+'Table 7'!M45+'Table 8'!M44+'Table 9'!M44+'Table 10'!M43</f>
        <v>0.17</v>
      </c>
      <c r="N42" s="1058">
        <f>'Table 4'!W42+'Table 6'!V43+'Table 7'!N45+'Table 8'!N44+'Table 9'!N44+'Table 10'!N43</f>
        <v>43.18</v>
      </c>
      <c r="O42" s="1306">
        <f>'Table 4'!Y42+'Table 6'!W43+'Table 7'!O45+'Table 8'!O44+'Table 9'!O44+'Table 10'!O43</f>
        <v>43.05</v>
      </c>
      <c r="P42" s="1057">
        <f>'Table 4'!Z42+'Table 6'!X43+'Table 7'!P45+'Table 8'!P44+'Table 9'!P44+'Table 10'!P43</f>
        <v>0.17</v>
      </c>
      <c r="Q42" s="1058">
        <f>'Table 4'!AA42+'Table 6'!Y43+'Table 7'!Q45+'Table 8'!Q44+'Table 9'!Q44+'Table 10'!Q43</f>
        <v>43.22</v>
      </c>
      <c r="R42" s="1306">
        <f>'Table 4'!AC42+'Table 6'!Z43+'Table 7'!R45+'Table 8'!R44+'Table 9'!R44+'Table 10'!R43</f>
        <v>43.09</v>
      </c>
      <c r="S42" s="1057">
        <f>'Table 4'!AD42+'Table 6'!AA43+'Table 7'!S45+'Table 8'!S44+'Table 9'!S44+'Table 10'!S43</f>
        <v>0.17</v>
      </c>
      <c r="T42" s="1058">
        <f>'Table 4'!AE42+'Table 6'!AB43+'Table 7'!T45+'Table 8'!T44+'Table 9'!T44+'Table 10'!T43</f>
        <v>43.26</v>
      </c>
      <c r="U42" s="1306">
        <f>'Table 4'!AG42+'Table 6'!AC43+'Table 7'!U45+'Table 8'!U44+'Table 9'!U44+'Table 10'!U43</f>
        <v>43.13</v>
      </c>
      <c r="V42" s="1057">
        <f>'Table 4'!AH42+'Table 6'!AD43+'Table 7'!V45+'Table 8'!V44+'Table 9'!V44+'Table 10'!V43</f>
        <v>0.17</v>
      </c>
      <c r="W42" s="1058">
        <f>'Table 4'!AI42+'Table 6'!AE43+'Table 7'!W45+'Table 8'!W44+'Table 9'!W44+'Table 10'!W43</f>
        <v>43.3</v>
      </c>
      <c r="X42" s="1384">
        <f t="shared" si="16"/>
        <v>0.01</v>
      </c>
      <c r="Y42" s="467">
        <f>'Table 4'!AL42+'Table 6'!AG43+'Table 7'!AG45+'Table 8'!Y44+'Table 9'!R44+'Table 10'!R43</f>
        <v>43.47</v>
      </c>
      <c r="Z42" s="562">
        <f>'Table 4'!AM42+'Table 6'!AH43+'Table 7'!AH45+'Table 8'!Z44+'Table 9'!S44+'Table 10'!S43</f>
        <v>0.17</v>
      </c>
      <c r="AA42" s="943">
        <f>'Table 4'!AN42+'Table 6'!AI43+'Table 7'!AI45+'Table 8'!AA44+'Table 9'!T44+'Table 10'!T43</f>
        <v>43.64</v>
      </c>
      <c r="AC42" s="1741">
        <f t="shared" si="17"/>
        <v>0.48</v>
      </c>
    </row>
    <row r="43" spans="1:29" s="67" customFormat="1" ht="27" customHeight="1" thickTop="1" thickBot="1">
      <c r="A43" s="3236" t="s">
        <v>52</v>
      </c>
      <c r="B43" s="3237"/>
      <c r="C43" s="1228">
        <f>SUM(C37:C42)</f>
        <v>109.08</v>
      </c>
      <c r="D43" s="128">
        <f t="shared" ref="D43:W43" si="18">SUM(D37:D42)</f>
        <v>0.19</v>
      </c>
      <c r="E43" s="469">
        <f t="shared" si="18"/>
        <v>109.27</v>
      </c>
      <c r="F43" s="1228">
        <f t="shared" si="18"/>
        <v>107.29</v>
      </c>
      <c r="G43" s="128">
        <f t="shared" si="18"/>
        <v>0.19</v>
      </c>
      <c r="H43" s="469">
        <f t="shared" si="18"/>
        <v>107.66</v>
      </c>
      <c r="I43" s="1228">
        <f t="shared" si="18"/>
        <v>111.65</v>
      </c>
      <c r="J43" s="128">
        <f t="shared" si="18"/>
        <v>0.19</v>
      </c>
      <c r="K43" s="469">
        <f t="shared" si="18"/>
        <v>111.84</v>
      </c>
      <c r="L43" s="1228">
        <f t="shared" si="18"/>
        <v>115.4</v>
      </c>
      <c r="M43" s="128">
        <f t="shared" si="18"/>
        <v>0.19</v>
      </c>
      <c r="N43" s="469">
        <f t="shared" si="18"/>
        <v>115.59</v>
      </c>
      <c r="O43" s="1228">
        <f t="shared" si="18"/>
        <v>119</v>
      </c>
      <c r="P43" s="128">
        <f t="shared" si="18"/>
        <v>0.19</v>
      </c>
      <c r="Q43" s="469">
        <f t="shared" si="18"/>
        <v>119.19</v>
      </c>
      <c r="R43" s="1228">
        <f t="shared" si="18"/>
        <v>123.01</v>
      </c>
      <c r="S43" s="128">
        <f t="shared" si="18"/>
        <v>0.19</v>
      </c>
      <c r="T43" s="469">
        <f t="shared" si="18"/>
        <v>123.2</v>
      </c>
      <c r="U43" s="1228">
        <f t="shared" si="18"/>
        <v>126.63</v>
      </c>
      <c r="V43" s="128">
        <f t="shared" si="18"/>
        <v>0.19</v>
      </c>
      <c r="W43" s="469">
        <f t="shared" si="18"/>
        <v>126.82</v>
      </c>
      <c r="X43" s="1382">
        <f t="shared" si="16"/>
        <v>0.16</v>
      </c>
      <c r="Y43" s="470">
        <f t="shared" ref="Y43" si="19">SUM(Y37:Y42)</f>
        <v>147.13</v>
      </c>
      <c r="Z43" s="555">
        <f t="shared" ref="Z43" si="20">SUM(Z37:Z42)</f>
        <v>0.19</v>
      </c>
      <c r="AA43" s="474">
        <f t="shared" ref="AA43" si="21">SUM(AA37:AA42)</f>
        <v>147.27000000000001</v>
      </c>
      <c r="AC43" s="1598">
        <f t="shared" si="17"/>
        <v>17.55</v>
      </c>
    </row>
    <row r="44" spans="1:29">
      <c r="A44" s="54" t="s">
        <v>35</v>
      </c>
    </row>
    <row r="45" spans="1:29">
      <c r="A45" s="2" t="s">
        <v>68</v>
      </c>
      <c r="T45" s="2" t="s">
        <v>36</v>
      </c>
    </row>
    <row r="46" spans="1:29">
      <c r="A46" s="2" t="s">
        <v>69</v>
      </c>
    </row>
  </sheetData>
  <mergeCells count="36">
    <mergeCell ref="AC2:AC4"/>
    <mergeCell ref="AC34:AC36"/>
    <mergeCell ref="R35:T35"/>
    <mergeCell ref="U35:W35"/>
    <mergeCell ref="O3:Q3"/>
    <mergeCell ref="R3:T3"/>
    <mergeCell ref="Y2:AA2"/>
    <mergeCell ref="Y3:AA3"/>
    <mergeCell ref="X2:X4"/>
    <mergeCell ref="A43:B43"/>
    <mergeCell ref="A27:B27"/>
    <mergeCell ref="A1:AA1"/>
    <mergeCell ref="A33:AA33"/>
    <mergeCell ref="A34:A36"/>
    <mergeCell ref="B34:B36"/>
    <mergeCell ref="C34:E34"/>
    <mergeCell ref="F34:W34"/>
    <mergeCell ref="X34:X36"/>
    <mergeCell ref="Y34:AA34"/>
    <mergeCell ref="C35:E35"/>
    <mergeCell ref="F35:H35"/>
    <mergeCell ref="I35:K35"/>
    <mergeCell ref="L35:N35"/>
    <mergeCell ref="O35:Q35"/>
    <mergeCell ref="Y35:AA35"/>
    <mergeCell ref="A25:B25"/>
    <mergeCell ref="U3:W3"/>
    <mergeCell ref="F2:W2"/>
    <mergeCell ref="A26:B26"/>
    <mergeCell ref="A2:A4"/>
    <mergeCell ref="B2:B4"/>
    <mergeCell ref="C2:E2"/>
    <mergeCell ref="C3:E3"/>
    <mergeCell ref="F3:H3"/>
    <mergeCell ref="I3:K3"/>
    <mergeCell ref="L3:N3"/>
  </mergeCells>
  <pageMargins left="0.7" right="0.7" top="0.75" bottom="0.75" header="0.3" footer="0.3"/>
  <pageSetup paperSize="3"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48"/>
  <sheetViews>
    <sheetView workbookViewId="0">
      <pane xSplit="1" topLeftCell="B1" activePane="topRight" state="frozen"/>
      <selection pane="topRight" activeCell="Q22" sqref="Q22"/>
    </sheetView>
  </sheetViews>
  <sheetFormatPr defaultColWidth="9.140625" defaultRowHeight="12.75"/>
  <cols>
    <col min="1" max="1" width="15.140625" style="1" customWidth="1"/>
    <col min="2" max="2" width="10.5703125" style="1" customWidth="1"/>
    <col min="3" max="3" width="11" style="1" customWidth="1"/>
    <col min="4" max="9" width="10.42578125" style="1" customWidth="1"/>
    <col min="10" max="22" width="9.140625" style="1"/>
    <col min="23" max="25" width="9.140625" style="1" customWidth="1"/>
    <col min="26" max="30" width="9.140625" style="1"/>
    <col min="31" max="36" width="9.140625" style="1" customWidth="1"/>
    <col min="37" max="37" width="10.7109375" style="1" customWidth="1"/>
    <col min="38" max="42" width="9.140625" style="1" customWidth="1"/>
    <col min="43" max="43" width="11.28515625" style="1" hidden="1" customWidth="1"/>
    <col min="44" max="44" width="15.85546875" style="1" hidden="1" customWidth="1"/>
    <col min="45" max="45" width="10.7109375" style="1" hidden="1" customWidth="1"/>
    <col min="46" max="16384" width="9.140625" style="1"/>
  </cols>
  <sheetData>
    <row r="1" spans="1:45" ht="13.5" thickBot="1">
      <c r="A1" s="297" t="s">
        <v>75</v>
      </c>
      <c r="B1" s="2"/>
      <c r="C1" s="2"/>
      <c r="D1" s="2"/>
      <c r="E1" s="2"/>
      <c r="F1" s="2"/>
      <c r="G1" s="2"/>
      <c r="H1" s="2"/>
      <c r="I1" s="2"/>
      <c r="J1" s="2"/>
      <c r="K1" s="2"/>
      <c r="L1" s="2"/>
      <c r="M1" s="2"/>
      <c r="N1" s="2"/>
      <c r="O1" s="2"/>
      <c r="P1" s="2"/>
      <c r="Q1" s="2"/>
      <c r="R1" s="2"/>
      <c r="S1" s="2"/>
      <c r="T1" s="2"/>
      <c r="U1" s="2"/>
      <c r="V1" s="2"/>
      <c r="W1" s="256"/>
      <c r="X1" s="256"/>
      <c r="Y1" s="256"/>
      <c r="Z1" s="256"/>
      <c r="AA1" s="256"/>
      <c r="AB1" s="256"/>
      <c r="AC1" s="256"/>
      <c r="AD1" s="256"/>
    </row>
    <row r="2" spans="1:45" ht="15.75" customHeight="1" thickBot="1">
      <c r="A2" s="3204" t="s">
        <v>1</v>
      </c>
      <c r="B2" s="3206" t="s">
        <v>2</v>
      </c>
      <c r="C2" s="3251" t="s">
        <v>76</v>
      </c>
      <c r="D2" s="3241" t="s">
        <v>77</v>
      </c>
      <c r="E2" s="3242"/>
      <c r="F2" s="3242"/>
      <c r="G2" s="3242"/>
      <c r="H2" s="3242"/>
      <c r="I2" s="3225"/>
      <c r="J2" s="3222" t="s">
        <v>55</v>
      </c>
      <c r="K2" s="3222"/>
      <c r="L2" s="3223"/>
      <c r="M2" s="3221" t="s">
        <v>56</v>
      </c>
      <c r="N2" s="3222"/>
      <c r="O2" s="3222"/>
      <c r="P2" s="3222"/>
      <c r="Q2" s="3222"/>
      <c r="R2" s="3222"/>
      <c r="S2" s="3222"/>
      <c r="T2" s="3222"/>
      <c r="U2" s="3222"/>
      <c r="V2" s="3222"/>
      <c r="W2" s="3222"/>
      <c r="X2" s="3222"/>
      <c r="Y2" s="3222"/>
      <c r="Z2" s="3222"/>
      <c r="AA2" s="3222"/>
      <c r="AB2" s="3222"/>
      <c r="AC2" s="3222"/>
      <c r="AD2" s="3222"/>
      <c r="AE2" s="3222"/>
      <c r="AF2" s="3222"/>
      <c r="AG2" s="3222"/>
      <c r="AH2" s="3222"/>
      <c r="AI2" s="3222"/>
      <c r="AJ2" s="3223"/>
      <c r="AK2" s="3245" t="s">
        <v>57</v>
      </c>
      <c r="AL2" s="3261" t="s">
        <v>58</v>
      </c>
      <c r="AM2" s="3262"/>
      <c r="AN2" s="3262"/>
      <c r="AO2" s="3263"/>
      <c r="AQ2" s="3258" t="s">
        <v>78</v>
      </c>
      <c r="AR2" s="3255" t="s">
        <v>79</v>
      </c>
      <c r="AS2" s="3245" t="s">
        <v>80</v>
      </c>
    </row>
    <row r="3" spans="1:45" ht="15" customHeight="1" thickBot="1">
      <c r="A3" s="3205"/>
      <c r="B3" s="3207"/>
      <c r="C3" s="3252"/>
      <c r="D3" s="3243"/>
      <c r="E3" s="3244"/>
      <c r="F3" s="3244"/>
      <c r="G3" s="3244"/>
      <c r="H3" s="3244"/>
      <c r="I3" s="3227"/>
      <c r="J3" s="3219">
        <v>2015</v>
      </c>
      <c r="K3" s="3213"/>
      <c r="L3" s="3215"/>
      <c r="M3" s="3248">
        <v>2020</v>
      </c>
      <c r="N3" s="3249"/>
      <c r="O3" s="3249"/>
      <c r="P3" s="3250"/>
      <c r="Q3" s="3249">
        <v>2025</v>
      </c>
      <c r="R3" s="3249"/>
      <c r="S3" s="3249"/>
      <c r="T3" s="3250"/>
      <c r="U3" s="3248">
        <v>2030</v>
      </c>
      <c r="V3" s="3249"/>
      <c r="W3" s="3249"/>
      <c r="X3" s="3250"/>
      <c r="Y3" s="3249">
        <v>2035</v>
      </c>
      <c r="Z3" s="3249"/>
      <c r="AA3" s="3249"/>
      <c r="AB3" s="3250"/>
      <c r="AC3" s="3248">
        <v>2040</v>
      </c>
      <c r="AD3" s="3249"/>
      <c r="AE3" s="3249"/>
      <c r="AF3" s="3250"/>
      <c r="AG3" s="3248">
        <v>2045</v>
      </c>
      <c r="AH3" s="3249"/>
      <c r="AI3" s="3249"/>
      <c r="AJ3" s="3250"/>
      <c r="AK3" s="3246"/>
      <c r="AL3" s="3258">
        <v>2045</v>
      </c>
      <c r="AM3" s="3264"/>
      <c r="AN3" s="3264"/>
      <c r="AO3" s="3245"/>
      <c r="AQ3" s="3259"/>
      <c r="AR3" s="3256"/>
      <c r="AS3" s="3246"/>
    </row>
    <row r="4" spans="1:45" ht="15.75" customHeight="1" thickBot="1">
      <c r="A4" s="3485"/>
      <c r="B4" s="3208"/>
      <c r="C4" s="3023">
        <v>2015</v>
      </c>
      <c r="D4" s="1676">
        <v>2020</v>
      </c>
      <c r="E4" s="1677">
        <v>2025</v>
      </c>
      <c r="F4" s="1677">
        <v>2030</v>
      </c>
      <c r="G4" s="1677">
        <v>2035</v>
      </c>
      <c r="H4" s="1678">
        <v>2040</v>
      </c>
      <c r="I4" s="3019">
        <v>2045</v>
      </c>
      <c r="J4" s="1669" t="s">
        <v>60</v>
      </c>
      <c r="K4" s="1017" t="s">
        <v>61</v>
      </c>
      <c r="L4" s="1659" t="s">
        <v>18</v>
      </c>
      <c r="M4" s="1655" t="s">
        <v>60</v>
      </c>
      <c r="N4" s="1657" t="s">
        <v>61</v>
      </c>
      <c r="O4" s="3131" t="s">
        <v>18</v>
      </c>
      <c r="P4" s="1658" t="s">
        <v>81</v>
      </c>
      <c r="Q4" s="1669" t="s">
        <v>60</v>
      </c>
      <c r="R4" s="1017" t="s">
        <v>61</v>
      </c>
      <c r="S4" s="1656" t="s">
        <v>18</v>
      </c>
      <c r="T4" s="3133" t="s">
        <v>81</v>
      </c>
      <c r="U4" s="1655" t="s">
        <v>60</v>
      </c>
      <c r="V4" s="1657" t="s">
        <v>61</v>
      </c>
      <c r="W4" s="3131" t="s">
        <v>18</v>
      </c>
      <c r="X4" s="1658" t="s">
        <v>81</v>
      </c>
      <c r="Y4" s="1669" t="s">
        <v>60</v>
      </c>
      <c r="Z4" s="1017" t="s">
        <v>61</v>
      </c>
      <c r="AA4" s="3131" t="s">
        <v>18</v>
      </c>
      <c r="AB4" s="1661" t="s">
        <v>81</v>
      </c>
      <c r="AC4" s="1655" t="s">
        <v>60</v>
      </c>
      <c r="AD4" s="1657" t="s">
        <v>61</v>
      </c>
      <c r="AE4" s="3131" t="s">
        <v>18</v>
      </c>
      <c r="AF4" s="1661" t="s">
        <v>81</v>
      </c>
      <c r="AG4" s="1655" t="s">
        <v>60</v>
      </c>
      <c r="AH4" s="1657" t="s">
        <v>61</v>
      </c>
      <c r="AI4" s="3131" t="s">
        <v>18</v>
      </c>
      <c r="AJ4" s="3133" t="s">
        <v>81</v>
      </c>
      <c r="AK4" s="3247"/>
      <c r="AL4" s="1133" t="s">
        <v>60</v>
      </c>
      <c r="AM4" s="1134" t="s">
        <v>61</v>
      </c>
      <c r="AN4" s="3147" t="s">
        <v>18</v>
      </c>
      <c r="AO4" s="1658" t="s">
        <v>81</v>
      </c>
      <c r="AQ4" s="3260"/>
      <c r="AR4" s="3257"/>
      <c r="AS4" s="3247"/>
    </row>
    <row r="5" spans="1:45">
      <c r="A5" s="443" t="s">
        <v>14</v>
      </c>
      <c r="B5" s="1672" t="s">
        <v>15</v>
      </c>
      <c r="C5" s="737">
        <f>'Table 5'!D10</f>
        <v>187980</v>
      </c>
      <c r="D5" s="328">
        <f>'Table 5'!E10</f>
        <v>194225</v>
      </c>
      <c r="E5" s="307">
        <f>'Table 5'!F10</f>
        <v>198455</v>
      </c>
      <c r="F5" s="307">
        <f>'Table 5'!G10</f>
        <v>200386</v>
      </c>
      <c r="G5" s="307">
        <f>'Table 5'!H10</f>
        <v>200475</v>
      </c>
      <c r="H5" s="307">
        <f>'Table 5'!I10</f>
        <v>201157</v>
      </c>
      <c r="I5" s="1059">
        <f>'Table 5'!J10</f>
        <v>201310</v>
      </c>
      <c r="J5" s="1205">
        <f>'Table 5'!M10</f>
        <v>21.14</v>
      </c>
      <c r="K5" s="1673">
        <f>'Table 5'!N10</f>
        <v>0</v>
      </c>
      <c r="L5" s="526">
        <f>'Table 5'!O10</f>
        <v>21.14</v>
      </c>
      <c r="M5" s="1674">
        <f>'Table 5'!P10</f>
        <v>22.05</v>
      </c>
      <c r="N5" s="1383">
        <f>'Table 5'!Q10</f>
        <v>0</v>
      </c>
      <c r="O5" s="1679">
        <f>'Table 5'!R10</f>
        <v>22.05</v>
      </c>
      <c r="P5" s="447">
        <f>'Table 5'!S10</f>
        <v>0</v>
      </c>
      <c r="Q5" s="1205">
        <f>'Table 5'!T10</f>
        <v>22.53</v>
      </c>
      <c r="R5" s="1673">
        <f>'Table 5'!U10</f>
        <v>0</v>
      </c>
      <c r="S5" s="479">
        <f>'Table 5'!V10</f>
        <v>22.53</v>
      </c>
      <c r="T5" s="477">
        <f>'Table 5'!W10</f>
        <v>0</v>
      </c>
      <c r="U5" s="1674">
        <f>'Table 5'!X10</f>
        <v>22.73</v>
      </c>
      <c r="V5" s="1383">
        <f>'Table 5'!Y10</f>
        <v>0</v>
      </c>
      <c r="W5" s="479">
        <f>'Table 5'!Z10</f>
        <v>22.73</v>
      </c>
      <c r="X5" s="477">
        <f>'Table 5'!AA10</f>
        <v>0</v>
      </c>
      <c r="Y5" s="444">
        <f>'Table 5'!AB10</f>
        <v>22.74</v>
      </c>
      <c r="Z5" s="445">
        <f>'Table 5'!AC10</f>
        <v>0</v>
      </c>
      <c r="AA5" s="3136">
        <f>'Table 5'!AD10</f>
        <v>22.74</v>
      </c>
      <c r="AB5" s="642">
        <f>'Table 5'!AE10</f>
        <v>0</v>
      </c>
      <c r="AC5" s="444">
        <f>'Table 5'!AF10</f>
        <v>22.81</v>
      </c>
      <c r="AD5" s="446">
        <f>'Table 5'!AG10</f>
        <v>0</v>
      </c>
      <c r="AE5" s="3136">
        <f>'Table 5'!AH10</f>
        <v>22.81</v>
      </c>
      <c r="AF5" s="3164">
        <f>'Table 5'!AI10</f>
        <v>0</v>
      </c>
      <c r="AG5" s="674">
        <f>'Table 5'!AJ10</f>
        <v>22.83</v>
      </c>
      <c r="AH5" s="585">
        <f>'Table 5'!AK10</f>
        <v>0</v>
      </c>
      <c r="AI5" s="3136">
        <f>'Table 5'!AL10</f>
        <v>22.83</v>
      </c>
      <c r="AJ5" s="450">
        <f>'Table 5'!AM10</f>
        <v>0</v>
      </c>
      <c r="AK5" s="361">
        <f>(AI5-L5)/L5</f>
        <v>0.08</v>
      </c>
      <c r="AL5" s="73">
        <f>'Table 5'!AP10</f>
        <v>24.2</v>
      </c>
      <c r="AM5" s="90">
        <f>'Table 5'!AQ10</f>
        <v>0</v>
      </c>
      <c r="AN5" s="3148">
        <f>'Table 5'!AR10</f>
        <v>24.2</v>
      </c>
      <c r="AO5" s="3156">
        <f>'Table 5'!AS10</f>
        <v>0</v>
      </c>
      <c r="AQ5" s="737">
        <f>I5-C5</f>
        <v>13330</v>
      </c>
      <c r="AR5" s="239">
        <f>AQ5/C5</f>
        <v>7.0000000000000007E-2</v>
      </c>
      <c r="AS5" s="1065">
        <f>AI5-L5</f>
        <v>1.69</v>
      </c>
    </row>
    <row r="6" spans="1:45" ht="13.5" thickBot="1">
      <c r="A6" s="579" t="s">
        <v>14</v>
      </c>
      <c r="B6" s="1079" t="s">
        <v>17</v>
      </c>
      <c r="C6" s="1849">
        <f>'Table 5'!D16</f>
        <v>21820</v>
      </c>
      <c r="D6" s="95">
        <f>'Table 5'!E16</f>
        <v>23504</v>
      </c>
      <c r="E6" s="742">
        <f>'Table 5'!F16</f>
        <v>23749</v>
      </c>
      <c r="F6" s="742">
        <f>'Table 5'!G16</f>
        <v>25325</v>
      </c>
      <c r="G6" s="742">
        <f>'Table 5'!H16</f>
        <v>26758</v>
      </c>
      <c r="H6" s="742">
        <f>'Table 5'!I16</f>
        <v>27250</v>
      </c>
      <c r="I6" s="1060">
        <f>'Table 5'!J16</f>
        <v>27562</v>
      </c>
      <c r="J6" s="1056">
        <f>'Table 5'!M16</f>
        <v>2.35</v>
      </c>
      <c r="K6" s="528">
        <f>'Table 5'!N16</f>
        <v>0</v>
      </c>
      <c r="L6" s="529">
        <f>'Table 5'!O16</f>
        <v>2.35</v>
      </c>
      <c r="M6" s="124">
        <f>'Table 5'!P16</f>
        <v>2.54</v>
      </c>
      <c r="N6" s="1057">
        <f>'Table 5'!Q16</f>
        <v>0</v>
      </c>
      <c r="O6" s="516">
        <f>'Table 5'!R16</f>
        <v>2.54</v>
      </c>
      <c r="P6" s="1058">
        <f>'Table 5'!S16</f>
        <v>0</v>
      </c>
      <c r="Q6" s="1056">
        <f>'Table 5'!T16</f>
        <v>2.56</v>
      </c>
      <c r="R6" s="528">
        <f>'Table 5'!U16</f>
        <v>0</v>
      </c>
      <c r="S6" s="530">
        <f>'Table 5'!V16</f>
        <v>2.56</v>
      </c>
      <c r="T6" s="3134">
        <f>'Table 5'!W16</f>
        <v>0</v>
      </c>
      <c r="U6" s="124">
        <f>'Table 5'!X16</f>
        <v>2.71</v>
      </c>
      <c r="V6" s="1057">
        <f>'Table 5'!Y16</f>
        <v>0</v>
      </c>
      <c r="W6" s="516">
        <f>'Table 5'!Z16</f>
        <v>2.71</v>
      </c>
      <c r="X6" s="1385">
        <f>'Table 5'!AA16</f>
        <v>0</v>
      </c>
      <c r="Y6" s="467">
        <f>'Table 5'!AB16</f>
        <v>2.89</v>
      </c>
      <c r="Z6" s="531">
        <f>'Table 5'!AC16</f>
        <v>0</v>
      </c>
      <c r="AA6" s="3137">
        <f>'Table 5'!AD16</f>
        <v>2.89</v>
      </c>
      <c r="AB6" s="3129">
        <f>'Table 5'!AE16</f>
        <v>0</v>
      </c>
      <c r="AC6" s="467">
        <f>'Table 5'!AF16</f>
        <v>2.95</v>
      </c>
      <c r="AD6" s="532">
        <f>'Table 5'!AG16</f>
        <v>0</v>
      </c>
      <c r="AE6" s="3137">
        <f>'Table 5'!AH16</f>
        <v>2.95</v>
      </c>
      <c r="AF6" s="3165">
        <f>'Table 5'!AI16</f>
        <v>0</v>
      </c>
      <c r="AG6" s="1603">
        <f>'Table 5'!AJ16</f>
        <v>2.98</v>
      </c>
      <c r="AH6" s="562">
        <f>'Table 5'!AK16</f>
        <v>0</v>
      </c>
      <c r="AI6" s="3137">
        <f>'Table 5'!AL16</f>
        <v>2.98</v>
      </c>
      <c r="AJ6" s="943">
        <f>'Table 5'!AM16</f>
        <v>0</v>
      </c>
      <c r="AK6" s="745">
        <f t="shared" ref="AK6:AK27" si="0">(AI6-L6)/L6</f>
        <v>0.27</v>
      </c>
      <c r="AL6" s="1021">
        <f>'Table 5'!AP16</f>
        <v>3.17</v>
      </c>
      <c r="AM6" s="1022">
        <f>'Table 5'!AQ16</f>
        <v>0</v>
      </c>
      <c r="AN6" s="3149">
        <f>'Table 5'!AR16</f>
        <v>3.17</v>
      </c>
      <c r="AO6" s="3157">
        <f>'Table 5'!AS16</f>
        <v>0</v>
      </c>
      <c r="AQ6" s="1849">
        <f t="shared" ref="AQ6:AQ27" si="1">I6-C6</f>
        <v>5742</v>
      </c>
      <c r="AR6" s="234">
        <f t="shared" ref="AR6:AR27" si="2">AQ6/C6</f>
        <v>0.26</v>
      </c>
      <c r="AS6" s="1066">
        <f t="shared" ref="AS6:AS27" si="3">AI6-L6</f>
        <v>0.63</v>
      </c>
    </row>
    <row r="7" spans="1:45" ht="14.25" thickTop="1" thickBot="1">
      <c r="A7" s="476" t="s">
        <v>14</v>
      </c>
      <c r="B7" s="3020" t="s">
        <v>18</v>
      </c>
      <c r="C7" s="738">
        <f t="shared" ref="C7" si="4">C5+C6</f>
        <v>209800</v>
      </c>
      <c r="D7" s="743">
        <f t="shared" ref="D7:I7" si="5">D5+D6</f>
        <v>217729</v>
      </c>
      <c r="E7" s="64">
        <f t="shared" si="5"/>
        <v>222204</v>
      </c>
      <c r="F7" s="64">
        <f t="shared" si="5"/>
        <v>225711</v>
      </c>
      <c r="G7" s="64">
        <f t="shared" si="5"/>
        <v>227233</v>
      </c>
      <c r="H7" s="64">
        <f t="shared" si="5"/>
        <v>228407</v>
      </c>
      <c r="I7" s="1061">
        <f t="shared" si="5"/>
        <v>228872</v>
      </c>
      <c r="J7" s="477">
        <f>SUM(J5:J6)</f>
        <v>23.49</v>
      </c>
      <c r="K7" s="478">
        <f t="shared" ref="K7:AL7" si="6">SUM(K5:K6)</f>
        <v>0</v>
      </c>
      <c r="L7" s="526">
        <f t="shared" si="6"/>
        <v>23.49</v>
      </c>
      <c r="M7" s="480">
        <f t="shared" si="6"/>
        <v>24.59</v>
      </c>
      <c r="N7" s="481">
        <f t="shared" si="6"/>
        <v>0</v>
      </c>
      <c r="O7" s="479">
        <f t="shared" si="6"/>
        <v>24.59</v>
      </c>
      <c r="P7" s="447">
        <f t="shared" ref="P7" si="7">SUM(P5:P6)</f>
        <v>0</v>
      </c>
      <c r="Q7" s="477">
        <f t="shared" si="6"/>
        <v>25.09</v>
      </c>
      <c r="R7" s="478">
        <f t="shared" si="6"/>
        <v>0</v>
      </c>
      <c r="S7" s="3135">
        <f t="shared" si="6"/>
        <v>25.09</v>
      </c>
      <c r="T7" s="477">
        <f t="shared" ref="T7" si="8">SUM(T5:T6)</f>
        <v>0</v>
      </c>
      <c r="U7" s="480">
        <f t="shared" si="6"/>
        <v>25.44</v>
      </c>
      <c r="V7" s="481">
        <f t="shared" si="6"/>
        <v>0</v>
      </c>
      <c r="W7" s="479">
        <f t="shared" si="6"/>
        <v>25.44</v>
      </c>
      <c r="X7" s="477">
        <f t="shared" ref="X7" si="9">SUM(X5:X6)</f>
        <v>0</v>
      </c>
      <c r="Y7" s="482">
        <f t="shared" si="6"/>
        <v>25.63</v>
      </c>
      <c r="Z7" s="483">
        <f t="shared" si="6"/>
        <v>0</v>
      </c>
      <c r="AA7" s="3138">
        <f t="shared" si="6"/>
        <v>25.63</v>
      </c>
      <c r="AB7" s="639">
        <f t="shared" ref="AB7" si="10">SUM(AB5:AB6)</f>
        <v>0</v>
      </c>
      <c r="AC7" s="482">
        <f t="shared" si="6"/>
        <v>25.76</v>
      </c>
      <c r="AD7" s="485">
        <f t="shared" si="6"/>
        <v>0</v>
      </c>
      <c r="AE7" s="3138">
        <f t="shared" si="6"/>
        <v>25.76</v>
      </c>
      <c r="AF7" s="3166">
        <f t="shared" ref="AF7" si="11">SUM(AF5:AF6)</f>
        <v>0</v>
      </c>
      <c r="AG7" s="656">
        <f t="shared" si="6"/>
        <v>25.81</v>
      </c>
      <c r="AH7" s="590">
        <f t="shared" si="6"/>
        <v>0</v>
      </c>
      <c r="AI7" s="3138">
        <f t="shared" si="6"/>
        <v>25.81</v>
      </c>
      <c r="AJ7" s="486">
        <f t="shared" ref="AJ7" si="12">SUM(AJ5:AJ6)</f>
        <v>0</v>
      </c>
      <c r="AK7" s="487">
        <f t="shared" si="0"/>
        <v>0.1</v>
      </c>
      <c r="AL7" s="60">
        <f t="shared" si="6"/>
        <v>27.37</v>
      </c>
      <c r="AM7" s="106">
        <f t="shared" ref="AM7" si="13">SUM(AM5:AM6)</f>
        <v>0</v>
      </c>
      <c r="AN7" s="3150">
        <f t="shared" ref="AN7" si="14">SUM(AN5:AN6)</f>
        <v>27.37</v>
      </c>
      <c r="AO7" s="3175">
        <f t="shared" ref="AO7" si="15">SUM(AO5:AO6)</f>
        <v>0</v>
      </c>
      <c r="AQ7" s="738">
        <f t="shared" si="1"/>
        <v>19072</v>
      </c>
      <c r="AR7" s="302">
        <f t="shared" si="2"/>
        <v>0.09</v>
      </c>
      <c r="AS7" s="1067">
        <f t="shared" si="3"/>
        <v>2.3199999999999998</v>
      </c>
    </row>
    <row r="8" spans="1:45">
      <c r="A8" s="475" t="s">
        <v>19</v>
      </c>
      <c r="B8" s="509" t="s">
        <v>15</v>
      </c>
      <c r="C8" s="351">
        <f>'Table 5'!D19</f>
        <v>6865</v>
      </c>
      <c r="D8" s="91">
        <f>'Table 5'!E19</f>
        <v>7045</v>
      </c>
      <c r="E8" s="92">
        <f>'Table 5'!F19</f>
        <v>7309</v>
      </c>
      <c r="F8" s="92">
        <f>'Table 5'!G19</f>
        <v>7833</v>
      </c>
      <c r="G8" s="92">
        <f>'Table 5'!H19</f>
        <v>7998</v>
      </c>
      <c r="H8" s="92">
        <f>'Table 5'!I19</f>
        <v>8030</v>
      </c>
      <c r="I8" s="1014">
        <f>'Table 5'!J19</f>
        <v>8030</v>
      </c>
      <c r="J8" s="122">
        <f>'Table 5'!M19</f>
        <v>0.92</v>
      </c>
      <c r="K8" s="462">
        <f>'Table 5'!N19</f>
        <v>0</v>
      </c>
      <c r="L8" s="513">
        <f>'Table 5'!O19</f>
        <v>0.92</v>
      </c>
      <c r="M8" s="99">
        <f>'Table 5'!P19</f>
        <v>0.95</v>
      </c>
      <c r="N8" s="463">
        <f>'Table 5'!Q19</f>
        <v>0</v>
      </c>
      <c r="O8" s="3132">
        <f>'Table 5'!R19</f>
        <v>0.95</v>
      </c>
      <c r="P8" s="517">
        <f>'Table 5'!S19</f>
        <v>0</v>
      </c>
      <c r="Q8" s="122">
        <f>'Table 5'!T19</f>
        <v>0.99</v>
      </c>
      <c r="R8" s="462">
        <f>'Table 5'!U19</f>
        <v>0</v>
      </c>
      <c r="S8" s="3132">
        <f>'Table 5'!V19</f>
        <v>0.99</v>
      </c>
      <c r="T8" s="1371">
        <f>'Table 5'!W19</f>
        <v>0</v>
      </c>
      <c r="U8" s="99">
        <f>'Table 5'!X19</f>
        <v>1.06</v>
      </c>
      <c r="V8" s="463">
        <f>'Table 5'!Y19</f>
        <v>0</v>
      </c>
      <c r="W8" s="3132">
        <f>'Table 5'!Z19</f>
        <v>1.06</v>
      </c>
      <c r="X8" s="1371">
        <f>'Table 5'!AA19</f>
        <v>0</v>
      </c>
      <c r="Y8" s="464">
        <f>'Table 5'!AB19</f>
        <v>1.08</v>
      </c>
      <c r="Z8" s="465">
        <f>'Table 5'!AC19</f>
        <v>0</v>
      </c>
      <c r="AA8" s="3139">
        <f>'Table 5'!AD19</f>
        <v>1.08</v>
      </c>
      <c r="AB8" s="3130">
        <f>'Table 5'!AE19</f>
        <v>0</v>
      </c>
      <c r="AC8" s="464">
        <f>'Table 5'!AF19</f>
        <v>1.0900000000000001</v>
      </c>
      <c r="AD8" s="466">
        <f>'Table 5'!AG19</f>
        <v>0</v>
      </c>
      <c r="AE8" s="3139">
        <f>'Table 5'!AH19</f>
        <v>1.0900000000000001</v>
      </c>
      <c r="AF8" s="3164">
        <f>'Table 5'!AI19</f>
        <v>0</v>
      </c>
      <c r="AG8" s="677">
        <f>'Table 5'!AJ19</f>
        <v>1.0900000000000001</v>
      </c>
      <c r="AH8" s="559">
        <f>'Table 5'!AK19</f>
        <v>0</v>
      </c>
      <c r="AI8" s="3139">
        <f>'Table 5'!AL19</f>
        <v>1.0900000000000001</v>
      </c>
      <c r="AJ8" s="518">
        <f>'Table 5'!AM19</f>
        <v>0</v>
      </c>
      <c r="AK8" s="362">
        <f t="shared" si="0"/>
        <v>0.18</v>
      </c>
      <c r="AL8" s="102">
        <f>'Table 5'!AP19</f>
        <v>1.1499999999999999</v>
      </c>
      <c r="AM8" s="117">
        <f>'Table 5'!AQ19</f>
        <v>0</v>
      </c>
      <c r="AN8" s="3151">
        <f>'Table 5'!AR19</f>
        <v>1.1499999999999999</v>
      </c>
      <c r="AO8" s="3163">
        <f>'Table 5'!AS19</f>
        <v>0</v>
      </c>
      <c r="AQ8" s="351">
        <f t="shared" si="1"/>
        <v>1165</v>
      </c>
      <c r="AR8" s="238">
        <f t="shared" si="2"/>
        <v>0.17</v>
      </c>
      <c r="AS8" s="1068">
        <f t="shared" si="3"/>
        <v>0.17</v>
      </c>
    </row>
    <row r="9" spans="1:45" ht="13.5" thickBot="1">
      <c r="A9" s="579" t="s">
        <v>19</v>
      </c>
      <c r="B9" s="1850" t="s">
        <v>17</v>
      </c>
      <c r="C9" s="1851">
        <v>0</v>
      </c>
      <c r="D9" s="95">
        <v>0</v>
      </c>
      <c r="E9" s="742">
        <v>0</v>
      </c>
      <c r="F9" s="742">
        <v>0</v>
      </c>
      <c r="G9" s="742">
        <v>0</v>
      </c>
      <c r="H9" s="742">
        <v>0</v>
      </c>
      <c r="I9" s="1060">
        <v>0</v>
      </c>
      <c r="J9" s="1056">
        <v>0</v>
      </c>
      <c r="K9" s="528">
        <v>0</v>
      </c>
      <c r="L9" s="529">
        <v>0</v>
      </c>
      <c r="M9" s="124">
        <v>0</v>
      </c>
      <c r="N9" s="1057">
        <v>0</v>
      </c>
      <c r="O9" s="516">
        <v>0</v>
      </c>
      <c r="P9" s="1058">
        <v>0</v>
      </c>
      <c r="Q9" s="1056">
        <v>0</v>
      </c>
      <c r="R9" s="528">
        <v>0</v>
      </c>
      <c r="S9" s="516">
        <v>0</v>
      </c>
      <c r="T9" s="1385">
        <v>0</v>
      </c>
      <c r="U9" s="124">
        <v>0</v>
      </c>
      <c r="V9" s="1057">
        <v>0</v>
      </c>
      <c r="W9" s="516">
        <v>0</v>
      </c>
      <c r="X9" s="1385">
        <v>0</v>
      </c>
      <c r="Y9" s="467">
        <v>0</v>
      </c>
      <c r="Z9" s="531">
        <v>0</v>
      </c>
      <c r="AA9" s="3137">
        <v>0</v>
      </c>
      <c r="AB9" s="3129">
        <v>0</v>
      </c>
      <c r="AC9" s="467">
        <v>0</v>
      </c>
      <c r="AD9" s="532">
        <v>0</v>
      </c>
      <c r="AE9" s="3137">
        <v>0</v>
      </c>
      <c r="AF9" s="3165">
        <v>0</v>
      </c>
      <c r="AG9" s="1603">
        <v>0</v>
      </c>
      <c r="AH9" s="562">
        <v>0</v>
      </c>
      <c r="AI9" s="3137">
        <v>0</v>
      </c>
      <c r="AJ9" s="943">
        <v>0</v>
      </c>
      <c r="AK9" s="745" t="s">
        <v>16</v>
      </c>
      <c r="AL9" s="1021">
        <v>0</v>
      </c>
      <c r="AM9" s="1022">
        <v>0</v>
      </c>
      <c r="AN9" s="3149">
        <v>0</v>
      </c>
      <c r="AO9" s="3157">
        <v>0</v>
      </c>
      <c r="AQ9" s="1849">
        <f t="shared" si="1"/>
        <v>0</v>
      </c>
      <c r="AR9" s="234" t="s">
        <v>16</v>
      </c>
      <c r="AS9" s="1066">
        <f t="shared" si="3"/>
        <v>0</v>
      </c>
    </row>
    <row r="10" spans="1:45" ht="14.25" thickTop="1" thickBot="1">
      <c r="A10" s="279" t="s">
        <v>19</v>
      </c>
      <c r="B10" s="3018" t="s">
        <v>18</v>
      </c>
      <c r="C10" s="739">
        <f t="shared" ref="C10" si="16">C8+C9</f>
        <v>6865</v>
      </c>
      <c r="D10" s="283">
        <f t="shared" ref="D10:I10" si="17">D8+D9</f>
        <v>7045</v>
      </c>
      <c r="E10" s="274">
        <f t="shared" si="17"/>
        <v>7309</v>
      </c>
      <c r="F10" s="274">
        <f t="shared" si="17"/>
        <v>7833</v>
      </c>
      <c r="G10" s="274">
        <f t="shared" si="17"/>
        <v>7998</v>
      </c>
      <c r="H10" s="274">
        <f t="shared" si="17"/>
        <v>8030</v>
      </c>
      <c r="I10" s="1062">
        <f t="shared" si="17"/>
        <v>8030</v>
      </c>
      <c r="J10" s="119">
        <f>SUM(J8:J9)</f>
        <v>0.92</v>
      </c>
      <c r="K10" s="107">
        <f t="shared" ref="K10:AL10" si="18">SUM(K8:K9)</f>
        <v>0</v>
      </c>
      <c r="L10" s="533">
        <f t="shared" si="18"/>
        <v>0.92</v>
      </c>
      <c r="M10" s="98">
        <f t="shared" si="18"/>
        <v>0.95</v>
      </c>
      <c r="N10" s="128">
        <f t="shared" si="18"/>
        <v>0</v>
      </c>
      <c r="O10" s="468">
        <f t="shared" si="18"/>
        <v>0.95</v>
      </c>
      <c r="P10" s="469">
        <f t="shared" ref="P10" si="19">SUM(P8:P9)</f>
        <v>0</v>
      </c>
      <c r="Q10" s="119">
        <f t="shared" si="18"/>
        <v>0.99</v>
      </c>
      <c r="R10" s="107">
        <f t="shared" si="18"/>
        <v>0</v>
      </c>
      <c r="S10" s="468">
        <f t="shared" si="18"/>
        <v>0.99</v>
      </c>
      <c r="T10" s="119">
        <f t="shared" ref="T10" si="20">SUM(T8:T9)</f>
        <v>0</v>
      </c>
      <c r="U10" s="98">
        <f t="shared" si="18"/>
        <v>1.06</v>
      </c>
      <c r="V10" s="128">
        <f t="shared" si="18"/>
        <v>0</v>
      </c>
      <c r="W10" s="468">
        <f t="shared" si="18"/>
        <v>1.06</v>
      </c>
      <c r="X10" s="119">
        <f t="shared" ref="X10" si="21">SUM(X8:X9)</f>
        <v>0</v>
      </c>
      <c r="Y10" s="470">
        <f t="shared" si="18"/>
        <v>1.08</v>
      </c>
      <c r="Z10" s="471">
        <f t="shared" si="18"/>
        <v>0</v>
      </c>
      <c r="AA10" s="3140">
        <f t="shared" si="18"/>
        <v>1.08</v>
      </c>
      <c r="AB10" s="679">
        <f t="shared" ref="AB10" si="22">SUM(AB8:AB9)</f>
        <v>0</v>
      </c>
      <c r="AC10" s="470">
        <f t="shared" si="18"/>
        <v>1.0900000000000001</v>
      </c>
      <c r="AD10" s="473">
        <f t="shared" si="18"/>
        <v>0</v>
      </c>
      <c r="AE10" s="3140">
        <f t="shared" si="18"/>
        <v>1.0900000000000001</v>
      </c>
      <c r="AF10" s="3167">
        <f t="shared" ref="AF10" si="23">SUM(AF8:AF9)</f>
        <v>0</v>
      </c>
      <c r="AG10" s="1604">
        <f t="shared" si="18"/>
        <v>1.0900000000000001</v>
      </c>
      <c r="AH10" s="1608">
        <f t="shared" si="18"/>
        <v>0</v>
      </c>
      <c r="AI10" s="3140">
        <f t="shared" si="18"/>
        <v>1.0900000000000001</v>
      </c>
      <c r="AJ10" s="474">
        <f t="shared" ref="AJ10" si="24">SUM(AJ8:AJ9)</f>
        <v>0</v>
      </c>
      <c r="AK10" s="363">
        <f t="shared" si="0"/>
        <v>0.18</v>
      </c>
      <c r="AL10" s="100">
        <f t="shared" si="18"/>
        <v>1.1499999999999999</v>
      </c>
      <c r="AM10" s="108">
        <f t="shared" ref="AM10" si="25">SUM(AM8:AM9)</f>
        <v>0</v>
      </c>
      <c r="AN10" s="3152">
        <f t="shared" ref="AN10" si="26">SUM(AN8:AN9)</f>
        <v>1.1499999999999999</v>
      </c>
      <c r="AO10" s="3175">
        <f t="shared" ref="AO10" si="27">SUM(AO8:AO9)</f>
        <v>0</v>
      </c>
      <c r="AQ10" s="739">
        <f t="shared" si="1"/>
        <v>1165</v>
      </c>
      <c r="AR10" s="252">
        <f t="shared" si="2"/>
        <v>0.17</v>
      </c>
      <c r="AS10" s="1069">
        <f t="shared" si="3"/>
        <v>0.17</v>
      </c>
    </row>
    <row r="11" spans="1:45">
      <c r="A11" s="475" t="s">
        <v>20</v>
      </c>
      <c r="B11" s="509" t="s">
        <v>15</v>
      </c>
      <c r="C11" s="351">
        <f>'Table 5'!D21</f>
        <v>115</v>
      </c>
      <c r="D11" s="91">
        <f>'Table 5'!E21</f>
        <v>122</v>
      </c>
      <c r="E11" s="92">
        <f>'Table 5'!F21</f>
        <v>145</v>
      </c>
      <c r="F11" s="92">
        <f>'Table 5'!G21</f>
        <v>155</v>
      </c>
      <c r="G11" s="92">
        <f>'Table 5'!H21</f>
        <v>155</v>
      </c>
      <c r="H11" s="92">
        <f>'Table 5'!I21</f>
        <v>155</v>
      </c>
      <c r="I11" s="1014">
        <f>'Table 5'!J21</f>
        <v>155</v>
      </c>
      <c r="J11" s="122">
        <f>'Table 5'!M21</f>
        <v>0.04</v>
      </c>
      <c r="K11" s="462">
        <f>'Table 5'!N21</f>
        <v>0</v>
      </c>
      <c r="L11" s="513">
        <f>'Table 5'!O21</f>
        <v>0.04</v>
      </c>
      <c r="M11" s="99">
        <f>'Table 5'!P21</f>
        <v>0.01</v>
      </c>
      <c r="N11" s="463">
        <f>'Table 5'!Q21</f>
        <v>0</v>
      </c>
      <c r="O11" s="3132">
        <f>'Table 5'!R21</f>
        <v>0.01</v>
      </c>
      <c r="P11" s="517">
        <f>'Table 5'!S21</f>
        <v>0</v>
      </c>
      <c r="Q11" s="122">
        <f>'Table 5'!T21</f>
        <v>0.01</v>
      </c>
      <c r="R11" s="462">
        <f>'Table 5'!U21</f>
        <v>0</v>
      </c>
      <c r="S11" s="3132">
        <f>'Table 5'!V21</f>
        <v>0.01</v>
      </c>
      <c r="T11" s="1371">
        <f>'Table 5'!W21</f>
        <v>0</v>
      </c>
      <c r="U11" s="99">
        <f>'Table 5'!X21</f>
        <v>0.01</v>
      </c>
      <c r="V11" s="463">
        <f>'Table 5'!Y21</f>
        <v>0</v>
      </c>
      <c r="W11" s="3132">
        <f>'Table 5'!Z21</f>
        <v>0.01</v>
      </c>
      <c r="X11" s="1371">
        <f>'Table 5'!AA21</f>
        <v>0</v>
      </c>
      <c r="Y11" s="510">
        <f>'Table 5'!AB21</f>
        <v>0.01</v>
      </c>
      <c r="Z11" s="511">
        <f>'Table 5'!AC21</f>
        <v>0</v>
      </c>
      <c r="AA11" s="3141">
        <f>'Table 5'!AD21</f>
        <v>0.01</v>
      </c>
      <c r="AB11" s="676">
        <f>'Table 5'!AE21</f>
        <v>0</v>
      </c>
      <c r="AC11" s="510">
        <f>'Table 5'!AF21</f>
        <v>0.01</v>
      </c>
      <c r="AD11" s="512">
        <f>'Table 5'!AG21</f>
        <v>0</v>
      </c>
      <c r="AE11" s="3141">
        <f>'Table 5'!AH21</f>
        <v>0.01</v>
      </c>
      <c r="AF11" s="3168">
        <f>'Table 5'!AI21</f>
        <v>0</v>
      </c>
      <c r="AG11" s="1201">
        <f>'Table 5'!AJ21</f>
        <v>0.01</v>
      </c>
      <c r="AH11" s="626">
        <f>'Table 5'!AK21</f>
        <v>0</v>
      </c>
      <c r="AI11" s="3141">
        <f>'Table 5'!AL21</f>
        <v>0.01</v>
      </c>
      <c r="AJ11" s="519">
        <f>'Table 5'!AM21</f>
        <v>0</v>
      </c>
      <c r="AK11" s="362">
        <f t="shared" si="0"/>
        <v>-0.75</v>
      </c>
      <c r="AL11" s="102">
        <f>'Table 5'!AP21</f>
        <v>0.01</v>
      </c>
      <c r="AM11" s="117">
        <f>'Table 5'!AQ21</f>
        <v>0</v>
      </c>
      <c r="AN11" s="3151">
        <f>'Table 5'!AR21</f>
        <v>0.01</v>
      </c>
      <c r="AO11" s="3163">
        <f>'Table 5'!AS21</f>
        <v>0</v>
      </c>
      <c r="AQ11" s="351">
        <f t="shared" si="1"/>
        <v>40</v>
      </c>
      <c r="AR11" s="238">
        <f t="shared" si="2"/>
        <v>0.35</v>
      </c>
      <c r="AS11" s="1070">
        <f t="shared" si="3"/>
        <v>-0.03</v>
      </c>
    </row>
    <row r="12" spans="1:45" ht="13.5" thickBot="1">
      <c r="A12" s="579" t="s">
        <v>20</v>
      </c>
      <c r="B12" s="540" t="s">
        <v>17</v>
      </c>
      <c r="C12" s="740">
        <f>'Table 5'!D24</f>
        <v>7462</v>
      </c>
      <c r="D12" s="329">
        <f>'Table 5'!E24</f>
        <v>8843</v>
      </c>
      <c r="E12" s="330">
        <f>'Table 5'!F24</f>
        <v>9029</v>
      </c>
      <c r="F12" s="330">
        <f>'Table 5'!G24</f>
        <v>9181</v>
      </c>
      <c r="G12" s="330">
        <f>'Table 5'!H24</f>
        <v>9301</v>
      </c>
      <c r="H12" s="330">
        <f>'Table 5'!I24</f>
        <v>9398</v>
      </c>
      <c r="I12" s="1015">
        <f>'Table 5'!J24</f>
        <v>9542</v>
      </c>
      <c r="J12" s="1056">
        <f>'Table 5'!M24</f>
        <v>0.94</v>
      </c>
      <c r="K12" s="528">
        <f>'Table 5'!N24</f>
        <v>0</v>
      </c>
      <c r="L12" s="529">
        <f>'Table 5'!O24</f>
        <v>0.94</v>
      </c>
      <c r="M12" s="124">
        <f>'Table 5'!P24</f>
        <v>1.04</v>
      </c>
      <c r="N12" s="1057">
        <f>'Table 5'!Q24</f>
        <v>0</v>
      </c>
      <c r="O12" s="516">
        <f>'Table 5'!R24</f>
        <v>1.04</v>
      </c>
      <c r="P12" s="1058">
        <f>'Table 5'!S24</f>
        <v>0</v>
      </c>
      <c r="Q12" s="1056">
        <f>'Table 5'!T24</f>
        <v>1.05</v>
      </c>
      <c r="R12" s="528">
        <f>'Table 5'!U24</f>
        <v>0</v>
      </c>
      <c r="S12" s="516">
        <f>'Table 5'!V24</f>
        <v>1.05</v>
      </c>
      <c r="T12" s="1385">
        <f>'Table 5'!W24</f>
        <v>0</v>
      </c>
      <c r="U12" s="124">
        <f>'Table 5'!X24</f>
        <v>1.07</v>
      </c>
      <c r="V12" s="1057">
        <f>'Table 5'!Y24</f>
        <v>0</v>
      </c>
      <c r="W12" s="516">
        <f>'Table 5'!Z24</f>
        <v>1.07</v>
      </c>
      <c r="X12" s="1385">
        <f>'Table 5'!AA24</f>
        <v>0</v>
      </c>
      <c r="Y12" s="41">
        <f>'Table 5'!AB24</f>
        <v>1.08</v>
      </c>
      <c r="Z12" s="541">
        <f>'Table 5'!AC24</f>
        <v>0</v>
      </c>
      <c r="AA12" s="3142">
        <f>'Table 5'!AD24</f>
        <v>1.08</v>
      </c>
      <c r="AB12" s="1254">
        <f>'Table 5'!AE24</f>
        <v>0</v>
      </c>
      <c r="AC12" s="41">
        <f>'Table 5'!AF24</f>
        <v>1.0900000000000001</v>
      </c>
      <c r="AD12" s="543">
        <f>'Table 5'!AG24</f>
        <v>0</v>
      </c>
      <c r="AE12" s="3142">
        <f>'Table 5'!AH24</f>
        <v>1.0900000000000001</v>
      </c>
      <c r="AF12" s="3169">
        <f>'Table 5'!AI24</f>
        <v>0</v>
      </c>
      <c r="AG12" s="1605">
        <f>'Table 5'!AJ24</f>
        <v>1.1100000000000001</v>
      </c>
      <c r="AH12" s="613">
        <f>'Table 5'!AK24</f>
        <v>0</v>
      </c>
      <c r="AI12" s="3146">
        <f>'Table 5'!AL24</f>
        <v>1.1100000000000001</v>
      </c>
      <c r="AJ12" s="614">
        <f>'Table 5'!AM24</f>
        <v>0</v>
      </c>
      <c r="AK12" s="544">
        <f t="shared" si="0"/>
        <v>0.18</v>
      </c>
      <c r="AL12" s="1021">
        <f>'Table 5'!AP24</f>
        <v>1.17</v>
      </c>
      <c r="AM12" s="1022">
        <f>'Table 5'!AQ24</f>
        <v>0</v>
      </c>
      <c r="AN12" s="3149">
        <f>'Table 5'!AR24</f>
        <v>1.17</v>
      </c>
      <c r="AO12" s="3176">
        <f>'Table 5'!AS24</f>
        <v>0</v>
      </c>
      <c r="AQ12" s="740">
        <f t="shared" si="1"/>
        <v>2080</v>
      </c>
      <c r="AR12" s="1003">
        <f t="shared" si="2"/>
        <v>0.28000000000000003</v>
      </c>
      <c r="AS12" s="1071">
        <f t="shared" si="3"/>
        <v>0.17</v>
      </c>
    </row>
    <row r="13" spans="1:45" ht="14.25" thickTop="1" thickBot="1">
      <c r="A13" s="279" t="s">
        <v>20</v>
      </c>
      <c r="B13" s="3018" t="s">
        <v>18</v>
      </c>
      <c r="C13" s="739">
        <f t="shared" ref="C13:J13" si="28">SUM(C11:C12)</f>
        <v>7577</v>
      </c>
      <c r="D13" s="283">
        <f t="shared" ref="D13:I13" si="29">SUM(D11:D12)</f>
        <v>8965</v>
      </c>
      <c r="E13" s="274">
        <f t="shared" si="29"/>
        <v>9174</v>
      </c>
      <c r="F13" s="274">
        <f t="shared" si="29"/>
        <v>9336</v>
      </c>
      <c r="G13" s="274">
        <f t="shared" si="29"/>
        <v>9456</v>
      </c>
      <c r="H13" s="274">
        <f t="shared" si="29"/>
        <v>9553</v>
      </c>
      <c r="I13" s="1062">
        <f t="shared" si="29"/>
        <v>9697</v>
      </c>
      <c r="J13" s="119">
        <f t="shared" si="28"/>
        <v>0.98</v>
      </c>
      <c r="K13" s="107">
        <f t="shared" ref="K13:AI13" si="30">SUM(K11:K12)</f>
        <v>0</v>
      </c>
      <c r="L13" s="533">
        <f t="shared" si="30"/>
        <v>0.98</v>
      </c>
      <c r="M13" s="98">
        <f t="shared" si="30"/>
        <v>1.05</v>
      </c>
      <c r="N13" s="128">
        <f t="shared" si="30"/>
        <v>0</v>
      </c>
      <c r="O13" s="468">
        <f t="shared" si="30"/>
        <v>1.05</v>
      </c>
      <c r="P13" s="469">
        <f t="shared" ref="P13" si="31">SUM(P11:P12)</f>
        <v>0</v>
      </c>
      <c r="Q13" s="119">
        <f t="shared" si="30"/>
        <v>1.06</v>
      </c>
      <c r="R13" s="107">
        <f t="shared" si="30"/>
        <v>0</v>
      </c>
      <c r="S13" s="468">
        <f t="shared" si="30"/>
        <v>1.06</v>
      </c>
      <c r="T13" s="119">
        <f t="shared" ref="T13" si="32">SUM(T11:T12)</f>
        <v>0</v>
      </c>
      <c r="U13" s="98">
        <f t="shared" si="30"/>
        <v>1.08</v>
      </c>
      <c r="V13" s="128">
        <f t="shared" si="30"/>
        <v>0</v>
      </c>
      <c r="W13" s="468">
        <f t="shared" si="30"/>
        <v>1.08</v>
      </c>
      <c r="X13" s="119">
        <f t="shared" ref="X13" si="33">SUM(X11:X12)</f>
        <v>0</v>
      </c>
      <c r="Y13" s="535">
        <f t="shared" si="30"/>
        <v>1.0900000000000001</v>
      </c>
      <c r="Z13" s="536">
        <f t="shared" si="30"/>
        <v>0</v>
      </c>
      <c r="AA13" s="667">
        <f t="shared" si="30"/>
        <v>1.0900000000000001</v>
      </c>
      <c r="AB13" s="646">
        <f t="shared" ref="AB13" si="34">SUM(AB11:AB12)</f>
        <v>0</v>
      </c>
      <c r="AC13" s="535">
        <f t="shared" si="30"/>
        <v>1.1000000000000001</v>
      </c>
      <c r="AD13" s="538">
        <f t="shared" si="30"/>
        <v>0</v>
      </c>
      <c r="AE13" s="667">
        <f t="shared" si="30"/>
        <v>1.1000000000000001</v>
      </c>
      <c r="AF13" s="3170">
        <f t="shared" ref="AF13" si="35">SUM(AF11:AF12)</f>
        <v>0</v>
      </c>
      <c r="AG13" s="1606">
        <f t="shared" si="30"/>
        <v>1.1200000000000001</v>
      </c>
      <c r="AH13" s="1609">
        <f t="shared" si="30"/>
        <v>0</v>
      </c>
      <c r="AI13" s="667">
        <f t="shared" si="30"/>
        <v>1.1200000000000001</v>
      </c>
      <c r="AJ13" s="539">
        <f t="shared" ref="AJ13" si="36">SUM(AJ11:AJ12)</f>
        <v>0</v>
      </c>
      <c r="AK13" s="363">
        <f t="shared" si="0"/>
        <v>0.14000000000000001</v>
      </c>
      <c r="AL13" s="100">
        <f t="shared" ref="AL13:AN13" si="37">SUM(AL11:AL12)</f>
        <v>1.18</v>
      </c>
      <c r="AM13" s="108">
        <f t="shared" si="37"/>
        <v>0</v>
      </c>
      <c r="AN13" s="3152">
        <f t="shared" si="37"/>
        <v>1.18</v>
      </c>
      <c r="AO13" s="3161">
        <f t="shared" ref="AO13" si="38">SUM(AO11:AO12)</f>
        <v>0</v>
      </c>
      <c r="AQ13" s="739">
        <f t="shared" si="1"/>
        <v>2120</v>
      </c>
      <c r="AR13" s="252">
        <f t="shared" si="2"/>
        <v>0.28000000000000003</v>
      </c>
      <c r="AS13" s="1072">
        <f t="shared" si="3"/>
        <v>0.14000000000000001</v>
      </c>
    </row>
    <row r="14" spans="1:45">
      <c r="A14" s="455" t="s">
        <v>21</v>
      </c>
      <c r="B14" s="1075" t="s">
        <v>15</v>
      </c>
      <c r="C14" s="1076">
        <f>'Table 5'!D30</f>
        <v>137842</v>
      </c>
      <c r="D14" s="1063">
        <f>'Table 5'!E30</f>
        <v>147628</v>
      </c>
      <c r="E14" s="1038">
        <f>'Table 5'!F30</f>
        <v>158325</v>
      </c>
      <c r="F14" s="1038">
        <f>'Table 5'!G30</f>
        <v>161667</v>
      </c>
      <c r="G14" s="1038">
        <f>'Table 5'!H30</f>
        <v>173617</v>
      </c>
      <c r="H14" s="1038">
        <f>'Table 5'!I30</f>
        <v>180477</v>
      </c>
      <c r="I14" s="1013">
        <f>'Table 5'!J30</f>
        <v>188935</v>
      </c>
      <c r="J14" s="1054">
        <f>'Table 5'!M30</f>
        <v>12.89</v>
      </c>
      <c r="K14" s="1077">
        <f>'Table 5'!N30</f>
        <v>0</v>
      </c>
      <c r="L14" s="453">
        <f>'Table 5'!O30</f>
        <v>12.89</v>
      </c>
      <c r="M14" s="1001">
        <f>'Table 5'!P30</f>
        <v>13.7</v>
      </c>
      <c r="N14" s="451">
        <f>'Table 5'!Q30</f>
        <v>0</v>
      </c>
      <c r="O14" s="515">
        <f>'Table 5'!R30</f>
        <v>13.7</v>
      </c>
      <c r="P14" s="1078">
        <f>'Table 5'!S30</f>
        <v>1.29</v>
      </c>
      <c r="Q14" s="1054">
        <f>'Table 5'!T30</f>
        <v>15.29</v>
      </c>
      <c r="R14" s="1077">
        <f>'Table 5'!U30</f>
        <v>0</v>
      </c>
      <c r="S14" s="515">
        <f>'Table 5'!V30</f>
        <v>15.29</v>
      </c>
      <c r="T14" s="1847">
        <f>'Table 5'!W30</f>
        <v>1.29</v>
      </c>
      <c r="U14" s="1001">
        <f>'Table 5'!X30</f>
        <v>15.63</v>
      </c>
      <c r="V14" s="451">
        <f>'Table 5'!Y30</f>
        <v>0</v>
      </c>
      <c r="W14" s="515">
        <f>'Table 5'!Z30</f>
        <v>15.63</v>
      </c>
      <c r="X14" s="1847">
        <f>'Table 5'!AA30</f>
        <v>1.29</v>
      </c>
      <c r="Y14" s="827">
        <f>'Table 5'!AB30</f>
        <v>16.77</v>
      </c>
      <c r="Z14" s="916">
        <f>'Table 5'!AC30</f>
        <v>0</v>
      </c>
      <c r="AA14" s="3143">
        <f>'Table 5'!AD30</f>
        <v>16.77</v>
      </c>
      <c r="AB14" s="910">
        <f>'Table 5'!AE30</f>
        <v>1.29</v>
      </c>
      <c r="AC14" s="827">
        <f>'Table 5'!AF30</f>
        <v>17.440000000000001</v>
      </c>
      <c r="AD14" s="452">
        <f>'Table 5'!AG30</f>
        <v>0</v>
      </c>
      <c r="AE14" s="3143">
        <f>'Table 5'!AH30</f>
        <v>17.440000000000001</v>
      </c>
      <c r="AF14" s="3171">
        <f>'Table 5'!AI30</f>
        <v>1.29</v>
      </c>
      <c r="AG14" s="674">
        <f>'Table 5'!AJ30</f>
        <v>18.16</v>
      </c>
      <c r="AH14" s="585">
        <f>'Table 5'!AK30</f>
        <v>0</v>
      </c>
      <c r="AI14" s="3136">
        <f>'Table 5'!AL30</f>
        <v>18.16</v>
      </c>
      <c r="AJ14" s="450">
        <f>'Table 5'!AM30</f>
        <v>1.44</v>
      </c>
      <c r="AK14" s="361">
        <f>(SUM(AI14:AJ14)-L14)/L14</f>
        <v>0.52</v>
      </c>
      <c r="AL14" s="1000">
        <f>'Table 5'!AP30</f>
        <v>19.25</v>
      </c>
      <c r="AM14" s="299">
        <f>'Table 5'!AQ30</f>
        <v>0</v>
      </c>
      <c r="AN14" s="3153">
        <f>'Table 5'!AR30</f>
        <v>19.25</v>
      </c>
      <c r="AO14" s="3159">
        <f>'Table 5'!AS30</f>
        <v>1.53</v>
      </c>
      <c r="AQ14" s="1076">
        <f t="shared" si="1"/>
        <v>51093</v>
      </c>
      <c r="AR14" s="239">
        <f t="shared" si="2"/>
        <v>0.37</v>
      </c>
      <c r="AS14" s="1065">
        <f t="shared" si="3"/>
        <v>5.27</v>
      </c>
    </row>
    <row r="15" spans="1:45">
      <c r="A15" s="455" t="s">
        <v>22</v>
      </c>
      <c r="B15" s="508" t="s">
        <v>17</v>
      </c>
      <c r="C15" s="1076">
        <f>'Table 5'!D33</f>
        <v>18767</v>
      </c>
      <c r="D15" s="1063">
        <f>'Table 5'!E33</f>
        <v>19425</v>
      </c>
      <c r="E15" s="1038">
        <f>'Table 5'!F33</f>
        <v>19986</v>
      </c>
      <c r="F15" s="1038">
        <f>'Table 5'!G33</f>
        <v>20551</v>
      </c>
      <c r="G15" s="1038">
        <f>'Table 5'!H33</f>
        <v>21134</v>
      </c>
      <c r="H15" s="1038">
        <f>'Table 5'!I33</f>
        <v>21730</v>
      </c>
      <c r="I15" s="1013">
        <f>'Table 5'!J33</f>
        <v>22346</v>
      </c>
      <c r="J15" s="1054">
        <f>'Table 5'!M33</f>
        <v>3.32</v>
      </c>
      <c r="K15" s="1077">
        <f>'Table 5'!N33</f>
        <v>0</v>
      </c>
      <c r="L15" s="453">
        <f>'Table 5'!O33</f>
        <v>3.32</v>
      </c>
      <c r="M15" s="1001">
        <f>'Table 5'!P33</f>
        <v>3.47</v>
      </c>
      <c r="N15" s="451">
        <f>'Table 5'!Q33</f>
        <v>0</v>
      </c>
      <c r="O15" s="515">
        <f>'Table 5'!R33</f>
        <v>3.47</v>
      </c>
      <c r="P15" s="1078">
        <f>'Table 5'!S33</f>
        <v>0</v>
      </c>
      <c r="Q15" s="1054">
        <f>'Table 5'!T33</f>
        <v>3.58</v>
      </c>
      <c r="R15" s="1077">
        <f>'Table 5'!U33</f>
        <v>0</v>
      </c>
      <c r="S15" s="515">
        <f>'Table 5'!V33</f>
        <v>3.58</v>
      </c>
      <c r="T15" s="1847">
        <f>'Table 5'!W33</f>
        <v>0</v>
      </c>
      <c r="U15" s="1001">
        <f>'Table 5'!X33</f>
        <v>3.68</v>
      </c>
      <c r="V15" s="451">
        <f>'Table 5'!Y33</f>
        <v>0</v>
      </c>
      <c r="W15" s="515">
        <f>'Table 5'!Z33</f>
        <v>3.68</v>
      </c>
      <c r="X15" s="1847">
        <f>'Table 5'!AA33</f>
        <v>0</v>
      </c>
      <c r="Y15" s="827">
        <f>'Table 5'!AB33</f>
        <v>3.78</v>
      </c>
      <c r="Z15" s="916">
        <f>'Table 5'!AC33</f>
        <v>0</v>
      </c>
      <c r="AA15" s="3143">
        <f>'Table 5'!AD33</f>
        <v>3.78</v>
      </c>
      <c r="AB15" s="910">
        <f>'Table 5'!AE33</f>
        <v>0</v>
      </c>
      <c r="AC15" s="827">
        <f>'Table 5'!AF33</f>
        <v>3.89</v>
      </c>
      <c r="AD15" s="452">
        <f>'Table 5'!AG33</f>
        <v>0</v>
      </c>
      <c r="AE15" s="3143">
        <f>'Table 5'!AH33</f>
        <v>3.89</v>
      </c>
      <c r="AF15" s="3171">
        <f>'Table 5'!AI33</f>
        <v>0</v>
      </c>
      <c r="AG15" s="674">
        <f>'Table 5'!AJ33</f>
        <v>4</v>
      </c>
      <c r="AH15" s="585">
        <f>'Table 5'!AK33</f>
        <v>0</v>
      </c>
      <c r="AI15" s="3136">
        <f>'Table 5'!AL33</f>
        <v>4</v>
      </c>
      <c r="AJ15" s="450">
        <f>'Table 5'!AM33</f>
        <v>0</v>
      </c>
      <c r="AK15" s="361">
        <f t="shared" si="0"/>
        <v>0.2</v>
      </c>
      <c r="AL15" s="1000">
        <f>'Table 5'!AP33</f>
        <v>4.24</v>
      </c>
      <c r="AM15" s="299">
        <f>'Table 5'!AQ33</f>
        <v>0</v>
      </c>
      <c r="AN15" s="3153">
        <f>'Table 5'!AR33</f>
        <v>4.24</v>
      </c>
      <c r="AO15" s="3158">
        <f>'Table 5'!AS33</f>
        <v>0</v>
      </c>
      <c r="AQ15" s="1076">
        <f t="shared" si="1"/>
        <v>3579</v>
      </c>
      <c r="AR15" s="239">
        <f t="shared" si="2"/>
        <v>0.19</v>
      </c>
      <c r="AS15" s="1065">
        <f t="shared" si="3"/>
        <v>0.68</v>
      </c>
    </row>
    <row r="16" spans="1:45">
      <c r="A16" s="455" t="s">
        <v>23</v>
      </c>
      <c r="B16" s="1075" t="s">
        <v>15</v>
      </c>
      <c r="C16" s="1076">
        <f>'Table 5'!D42</f>
        <v>693374</v>
      </c>
      <c r="D16" s="1063">
        <f>'Table 5'!E42</f>
        <v>740217</v>
      </c>
      <c r="E16" s="1038">
        <f>'Table 5'!F42</f>
        <v>789686</v>
      </c>
      <c r="F16" s="1038">
        <f>'Table 5'!G42</f>
        <v>828005</v>
      </c>
      <c r="G16" s="1038">
        <f>'Table 5'!H42</f>
        <v>861521</v>
      </c>
      <c r="H16" s="1038">
        <f>'Table 5'!I42</f>
        <v>888845</v>
      </c>
      <c r="I16" s="1013">
        <f>'Table 5'!J42</f>
        <v>912276</v>
      </c>
      <c r="J16" s="1054">
        <f>'Table 5'!M42</f>
        <v>106.52</v>
      </c>
      <c r="K16" s="1077">
        <f>'Table 5'!N42</f>
        <v>0</v>
      </c>
      <c r="L16" s="453">
        <f>'Table 5'!O42</f>
        <v>106.52</v>
      </c>
      <c r="M16" s="1001">
        <f>'Table 5'!P42</f>
        <v>110.97</v>
      </c>
      <c r="N16" s="451">
        <f>'Table 5'!Q42</f>
        <v>0</v>
      </c>
      <c r="O16" s="515">
        <f>'Table 5'!R42</f>
        <v>110.97</v>
      </c>
      <c r="P16" s="1078">
        <f>'Table 5'!S42</f>
        <v>0</v>
      </c>
      <c r="Q16" s="1054">
        <f>'Table 5'!T42</f>
        <v>118.59</v>
      </c>
      <c r="R16" s="1077">
        <f>'Table 5'!U42</f>
        <v>0</v>
      </c>
      <c r="S16" s="515">
        <f>'Table 5'!V42</f>
        <v>118.59</v>
      </c>
      <c r="T16" s="1847">
        <f>'Table 5'!W42</f>
        <v>0</v>
      </c>
      <c r="U16" s="1001">
        <f>'Table 5'!X42</f>
        <v>124.49</v>
      </c>
      <c r="V16" s="451">
        <f>'Table 5'!Y42</f>
        <v>0</v>
      </c>
      <c r="W16" s="515">
        <f>'Table 5'!Z42</f>
        <v>124.49</v>
      </c>
      <c r="X16" s="1847">
        <f>'Table 5'!AA42</f>
        <v>0</v>
      </c>
      <c r="Y16" s="827">
        <f>'Table 5'!AB42</f>
        <v>129.65</v>
      </c>
      <c r="Z16" s="916">
        <f>'Table 5'!AC42</f>
        <v>0</v>
      </c>
      <c r="AA16" s="3143">
        <f>'Table 5'!AD42</f>
        <v>129.65</v>
      </c>
      <c r="AB16" s="910">
        <f>'Table 5'!AE42</f>
        <v>0</v>
      </c>
      <c r="AC16" s="827">
        <f>'Table 5'!AF42</f>
        <v>133.77000000000001</v>
      </c>
      <c r="AD16" s="452">
        <f>'Table 5'!AG42</f>
        <v>0</v>
      </c>
      <c r="AE16" s="3143">
        <f>'Table 5'!AH42</f>
        <v>133.77000000000001</v>
      </c>
      <c r="AF16" s="3171">
        <f>'Table 5'!AI42</f>
        <v>0</v>
      </c>
      <c r="AG16" s="674">
        <f>'Table 5'!AJ42</f>
        <v>137.38</v>
      </c>
      <c r="AH16" s="585">
        <f>'Table 5'!AK42</f>
        <v>0</v>
      </c>
      <c r="AI16" s="3136">
        <f>'Table 5'!AL42</f>
        <v>137.38</v>
      </c>
      <c r="AJ16" s="450">
        <f>'Table 5'!AM42</f>
        <v>0</v>
      </c>
      <c r="AK16" s="361">
        <f t="shared" si="0"/>
        <v>0.28999999999999998</v>
      </c>
      <c r="AL16" s="1000">
        <f>'Table 5'!AP42</f>
        <v>145.62</v>
      </c>
      <c r="AM16" s="299">
        <f>'Table 5'!AQ42</f>
        <v>0</v>
      </c>
      <c r="AN16" s="3153">
        <f>'Table 5'!AR42</f>
        <v>145.62</v>
      </c>
      <c r="AO16" s="3160">
        <f>'Table 5'!AS42</f>
        <v>0</v>
      </c>
      <c r="AQ16" s="1076">
        <f t="shared" si="1"/>
        <v>218902</v>
      </c>
      <c r="AR16" s="239">
        <f t="shared" si="2"/>
        <v>0.32</v>
      </c>
      <c r="AS16" s="1065">
        <f t="shared" si="3"/>
        <v>30.86</v>
      </c>
    </row>
    <row r="17" spans="1:47">
      <c r="A17" s="455" t="s">
        <v>24</v>
      </c>
      <c r="B17" s="1075" t="s">
        <v>15</v>
      </c>
      <c r="C17" s="1076">
        <f>'Table 5'!D51</f>
        <v>94805</v>
      </c>
      <c r="D17" s="1063">
        <f>'Table 5'!E51</f>
        <v>107845</v>
      </c>
      <c r="E17" s="1038">
        <f>'Table 5'!F51</f>
        <v>120892</v>
      </c>
      <c r="F17" s="1038">
        <f>'Table 5'!G51</f>
        <v>130769</v>
      </c>
      <c r="G17" s="1038">
        <f>'Table 5'!H51</f>
        <v>139582</v>
      </c>
      <c r="H17" s="1038">
        <f>'Table 5'!I51</f>
        <v>145212</v>
      </c>
      <c r="I17" s="1013">
        <f>'Table 5'!J51</f>
        <v>149355</v>
      </c>
      <c r="J17" s="1054">
        <f>'Table 5'!M51</f>
        <v>8.98</v>
      </c>
      <c r="K17" s="1077">
        <f>'Table 5'!N51</f>
        <v>7.0000000000000007E-2</v>
      </c>
      <c r="L17" s="453">
        <f>'Table 5'!O51</f>
        <v>9.0500000000000007</v>
      </c>
      <c r="M17" s="1001">
        <f>'Table 5'!P51</f>
        <v>10.26</v>
      </c>
      <c r="N17" s="451">
        <f>'Table 5'!Q51</f>
        <v>0.03</v>
      </c>
      <c r="O17" s="515">
        <f>'Table 5'!R51</f>
        <v>10.29</v>
      </c>
      <c r="P17" s="1078">
        <f>'Table 5'!S51</f>
        <v>0</v>
      </c>
      <c r="Q17" s="1054">
        <f>'Table 5'!T51</f>
        <v>11.42</v>
      </c>
      <c r="R17" s="1077">
        <f>'Table 5'!U51</f>
        <v>0.03</v>
      </c>
      <c r="S17" s="515">
        <f>'Table 5'!V51</f>
        <v>11.45</v>
      </c>
      <c r="T17" s="1847">
        <f>'Table 5'!W51</f>
        <v>0</v>
      </c>
      <c r="U17" s="1001">
        <f>'Table 5'!X51</f>
        <v>12.42</v>
      </c>
      <c r="V17" s="451">
        <f>'Table 5'!Y51</f>
        <v>0.03</v>
      </c>
      <c r="W17" s="515">
        <f>'Table 5'!Z51</f>
        <v>12.45</v>
      </c>
      <c r="X17" s="1847">
        <f>'Table 5'!AA51</f>
        <v>0</v>
      </c>
      <c r="Y17" s="827">
        <f>'Table 5'!AB51</f>
        <v>13.23</v>
      </c>
      <c r="Z17" s="916">
        <f>'Table 5'!AC51</f>
        <v>0.03</v>
      </c>
      <c r="AA17" s="3143">
        <f>'Table 5'!AD51</f>
        <v>13.26</v>
      </c>
      <c r="AB17" s="910">
        <f>'Table 5'!AE51</f>
        <v>0</v>
      </c>
      <c r="AC17" s="827">
        <f>'Table 5'!AF51</f>
        <v>13.76</v>
      </c>
      <c r="AD17" s="452">
        <f>'Table 5'!AG51</f>
        <v>0.03</v>
      </c>
      <c r="AE17" s="3143">
        <f>'Table 5'!AH51</f>
        <v>13.79</v>
      </c>
      <c r="AF17" s="3171">
        <f>'Table 5'!AI51</f>
        <v>0</v>
      </c>
      <c r="AG17" s="674">
        <f>'Table 5'!AJ51</f>
        <v>14.3</v>
      </c>
      <c r="AH17" s="585">
        <f>'Table 5'!AK51</f>
        <v>0.03</v>
      </c>
      <c r="AI17" s="3136">
        <f>'Table 5'!AL51</f>
        <v>14.33</v>
      </c>
      <c r="AJ17" s="450">
        <f>'Table 5'!AM51</f>
        <v>0</v>
      </c>
      <c r="AK17" s="361">
        <f t="shared" si="0"/>
        <v>0.57999999999999996</v>
      </c>
      <c r="AL17" s="1000">
        <f>'Table 5'!AP51</f>
        <v>15.15</v>
      </c>
      <c r="AM17" s="299">
        <f>'Table 5'!AQ51</f>
        <v>0.03</v>
      </c>
      <c r="AN17" s="3153">
        <f>'Table 5'!AR51</f>
        <v>15.18</v>
      </c>
      <c r="AO17" s="3158">
        <f>'Table 5'!AS51</f>
        <v>0</v>
      </c>
      <c r="AQ17" s="1076">
        <f t="shared" si="1"/>
        <v>54550</v>
      </c>
      <c r="AR17" s="239">
        <f t="shared" si="2"/>
        <v>0.57999999999999996</v>
      </c>
      <c r="AS17" s="1065">
        <f t="shared" si="3"/>
        <v>5.28</v>
      </c>
    </row>
    <row r="18" spans="1:47">
      <c r="A18" s="456" t="s">
        <v>25</v>
      </c>
      <c r="B18" s="508" t="s">
        <v>17</v>
      </c>
      <c r="C18" s="1076">
        <f>'Table 5'!D54</f>
        <v>2125</v>
      </c>
      <c r="D18" s="1063">
        <f>'Table 5'!E54</f>
        <v>2220</v>
      </c>
      <c r="E18" s="1038">
        <f>'Table 5'!F54</f>
        <v>2486</v>
      </c>
      <c r="F18" s="1038">
        <f>'Table 5'!G54</f>
        <v>2710</v>
      </c>
      <c r="G18" s="1038">
        <f>'Table 5'!H54</f>
        <v>2863</v>
      </c>
      <c r="H18" s="1038">
        <f>'Table 5'!I54</f>
        <v>2880</v>
      </c>
      <c r="I18" s="1013">
        <f>'Table 5'!J54</f>
        <v>2880</v>
      </c>
      <c r="J18" s="1054">
        <f>'Table 5'!M54</f>
        <v>0.22</v>
      </c>
      <c r="K18" s="1852">
        <f>'Table 5'!N54</f>
        <v>0</v>
      </c>
      <c r="L18" s="448">
        <f>'Table 5'!O54</f>
        <v>0.22</v>
      </c>
      <c r="M18" s="457">
        <f>'Table 5'!P54</f>
        <v>0.22</v>
      </c>
      <c r="N18" s="1853">
        <f>'Table 5'!Q54</f>
        <v>0</v>
      </c>
      <c r="O18" s="514">
        <f>'Table 5'!R54</f>
        <v>0.22</v>
      </c>
      <c r="P18" s="1854">
        <f>'Table 5'!S54</f>
        <v>0</v>
      </c>
      <c r="Q18" s="1855">
        <f>'Table 5'!T54</f>
        <v>0.25</v>
      </c>
      <c r="R18" s="1852">
        <f>'Table 5'!U54</f>
        <v>0</v>
      </c>
      <c r="S18" s="514">
        <f>'Table 5'!V54</f>
        <v>0.25</v>
      </c>
      <c r="T18" s="3128">
        <f>'Table 5'!W54</f>
        <v>0</v>
      </c>
      <c r="U18" s="457">
        <f>'Table 5'!X54</f>
        <v>0.27</v>
      </c>
      <c r="V18" s="1853">
        <f>'Table 5'!Y54</f>
        <v>0</v>
      </c>
      <c r="W18" s="514">
        <f>'Table 5'!Z54</f>
        <v>0.27</v>
      </c>
      <c r="X18" s="3128">
        <f>'Table 5'!AA54</f>
        <v>0</v>
      </c>
      <c r="Y18" s="1050">
        <f>'Table 5'!AB54</f>
        <v>0.28000000000000003</v>
      </c>
      <c r="Z18" s="1055">
        <f>'Table 5'!AC54</f>
        <v>0</v>
      </c>
      <c r="AA18" s="3144">
        <f>'Table 5'!AD54</f>
        <v>0.28000000000000003</v>
      </c>
      <c r="AB18" s="1896">
        <f>'Table 5'!AE54</f>
        <v>0</v>
      </c>
      <c r="AC18" s="1050">
        <f>'Table 5'!AF54</f>
        <v>0.28000000000000003</v>
      </c>
      <c r="AD18" s="1051">
        <f>'Table 5'!AG54</f>
        <v>0</v>
      </c>
      <c r="AE18" s="3144">
        <f>'Table 5'!AH54</f>
        <v>0.28000000000000003</v>
      </c>
      <c r="AF18" s="1896">
        <f>'Table 5'!AI54</f>
        <v>0</v>
      </c>
      <c r="AG18" s="1243">
        <f>'Table 5'!AJ54</f>
        <v>0.28000000000000003</v>
      </c>
      <c r="AH18" s="560">
        <f>'Table 5'!AK54</f>
        <v>0</v>
      </c>
      <c r="AI18" s="3143">
        <f>'Table 5'!AL54</f>
        <v>0.28000000000000003</v>
      </c>
      <c r="AJ18" s="450">
        <f>'Table 5'!AM54</f>
        <v>0</v>
      </c>
      <c r="AK18" s="361">
        <f t="shared" si="0"/>
        <v>0.27</v>
      </c>
      <c r="AL18" s="1000">
        <f>'Table 5'!AP54</f>
        <v>0.3</v>
      </c>
      <c r="AM18" s="1857">
        <f>'Table 5'!AQ54</f>
        <v>0</v>
      </c>
      <c r="AN18" s="3154">
        <f>'Table 5'!AR54</f>
        <v>0.3</v>
      </c>
      <c r="AO18" s="3157">
        <f>'Table 5'!AS54</f>
        <v>0</v>
      </c>
      <c r="AQ18" s="1076">
        <f t="shared" si="1"/>
        <v>755</v>
      </c>
      <c r="AR18" s="239">
        <f t="shared" si="2"/>
        <v>0.36</v>
      </c>
      <c r="AS18" s="1599">
        <f t="shared" si="3"/>
        <v>0.06</v>
      </c>
    </row>
    <row r="19" spans="1:47">
      <c r="A19" s="456" t="s">
        <v>26</v>
      </c>
      <c r="B19" s="506" t="s">
        <v>17</v>
      </c>
      <c r="C19" s="737">
        <f>'Table 5'!D59</f>
        <v>5076</v>
      </c>
      <c r="D19" s="328">
        <f>'Table 5'!E59</f>
        <v>5212</v>
      </c>
      <c r="E19" s="307">
        <f>'Table 5'!F59</f>
        <v>5255</v>
      </c>
      <c r="F19" s="307">
        <f>'Table 5'!G59</f>
        <v>5278</v>
      </c>
      <c r="G19" s="307">
        <f>'Table 5'!H59</f>
        <v>5278</v>
      </c>
      <c r="H19" s="307">
        <f>'Table 5'!I59</f>
        <v>5278</v>
      </c>
      <c r="I19" s="1059">
        <f>'Table 5'!J59</f>
        <v>5312</v>
      </c>
      <c r="J19" s="1054">
        <f>'Table 5'!M59</f>
        <v>0.91</v>
      </c>
      <c r="K19" s="1852">
        <f>'Table 5'!N59</f>
        <v>0</v>
      </c>
      <c r="L19" s="448">
        <f>'Table 5'!O59</f>
        <v>0.91</v>
      </c>
      <c r="M19" s="457">
        <f>'Table 5'!P59</f>
        <v>1.03</v>
      </c>
      <c r="N19" s="1853">
        <f>'Table 5'!Q59</f>
        <v>0</v>
      </c>
      <c r="O19" s="514">
        <f>'Table 5'!R59</f>
        <v>1.03</v>
      </c>
      <c r="P19" s="1854">
        <f>'Table 5'!S59</f>
        <v>0</v>
      </c>
      <c r="Q19" s="1855">
        <f>'Table 5'!T59</f>
        <v>1.03</v>
      </c>
      <c r="R19" s="1852">
        <f>'Table 5'!U59</f>
        <v>0</v>
      </c>
      <c r="S19" s="514">
        <f>'Table 5'!V59</f>
        <v>1.03</v>
      </c>
      <c r="T19" s="3128">
        <f>'Table 5'!W59</f>
        <v>0</v>
      </c>
      <c r="U19" s="457">
        <f>'Table 5'!X59</f>
        <v>1.03</v>
      </c>
      <c r="V19" s="1853">
        <f>'Table 5'!Y59</f>
        <v>0</v>
      </c>
      <c r="W19" s="514">
        <f>'Table 5'!Z59</f>
        <v>1.03</v>
      </c>
      <c r="X19" s="3128">
        <f>'Table 5'!AA59</f>
        <v>0</v>
      </c>
      <c r="Y19" s="1050">
        <f>'Table 5'!AB59</f>
        <v>1.03</v>
      </c>
      <c r="Z19" s="1055">
        <f>'Table 5'!AC59</f>
        <v>0</v>
      </c>
      <c r="AA19" s="3144">
        <f>'Table 5'!AD59</f>
        <v>1.03</v>
      </c>
      <c r="AB19" s="1896">
        <f>'Table 5'!AE59</f>
        <v>0</v>
      </c>
      <c r="AC19" s="1050">
        <f>'Table 5'!AF59</f>
        <v>1.03</v>
      </c>
      <c r="AD19" s="1051">
        <f>'Table 5'!AG59</f>
        <v>0</v>
      </c>
      <c r="AE19" s="3144">
        <f>'Table 5'!AH59</f>
        <v>1.03</v>
      </c>
      <c r="AF19" s="3172">
        <f>'Table 5'!AI59</f>
        <v>0</v>
      </c>
      <c r="AG19" s="656">
        <f>'Table 5'!AJ59</f>
        <v>1.03</v>
      </c>
      <c r="AH19" s="590">
        <f>'Table 5'!AK59</f>
        <v>0</v>
      </c>
      <c r="AI19" s="3138">
        <f>'Table 5'!AL59</f>
        <v>1.03</v>
      </c>
      <c r="AJ19" s="486">
        <f>'Table 5'!AM59</f>
        <v>0</v>
      </c>
      <c r="AK19" s="361">
        <f t="shared" si="0"/>
        <v>0.13</v>
      </c>
      <c r="AL19" s="1000">
        <f>'Table 5'!AP59</f>
        <v>1.0900000000000001</v>
      </c>
      <c r="AM19" s="1857">
        <f>'Table 5'!AQ59</f>
        <v>0</v>
      </c>
      <c r="AN19" s="3154">
        <f>'Table 5'!AR59</f>
        <v>1.0900000000000001</v>
      </c>
      <c r="AO19" s="3157">
        <f>'Table 5'!AS59</f>
        <v>0</v>
      </c>
      <c r="AQ19" s="737">
        <f t="shared" si="1"/>
        <v>236</v>
      </c>
      <c r="AR19" s="239">
        <f t="shared" si="2"/>
        <v>0.05</v>
      </c>
      <c r="AS19" s="1067">
        <f t="shared" si="3"/>
        <v>0.12</v>
      </c>
    </row>
    <row r="20" spans="1:47">
      <c r="A20" s="455" t="s">
        <v>27</v>
      </c>
      <c r="B20" s="1075" t="s">
        <v>15</v>
      </c>
      <c r="C20" s="1076">
        <f>'Table 5'!D65</f>
        <v>69384</v>
      </c>
      <c r="D20" s="1063">
        <f>'Table 5'!E65</f>
        <v>76436</v>
      </c>
      <c r="E20" s="1038">
        <f>'Table 5'!F65</f>
        <v>83818</v>
      </c>
      <c r="F20" s="1038">
        <f>'Table 5'!G65</f>
        <v>90085</v>
      </c>
      <c r="G20" s="1038">
        <f>'Table 5'!H65</f>
        <v>95197</v>
      </c>
      <c r="H20" s="1038">
        <f>'Table 5'!I65</f>
        <v>99492</v>
      </c>
      <c r="I20" s="1013">
        <f>'Table 5'!J65</f>
        <v>103316</v>
      </c>
      <c r="J20" s="1054">
        <f>'Table 5'!M65</f>
        <v>6.92</v>
      </c>
      <c r="K20" s="1077">
        <f>'Table 5'!N65</f>
        <v>0</v>
      </c>
      <c r="L20" s="515">
        <f>'Table 5'!O65</f>
        <v>6.92</v>
      </c>
      <c r="M20" s="1001">
        <f>'Table 5'!P65</f>
        <v>8.07</v>
      </c>
      <c r="N20" s="451">
        <f>'Table 5'!Q65</f>
        <v>0</v>
      </c>
      <c r="O20" s="515">
        <f>'Table 5'!R65</f>
        <v>8.07</v>
      </c>
      <c r="P20" s="1078">
        <f>'Table 5'!S65</f>
        <v>0</v>
      </c>
      <c r="Q20" s="1054">
        <f>'Table 5'!T65</f>
        <v>8.69</v>
      </c>
      <c r="R20" s="1077">
        <f>'Table 5'!U65</f>
        <v>0</v>
      </c>
      <c r="S20" s="515">
        <f>'Table 5'!V65</f>
        <v>8.69</v>
      </c>
      <c r="T20" s="1847">
        <f>'Table 5'!W65</f>
        <v>0</v>
      </c>
      <c r="U20" s="1001">
        <f>'Table 5'!X65</f>
        <v>9.15</v>
      </c>
      <c r="V20" s="451">
        <f>'Table 5'!Y65</f>
        <v>0</v>
      </c>
      <c r="W20" s="515">
        <f>'Table 5'!Z65</f>
        <v>9.15</v>
      </c>
      <c r="X20" s="1847">
        <f>'Table 5'!AA65</f>
        <v>0</v>
      </c>
      <c r="Y20" s="827">
        <f>'Table 5'!AB65</f>
        <v>9.3800000000000008</v>
      </c>
      <c r="Z20" s="916">
        <f>'Table 5'!AC65</f>
        <v>0</v>
      </c>
      <c r="AA20" s="3143">
        <f>'Table 5'!AD65</f>
        <v>9.3800000000000008</v>
      </c>
      <c r="AB20" s="910">
        <f>'Table 5'!AE65</f>
        <v>0.13</v>
      </c>
      <c r="AC20" s="827">
        <f>'Table 5'!AF65</f>
        <v>9.4</v>
      </c>
      <c r="AD20" s="452">
        <f>'Table 5'!AG65</f>
        <v>0</v>
      </c>
      <c r="AE20" s="3143">
        <f>'Table 5'!AH65</f>
        <v>9.4</v>
      </c>
      <c r="AF20" s="3172">
        <f>'Table 5'!AI65</f>
        <v>0.41</v>
      </c>
      <c r="AG20" s="1591">
        <f>'Table 5'!AJ65</f>
        <v>9.4</v>
      </c>
      <c r="AH20" s="560">
        <f>'Table 5'!AK65</f>
        <v>0</v>
      </c>
      <c r="AI20" s="3143">
        <f>'Table 5'!AL65</f>
        <v>9.4</v>
      </c>
      <c r="AJ20" s="940">
        <f>'Table 5'!AM65</f>
        <v>0.68</v>
      </c>
      <c r="AK20" s="989">
        <f>(SUM(AI20:AJ20)-L20)/L20</f>
        <v>0.46</v>
      </c>
      <c r="AL20" s="1000">
        <f>'Table 5'!AP65</f>
        <v>9.74</v>
      </c>
      <c r="AM20" s="299">
        <f>'Table 5'!AQ65</f>
        <v>0</v>
      </c>
      <c r="AN20" s="3153">
        <f>'Table 5'!AR65</f>
        <v>9.74</v>
      </c>
      <c r="AO20" s="3157">
        <f>'Table 5'!AS65</f>
        <v>0.95</v>
      </c>
      <c r="AQ20" s="1076">
        <f t="shared" si="1"/>
        <v>33932</v>
      </c>
      <c r="AR20" s="301">
        <f t="shared" si="2"/>
        <v>0.49</v>
      </c>
      <c r="AS20" s="1073">
        <f t="shared" si="3"/>
        <v>2.48</v>
      </c>
    </row>
    <row r="21" spans="1:47">
      <c r="A21" s="455" t="s">
        <v>28</v>
      </c>
      <c r="B21" s="1075" t="s">
        <v>15</v>
      </c>
      <c r="C21" s="1076">
        <f>'Table 5'!D73</f>
        <v>20386</v>
      </c>
      <c r="D21" s="1063">
        <f>'Table 5'!E73</f>
        <v>20946</v>
      </c>
      <c r="E21" s="1038">
        <f>'Table 5'!F73</f>
        <v>21213</v>
      </c>
      <c r="F21" s="1038">
        <f>'Table 5'!G73</f>
        <v>21294</v>
      </c>
      <c r="G21" s="1038">
        <f>'Table 5'!H73</f>
        <v>21462</v>
      </c>
      <c r="H21" s="1038">
        <f>'Table 5'!I73</f>
        <v>21616</v>
      </c>
      <c r="I21" s="1013">
        <f>'Table 5'!J73</f>
        <v>21793</v>
      </c>
      <c r="J21" s="1054">
        <f>'Table 5'!M73</f>
        <v>2.1800000000000002</v>
      </c>
      <c r="K21" s="1077">
        <f>'Table 5'!N73</f>
        <v>0</v>
      </c>
      <c r="L21" s="515">
        <f>'Table 5'!O73</f>
        <v>2.1800000000000002</v>
      </c>
      <c r="M21" s="1001">
        <f>'Table 5'!P73</f>
        <v>2.1</v>
      </c>
      <c r="N21" s="451">
        <f>'Table 5'!Q73</f>
        <v>0</v>
      </c>
      <c r="O21" s="515">
        <f>'Table 5'!R73</f>
        <v>2.1</v>
      </c>
      <c r="P21" s="1078">
        <f>'Table 5'!S73</f>
        <v>0</v>
      </c>
      <c r="Q21" s="1054">
        <f>'Table 5'!T73</f>
        <v>2.11</v>
      </c>
      <c r="R21" s="1077">
        <f>'Table 5'!U73</f>
        <v>0</v>
      </c>
      <c r="S21" s="515">
        <f>'Table 5'!V73</f>
        <v>2.11</v>
      </c>
      <c r="T21" s="1847">
        <f>'Table 5'!W73</f>
        <v>0</v>
      </c>
      <c r="U21" s="1001">
        <f>'Table 5'!X73</f>
        <v>2.12</v>
      </c>
      <c r="V21" s="451">
        <f>'Table 5'!Y73</f>
        <v>0</v>
      </c>
      <c r="W21" s="515">
        <f>'Table 5'!Z73</f>
        <v>2.12</v>
      </c>
      <c r="X21" s="1847">
        <f>'Table 5'!AA73</f>
        <v>0</v>
      </c>
      <c r="Y21" s="827">
        <f>'Table 5'!AB73</f>
        <v>2.13</v>
      </c>
      <c r="Z21" s="916">
        <f>'Table 5'!AC73</f>
        <v>0</v>
      </c>
      <c r="AA21" s="3143">
        <f>'Table 5'!AD73</f>
        <v>2.13</v>
      </c>
      <c r="AB21" s="910">
        <f>'Table 5'!AE73</f>
        <v>0</v>
      </c>
      <c r="AC21" s="827">
        <f>'Table 5'!AF73</f>
        <v>2.14</v>
      </c>
      <c r="AD21" s="452">
        <f>'Table 5'!AG73</f>
        <v>0</v>
      </c>
      <c r="AE21" s="3143">
        <f>'Table 5'!AH73</f>
        <v>2.14</v>
      </c>
      <c r="AF21" s="3172">
        <f>'Table 5'!AI73</f>
        <v>0</v>
      </c>
      <c r="AG21" s="1591">
        <f>'Table 5'!AJ73</f>
        <v>2.15</v>
      </c>
      <c r="AH21" s="560">
        <f>'Table 5'!AK73</f>
        <v>0</v>
      </c>
      <c r="AI21" s="3143">
        <f>'Table 5'!AL73</f>
        <v>2.15</v>
      </c>
      <c r="AJ21" s="940">
        <f>'Table 5'!AM73</f>
        <v>0</v>
      </c>
      <c r="AK21" s="989">
        <f t="shared" si="0"/>
        <v>-0.01</v>
      </c>
      <c r="AL21" s="1000">
        <f>'Table 5'!AP73</f>
        <v>2.2799999999999998</v>
      </c>
      <c r="AM21" s="299">
        <f>'Table 5'!AQ73</f>
        <v>0</v>
      </c>
      <c r="AN21" s="3153">
        <f>'Table 5'!AR73</f>
        <v>2.2799999999999998</v>
      </c>
      <c r="AO21" s="3157">
        <f>'Table 5'!AS73</f>
        <v>0</v>
      </c>
      <c r="AQ21" s="1076">
        <f t="shared" si="1"/>
        <v>1407</v>
      </c>
      <c r="AR21" s="301">
        <f t="shared" si="2"/>
        <v>7.0000000000000007E-2</v>
      </c>
      <c r="AS21" s="1073">
        <f t="shared" si="3"/>
        <v>-0.03</v>
      </c>
    </row>
    <row r="22" spans="1:47">
      <c r="A22" s="455" t="s">
        <v>29</v>
      </c>
      <c r="B22" s="1075" t="s">
        <v>15</v>
      </c>
      <c r="C22" s="1076">
        <f>'Table 5'!D81</f>
        <v>173216</v>
      </c>
      <c r="D22" s="1063">
        <f>'Table 5'!E81</f>
        <v>201587</v>
      </c>
      <c r="E22" s="1038">
        <f>'Table 5'!F81</f>
        <v>237813</v>
      </c>
      <c r="F22" s="1038">
        <f>'Table 5'!G81</f>
        <v>266965</v>
      </c>
      <c r="G22" s="1038">
        <f>'Table 5'!H81</f>
        <v>290751</v>
      </c>
      <c r="H22" s="1038">
        <f>'Table 5'!I81</f>
        <v>311582</v>
      </c>
      <c r="I22" s="1013">
        <f>'Table 5'!J81</f>
        <v>331245</v>
      </c>
      <c r="J22" s="1054">
        <f>'Table 5'!M81</f>
        <v>19.21</v>
      </c>
      <c r="K22" s="1077">
        <f>'Table 5'!N81</f>
        <v>0</v>
      </c>
      <c r="L22" s="515">
        <f>'Table 5'!O81</f>
        <v>19.21</v>
      </c>
      <c r="M22" s="1001">
        <f>'Table 5'!P81</f>
        <v>28.56</v>
      </c>
      <c r="N22" s="451">
        <f>'Table 5'!Q81</f>
        <v>0</v>
      </c>
      <c r="O22" s="515">
        <f>'Table 5'!R81</f>
        <v>28.56</v>
      </c>
      <c r="P22" s="1078">
        <f>'Table 5'!S81</f>
        <v>2.21</v>
      </c>
      <c r="Q22" s="1054">
        <f>'Table 5'!T81</f>
        <v>32.479999999999997</v>
      </c>
      <c r="R22" s="1077">
        <f>'Table 5'!U81</f>
        <v>0</v>
      </c>
      <c r="S22" s="515">
        <f>'Table 5'!V81</f>
        <v>32.479999999999997</v>
      </c>
      <c r="T22" s="1847">
        <f>'Table 5'!W81</f>
        <v>3.84</v>
      </c>
      <c r="U22" s="1001">
        <f>'Table 5'!X81</f>
        <v>32.590000000000003</v>
      </c>
      <c r="V22" s="451">
        <f>'Table 5'!Y81</f>
        <v>0</v>
      </c>
      <c r="W22" s="515">
        <f>'Table 5'!Z81</f>
        <v>32.590000000000003</v>
      </c>
      <c r="X22" s="1847">
        <f>'Table 5'!AA81</f>
        <v>8.4</v>
      </c>
      <c r="Y22" s="827">
        <f>'Table 5'!AB81</f>
        <v>32.65</v>
      </c>
      <c r="Z22" s="916">
        <f>'Table 5'!AC81</f>
        <v>0</v>
      </c>
      <c r="AA22" s="3143">
        <f>'Table 5'!AD81</f>
        <v>32.65</v>
      </c>
      <c r="AB22" s="910">
        <f>'Table 5'!AE81</f>
        <v>12.14</v>
      </c>
      <c r="AC22" s="827">
        <f>'Table 5'!AF81</f>
        <v>32.76</v>
      </c>
      <c r="AD22" s="452">
        <f>'Table 5'!AG81</f>
        <v>0</v>
      </c>
      <c r="AE22" s="3143">
        <f>'Table 5'!AH81</f>
        <v>32.76</v>
      </c>
      <c r="AF22" s="3172">
        <f>'Table 5'!AI81</f>
        <v>15.28</v>
      </c>
      <c r="AG22" s="1591">
        <f>'Table 5'!AJ81</f>
        <v>33.07</v>
      </c>
      <c r="AH22" s="560">
        <f>'Table 5'!AK81</f>
        <v>0</v>
      </c>
      <c r="AI22" s="3143">
        <f>'Table 5'!AL81</f>
        <v>33.07</v>
      </c>
      <c r="AJ22" s="940">
        <f>'Table 5'!AM81</f>
        <v>17.95</v>
      </c>
      <c r="AK22" s="989">
        <f>(SUM(AI22:AJ22)-L22)/L22</f>
        <v>1.66</v>
      </c>
      <c r="AL22" s="1000">
        <f>'Table 5'!AP81</f>
        <v>33.75</v>
      </c>
      <c r="AM22" s="299">
        <f>'Table 5'!AQ81</f>
        <v>0</v>
      </c>
      <c r="AN22" s="3153">
        <f>'Table 5'!AR81</f>
        <v>33.75</v>
      </c>
      <c r="AO22" s="3157">
        <f>'Table 5'!AS81</f>
        <v>20.329999999999998</v>
      </c>
      <c r="AQ22" s="1076">
        <f t="shared" si="1"/>
        <v>158029</v>
      </c>
      <c r="AR22" s="301">
        <f t="shared" si="2"/>
        <v>0.91</v>
      </c>
      <c r="AS22" s="1073">
        <f t="shared" si="3"/>
        <v>13.86</v>
      </c>
    </row>
    <row r="23" spans="1:47">
      <c r="A23" s="456" t="s">
        <v>30</v>
      </c>
      <c r="B23" s="506" t="s">
        <v>17</v>
      </c>
      <c r="C23" s="737">
        <f>'Table 5'!D86</f>
        <v>7491</v>
      </c>
      <c r="D23" s="328">
        <f>'Table 5'!E86</f>
        <v>8125</v>
      </c>
      <c r="E23" s="307">
        <f>'Table 5'!F86</f>
        <v>8961</v>
      </c>
      <c r="F23" s="307">
        <f>'Table 5'!G86</f>
        <v>9527</v>
      </c>
      <c r="G23" s="307">
        <f>'Table 5'!H86</f>
        <v>10012</v>
      </c>
      <c r="H23" s="307">
        <f>'Table 5'!I86</f>
        <v>10265</v>
      </c>
      <c r="I23" s="1059">
        <f>'Table 5'!J86</f>
        <v>10438</v>
      </c>
      <c r="J23" s="1855">
        <f>'Table 5'!M86</f>
        <v>1.32</v>
      </c>
      <c r="K23" s="1852">
        <f>'Table 5'!N86</f>
        <v>0</v>
      </c>
      <c r="L23" s="514">
        <f>'Table 5'!O86</f>
        <v>1.32</v>
      </c>
      <c r="M23" s="457">
        <f>'Table 5'!P86</f>
        <v>1.45</v>
      </c>
      <c r="N23" s="1853">
        <f>'Table 5'!Q86</f>
        <v>0</v>
      </c>
      <c r="O23" s="514">
        <f>'Table 5'!R86</f>
        <v>1.45</v>
      </c>
      <c r="P23" s="1854">
        <f>'Table 5'!S86</f>
        <v>0</v>
      </c>
      <c r="Q23" s="1855">
        <f>'Table 5'!T86</f>
        <v>1.61</v>
      </c>
      <c r="R23" s="1852">
        <f>'Table 5'!U86</f>
        <v>0</v>
      </c>
      <c r="S23" s="514">
        <f>'Table 5'!V86</f>
        <v>1.61</v>
      </c>
      <c r="T23" s="3128">
        <f>'Table 5'!W86</f>
        <v>0</v>
      </c>
      <c r="U23" s="457">
        <f>'Table 5'!X86</f>
        <v>1.73</v>
      </c>
      <c r="V23" s="1853">
        <f>'Table 5'!Y86</f>
        <v>0</v>
      </c>
      <c r="W23" s="514">
        <f>'Table 5'!Z86</f>
        <v>1.73</v>
      </c>
      <c r="X23" s="3128">
        <f>'Table 5'!AA86</f>
        <v>0</v>
      </c>
      <c r="Y23" s="1050">
        <f>'Table 5'!AB86</f>
        <v>1.79</v>
      </c>
      <c r="Z23" s="1055">
        <f>'Table 5'!AC86</f>
        <v>0</v>
      </c>
      <c r="AA23" s="3144">
        <f>'Table 5'!AD86</f>
        <v>1.79</v>
      </c>
      <c r="AB23" s="1896">
        <f>'Table 5'!AE86</f>
        <v>0</v>
      </c>
      <c r="AC23" s="1050">
        <f>'Table 5'!AF86</f>
        <v>1.84</v>
      </c>
      <c r="AD23" s="1051">
        <f>'Table 5'!AG86</f>
        <v>0</v>
      </c>
      <c r="AE23" s="3144">
        <f>'Table 5'!AH86</f>
        <v>1.84</v>
      </c>
      <c r="AF23" s="3173">
        <f>'Table 5'!AI86</f>
        <v>0</v>
      </c>
      <c r="AG23" s="1607">
        <f>'Table 5'!AJ86</f>
        <v>1.87</v>
      </c>
      <c r="AH23" s="1594">
        <f>'Table 5'!AK86</f>
        <v>0</v>
      </c>
      <c r="AI23" s="3144">
        <f>'Table 5'!AL86</f>
        <v>1.87</v>
      </c>
      <c r="AJ23" s="1856">
        <f>'Table 5'!AM86</f>
        <v>0</v>
      </c>
      <c r="AK23" s="1052">
        <f t="shared" si="0"/>
        <v>0.42</v>
      </c>
      <c r="AL23" s="1053">
        <f>'Table 5'!AP86</f>
        <v>1.98</v>
      </c>
      <c r="AM23" s="1857">
        <f>'Table 5'!AQ86</f>
        <v>0</v>
      </c>
      <c r="AN23" s="3154">
        <f>'Table 5'!AR86</f>
        <v>1.98</v>
      </c>
      <c r="AO23" s="3160">
        <f>'Table 5'!AS86</f>
        <v>0</v>
      </c>
      <c r="AQ23" s="737">
        <f t="shared" si="1"/>
        <v>2947</v>
      </c>
      <c r="AR23" s="999">
        <f t="shared" si="2"/>
        <v>0.39</v>
      </c>
      <c r="AS23" s="1858">
        <f t="shared" si="3"/>
        <v>0.55000000000000004</v>
      </c>
    </row>
    <row r="24" spans="1:47" ht="13.5" thickBot="1">
      <c r="A24" s="579" t="s">
        <v>31</v>
      </c>
      <c r="B24" s="1850" t="s">
        <v>17</v>
      </c>
      <c r="C24" s="1849">
        <f>'Table 5'!D88</f>
        <v>1742</v>
      </c>
      <c r="D24" s="95">
        <f>'Table 5'!E88</f>
        <v>1850</v>
      </c>
      <c r="E24" s="742">
        <f>'Table 5'!F88</f>
        <v>1885</v>
      </c>
      <c r="F24" s="742">
        <f>'Table 5'!G88</f>
        <v>1885</v>
      </c>
      <c r="G24" s="742">
        <f>'Table 5'!H88</f>
        <v>1905</v>
      </c>
      <c r="H24" s="742">
        <f>'Table 5'!I88</f>
        <v>1905</v>
      </c>
      <c r="I24" s="1060">
        <f>'Table 5'!J88</f>
        <v>1905</v>
      </c>
      <c r="J24" s="1056">
        <f>'Table 5'!M88</f>
        <v>0.26</v>
      </c>
      <c r="K24" s="528">
        <f>'Table 5'!N88</f>
        <v>0</v>
      </c>
      <c r="L24" s="516">
        <f>'Table 5'!O88</f>
        <v>0.26</v>
      </c>
      <c r="M24" s="124">
        <f>'Table 5'!P88</f>
        <v>0.24</v>
      </c>
      <c r="N24" s="1057">
        <f>'Table 5'!Q88</f>
        <v>0</v>
      </c>
      <c r="O24" s="516">
        <f>'Table 5'!R88</f>
        <v>0.24</v>
      </c>
      <c r="P24" s="1058">
        <f>'Table 5'!S88</f>
        <v>0</v>
      </c>
      <c r="Q24" s="1056">
        <f>'Table 5'!T88</f>
        <v>0.24</v>
      </c>
      <c r="R24" s="528">
        <f>'Table 5'!U88</f>
        <v>0</v>
      </c>
      <c r="S24" s="516">
        <f>'Table 5'!V88</f>
        <v>0.24</v>
      </c>
      <c r="T24" s="1385">
        <f>'Table 5'!W88</f>
        <v>0</v>
      </c>
      <c r="U24" s="124">
        <f>'Table 5'!X88</f>
        <v>0.24</v>
      </c>
      <c r="V24" s="1057">
        <f>'Table 5'!Y88</f>
        <v>0</v>
      </c>
      <c r="W24" s="516">
        <f>'Table 5'!Z88</f>
        <v>0.24</v>
      </c>
      <c r="X24" s="1385">
        <f>'Table 5'!AA88</f>
        <v>0</v>
      </c>
      <c r="Y24" s="467">
        <f>'Table 5'!AB88</f>
        <v>0.25</v>
      </c>
      <c r="Z24" s="531">
        <f>'Table 5'!AC88</f>
        <v>0</v>
      </c>
      <c r="AA24" s="3137">
        <f>'Table 5'!AD88</f>
        <v>0.25</v>
      </c>
      <c r="AB24" s="3129">
        <f>'Table 5'!AE88</f>
        <v>0</v>
      </c>
      <c r="AC24" s="467">
        <f>'Table 5'!AF88</f>
        <v>0.25</v>
      </c>
      <c r="AD24" s="532">
        <f>'Table 5'!AG88</f>
        <v>0</v>
      </c>
      <c r="AE24" s="3137">
        <f>'Table 5'!AH88</f>
        <v>0.25</v>
      </c>
      <c r="AF24" s="3165">
        <f>'Table 5'!AI88</f>
        <v>0</v>
      </c>
      <c r="AG24" s="1603">
        <f>'Table 5'!AJ88</f>
        <v>0.25</v>
      </c>
      <c r="AH24" s="562">
        <f>'Table 5'!AK88</f>
        <v>0</v>
      </c>
      <c r="AI24" s="3137">
        <f>'Table 5'!AL88</f>
        <v>0.25</v>
      </c>
      <c r="AJ24" s="943">
        <f>'Table 5'!AM88</f>
        <v>0</v>
      </c>
      <c r="AK24" s="745">
        <f t="shared" si="0"/>
        <v>-0.04</v>
      </c>
      <c r="AL24" s="1021">
        <f>'Table 5'!AP88</f>
        <v>0.27</v>
      </c>
      <c r="AM24" s="1022">
        <f>'Table 5'!AQ88</f>
        <v>0</v>
      </c>
      <c r="AN24" s="3149">
        <f>'Table 5'!AR88</f>
        <v>0.27</v>
      </c>
      <c r="AO24" s="3158">
        <f>'Table 5'!AS88</f>
        <v>0</v>
      </c>
      <c r="AQ24" s="1849">
        <f t="shared" si="1"/>
        <v>163</v>
      </c>
      <c r="AR24" s="234">
        <f t="shared" si="2"/>
        <v>0.09</v>
      </c>
      <c r="AS24" s="1066">
        <f t="shared" si="3"/>
        <v>-0.01</v>
      </c>
    </row>
    <row r="25" spans="1:47" ht="14.25" thickTop="1" thickBot="1">
      <c r="A25" s="3231" t="s">
        <v>32</v>
      </c>
      <c r="B25" s="3232"/>
      <c r="C25" s="115">
        <f>C5+C8+C11+C14+C16+C17+C20+C21+C22</f>
        <v>1383967</v>
      </c>
      <c r="D25" s="743">
        <f t="shared" ref="D25:I25" si="39">D5+D8+D11+D14+D16+D17+D20+D21+D22</f>
        <v>1496051</v>
      </c>
      <c r="E25" s="64">
        <f t="shared" si="39"/>
        <v>1617656</v>
      </c>
      <c r="F25" s="64">
        <f t="shared" si="39"/>
        <v>1707159</v>
      </c>
      <c r="G25" s="64">
        <f t="shared" si="39"/>
        <v>1790758</v>
      </c>
      <c r="H25" s="64">
        <f t="shared" si="39"/>
        <v>1856566</v>
      </c>
      <c r="I25" s="1061">
        <f t="shared" si="39"/>
        <v>1916415</v>
      </c>
      <c r="J25" s="477">
        <f t="shared" ref="J25:AI25" si="40">J5+J8+J11+J14+J16+J17+J20+J21+J22</f>
        <v>178.8</v>
      </c>
      <c r="K25" s="478">
        <f t="shared" si="40"/>
        <v>7.0000000000000007E-2</v>
      </c>
      <c r="L25" s="479">
        <f t="shared" si="40"/>
        <v>178.87</v>
      </c>
      <c r="M25" s="480">
        <f t="shared" si="40"/>
        <v>196.67</v>
      </c>
      <c r="N25" s="481">
        <f t="shared" si="40"/>
        <v>0.03</v>
      </c>
      <c r="O25" s="479">
        <f t="shared" si="40"/>
        <v>196.7</v>
      </c>
      <c r="P25" s="447">
        <f t="shared" ref="P25" si="41">P5+P8+P11+P14+P16+P17+P20+P21+P22</f>
        <v>3.5</v>
      </c>
      <c r="Q25" s="477">
        <f t="shared" si="40"/>
        <v>212.11</v>
      </c>
      <c r="R25" s="478">
        <f t="shared" si="40"/>
        <v>0.03</v>
      </c>
      <c r="S25" s="479">
        <f t="shared" si="40"/>
        <v>212.14</v>
      </c>
      <c r="T25" s="477">
        <f t="shared" ref="T25" si="42">T5+T8+T11+T14+T16+T17+T20+T21+T22</f>
        <v>5.13</v>
      </c>
      <c r="U25" s="480">
        <f t="shared" si="40"/>
        <v>220.2</v>
      </c>
      <c r="V25" s="481">
        <f t="shared" si="40"/>
        <v>0.03</v>
      </c>
      <c r="W25" s="479">
        <f t="shared" si="40"/>
        <v>220.23</v>
      </c>
      <c r="X25" s="477">
        <f t="shared" ref="X25" si="43">X5+X8+X11+X14+X16+X17+X20+X21+X22</f>
        <v>9.69</v>
      </c>
      <c r="Y25" s="482">
        <f t="shared" si="40"/>
        <v>227.64</v>
      </c>
      <c r="Z25" s="483">
        <f t="shared" si="40"/>
        <v>0.03</v>
      </c>
      <c r="AA25" s="3138">
        <f t="shared" si="40"/>
        <v>227.67</v>
      </c>
      <c r="AB25" s="639">
        <f t="shared" ref="AB25" si="44">AB5+AB8+AB11+AB14+AB16+AB17+AB20+AB21+AB22</f>
        <v>13.56</v>
      </c>
      <c r="AC25" s="482">
        <f t="shared" si="40"/>
        <v>233.18</v>
      </c>
      <c r="AD25" s="485">
        <f t="shared" si="40"/>
        <v>0.03</v>
      </c>
      <c r="AE25" s="3138">
        <f t="shared" si="40"/>
        <v>233.21</v>
      </c>
      <c r="AF25" s="3166">
        <f t="shared" ref="AF25" si="45">AF5+AF8+AF11+AF14+AF16+AF17+AF20+AF21+AF22</f>
        <v>16.98</v>
      </c>
      <c r="AG25" s="639">
        <f t="shared" si="40"/>
        <v>238.39</v>
      </c>
      <c r="AH25" s="554">
        <f t="shared" si="40"/>
        <v>0.03</v>
      </c>
      <c r="AI25" s="3138">
        <f t="shared" si="40"/>
        <v>238.42</v>
      </c>
      <c r="AJ25" s="486">
        <f t="shared" ref="AJ25" si="46">AJ5+AJ8+AJ11+AJ14+AJ16+AJ17+AJ20+AJ21+AJ22</f>
        <v>20.07</v>
      </c>
      <c r="AK25" s="487">
        <f t="shared" si="0"/>
        <v>0.33</v>
      </c>
      <c r="AL25" s="60">
        <f t="shared" ref="AL25:AN25" si="47">AL5+AL8+AL11+AL14+AL16+AL17+AL20+AL21+AL22</f>
        <v>251.15</v>
      </c>
      <c r="AM25" s="106">
        <f t="shared" si="47"/>
        <v>0.03</v>
      </c>
      <c r="AN25" s="3150">
        <f t="shared" si="47"/>
        <v>251.18</v>
      </c>
      <c r="AO25" s="3175">
        <f t="shared" ref="AO25" si="48">AO5+AO8+AO11+AO14+AO16+AO17+AO20+AO21+AO22</f>
        <v>22.81</v>
      </c>
      <c r="AQ25" s="738">
        <f t="shared" si="1"/>
        <v>532448</v>
      </c>
      <c r="AR25" s="302">
        <f t="shared" si="2"/>
        <v>0.38</v>
      </c>
      <c r="AS25" s="486">
        <f t="shared" si="3"/>
        <v>59.55</v>
      </c>
    </row>
    <row r="26" spans="1:47" ht="13.5" thickBot="1">
      <c r="A26" s="3229" t="s">
        <v>33</v>
      </c>
      <c r="B26" s="3230"/>
      <c r="C26" s="736">
        <f>C6+C9+C12+C15+C18+C19+C23+C24</f>
        <v>64483</v>
      </c>
      <c r="D26" s="66">
        <f t="shared" ref="D26:I26" si="49">D6+D9+D12+D15+D18+D19+D23+D24</f>
        <v>69179</v>
      </c>
      <c r="E26" s="65">
        <f t="shared" si="49"/>
        <v>71351</v>
      </c>
      <c r="F26" s="65">
        <f t="shared" si="49"/>
        <v>74457</v>
      </c>
      <c r="G26" s="65">
        <f t="shared" si="49"/>
        <v>77251</v>
      </c>
      <c r="H26" s="65">
        <f t="shared" si="49"/>
        <v>78706</v>
      </c>
      <c r="I26" s="308">
        <f t="shared" si="49"/>
        <v>79985</v>
      </c>
      <c r="J26" s="488">
        <f t="shared" ref="J26:AI26" si="50">J6+J9+J12+J15+J18+J19+J23+J24</f>
        <v>9.32</v>
      </c>
      <c r="K26" s="489">
        <f t="shared" si="50"/>
        <v>0</v>
      </c>
      <c r="L26" s="490">
        <f t="shared" si="50"/>
        <v>9.32</v>
      </c>
      <c r="M26" s="491">
        <f t="shared" si="50"/>
        <v>9.99</v>
      </c>
      <c r="N26" s="492">
        <f t="shared" si="50"/>
        <v>0</v>
      </c>
      <c r="O26" s="490">
        <f t="shared" si="50"/>
        <v>9.99</v>
      </c>
      <c r="P26" s="524">
        <f t="shared" ref="P26" si="51">P6+P9+P12+P15+P18+P19+P23+P24</f>
        <v>0</v>
      </c>
      <c r="Q26" s="488">
        <f t="shared" si="50"/>
        <v>10.32</v>
      </c>
      <c r="R26" s="489">
        <f t="shared" si="50"/>
        <v>0</v>
      </c>
      <c r="S26" s="490">
        <f t="shared" si="50"/>
        <v>10.32</v>
      </c>
      <c r="T26" s="488">
        <f t="shared" ref="T26" si="52">T6+T9+T12+T15+T18+T19+T23+T24</f>
        <v>0</v>
      </c>
      <c r="U26" s="491">
        <f t="shared" si="50"/>
        <v>10.73</v>
      </c>
      <c r="V26" s="492">
        <f t="shared" si="50"/>
        <v>0</v>
      </c>
      <c r="W26" s="490">
        <f t="shared" si="50"/>
        <v>10.73</v>
      </c>
      <c r="X26" s="488">
        <f t="shared" ref="X26" si="53">X6+X9+X12+X15+X18+X19+X23+X24</f>
        <v>0</v>
      </c>
      <c r="Y26" s="493">
        <f t="shared" si="50"/>
        <v>11.1</v>
      </c>
      <c r="Z26" s="494">
        <f t="shared" si="50"/>
        <v>0</v>
      </c>
      <c r="AA26" s="3145">
        <f t="shared" si="50"/>
        <v>11.1</v>
      </c>
      <c r="AB26" s="651">
        <f t="shared" ref="AB26" si="54">AB6+AB9+AB12+AB15+AB18+AB19+AB23+AB24</f>
        <v>0</v>
      </c>
      <c r="AC26" s="493">
        <f t="shared" si="50"/>
        <v>11.33</v>
      </c>
      <c r="AD26" s="496">
        <f t="shared" si="50"/>
        <v>0</v>
      </c>
      <c r="AE26" s="3145">
        <f t="shared" si="50"/>
        <v>11.33</v>
      </c>
      <c r="AF26" s="3174">
        <f t="shared" ref="AF26" si="55">AF6+AF9+AF12+AF15+AF18+AF19+AF23+AF24</f>
        <v>0</v>
      </c>
      <c r="AG26" s="651">
        <f t="shared" si="50"/>
        <v>11.52</v>
      </c>
      <c r="AH26" s="561">
        <f t="shared" si="50"/>
        <v>0</v>
      </c>
      <c r="AI26" s="3145">
        <f t="shared" si="50"/>
        <v>11.52</v>
      </c>
      <c r="AJ26" s="497">
        <f t="shared" ref="AJ26" si="56">AJ6+AJ9+AJ12+AJ15+AJ18+AJ19+AJ23+AJ24</f>
        <v>0</v>
      </c>
      <c r="AK26" s="498">
        <f t="shared" si="0"/>
        <v>0.24</v>
      </c>
      <c r="AL26" s="499">
        <f t="shared" ref="AL26:AN26" si="57">AL6+AL9+AL12+AL15+AL18+AL19+AL23+AL24</f>
        <v>12.22</v>
      </c>
      <c r="AM26" s="187">
        <f t="shared" si="57"/>
        <v>0</v>
      </c>
      <c r="AN26" s="3155">
        <f t="shared" si="57"/>
        <v>12.22</v>
      </c>
      <c r="AO26" s="3158">
        <f t="shared" ref="AO26" si="58">AO6+AO9+AO12+AO15+AO18+AO19+AO23+AO24</f>
        <v>0</v>
      </c>
      <c r="AQ26" s="1610">
        <f t="shared" si="1"/>
        <v>15502</v>
      </c>
      <c r="AR26" s="1611">
        <f t="shared" si="2"/>
        <v>0.24</v>
      </c>
      <c r="AS26" s="497">
        <f t="shared" si="3"/>
        <v>2.2000000000000002</v>
      </c>
    </row>
    <row r="27" spans="1:47" s="22" customFormat="1" ht="13.5" thickBot="1">
      <c r="A27" s="3229" t="s">
        <v>34</v>
      </c>
      <c r="B27" s="3230"/>
      <c r="C27" s="736">
        <f t="shared" ref="C27" si="59">C25+C26</f>
        <v>1448450</v>
      </c>
      <c r="D27" s="66">
        <f t="shared" ref="D27:I27" si="60">D25+D26</f>
        <v>1565230</v>
      </c>
      <c r="E27" s="65">
        <f t="shared" si="60"/>
        <v>1689007</v>
      </c>
      <c r="F27" s="65">
        <f t="shared" si="60"/>
        <v>1781616</v>
      </c>
      <c r="G27" s="65">
        <f t="shared" si="60"/>
        <v>1868009</v>
      </c>
      <c r="H27" s="65">
        <f t="shared" si="60"/>
        <v>1935272</v>
      </c>
      <c r="I27" s="308">
        <f t="shared" si="60"/>
        <v>1996400</v>
      </c>
      <c r="J27" s="500">
        <f t="shared" ref="J27:AI27" si="61">J25+J26</f>
        <v>188.12</v>
      </c>
      <c r="K27" s="501">
        <f t="shared" si="61"/>
        <v>7.0000000000000007E-2</v>
      </c>
      <c r="L27" s="502">
        <f t="shared" si="61"/>
        <v>188.19</v>
      </c>
      <c r="M27" s="503">
        <f t="shared" si="61"/>
        <v>206.66</v>
      </c>
      <c r="N27" s="504">
        <f t="shared" si="61"/>
        <v>0.03</v>
      </c>
      <c r="O27" s="502">
        <f t="shared" si="61"/>
        <v>206.69</v>
      </c>
      <c r="P27" s="525">
        <f t="shared" ref="P27" si="62">P25+P26</f>
        <v>3.5</v>
      </c>
      <c r="Q27" s="500">
        <f t="shared" si="61"/>
        <v>222.43</v>
      </c>
      <c r="R27" s="501">
        <f t="shared" si="61"/>
        <v>0.03</v>
      </c>
      <c r="S27" s="502">
        <f t="shared" si="61"/>
        <v>222.46</v>
      </c>
      <c r="T27" s="500">
        <f t="shared" ref="T27" si="63">T25+T26</f>
        <v>5.13</v>
      </c>
      <c r="U27" s="503">
        <f t="shared" si="61"/>
        <v>230.93</v>
      </c>
      <c r="V27" s="504">
        <f t="shared" si="61"/>
        <v>0.03</v>
      </c>
      <c r="W27" s="502">
        <f t="shared" si="61"/>
        <v>230.96</v>
      </c>
      <c r="X27" s="505">
        <f t="shared" ref="X27" si="64">X25+X26</f>
        <v>9.69</v>
      </c>
      <c r="Y27" s="493">
        <f t="shared" si="61"/>
        <v>238.74</v>
      </c>
      <c r="Z27" s="494">
        <f t="shared" si="61"/>
        <v>0.03</v>
      </c>
      <c r="AA27" s="3145">
        <f t="shared" si="61"/>
        <v>238.77</v>
      </c>
      <c r="AB27" s="651">
        <f t="shared" ref="AB27" si="65">AB25+AB26</f>
        <v>13.56</v>
      </c>
      <c r="AC27" s="493">
        <f t="shared" si="61"/>
        <v>244.51</v>
      </c>
      <c r="AD27" s="496">
        <f t="shared" si="61"/>
        <v>0.03</v>
      </c>
      <c r="AE27" s="3145">
        <f t="shared" si="61"/>
        <v>244.54</v>
      </c>
      <c r="AF27" s="3174">
        <f t="shared" ref="AF27" si="66">AF25+AF26</f>
        <v>16.98</v>
      </c>
      <c r="AG27" s="651">
        <f t="shared" si="61"/>
        <v>249.91</v>
      </c>
      <c r="AH27" s="561">
        <f t="shared" si="61"/>
        <v>0.03</v>
      </c>
      <c r="AI27" s="3145">
        <f t="shared" si="61"/>
        <v>249.94</v>
      </c>
      <c r="AJ27" s="497">
        <f t="shared" ref="AJ27" si="67">AJ25+AJ26</f>
        <v>20.07</v>
      </c>
      <c r="AK27" s="498">
        <f t="shared" si="0"/>
        <v>0.33</v>
      </c>
      <c r="AL27" s="499">
        <f t="shared" ref="AL27:AN27" si="68">AL25+AL26</f>
        <v>263.37</v>
      </c>
      <c r="AM27" s="187">
        <f t="shared" si="68"/>
        <v>0.03</v>
      </c>
      <c r="AN27" s="3155">
        <f t="shared" si="68"/>
        <v>263.39999999999998</v>
      </c>
      <c r="AO27" s="3162">
        <f t="shared" ref="AO27" si="69">AO25+AO26</f>
        <v>22.81</v>
      </c>
      <c r="AQ27" s="1610">
        <f t="shared" si="1"/>
        <v>547950</v>
      </c>
      <c r="AR27" s="1611">
        <f t="shared" si="2"/>
        <v>0.38</v>
      </c>
      <c r="AS27" s="497">
        <f t="shared" si="3"/>
        <v>61.75</v>
      </c>
    </row>
    <row r="28" spans="1:47">
      <c r="A28" s="89" t="s">
        <v>35</v>
      </c>
      <c r="B28" s="54"/>
      <c r="C28" s="54"/>
      <c r="AO28" s="2933"/>
    </row>
    <row r="29" spans="1:47">
      <c r="A29" s="1" t="s">
        <v>68</v>
      </c>
      <c r="B29" s="54"/>
      <c r="C29" s="54"/>
      <c r="O29" s="1" t="s">
        <v>36</v>
      </c>
    </row>
    <row r="30" spans="1:47">
      <c r="A30" s="1" t="s">
        <v>69</v>
      </c>
      <c r="B30" s="54"/>
      <c r="C30" s="54"/>
    </row>
    <row r="31" spans="1:47">
      <c r="A31" s="1" t="s">
        <v>82</v>
      </c>
    </row>
    <row r="32" spans="1:47">
      <c r="AU32" s="1" t="s">
        <v>36</v>
      </c>
    </row>
    <row r="33" spans="1:47" ht="13.5" thickBot="1">
      <c r="A33" s="297" t="s">
        <v>83</v>
      </c>
      <c r="B33" s="2"/>
      <c r="C33" s="2"/>
      <c r="D33" s="2"/>
      <c r="E33" s="2"/>
      <c r="F33" s="2"/>
      <c r="G33" s="2"/>
      <c r="H33" s="2"/>
      <c r="I33" s="2"/>
      <c r="J33" s="2"/>
      <c r="K33" s="2"/>
      <c r="L33" s="2"/>
      <c r="M33" s="2"/>
      <c r="N33" s="2"/>
      <c r="O33" s="2"/>
      <c r="P33" s="2"/>
      <c r="Q33" s="2"/>
      <c r="R33" s="2"/>
      <c r="S33" s="2"/>
      <c r="T33" s="2"/>
      <c r="U33" s="2"/>
      <c r="V33" s="2"/>
      <c r="W33" s="256"/>
      <c r="X33" s="256"/>
      <c r="Y33" s="256"/>
      <c r="Z33" s="256"/>
      <c r="AA33" s="256"/>
      <c r="AB33" s="256"/>
      <c r="AC33" s="256"/>
      <c r="AD33" s="256"/>
    </row>
    <row r="34" spans="1:47" ht="13.5" customHeight="1" thickBot="1">
      <c r="A34" s="3204" t="s">
        <v>1</v>
      </c>
      <c r="B34" s="3206" t="s">
        <v>2</v>
      </c>
      <c r="C34" s="3251" t="s">
        <v>76</v>
      </c>
      <c r="D34" s="3241" t="s">
        <v>77</v>
      </c>
      <c r="E34" s="3242"/>
      <c r="F34" s="3242"/>
      <c r="G34" s="3242"/>
      <c r="H34" s="3242"/>
      <c r="I34" s="3225"/>
      <c r="J34" s="3221" t="s">
        <v>55</v>
      </c>
      <c r="K34" s="3222"/>
      <c r="L34" s="3223"/>
      <c r="M34" s="3268" t="s">
        <v>56</v>
      </c>
      <c r="N34" s="3269"/>
      <c r="O34" s="3269"/>
      <c r="P34" s="3269"/>
      <c r="Q34" s="3269"/>
      <c r="R34" s="3269"/>
      <c r="S34" s="3269"/>
      <c r="T34" s="3269"/>
      <c r="U34" s="3269"/>
      <c r="V34" s="3269"/>
      <c r="W34" s="3269"/>
      <c r="X34" s="3269"/>
      <c r="Y34" s="3269"/>
      <c r="Z34" s="3269"/>
      <c r="AA34" s="3269"/>
      <c r="AB34" s="3269"/>
      <c r="AC34" s="3269"/>
      <c r="AD34" s="3269"/>
      <c r="AE34" s="3269"/>
      <c r="AF34" s="3269"/>
      <c r="AG34" s="3269"/>
      <c r="AH34" s="3269"/>
      <c r="AI34" s="3269"/>
      <c r="AJ34" s="3270"/>
      <c r="AK34" s="3255" t="s">
        <v>57</v>
      </c>
      <c r="AL34" s="3265" t="s">
        <v>58</v>
      </c>
      <c r="AM34" s="3266"/>
      <c r="AN34" s="3266"/>
      <c r="AO34" s="3267"/>
      <c r="AQ34" s="3258" t="s">
        <v>78</v>
      </c>
      <c r="AR34" s="3255" t="s">
        <v>79</v>
      </c>
      <c r="AS34" s="3245" t="s">
        <v>80</v>
      </c>
      <c r="AU34" s="1" t="s">
        <v>36</v>
      </c>
    </row>
    <row r="35" spans="1:47" ht="15.75" customHeight="1" thickBot="1">
      <c r="A35" s="3205"/>
      <c r="B35" s="3207"/>
      <c r="C35" s="3252"/>
      <c r="D35" s="3243"/>
      <c r="E35" s="3244"/>
      <c r="F35" s="3244"/>
      <c r="G35" s="3244"/>
      <c r="H35" s="3244"/>
      <c r="I35" s="3227"/>
      <c r="J35" s="3212">
        <v>2015</v>
      </c>
      <c r="K35" s="3213"/>
      <c r="L35" s="3215"/>
      <c r="M35" s="3216">
        <v>2020</v>
      </c>
      <c r="N35" s="3217"/>
      <c r="O35" s="3217"/>
      <c r="P35" s="3218"/>
      <c r="Q35" s="3217">
        <v>2025</v>
      </c>
      <c r="R35" s="3217"/>
      <c r="S35" s="3217"/>
      <c r="T35" s="3218"/>
      <c r="U35" s="3216">
        <v>2030</v>
      </c>
      <c r="V35" s="3217"/>
      <c r="W35" s="3217"/>
      <c r="X35" s="3218"/>
      <c r="Y35" s="3217">
        <v>2035</v>
      </c>
      <c r="Z35" s="3217"/>
      <c r="AA35" s="3217"/>
      <c r="AB35" s="3218"/>
      <c r="AC35" s="3216">
        <v>2040</v>
      </c>
      <c r="AD35" s="3217"/>
      <c r="AE35" s="3217"/>
      <c r="AF35" s="3218"/>
      <c r="AG35" s="3216">
        <v>2045</v>
      </c>
      <c r="AH35" s="3217"/>
      <c r="AI35" s="3217"/>
      <c r="AJ35" s="3218"/>
      <c r="AK35" s="3256"/>
      <c r="AL35" s="3258">
        <v>2045</v>
      </c>
      <c r="AM35" s="3264"/>
      <c r="AN35" s="3264"/>
      <c r="AO35" s="3245"/>
      <c r="AQ35" s="3259"/>
      <c r="AR35" s="3256"/>
      <c r="AS35" s="3246"/>
    </row>
    <row r="36" spans="1:47" ht="13.5" thickBot="1">
      <c r="A36" s="3485"/>
      <c r="B36" s="3208"/>
      <c r="C36" s="3023">
        <v>2015</v>
      </c>
      <c r="D36" s="1676">
        <v>2020</v>
      </c>
      <c r="E36" s="1677">
        <v>2025</v>
      </c>
      <c r="F36" s="1677">
        <v>2030</v>
      </c>
      <c r="G36" s="1677">
        <v>2035</v>
      </c>
      <c r="H36" s="1678">
        <v>2040</v>
      </c>
      <c r="I36" s="3019">
        <v>2045</v>
      </c>
      <c r="J36" s="1655" t="s">
        <v>60</v>
      </c>
      <c r="K36" s="1017" t="s">
        <v>61</v>
      </c>
      <c r="L36" s="1659" t="s">
        <v>18</v>
      </c>
      <c r="M36" s="1655" t="s">
        <v>60</v>
      </c>
      <c r="N36" s="1657" t="s">
        <v>61</v>
      </c>
      <c r="O36" s="3131" t="s">
        <v>18</v>
      </c>
      <c r="P36" s="1658" t="s">
        <v>81</v>
      </c>
      <c r="Q36" s="1669" t="s">
        <v>60</v>
      </c>
      <c r="R36" s="1017" t="s">
        <v>61</v>
      </c>
      <c r="S36" s="3131" t="s">
        <v>18</v>
      </c>
      <c r="T36" s="1661" t="s">
        <v>81</v>
      </c>
      <c r="U36" s="1655" t="s">
        <v>60</v>
      </c>
      <c r="V36" s="1657" t="s">
        <v>61</v>
      </c>
      <c r="W36" s="3131" t="s">
        <v>18</v>
      </c>
      <c r="X36" s="1658" t="s">
        <v>81</v>
      </c>
      <c r="Y36" s="1669" t="s">
        <v>60</v>
      </c>
      <c r="Z36" s="1017" t="s">
        <v>61</v>
      </c>
      <c r="AA36" s="3131" t="s">
        <v>18</v>
      </c>
      <c r="AB36" s="1661" t="s">
        <v>81</v>
      </c>
      <c r="AC36" s="1655" t="s">
        <v>60</v>
      </c>
      <c r="AD36" s="1657" t="s">
        <v>61</v>
      </c>
      <c r="AE36" s="3131" t="s">
        <v>18</v>
      </c>
      <c r="AF36" s="1661" t="s">
        <v>81</v>
      </c>
      <c r="AG36" s="1655" t="s">
        <v>60</v>
      </c>
      <c r="AH36" s="1657" t="s">
        <v>61</v>
      </c>
      <c r="AI36" s="3131" t="s">
        <v>18</v>
      </c>
      <c r="AJ36" s="1661" t="s">
        <v>81</v>
      </c>
      <c r="AK36" s="3257"/>
      <c r="AL36" s="1133" t="s">
        <v>60</v>
      </c>
      <c r="AM36" s="1134" t="s">
        <v>61</v>
      </c>
      <c r="AN36" s="3147" t="s">
        <v>18</v>
      </c>
      <c r="AO36" s="1658" t="s">
        <v>81</v>
      </c>
      <c r="AQ36" s="3260"/>
      <c r="AR36" s="3257"/>
      <c r="AS36" s="3247"/>
    </row>
    <row r="37" spans="1:47">
      <c r="A37" s="443" t="s">
        <v>46</v>
      </c>
      <c r="B37" s="506" t="s">
        <v>17</v>
      </c>
      <c r="C37" s="737">
        <f>'Table 5'!D111</f>
        <v>2491</v>
      </c>
      <c r="D37" s="328">
        <f>'Table 5'!E111</f>
        <v>2952</v>
      </c>
      <c r="E37" s="307">
        <f>'Table 5'!F111</f>
        <v>3077</v>
      </c>
      <c r="F37" s="307">
        <f>'Table 5'!G111</f>
        <v>3141</v>
      </c>
      <c r="G37" s="307">
        <f>'Table 5'!H111</f>
        <v>3161</v>
      </c>
      <c r="H37" s="307">
        <f>'Table 5'!I111</f>
        <v>3161</v>
      </c>
      <c r="I37" s="1059">
        <f>'Table 5'!J111</f>
        <v>3161</v>
      </c>
      <c r="J37" s="110">
        <f>'Table 5'!M111</f>
        <v>0.65</v>
      </c>
      <c r="K37" s="118">
        <f>'Table 5'!N111</f>
        <v>0</v>
      </c>
      <c r="L37" s="1675">
        <f>'Table 5'!O111</f>
        <v>0.65</v>
      </c>
      <c r="M37" s="110">
        <f>'Table 5'!P111</f>
        <v>0.8</v>
      </c>
      <c r="N37" s="112">
        <f>'Table 5'!Q111</f>
        <v>0</v>
      </c>
      <c r="O37" s="1679">
        <f>'Table 5'!R111</f>
        <v>0.8</v>
      </c>
      <c r="P37" s="1667">
        <f>'Table 5'!S111</f>
        <v>0</v>
      </c>
      <c r="Q37" s="114">
        <f>'Table 5'!T111</f>
        <v>0.84</v>
      </c>
      <c r="R37" s="118">
        <f>'Table 5'!U111</f>
        <v>0</v>
      </c>
      <c r="S37" s="1679">
        <f>'Table 5'!V111</f>
        <v>0.84</v>
      </c>
      <c r="T37" s="1668">
        <f>'Table 5'!W111</f>
        <v>0</v>
      </c>
      <c r="U37" s="110">
        <f>'Table 5'!X111</f>
        <v>0.87</v>
      </c>
      <c r="V37" s="112">
        <f>'Table 5'!Y111</f>
        <v>0</v>
      </c>
      <c r="W37" s="1679">
        <f>'Table 5'!Z111</f>
        <v>0.87</v>
      </c>
      <c r="X37" s="1668">
        <f>'Table 5'!AA111</f>
        <v>0</v>
      </c>
      <c r="Y37" s="444">
        <f>'Table 5'!AB111</f>
        <v>0.87</v>
      </c>
      <c r="Z37" s="445">
        <f>'Table 5'!AC111</f>
        <v>0</v>
      </c>
      <c r="AA37" s="3136">
        <f>'Table 5'!AD111</f>
        <v>0.87</v>
      </c>
      <c r="AB37" s="642">
        <f>'Table 5'!AE111</f>
        <v>0</v>
      </c>
      <c r="AC37" s="444">
        <f>'Table 5'!AF111</f>
        <v>0.87</v>
      </c>
      <c r="AD37" s="446">
        <f>'Table 5'!AG111</f>
        <v>0</v>
      </c>
      <c r="AE37" s="3136">
        <f>'Table 5'!AH111</f>
        <v>0.87</v>
      </c>
      <c r="AF37" s="3164">
        <f>'Table 5'!AI111</f>
        <v>0</v>
      </c>
      <c r="AG37" s="674">
        <f>'Table 5'!AJ111</f>
        <v>0.87</v>
      </c>
      <c r="AH37" s="585">
        <f>'Table 5'!AK111</f>
        <v>0</v>
      </c>
      <c r="AI37" s="3136">
        <f>'Table 5'!AL111</f>
        <v>0.87</v>
      </c>
      <c r="AJ37" s="450">
        <f>'Table 5'!AM111</f>
        <v>0</v>
      </c>
      <c r="AK37" s="239">
        <f t="shared" ref="AK37:AK43" si="70">(AI37-L37)/L37</f>
        <v>0.34</v>
      </c>
      <c r="AL37" s="1074">
        <f>'Table 5'!AP111</f>
        <v>0.92</v>
      </c>
      <c r="AM37" s="90">
        <f>'Table 5'!AQ111</f>
        <v>0</v>
      </c>
      <c r="AN37" s="3148">
        <f>'Table 5'!AR111</f>
        <v>0.87</v>
      </c>
      <c r="AO37" s="3163">
        <f>'Table 5'!AS111</f>
        <v>0</v>
      </c>
      <c r="AQ37" s="737">
        <f>I37-C37</f>
        <v>670</v>
      </c>
      <c r="AR37" s="239">
        <f>AQ37/C37</f>
        <v>0.27</v>
      </c>
      <c r="AS37" s="1065">
        <f>AI37-L37</f>
        <v>0.22</v>
      </c>
    </row>
    <row r="38" spans="1:47">
      <c r="A38" s="455" t="s">
        <v>47</v>
      </c>
      <c r="B38" s="1075" t="s">
        <v>17</v>
      </c>
      <c r="C38" s="1076">
        <f>'Table 5'!D113</f>
        <v>553</v>
      </c>
      <c r="D38" s="1063">
        <f>'Table 5'!E113</f>
        <v>606</v>
      </c>
      <c r="E38" s="1038">
        <f>'Table 5'!F113</f>
        <v>618</v>
      </c>
      <c r="F38" s="1038">
        <f>'Table 5'!G113</f>
        <v>626</v>
      </c>
      <c r="G38" s="1038">
        <f>'Table 5'!H113</f>
        <v>629</v>
      </c>
      <c r="H38" s="1038">
        <f>'Table 5'!I113</f>
        <v>639</v>
      </c>
      <c r="I38" s="1013">
        <f>'Table 5'!J113</f>
        <v>644</v>
      </c>
      <c r="J38" s="1001">
        <f>'Table 5'!M113</f>
        <v>0</v>
      </c>
      <c r="K38" s="1077">
        <f>'Table 5'!N113</f>
        <v>0</v>
      </c>
      <c r="L38" s="515">
        <f>'Table 5'!O113</f>
        <v>0</v>
      </c>
      <c r="M38" s="1001">
        <f>'Table 5'!P113</f>
        <v>0</v>
      </c>
      <c r="N38" s="451">
        <f>'Table 5'!Q113</f>
        <v>0</v>
      </c>
      <c r="O38" s="515">
        <f>'Table 5'!R113</f>
        <v>0</v>
      </c>
      <c r="P38" s="1078">
        <f>'Table 5'!S113</f>
        <v>0</v>
      </c>
      <c r="Q38" s="1054">
        <f>'Table 5'!T113</f>
        <v>0</v>
      </c>
      <c r="R38" s="1077">
        <f>'Table 5'!U113</f>
        <v>0</v>
      </c>
      <c r="S38" s="515">
        <f>'Table 5'!V113</f>
        <v>0</v>
      </c>
      <c r="T38" s="1847">
        <f>'Table 5'!W113</f>
        <v>0</v>
      </c>
      <c r="U38" s="1001">
        <f>'Table 5'!X113</f>
        <v>0</v>
      </c>
      <c r="V38" s="451">
        <f>'Table 5'!Y113</f>
        <v>0</v>
      </c>
      <c r="W38" s="515">
        <f>'Table 5'!Z113</f>
        <v>0</v>
      </c>
      <c r="X38" s="1847">
        <f>'Table 5'!AA113</f>
        <v>0</v>
      </c>
      <c r="Y38" s="827">
        <f>'Table 5'!AB113</f>
        <v>0</v>
      </c>
      <c r="Z38" s="916">
        <f>'Table 5'!AC113</f>
        <v>0</v>
      </c>
      <c r="AA38" s="3143">
        <f>'Table 5'!AD113</f>
        <v>0</v>
      </c>
      <c r="AB38" s="910">
        <f>'Table 5'!AE113</f>
        <v>0</v>
      </c>
      <c r="AC38" s="827">
        <f>'Table 5'!AF113</f>
        <v>0</v>
      </c>
      <c r="AD38" s="452">
        <f>'Table 5'!AG113</f>
        <v>0</v>
      </c>
      <c r="AE38" s="3143">
        <f>'Table 5'!AH113</f>
        <v>0</v>
      </c>
      <c r="AF38" s="3172">
        <f>'Table 5'!AI113</f>
        <v>0</v>
      </c>
      <c r="AG38" s="1591">
        <f>'Table 5'!AJ113</f>
        <v>0</v>
      </c>
      <c r="AH38" s="560">
        <f>'Table 5'!AK113</f>
        <v>0</v>
      </c>
      <c r="AI38" s="3143">
        <f>'Table 5'!AL113</f>
        <v>0</v>
      </c>
      <c r="AJ38" s="940">
        <f>'Table 5'!AM113</f>
        <v>0</v>
      </c>
      <c r="AK38" s="300" t="s">
        <v>16</v>
      </c>
      <c r="AL38" s="1081">
        <f>'Table 5'!AP113</f>
        <v>0</v>
      </c>
      <c r="AM38" s="299">
        <f>'Table 5'!AQ113</f>
        <v>0</v>
      </c>
      <c r="AN38" s="3153">
        <f>'Table 5'!AR113</f>
        <v>0</v>
      </c>
      <c r="AO38" s="3160">
        <f>'Table 5'!AS113</f>
        <v>0</v>
      </c>
      <c r="AQ38" s="1076">
        <f t="shared" ref="AQ38:AQ43" si="71">I38-C38</f>
        <v>91</v>
      </c>
      <c r="AR38" s="239">
        <f t="shared" ref="AR38:AR43" si="72">AQ38/C38</f>
        <v>0.16</v>
      </c>
      <c r="AS38" s="1065">
        <f t="shared" ref="AS38:AS43" si="73">AI38-L38</f>
        <v>0</v>
      </c>
    </row>
    <row r="39" spans="1:47">
      <c r="A39" s="455" t="s">
        <v>48</v>
      </c>
      <c r="B39" s="1075" t="s">
        <v>17</v>
      </c>
      <c r="C39" s="1076">
        <f>'Table 5'!D115</f>
        <v>1188</v>
      </c>
      <c r="D39" s="1063">
        <f>'Table 5'!E115</f>
        <v>1208</v>
      </c>
      <c r="E39" s="1038">
        <f>'Table 5'!F115</f>
        <v>1208</v>
      </c>
      <c r="F39" s="1038">
        <f>'Table 5'!G115</f>
        <v>1208</v>
      </c>
      <c r="G39" s="1038">
        <f>'Table 5'!H115</f>
        <v>1208</v>
      </c>
      <c r="H39" s="1038">
        <f>'Table 5'!I115</f>
        <v>1208</v>
      </c>
      <c r="I39" s="1013">
        <f>'Table 5'!J115</f>
        <v>1214</v>
      </c>
      <c r="J39" s="1001">
        <f>'Table 5'!M115</f>
        <v>0.15</v>
      </c>
      <c r="K39" s="1077">
        <f>'Table 5'!N115</f>
        <v>0</v>
      </c>
      <c r="L39" s="515">
        <f>'Table 5'!O115</f>
        <v>0.15</v>
      </c>
      <c r="M39" s="1001">
        <f>'Table 5'!P115</f>
        <v>0.16</v>
      </c>
      <c r="N39" s="451">
        <f>'Table 5'!Q115</f>
        <v>0</v>
      </c>
      <c r="O39" s="515">
        <f>'Table 5'!R115</f>
        <v>0.16</v>
      </c>
      <c r="P39" s="1078">
        <f>'Table 5'!S115</f>
        <v>0</v>
      </c>
      <c r="Q39" s="1054">
        <f>'Table 5'!T115</f>
        <v>0.16</v>
      </c>
      <c r="R39" s="1077">
        <f>'Table 5'!U115</f>
        <v>0</v>
      </c>
      <c r="S39" s="515">
        <f>'Table 5'!V115</f>
        <v>0.16</v>
      </c>
      <c r="T39" s="1847">
        <f>'Table 5'!W115</f>
        <v>0</v>
      </c>
      <c r="U39" s="1001">
        <f>'Table 5'!X115</f>
        <v>0.16</v>
      </c>
      <c r="V39" s="451">
        <f>'Table 5'!Y115</f>
        <v>0</v>
      </c>
      <c r="W39" s="515">
        <f>'Table 5'!Z115</f>
        <v>0.16</v>
      </c>
      <c r="X39" s="1847">
        <f>'Table 5'!AA115</f>
        <v>0</v>
      </c>
      <c r="Y39" s="827">
        <f>'Table 5'!AB115</f>
        <v>0.16</v>
      </c>
      <c r="Z39" s="916">
        <f>'Table 5'!AC115</f>
        <v>0</v>
      </c>
      <c r="AA39" s="3143">
        <f>'Table 5'!AD115</f>
        <v>0.16</v>
      </c>
      <c r="AB39" s="910">
        <f>'Table 5'!AE115</f>
        <v>0</v>
      </c>
      <c r="AC39" s="827">
        <f>'Table 5'!AF115</f>
        <v>0.16</v>
      </c>
      <c r="AD39" s="452">
        <f>'Table 5'!AG115</f>
        <v>0</v>
      </c>
      <c r="AE39" s="3143">
        <f>'Table 5'!AH115</f>
        <v>0.16</v>
      </c>
      <c r="AF39" s="3172">
        <f>'Table 5'!AI115</f>
        <v>0</v>
      </c>
      <c r="AG39" s="1591">
        <f>'Table 5'!AJ115</f>
        <v>0.16</v>
      </c>
      <c r="AH39" s="560">
        <f>'Table 5'!AK115</f>
        <v>0</v>
      </c>
      <c r="AI39" s="3143">
        <f>'Table 5'!AL115</f>
        <v>0.16</v>
      </c>
      <c r="AJ39" s="940">
        <f>'Table 5'!AM115</f>
        <v>0</v>
      </c>
      <c r="AK39" s="301">
        <f t="shared" si="70"/>
        <v>7.0000000000000007E-2</v>
      </c>
      <c r="AL39" s="1081">
        <f>'Table 5'!AP115</f>
        <v>0.17</v>
      </c>
      <c r="AM39" s="299">
        <f>'Table 5'!AQ115</f>
        <v>0</v>
      </c>
      <c r="AN39" s="3153">
        <f>'Table 5'!AR115</f>
        <v>0.17</v>
      </c>
      <c r="AO39" s="3160">
        <f>'Table 5'!AS115</f>
        <v>0</v>
      </c>
      <c r="AQ39" s="1076">
        <f t="shared" si="71"/>
        <v>26</v>
      </c>
      <c r="AR39" s="239">
        <f t="shared" si="72"/>
        <v>0.02</v>
      </c>
      <c r="AS39" s="1065">
        <f t="shared" si="73"/>
        <v>0.01</v>
      </c>
    </row>
    <row r="40" spans="1:47" s="22" customFormat="1">
      <c r="A40" s="443" t="s">
        <v>49</v>
      </c>
      <c r="B40" s="507" t="s">
        <v>17</v>
      </c>
      <c r="C40" s="741">
        <f>'Table 5'!D120</f>
        <v>5674</v>
      </c>
      <c r="D40" s="93">
        <f>'Table 5'!E120</f>
        <v>5931</v>
      </c>
      <c r="E40" s="94">
        <f>'Table 5'!F120</f>
        <v>6016</v>
      </c>
      <c r="F40" s="94">
        <f>'Table 5'!G120</f>
        <v>6103</v>
      </c>
      <c r="G40" s="94">
        <f>'Table 5'!H120</f>
        <v>6146</v>
      </c>
      <c r="H40" s="94">
        <f>'Table 5'!I120</f>
        <v>6200</v>
      </c>
      <c r="I40" s="1012">
        <f>'Table 5'!J120</f>
        <v>6265</v>
      </c>
      <c r="J40" s="1001">
        <f>'Table 5'!M120</f>
        <v>0.68</v>
      </c>
      <c r="K40" s="1077">
        <f>'Table 5'!N120</f>
        <v>0</v>
      </c>
      <c r="L40" s="515">
        <f>'Table 5'!O120</f>
        <v>0.68</v>
      </c>
      <c r="M40" s="1001">
        <f>'Table 5'!P120</f>
        <v>0.61</v>
      </c>
      <c r="N40" s="451">
        <f>'Table 5'!Q120</f>
        <v>0</v>
      </c>
      <c r="O40" s="515">
        <f>'Table 5'!R120</f>
        <v>0.61</v>
      </c>
      <c r="P40" s="1078">
        <f>'Table 5'!S120</f>
        <v>0</v>
      </c>
      <c r="Q40" s="1054">
        <f>'Table 5'!T120</f>
        <v>0.62</v>
      </c>
      <c r="R40" s="1077">
        <f>'Table 5'!U120</f>
        <v>0</v>
      </c>
      <c r="S40" s="515">
        <f>'Table 5'!V120</f>
        <v>0.62</v>
      </c>
      <c r="T40" s="1847">
        <f>'Table 5'!W120</f>
        <v>0</v>
      </c>
      <c r="U40" s="1001">
        <f>'Table 5'!X120</f>
        <v>0.64</v>
      </c>
      <c r="V40" s="451">
        <f>'Table 5'!Y120</f>
        <v>0</v>
      </c>
      <c r="W40" s="515">
        <f>'Table 5'!Z120</f>
        <v>0.64</v>
      </c>
      <c r="X40" s="1847">
        <f>'Table 5'!AA120</f>
        <v>0</v>
      </c>
      <c r="Y40" s="827">
        <f>'Table 5'!AB120</f>
        <v>0.64</v>
      </c>
      <c r="Z40" s="916">
        <f>'Table 5'!AC120</f>
        <v>0</v>
      </c>
      <c r="AA40" s="3143">
        <f>'Table 5'!AD120</f>
        <v>0.64</v>
      </c>
      <c r="AB40" s="910">
        <f>'Table 5'!AE120</f>
        <v>0</v>
      </c>
      <c r="AC40" s="827">
        <f>'Table 5'!AF120</f>
        <v>0.65</v>
      </c>
      <c r="AD40" s="452">
        <f>'Table 5'!AG120</f>
        <v>0</v>
      </c>
      <c r="AE40" s="3143">
        <f>'Table 5'!AH120</f>
        <v>0.65</v>
      </c>
      <c r="AF40" s="3172">
        <f>'Table 5'!AI120</f>
        <v>0</v>
      </c>
      <c r="AG40" s="1591">
        <f>'Table 5'!AJ120</f>
        <v>0.66</v>
      </c>
      <c r="AH40" s="560">
        <f>'Table 5'!AK120</f>
        <v>0</v>
      </c>
      <c r="AI40" s="3143">
        <f>'Table 5'!AL120</f>
        <v>0.66</v>
      </c>
      <c r="AJ40" s="450">
        <f>'Table 5'!AM120</f>
        <v>0</v>
      </c>
      <c r="AK40" s="239">
        <f t="shared" si="70"/>
        <v>-0.03</v>
      </c>
      <c r="AL40" s="1074">
        <f>'Table 5'!AP120</f>
        <v>0.7</v>
      </c>
      <c r="AM40" s="90">
        <f>'Table 5'!AQ120</f>
        <v>0</v>
      </c>
      <c r="AN40" s="3148">
        <f>'Table 5'!AR120</f>
        <v>0.7</v>
      </c>
      <c r="AO40" s="59">
        <f>'Table 5'!AS120</f>
        <v>0</v>
      </c>
      <c r="AQ40" s="1076">
        <f t="shared" si="71"/>
        <v>591</v>
      </c>
      <c r="AR40" s="239">
        <f t="shared" si="72"/>
        <v>0.1</v>
      </c>
      <c r="AS40" s="1065">
        <f t="shared" si="73"/>
        <v>-0.02</v>
      </c>
    </row>
    <row r="41" spans="1:47" s="22" customFormat="1">
      <c r="A41" s="455" t="s">
        <v>50</v>
      </c>
      <c r="B41" s="508" t="s">
        <v>17</v>
      </c>
      <c r="C41" s="741">
        <f>'Table 5'!D125</f>
        <v>5504</v>
      </c>
      <c r="D41" s="93">
        <f>'Table 5'!E125</f>
        <v>5763</v>
      </c>
      <c r="E41" s="94">
        <f>'Table 5'!F125</f>
        <v>5832</v>
      </c>
      <c r="F41" s="94">
        <f>'Table 5'!G125</f>
        <v>5886</v>
      </c>
      <c r="G41" s="94">
        <f>'Table 5'!H125</f>
        <v>5907</v>
      </c>
      <c r="H41" s="94">
        <f>'Table 5'!I125</f>
        <v>5958</v>
      </c>
      <c r="I41" s="1012">
        <f>'Table 5'!J125</f>
        <v>6006</v>
      </c>
      <c r="J41" s="110">
        <f>'Table 5'!M125</f>
        <v>1.1399999999999999</v>
      </c>
      <c r="K41" s="1077">
        <f>'Table 5'!N125</f>
        <v>0</v>
      </c>
      <c r="L41" s="515">
        <f>'Table 5'!O125</f>
        <v>1.1399999999999999</v>
      </c>
      <c r="M41" s="1001">
        <f>'Table 5'!P125</f>
        <v>1.27</v>
      </c>
      <c r="N41" s="451">
        <f>'Table 5'!Q125</f>
        <v>0</v>
      </c>
      <c r="O41" s="515">
        <f>'Table 5'!R125</f>
        <v>1.27</v>
      </c>
      <c r="P41" s="1078">
        <f>'Table 5'!S125</f>
        <v>0</v>
      </c>
      <c r="Q41" s="1054">
        <f>'Table 5'!T125</f>
        <v>1.29</v>
      </c>
      <c r="R41" s="1077">
        <f>'Table 5'!U125</f>
        <v>0</v>
      </c>
      <c r="S41" s="515">
        <f>'Table 5'!V125</f>
        <v>1.29</v>
      </c>
      <c r="T41" s="1847">
        <f>'Table 5'!W125</f>
        <v>0</v>
      </c>
      <c r="U41" s="1001">
        <f>'Table 5'!X125</f>
        <v>1.31</v>
      </c>
      <c r="V41" s="451">
        <f>'Table 5'!Y125</f>
        <v>0</v>
      </c>
      <c r="W41" s="515">
        <f>'Table 5'!Z125</f>
        <v>1.31</v>
      </c>
      <c r="X41" s="1847">
        <f>'Table 5'!AA125</f>
        <v>0</v>
      </c>
      <c r="Y41" s="827">
        <f>'Table 5'!AB125</f>
        <v>1.31</v>
      </c>
      <c r="Z41" s="916">
        <f>'Table 5'!AC125</f>
        <v>0</v>
      </c>
      <c r="AA41" s="3143">
        <f>'Table 5'!AD125</f>
        <v>1.31</v>
      </c>
      <c r="AB41" s="910">
        <f>'Table 5'!AE125</f>
        <v>0</v>
      </c>
      <c r="AC41" s="827">
        <f>'Table 5'!AF125</f>
        <v>1.32</v>
      </c>
      <c r="AD41" s="452">
        <f>'Table 5'!AG125</f>
        <v>0</v>
      </c>
      <c r="AE41" s="3143">
        <f>'Table 5'!AH125</f>
        <v>1.32</v>
      </c>
      <c r="AF41" s="3172">
        <f>'Table 5'!AI125</f>
        <v>0</v>
      </c>
      <c r="AG41" s="1591">
        <f>'Table 5'!AJ125</f>
        <v>1.33</v>
      </c>
      <c r="AH41" s="560">
        <f>'Table 5'!AK125</f>
        <v>0</v>
      </c>
      <c r="AI41" s="3143">
        <f>'Table 5'!AL125</f>
        <v>1.33</v>
      </c>
      <c r="AJ41" s="940">
        <f>'Table 5'!AM125</f>
        <v>0</v>
      </c>
      <c r="AK41" s="301">
        <f t="shared" si="70"/>
        <v>0.17</v>
      </c>
      <c r="AL41" s="1081">
        <f>'Table 5'!AP125</f>
        <v>1.41</v>
      </c>
      <c r="AM41" s="299">
        <f>'Table 5'!AQ125</f>
        <v>0</v>
      </c>
      <c r="AN41" s="3153">
        <f>'Table 5'!AR125</f>
        <v>1.41</v>
      </c>
      <c r="AO41" s="3157">
        <f>'Table 5'!AS125</f>
        <v>0</v>
      </c>
      <c r="AQ41" s="1076">
        <f t="shared" si="71"/>
        <v>502</v>
      </c>
      <c r="AR41" s="239">
        <f t="shared" si="72"/>
        <v>0.09</v>
      </c>
      <c r="AS41" s="1065">
        <f t="shared" si="73"/>
        <v>0.19</v>
      </c>
    </row>
    <row r="42" spans="1:47" ht="13.5" thickBot="1">
      <c r="A42" s="579" t="s">
        <v>51</v>
      </c>
      <c r="B42" s="1079" t="s">
        <v>17</v>
      </c>
      <c r="C42" s="1849">
        <f>'Table 5'!D129</f>
        <v>11191</v>
      </c>
      <c r="D42" s="95">
        <f>'Table 5'!E129</f>
        <v>11661</v>
      </c>
      <c r="E42" s="742">
        <f>'Table 5'!F129</f>
        <v>12269</v>
      </c>
      <c r="F42" s="742">
        <f>'Table 5'!G129</f>
        <v>12696</v>
      </c>
      <c r="G42" s="742">
        <f>'Table 5'!H129</f>
        <v>13126</v>
      </c>
      <c r="H42" s="742">
        <f>'Table 5'!I129</f>
        <v>13465</v>
      </c>
      <c r="I42" s="1060">
        <f>'Table 5'!J129</f>
        <v>13831</v>
      </c>
      <c r="J42" s="124">
        <f>'Table 5'!M129</f>
        <v>1.74</v>
      </c>
      <c r="K42" s="528">
        <f>'Table 5'!N129</f>
        <v>0</v>
      </c>
      <c r="L42" s="516">
        <f>'Table 5'!O129</f>
        <v>1.74</v>
      </c>
      <c r="M42" s="124">
        <f>'Table 5'!P129</f>
        <v>1.87</v>
      </c>
      <c r="N42" s="1057">
        <f>'Table 5'!Q129</f>
        <v>0</v>
      </c>
      <c r="O42" s="516">
        <f>'Table 5'!R129</f>
        <v>1.87</v>
      </c>
      <c r="P42" s="1058">
        <f>'Table 5'!S129</f>
        <v>0</v>
      </c>
      <c r="Q42" s="1056">
        <f>'Table 5'!T129</f>
        <v>1.93</v>
      </c>
      <c r="R42" s="528">
        <f>'Table 5'!U129</f>
        <v>0</v>
      </c>
      <c r="S42" s="516">
        <f>'Table 5'!V129</f>
        <v>1.93</v>
      </c>
      <c r="T42" s="1385">
        <f>'Table 5'!W129</f>
        <v>0</v>
      </c>
      <c r="U42" s="124">
        <f>'Table 5'!X129</f>
        <v>1.97</v>
      </c>
      <c r="V42" s="1057">
        <f>'Table 5'!Y129</f>
        <v>0</v>
      </c>
      <c r="W42" s="516">
        <f>'Table 5'!Z129</f>
        <v>1.97</v>
      </c>
      <c r="X42" s="1385">
        <f>'Table 5'!AA129</f>
        <v>0</v>
      </c>
      <c r="Y42" s="467">
        <f>'Table 5'!AB129</f>
        <v>2</v>
      </c>
      <c r="Z42" s="531">
        <f>'Table 5'!AC129</f>
        <v>0</v>
      </c>
      <c r="AA42" s="3137">
        <f>'Table 5'!AD129</f>
        <v>2</v>
      </c>
      <c r="AB42" s="3129">
        <f>'Table 5'!AE129</f>
        <v>0</v>
      </c>
      <c r="AC42" s="467">
        <f>'Table 5'!AF129</f>
        <v>2.0299999999999998</v>
      </c>
      <c r="AD42" s="532">
        <f>'Table 5'!AG129</f>
        <v>0</v>
      </c>
      <c r="AE42" s="3137">
        <f>'Table 5'!AH129</f>
        <v>2.0299999999999998</v>
      </c>
      <c r="AF42" s="3165">
        <f>'Table 5'!AI129</f>
        <v>0</v>
      </c>
      <c r="AG42" s="1603">
        <f>'Table 5'!AJ129</f>
        <v>2.06</v>
      </c>
      <c r="AH42" s="562">
        <f>'Table 5'!AK129</f>
        <v>0</v>
      </c>
      <c r="AI42" s="3137">
        <f>'Table 5'!AL129</f>
        <v>2.06</v>
      </c>
      <c r="AJ42" s="943">
        <f>'Table 5'!AM129</f>
        <v>0</v>
      </c>
      <c r="AK42" s="234">
        <f t="shared" si="70"/>
        <v>0.18</v>
      </c>
      <c r="AL42" s="1080">
        <f>'Table 5'!AP129</f>
        <v>2.1800000000000002</v>
      </c>
      <c r="AM42" s="1022">
        <f>'Table 5'!AQ129</f>
        <v>0</v>
      </c>
      <c r="AN42" s="3149">
        <f>'Table 5'!AR129</f>
        <v>2.1800000000000002</v>
      </c>
      <c r="AO42" s="3157">
        <f>'Table 5'!AS129</f>
        <v>0</v>
      </c>
      <c r="AQ42" s="1849">
        <f t="shared" si="71"/>
        <v>2640</v>
      </c>
      <c r="AR42" s="234">
        <f t="shared" si="72"/>
        <v>0.24</v>
      </c>
      <c r="AS42" s="1066">
        <f t="shared" si="73"/>
        <v>0.32</v>
      </c>
    </row>
    <row r="43" spans="1:47" ht="27.75" customHeight="1" thickTop="1" thickBot="1">
      <c r="A43" s="3253" t="s">
        <v>52</v>
      </c>
      <c r="B43" s="3254"/>
      <c r="C43" s="739">
        <f>SUM(C37:C42)</f>
        <v>26601</v>
      </c>
      <c r="D43" s="283">
        <f t="shared" ref="D43:J43" si="74">SUM(D37:D42)</f>
        <v>28121</v>
      </c>
      <c r="E43" s="274">
        <f t="shared" si="74"/>
        <v>29020</v>
      </c>
      <c r="F43" s="274">
        <f t="shared" si="74"/>
        <v>29660</v>
      </c>
      <c r="G43" s="274">
        <f t="shared" si="74"/>
        <v>30177</v>
      </c>
      <c r="H43" s="274">
        <f t="shared" si="74"/>
        <v>30631</v>
      </c>
      <c r="I43" s="1062">
        <f t="shared" si="74"/>
        <v>31121</v>
      </c>
      <c r="J43" s="98">
        <f t="shared" si="74"/>
        <v>4.3600000000000003</v>
      </c>
      <c r="K43" s="107">
        <f t="shared" ref="K43" si="75">SUM(K37:K42)</f>
        <v>0</v>
      </c>
      <c r="L43" s="468">
        <f t="shared" ref="L43" si="76">SUM(L37:L42)</f>
        <v>4.3600000000000003</v>
      </c>
      <c r="M43" s="98">
        <f t="shared" ref="M43" si="77">SUM(M37:M42)</f>
        <v>4.71</v>
      </c>
      <c r="N43" s="128">
        <f t="shared" ref="N43" si="78">SUM(N37:N42)</f>
        <v>0</v>
      </c>
      <c r="O43" s="468">
        <f t="shared" ref="O43:P43" si="79">SUM(O37:O42)</f>
        <v>4.71</v>
      </c>
      <c r="P43" s="469">
        <f t="shared" si="79"/>
        <v>0</v>
      </c>
      <c r="Q43" s="119">
        <f t="shared" ref="Q43" si="80">SUM(Q37:Q42)</f>
        <v>4.84</v>
      </c>
      <c r="R43" s="107">
        <f t="shared" ref="R43" si="81">SUM(R37:R42)</f>
        <v>0</v>
      </c>
      <c r="S43" s="468">
        <f t="shared" ref="S43:T43" si="82">SUM(S37:S42)</f>
        <v>4.84</v>
      </c>
      <c r="T43" s="119">
        <f t="shared" si="82"/>
        <v>0</v>
      </c>
      <c r="U43" s="98">
        <f t="shared" ref="U43" si="83">SUM(U37:U42)</f>
        <v>4.95</v>
      </c>
      <c r="V43" s="128">
        <f t="shared" ref="V43" si="84">SUM(V37:V42)</f>
        <v>0</v>
      </c>
      <c r="W43" s="468">
        <f t="shared" ref="W43:X43" si="85">SUM(W37:W42)</f>
        <v>4.95</v>
      </c>
      <c r="X43" s="119">
        <f t="shared" si="85"/>
        <v>0</v>
      </c>
      <c r="Y43" s="470">
        <f t="shared" ref="Y43" si="86">SUM(Y37:Y42)</f>
        <v>4.9800000000000004</v>
      </c>
      <c r="Z43" s="471">
        <f t="shared" ref="Z43" si="87">SUM(Z37:Z42)</f>
        <v>0</v>
      </c>
      <c r="AA43" s="3140">
        <f t="shared" ref="AA43:AB43" si="88">SUM(AA37:AA42)</f>
        <v>4.9800000000000004</v>
      </c>
      <c r="AB43" s="679">
        <f t="shared" si="88"/>
        <v>0</v>
      </c>
      <c r="AC43" s="470">
        <f t="shared" ref="AC43" si="89">SUM(AC37:AC42)</f>
        <v>5.03</v>
      </c>
      <c r="AD43" s="473">
        <f t="shared" ref="AD43" si="90">SUM(AD37:AD42)</f>
        <v>0</v>
      </c>
      <c r="AE43" s="3140">
        <f t="shared" ref="AE43:AF43" si="91">SUM(AE37:AE42)</f>
        <v>5.03</v>
      </c>
      <c r="AF43" s="3167">
        <f t="shared" si="91"/>
        <v>0</v>
      </c>
      <c r="AG43" s="679">
        <f t="shared" ref="AG43" si="92">SUM(AG37:AG42)</f>
        <v>5.08</v>
      </c>
      <c r="AH43" s="555">
        <f t="shared" ref="AH43" si="93">SUM(AH37:AH42)</f>
        <v>0</v>
      </c>
      <c r="AI43" s="3140">
        <f t="shared" ref="AI43:AJ43" si="94">SUM(AI37:AI42)</f>
        <v>5.08</v>
      </c>
      <c r="AJ43" s="474">
        <f t="shared" si="94"/>
        <v>0</v>
      </c>
      <c r="AK43" s="252">
        <f t="shared" si="70"/>
        <v>0.17</v>
      </c>
      <c r="AL43" s="1082">
        <f t="shared" ref="AL43" si="95">SUM(AL37:AL42)</f>
        <v>5.38</v>
      </c>
      <c r="AM43" s="108">
        <f t="shared" ref="AM43" si="96">SUM(AM37:AM42)</f>
        <v>0</v>
      </c>
      <c r="AN43" s="3152">
        <f t="shared" ref="AN43" si="97">SUM(AN37:AN42)</f>
        <v>5.33</v>
      </c>
      <c r="AO43" s="3175">
        <f t="shared" ref="AO43" si="98">SUM(AO37:AO42)</f>
        <v>0</v>
      </c>
      <c r="AQ43" s="739">
        <f t="shared" si="71"/>
        <v>4520</v>
      </c>
      <c r="AR43" s="252">
        <f t="shared" si="72"/>
        <v>0.17</v>
      </c>
      <c r="AS43" s="474">
        <f t="shared" si="73"/>
        <v>0.72</v>
      </c>
    </row>
    <row r="44" spans="1:47">
      <c r="A44" s="89" t="s">
        <v>35</v>
      </c>
    </row>
    <row r="45" spans="1:47">
      <c r="A45" s="1" t="s">
        <v>68</v>
      </c>
    </row>
    <row r="46" spans="1:47">
      <c r="A46" s="1" t="s">
        <v>69</v>
      </c>
    </row>
    <row r="47" spans="1:47">
      <c r="A47" s="1" t="s">
        <v>82</v>
      </c>
    </row>
    <row r="48" spans="1:47">
      <c r="H48" s="1" t="s">
        <v>36</v>
      </c>
    </row>
  </sheetData>
  <mergeCells count="42">
    <mergeCell ref="AL34:AO34"/>
    <mergeCell ref="AL35:AO35"/>
    <mergeCell ref="M34:AJ34"/>
    <mergeCell ref="M35:P35"/>
    <mergeCell ref="Q35:T35"/>
    <mergeCell ref="U35:X35"/>
    <mergeCell ref="Y35:AB35"/>
    <mergeCell ref="AC35:AF35"/>
    <mergeCell ref="AG35:AJ35"/>
    <mergeCell ref="AL2:AO2"/>
    <mergeCell ref="AL3:AO3"/>
    <mergeCell ref="AG3:AJ3"/>
    <mergeCell ref="AC3:AF3"/>
    <mergeCell ref="Y3:AB3"/>
    <mergeCell ref="AQ2:AQ4"/>
    <mergeCell ref="AR2:AR4"/>
    <mergeCell ref="AS2:AS4"/>
    <mergeCell ref="AQ34:AQ36"/>
    <mergeCell ref="AR34:AR36"/>
    <mergeCell ref="AS34:AS36"/>
    <mergeCell ref="A43:B43"/>
    <mergeCell ref="AK34:AK36"/>
    <mergeCell ref="J35:L35"/>
    <mergeCell ref="A34:A36"/>
    <mergeCell ref="B34:B36"/>
    <mergeCell ref="C34:C35"/>
    <mergeCell ref="D34:I35"/>
    <mergeCell ref="J34:L34"/>
    <mergeCell ref="C2:C3"/>
    <mergeCell ref="A25:B25"/>
    <mergeCell ref="A26:B26"/>
    <mergeCell ref="A27:B27"/>
    <mergeCell ref="B2:B4"/>
    <mergeCell ref="A2:A4"/>
    <mergeCell ref="D2:I3"/>
    <mergeCell ref="AK2:AK4"/>
    <mergeCell ref="J2:L2"/>
    <mergeCell ref="J3:L3"/>
    <mergeCell ref="M2:AJ2"/>
    <mergeCell ref="U3:X3"/>
    <mergeCell ref="Q3:T3"/>
    <mergeCell ref="M3:P3"/>
  </mergeCells>
  <pageMargins left="0.7" right="0.7" top="0.75" bottom="0.75" header="0.3" footer="0.3"/>
  <pageSetup paperSize="3"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39"/>
  <sheetViews>
    <sheetView workbookViewId="0">
      <pane xSplit="2" ySplit="4" topLeftCell="C5" activePane="bottomRight" state="frozen"/>
      <selection pane="bottomRight" activeCell="T81" sqref="T81"/>
      <selection pane="bottomLeft" activeCell="A5" sqref="A5"/>
      <selection pane="topRight" activeCell="C1" sqref="C1"/>
    </sheetView>
  </sheetViews>
  <sheetFormatPr defaultColWidth="9.140625" defaultRowHeight="12.75"/>
  <cols>
    <col min="1" max="1" width="13.28515625" style="2" customWidth="1"/>
    <col min="2" max="2" width="47.28515625" style="2" customWidth="1"/>
    <col min="3" max="3" width="26" style="2" customWidth="1"/>
    <col min="4" max="4" width="10.5703125" style="256" customWidth="1"/>
    <col min="5" max="10" width="10.42578125" style="2" customWidth="1"/>
    <col min="11" max="11" width="10.42578125" style="1" customWidth="1"/>
    <col min="12" max="12" width="10.5703125" style="1" customWidth="1"/>
    <col min="13" max="14" width="9.140625" style="1"/>
    <col min="15" max="15" width="9.140625" style="1" customWidth="1"/>
    <col min="16" max="39" width="9.140625" style="1"/>
    <col min="40" max="40" width="10.85546875" style="1" customWidth="1"/>
    <col min="41" max="41" width="10.140625" style="1" customWidth="1"/>
    <col min="42" max="45" width="9.140625" style="1" customWidth="1"/>
    <col min="46" max="46" width="11.85546875" style="1" hidden="1" customWidth="1"/>
    <col min="47" max="47" width="11.140625" style="1" hidden="1" customWidth="1"/>
    <col min="48" max="48" width="15.28515625" style="1" hidden="1" customWidth="1"/>
    <col min="49" max="16384" width="9.140625" style="1"/>
  </cols>
  <sheetData>
    <row r="1" spans="1:48" ht="13.5" thickBot="1">
      <c r="A1" s="297" t="s">
        <v>84</v>
      </c>
      <c r="B1" s="2049"/>
      <c r="C1" s="2049"/>
      <c r="D1" s="2050"/>
      <c r="E1" s="67"/>
      <c r="F1" s="67"/>
      <c r="G1" s="67"/>
      <c r="H1" s="67"/>
      <c r="I1" s="67"/>
      <c r="J1" s="67"/>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row>
    <row r="2" spans="1:48" ht="15.75" customHeight="1" thickBot="1">
      <c r="A2" s="3233" t="s">
        <v>85</v>
      </c>
      <c r="B2" s="3294" t="s">
        <v>86</v>
      </c>
      <c r="C2" s="3290" t="s">
        <v>87</v>
      </c>
      <c r="D2" s="3268" t="s">
        <v>76</v>
      </c>
      <c r="E2" s="3312" t="s">
        <v>88</v>
      </c>
      <c r="F2" s="3313"/>
      <c r="G2" s="3313"/>
      <c r="H2" s="3313"/>
      <c r="I2" s="3313"/>
      <c r="J2" s="3314"/>
      <c r="K2" s="3318" t="s">
        <v>89</v>
      </c>
      <c r="L2" s="3300" t="s">
        <v>57</v>
      </c>
      <c r="M2" s="3286" t="s">
        <v>55</v>
      </c>
      <c r="N2" s="3287"/>
      <c r="O2" s="3288"/>
      <c r="P2" s="3286" t="s">
        <v>56</v>
      </c>
      <c r="Q2" s="3287"/>
      <c r="R2" s="3287"/>
      <c r="S2" s="3287"/>
      <c r="T2" s="3287"/>
      <c r="U2" s="3287"/>
      <c r="V2" s="3287"/>
      <c r="W2" s="3287"/>
      <c r="X2" s="3287"/>
      <c r="Y2" s="3287"/>
      <c r="Z2" s="3287"/>
      <c r="AA2" s="3287"/>
      <c r="AB2" s="3287"/>
      <c r="AC2" s="3287"/>
      <c r="AD2" s="3287"/>
      <c r="AE2" s="3287"/>
      <c r="AF2" s="3287"/>
      <c r="AG2" s="3287"/>
      <c r="AH2" s="3287"/>
      <c r="AI2" s="3287"/>
      <c r="AJ2" s="3287"/>
      <c r="AK2" s="3287"/>
      <c r="AL2" s="3287"/>
      <c r="AM2" s="3288"/>
      <c r="AN2" s="3300" t="s">
        <v>57</v>
      </c>
      <c r="AO2" s="3266" t="s">
        <v>90</v>
      </c>
      <c r="AP2" s="3261" t="s">
        <v>58</v>
      </c>
      <c r="AQ2" s="3262"/>
      <c r="AR2" s="3262"/>
      <c r="AS2" s="3263"/>
      <c r="AT2" s="3119"/>
      <c r="AU2" s="3300" t="s">
        <v>78</v>
      </c>
      <c r="AV2" s="3300" t="s">
        <v>91</v>
      </c>
    </row>
    <row r="3" spans="1:48" ht="15.75" customHeight="1" thickBot="1">
      <c r="A3" s="3234"/>
      <c r="B3" s="3306"/>
      <c r="C3" s="3291"/>
      <c r="D3" s="3320"/>
      <c r="E3" s="3315"/>
      <c r="F3" s="3316"/>
      <c r="G3" s="3316"/>
      <c r="H3" s="3316"/>
      <c r="I3" s="3316"/>
      <c r="J3" s="3317"/>
      <c r="K3" s="3319"/>
      <c r="L3" s="3301"/>
      <c r="M3" s="3281">
        <v>2015</v>
      </c>
      <c r="N3" s="3281"/>
      <c r="O3" s="3282"/>
      <c r="P3" s="3305">
        <v>2020</v>
      </c>
      <c r="Q3" s="3281"/>
      <c r="R3" s="3281"/>
      <c r="S3" s="3282"/>
      <c r="T3" s="3305">
        <v>2025</v>
      </c>
      <c r="U3" s="3281"/>
      <c r="V3" s="3281"/>
      <c r="W3" s="3282"/>
      <c r="X3" s="3305">
        <v>2030</v>
      </c>
      <c r="Y3" s="3281"/>
      <c r="Z3" s="3281"/>
      <c r="AA3" s="3282"/>
      <c r="AB3" s="3305">
        <v>2035</v>
      </c>
      <c r="AC3" s="3281"/>
      <c r="AD3" s="3281"/>
      <c r="AE3" s="3282"/>
      <c r="AF3" s="3305">
        <v>2040</v>
      </c>
      <c r="AG3" s="3281"/>
      <c r="AH3" s="3281"/>
      <c r="AI3" s="3282"/>
      <c r="AJ3" s="3305">
        <v>2045</v>
      </c>
      <c r="AK3" s="3281"/>
      <c r="AL3" s="3281"/>
      <c r="AM3" s="3282"/>
      <c r="AN3" s="3301"/>
      <c r="AO3" s="3279"/>
      <c r="AP3" s="3305">
        <v>2045</v>
      </c>
      <c r="AQ3" s="3281"/>
      <c r="AR3" s="3281"/>
      <c r="AS3" s="3282"/>
      <c r="AT3" s="3119"/>
      <c r="AU3" s="3301"/>
      <c r="AV3" s="3301"/>
    </row>
    <row r="4" spans="1:48" ht="15.75" customHeight="1" thickBot="1">
      <c r="A4" s="3235"/>
      <c r="B4" s="3296"/>
      <c r="C4" s="3292"/>
      <c r="D4" s="1023">
        <v>2015</v>
      </c>
      <c r="E4" s="3030">
        <v>2020</v>
      </c>
      <c r="F4" s="3031">
        <v>2025</v>
      </c>
      <c r="G4" s="3031">
        <v>2030</v>
      </c>
      <c r="H4" s="3031">
        <v>2035</v>
      </c>
      <c r="I4" s="3045">
        <v>2040</v>
      </c>
      <c r="J4" s="3032">
        <v>2045</v>
      </c>
      <c r="K4" s="3299"/>
      <c r="L4" s="3302"/>
      <c r="M4" s="1680" t="s">
        <v>92</v>
      </c>
      <c r="N4" s="1128" t="s">
        <v>93</v>
      </c>
      <c r="O4" s="1681" t="s">
        <v>18</v>
      </c>
      <c r="P4" s="1127" t="s">
        <v>92</v>
      </c>
      <c r="Q4" s="1131" t="s">
        <v>93</v>
      </c>
      <c r="R4" s="3070" t="s">
        <v>18</v>
      </c>
      <c r="S4" s="1680" t="s">
        <v>81</v>
      </c>
      <c r="T4" s="1130" t="s">
        <v>92</v>
      </c>
      <c r="U4" s="1128" t="s">
        <v>93</v>
      </c>
      <c r="V4" s="3070" t="s">
        <v>18</v>
      </c>
      <c r="W4" s="3088" t="s">
        <v>81</v>
      </c>
      <c r="X4" s="1127" t="s">
        <v>92</v>
      </c>
      <c r="Y4" s="1128" t="s">
        <v>93</v>
      </c>
      <c r="Z4" s="3070" t="s">
        <v>18</v>
      </c>
      <c r="AA4" s="1680" t="s">
        <v>81</v>
      </c>
      <c r="AB4" s="1130" t="s">
        <v>92</v>
      </c>
      <c r="AC4" s="1128" t="s">
        <v>93</v>
      </c>
      <c r="AD4" s="3070" t="s">
        <v>18</v>
      </c>
      <c r="AE4" s="1680" t="s">
        <v>81</v>
      </c>
      <c r="AF4" s="1130" t="s">
        <v>92</v>
      </c>
      <c r="AG4" s="1131" t="s">
        <v>93</v>
      </c>
      <c r="AH4" s="3070" t="s">
        <v>18</v>
      </c>
      <c r="AI4" s="1680" t="s">
        <v>81</v>
      </c>
      <c r="AJ4" s="1130" t="s">
        <v>92</v>
      </c>
      <c r="AK4" s="1131" t="s">
        <v>93</v>
      </c>
      <c r="AL4" s="3070" t="s">
        <v>18</v>
      </c>
      <c r="AM4" s="3043" t="s">
        <v>81</v>
      </c>
      <c r="AN4" s="3302"/>
      <c r="AO4" s="3280"/>
      <c r="AP4" s="1130" t="s">
        <v>92</v>
      </c>
      <c r="AQ4" s="1131" t="s">
        <v>93</v>
      </c>
      <c r="AR4" s="3070" t="s">
        <v>18</v>
      </c>
      <c r="AS4" s="3120" t="s">
        <v>81</v>
      </c>
      <c r="AU4" s="3302"/>
      <c r="AV4" s="3302"/>
    </row>
    <row r="5" spans="1:48">
      <c r="A5" s="3275" t="s">
        <v>94</v>
      </c>
      <c r="B5" s="2052" t="s">
        <v>95</v>
      </c>
      <c r="C5" s="2053">
        <v>1674</v>
      </c>
      <c r="D5" s="2054">
        <f>'Table 5a'!L4</f>
        <v>1508</v>
      </c>
      <c r="E5" s="2055">
        <v>1530</v>
      </c>
      <c r="F5" s="2055">
        <v>1530</v>
      </c>
      <c r="G5" s="2055">
        <v>2136</v>
      </c>
      <c r="H5" s="2055">
        <v>2136</v>
      </c>
      <c r="I5" s="2056">
        <v>2409</v>
      </c>
      <c r="J5" s="2057">
        <v>2426</v>
      </c>
      <c r="K5" s="2058">
        <v>5653</v>
      </c>
      <c r="L5" s="215">
        <f>(J5-D5)/D5</f>
        <v>0.61</v>
      </c>
      <c r="M5" s="2059">
        <f>O5-N5</f>
        <v>0.14000000000000001</v>
      </c>
      <c r="N5" s="2060">
        <v>0</v>
      </c>
      <c r="O5" s="638">
        <f>'Table 5a'!G4</f>
        <v>0.14000000000000001</v>
      </c>
      <c r="P5" s="2061">
        <f>R5-Q5</f>
        <v>0.13</v>
      </c>
      <c r="Q5" s="2062">
        <v>0</v>
      </c>
      <c r="R5" s="3108">
        <f>E5*$AO5/1000000</f>
        <v>0.13</v>
      </c>
      <c r="S5" s="2063">
        <v>0</v>
      </c>
      <c r="T5" s="2064">
        <f>V5-U5</f>
        <v>0.13</v>
      </c>
      <c r="U5" s="2060">
        <v>0</v>
      </c>
      <c r="V5" s="3079">
        <f>F5*$AO5/1000000</f>
        <v>0.13</v>
      </c>
      <c r="W5" s="3089">
        <v>0</v>
      </c>
      <c r="X5" s="2059">
        <f>Z5-Y5</f>
        <v>0.19</v>
      </c>
      <c r="Y5" s="2060">
        <v>0</v>
      </c>
      <c r="Z5" s="3108">
        <f>G5*$AO5/1000000</f>
        <v>0.19</v>
      </c>
      <c r="AA5" s="2063">
        <v>0</v>
      </c>
      <c r="AB5" s="2064">
        <f>AD5-AC5</f>
        <v>0.19</v>
      </c>
      <c r="AC5" s="2060">
        <v>0</v>
      </c>
      <c r="AD5" s="3108">
        <f>H5*$AO5/1000000</f>
        <v>0.19</v>
      </c>
      <c r="AE5" s="2063">
        <v>0</v>
      </c>
      <c r="AF5" s="2064">
        <f>AH5-AG5</f>
        <v>0.21</v>
      </c>
      <c r="AG5" s="2062">
        <v>0</v>
      </c>
      <c r="AH5" s="3108">
        <f>I5*$AO5/1000000</f>
        <v>0.21</v>
      </c>
      <c r="AI5" s="2063">
        <v>0</v>
      </c>
      <c r="AJ5" s="2064">
        <f t="shared" ref="AJ5:AJ9" si="0">AL5-AK5</f>
        <v>0.21</v>
      </c>
      <c r="AK5" s="2062">
        <v>0</v>
      </c>
      <c r="AL5" s="3108">
        <f>J5*AO5/1000000</f>
        <v>0.21</v>
      </c>
      <c r="AM5" s="2067">
        <v>0</v>
      </c>
      <c r="AN5" s="229">
        <f t="shared" ref="AN5:AN28" si="1">(AL5-O5)/O5</f>
        <v>0.5</v>
      </c>
      <c r="AO5" s="2068">
        <f>'Table 5a'!P4</f>
        <v>88</v>
      </c>
      <c r="AP5" s="2064">
        <f>AR5-AQ5</f>
        <v>0.22</v>
      </c>
      <c r="AQ5" s="2062">
        <f>AG5</f>
        <v>0</v>
      </c>
      <c r="AR5" s="3108">
        <f>AL5*1.06</f>
        <v>0.22</v>
      </c>
      <c r="AS5" s="3094">
        <v>0</v>
      </c>
      <c r="AU5" s="741">
        <f>J5-D5</f>
        <v>918</v>
      </c>
      <c r="AV5" s="2069">
        <f>AL5-O5</f>
        <v>7.0000000000000007E-2</v>
      </c>
    </row>
    <row r="6" spans="1:48">
      <c r="A6" s="3275"/>
      <c r="B6" s="1859" t="s">
        <v>96</v>
      </c>
      <c r="C6" s="1952">
        <v>11339</v>
      </c>
      <c r="D6" s="391">
        <f>'Table 5a'!L5</f>
        <v>183762</v>
      </c>
      <c r="E6" s="2055">
        <v>190046</v>
      </c>
      <c r="F6" s="2055">
        <v>194220</v>
      </c>
      <c r="G6" s="2055">
        <v>195296</v>
      </c>
      <c r="H6" s="2055">
        <v>195385</v>
      </c>
      <c r="I6" s="2056">
        <v>195794</v>
      </c>
      <c r="J6" s="2057">
        <v>195930</v>
      </c>
      <c r="K6" s="2070">
        <v>244351</v>
      </c>
      <c r="L6" s="300">
        <f t="shared" ref="L6:L70" si="2">(J6-D6)/D6</f>
        <v>7.0000000000000007E-2</v>
      </c>
      <c r="M6" s="2071">
        <f t="shared" ref="M6:M59" si="3">O6-N6</f>
        <v>20.76</v>
      </c>
      <c r="N6" s="2072">
        <v>0</v>
      </c>
      <c r="O6" s="633">
        <f>'Table 5a'!G5</f>
        <v>20.76</v>
      </c>
      <c r="P6" s="2073">
        <f t="shared" ref="P6:P59" si="4">R6-Q6</f>
        <v>21.67</v>
      </c>
      <c r="Q6" s="2074">
        <v>0</v>
      </c>
      <c r="R6" s="3080">
        <f>E6*$AO6/1000000</f>
        <v>21.67</v>
      </c>
      <c r="S6" s="2010">
        <v>0</v>
      </c>
      <c r="T6" s="2075">
        <f t="shared" ref="T6:T59" si="5">V6-U6</f>
        <v>22.14</v>
      </c>
      <c r="U6" s="2072">
        <v>0</v>
      </c>
      <c r="V6" s="3080">
        <f>F6*$AO6/1000000</f>
        <v>22.14</v>
      </c>
      <c r="W6" s="3090">
        <v>0</v>
      </c>
      <c r="X6" s="2071">
        <f t="shared" ref="X6:X59" si="6">Z6-Y6</f>
        <v>22.26</v>
      </c>
      <c r="Y6" s="2072">
        <v>0</v>
      </c>
      <c r="Z6" s="3080">
        <f>G6*$AO6/1000000</f>
        <v>22.26</v>
      </c>
      <c r="AA6" s="2010">
        <v>0</v>
      </c>
      <c r="AB6" s="2075">
        <f t="shared" ref="AB6:AB59" si="7">AD6-AC6</f>
        <v>22.27</v>
      </c>
      <c r="AC6" s="2072">
        <v>0</v>
      </c>
      <c r="AD6" s="3080">
        <f>H6*$AO6/1000000</f>
        <v>22.27</v>
      </c>
      <c r="AE6" s="2010">
        <v>0</v>
      </c>
      <c r="AF6" s="2075">
        <f t="shared" ref="AF6:AF59" si="8">AH6-AG6</f>
        <v>22.32</v>
      </c>
      <c r="AG6" s="2074">
        <v>0</v>
      </c>
      <c r="AH6" s="3080">
        <f>I6*$AO6/1000000</f>
        <v>22.32</v>
      </c>
      <c r="AI6" s="2010">
        <v>0</v>
      </c>
      <c r="AJ6" s="2075">
        <f t="shared" si="0"/>
        <v>22.34</v>
      </c>
      <c r="AK6" s="2074">
        <v>0</v>
      </c>
      <c r="AL6" s="3080">
        <f>J6*AO6/1000000</f>
        <v>22.34</v>
      </c>
      <c r="AM6" s="3090">
        <v>0</v>
      </c>
      <c r="AN6" s="229">
        <f t="shared" si="1"/>
        <v>0.08</v>
      </c>
      <c r="AO6" s="2076">
        <f>'Table 5a'!P5</f>
        <v>114</v>
      </c>
      <c r="AP6" s="2075">
        <f t="shared" ref="AP6:AP59" si="9">AR6-AQ6</f>
        <v>23.68</v>
      </c>
      <c r="AQ6" s="2074">
        <f>AG6</f>
        <v>0</v>
      </c>
      <c r="AR6" s="3080">
        <f t="shared" ref="AR6:AR9" si="10">AL6*1.06</f>
        <v>23.68</v>
      </c>
      <c r="AS6" s="3090">
        <v>0</v>
      </c>
      <c r="AU6" s="741">
        <f t="shared" ref="AU6:AU71" si="11">J6-D6</f>
        <v>12168</v>
      </c>
      <c r="AV6" s="2077">
        <f t="shared" ref="AV6:AV71" si="12">AL6-O6</f>
        <v>1.58</v>
      </c>
    </row>
    <row r="7" spans="1:48">
      <c r="A7" s="3275"/>
      <c r="B7" s="1859" t="s">
        <v>97</v>
      </c>
      <c r="C7" s="1952">
        <v>11343</v>
      </c>
      <c r="D7" s="391">
        <f>'Table 5a'!L6</f>
        <v>620</v>
      </c>
      <c r="E7" s="2078">
        <v>620</v>
      </c>
      <c r="F7" s="1038">
        <v>654</v>
      </c>
      <c r="G7" s="1038">
        <v>654</v>
      </c>
      <c r="H7" s="1038">
        <v>654</v>
      </c>
      <c r="I7" s="2079">
        <v>654</v>
      </c>
      <c r="J7" s="2079">
        <v>654</v>
      </c>
      <c r="K7" s="2070">
        <v>665</v>
      </c>
      <c r="L7" s="300">
        <f t="shared" si="2"/>
        <v>0.05</v>
      </c>
      <c r="M7" s="2071">
        <f t="shared" si="3"/>
        <v>0.09</v>
      </c>
      <c r="N7" s="2072">
        <v>0</v>
      </c>
      <c r="O7" s="633">
        <f>'Table 5a'!G6</f>
        <v>0.09</v>
      </c>
      <c r="P7" s="2073">
        <f t="shared" si="4"/>
        <v>0.1</v>
      </c>
      <c r="Q7" s="2074">
        <v>0</v>
      </c>
      <c r="R7" s="3080">
        <f>E7*$AO7/1000000</f>
        <v>0.1</v>
      </c>
      <c r="S7" s="2010">
        <v>0</v>
      </c>
      <c r="T7" s="2075">
        <f t="shared" si="5"/>
        <v>0.11</v>
      </c>
      <c r="U7" s="2072">
        <v>0</v>
      </c>
      <c r="V7" s="3080">
        <f>F7*$AO7/1000000</f>
        <v>0.11</v>
      </c>
      <c r="W7" s="3090">
        <v>0</v>
      </c>
      <c r="X7" s="2071">
        <f t="shared" si="6"/>
        <v>0.11</v>
      </c>
      <c r="Y7" s="2072">
        <v>0</v>
      </c>
      <c r="Z7" s="3080">
        <f>G7*$AO7/1000000</f>
        <v>0.11</v>
      </c>
      <c r="AA7" s="2010">
        <v>0</v>
      </c>
      <c r="AB7" s="2075">
        <f t="shared" si="7"/>
        <v>0.11</v>
      </c>
      <c r="AC7" s="2072">
        <v>0</v>
      </c>
      <c r="AD7" s="3080">
        <f>H7*$AO7/1000000</f>
        <v>0.11</v>
      </c>
      <c r="AE7" s="2010">
        <v>0</v>
      </c>
      <c r="AF7" s="2075">
        <f t="shared" si="8"/>
        <v>0.11</v>
      </c>
      <c r="AG7" s="2074">
        <v>0</v>
      </c>
      <c r="AH7" s="3080">
        <f>I7*$AO7/1000000</f>
        <v>0.11</v>
      </c>
      <c r="AI7" s="2010">
        <v>0</v>
      </c>
      <c r="AJ7" s="2075">
        <f t="shared" si="0"/>
        <v>0.11</v>
      </c>
      <c r="AK7" s="2074">
        <v>0</v>
      </c>
      <c r="AL7" s="3080">
        <f>J7*AO7/1000000</f>
        <v>0.11</v>
      </c>
      <c r="AM7" s="2259">
        <v>0</v>
      </c>
      <c r="AN7" s="229">
        <f t="shared" si="1"/>
        <v>0.22</v>
      </c>
      <c r="AO7" s="2076">
        <f>'Table 5a'!P6</f>
        <v>161</v>
      </c>
      <c r="AP7" s="2075">
        <f t="shared" si="9"/>
        <v>0.12</v>
      </c>
      <c r="AQ7" s="2074">
        <f>AG7</f>
        <v>0</v>
      </c>
      <c r="AR7" s="3080">
        <f t="shared" si="10"/>
        <v>0.12</v>
      </c>
      <c r="AS7" s="3090">
        <v>0</v>
      </c>
      <c r="AU7" s="1076">
        <f t="shared" si="11"/>
        <v>34</v>
      </c>
      <c r="AV7" s="2077">
        <f t="shared" si="12"/>
        <v>0.02</v>
      </c>
    </row>
    <row r="8" spans="1:48">
      <c r="A8" s="3275"/>
      <c r="B8" s="1859" t="s">
        <v>98</v>
      </c>
      <c r="C8" s="1952">
        <v>11356</v>
      </c>
      <c r="D8" s="391">
        <f>'Table 5a'!L7</f>
        <v>824</v>
      </c>
      <c r="E8" s="2055">
        <v>824</v>
      </c>
      <c r="F8" s="1038">
        <v>824</v>
      </c>
      <c r="G8" s="1038">
        <v>1073</v>
      </c>
      <c r="H8" s="1038">
        <v>1073</v>
      </c>
      <c r="I8" s="2079">
        <v>1073</v>
      </c>
      <c r="J8" s="2079">
        <v>1073</v>
      </c>
      <c r="K8" s="2070">
        <v>1330</v>
      </c>
      <c r="L8" s="300">
        <f t="shared" si="2"/>
        <v>0.3</v>
      </c>
      <c r="M8" s="2071">
        <f t="shared" si="3"/>
        <v>0.06</v>
      </c>
      <c r="N8" s="2072">
        <v>0</v>
      </c>
      <c r="O8" s="633">
        <f>'Table 5a'!G7</f>
        <v>0.06</v>
      </c>
      <c r="P8" s="2073">
        <f t="shared" si="4"/>
        <v>0.06</v>
      </c>
      <c r="Q8" s="2074">
        <v>0</v>
      </c>
      <c r="R8" s="3080">
        <f>E8*$AO8/1000000</f>
        <v>0.06</v>
      </c>
      <c r="S8" s="2010">
        <v>0</v>
      </c>
      <c r="T8" s="2075">
        <f t="shared" si="5"/>
        <v>0.06</v>
      </c>
      <c r="U8" s="2072">
        <v>0</v>
      </c>
      <c r="V8" s="3080">
        <f>F8*$AO8/1000000</f>
        <v>0.06</v>
      </c>
      <c r="W8" s="3090">
        <v>0</v>
      </c>
      <c r="X8" s="2071">
        <f t="shared" si="6"/>
        <v>0.08</v>
      </c>
      <c r="Y8" s="2072">
        <v>0</v>
      </c>
      <c r="Z8" s="3080">
        <f>G8*$AO8/1000000</f>
        <v>0.08</v>
      </c>
      <c r="AA8" s="2010">
        <v>0</v>
      </c>
      <c r="AB8" s="2075">
        <f t="shared" si="7"/>
        <v>0.08</v>
      </c>
      <c r="AC8" s="2072">
        <v>0</v>
      </c>
      <c r="AD8" s="3080">
        <f>H8*$AO8/1000000</f>
        <v>0.08</v>
      </c>
      <c r="AE8" s="2010">
        <v>0</v>
      </c>
      <c r="AF8" s="2075">
        <f t="shared" si="8"/>
        <v>0.08</v>
      </c>
      <c r="AG8" s="2074">
        <v>0</v>
      </c>
      <c r="AH8" s="3080">
        <f>I8*$AO8/1000000</f>
        <v>0.08</v>
      </c>
      <c r="AI8" s="2010">
        <v>0</v>
      </c>
      <c r="AJ8" s="2075">
        <f t="shared" si="0"/>
        <v>0.08</v>
      </c>
      <c r="AK8" s="2074">
        <v>0</v>
      </c>
      <c r="AL8" s="3080">
        <f>J8*AO8/1000000</f>
        <v>0.08</v>
      </c>
      <c r="AM8" s="2259">
        <v>0</v>
      </c>
      <c r="AN8" s="229">
        <f t="shared" si="1"/>
        <v>0.33</v>
      </c>
      <c r="AO8" s="2076">
        <f>'Table 5a'!P7</f>
        <v>71</v>
      </c>
      <c r="AP8" s="2075">
        <f t="shared" si="9"/>
        <v>0.08</v>
      </c>
      <c r="AQ8" s="2074">
        <f>AG8</f>
        <v>0</v>
      </c>
      <c r="AR8" s="3080">
        <f t="shared" si="10"/>
        <v>0.08</v>
      </c>
      <c r="AS8" s="2067">
        <v>0</v>
      </c>
      <c r="AU8" s="1076">
        <f t="shared" si="11"/>
        <v>249</v>
      </c>
      <c r="AV8" s="2077">
        <f t="shared" si="12"/>
        <v>0.02</v>
      </c>
    </row>
    <row r="9" spans="1:48" ht="13.5" thickBot="1">
      <c r="A9" s="3275"/>
      <c r="B9" s="1860" t="s">
        <v>99</v>
      </c>
      <c r="C9" s="2080" t="s">
        <v>100</v>
      </c>
      <c r="D9" s="1010">
        <f>'Table 5a'!L8</f>
        <v>1266</v>
      </c>
      <c r="E9" s="95">
        <v>1205</v>
      </c>
      <c r="F9" s="742">
        <v>1227</v>
      </c>
      <c r="G9" s="742">
        <v>1227</v>
      </c>
      <c r="H9" s="742">
        <v>1227</v>
      </c>
      <c r="I9" s="2081">
        <v>1227</v>
      </c>
      <c r="J9" s="2081">
        <v>1227</v>
      </c>
      <c r="K9" s="2082">
        <v>2037</v>
      </c>
      <c r="L9" s="216">
        <f t="shared" si="2"/>
        <v>-0.03</v>
      </c>
      <c r="M9" s="2083">
        <f t="shared" si="3"/>
        <v>0.09</v>
      </c>
      <c r="N9" s="2084">
        <v>0</v>
      </c>
      <c r="O9" s="51">
        <f>'Table 5a'!G8</f>
        <v>0.09</v>
      </c>
      <c r="P9" s="2085">
        <f t="shared" si="4"/>
        <v>0.09</v>
      </c>
      <c r="Q9" s="2086">
        <v>0</v>
      </c>
      <c r="R9" s="3078">
        <f>E9*$AO9/1000000</f>
        <v>0.09</v>
      </c>
      <c r="S9" s="2042">
        <v>0</v>
      </c>
      <c r="T9" s="2087">
        <f t="shared" si="5"/>
        <v>0.09</v>
      </c>
      <c r="U9" s="2084">
        <v>0</v>
      </c>
      <c r="V9" s="3078">
        <f>F9*$AO9/1000000</f>
        <v>0.09</v>
      </c>
      <c r="W9" s="3091">
        <v>0</v>
      </c>
      <c r="X9" s="2083">
        <f t="shared" si="6"/>
        <v>0.09</v>
      </c>
      <c r="Y9" s="2084">
        <v>0</v>
      </c>
      <c r="Z9" s="3078">
        <f>G9*$AO9/1000000</f>
        <v>0.09</v>
      </c>
      <c r="AA9" s="2042">
        <v>0</v>
      </c>
      <c r="AB9" s="2087">
        <f t="shared" si="7"/>
        <v>0.09</v>
      </c>
      <c r="AC9" s="2084">
        <v>0</v>
      </c>
      <c r="AD9" s="3078">
        <f>H9*$AO9/1000000</f>
        <v>0.09</v>
      </c>
      <c r="AE9" s="2042">
        <v>0</v>
      </c>
      <c r="AF9" s="2087">
        <f t="shared" si="8"/>
        <v>0.09</v>
      </c>
      <c r="AG9" s="2086">
        <v>0</v>
      </c>
      <c r="AH9" s="3078">
        <f>I9*$AO9/1000000</f>
        <v>0.09</v>
      </c>
      <c r="AI9" s="2042">
        <v>0</v>
      </c>
      <c r="AJ9" s="2087">
        <f t="shared" si="0"/>
        <v>0.09</v>
      </c>
      <c r="AK9" s="2086">
        <v>0</v>
      </c>
      <c r="AL9" s="3078">
        <f>J9*AO9/1000000</f>
        <v>0.09</v>
      </c>
      <c r="AM9" s="2043">
        <v>0</v>
      </c>
      <c r="AN9" s="216">
        <f t="shared" si="1"/>
        <v>0</v>
      </c>
      <c r="AO9" s="2088">
        <f>'Table 5a'!P8</f>
        <v>74</v>
      </c>
      <c r="AP9" s="2087">
        <f t="shared" si="9"/>
        <v>0.1</v>
      </c>
      <c r="AQ9" s="2086">
        <f>AG9</f>
        <v>0</v>
      </c>
      <c r="AR9" s="3078">
        <f t="shared" si="10"/>
        <v>0.1</v>
      </c>
      <c r="AS9" s="3093">
        <v>0</v>
      </c>
      <c r="AU9" s="1849">
        <f t="shared" si="11"/>
        <v>-39</v>
      </c>
      <c r="AV9" s="2089">
        <f t="shared" si="12"/>
        <v>0</v>
      </c>
    </row>
    <row r="10" spans="1:48" ht="14.25" thickTop="1" thickBot="1">
      <c r="A10" s="3276"/>
      <c r="B10" s="3277" t="s">
        <v>101</v>
      </c>
      <c r="C10" s="3278"/>
      <c r="D10" s="304">
        <f t="shared" ref="D10:J10" si="13">SUM(D5:D9)</f>
        <v>187980</v>
      </c>
      <c r="E10" s="2090">
        <f t="shared" si="13"/>
        <v>194225</v>
      </c>
      <c r="F10" s="274">
        <f t="shared" si="13"/>
        <v>198455</v>
      </c>
      <c r="G10" s="274">
        <f t="shared" si="13"/>
        <v>200386</v>
      </c>
      <c r="H10" s="274">
        <f t="shared" si="13"/>
        <v>200475</v>
      </c>
      <c r="I10" s="2091">
        <f t="shared" si="13"/>
        <v>201157</v>
      </c>
      <c r="J10" s="2091">
        <f t="shared" si="13"/>
        <v>201310</v>
      </c>
      <c r="K10" s="2092">
        <f>SUM(K5:K9)</f>
        <v>254036</v>
      </c>
      <c r="L10" s="217">
        <f t="shared" si="2"/>
        <v>7.0000000000000007E-2</v>
      </c>
      <c r="M10" s="2093">
        <f t="shared" si="3"/>
        <v>21.14</v>
      </c>
      <c r="N10" s="2094">
        <f>SUM(N5:N9)</f>
        <v>0</v>
      </c>
      <c r="O10" s="647">
        <f t="shared" ref="O10" si="14">SUM(O5:O9)</f>
        <v>21.14</v>
      </c>
      <c r="P10" s="2095">
        <f t="shared" si="4"/>
        <v>22.05</v>
      </c>
      <c r="Q10" s="2096">
        <f t="shared" ref="Q10:AL10" si="15">SUM(Q5:Q9)</f>
        <v>0</v>
      </c>
      <c r="R10" s="3109">
        <f t="shared" si="15"/>
        <v>22.05</v>
      </c>
      <c r="S10" s="2097">
        <f>SUM(S5:S9)</f>
        <v>0</v>
      </c>
      <c r="T10" s="2098">
        <f t="shared" si="5"/>
        <v>22.53</v>
      </c>
      <c r="U10" s="2094">
        <f t="shared" ref="U10" si="16">SUM(U5:U9)</f>
        <v>0</v>
      </c>
      <c r="V10" s="3083">
        <f t="shared" si="15"/>
        <v>22.53</v>
      </c>
      <c r="W10" s="3092">
        <f>SUM(W5:W9)</f>
        <v>0</v>
      </c>
      <c r="X10" s="2093">
        <f t="shared" si="6"/>
        <v>22.73</v>
      </c>
      <c r="Y10" s="2094">
        <f t="shared" ref="Y10" si="17">SUM(Y5:Y9)</f>
        <v>0</v>
      </c>
      <c r="Z10" s="2100">
        <f t="shared" si="15"/>
        <v>22.73</v>
      </c>
      <c r="AA10" s="3092">
        <f>SUM(AA5:AA9)</f>
        <v>0</v>
      </c>
      <c r="AB10" s="2098">
        <f t="shared" si="7"/>
        <v>22.74</v>
      </c>
      <c r="AC10" s="2094">
        <f t="shared" ref="AC10" si="18">SUM(AC5:AC9)</f>
        <v>0</v>
      </c>
      <c r="AD10" s="3109">
        <f t="shared" si="15"/>
        <v>22.74</v>
      </c>
      <c r="AE10" s="2097">
        <f>SUM(AE5:AE9)</f>
        <v>0</v>
      </c>
      <c r="AF10" s="2098">
        <f t="shared" si="8"/>
        <v>22.81</v>
      </c>
      <c r="AG10" s="2096">
        <f t="shared" ref="AG10" si="19">SUM(AG5:AG9)</f>
        <v>0</v>
      </c>
      <c r="AH10" s="3109">
        <f t="shared" si="15"/>
        <v>22.81</v>
      </c>
      <c r="AI10" s="2097">
        <f>SUM(AI5:AI9)</f>
        <v>0</v>
      </c>
      <c r="AJ10" s="2098">
        <f t="shared" ref="AJ10:AJ15" si="20">AL10-AK10</f>
        <v>22.83</v>
      </c>
      <c r="AK10" s="2096">
        <f t="shared" ref="AK10" si="21">SUM(AK5:AK9)</f>
        <v>0</v>
      </c>
      <c r="AL10" s="3109">
        <f t="shared" si="15"/>
        <v>22.83</v>
      </c>
      <c r="AM10" s="2101">
        <f>SUM(AM5:AM9)</f>
        <v>0</v>
      </c>
      <c r="AN10" s="298">
        <f t="shared" si="1"/>
        <v>0.08</v>
      </c>
      <c r="AO10" s="3027" t="s">
        <v>16</v>
      </c>
      <c r="AP10" s="2098">
        <f t="shared" si="9"/>
        <v>24.2</v>
      </c>
      <c r="AQ10" s="2096">
        <f>SUM(AQ5:AQ9)</f>
        <v>0</v>
      </c>
      <c r="AR10" s="3109">
        <f t="shared" ref="AR10" si="22">SUM(AR5:AR9)</f>
        <v>24.2</v>
      </c>
      <c r="AS10" s="3092">
        <f>SUM(AS5:AS9)</f>
        <v>0</v>
      </c>
      <c r="AU10" s="739">
        <f t="shared" si="11"/>
        <v>13330</v>
      </c>
      <c r="AV10" s="2102">
        <f t="shared" si="12"/>
        <v>1.69</v>
      </c>
    </row>
    <row r="11" spans="1:48">
      <c r="A11" s="3275" t="s">
        <v>102</v>
      </c>
      <c r="B11" s="1859" t="s">
        <v>103</v>
      </c>
      <c r="C11" s="1952">
        <v>216450</v>
      </c>
      <c r="D11" s="391">
        <f>'Table 5a'!L10</f>
        <v>4251</v>
      </c>
      <c r="E11" s="2078">
        <v>4757</v>
      </c>
      <c r="F11" s="1038">
        <v>4915</v>
      </c>
      <c r="G11" s="1038">
        <v>5078</v>
      </c>
      <c r="H11" s="1038">
        <v>5247</v>
      </c>
      <c r="I11" s="2079">
        <v>5421</v>
      </c>
      <c r="J11" s="2079">
        <v>5601</v>
      </c>
      <c r="K11" s="2070">
        <v>15186</v>
      </c>
      <c r="L11" s="300">
        <f t="shared" si="2"/>
        <v>0.32</v>
      </c>
      <c r="M11" s="2071">
        <f t="shared" si="3"/>
        <v>0.52</v>
      </c>
      <c r="N11" s="2072">
        <v>0</v>
      </c>
      <c r="O11" s="633">
        <f>'Table 5a'!G10</f>
        <v>0.52</v>
      </c>
      <c r="P11" s="2073">
        <f t="shared" si="4"/>
        <v>0.59</v>
      </c>
      <c r="Q11" s="2074">
        <v>0</v>
      </c>
      <c r="R11" s="3079">
        <f>E11*$AO11/1000000</f>
        <v>0.59</v>
      </c>
      <c r="S11" s="2010">
        <v>0</v>
      </c>
      <c r="T11" s="2075">
        <f t="shared" si="5"/>
        <v>0.6</v>
      </c>
      <c r="U11" s="2072">
        <v>0</v>
      </c>
      <c r="V11" s="3079">
        <f>F11*$AO11/1000000</f>
        <v>0.6</v>
      </c>
      <c r="W11" s="3090">
        <v>0</v>
      </c>
      <c r="X11" s="2071">
        <f t="shared" si="6"/>
        <v>0.62</v>
      </c>
      <c r="Y11" s="2072">
        <v>0</v>
      </c>
      <c r="Z11" s="3079">
        <f>G11*$AO11/1000000</f>
        <v>0.62</v>
      </c>
      <c r="AA11" s="2010">
        <v>0</v>
      </c>
      <c r="AB11" s="2075">
        <f t="shared" si="7"/>
        <v>0.65</v>
      </c>
      <c r="AC11" s="2072">
        <v>0</v>
      </c>
      <c r="AD11" s="3080">
        <f>H11*$AO11/1000000</f>
        <v>0.65</v>
      </c>
      <c r="AE11" s="2010">
        <v>0</v>
      </c>
      <c r="AF11" s="2075">
        <f t="shared" si="8"/>
        <v>0.67</v>
      </c>
      <c r="AG11" s="2074">
        <v>0</v>
      </c>
      <c r="AH11" s="3080">
        <f>I11*$AO11/1000000</f>
        <v>0.67</v>
      </c>
      <c r="AI11" s="2010">
        <v>0</v>
      </c>
      <c r="AJ11" s="2075">
        <f t="shared" si="20"/>
        <v>0.69</v>
      </c>
      <c r="AK11" s="2074">
        <v>0</v>
      </c>
      <c r="AL11" s="3079">
        <f>J11*AO11/1000000</f>
        <v>0.69</v>
      </c>
      <c r="AM11" s="2259">
        <v>0</v>
      </c>
      <c r="AN11" s="229">
        <f t="shared" si="1"/>
        <v>0.33</v>
      </c>
      <c r="AO11" s="2076">
        <f>'Table 5a'!P10</f>
        <v>123</v>
      </c>
      <c r="AP11" s="2075">
        <f>AR11-AQ11</f>
        <v>0.73</v>
      </c>
      <c r="AQ11" s="2074">
        <f>AG11</f>
        <v>0</v>
      </c>
      <c r="AR11" s="3080">
        <f t="shared" ref="AR11:AR15" si="23">AL11*1.06</f>
        <v>0.73</v>
      </c>
      <c r="AS11" s="3094">
        <v>0</v>
      </c>
      <c r="AU11" s="1076">
        <f t="shared" si="11"/>
        <v>1350</v>
      </c>
      <c r="AV11" s="2077">
        <f t="shared" si="12"/>
        <v>0.17</v>
      </c>
    </row>
    <row r="12" spans="1:48">
      <c r="A12" s="3275"/>
      <c r="B12" s="1859" t="s">
        <v>104</v>
      </c>
      <c r="C12" s="1952">
        <v>216647</v>
      </c>
      <c r="D12" s="391">
        <f>'Table 5a'!L11</f>
        <v>1273</v>
      </c>
      <c r="E12" s="2078">
        <v>1304</v>
      </c>
      <c r="F12" s="1038">
        <v>1304</v>
      </c>
      <c r="G12" s="1038">
        <v>1304</v>
      </c>
      <c r="H12" s="1038">
        <v>1304</v>
      </c>
      <c r="I12" s="2079">
        <v>1576</v>
      </c>
      <c r="J12" s="2079">
        <v>1576</v>
      </c>
      <c r="K12" s="2070">
        <v>6303</v>
      </c>
      <c r="L12" s="300">
        <f t="shared" si="2"/>
        <v>0.24</v>
      </c>
      <c r="M12" s="2071">
        <f t="shared" si="3"/>
        <v>0.14000000000000001</v>
      </c>
      <c r="N12" s="2072">
        <v>0</v>
      </c>
      <c r="O12" s="633">
        <f>'Table 5a'!G11</f>
        <v>0.14000000000000001</v>
      </c>
      <c r="P12" s="2073">
        <f t="shared" si="4"/>
        <v>0.12</v>
      </c>
      <c r="Q12" s="2074">
        <v>0</v>
      </c>
      <c r="R12" s="3080">
        <f>E12*$AO12/1000000</f>
        <v>0.12</v>
      </c>
      <c r="S12" s="2010">
        <v>0</v>
      </c>
      <c r="T12" s="2075">
        <f t="shared" si="5"/>
        <v>0.12</v>
      </c>
      <c r="U12" s="2072">
        <v>0</v>
      </c>
      <c r="V12" s="3080">
        <f>F12*$AO12/1000000</f>
        <v>0.12</v>
      </c>
      <c r="W12" s="3090">
        <v>0</v>
      </c>
      <c r="X12" s="2071">
        <f t="shared" si="6"/>
        <v>0.12</v>
      </c>
      <c r="Y12" s="2072">
        <v>0</v>
      </c>
      <c r="Z12" s="3080">
        <f>G12*$AO12/1000000</f>
        <v>0.12</v>
      </c>
      <c r="AA12" s="2010">
        <v>0</v>
      </c>
      <c r="AB12" s="2075">
        <f t="shared" si="7"/>
        <v>0.12</v>
      </c>
      <c r="AC12" s="2072">
        <v>0</v>
      </c>
      <c r="AD12" s="3080">
        <f>H12*$AO12/1000000</f>
        <v>0.12</v>
      </c>
      <c r="AE12" s="2010">
        <v>0</v>
      </c>
      <c r="AF12" s="2075">
        <f t="shared" si="8"/>
        <v>0.15</v>
      </c>
      <c r="AG12" s="2074">
        <v>0</v>
      </c>
      <c r="AH12" s="3080">
        <f>I12*$AO12/1000000</f>
        <v>0.15</v>
      </c>
      <c r="AI12" s="2010">
        <v>0</v>
      </c>
      <c r="AJ12" s="2075">
        <f t="shared" si="20"/>
        <v>0.15</v>
      </c>
      <c r="AK12" s="2074">
        <v>0</v>
      </c>
      <c r="AL12" s="3080">
        <f>J12*AO12/1000000</f>
        <v>0.15</v>
      </c>
      <c r="AM12" s="2259">
        <v>0</v>
      </c>
      <c r="AN12" s="229">
        <f t="shared" si="1"/>
        <v>7.0000000000000007E-2</v>
      </c>
      <c r="AO12" s="2076">
        <f>'Table 5a'!P11</f>
        <v>95</v>
      </c>
      <c r="AP12" s="2075">
        <f>AR12-AQ12</f>
        <v>0.16</v>
      </c>
      <c r="AQ12" s="2074">
        <f>AG12</f>
        <v>0</v>
      </c>
      <c r="AR12" s="3080">
        <f t="shared" si="23"/>
        <v>0.16</v>
      </c>
      <c r="AS12" s="3093">
        <v>0</v>
      </c>
      <c r="AU12" s="1076">
        <f t="shared" si="11"/>
        <v>303</v>
      </c>
      <c r="AV12" s="2077">
        <f t="shared" si="12"/>
        <v>0.01</v>
      </c>
    </row>
    <row r="13" spans="1:48">
      <c r="A13" s="3275"/>
      <c r="B13" s="1859" t="s">
        <v>105</v>
      </c>
      <c r="C13" s="1952">
        <v>216833</v>
      </c>
      <c r="D13" s="391">
        <f>'Table 5a'!L12</f>
        <v>5684</v>
      </c>
      <c r="E13" s="2078">
        <v>6221</v>
      </c>
      <c r="F13" s="1038">
        <v>6221</v>
      </c>
      <c r="G13" s="1038">
        <v>7213</v>
      </c>
      <c r="H13" s="1038">
        <v>7230</v>
      </c>
      <c r="I13" s="2079">
        <v>7230</v>
      </c>
      <c r="J13" s="2079">
        <v>7230</v>
      </c>
      <c r="K13" s="2070">
        <v>14137</v>
      </c>
      <c r="L13" s="300">
        <f t="shared" si="2"/>
        <v>0.27</v>
      </c>
      <c r="M13" s="2071">
        <f t="shared" si="3"/>
        <v>0.46</v>
      </c>
      <c r="N13" s="2072">
        <v>0</v>
      </c>
      <c r="O13" s="633">
        <f>'Table 5a'!G12</f>
        <v>0.46</v>
      </c>
      <c r="P13" s="2073">
        <f t="shared" si="4"/>
        <v>0.52</v>
      </c>
      <c r="Q13" s="2074">
        <v>0</v>
      </c>
      <c r="R13" s="3080">
        <f>E13*$AO13/1000000</f>
        <v>0.52</v>
      </c>
      <c r="S13" s="2010">
        <v>0</v>
      </c>
      <c r="T13" s="2075">
        <f t="shared" si="5"/>
        <v>0.52</v>
      </c>
      <c r="U13" s="2072">
        <v>0</v>
      </c>
      <c r="V13" s="3080">
        <f>F13*$AO13/1000000</f>
        <v>0.52</v>
      </c>
      <c r="W13" s="3090">
        <v>0</v>
      </c>
      <c r="X13" s="2071">
        <f t="shared" si="6"/>
        <v>0.61</v>
      </c>
      <c r="Y13" s="2072">
        <v>0</v>
      </c>
      <c r="Z13" s="3080">
        <f>G13*$AO13/1000000</f>
        <v>0.61</v>
      </c>
      <c r="AA13" s="2010">
        <v>0</v>
      </c>
      <c r="AB13" s="2075">
        <f t="shared" si="7"/>
        <v>0.61</v>
      </c>
      <c r="AC13" s="2072">
        <v>0</v>
      </c>
      <c r="AD13" s="3080">
        <f>H13*$AO13/1000000</f>
        <v>0.61</v>
      </c>
      <c r="AE13" s="2010">
        <v>0</v>
      </c>
      <c r="AF13" s="2075">
        <f t="shared" si="8"/>
        <v>0.61</v>
      </c>
      <c r="AG13" s="2074">
        <v>0</v>
      </c>
      <c r="AH13" s="3080">
        <f>I13*$AO13/1000000</f>
        <v>0.61</v>
      </c>
      <c r="AI13" s="2010">
        <v>0</v>
      </c>
      <c r="AJ13" s="2075">
        <f t="shared" si="20"/>
        <v>0.61</v>
      </c>
      <c r="AK13" s="2074">
        <v>0</v>
      </c>
      <c r="AL13" s="3080">
        <f>J13*AO13/1000000</f>
        <v>0.61</v>
      </c>
      <c r="AM13" s="2259">
        <v>0</v>
      </c>
      <c r="AN13" s="229">
        <f t="shared" si="1"/>
        <v>0.33</v>
      </c>
      <c r="AO13" s="2076">
        <f>'Table 5a'!P12</f>
        <v>84</v>
      </c>
      <c r="AP13" s="2075">
        <f>AR13-AQ13</f>
        <v>0.65</v>
      </c>
      <c r="AQ13" s="2074">
        <f>AG13</f>
        <v>0</v>
      </c>
      <c r="AR13" s="3080">
        <f t="shared" si="23"/>
        <v>0.65</v>
      </c>
      <c r="AS13" s="3093">
        <v>0</v>
      </c>
      <c r="AU13" s="1076">
        <f t="shared" si="11"/>
        <v>1546</v>
      </c>
      <c r="AV13" s="2077">
        <f t="shared" si="12"/>
        <v>0.15</v>
      </c>
    </row>
    <row r="14" spans="1:48">
      <c r="A14" s="3275"/>
      <c r="B14" s="2103" t="s">
        <v>106</v>
      </c>
      <c r="C14" s="2104">
        <v>217300</v>
      </c>
      <c r="D14" s="2105">
        <f>'Table 5a'!L13</f>
        <v>947</v>
      </c>
      <c r="E14" s="2106">
        <v>960</v>
      </c>
      <c r="F14" s="2107">
        <v>960</v>
      </c>
      <c r="G14" s="2107">
        <v>1230</v>
      </c>
      <c r="H14" s="2107">
        <v>1230</v>
      </c>
      <c r="I14" s="2108">
        <v>1230</v>
      </c>
      <c r="J14" s="2108">
        <v>1230</v>
      </c>
      <c r="K14" s="2109">
        <v>3654</v>
      </c>
      <c r="L14" s="996">
        <f t="shared" si="2"/>
        <v>0.3</v>
      </c>
      <c r="M14" s="2110">
        <f t="shared" si="3"/>
        <v>0.06</v>
      </c>
      <c r="N14" s="2111">
        <v>0</v>
      </c>
      <c r="O14" s="632">
        <f>'Table 5a'!G13</f>
        <v>0.06</v>
      </c>
      <c r="P14" s="2112">
        <f t="shared" si="4"/>
        <v>7.0000000000000007E-2</v>
      </c>
      <c r="Q14" s="2113">
        <v>0</v>
      </c>
      <c r="R14" s="3084">
        <f>E14*$AO14/1000000</f>
        <v>7.0000000000000007E-2</v>
      </c>
      <c r="S14" s="2024">
        <v>0</v>
      </c>
      <c r="T14" s="2114">
        <f t="shared" si="5"/>
        <v>7.0000000000000007E-2</v>
      </c>
      <c r="U14" s="2111">
        <v>0</v>
      </c>
      <c r="V14" s="3084">
        <f>F14*$AO14/1000000</f>
        <v>7.0000000000000007E-2</v>
      </c>
      <c r="W14" s="3093">
        <v>0</v>
      </c>
      <c r="X14" s="2110">
        <f t="shared" si="6"/>
        <v>0.09</v>
      </c>
      <c r="Y14" s="2111">
        <v>0</v>
      </c>
      <c r="Z14" s="3084">
        <f>G14*$AO14/1000000</f>
        <v>0.09</v>
      </c>
      <c r="AA14" s="2024">
        <v>0</v>
      </c>
      <c r="AB14" s="2114">
        <f t="shared" si="7"/>
        <v>0.09</v>
      </c>
      <c r="AC14" s="2111">
        <v>0</v>
      </c>
      <c r="AD14" s="3084">
        <f>H14*$AO14/1000000</f>
        <v>0.09</v>
      </c>
      <c r="AE14" s="2024">
        <v>0</v>
      </c>
      <c r="AF14" s="2114">
        <f t="shared" si="8"/>
        <v>0.09</v>
      </c>
      <c r="AG14" s="2113">
        <v>0</v>
      </c>
      <c r="AH14" s="3084">
        <f>I14*$AO14/1000000</f>
        <v>0.09</v>
      </c>
      <c r="AI14" s="2024">
        <v>0</v>
      </c>
      <c r="AJ14" s="2114">
        <f t="shared" si="20"/>
        <v>0.09</v>
      </c>
      <c r="AK14" s="2113">
        <v>0</v>
      </c>
      <c r="AL14" s="3084">
        <f>J14*AO14/1000000</f>
        <v>0.09</v>
      </c>
      <c r="AM14" s="2025">
        <v>0</v>
      </c>
      <c r="AN14" s="996">
        <f t="shared" si="1"/>
        <v>0.5</v>
      </c>
      <c r="AO14" s="2115">
        <f>'Table 5a'!P13</f>
        <v>71</v>
      </c>
      <c r="AP14" s="2114">
        <f>AR14-AQ14</f>
        <v>0.1</v>
      </c>
      <c r="AQ14" s="2113">
        <f>AG14</f>
        <v>0</v>
      </c>
      <c r="AR14" s="3084">
        <f t="shared" si="23"/>
        <v>0.1</v>
      </c>
      <c r="AS14" s="3093">
        <v>0</v>
      </c>
      <c r="AU14" s="2116">
        <f t="shared" si="11"/>
        <v>283</v>
      </c>
      <c r="AV14" s="2117">
        <f t="shared" si="12"/>
        <v>0.03</v>
      </c>
    </row>
    <row r="15" spans="1:48" ht="13.5" thickBot="1">
      <c r="A15" s="3275"/>
      <c r="B15" s="2118" t="s">
        <v>107</v>
      </c>
      <c r="C15" s="2080">
        <v>220667</v>
      </c>
      <c r="D15" s="1010">
        <f>'Table 5a'!L14</f>
        <v>9665</v>
      </c>
      <c r="E15" s="2119">
        <v>10262</v>
      </c>
      <c r="F15" s="742">
        <v>10349</v>
      </c>
      <c r="G15" s="742">
        <v>10500</v>
      </c>
      <c r="H15" s="742">
        <v>11747</v>
      </c>
      <c r="I15" s="2081">
        <v>11793</v>
      </c>
      <c r="J15" s="2081">
        <v>11925</v>
      </c>
      <c r="K15" s="2082">
        <v>49112</v>
      </c>
      <c r="L15" s="216">
        <f t="shared" si="2"/>
        <v>0.23</v>
      </c>
      <c r="M15" s="2083">
        <f t="shared" ref="M15" si="24">O15-N15</f>
        <v>1.17</v>
      </c>
      <c r="N15" s="2084">
        <v>0</v>
      </c>
      <c r="O15" s="51">
        <f>'Table 5a'!G14</f>
        <v>1.17</v>
      </c>
      <c r="P15" s="2085">
        <f t="shared" ref="P15" si="25">R15-Q15</f>
        <v>1.24</v>
      </c>
      <c r="Q15" s="2086">
        <v>0</v>
      </c>
      <c r="R15" s="3078">
        <f>E15*$AO15/1000000</f>
        <v>1.24</v>
      </c>
      <c r="S15" s="2042">
        <v>0</v>
      </c>
      <c r="T15" s="2087">
        <f t="shared" ref="T15" si="26">V15-U15</f>
        <v>1.25</v>
      </c>
      <c r="U15" s="2084">
        <v>0</v>
      </c>
      <c r="V15" s="3078">
        <f>F15*$AO15/1000000</f>
        <v>1.25</v>
      </c>
      <c r="W15" s="3091">
        <v>0</v>
      </c>
      <c r="X15" s="2083">
        <f t="shared" ref="X15" si="27">Z15-Y15</f>
        <v>1.27</v>
      </c>
      <c r="Y15" s="2084">
        <v>0</v>
      </c>
      <c r="Z15" s="3078">
        <f>G15*$AO15/1000000</f>
        <v>1.27</v>
      </c>
      <c r="AA15" s="2042">
        <v>0</v>
      </c>
      <c r="AB15" s="2087">
        <f t="shared" ref="AB15" si="28">AD15-AC15</f>
        <v>1.42</v>
      </c>
      <c r="AC15" s="2084">
        <v>0</v>
      </c>
      <c r="AD15" s="3078">
        <f>H15*$AO15/1000000</f>
        <v>1.42</v>
      </c>
      <c r="AE15" s="2042">
        <v>0</v>
      </c>
      <c r="AF15" s="2087">
        <f t="shared" ref="AF15" si="29">AH15-AG15</f>
        <v>1.43</v>
      </c>
      <c r="AG15" s="2086">
        <v>0</v>
      </c>
      <c r="AH15" s="3078">
        <f>I15*$AO15/1000000</f>
        <v>1.43</v>
      </c>
      <c r="AI15" s="2042">
        <v>0</v>
      </c>
      <c r="AJ15" s="2087">
        <f t="shared" si="20"/>
        <v>1.44</v>
      </c>
      <c r="AK15" s="2086">
        <v>0</v>
      </c>
      <c r="AL15" s="3078">
        <f>J15*AO15/1000000</f>
        <v>1.44</v>
      </c>
      <c r="AM15" s="2043">
        <v>0</v>
      </c>
      <c r="AN15" s="216">
        <f t="shared" si="1"/>
        <v>0.23</v>
      </c>
      <c r="AO15" s="2088">
        <f>'Table 5a'!P14</f>
        <v>121</v>
      </c>
      <c r="AP15" s="2087">
        <f>AR15-AQ15</f>
        <v>1.53</v>
      </c>
      <c r="AQ15" s="2086">
        <f>AG15</f>
        <v>0</v>
      </c>
      <c r="AR15" s="3078">
        <f t="shared" si="23"/>
        <v>1.53</v>
      </c>
      <c r="AS15" s="3093">
        <v>0</v>
      </c>
      <c r="AU15" s="1849">
        <f t="shared" si="11"/>
        <v>2260</v>
      </c>
      <c r="AV15" s="2089">
        <f t="shared" si="12"/>
        <v>0.27</v>
      </c>
    </row>
    <row r="16" spans="1:48" ht="14.25" thickTop="1" thickBot="1">
      <c r="A16" s="3276"/>
      <c r="B16" s="3277" t="s">
        <v>108</v>
      </c>
      <c r="C16" s="3278"/>
      <c r="D16" s="304">
        <f>SUM(D11:D15)</f>
        <v>21820</v>
      </c>
      <c r="E16" s="2120">
        <f t="shared" ref="E16:K16" si="30">SUM(E11:E15)</f>
        <v>23504</v>
      </c>
      <c r="F16" s="64">
        <f t="shared" si="30"/>
        <v>23749</v>
      </c>
      <c r="G16" s="64">
        <f t="shared" si="30"/>
        <v>25325</v>
      </c>
      <c r="H16" s="64">
        <f t="shared" si="30"/>
        <v>26758</v>
      </c>
      <c r="I16" s="2121">
        <f t="shared" si="30"/>
        <v>27250</v>
      </c>
      <c r="J16" s="2121">
        <f t="shared" si="30"/>
        <v>27562</v>
      </c>
      <c r="K16" s="2092">
        <f t="shared" si="30"/>
        <v>88392</v>
      </c>
      <c r="L16" s="217">
        <f t="shared" si="2"/>
        <v>0.26</v>
      </c>
      <c r="M16" s="2093">
        <f t="shared" si="3"/>
        <v>2.35</v>
      </c>
      <c r="N16" s="2094">
        <f>SUM(N11:N15)</f>
        <v>0</v>
      </c>
      <c r="O16" s="647">
        <f>SUM(O11:O15)</f>
        <v>2.35</v>
      </c>
      <c r="P16" s="2095">
        <f t="shared" ref="P16" si="31">R16-Q16</f>
        <v>2.54</v>
      </c>
      <c r="Q16" s="2096">
        <f t="shared" ref="Q16:R16" si="32">SUM(Q11:Q15)</f>
        <v>0</v>
      </c>
      <c r="R16" s="3109">
        <f t="shared" si="32"/>
        <v>2.54</v>
      </c>
      <c r="S16" s="2097">
        <f>SUM(S11:S15)</f>
        <v>0</v>
      </c>
      <c r="T16" s="2098">
        <f t="shared" ref="T16" si="33">V16-U16</f>
        <v>2.56</v>
      </c>
      <c r="U16" s="2094">
        <f t="shared" ref="U16:V16" si="34">SUM(U11:U15)</f>
        <v>0</v>
      </c>
      <c r="V16" s="2100">
        <f t="shared" si="34"/>
        <v>2.56</v>
      </c>
      <c r="W16" s="3092">
        <f>SUM(W11:W15)</f>
        <v>0</v>
      </c>
      <c r="X16" s="2093">
        <f t="shared" ref="X16" si="35">Z16-Y16</f>
        <v>2.71</v>
      </c>
      <c r="Y16" s="2094">
        <f t="shared" ref="Y16:Z16" si="36">SUM(Y11:Y15)</f>
        <v>0</v>
      </c>
      <c r="Z16" s="3083">
        <f t="shared" si="36"/>
        <v>2.71</v>
      </c>
      <c r="AA16" s="2097">
        <f>SUM(AA11:AA15)</f>
        <v>0</v>
      </c>
      <c r="AB16" s="2098">
        <f t="shared" ref="AB16" si="37">AD16-AC16</f>
        <v>2.89</v>
      </c>
      <c r="AC16" s="2094">
        <f t="shared" ref="AC16:AD16" si="38">SUM(AC11:AC15)</f>
        <v>0</v>
      </c>
      <c r="AD16" s="3083">
        <f t="shared" si="38"/>
        <v>2.89</v>
      </c>
      <c r="AE16" s="2097">
        <f>SUM(AE11:AE15)</f>
        <v>0</v>
      </c>
      <c r="AF16" s="2098">
        <f t="shared" ref="AF16" si="39">AH16-AG16</f>
        <v>2.95</v>
      </c>
      <c r="AG16" s="2096">
        <f t="shared" ref="AG16:AH16" si="40">SUM(AG11:AG15)</f>
        <v>0</v>
      </c>
      <c r="AH16" s="3083">
        <f t="shared" si="40"/>
        <v>2.95</v>
      </c>
      <c r="AI16" s="2097">
        <f>SUM(AI11:AI15)</f>
        <v>0</v>
      </c>
      <c r="AJ16" s="2098">
        <f t="shared" ref="AJ16:AJ18" si="41">AL16-AK16</f>
        <v>2.98</v>
      </c>
      <c r="AK16" s="2096">
        <f t="shared" ref="AK16:AL16" si="42">SUM(AK11:AK15)</f>
        <v>0</v>
      </c>
      <c r="AL16" s="3109">
        <f t="shared" si="42"/>
        <v>2.98</v>
      </c>
      <c r="AM16" s="2101">
        <f>SUM(AM11:AM15)</f>
        <v>0</v>
      </c>
      <c r="AN16" s="217">
        <f t="shared" si="1"/>
        <v>0.27</v>
      </c>
      <c r="AO16" s="3027" t="s">
        <v>16</v>
      </c>
      <c r="AP16" s="2098">
        <f t="shared" ref="AP16" si="43">AR16-AQ16</f>
        <v>3.17</v>
      </c>
      <c r="AQ16" s="2096">
        <f>SUM(AQ11:AQ15)</f>
        <v>0</v>
      </c>
      <c r="AR16" s="3109">
        <f>SUM(AR11:AR15)</f>
        <v>3.17</v>
      </c>
      <c r="AS16" s="3092">
        <f>SUM(AS11:AS15)</f>
        <v>0</v>
      </c>
      <c r="AU16" s="738">
        <f t="shared" si="11"/>
        <v>5742</v>
      </c>
      <c r="AV16" s="2102">
        <f t="shared" si="12"/>
        <v>0.63</v>
      </c>
    </row>
    <row r="17" spans="1:48">
      <c r="A17" s="3289" t="s">
        <v>109</v>
      </c>
      <c r="B17" s="63" t="s">
        <v>110</v>
      </c>
      <c r="C17" s="2122">
        <v>15</v>
      </c>
      <c r="D17" s="351">
        <f>'Table 5a'!L16</f>
        <v>6430</v>
      </c>
      <c r="E17" s="91">
        <v>6591</v>
      </c>
      <c r="F17" s="92">
        <v>6807</v>
      </c>
      <c r="G17" s="92">
        <v>7331</v>
      </c>
      <c r="H17" s="92">
        <v>7496</v>
      </c>
      <c r="I17" s="2123">
        <v>7528</v>
      </c>
      <c r="J17" s="2123">
        <v>7528</v>
      </c>
      <c r="K17" s="2124">
        <v>30803</v>
      </c>
      <c r="L17" s="218">
        <f t="shared" si="2"/>
        <v>0.17</v>
      </c>
      <c r="M17" s="2125">
        <f t="shared" si="3"/>
        <v>0.89</v>
      </c>
      <c r="N17" s="2126">
        <v>0</v>
      </c>
      <c r="O17" s="675">
        <f>'Table 5a'!G16</f>
        <v>0.89</v>
      </c>
      <c r="P17" s="2127">
        <f t="shared" si="4"/>
        <v>0.92</v>
      </c>
      <c r="Q17" s="2128">
        <v>0</v>
      </c>
      <c r="R17" s="3079">
        <f>E17*$AO17/1000000</f>
        <v>0.92</v>
      </c>
      <c r="S17" s="2129">
        <v>0</v>
      </c>
      <c r="T17" s="2130">
        <f t="shared" si="5"/>
        <v>0.95</v>
      </c>
      <c r="U17" s="2126">
        <v>0</v>
      </c>
      <c r="V17" s="3079">
        <f>F17*$AO17/1000000</f>
        <v>0.95</v>
      </c>
      <c r="W17" s="3094">
        <v>0</v>
      </c>
      <c r="X17" s="2125">
        <f t="shared" si="6"/>
        <v>1.02</v>
      </c>
      <c r="Y17" s="2126">
        <v>0</v>
      </c>
      <c r="Z17" s="3079">
        <f>G17*$AO17/1000000</f>
        <v>1.02</v>
      </c>
      <c r="AA17" s="2129">
        <v>0</v>
      </c>
      <c r="AB17" s="2130">
        <f t="shared" si="7"/>
        <v>1.04</v>
      </c>
      <c r="AC17" s="2126">
        <v>0</v>
      </c>
      <c r="AD17" s="3079">
        <f>H17*$AO17/1000000</f>
        <v>1.04</v>
      </c>
      <c r="AE17" s="2129">
        <v>0</v>
      </c>
      <c r="AF17" s="2130">
        <f t="shared" si="8"/>
        <v>1.05</v>
      </c>
      <c r="AG17" s="2128">
        <v>0</v>
      </c>
      <c r="AH17" s="3079">
        <f>I17*$AO17/1000000</f>
        <v>1.05</v>
      </c>
      <c r="AI17" s="2129">
        <v>0</v>
      </c>
      <c r="AJ17" s="2130">
        <f t="shared" si="41"/>
        <v>1.05</v>
      </c>
      <c r="AK17" s="2128">
        <v>0</v>
      </c>
      <c r="AL17" s="3079">
        <f>J17*AO17/1000000</f>
        <v>1.05</v>
      </c>
      <c r="AM17" s="2132">
        <v>0</v>
      </c>
      <c r="AN17" s="218">
        <f t="shared" si="1"/>
        <v>0.18</v>
      </c>
      <c r="AO17" s="2133">
        <f>'Table 5a'!P16</f>
        <v>139</v>
      </c>
      <c r="AP17" s="2130">
        <f t="shared" si="9"/>
        <v>1.1100000000000001</v>
      </c>
      <c r="AQ17" s="2128">
        <f>AG17</f>
        <v>0</v>
      </c>
      <c r="AR17" s="3079">
        <f t="shared" ref="AR17:AR18" si="44">AL17*1.06</f>
        <v>1.1100000000000001</v>
      </c>
      <c r="AS17" s="3094">
        <v>0</v>
      </c>
      <c r="AU17" s="351">
        <f t="shared" si="11"/>
        <v>1098</v>
      </c>
      <c r="AV17" s="2134">
        <f t="shared" si="12"/>
        <v>0.16</v>
      </c>
    </row>
    <row r="18" spans="1:48" ht="13.5" thickBot="1">
      <c r="A18" s="3283"/>
      <c r="B18" s="1860" t="s">
        <v>111</v>
      </c>
      <c r="C18" s="2080">
        <v>24</v>
      </c>
      <c r="D18" s="1849">
        <f>'Table 5a'!L17</f>
        <v>435</v>
      </c>
      <c r="E18" s="95">
        <v>454</v>
      </c>
      <c r="F18" s="742">
        <v>502</v>
      </c>
      <c r="G18" s="742">
        <v>502</v>
      </c>
      <c r="H18" s="742">
        <v>502</v>
      </c>
      <c r="I18" s="2081">
        <v>502</v>
      </c>
      <c r="J18" s="2081">
        <v>502</v>
      </c>
      <c r="K18" s="2082">
        <v>589</v>
      </c>
      <c r="L18" s="216">
        <f t="shared" si="2"/>
        <v>0.15</v>
      </c>
      <c r="M18" s="2083">
        <f t="shared" si="3"/>
        <v>0.03</v>
      </c>
      <c r="N18" s="2084">
        <v>0</v>
      </c>
      <c r="O18" s="51">
        <f>'Table 5a'!G17</f>
        <v>0.03</v>
      </c>
      <c r="P18" s="2085">
        <f t="shared" si="4"/>
        <v>0.03</v>
      </c>
      <c r="Q18" s="2086">
        <v>0</v>
      </c>
      <c r="R18" s="3078">
        <f>E18*$AO18/1000000</f>
        <v>0.03</v>
      </c>
      <c r="S18" s="2042">
        <v>0</v>
      </c>
      <c r="T18" s="2087">
        <f t="shared" si="5"/>
        <v>0.04</v>
      </c>
      <c r="U18" s="2084">
        <v>0</v>
      </c>
      <c r="V18" s="3078">
        <f>F18*$AO18/1000000</f>
        <v>0.04</v>
      </c>
      <c r="W18" s="3091">
        <v>0</v>
      </c>
      <c r="X18" s="2083">
        <f t="shared" si="6"/>
        <v>0.04</v>
      </c>
      <c r="Y18" s="2084">
        <v>0</v>
      </c>
      <c r="Z18" s="3078">
        <f>G18*$AO18/1000000</f>
        <v>0.04</v>
      </c>
      <c r="AA18" s="2042">
        <v>0</v>
      </c>
      <c r="AB18" s="2087">
        <f t="shared" si="7"/>
        <v>0.04</v>
      </c>
      <c r="AC18" s="2084">
        <v>0</v>
      </c>
      <c r="AD18" s="3078">
        <f>H18*$AO18/1000000</f>
        <v>0.04</v>
      </c>
      <c r="AE18" s="2042">
        <v>0</v>
      </c>
      <c r="AF18" s="2087">
        <f t="shared" si="8"/>
        <v>0.04</v>
      </c>
      <c r="AG18" s="2086">
        <v>0</v>
      </c>
      <c r="AH18" s="3078">
        <f>I18*$AO18/1000000</f>
        <v>0.04</v>
      </c>
      <c r="AI18" s="2042">
        <v>0</v>
      </c>
      <c r="AJ18" s="2087">
        <f t="shared" si="41"/>
        <v>0.04</v>
      </c>
      <c r="AK18" s="2086">
        <v>0</v>
      </c>
      <c r="AL18" s="3078">
        <f>J18*AO18/1000000</f>
        <v>0.04</v>
      </c>
      <c r="AM18" s="2043">
        <v>0</v>
      </c>
      <c r="AN18" s="216">
        <f t="shared" si="1"/>
        <v>0.33</v>
      </c>
      <c r="AO18" s="2044">
        <f>'Table 5a'!P17</f>
        <v>74</v>
      </c>
      <c r="AP18" s="2087">
        <f t="shared" si="9"/>
        <v>0.04</v>
      </c>
      <c r="AQ18" s="2086">
        <f>AG18</f>
        <v>0</v>
      </c>
      <c r="AR18" s="3078">
        <f t="shared" si="44"/>
        <v>0.04</v>
      </c>
      <c r="AS18" s="3093">
        <v>0</v>
      </c>
      <c r="AU18" s="1849">
        <f t="shared" si="11"/>
        <v>67</v>
      </c>
      <c r="AV18" s="2089">
        <f t="shared" si="12"/>
        <v>0.01</v>
      </c>
    </row>
    <row r="19" spans="1:48" ht="14.25" thickTop="1" thickBot="1">
      <c r="A19" s="3285"/>
      <c r="B19" s="3277" t="s">
        <v>112</v>
      </c>
      <c r="C19" s="3278"/>
      <c r="D19" s="304">
        <f t="shared" ref="D19:J19" si="45">SUM(D17:D18)</f>
        <v>6865</v>
      </c>
      <c r="E19" s="2090">
        <f t="shared" si="45"/>
        <v>7045</v>
      </c>
      <c r="F19" s="274">
        <f t="shared" si="45"/>
        <v>7309</v>
      </c>
      <c r="G19" s="274">
        <f t="shared" si="45"/>
        <v>7833</v>
      </c>
      <c r="H19" s="274">
        <f t="shared" si="45"/>
        <v>7998</v>
      </c>
      <c r="I19" s="2091">
        <f t="shared" si="45"/>
        <v>8030</v>
      </c>
      <c r="J19" s="2091">
        <f t="shared" si="45"/>
        <v>8030</v>
      </c>
      <c r="K19" s="2092">
        <f>SUM(K17:K18)</f>
        <v>31392</v>
      </c>
      <c r="L19" s="217">
        <f t="shared" si="2"/>
        <v>0.17</v>
      </c>
      <c r="M19" s="2093">
        <f t="shared" si="3"/>
        <v>0.92</v>
      </c>
      <c r="N19" s="2094">
        <f>SUM(N17:N18)</f>
        <v>0</v>
      </c>
      <c r="O19" s="647">
        <f t="shared" ref="O19" si="46">SUM(O17:O18)</f>
        <v>0.92</v>
      </c>
      <c r="P19" s="2095">
        <f t="shared" si="4"/>
        <v>0.95</v>
      </c>
      <c r="Q19" s="2096">
        <f t="shared" ref="Q19:AL19" si="47">SUM(Q17:Q18)</f>
        <v>0</v>
      </c>
      <c r="R19" s="3109">
        <f t="shared" si="47"/>
        <v>0.95</v>
      </c>
      <c r="S19" s="2097">
        <f>SUM(S17:S18)</f>
        <v>0</v>
      </c>
      <c r="T19" s="2098">
        <f t="shared" si="5"/>
        <v>0.99</v>
      </c>
      <c r="U19" s="2094">
        <f t="shared" ref="U19" si="48">SUM(U17:U18)</f>
        <v>0</v>
      </c>
      <c r="V19" s="2100">
        <f t="shared" si="47"/>
        <v>0.99</v>
      </c>
      <c r="W19" s="3092">
        <f>SUM(W17:W18)</f>
        <v>0</v>
      </c>
      <c r="X19" s="2093">
        <f t="shared" si="6"/>
        <v>1.06</v>
      </c>
      <c r="Y19" s="2094">
        <f t="shared" ref="Y19" si="49">SUM(Y17:Y18)</f>
        <v>0</v>
      </c>
      <c r="Z19" s="3109">
        <f t="shared" si="47"/>
        <v>1.06</v>
      </c>
      <c r="AA19" s="2097">
        <f>SUM(AA17:AA18)</f>
        <v>0</v>
      </c>
      <c r="AB19" s="2098">
        <f t="shared" si="7"/>
        <v>1.08</v>
      </c>
      <c r="AC19" s="2094">
        <f t="shared" ref="AC19" si="50">SUM(AC17:AC18)</f>
        <v>0</v>
      </c>
      <c r="AD19" s="3109">
        <f t="shared" si="47"/>
        <v>1.08</v>
      </c>
      <c r="AE19" s="2097">
        <f>SUM(AE17:AE18)</f>
        <v>0</v>
      </c>
      <c r="AF19" s="2098">
        <f t="shared" si="8"/>
        <v>1.0900000000000001</v>
      </c>
      <c r="AG19" s="2096">
        <f t="shared" ref="AG19" si="51">SUM(AG17:AG18)</f>
        <v>0</v>
      </c>
      <c r="AH19" s="3109">
        <f t="shared" si="47"/>
        <v>1.0900000000000001</v>
      </c>
      <c r="AI19" s="2097">
        <f>SUM(AI17:AI18)</f>
        <v>0</v>
      </c>
      <c r="AJ19" s="2098">
        <f t="shared" ref="AJ19:AJ20" si="52">AL19-AK19</f>
        <v>1.0900000000000001</v>
      </c>
      <c r="AK19" s="2096">
        <f t="shared" ref="AK19" si="53">SUM(AK17:AK18)</f>
        <v>0</v>
      </c>
      <c r="AL19" s="3109">
        <f t="shared" si="47"/>
        <v>1.0900000000000001</v>
      </c>
      <c r="AM19" s="2101">
        <f>SUM(AM17:AM18)</f>
        <v>0</v>
      </c>
      <c r="AN19" s="217">
        <f t="shared" si="1"/>
        <v>0.18</v>
      </c>
      <c r="AO19" s="3027">
        <f t="shared" ref="AO19" si="54">SUM(AO17:AO18)</f>
        <v>213</v>
      </c>
      <c r="AP19" s="2098">
        <f t="shared" si="9"/>
        <v>1.1499999999999999</v>
      </c>
      <c r="AQ19" s="2096">
        <f>SUM(AQ17:AQ18)</f>
        <v>0</v>
      </c>
      <c r="AR19" s="3109">
        <f t="shared" ref="AR19" si="55">SUM(AR17:AR18)</f>
        <v>1.1499999999999999</v>
      </c>
      <c r="AS19" s="3092">
        <f>SUM(AS17:AS18)</f>
        <v>0</v>
      </c>
      <c r="AU19" s="739">
        <f t="shared" si="11"/>
        <v>1165</v>
      </c>
      <c r="AV19" s="2102">
        <f t="shared" si="12"/>
        <v>0.17</v>
      </c>
    </row>
    <row r="20" spans="1:48" ht="13.5" thickBot="1">
      <c r="A20" s="3289" t="s">
        <v>113</v>
      </c>
      <c r="B20" s="2135" t="s">
        <v>114</v>
      </c>
      <c r="C20" s="1993">
        <v>431</v>
      </c>
      <c r="D20" s="2136">
        <v>115</v>
      </c>
      <c r="E20" s="2137">
        <v>122</v>
      </c>
      <c r="F20" s="2138">
        <v>145</v>
      </c>
      <c r="G20" s="2138">
        <v>155</v>
      </c>
      <c r="H20" s="2138">
        <v>155</v>
      </c>
      <c r="I20" s="2139">
        <v>155</v>
      </c>
      <c r="J20" s="2139">
        <v>155</v>
      </c>
      <c r="K20" s="2140">
        <v>181</v>
      </c>
      <c r="L20" s="219">
        <f t="shared" si="2"/>
        <v>0.35</v>
      </c>
      <c r="M20" s="2141">
        <v>0.04</v>
      </c>
      <c r="N20" s="2142">
        <v>0</v>
      </c>
      <c r="O20" s="2143">
        <v>0.04</v>
      </c>
      <c r="P20" s="2144">
        <f t="shared" si="4"/>
        <v>0.01</v>
      </c>
      <c r="Q20" s="2145">
        <v>0</v>
      </c>
      <c r="R20" s="3085">
        <f>E20*$AO20/1000000</f>
        <v>0.01</v>
      </c>
      <c r="S20" s="2146">
        <v>0</v>
      </c>
      <c r="T20" s="2147">
        <f t="shared" si="5"/>
        <v>0.01</v>
      </c>
      <c r="U20" s="2142">
        <v>0</v>
      </c>
      <c r="V20" s="2148">
        <f>F20*$AO20/1000000</f>
        <v>0.01</v>
      </c>
      <c r="W20" s="3095">
        <v>0</v>
      </c>
      <c r="X20" s="2141">
        <f t="shared" si="6"/>
        <v>0.01</v>
      </c>
      <c r="Y20" s="2142">
        <v>0</v>
      </c>
      <c r="Z20" s="3085">
        <f>G20*$AO20/1000000</f>
        <v>0.01</v>
      </c>
      <c r="AA20" s="2146">
        <v>0</v>
      </c>
      <c r="AB20" s="2147">
        <f t="shared" si="7"/>
        <v>0.01</v>
      </c>
      <c r="AC20" s="2142">
        <v>0</v>
      </c>
      <c r="AD20" s="3085">
        <f>H20*$AO20/1000000</f>
        <v>0.01</v>
      </c>
      <c r="AE20" s="2146">
        <v>0</v>
      </c>
      <c r="AF20" s="2147">
        <f t="shared" si="8"/>
        <v>0.01</v>
      </c>
      <c r="AG20" s="2145">
        <v>0</v>
      </c>
      <c r="AH20" s="3085">
        <f>I20*$AO20/1000000</f>
        <v>0.01</v>
      </c>
      <c r="AI20" s="2146">
        <v>0</v>
      </c>
      <c r="AJ20" s="2147">
        <f t="shared" si="52"/>
        <v>0.01</v>
      </c>
      <c r="AK20" s="2145">
        <v>0</v>
      </c>
      <c r="AL20" s="3085">
        <f>J20*AO20/1000000</f>
        <v>0.01</v>
      </c>
      <c r="AM20" s="3114">
        <v>0</v>
      </c>
      <c r="AN20" s="230">
        <f t="shared" si="1"/>
        <v>-0.75</v>
      </c>
      <c r="AO20" s="2149">
        <f>'Table 5a'!P22</f>
        <v>95</v>
      </c>
      <c r="AP20" s="2147">
        <f t="shared" si="9"/>
        <v>0.01</v>
      </c>
      <c r="AQ20" s="2145">
        <f>AG20</f>
        <v>0</v>
      </c>
      <c r="AR20" s="3085">
        <f>AL20*1.06</f>
        <v>0.01</v>
      </c>
      <c r="AS20" s="3089">
        <v>0</v>
      </c>
      <c r="AU20" s="2150">
        <f t="shared" si="11"/>
        <v>40</v>
      </c>
      <c r="AV20" s="2151">
        <f t="shared" si="12"/>
        <v>-0.03</v>
      </c>
    </row>
    <row r="21" spans="1:48" ht="14.25" thickTop="1" thickBot="1">
      <c r="A21" s="3285"/>
      <c r="B21" s="3277" t="s">
        <v>115</v>
      </c>
      <c r="C21" s="3278"/>
      <c r="D21" s="304">
        <f t="shared" ref="D21:J21" si="56">D20</f>
        <v>115</v>
      </c>
      <c r="E21" s="2090">
        <f t="shared" si="56"/>
        <v>122</v>
      </c>
      <c r="F21" s="274">
        <f t="shared" si="56"/>
        <v>145</v>
      </c>
      <c r="G21" s="274">
        <f t="shared" si="56"/>
        <v>155</v>
      </c>
      <c r="H21" s="274">
        <f t="shared" si="56"/>
        <v>155</v>
      </c>
      <c r="I21" s="2091">
        <f t="shared" si="56"/>
        <v>155</v>
      </c>
      <c r="J21" s="2091">
        <f t="shared" si="56"/>
        <v>155</v>
      </c>
      <c r="K21" s="2092">
        <f>SUM(K20)</f>
        <v>181</v>
      </c>
      <c r="L21" s="217">
        <f t="shared" si="2"/>
        <v>0.35</v>
      </c>
      <c r="M21" s="2093">
        <f>M20</f>
        <v>0.04</v>
      </c>
      <c r="N21" s="2094">
        <f>SUM(N20)</f>
        <v>0</v>
      </c>
      <c r="O21" s="647">
        <f t="shared" ref="O21" si="57">O20</f>
        <v>0.04</v>
      </c>
      <c r="P21" s="2095">
        <f t="shared" si="4"/>
        <v>0.01</v>
      </c>
      <c r="Q21" s="2096">
        <f t="shared" ref="Q21" si="58">SUM(Q20)</f>
        <v>0</v>
      </c>
      <c r="R21" s="3109">
        <f t="shared" ref="R21:AL21" si="59">R20</f>
        <v>0.01</v>
      </c>
      <c r="S21" s="2097">
        <f>SUM(S20)</f>
        <v>0</v>
      </c>
      <c r="T21" s="2098">
        <f t="shared" si="5"/>
        <v>0.01</v>
      </c>
      <c r="U21" s="2094">
        <f t="shared" ref="U21" si="60">SUM(U20)</f>
        <v>0</v>
      </c>
      <c r="V21" s="2100">
        <f t="shared" si="59"/>
        <v>0.01</v>
      </c>
      <c r="W21" s="3092">
        <f>SUM(W20)</f>
        <v>0</v>
      </c>
      <c r="X21" s="2093">
        <f t="shared" si="6"/>
        <v>0.01</v>
      </c>
      <c r="Y21" s="2094">
        <f t="shared" ref="Y21" si="61">SUM(Y20)</f>
        <v>0</v>
      </c>
      <c r="Z21" s="3109">
        <f t="shared" si="59"/>
        <v>0.01</v>
      </c>
      <c r="AA21" s="2097">
        <f>SUM(AA20)</f>
        <v>0</v>
      </c>
      <c r="AB21" s="2098">
        <f t="shared" si="7"/>
        <v>0.01</v>
      </c>
      <c r="AC21" s="2094">
        <f t="shared" ref="AC21" si="62">SUM(AC20)</f>
        <v>0</v>
      </c>
      <c r="AD21" s="3109">
        <f t="shared" si="59"/>
        <v>0.01</v>
      </c>
      <c r="AE21" s="2097">
        <f>SUM(AE20)</f>
        <v>0</v>
      </c>
      <c r="AF21" s="2098">
        <f t="shared" si="8"/>
        <v>0.01</v>
      </c>
      <c r="AG21" s="2096">
        <f t="shared" ref="AG21" si="63">SUM(AG20)</f>
        <v>0</v>
      </c>
      <c r="AH21" s="3109">
        <f t="shared" si="59"/>
        <v>0.01</v>
      </c>
      <c r="AI21" s="2097">
        <f>SUM(AI20)</f>
        <v>0</v>
      </c>
      <c r="AJ21" s="2098">
        <f t="shared" ref="AJ21:AJ23" si="64">AL21-AK21</f>
        <v>0.01</v>
      </c>
      <c r="AK21" s="2096">
        <f t="shared" ref="AK21" si="65">SUM(AK20)</f>
        <v>0</v>
      </c>
      <c r="AL21" s="3109">
        <f t="shared" si="59"/>
        <v>0.01</v>
      </c>
      <c r="AM21" s="2101">
        <f>SUM(AM20)</f>
        <v>0</v>
      </c>
      <c r="AN21" s="298">
        <f t="shared" si="1"/>
        <v>-0.75</v>
      </c>
      <c r="AO21" s="3027" t="s">
        <v>16</v>
      </c>
      <c r="AP21" s="2098">
        <f t="shared" si="9"/>
        <v>0.01</v>
      </c>
      <c r="AQ21" s="2096">
        <f>SUM(AQ20)</f>
        <v>0</v>
      </c>
      <c r="AR21" s="3109">
        <f t="shared" ref="AR21" si="66">AR20</f>
        <v>0.01</v>
      </c>
      <c r="AS21" s="3092">
        <f>SUM(AS20)</f>
        <v>0</v>
      </c>
      <c r="AU21" s="739">
        <f t="shared" si="11"/>
        <v>40</v>
      </c>
      <c r="AV21" s="2102">
        <f t="shared" si="12"/>
        <v>-0.03</v>
      </c>
    </row>
    <row r="22" spans="1:48">
      <c r="A22" s="3275" t="s">
        <v>116</v>
      </c>
      <c r="B22" s="2152" t="s">
        <v>117</v>
      </c>
      <c r="C22" s="2104">
        <v>216650</v>
      </c>
      <c r="D22" s="2105">
        <f>'Table 5a'!L19</f>
        <v>6585</v>
      </c>
      <c r="E22" s="2106">
        <v>7954</v>
      </c>
      <c r="F22" s="2107">
        <v>8140</v>
      </c>
      <c r="G22" s="2107">
        <v>8292</v>
      </c>
      <c r="H22" s="2107">
        <v>8412</v>
      </c>
      <c r="I22" s="2108">
        <v>8509</v>
      </c>
      <c r="J22" s="2108">
        <v>8653</v>
      </c>
      <c r="K22" s="2109">
        <v>14573</v>
      </c>
      <c r="L22" s="215">
        <f t="shared" si="2"/>
        <v>0.31</v>
      </c>
      <c r="M22" s="2059">
        <f t="shared" ref="M22" si="67">O22-N22</f>
        <v>0.75</v>
      </c>
      <c r="N22" s="2060">
        <v>0</v>
      </c>
      <c r="O22" s="638">
        <f>'Table 5a'!G19</f>
        <v>0.75</v>
      </c>
      <c r="P22" s="2061">
        <f t="shared" ref="P22" si="68">R22-Q22</f>
        <v>0.84</v>
      </c>
      <c r="Q22" s="2062">
        <v>0</v>
      </c>
      <c r="R22" s="3108">
        <f>E22*$AO22/1000000</f>
        <v>0.84</v>
      </c>
      <c r="S22" s="2063">
        <v>0</v>
      </c>
      <c r="T22" s="2064">
        <f t="shared" ref="T22" si="69">V22-U22</f>
        <v>0.85</v>
      </c>
      <c r="U22" s="2060">
        <v>0</v>
      </c>
      <c r="V22" s="3087">
        <f>F22*$AO22/1000000</f>
        <v>0.85</v>
      </c>
      <c r="W22" s="3096">
        <v>0</v>
      </c>
      <c r="X22" s="2059">
        <f t="shared" ref="X22" si="70">Z22-Y22</f>
        <v>0.87</v>
      </c>
      <c r="Y22" s="2060">
        <v>0</v>
      </c>
      <c r="Z22" s="3108">
        <f>G22*$AO22/1000000</f>
        <v>0.87</v>
      </c>
      <c r="AA22" s="2063">
        <v>0</v>
      </c>
      <c r="AB22" s="2064">
        <f t="shared" ref="AB22" si="71">AD22-AC22</f>
        <v>0.88</v>
      </c>
      <c r="AC22" s="2060">
        <v>0</v>
      </c>
      <c r="AD22" s="3108">
        <f>H22*$AO22/1000000</f>
        <v>0.88</v>
      </c>
      <c r="AE22" s="2063">
        <v>0</v>
      </c>
      <c r="AF22" s="2064">
        <f t="shared" ref="AF22" si="72">AH22-AG22</f>
        <v>0.89</v>
      </c>
      <c r="AG22" s="2062">
        <v>0</v>
      </c>
      <c r="AH22" s="3108">
        <f>I22*$AO22/1000000</f>
        <v>0.89</v>
      </c>
      <c r="AI22" s="2063">
        <v>0</v>
      </c>
      <c r="AJ22" s="2153">
        <f t="shared" si="64"/>
        <v>0.91</v>
      </c>
      <c r="AK22" s="2154">
        <v>0</v>
      </c>
      <c r="AL22" s="3108">
        <f>J22*AO22/1000000</f>
        <v>0.91</v>
      </c>
      <c r="AM22" s="2067">
        <v>0</v>
      </c>
      <c r="AN22" s="231">
        <f t="shared" si="1"/>
        <v>0.21</v>
      </c>
      <c r="AO22" s="2155">
        <f>'Table 5a'!P19</f>
        <v>105</v>
      </c>
      <c r="AP22" s="2064">
        <f>AR22-AQ22</f>
        <v>0.96</v>
      </c>
      <c r="AQ22" s="2062">
        <f>AG22</f>
        <v>0</v>
      </c>
      <c r="AR22" s="3108">
        <f t="shared" ref="AR22:AR23" si="73">AL22*1.06</f>
        <v>0.96</v>
      </c>
      <c r="AS22" s="3094">
        <v>0</v>
      </c>
      <c r="AU22" s="2116">
        <f t="shared" si="11"/>
        <v>2068</v>
      </c>
      <c r="AV22" s="2069">
        <f t="shared" si="12"/>
        <v>0.16</v>
      </c>
    </row>
    <row r="23" spans="1:48" ht="13.5" thickBot="1">
      <c r="A23" s="3275"/>
      <c r="B23" s="2156" t="s">
        <v>118</v>
      </c>
      <c r="C23" s="2080">
        <v>218998</v>
      </c>
      <c r="D23" s="1010">
        <f>'Table 5a'!L20</f>
        <v>877</v>
      </c>
      <c r="E23" s="2119">
        <v>889</v>
      </c>
      <c r="F23" s="742">
        <v>889</v>
      </c>
      <c r="G23" s="742">
        <v>889</v>
      </c>
      <c r="H23" s="742">
        <v>889</v>
      </c>
      <c r="I23" s="2081">
        <v>889</v>
      </c>
      <c r="J23" s="2081">
        <v>889</v>
      </c>
      <c r="K23" s="2082">
        <v>1866</v>
      </c>
      <c r="L23" s="216">
        <f t="shared" si="2"/>
        <v>0.01</v>
      </c>
      <c r="M23" s="2083">
        <f t="shared" si="3"/>
        <v>0.19</v>
      </c>
      <c r="N23" s="2084">
        <v>0</v>
      </c>
      <c r="O23" s="51">
        <f>'Table 5a'!G20</f>
        <v>0.19</v>
      </c>
      <c r="P23" s="2085">
        <f t="shared" si="4"/>
        <v>0.2</v>
      </c>
      <c r="Q23" s="2086">
        <v>0</v>
      </c>
      <c r="R23" s="3078">
        <f>E23*$AO23/1000000</f>
        <v>0.2</v>
      </c>
      <c r="S23" s="2042">
        <v>0</v>
      </c>
      <c r="T23" s="2087">
        <f t="shared" si="5"/>
        <v>0.2</v>
      </c>
      <c r="U23" s="2084">
        <v>0</v>
      </c>
      <c r="V23" s="3078">
        <f>F23*$AO23/1000000</f>
        <v>0.2</v>
      </c>
      <c r="W23" s="3091">
        <v>0</v>
      </c>
      <c r="X23" s="2083">
        <f t="shared" si="6"/>
        <v>0.2</v>
      </c>
      <c r="Y23" s="2084">
        <v>0</v>
      </c>
      <c r="Z23" s="3078">
        <f>G23*$AO23/1000000</f>
        <v>0.2</v>
      </c>
      <c r="AA23" s="2042">
        <v>0</v>
      </c>
      <c r="AB23" s="2087">
        <f t="shared" si="7"/>
        <v>0.2</v>
      </c>
      <c r="AC23" s="2084">
        <v>0</v>
      </c>
      <c r="AD23" s="3078">
        <f>H23*$AO23/1000000</f>
        <v>0.2</v>
      </c>
      <c r="AE23" s="2042">
        <v>0</v>
      </c>
      <c r="AF23" s="2087">
        <f t="shared" si="8"/>
        <v>0.2</v>
      </c>
      <c r="AG23" s="2086">
        <v>0</v>
      </c>
      <c r="AH23" s="3078">
        <f>I23*$AO23/1000000</f>
        <v>0.2</v>
      </c>
      <c r="AI23" s="2042">
        <v>0</v>
      </c>
      <c r="AJ23" s="2087">
        <f t="shared" si="64"/>
        <v>0.2</v>
      </c>
      <c r="AK23" s="2086">
        <v>0</v>
      </c>
      <c r="AL23" s="3078">
        <f>J23*AO23/1000000</f>
        <v>0.2</v>
      </c>
      <c r="AM23" s="2043">
        <v>0</v>
      </c>
      <c r="AN23" s="216">
        <f t="shared" si="1"/>
        <v>0.05</v>
      </c>
      <c r="AO23" s="2157">
        <f>'Table 5a'!P20</f>
        <v>221</v>
      </c>
      <c r="AP23" s="2087">
        <f>AR23-AQ23</f>
        <v>0.21</v>
      </c>
      <c r="AQ23" s="2086">
        <f>AG23</f>
        <v>0</v>
      </c>
      <c r="AR23" s="3078">
        <f t="shared" si="73"/>
        <v>0.21</v>
      </c>
      <c r="AS23" s="3093">
        <v>0</v>
      </c>
      <c r="AU23" s="1849">
        <f t="shared" si="11"/>
        <v>12</v>
      </c>
      <c r="AV23" s="2089">
        <f t="shared" si="12"/>
        <v>0.01</v>
      </c>
    </row>
    <row r="24" spans="1:48" ht="14.25" thickTop="1" thickBot="1">
      <c r="A24" s="3275"/>
      <c r="B24" s="3310" t="s">
        <v>119</v>
      </c>
      <c r="C24" s="3311"/>
      <c r="D24" s="383">
        <f>SUM(D22:D23)</f>
        <v>7462</v>
      </c>
      <c r="E24" s="2120">
        <f>SUM(E22:E23)</f>
        <v>8843</v>
      </c>
      <c r="F24" s="64">
        <f t="shared" ref="F24:K24" si="74">SUM(F22:F23)</f>
        <v>9029</v>
      </c>
      <c r="G24" s="64">
        <f t="shared" si="74"/>
        <v>9181</v>
      </c>
      <c r="H24" s="64">
        <f t="shared" si="74"/>
        <v>9301</v>
      </c>
      <c r="I24" s="2121">
        <f t="shared" si="74"/>
        <v>9398</v>
      </c>
      <c r="J24" s="2121">
        <f t="shared" si="74"/>
        <v>9542</v>
      </c>
      <c r="K24" s="2158">
        <f t="shared" si="74"/>
        <v>16439</v>
      </c>
      <c r="L24" s="231">
        <f t="shared" si="2"/>
        <v>0.28000000000000003</v>
      </c>
      <c r="M24" s="2159">
        <f t="shared" si="3"/>
        <v>0.94</v>
      </c>
      <c r="N24" s="2160">
        <f>SUM(N22:N23)</f>
        <v>0</v>
      </c>
      <c r="O24" s="638">
        <f>SUM(O22:O23)</f>
        <v>0.94</v>
      </c>
      <c r="P24" s="2161">
        <f t="shared" si="4"/>
        <v>1.04</v>
      </c>
      <c r="Q24" s="2154">
        <f t="shared" ref="Q24:R24" si="75">SUM(Q22:Q23)</f>
        <v>0</v>
      </c>
      <c r="R24" s="3108">
        <f t="shared" si="75"/>
        <v>1.04</v>
      </c>
      <c r="S24" s="2063">
        <f>SUM(S22:S23)</f>
        <v>0</v>
      </c>
      <c r="T24" s="2153">
        <f t="shared" si="5"/>
        <v>1.05</v>
      </c>
      <c r="U24" s="2160">
        <f t="shared" ref="U24:V24" si="76">SUM(U22:U23)</f>
        <v>0</v>
      </c>
      <c r="V24" s="2066">
        <f t="shared" si="76"/>
        <v>1.05</v>
      </c>
      <c r="W24" s="3092">
        <f>SUM(W22:W23)</f>
        <v>0</v>
      </c>
      <c r="X24" s="2159">
        <f t="shared" si="6"/>
        <v>1.07</v>
      </c>
      <c r="Y24" s="2160">
        <f t="shared" ref="Y24:Z24" si="77">SUM(Y22:Y23)</f>
        <v>0</v>
      </c>
      <c r="Z24" s="3108">
        <f t="shared" si="77"/>
        <v>1.07</v>
      </c>
      <c r="AA24" s="2063">
        <f>SUM(AA22:AA23)</f>
        <v>0</v>
      </c>
      <c r="AB24" s="2153">
        <f t="shared" si="7"/>
        <v>1.08</v>
      </c>
      <c r="AC24" s="2160">
        <f t="shared" ref="AC24:AD24" si="78">SUM(AC22:AC23)</f>
        <v>0</v>
      </c>
      <c r="AD24" s="3108">
        <f t="shared" si="78"/>
        <v>1.08</v>
      </c>
      <c r="AE24" s="2063">
        <f>SUM(AE22:AE23)</f>
        <v>0</v>
      </c>
      <c r="AF24" s="2153">
        <f t="shared" si="8"/>
        <v>1.0900000000000001</v>
      </c>
      <c r="AG24" s="2154">
        <f t="shared" ref="AG24:AH24" si="79">SUM(AG22:AG23)</f>
        <v>0</v>
      </c>
      <c r="AH24" s="3113">
        <f t="shared" si="79"/>
        <v>1.0900000000000001</v>
      </c>
      <c r="AI24" s="2063">
        <f>SUM(AI22:AI23)</f>
        <v>0</v>
      </c>
      <c r="AJ24" s="2153">
        <f t="shared" ref="AJ24:AJ29" si="80">AL24-AK24</f>
        <v>1.1100000000000001</v>
      </c>
      <c r="AK24" s="2154">
        <f t="shared" ref="AK24:AL24" si="81">SUM(AK22:AK23)</f>
        <v>0</v>
      </c>
      <c r="AL24" s="3113">
        <f t="shared" si="81"/>
        <v>1.1100000000000001</v>
      </c>
      <c r="AM24" s="2067">
        <f>SUM(AM22:AM23)</f>
        <v>0</v>
      </c>
      <c r="AN24" s="231">
        <f t="shared" si="1"/>
        <v>0.18</v>
      </c>
      <c r="AO24" s="2162" t="s">
        <v>16</v>
      </c>
      <c r="AP24" s="2153">
        <f t="shared" ref="AP24" si="82">AR24-AQ24</f>
        <v>1.17</v>
      </c>
      <c r="AQ24" s="2154">
        <f>SUM(AQ22:AQ23)</f>
        <v>0</v>
      </c>
      <c r="AR24" s="3108">
        <f>SUM(AR22:AR23)</f>
        <v>1.17</v>
      </c>
      <c r="AS24" s="3092">
        <f>SUM(AS22:AS23)</f>
        <v>0</v>
      </c>
      <c r="AU24" s="738">
        <f t="shared" si="11"/>
        <v>2080</v>
      </c>
      <c r="AV24" s="2163">
        <f t="shared" si="12"/>
        <v>0.17</v>
      </c>
    </row>
    <row r="25" spans="1:48" ht="12.75" customHeight="1">
      <c r="A25" s="3274" t="s">
        <v>120</v>
      </c>
      <c r="B25" s="2164" t="s">
        <v>114</v>
      </c>
      <c r="C25" s="2165" t="s">
        <v>121</v>
      </c>
      <c r="D25" s="2820">
        <v>115456</v>
      </c>
      <c r="E25" s="2167">
        <v>122404</v>
      </c>
      <c r="F25" s="2168">
        <v>131926</v>
      </c>
      <c r="G25" s="2168">
        <v>134850</v>
      </c>
      <c r="H25" s="2168">
        <v>146664</v>
      </c>
      <c r="I25" s="2169">
        <v>153296</v>
      </c>
      <c r="J25" s="2169">
        <v>160792</v>
      </c>
      <c r="K25" s="2170">
        <v>410001</v>
      </c>
      <c r="L25" s="196">
        <f t="shared" si="2"/>
        <v>0.39</v>
      </c>
      <c r="M25" s="2984">
        <f t="shared" si="3"/>
        <v>11</v>
      </c>
      <c r="N25" s="2172">
        <v>0</v>
      </c>
      <c r="O25" s="675">
        <v>11</v>
      </c>
      <c r="P25" s="102">
        <f t="shared" si="4"/>
        <v>11.63</v>
      </c>
      <c r="Q25" s="2172">
        <v>0</v>
      </c>
      <c r="R25" s="3079">
        <f>E25*$AO25/1000000</f>
        <v>11.63</v>
      </c>
      <c r="S25" s="2129">
        <v>0</v>
      </c>
      <c r="T25" s="2173">
        <f t="shared" si="5"/>
        <v>12.53</v>
      </c>
      <c r="U25" s="2172">
        <v>0</v>
      </c>
      <c r="V25" s="3079">
        <f>F25*$AO25/1000000</f>
        <v>12.53</v>
      </c>
      <c r="W25" s="3094">
        <v>0</v>
      </c>
      <c r="X25" s="2171">
        <f t="shared" si="6"/>
        <v>12.81</v>
      </c>
      <c r="Y25" s="117">
        <v>0</v>
      </c>
      <c r="Z25" s="3079">
        <f>G25*$AO25/1000000</f>
        <v>12.81</v>
      </c>
      <c r="AA25" s="2129">
        <v>0</v>
      </c>
      <c r="AB25" s="2173">
        <f t="shared" si="7"/>
        <v>13.93</v>
      </c>
      <c r="AC25" s="2172">
        <v>0</v>
      </c>
      <c r="AD25" s="3079">
        <f>H25*$AO25/1000000</f>
        <v>13.93</v>
      </c>
      <c r="AE25" s="2129">
        <v>0</v>
      </c>
      <c r="AF25" s="2173">
        <f t="shared" si="8"/>
        <v>14.56</v>
      </c>
      <c r="AG25" s="117">
        <v>0</v>
      </c>
      <c r="AH25" s="3079">
        <f>I25*$AO25/1000000</f>
        <v>14.56</v>
      </c>
      <c r="AI25" s="2129">
        <v>0</v>
      </c>
      <c r="AJ25" s="2173">
        <f t="shared" si="80"/>
        <v>15.28</v>
      </c>
      <c r="AK25" s="117">
        <v>0</v>
      </c>
      <c r="AL25" s="3079">
        <f>J25*AO25/1000000</f>
        <v>15.28</v>
      </c>
      <c r="AM25" s="2132">
        <v>0</v>
      </c>
      <c r="AN25" s="218">
        <f t="shared" si="1"/>
        <v>0.39</v>
      </c>
      <c r="AO25" s="2174">
        <f>'Table 5a'!P22</f>
        <v>95</v>
      </c>
      <c r="AP25" s="2173">
        <f t="shared" si="9"/>
        <v>16.2</v>
      </c>
      <c r="AQ25" s="117">
        <f>AG25</f>
        <v>0</v>
      </c>
      <c r="AR25" s="3079">
        <f t="shared" ref="AR25:AR28" si="83">AL25*1.06</f>
        <v>16.2</v>
      </c>
      <c r="AS25" s="3096">
        <v>0</v>
      </c>
      <c r="AU25" s="2175">
        <f t="shared" si="11"/>
        <v>45336</v>
      </c>
      <c r="AV25" s="2176">
        <f t="shared" si="12"/>
        <v>4.28</v>
      </c>
    </row>
    <row r="26" spans="1:48" ht="12.75" customHeight="1">
      <c r="A26" s="3275"/>
      <c r="B26" s="2306" t="s">
        <v>122</v>
      </c>
      <c r="C26" s="2985">
        <v>137335</v>
      </c>
      <c r="D26" s="2843">
        <v>0</v>
      </c>
      <c r="E26" s="2255">
        <v>0</v>
      </c>
      <c r="F26" s="76">
        <v>0</v>
      </c>
      <c r="G26" s="76">
        <v>0</v>
      </c>
      <c r="H26" s="76">
        <v>0</v>
      </c>
      <c r="I26" s="2256">
        <v>0</v>
      </c>
      <c r="J26" s="2256">
        <v>0</v>
      </c>
      <c r="K26" s="2257">
        <v>0</v>
      </c>
      <c r="L26" s="1861" t="s">
        <v>16</v>
      </c>
      <c r="M26" s="2299">
        <f t="shared" si="3"/>
        <v>0</v>
      </c>
      <c r="N26" s="2300">
        <v>0</v>
      </c>
      <c r="O26" s="1024">
        <v>0</v>
      </c>
      <c r="P26" s="1000">
        <f t="shared" si="4"/>
        <v>0</v>
      </c>
      <c r="Q26" s="2300">
        <v>0</v>
      </c>
      <c r="R26" s="3082">
        <v>0</v>
      </c>
      <c r="S26" s="2258">
        <v>0</v>
      </c>
      <c r="T26" s="1957">
        <f t="shared" si="5"/>
        <v>0.5</v>
      </c>
      <c r="U26" s="2300">
        <v>0</v>
      </c>
      <c r="V26" s="3082">
        <v>0.5</v>
      </c>
      <c r="W26" s="3097">
        <v>0</v>
      </c>
      <c r="X26" s="1955">
        <f t="shared" si="6"/>
        <v>0.5</v>
      </c>
      <c r="Y26" s="90">
        <v>0</v>
      </c>
      <c r="Z26" s="3082">
        <v>0.5</v>
      </c>
      <c r="AA26" s="2258">
        <v>0</v>
      </c>
      <c r="AB26" s="1957">
        <f t="shared" si="7"/>
        <v>0.5</v>
      </c>
      <c r="AC26" s="2300">
        <v>0</v>
      </c>
      <c r="AD26" s="3082">
        <v>0.5</v>
      </c>
      <c r="AE26" s="2258">
        <v>0</v>
      </c>
      <c r="AF26" s="1957">
        <f t="shared" si="8"/>
        <v>0.5</v>
      </c>
      <c r="AG26" s="90">
        <v>0</v>
      </c>
      <c r="AH26" s="3082">
        <v>0.5</v>
      </c>
      <c r="AI26" s="2258">
        <v>0</v>
      </c>
      <c r="AJ26" s="1957">
        <f t="shared" si="80"/>
        <v>0.5</v>
      </c>
      <c r="AK26" s="90">
        <v>0</v>
      </c>
      <c r="AL26" s="3082">
        <v>0.5</v>
      </c>
      <c r="AM26" s="2259">
        <v>0</v>
      </c>
      <c r="AN26" s="300" t="e">
        <f t="shared" si="1"/>
        <v>#DIV/0!</v>
      </c>
      <c r="AO26" s="2012" t="str">
        <f>'Table 5a'!P23</f>
        <v>N/A</v>
      </c>
      <c r="AP26" s="1957">
        <f t="shared" ref="AP26" si="84">AR26-AQ26</f>
        <v>0.53</v>
      </c>
      <c r="AQ26" s="299">
        <f>AG26</f>
        <v>0</v>
      </c>
      <c r="AR26" s="3080">
        <f t="shared" ref="AR26" si="85">AL26*1.06</f>
        <v>0.53</v>
      </c>
      <c r="AS26" s="3093">
        <v>0</v>
      </c>
      <c r="AU26" s="2261"/>
      <c r="AV26" s="2303"/>
    </row>
    <row r="27" spans="1:48" ht="15" customHeight="1">
      <c r="A27" s="3275"/>
      <c r="B27" s="2007" t="s">
        <v>123</v>
      </c>
      <c r="C27" s="2008" t="s">
        <v>124</v>
      </c>
      <c r="D27" s="391">
        <f>'Table 5a'!L24</f>
        <v>9042</v>
      </c>
      <c r="E27" s="1954">
        <v>10076</v>
      </c>
      <c r="F27" s="814">
        <v>10076</v>
      </c>
      <c r="G27" s="814">
        <v>10076</v>
      </c>
      <c r="H27" s="814">
        <v>10076</v>
      </c>
      <c r="I27" s="807">
        <v>10076</v>
      </c>
      <c r="J27" s="807">
        <v>10076</v>
      </c>
      <c r="K27" s="305">
        <v>10076</v>
      </c>
      <c r="L27" s="1861">
        <f t="shared" si="2"/>
        <v>0.11</v>
      </c>
      <c r="M27" s="1955">
        <f t="shared" si="3"/>
        <v>0.89</v>
      </c>
      <c r="N27" s="1956">
        <v>0</v>
      </c>
      <c r="O27" s="633">
        <f>'Table 5a'!G24</f>
        <v>0.89</v>
      </c>
      <c r="P27" s="1000">
        <f t="shared" si="4"/>
        <v>0.98</v>
      </c>
      <c r="Q27" s="1956">
        <v>0</v>
      </c>
      <c r="R27" s="3080">
        <f>E27*$AO27/1000000</f>
        <v>0.98</v>
      </c>
      <c r="S27" s="2010">
        <v>0</v>
      </c>
      <c r="T27" s="1957">
        <f t="shared" si="5"/>
        <v>0.98</v>
      </c>
      <c r="U27" s="1956">
        <v>0</v>
      </c>
      <c r="V27" s="3080">
        <f>F27*$AO27/1000000</f>
        <v>0.98</v>
      </c>
      <c r="W27" s="3090">
        <v>0</v>
      </c>
      <c r="X27" s="1955">
        <f t="shared" si="6"/>
        <v>0.98</v>
      </c>
      <c r="Y27" s="299">
        <v>0</v>
      </c>
      <c r="Z27" s="3080">
        <f>G27*$AO27/1000000</f>
        <v>0.98</v>
      </c>
      <c r="AA27" s="2010">
        <v>0</v>
      </c>
      <c r="AB27" s="1957">
        <f t="shared" si="7"/>
        <v>0.98</v>
      </c>
      <c r="AC27" s="1956">
        <v>0</v>
      </c>
      <c r="AD27" s="3080">
        <f>H27*$AO27/1000000</f>
        <v>0.98</v>
      </c>
      <c r="AE27" s="2010">
        <v>0</v>
      </c>
      <c r="AF27" s="1957">
        <f t="shared" si="8"/>
        <v>0.98</v>
      </c>
      <c r="AG27" s="299">
        <v>0</v>
      </c>
      <c r="AH27" s="3080">
        <f>I27*$AO27/1000000</f>
        <v>0.98</v>
      </c>
      <c r="AI27" s="2010">
        <v>0</v>
      </c>
      <c r="AJ27" s="1957">
        <f t="shared" si="80"/>
        <v>0.98</v>
      </c>
      <c r="AK27" s="299">
        <v>0</v>
      </c>
      <c r="AL27" s="3080">
        <f>J27*AO27/1000000</f>
        <v>0.98</v>
      </c>
      <c r="AM27" s="2011">
        <v>0</v>
      </c>
      <c r="AN27" s="300">
        <f t="shared" si="1"/>
        <v>0.1</v>
      </c>
      <c r="AO27" s="2012">
        <f>'Table 5a'!P24</f>
        <v>97</v>
      </c>
      <c r="AP27" s="1957">
        <f t="shared" si="9"/>
        <v>1.04</v>
      </c>
      <c r="AQ27" s="299">
        <f>AG27</f>
        <v>0</v>
      </c>
      <c r="AR27" s="3080">
        <f t="shared" si="83"/>
        <v>1.04</v>
      </c>
      <c r="AS27" s="3093">
        <v>0</v>
      </c>
      <c r="AU27" s="1959">
        <f t="shared" si="11"/>
        <v>1034</v>
      </c>
      <c r="AV27" s="1960">
        <f t="shared" si="12"/>
        <v>0.09</v>
      </c>
    </row>
    <row r="28" spans="1:48" ht="15" customHeight="1">
      <c r="A28" s="3275"/>
      <c r="B28" s="2007" t="s">
        <v>125</v>
      </c>
      <c r="C28" s="2008" t="s">
        <v>126</v>
      </c>
      <c r="D28" s="391">
        <f>'Table 5a'!L25</f>
        <v>6500</v>
      </c>
      <c r="E28" s="1954">
        <v>6763</v>
      </c>
      <c r="F28" s="814">
        <v>7920</v>
      </c>
      <c r="G28" s="814">
        <v>8338</v>
      </c>
      <c r="H28" s="814">
        <v>8474</v>
      </c>
      <c r="I28" s="807">
        <v>8702</v>
      </c>
      <c r="J28" s="807">
        <v>8702</v>
      </c>
      <c r="K28" s="305">
        <v>10348</v>
      </c>
      <c r="L28" s="1861">
        <f t="shared" si="2"/>
        <v>0.34</v>
      </c>
      <c r="M28" s="1955">
        <f t="shared" si="3"/>
        <v>1</v>
      </c>
      <c r="N28" s="1956">
        <v>0</v>
      </c>
      <c r="O28" s="1024">
        <f>'Table 5a'!G25</f>
        <v>1</v>
      </c>
      <c r="P28" s="1000">
        <f t="shared" si="4"/>
        <v>1.0900000000000001</v>
      </c>
      <c r="Q28" s="1956">
        <v>0</v>
      </c>
      <c r="R28" s="3080">
        <f>E28*$AO28/1000000</f>
        <v>1.0900000000000001</v>
      </c>
      <c r="S28" s="2010">
        <v>0</v>
      </c>
      <c r="T28" s="1957">
        <f t="shared" si="5"/>
        <v>1.28</v>
      </c>
      <c r="U28" s="1956">
        <v>0</v>
      </c>
      <c r="V28" s="3080">
        <f>F28*$AO28/1000000</f>
        <v>1.28</v>
      </c>
      <c r="W28" s="3090">
        <v>0</v>
      </c>
      <c r="X28" s="1955">
        <f t="shared" si="6"/>
        <v>1.34</v>
      </c>
      <c r="Y28" s="299">
        <v>0</v>
      </c>
      <c r="Z28" s="3080">
        <f>G28*$AO28/1000000</f>
        <v>1.34</v>
      </c>
      <c r="AA28" s="2010">
        <v>0</v>
      </c>
      <c r="AB28" s="1957">
        <f t="shared" si="7"/>
        <v>1.36</v>
      </c>
      <c r="AC28" s="1956">
        <v>0</v>
      </c>
      <c r="AD28" s="3080">
        <f>H28*$AO28/1000000</f>
        <v>1.36</v>
      </c>
      <c r="AE28" s="2010">
        <v>0</v>
      </c>
      <c r="AF28" s="1957">
        <f t="shared" si="8"/>
        <v>1.4</v>
      </c>
      <c r="AG28" s="299">
        <v>0</v>
      </c>
      <c r="AH28" s="3080">
        <f>I28*$AO28/1000000</f>
        <v>1.4</v>
      </c>
      <c r="AI28" s="2010">
        <v>0</v>
      </c>
      <c r="AJ28" s="1957">
        <f t="shared" si="80"/>
        <v>1.4</v>
      </c>
      <c r="AK28" s="299">
        <v>0</v>
      </c>
      <c r="AL28" s="3080">
        <f>J28*AO28/1000000</f>
        <v>1.4</v>
      </c>
      <c r="AM28" s="2011">
        <v>0</v>
      </c>
      <c r="AN28" s="300">
        <f t="shared" si="1"/>
        <v>0.4</v>
      </c>
      <c r="AO28" s="2012">
        <f>'Table 5a'!P25</f>
        <v>161</v>
      </c>
      <c r="AP28" s="1957">
        <f t="shared" si="9"/>
        <v>1.48</v>
      </c>
      <c r="AQ28" s="299">
        <f>AG28</f>
        <v>0</v>
      </c>
      <c r="AR28" s="3080">
        <f t="shared" si="83"/>
        <v>1.48</v>
      </c>
      <c r="AS28" s="3090">
        <v>0</v>
      </c>
      <c r="AU28" s="1959">
        <f t="shared" si="11"/>
        <v>2202</v>
      </c>
      <c r="AV28" s="1960">
        <f t="shared" si="12"/>
        <v>0.4</v>
      </c>
    </row>
    <row r="29" spans="1:48" ht="15.75" customHeight="1" thickBot="1">
      <c r="A29" s="3275"/>
      <c r="B29" s="2177" t="s">
        <v>127</v>
      </c>
      <c r="C29" s="2030" t="s">
        <v>128</v>
      </c>
      <c r="D29" s="1963">
        <v>6844</v>
      </c>
      <c r="E29" s="2032">
        <v>8385</v>
      </c>
      <c r="F29" s="2033">
        <v>8403</v>
      </c>
      <c r="G29" s="2033">
        <v>8403</v>
      </c>
      <c r="H29" s="2033">
        <v>8403</v>
      </c>
      <c r="I29" s="2034">
        <v>8403</v>
      </c>
      <c r="J29" s="2034">
        <v>9365</v>
      </c>
      <c r="K29" s="2036">
        <v>10851</v>
      </c>
      <c r="L29" s="197">
        <f t="shared" si="2"/>
        <v>0.37</v>
      </c>
      <c r="M29" s="2037">
        <f t="shared" si="3"/>
        <v>0</v>
      </c>
      <c r="N29" s="2038">
        <v>0</v>
      </c>
      <c r="O29" s="51">
        <v>0</v>
      </c>
      <c r="P29" s="1021">
        <f t="shared" si="4"/>
        <v>0</v>
      </c>
      <c r="Q29" s="2038">
        <v>0</v>
      </c>
      <c r="R29" s="3078">
        <f>(E29*$AO29/1000000)-S29</f>
        <v>0</v>
      </c>
      <c r="S29" s="2042">
        <v>1.29</v>
      </c>
      <c r="T29" s="2040">
        <f t="shared" si="5"/>
        <v>0</v>
      </c>
      <c r="U29" s="2038">
        <v>0</v>
      </c>
      <c r="V29" s="3078">
        <f>(F29*$AO29/1000000)-W29</f>
        <v>0</v>
      </c>
      <c r="W29" s="3091">
        <v>1.29</v>
      </c>
      <c r="X29" s="2037">
        <f t="shared" si="6"/>
        <v>0</v>
      </c>
      <c r="Y29" s="1022">
        <v>0</v>
      </c>
      <c r="Z29" s="3078">
        <f>(G29*$AO29/1000000)-AA29</f>
        <v>0</v>
      </c>
      <c r="AA29" s="2042">
        <v>1.29</v>
      </c>
      <c r="AB29" s="2040">
        <f t="shared" si="7"/>
        <v>0</v>
      </c>
      <c r="AC29" s="2038">
        <v>0</v>
      </c>
      <c r="AD29" s="3078">
        <f>(H29*$AO29/1000000)-AE29</f>
        <v>0</v>
      </c>
      <c r="AE29" s="2042">
        <v>1.29</v>
      </c>
      <c r="AF29" s="2040">
        <f t="shared" si="8"/>
        <v>0</v>
      </c>
      <c r="AG29" s="1022">
        <v>0</v>
      </c>
      <c r="AH29" s="3078">
        <f>(I29*$AO29/1000000)-AI29</f>
        <v>0</v>
      </c>
      <c r="AI29" s="2042">
        <v>1.29</v>
      </c>
      <c r="AJ29" s="2040">
        <f t="shared" si="80"/>
        <v>0</v>
      </c>
      <c r="AK29" s="1022">
        <v>0</v>
      </c>
      <c r="AL29" s="3078">
        <f>(J29*AO29/1000000)-AM29</f>
        <v>0</v>
      </c>
      <c r="AM29" s="2043">
        <v>1.44</v>
      </c>
      <c r="AN29" s="216" t="s">
        <v>16</v>
      </c>
      <c r="AO29" s="2044">
        <f>'Table 5a'!P36</f>
        <v>154</v>
      </c>
      <c r="AP29" s="2040">
        <f t="shared" si="9"/>
        <v>0</v>
      </c>
      <c r="AQ29" s="1022">
        <f>AG29</f>
        <v>0</v>
      </c>
      <c r="AR29" s="3078">
        <f>(SUM(AL29:AM29)*1.06)-AS29</f>
        <v>0</v>
      </c>
      <c r="AS29" s="3096">
        <v>1.53</v>
      </c>
      <c r="AU29" s="2045">
        <f t="shared" si="11"/>
        <v>2521</v>
      </c>
      <c r="AV29" s="2046">
        <f t="shared" si="12"/>
        <v>0</v>
      </c>
    </row>
    <row r="30" spans="1:48" ht="16.5" customHeight="1" thickTop="1" thickBot="1">
      <c r="A30" s="3276"/>
      <c r="B30" s="3277" t="s">
        <v>129</v>
      </c>
      <c r="C30" s="3278"/>
      <c r="D30" s="1978">
        <f>SUM(D25:D29)</f>
        <v>137842</v>
      </c>
      <c r="E30" s="2178">
        <f t="shared" ref="E30:I30" si="86">SUM(E25:E29)</f>
        <v>147628</v>
      </c>
      <c r="F30" s="2179">
        <f t="shared" si="86"/>
        <v>158325</v>
      </c>
      <c r="G30" s="2179">
        <f t="shared" si="86"/>
        <v>161667</v>
      </c>
      <c r="H30" s="2179">
        <f t="shared" si="86"/>
        <v>173617</v>
      </c>
      <c r="I30" s="2180">
        <f t="shared" si="86"/>
        <v>180477</v>
      </c>
      <c r="J30" s="2180">
        <f>SUM(J25:J29)</f>
        <v>188935</v>
      </c>
      <c r="K30" s="2181">
        <f>SUM(K25:K29)</f>
        <v>441276</v>
      </c>
      <c r="L30" s="241">
        <f t="shared" si="2"/>
        <v>0.37</v>
      </c>
      <c r="M30" s="2182">
        <f t="shared" si="3"/>
        <v>12.89</v>
      </c>
      <c r="N30" s="2183">
        <f>SUM(N25:N29)</f>
        <v>0</v>
      </c>
      <c r="O30" s="315">
        <f t="shared" ref="O30" si="87">SUM(O25:O29)</f>
        <v>12.89</v>
      </c>
      <c r="P30" s="60">
        <f t="shared" si="4"/>
        <v>13.7</v>
      </c>
      <c r="Q30" s="2183">
        <f t="shared" ref="Q30:AL30" si="88">SUM(Q25:Q29)</f>
        <v>0</v>
      </c>
      <c r="R30" s="3071">
        <f t="shared" si="88"/>
        <v>13.7</v>
      </c>
      <c r="S30" s="103">
        <f>SUM(S25:S29)</f>
        <v>1.29</v>
      </c>
      <c r="T30" s="2184">
        <f t="shared" si="5"/>
        <v>15.29</v>
      </c>
      <c r="U30" s="2183">
        <f t="shared" ref="U30" si="89">SUM(U25:U29)</f>
        <v>0</v>
      </c>
      <c r="V30" s="111">
        <f t="shared" si="88"/>
        <v>15.29</v>
      </c>
      <c r="W30" s="3098">
        <f>SUM(W25:W29)</f>
        <v>1.29</v>
      </c>
      <c r="X30" s="2182">
        <f t="shared" si="6"/>
        <v>15.63</v>
      </c>
      <c r="Y30" s="106">
        <f t="shared" ref="Y30" si="90">SUM(Y25:Y29)</f>
        <v>0</v>
      </c>
      <c r="Z30" s="3071">
        <f t="shared" si="88"/>
        <v>15.63</v>
      </c>
      <c r="AA30" s="103">
        <f>SUM(AA25:AA29)</f>
        <v>1.29</v>
      </c>
      <c r="AB30" s="2184">
        <f t="shared" si="7"/>
        <v>16.77</v>
      </c>
      <c r="AC30" s="2183">
        <f t="shared" ref="AC30" si="91">SUM(AC25:AC29)</f>
        <v>0</v>
      </c>
      <c r="AD30" s="3071">
        <f t="shared" si="88"/>
        <v>16.77</v>
      </c>
      <c r="AE30" s="103">
        <f>SUM(AE25:AE29)</f>
        <v>1.29</v>
      </c>
      <c r="AF30" s="2184">
        <f t="shared" si="8"/>
        <v>17.440000000000001</v>
      </c>
      <c r="AG30" s="106">
        <f t="shared" ref="AG30" si="92">SUM(AG25:AG29)</f>
        <v>0</v>
      </c>
      <c r="AH30" s="3071">
        <f t="shared" si="88"/>
        <v>17.440000000000001</v>
      </c>
      <c r="AI30" s="103">
        <f>SUM(AI25:AI29)</f>
        <v>1.29</v>
      </c>
      <c r="AJ30" s="2184">
        <f t="shared" ref="AJ30:AJ32" si="93">AL30-AK30</f>
        <v>18.16</v>
      </c>
      <c r="AK30" s="106">
        <f t="shared" ref="AK30" si="94">SUM(AK25:AK29)</f>
        <v>0</v>
      </c>
      <c r="AL30" s="3075">
        <f t="shared" si="88"/>
        <v>18.16</v>
      </c>
      <c r="AM30" s="61">
        <f>SUM(AM25:AM29)</f>
        <v>1.44</v>
      </c>
      <c r="AN30" s="202">
        <f t="shared" ref="AN30:AN38" si="95">(AL30-O30)/O30</f>
        <v>0.41</v>
      </c>
      <c r="AO30" s="3026" t="s">
        <v>16</v>
      </c>
      <c r="AP30" s="2184">
        <f t="shared" si="9"/>
        <v>19.25</v>
      </c>
      <c r="AQ30" s="106">
        <f>SUM(AQ25:AQ29)</f>
        <v>0</v>
      </c>
      <c r="AR30" s="3075">
        <f t="shared" ref="AR30" si="96">SUM(AR25:AR29)</f>
        <v>19.25</v>
      </c>
      <c r="AS30" s="3098">
        <f>SUM(AS25:AS29)</f>
        <v>1.53</v>
      </c>
      <c r="AU30" s="2185">
        <f t="shared" si="11"/>
        <v>51093</v>
      </c>
      <c r="AV30" s="2186">
        <f t="shared" si="12"/>
        <v>5.27</v>
      </c>
    </row>
    <row r="31" spans="1:48" ht="12.75" customHeight="1">
      <c r="A31" s="3274" t="s">
        <v>130</v>
      </c>
      <c r="B31" s="2164" t="s">
        <v>131</v>
      </c>
      <c r="C31" s="2165" t="s">
        <v>132</v>
      </c>
      <c r="D31" s="2211">
        <f>'Table 5a'!L27</f>
        <v>18697</v>
      </c>
      <c r="E31" s="2167">
        <v>19350</v>
      </c>
      <c r="F31" s="2168">
        <v>19898</v>
      </c>
      <c r="G31" s="2168">
        <v>20461</v>
      </c>
      <c r="H31" s="2168">
        <v>21040</v>
      </c>
      <c r="I31" s="2169">
        <v>21636</v>
      </c>
      <c r="J31" s="2169">
        <v>22252</v>
      </c>
      <c r="K31" s="2170">
        <v>59148</v>
      </c>
      <c r="L31" s="218">
        <f t="shared" si="2"/>
        <v>0.19</v>
      </c>
      <c r="M31" s="2984">
        <f t="shared" si="3"/>
        <v>3.28</v>
      </c>
      <c r="N31" s="117">
        <v>0</v>
      </c>
      <c r="O31" s="2994">
        <f>'Table 5a'!G27</f>
        <v>3.28</v>
      </c>
      <c r="P31" s="2984">
        <f t="shared" si="4"/>
        <v>3.42</v>
      </c>
      <c r="Q31" s="2172">
        <v>0</v>
      </c>
      <c r="R31" s="3079">
        <f>E31*$AO31/1000000</f>
        <v>3.42</v>
      </c>
      <c r="S31" s="2129">
        <v>0</v>
      </c>
      <c r="T31" s="2984">
        <f t="shared" si="5"/>
        <v>3.52</v>
      </c>
      <c r="U31" s="2172">
        <v>0</v>
      </c>
      <c r="V31" s="3079">
        <f>F31*$AO31/1000000</f>
        <v>3.52</v>
      </c>
      <c r="W31" s="3094">
        <v>0</v>
      </c>
      <c r="X31" s="2171">
        <f t="shared" si="6"/>
        <v>3.62</v>
      </c>
      <c r="Y31" s="117">
        <v>0</v>
      </c>
      <c r="Z31" s="3079">
        <f>G31*$AO31/1000000</f>
        <v>3.62</v>
      </c>
      <c r="AA31" s="2129">
        <v>0</v>
      </c>
      <c r="AB31" s="2173">
        <f t="shared" si="7"/>
        <v>3.72</v>
      </c>
      <c r="AC31" s="2172">
        <v>0</v>
      </c>
      <c r="AD31" s="3079">
        <f>H31*$AO31/1000000</f>
        <v>3.72</v>
      </c>
      <c r="AE31" s="2129">
        <v>0</v>
      </c>
      <c r="AF31" s="2173">
        <f t="shared" si="8"/>
        <v>3.83</v>
      </c>
      <c r="AG31" s="117">
        <v>0</v>
      </c>
      <c r="AH31" s="3079">
        <f>I31*$AO31/1000000</f>
        <v>3.83</v>
      </c>
      <c r="AI31" s="2129">
        <v>0</v>
      </c>
      <c r="AJ31" s="2173">
        <f t="shared" si="93"/>
        <v>3.94</v>
      </c>
      <c r="AK31" s="117">
        <v>0</v>
      </c>
      <c r="AL31" s="3079">
        <f>J31*AO31/1000000</f>
        <v>3.94</v>
      </c>
      <c r="AM31" s="2132">
        <v>0</v>
      </c>
      <c r="AN31" s="218">
        <f t="shared" si="95"/>
        <v>0.2</v>
      </c>
      <c r="AO31" s="2133">
        <f>'Table 5a'!P27</f>
        <v>177</v>
      </c>
      <c r="AP31" s="2173">
        <f t="shared" si="9"/>
        <v>4.18</v>
      </c>
      <c r="AQ31" s="117">
        <v>0</v>
      </c>
      <c r="AR31" s="3079">
        <f t="shared" ref="AR31:AR32" si="97">AL31*1.06</f>
        <v>4.18</v>
      </c>
      <c r="AS31" s="3094">
        <v>0</v>
      </c>
      <c r="AU31" s="2175">
        <f t="shared" si="11"/>
        <v>3555</v>
      </c>
      <c r="AV31" s="2176">
        <f t="shared" si="12"/>
        <v>0.66</v>
      </c>
    </row>
    <row r="32" spans="1:48" ht="15.75" customHeight="1" thickBot="1">
      <c r="A32" s="3275"/>
      <c r="B32" s="2029" t="s">
        <v>133</v>
      </c>
      <c r="C32" s="2030" t="s">
        <v>134</v>
      </c>
      <c r="D32" s="2031">
        <f>'Table 5a'!L28</f>
        <v>70</v>
      </c>
      <c r="E32" s="2119">
        <v>75</v>
      </c>
      <c r="F32" s="742">
        <v>88</v>
      </c>
      <c r="G32" s="742">
        <v>90</v>
      </c>
      <c r="H32" s="742">
        <v>94</v>
      </c>
      <c r="I32" s="2081">
        <v>94</v>
      </c>
      <c r="J32" s="2081">
        <v>94</v>
      </c>
      <c r="K32" s="2082">
        <v>465</v>
      </c>
      <c r="L32" s="216">
        <f t="shared" si="2"/>
        <v>0.34</v>
      </c>
      <c r="M32" s="2037">
        <f t="shared" si="3"/>
        <v>0.04</v>
      </c>
      <c r="N32" s="2038">
        <v>0</v>
      </c>
      <c r="O32" s="51">
        <f>'Table 5a'!G28</f>
        <v>0.04</v>
      </c>
      <c r="P32" s="1021">
        <f t="shared" si="4"/>
        <v>0.05</v>
      </c>
      <c r="Q32" s="2038">
        <v>0</v>
      </c>
      <c r="R32" s="3078">
        <f>E32*$AO32/1000000</f>
        <v>0.05</v>
      </c>
      <c r="S32" s="2042">
        <v>0</v>
      </c>
      <c r="T32" s="2040">
        <f t="shared" si="5"/>
        <v>0.06</v>
      </c>
      <c r="U32" s="2038">
        <v>0</v>
      </c>
      <c r="V32" s="3078">
        <f>F32*$AO32/1000000</f>
        <v>0.06</v>
      </c>
      <c r="W32" s="3091">
        <v>0</v>
      </c>
      <c r="X32" s="2037">
        <f t="shared" si="6"/>
        <v>0.06</v>
      </c>
      <c r="Y32" s="1022">
        <v>0</v>
      </c>
      <c r="Z32" s="3078">
        <f>G32*$AO32/1000000</f>
        <v>0.06</v>
      </c>
      <c r="AA32" s="2042">
        <v>0</v>
      </c>
      <c r="AB32" s="2040">
        <f t="shared" si="7"/>
        <v>0.06</v>
      </c>
      <c r="AC32" s="2038">
        <v>0</v>
      </c>
      <c r="AD32" s="3078">
        <f>H32*$AO32/1000000</f>
        <v>0.06</v>
      </c>
      <c r="AE32" s="2042">
        <v>0</v>
      </c>
      <c r="AF32" s="2040">
        <f t="shared" si="8"/>
        <v>0.06</v>
      </c>
      <c r="AG32" s="1022">
        <v>0</v>
      </c>
      <c r="AH32" s="3078">
        <f>I32*$AO32/1000000</f>
        <v>0.06</v>
      </c>
      <c r="AI32" s="2042">
        <v>0</v>
      </c>
      <c r="AJ32" s="2040">
        <f t="shared" si="93"/>
        <v>0.06</v>
      </c>
      <c r="AK32" s="1022">
        <v>0</v>
      </c>
      <c r="AL32" s="3078">
        <f>J32*AO32/1000000</f>
        <v>0.06</v>
      </c>
      <c r="AM32" s="2043">
        <v>0</v>
      </c>
      <c r="AN32" s="216">
        <f t="shared" si="95"/>
        <v>0.5</v>
      </c>
      <c r="AO32" s="2044">
        <f>'Table 5a'!P28</f>
        <v>635</v>
      </c>
      <c r="AP32" s="2040">
        <f t="shared" si="9"/>
        <v>0.06</v>
      </c>
      <c r="AQ32" s="1022">
        <v>0</v>
      </c>
      <c r="AR32" s="3078">
        <f t="shared" si="97"/>
        <v>0.06</v>
      </c>
      <c r="AS32" s="3093">
        <v>0</v>
      </c>
      <c r="AU32" s="1849">
        <f t="shared" si="11"/>
        <v>24</v>
      </c>
      <c r="AV32" s="2046">
        <f t="shared" si="12"/>
        <v>0.02</v>
      </c>
    </row>
    <row r="33" spans="1:48" ht="16.5" customHeight="1" thickTop="1" thickBot="1">
      <c r="A33" s="3276"/>
      <c r="B33" s="3277" t="s">
        <v>135</v>
      </c>
      <c r="C33" s="3278"/>
      <c r="D33" s="1978">
        <f t="shared" ref="D33:K33" si="98">SUM(D31:D32)</f>
        <v>18767</v>
      </c>
      <c r="E33" s="1979">
        <f t="shared" si="98"/>
        <v>19425</v>
      </c>
      <c r="F33" s="1980">
        <f t="shared" si="98"/>
        <v>19986</v>
      </c>
      <c r="G33" s="1980">
        <f t="shared" si="98"/>
        <v>20551</v>
      </c>
      <c r="H33" s="1980">
        <f t="shared" si="98"/>
        <v>21134</v>
      </c>
      <c r="I33" s="1981">
        <f t="shared" si="98"/>
        <v>21730</v>
      </c>
      <c r="J33" s="1981">
        <f t="shared" si="98"/>
        <v>22346</v>
      </c>
      <c r="K33" s="1983">
        <f t="shared" si="98"/>
        <v>59613</v>
      </c>
      <c r="L33" s="217">
        <f t="shared" si="2"/>
        <v>0.19</v>
      </c>
      <c r="M33" s="101">
        <f t="shared" si="3"/>
        <v>3.32</v>
      </c>
      <c r="N33" s="1984">
        <f>SUM(N31:N32)</f>
        <v>0</v>
      </c>
      <c r="O33" s="154">
        <f>SUM(O31:O32)</f>
        <v>3.32</v>
      </c>
      <c r="P33" s="100">
        <f t="shared" si="4"/>
        <v>3.47</v>
      </c>
      <c r="Q33" s="1984">
        <f>SUM(Q31:Q32)</f>
        <v>0</v>
      </c>
      <c r="R33" s="3074">
        <f>SUM(R31:R32)</f>
        <v>3.47</v>
      </c>
      <c r="S33" s="303">
        <f>SUM(S31:S32)</f>
        <v>0</v>
      </c>
      <c r="T33" s="1985">
        <f t="shared" si="5"/>
        <v>3.58</v>
      </c>
      <c r="U33" s="1984">
        <f>SUM(U31:U32)</f>
        <v>0</v>
      </c>
      <c r="V33" s="2546">
        <f>SUM(V31:V32)</f>
        <v>3.58</v>
      </c>
      <c r="W33" s="3099">
        <f>SUM(W31:W32)</f>
        <v>0</v>
      </c>
      <c r="X33" s="101">
        <f t="shared" si="6"/>
        <v>3.68</v>
      </c>
      <c r="Y33" s="108">
        <f>SUM(Y31:Y32)</f>
        <v>0</v>
      </c>
      <c r="Z33" s="303">
        <f>SUM(Z31:Z32)</f>
        <v>3.68</v>
      </c>
      <c r="AA33" s="3098">
        <f>SUM(AA31:AA32)</f>
        <v>0</v>
      </c>
      <c r="AB33" s="1985">
        <f t="shared" si="7"/>
        <v>3.78</v>
      </c>
      <c r="AC33" s="1984">
        <f>SUM(AC31:AC32)</f>
        <v>0</v>
      </c>
      <c r="AD33" s="3074">
        <f>SUM(AD31:AD32)</f>
        <v>3.78</v>
      </c>
      <c r="AE33" s="303">
        <f>SUM(AE31:AE32)</f>
        <v>0</v>
      </c>
      <c r="AF33" s="1985">
        <f t="shared" si="8"/>
        <v>3.89</v>
      </c>
      <c r="AG33" s="108">
        <f>SUM(AG31:AG32)</f>
        <v>0</v>
      </c>
      <c r="AH33" s="3074">
        <f>SUM(AH31:AH32)</f>
        <v>3.89</v>
      </c>
      <c r="AI33" s="303">
        <f>SUM(AI31:AI32)</f>
        <v>0</v>
      </c>
      <c r="AJ33" s="1985">
        <f t="shared" ref="AJ33:AJ41" si="99">AL33-AK33</f>
        <v>4</v>
      </c>
      <c r="AK33" s="108">
        <f>SUM(AK31:AK32)</f>
        <v>0</v>
      </c>
      <c r="AL33" s="3074">
        <f>SUM(AL31:AL32)</f>
        <v>4</v>
      </c>
      <c r="AM33" s="21">
        <f>SUM(AM31:AM32)</f>
        <v>0</v>
      </c>
      <c r="AN33" s="202">
        <f t="shared" si="95"/>
        <v>0.2</v>
      </c>
      <c r="AO33" s="3027" t="s">
        <v>16</v>
      </c>
      <c r="AP33" s="1985">
        <f t="shared" si="9"/>
        <v>4.24</v>
      </c>
      <c r="AQ33" s="108">
        <f>SUM(AQ31:AQ32)</f>
        <v>0</v>
      </c>
      <c r="AR33" s="3074">
        <f>SUM(AR31:AR32)</f>
        <v>4.24</v>
      </c>
      <c r="AS33" s="3098">
        <f>SUM(AS31:AS32)</f>
        <v>0</v>
      </c>
      <c r="AU33" s="1986">
        <f t="shared" si="11"/>
        <v>3579</v>
      </c>
      <c r="AV33" s="1987">
        <f t="shared" si="12"/>
        <v>0.68</v>
      </c>
    </row>
    <row r="34" spans="1:48">
      <c r="A34" s="3274" t="s">
        <v>136</v>
      </c>
      <c r="B34" s="63" t="s">
        <v>137</v>
      </c>
      <c r="C34" s="2187" t="s">
        <v>138</v>
      </c>
      <c r="D34" s="2047">
        <f>'Table 5a'!L30</f>
        <v>1015</v>
      </c>
      <c r="E34" s="2167">
        <v>1015</v>
      </c>
      <c r="F34" s="2168">
        <v>1015</v>
      </c>
      <c r="G34" s="2168">
        <v>1015</v>
      </c>
      <c r="H34" s="2168">
        <v>1015</v>
      </c>
      <c r="I34" s="2169">
        <v>1015</v>
      </c>
      <c r="J34" s="2169">
        <v>1015</v>
      </c>
      <c r="K34" s="2170">
        <v>1015</v>
      </c>
      <c r="L34" s="208">
        <f t="shared" si="2"/>
        <v>0</v>
      </c>
      <c r="M34" s="2171">
        <f t="shared" si="3"/>
        <v>0.08</v>
      </c>
      <c r="N34" s="2172">
        <v>0</v>
      </c>
      <c r="O34" s="675">
        <f>'Table 5a'!G30</f>
        <v>0.08</v>
      </c>
      <c r="P34" s="102">
        <f t="shared" si="4"/>
        <v>0.08</v>
      </c>
      <c r="Q34" s="2172">
        <v>0</v>
      </c>
      <c r="R34" s="3079">
        <f>E34*$AO34/1000000</f>
        <v>0.08</v>
      </c>
      <c r="S34" s="2129">
        <v>0</v>
      </c>
      <c r="T34" s="2173">
        <f t="shared" si="5"/>
        <v>0.08</v>
      </c>
      <c r="U34" s="2172">
        <v>0</v>
      </c>
      <c r="V34" s="3079">
        <f>F34*$AO34/1000000</f>
        <v>0.08</v>
      </c>
      <c r="W34" s="3094">
        <v>0</v>
      </c>
      <c r="X34" s="2171">
        <f t="shared" si="6"/>
        <v>0.08</v>
      </c>
      <c r="Y34" s="117">
        <v>0</v>
      </c>
      <c r="Z34" s="3079">
        <f>G34*$AO34/1000000</f>
        <v>0.08</v>
      </c>
      <c r="AA34" s="2129">
        <v>0</v>
      </c>
      <c r="AB34" s="2173">
        <f t="shared" si="7"/>
        <v>0.08</v>
      </c>
      <c r="AC34" s="2172">
        <v>0</v>
      </c>
      <c r="AD34" s="3079">
        <f>H34*$AO34/1000000</f>
        <v>0.08</v>
      </c>
      <c r="AE34" s="2129">
        <v>0</v>
      </c>
      <c r="AF34" s="2173">
        <f t="shared" si="8"/>
        <v>0.08</v>
      </c>
      <c r="AG34" s="117">
        <v>0</v>
      </c>
      <c r="AH34" s="3079">
        <f>I34*$AO34/1000000</f>
        <v>0.08</v>
      </c>
      <c r="AI34" s="2129">
        <v>0</v>
      </c>
      <c r="AJ34" s="2173">
        <f t="shared" si="99"/>
        <v>0.08</v>
      </c>
      <c r="AK34" s="117">
        <v>0</v>
      </c>
      <c r="AL34" s="3079">
        <f>J34*AO34/1000000</f>
        <v>0.08</v>
      </c>
      <c r="AM34" s="3115">
        <v>0</v>
      </c>
      <c r="AN34" s="232">
        <f t="shared" si="95"/>
        <v>0</v>
      </c>
      <c r="AO34" s="2188">
        <f>'Table 5a'!P30</f>
        <v>77</v>
      </c>
      <c r="AP34" s="2173">
        <f t="shared" si="9"/>
        <v>0.08</v>
      </c>
      <c r="AQ34" s="117">
        <f t="shared" ref="AQ34:AQ41" si="100">AG34</f>
        <v>0</v>
      </c>
      <c r="AR34" s="3079">
        <f t="shared" ref="AR34:AR41" si="101">AL34*1.06</f>
        <v>0.08</v>
      </c>
      <c r="AS34" s="3097">
        <v>0</v>
      </c>
      <c r="AU34" s="2175">
        <f t="shared" si="11"/>
        <v>0</v>
      </c>
      <c r="AV34" s="2176">
        <f t="shared" si="12"/>
        <v>0</v>
      </c>
    </row>
    <row r="35" spans="1:48">
      <c r="A35" s="3275"/>
      <c r="B35" s="1859" t="s">
        <v>139</v>
      </c>
      <c r="C35" s="2189" t="s">
        <v>140</v>
      </c>
      <c r="D35" s="1953">
        <f>'Table 5a'!L31</f>
        <v>1385</v>
      </c>
      <c r="E35" s="1954">
        <v>1419</v>
      </c>
      <c r="F35" s="814">
        <v>1462</v>
      </c>
      <c r="G35" s="814">
        <v>2085</v>
      </c>
      <c r="H35" s="814">
        <v>2085</v>
      </c>
      <c r="I35" s="807">
        <v>2260</v>
      </c>
      <c r="J35" s="807">
        <v>2260</v>
      </c>
      <c r="K35" s="305">
        <v>5578</v>
      </c>
      <c r="L35" s="1862">
        <f t="shared" si="2"/>
        <v>0.63</v>
      </c>
      <c r="M35" s="1955">
        <f t="shared" si="3"/>
        <v>0.22</v>
      </c>
      <c r="N35" s="1956">
        <v>0</v>
      </c>
      <c r="O35" s="633">
        <f>'Table 5a'!G31</f>
        <v>0.22</v>
      </c>
      <c r="P35" s="1000">
        <f t="shared" si="4"/>
        <v>0.23</v>
      </c>
      <c r="Q35" s="1956">
        <v>0</v>
      </c>
      <c r="R35" s="3080">
        <f>E35*$AO35/1000000</f>
        <v>0.23</v>
      </c>
      <c r="S35" s="2010">
        <v>0</v>
      </c>
      <c r="T35" s="1957">
        <f t="shared" si="5"/>
        <v>0.24</v>
      </c>
      <c r="U35" s="1956">
        <v>0</v>
      </c>
      <c r="V35" s="3080">
        <f>F35*$AO35/1000000</f>
        <v>0.24</v>
      </c>
      <c r="W35" s="3090">
        <v>0</v>
      </c>
      <c r="X35" s="1955">
        <f t="shared" si="6"/>
        <v>0.34</v>
      </c>
      <c r="Y35" s="299">
        <v>0</v>
      </c>
      <c r="Z35" s="3080">
        <f>G35*$AO35/1000000</f>
        <v>0.34</v>
      </c>
      <c r="AA35" s="2010">
        <v>0</v>
      </c>
      <c r="AB35" s="1957">
        <f t="shared" si="7"/>
        <v>0.34</v>
      </c>
      <c r="AC35" s="1956">
        <v>0</v>
      </c>
      <c r="AD35" s="3080">
        <f>H35*$AO35/1000000</f>
        <v>0.34</v>
      </c>
      <c r="AE35" s="2010">
        <v>0</v>
      </c>
      <c r="AF35" s="1957">
        <f t="shared" si="8"/>
        <v>0.36</v>
      </c>
      <c r="AG35" s="299">
        <v>0</v>
      </c>
      <c r="AH35" s="3080">
        <f>I35*$AO35/1000000</f>
        <v>0.36</v>
      </c>
      <c r="AI35" s="2010">
        <v>0</v>
      </c>
      <c r="AJ35" s="1957">
        <f t="shared" si="99"/>
        <v>0.36</v>
      </c>
      <c r="AK35" s="299">
        <v>0</v>
      </c>
      <c r="AL35" s="3080">
        <f>J35*AO35/1000000</f>
        <v>0.36</v>
      </c>
      <c r="AM35" s="2011">
        <v>0</v>
      </c>
      <c r="AN35" s="300">
        <f t="shared" si="95"/>
        <v>0.64</v>
      </c>
      <c r="AO35" s="2190">
        <f>'Table 5a'!P31</f>
        <v>161</v>
      </c>
      <c r="AP35" s="1957">
        <f t="shared" si="9"/>
        <v>0.38</v>
      </c>
      <c r="AQ35" s="299">
        <f t="shared" si="100"/>
        <v>0</v>
      </c>
      <c r="AR35" s="3080">
        <f t="shared" si="101"/>
        <v>0.38</v>
      </c>
      <c r="AS35" s="3090">
        <v>0</v>
      </c>
      <c r="AU35" s="1959">
        <f t="shared" si="11"/>
        <v>875</v>
      </c>
      <c r="AV35" s="1960">
        <f t="shared" si="12"/>
        <v>0.14000000000000001</v>
      </c>
    </row>
    <row r="36" spans="1:48">
      <c r="A36" s="3275"/>
      <c r="B36" s="1859" t="s">
        <v>141</v>
      </c>
      <c r="C36" s="2189" t="s">
        <v>142</v>
      </c>
      <c r="D36" s="1953">
        <f>'Table 5a'!L32</f>
        <v>23279</v>
      </c>
      <c r="E36" s="1954">
        <v>24555</v>
      </c>
      <c r="F36" s="814">
        <v>24555</v>
      </c>
      <c r="G36" s="814">
        <v>24555</v>
      </c>
      <c r="H36" s="814">
        <v>24555</v>
      </c>
      <c r="I36" s="807">
        <v>26195</v>
      </c>
      <c r="J36" s="807">
        <v>26195</v>
      </c>
      <c r="K36" s="305">
        <v>26195</v>
      </c>
      <c r="L36" s="1862">
        <f t="shared" si="2"/>
        <v>0.13</v>
      </c>
      <c r="M36" s="1955">
        <f t="shared" si="3"/>
        <v>2.4900000000000002</v>
      </c>
      <c r="N36" s="1956">
        <v>0</v>
      </c>
      <c r="O36" s="633">
        <f>'Table 5a'!G32</f>
        <v>2.4900000000000002</v>
      </c>
      <c r="P36" s="1000">
        <f t="shared" si="4"/>
        <v>2.63</v>
      </c>
      <c r="Q36" s="1956">
        <v>0</v>
      </c>
      <c r="R36" s="3080">
        <f>E36*$AO36/1000000</f>
        <v>2.63</v>
      </c>
      <c r="S36" s="2010">
        <v>0</v>
      </c>
      <c r="T36" s="1957">
        <f t="shared" si="5"/>
        <v>2.63</v>
      </c>
      <c r="U36" s="1956">
        <v>0</v>
      </c>
      <c r="V36" s="3080">
        <f>F36*$AO36/1000000</f>
        <v>2.63</v>
      </c>
      <c r="W36" s="3090">
        <v>0</v>
      </c>
      <c r="X36" s="1955">
        <f t="shared" si="6"/>
        <v>2.63</v>
      </c>
      <c r="Y36" s="299">
        <v>0</v>
      </c>
      <c r="Z36" s="3080">
        <f>G36*$AO36/1000000</f>
        <v>2.63</v>
      </c>
      <c r="AA36" s="2010">
        <v>0</v>
      </c>
      <c r="AB36" s="1957">
        <f t="shared" si="7"/>
        <v>2.63</v>
      </c>
      <c r="AC36" s="1956">
        <v>0</v>
      </c>
      <c r="AD36" s="3080">
        <f>H36*$AO36/1000000</f>
        <v>2.63</v>
      </c>
      <c r="AE36" s="2010">
        <v>0</v>
      </c>
      <c r="AF36" s="1957">
        <f t="shared" si="8"/>
        <v>2.8</v>
      </c>
      <c r="AG36" s="299">
        <v>0</v>
      </c>
      <c r="AH36" s="3080">
        <f>I36*$AO36/1000000</f>
        <v>2.8</v>
      </c>
      <c r="AI36" s="2010">
        <v>0</v>
      </c>
      <c r="AJ36" s="1957">
        <f t="shared" si="99"/>
        <v>2.8</v>
      </c>
      <c r="AK36" s="299">
        <v>0</v>
      </c>
      <c r="AL36" s="3080">
        <f>J36*AO36/1000000</f>
        <v>2.8</v>
      </c>
      <c r="AM36" s="2011">
        <v>0</v>
      </c>
      <c r="AN36" s="300">
        <f t="shared" si="95"/>
        <v>0.12</v>
      </c>
      <c r="AO36" s="2190">
        <f>'Table 5a'!P32</f>
        <v>107</v>
      </c>
      <c r="AP36" s="1957">
        <f t="shared" si="9"/>
        <v>2.97</v>
      </c>
      <c r="AQ36" s="299">
        <f t="shared" si="100"/>
        <v>0</v>
      </c>
      <c r="AR36" s="3080">
        <f t="shared" si="101"/>
        <v>2.97</v>
      </c>
      <c r="AS36" s="3096">
        <v>0</v>
      </c>
      <c r="AU36" s="1959">
        <f t="shared" si="11"/>
        <v>2916</v>
      </c>
      <c r="AV36" s="1960">
        <f t="shared" si="12"/>
        <v>0.31</v>
      </c>
    </row>
    <row r="37" spans="1:48">
      <c r="A37" s="3275"/>
      <c r="B37" s="1859" t="s">
        <v>143</v>
      </c>
      <c r="C37" s="2189" t="s">
        <v>144</v>
      </c>
      <c r="D37" s="1953">
        <f>'Table 5a'!L33</f>
        <v>22674</v>
      </c>
      <c r="E37" s="1954">
        <v>26370</v>
      </c>
      <c r="F37" s="814">
        <v>26370</v>
      </c>
      <c r="G37" s="814">
        <v>26370</v>
      </c>
      <c r="H37" s="814">
        <v>26370</v>
      </c>
      <c r="I37" s="807">
        <v>26370</v>
      </c>
      <c r="J37" s="807">
        <v>26370</v>
      </c>
      <c r="K37" s="305">
        <v>26370</v>
      </c>
      <c r="L37" s="1862">
        <f t="shared" si="2"/>
        <v>0.16</v>
      </c>
      <c r="M37" s="1955">
        <f t="shared" si="3"/>
        <v>2.36</v>
      </c>
      <c r="N37" s="1956">
        <v>0</v>
      </c>
      <c r="O37" s="633">
        <f>'Table 5a'!G33</f>
        <v>2.36</v>
      </c>
      <c r="P37" s="1000">
        <f t="shared" si="4"/>
        <v>2.69</v>
      </c>
      <c r="Q37" s="1956">
        <v>0</v>
      </c>
      <c r="R37" s="3080">
        <f>E37*$AO37/1000000</f>
        <v>2.69</v>
      </c>
      <c r="S37" s="2010">
        <v>0</v>
      </c>
      <c r="T37" s="1957">
        <f t="shared" si="5"/>
        <v>2.69</v>
      </c>
      <c r="U37" s="1956">
        <v>0</v>
      </c>
      <c r="V37" s="3080">
        <f>F37*$AO37/1000000</f>
        <v>2.69</v>
      </c>
      <c r="W37" s="3090">
        <v>0</v>
      </c>
      <c r="X37" s="1955">
        <f t="shared" si="6"/>
        <v>2.69</v>
      </c>
      <c r="Y37" s="299">
        <v>0</v>
      </c>
      <c r="Z37" s="3080">
        <f>G37*$AO37/1000000</f>
        <v>2.69</v>
      </c>
      <c r="AA37" s="2010">
        <v>0</v>
      </c>
      <c r="AB37" s="1957">
        <f t="shared" si="7"/>
        <v>2.69</v>
      </c>
      <c r="AC37" s="1956">
        <v>0</v>
      </c>
      <c r="AD37" s="3080">
        <f>H37*$AO37/1000000</f>
        <v>2.69</v>
      </c>
      <c r="AE37" s="2010">
        <v>0</v>
      </c>
      <c r="AF37" s="1957">
        <f t="shared" si="8"/>
        <v>2.69</v>
      </c>
      <c r="AG37" s="299">
        <v>0</v>
      </c>
      <c r="AH37" s="3080">
        <f>I37*$AO37/1000000</f>
        <v>2.69</v>
      </c>
      <c r="AI37" s="2010">
        <v>0</v>
      </c>
      <c r="AJ37" s="1957">
        <f t="shared" si="99"/>
        <v>2.69</v>
      </c>
      <c r="AK37" s="299">
        <v>0</v>
      </c>
      <c r="AL37" s="3080">
        <f>J37*AO37/1000000</f>
        <v>2.69</v>
      </c>
      <c r="AM37" s="2011">
        <v>0</v>
      </c>
      <c r="AN37" s="300">
        <f t="shared" si="95"/>
        <v>0.14000000000000001</v>
      </c>
      <c r="AO37" s="2190">
        <f>'Table 5a'!P33</f>
        <v>102</v>
      </c>
      <c r="AP37" s="1957">
        <f t="shared" si="9"/>
        <v>2.85</v>
      </c>
      <c r="AQ37" s="299">
        <f t="shared" si="100"/>
        <v>0</v>
      </c>
      <c r="AR37" s="3080">
        <f t="shared" si="101"/>
        <v>2.85</v>
      </c>
      <c r="AS37" s="3090">
        <v>0</v>
      </c>
      <c r="AU37" s="1959">
        <f t="shared" si="11"/>
        <v>3696</v>
      </c>
      <c r="AV37" s="1960">
        <f t="shared" si="12"/>
        <v>0.33</v>
      </c>
    </row>
    <row r="38" spans="1:48">
      <c r="A38" s="3275"/>
      <c r="B38" s="2191" t="s">
        <v>145</v>
      </c>
      <c r="C38" s="2189" t="s">
        <v>146</v>
      </c>
      <c r="D38" s="1953">
        <f>'Table 5a'!L34</f>
        <v>7270</v>
      </c>
      <c r="E38" s="1954">
        <v>7723</v>
      </c>
      <c r="F38" s="814">
        <v>7723</v>
      </c>
      <c r="G38" s="814">
        <v>7723</v>
      </c>
      <c r="H38" s="814">
        <v>7723</v>
      </c>
      <c r="I38" s="807">
        <v>7723</v>
      </c>
      <c r="J38" s="807">
        <v>7723</v>
      </c>
      <c r="K38" s="305">
        <v>7723</v>
      </c>
      <c r="L38" s="1862">
        <f t="shared" si="2"/>
        <v>0.06</v>
      </c>
      <c r="M38" s="1955">
        <f t="shared" si="3"/>
        <v>0.94</v>
      </c>
      <c r="N38" s="1956">
        <v>0</v>
      </c>
      <c r="O38" s="633">
        <f>'Table 5a'!G34</f>
        <v>0.94</v>
      </c>
      <c r="P38" s="1000">
        <f t="shared" si="4"/>
        <v>0.97</v>
      </c>
      <c r="Q38" s="1956">
        <v>0</v>
      </c>
      <c r="R38" s="3080">
        <f>E38*$AO38/1000000</f>
        <v>0.97</v>
      </c>
      <c r="S38" s="2010">
        <v>0</v>
      </c>
      <c r="T38" s="1957">
        <f t="shared" si="5"/>
        <v>0.97</v>
      </c>
      <c r="U38" s="1956">
        <v>0</v>
      </c>
      <c r="V38" s="3080">
        <f>F38*$AO38/1000000</f>
        <v>0.97</v>
      </c>
      <c r="W38" s="3090">
        <v>0</v>
      </c>
      <c r="X38" s="1955">
        <f t="shared" si="6"/>
        <v>0.97</v>
      </c>
      <c r="Y38" s="299">
        <v>0</v>
      </c>
      <c r="Z38" s="3080">
        <f>G38*$AO38/1000000</f>
        <v>0.97</v>
      </c>
      <c r="AA38" s="2010">
        <v>0</v>
      </c>
      <c r="AB38" s="1957">
        <f t="shared" si="7"/>
        <v>0.97</v>
      </c>
      <c r="AC38" s="1956">
        <v>0</v>
      </c>
      <c r="AD38" s="3080">
        <f>H38*$AO38/1000000</f>
        <v>0.97</v>
      </c>
      <c r="AE38" s="2010">
        <v>0</v>
      </c>
      <c r="AF38" s="1957">
        <f t="shared" si="8"/>
        <v>0.97</v>
      </c>
      <c r="AG38" s="299">
        <v>0</v>
      </c>
      <c r="AH38" s="3080">
        <f>I38*$AO38/1000000</f>
        <v>0.97</v>
      </c>
      <c r="AI38" s="2010">
        <v>0</v>
      </c>
      <c r="AJ38" s="1957">
        <f t="shared" si="99"/>
        <v>0.97</v>
      </c>
      <c r="AK38" s="299">
        <v>0</v>
      </c>
      <c r="AL38" s="3080">
        <f>J38*AO38/1000000</f>
        <v>0.97</v>
      </c>
      <c r="AM38" s="2011">
        <v>0</v>
      </c>
      <c r="AN38" s="300">
        <f t="shared" si="95"/>
        <v>0.03</v>
      </c>
      <c r="AO38" s="2190">
        <f>'Table 5a'!P34</f>
        <v>126</v>
      </c>
      <c r="AP38" s="1957">
        <f t="shared" si="9"/>
        <v>1.03</v>
      </c>
      <c r="AQ38" s="299">
        <f t="shared" si="100"/>
        <v>0</v>
      </c>
      <c r="AR38" s="3080">
        <f t="shared" si="101"/>
        <v>1.03</v>
      </c>
      <c r="AS38" s="3090">
        <v>0</v>
      </c>
      <c r="AU38" s="1959">
        <f t="shared" si="11"/>
        <v>453</v>
      </c>
      <c r="AV38" s="1960">
        <f t="shared" si="12"/>
        <v>0.03</v>
      </c>
    </row>
    <row r="39" spans="1:48" ht="25.5">
      <c r="A39" s="3275"/>
      <c r="B39" s="2192" t="s">
        <v>147</v>
      </c>
      <c r="C39" s="2189" t="s">
        <v>148</v>
      </c>
      <c r="D39" s="1953">
        <v>36</v>
      </c>
      <c r="E39" s="1954">
        <v>83</v>
      </c>
      <c r="F39" s="814">
        <v>83</v>
      </c>
      <c r="G39" s="814">
        <v>83</v>
      </c>
      <c r="H39" s="814">
        <v>83</v>
      </c>
      <c r="I39" s="807">
        <v>85</v>
      </c>
      <c r="J39" s="807">
        <v>85</v>
      </c>
      <c r="K39" s="305">
        <v>85</v>
      </c>
      <c r="L39" s="1862">
        <f t="shared" si="2"/>
        <v>1.36</v>
      </c>
      <c r="M39" s="1955">
        <f t="shared" si="3"/>
        <v>0</v>
      </c>
      <c r="N39" s="1956">
        <v>0</v>
      </c>
      <c r="O39" s="633">
        <v>0</v>
      </c>
      <c r="P39" s="1000">
        <f t="shared" si="4"/>
        <v>0</v>
      </c>
      <c r="Q39" s="1956">
        <v>0</v>
      </c>
      <c r="R39" s="3080">
        <v>0</v>
      </c>
      <c r="S39" s="2010">
        <v>0</v>
      </c>
      <c r="T39" s="1957">
        <f t="shared" si="5"/>
        <v>0</v>
      </c>
      <c r="U39" s="1956">
        <v>0</v>
      </c>
      <c r="V39" s="3080">
        <v>0</v>
      </c>
      <c r="W39" s="3090">
        <v>0</v>
      </c>
      <c r="X39" s="1955">
        <f t="shared" si="6"/>
        <v>0</v>
      </c>
      <c r="Y39" s="299">
        <v>0</v>
      </c>
      <c r="Z39" s="3080">
        <v>0</v>
      </c>
      <c r="AA39" s="2010">
        <v>0</v>
      </c>
      <c r="AB39" s="1957">
        <f t="shared" si="7"/>
        <v>0</v>
      </c>
      <c r="AC39" s="1956">
        <v>0</v>
      </c>
      <c r="AD39" s="3080">
        <v>0</v>
      </c>
      <c r="AE39" s="2010">
        <v>0</v>
      </c>
      <c r="AF39" s="1957">
        <f t="shared" si="8"/>
        <v>0</v>
      </c>
      <c r="AG39" s="299">
        <v>0</v>
      </c>
      <c r="AH39" s="3080">
        <v>0</v>
      </c>
      <c r="AI39" s="2010">
        <v>0</v>
      </c>
      <c r="AJ39" s="1957">
        <f t="shared" si="99"/>
        <v>0</v>
      </c>
      <c r="AK39" s="299">
        <v>0</v>
      </c>
      <c r="AL39" s="3080">
        <v>0</v>
      </c>
      <c r="AM39" s="2011">
        <v>0</v>
      </c>
      <c r="AN39" s="300" t="s">
        <v>16</v>
      </c>
      <c r="AO39" s="2193" t="s">
        <v>16</v>
      </c>
      <c r="AP39" s="1957">
        <f t="shared" si="9"/>
        <v>0</v>
      </c>
      <c r="AQ39" s="299">
        <f t="shared" si="100"/>
        <v>0</v>
      </c>
      <c r="AR39" s="3080">
        <f t="shared" si="101"/>
        <v>0</v>
      </c>
      <c r="AS39" s="3096">
        <v>0</v>
      </c>
      <c r="AU39" s="1959">
        <f t="shared" si="11"/>
        <v>49</v>
      </c>
      <c r="AV39" s="1960">
        <f t="shared" si="12"/>
        <v>0</v>
      </c>
    </row>
    <row r="40" spans="1:48">
      <c r="A40" s="3275"/>
      <c r="B40" s="2191" t="s">
        <v>149</v>
      </c>
      <c r="C40" s="2189" t="s">
        <v>150</v>
      </c>
      <c r="D40" s="1953">
        <f>'Table 5a'!L35</f>
        <v>3200</v>
      </c>
      <c r="E40" s="1954">
        <v>3235</v>
      </c>
      <c r="F40" s="814">
        <v>3313</v>
      </c>
      <c r="G40" s="814">
        <v>3313</v>
      </c>
      <c r="H40" s="814">
        <v>3313</v>
      </c>
      <c r="I40" s="807">
        <v>3313</v>
      </c>
      <c r="J40" s="807">
        <v>3313</v>
      </c>
      <c r="K40" s="305">
        <v>3313</v>
      </c>
      <c r="L40" s="1862">
        <f t="shared" si="2"/>
        <v>0.04</v>
      </c>
      <c r="M40" s="1955">
        <f t="shared" si="3"/>
        <v>0.28000000000000003</v>
      </c>
      <c r="N40" s="1956">
        <v>0</v>
      </c>
      <c r="O40" s="633">
        <f>'Table 5a'!G35</f>
        <v>0.28000000000000003</v>
      </c>
      <c r="P40" s="1000">
        <f t="shared" si="4"/>
        <v>0.28999999999999998</v>
      </c>
      <c r="Q40" s="1956">
        <v>0</v>
      </c>
      <c r="R40" s="3080">
        <f>E40*$AO40/1000000</f>
        <v>0.28999999999999998</v>
      </c>
      <c r="S40" s="2010">
        <v>0</v>
      </c>
      <c r="T40" s="1957">
        <f t="shared" si="5"/>
        <v>0.3</v>
      </c>
      <c r="U40" s="1956">
        <v>0</v>
      </c>
      <c r="V40" s="3080">
        <f>F40*$AO40/1000000</f>
        <v>0.3</v>
      </c>
      <c r="W40" s="3090">
        <v>0</v>
      </c>
      <c r="X40" s="1955">
        <f t="shared" si="6"/>
        <v>0.3</v>
      </c>
      <c r="Y40" s="299">
        <v>0</v>
      </c>
      <c r="Z40" s="3080">
        <f>G40*$AO40/1000000</f>
        <v>0.3</v>
      </c>
      <c r="AA40" s="2010">
        <v>0</v>
      </c>
      <c r="AB40" s="1957">
        <f t="shared" si="7"/>
        <v>0.3</v>
      </c>
      <c r="AC40" s="1956">
        <v>0</v>
      </c>
      <c r="AD40" s="3080">
        <f>H40*$AO40/1000000</f>
        <v>0.3</v>
      </c>
      <c r="AE40" s="2010">
        <v>0</v>
      </c>
      <c r="AF40" s="1957">
        <f t="shared" si="8"/>
        <v>0.3</v>
      </c>
      <c r="AG40" s="299">
        <v>0</v>
      </c>
      <c r="AH40" s="3080">
        <f>I40*$AO40/1000000</f>
        <v>0.3</v>
      </c>
      <c r="AI40" s="2010">
        <v>0</v>
      </c>
      <c r="AJ40" s="1957">
        <f t="shared" si="99"/>
        <v>0.3</v>
      </c>
      <c r="AK40" s="299">
        <v>0</v>
      </c>
      <c r="AL40" s="3080">
        <f>J40*AO40/1000000</f>
        <v>0.3</v>
      </c>
      <c r="AM40" s="2259">
        <v>0</v>
      </c>
      <c r="AN40" s="229">
        <f t="shared" ref="AN40:AN47" si="102">(AL40-O40)/O40</f>
        <v>7.0000000000000007E-2</v>
      </c>
      <c r="AO40" s="2194">
        <f>'Table 5a'!P35</f>
        <v>90</v>
      </c>
      <c r="AP40" s="1957">
        <f t="shared" si="9"/>
        <v>0.32</v>
      </c>
      <c r="AQ40" s="299">
        <f t="shared" si="100"/>
        <v>0</v>
      </c>
      <c r="AR40" s="3080">
        <f t="shared" si="101"/>
        <v>0.32</v>
      </c>
      <c r="AS40" s="3090">
        <v>0</v>
      </c>
      <c r="AU40" s="1959">
        <f t="shared" si="11"/>
        <v>113</v>
      </c>
      <c r="AV40" s="1960">
        <f t="shared" si="12"/>
        <v>0.02</v>
      </c>
    </row>
    <row r="41" spans="1:48" ht="13.5" thickBot="1">
      <c r="A41" s="3275"/>
      <c r="B41" s="2177" t="s">
        <v>151</v>
      </c>
      <c r="C41" s="2195" t="s">
        <v>128</v>
      </c>
      <c r="D41" s="2031">
        <v>634515</v>
      </c>
      <c r="E41" s="2032">
        <v>675817</v>
      </c>
      <c r="F41" s="2033">
        <v>725165</v>
      </c>
      <c r="G41" s="2033">
        <v>762861</v>
      </c>
      <c r="H41" s="2033">
        <v>796377</v>
      </c>
      <c r="I41" s="2034">
        <v>821884</v>
      </c>
      <c r="J41" s="2034">
        <v>845315</v>
      </c>
      <c r="K41" s="2036">
        <v>1295621</v>
      </c>
      <c r="L41" s="209">
        <f t="shared" si="2"/>
        <v>0.33</v>
      </c>
      <c r="M41" s="2037">
        <f t="shared" si="3"/>
        <v>100.15</v>
      </c>
      <c r="N41" s="2038">
        <v>0</v>
      </c>
      <c r="O41" s="51">
        <v>100.15</v>
      </c>
      <c r="P41" s="1021">
        <f t="shared" si="4"/>
        <v>104.08</v>
      </c>
      <c r="Q41" s="2038">
        <v>0</v>
      </c>
      <c r="R41" s="3078">
        <f>E41*$AO41/1000000</f>
        <v>104.08</v>
      </c>
      <c r="S41" s="2042">
        <v>0</v>
      </c>
      <c r="T41" s="2040">
        <f t="shared" si="5"/>
        <v>111.68</v>
      </c>
      <c r="U41" s="2038">
        <v>0</v>
      </c>
      <c r="V41" s="3078">
        <f>F41*$AO41/1000000</f>
        <v>111.68</v>
      </c>
      <c r="W41" s="3091">
        <v>0</v>
      </c>
      <c r="X41" s="2037">
        <f t="shared" si="6"/>
        <v>117.48</v>
      </c>
      <c r="Y41" s="1022">
        <v>0</v>
      </c>
      <c r="Z41" s="3078">
        <f>G41*$AO41/1000000</f>
        <v>117.48</v>
      </c>
      <c r="AA41" s="2042">
        <v>0</v>
      </c>
      <c r="AB41" s="2040">
        <f t="shared" si="7"/>
        <v>122.64</v>
      </c>
      <c r="AC41" s="2038">
        <v>0</v>
      </c>
      <c r="AD41" s="3078">
        <f>H41*$AO41/1000000</f>
        <v>122.64</v>
      </c>
      <c r="AE41" s="2042">
        <v>0</v>
      </c>
      <c r="AF41" s="2040">
        <f t="shared" si="8"/>
        <v>126.57</v>
      </c>
      <c r="AG41" s="1022">
        <v>0</v>
      </c>
      <c r="AH41" s="3078">
        <f>I41*$AO41/1000000</f>
        <v>126.57</v>
      </c>
      <c r="AI41" s="2042">
        <v>0</v>
      </c>
      <c r="AJ41" s="2040">
        <f t="shared" si="99"/>
        <v>130.18</v>
      </c>
      <c r="AK41" s="1022">
        <v>0</v>
      </c>
      <c r="AL41" s="3078">
        <f>J41*AO41/1000000</f>
        <v>130.18</v>
      </c>
      <c r="AM41" s="2043">
        <v>0</v>
      </c>
      <c r="AN41" s="216">
        <f t="shared" si="102"/>
        <v>0.3</v>
      </c>
      <c r="AO41" s="2044">
        <f>'Table 5a'!P36</f>
        <v>154</v>
      </c>
      <c r="AP41" s="2040">
        <f t="shared" si="9"/>
        <v>137.99</v>
      </c>
      <c r="AQ41" s="1022">
        <f t="shared" si="100"/>
        <v>0</v>
      </c>
      <c r="AR41" s="3078">
        <f t="shared" si="101"/>
        <v>137.99</v>
      </c>
      <c r="AS41" s="3091">
        <v>0</v>
      </c>
      <c r="AU41" s="2045">
        <f t="shared" si="11"/>
        <v>210800</v>
      </c>
      <c r="AV41" s="2046">
        <f t="shared" si="12"/>
        <v>30.03</v>
      </c>
    </row>
    <row r="42" spans="1:48" ht="14.25" thickTop="1" thickBot="1">
      <c r="A42" s="3275"/>
      <c r="B42" s="3277" t="s">
        <v>152</v>
      </c>
      <c r="C42" s="3278"/>
      <c r="D42" s="2196">
        <f t="shared" ref="D42:J42" si="103">SUM(D34:D41)</f>
        <v>693374</v>
      </c>
      <c r="E42" s="2178">
        <f t="shared" si="103"/>
        <v>740217</v>
      </c>
      <c r="F42" s="2179">
        <f t="shared" si="103"/>
        <v>789686</v>
      </c>
      <c r="G42" s="2179">
        <f t="shared" si="103"/>
        <v>828005</v>
      </c>
      <c r="H42" s="2179">
        <f t="shared" si="103"/>
        <v>861521</v>
      </c>
      <c r="I42" s="2180">
        <f t="shared" si="103"/>
        <v>888845</v>
      </c>
      <c r="J42" s="2180">
        <f t="shared" si="103"/>
        <v>912276</v>
      </c>
      <c r="K42" s="2181">
        <f>SUM(K34:K41)</f>
        <v>1365900</v>
      </c>
      <c r="L42" s="210">
        <f t="shared" si="2"/>
        <v>0.32</v>
      </c>
      <c r="M42" s="2182">
        <f t="shared" si="3"/>
        <v>106.52</v>
      </c>
      <c r="N42" s="2183">
        <f>SUM(N34:N41)</f>
        <v>0</v>
      </c>
      <c r="O42" s="315">
        <f t="shared" ref="O42" si="104">SUM(O34:O41)</f>
        <v>106.52</v>
      </c>
      <c r="P42" s="60">
        <f t="shared" si="4"/>
        <v>110.97</v>
      </c>
      <c r="Q42" s="2183">
        <f t="shared" ref="Q42:AL42" si="105">SUM(Q34:Q41)</f>
        <v>0</v>
      </c>
      <c r="R42" s="3075">
        <f t="shared" si="105"/>
        <v>110.97</v>
      </c>
      <c r="S42" s="103">
        <f>SUM(S34:S41)</f>
        <v>0</v>
      </c>
      <c r="T42" s="2184">
        <f t="shared" si="5"/>
        <v>118.59</v>
      </c>
      <c r="U42" s="2183">
        <f t="shared" ref="U42" si="106">SUM(U34:U41)</f>
        <v>0</v>
      </c>
      <c r="V42" s="2546">
        <f t="shared" si="105"/>
        <v>118.59</v>
      </c>
      <c r="W42" s="3100">
        <f>SUM(W34:W41)</f>
        <v>0</v>
      </c>
      <c r="X42" s="2182">
        <f t="shared" si="6"/>
        <v>124.49</v>
      </c>
      <c r="Y42" s="106">
        <f t="shared" ref="Y42" si="107">SUM(Y34:Y41)</f>
        <v>0</v>
      </c>
      <c r="Z42" s="3074">
        <f t="shared" si="105"/>
        <v>124.49</v>
      </c>
      <c r="AA42" s="103">
        <f>SUM(AA34:AA41)</f>
        <v>0</v>
      </c>
      <c r="AB42" s="2184">
        <f t="shared" si="7"/>
        <v>129.65</v>
      </c>
      <c r="AC42" s="2183">
        <f t="shared" ref="AC42" si="108">SUM(AC34:AC41)</f>
        <v>0</v>
      </c>
      <c r="AD42" s="3071">
        <f t="shared" si="105"/>
        <v>129.65</v>
      </c>
      <c r="AE42" s="103">
        <f>SUM(AE34:AE41)</f>
        <v>0</v>
      </c>
      <c r="AF42" s="2184">
        <f t="shared" si="8"/>
        <v>133.77000000000001</v>
      </c>
      <c r="AG42" s="106">
        <f t="shared" ref="AG42" si="109">SUM(AG34:AG41)</f>
        <v>0</v>
      </c>
      <c r="AH42" s="3075">
        <f t="shared" si="105"/>
        <v>133.77000000000001</v>
      </c>
      <c r="AI42" s="103">
        <f>SUM(AI34:AI41)</f>
        <v>0</v>
      </c>
      <c r="AJ42" s="2184">
        <f t="shared" ref="AJ42:AJ50" si="110">AL42-AK42</f>
        <v>137.38</v>
      </c>
      <c r="AK42" s="106">
        <f t="shared" ref="AK42" si="111">SUM(AK34:AK41)</f>
        <v>0</v>
      </c>
      <c r="AL42" s="2546">
        <f t="shared" si="105"/>
        <v>137.38</v>
      </c>
      <c r="AM42" s="61">
        <f>SUM(AM34:AM41)</f>
        <v>0</v>
      </c>
      <c r="AN42" s="2197">
        <f t="shared" si="102"/>
        <v>0.28999999999999998</v>
      </c>
      <c r="AO42" s="2198" t="s">
        <v>16</v>
      </c>
      <c r="AP42" s="2184">
        <f t="shared" si="9"/>
        <v>145.62</v>
      </c>
      <c r="AQ42" s="106">
        <f>SUM(AQ34:AQ41)</f>
        <v>0</v>
      </c>
      <c r="AR42" s="3075">
        <f t="shared" ref="AR42" si="112">SUM(AR34:AR41)</f>
        <v>145.62</v>
      </c>
      <c r="AS42" s="3099">
        <f>SUM(AS34:AS41)</f>
        <v>0</v>
      </c>
      <c r="AU42" s="2185">
        <f t="shared" si="11"/>
        <v>218902</v>
      </c>
      <c r="AV42" s="2186">
        <f t="shared" si="12"/>
        <v>30.86</v>
      </c>
    </row>
    <row r="43" spans="1:48">
      <c r="A43" s="3289" t="s">
        <v>153</v>
      </c>
      <c r="B43" s="2199" t="s">
        <v>154</v>
      </c>
      <c r="C43" s="2187" t="s">
        <v>155</v>
      </c>
      <c r="D43" s="2047">
        <f>'Table 5a'!L38</f>
        <v>4621</v>
      </c>
      <c r="E43" s="2167">
        <v>4677</v>
      </c>
      <c r="F43" s="2168">
        <v>4677</v>
      </c>
      <c r="G43" s="2168">
        <v>7044</v>
      </c>
      <c r="H43" s="2168">
        <v>7044</v>
      </c>
      <c r="I43" s="2169">
        <v>7044</v>
      </c>
      <c r="J43" s="2169">
        <v>7044</v>
      </c>
      <c r="K43" s="2170">
        <v>8327</v>
      </c>
      <c r="L43" s="208">
        <f t="shared" si="2"/>
        <v>0.52</v>
      </c>
      <c r="M43" s="2171">
        <f t="shared" si="3"/>
        <v>0.65</v>
      </c>
      <c r="N43" s="2172">
        <v>0</v>
      </c>
      <c r="O43" s="675">
        <f>'Table 5a'!G38</f>
        <v>0.65</v>
      </c>
      <c r="P43" s="102">
        <f t="shared" si="4"/>
        <v>0.67</v>
      </c>
      <c r="Q43" s="2172">
        <v>0</v>
      </c>
      <c r="R43" s="3079">
        <f>E43*$AO43/1000000</f>
        <v>0.67</v>
      </c>
      <c r="S43" s="2129">
        <v>0</v>
      </c>
      <c r="T43" s="2173">
        <f t="shared" si="5"/>
        <v>0.67</v>
      </c>
      <c r="U43" s="2172">
        <v>0</v>
      </c>
      <c r="V43" s="3079">
        <f>F43*$AO43/1000000</f>
        <v>0.67</v>
      </c>
      <c r="W43" s="3094">
        <v>0</v>
      </c>
      <c r="X43" s="2171">
        <f t="shared" si="6"/>
        <v>1.01</v>
      </c>
      <c r="Y43" s="117">
        <v>0</v>
      </c>
      <c r="Z43" s="3079">
        <f>G43*$AO43/1000000</f>
        <v>1.01</v>
      </c>
      <c r="AA43" s="2129">
        <v>0</v>
      </c>
      <c r="AB43" s="2173">
        <f t="shared" si="7"/>
        <v>1.01</v>
      </c>
      <c r="AC43" s="2172">
        <v>0</v>
      </c>
      <c r="AD43" s="3079">
        <f>H43*$AO43/1000000</f>
        <v>1.01</v>
      </c>
      <c r="AE43" s="2129">
        <v>0</v>
      </c>
      <c r="AF43" s="2173">
        <f t="shared" si="8"/>
        <v>1.01</v>
      </c>
      <c r="AG43" s="117">
        <v>0</v>
      </c>
      <c r="AH43" s="3079">
        <f>I43*$AO43/1000000</f>
        <v>1.01</v>
      </c>
      <c r="AI43" s="2129">
        <v>0</v>
      </c>
      <c r="AJ43" s="2173">
        <f t="shared" si="110"/>
        <v>1.01</v>
      </c>
      <c r="AK43" s="117">
        <v>0</v>
      </c>
      <c r="AL43" s="3079">
        <f>J43*AO43/1000000</f>
        <v>1.01</v>
      </c>
      <c r="AM43" s="3094">
        <v>0</v>
      </c>
      <c r="AN43" s="229">
        <f t="shared" si="102"/>
        <v>0.55000000000000004</v>
      </c>
      <c r="AO43" s="2194">
        <f>'Table 5a'!P38</f>
        <v>144</v>
      </c>
      <c r="AP43" s="2173">
        <f t="shared" si="9"/>
        <v>1.07</v>
      </c>
      <c r="AQ43" s="117">
        <f t="shared" ref="AQ43:AQ50" si="113">AG43</f>
        <v>0</v>
      </c>
      <c r="AR43" s="3079">
        <f t="shared" ref="AR43:AR50" si="114">AL43*1.06</f>
        <v>1.07</v>
      </c>
      <c r="AS43" s="3096">
        <v>0</v>
      </c>
      <c r="AU43" s="2175">
        <f t="shared" si="11"/>
        <v>2423</v>
      </c>
      <c r="AV43" s="2176">
        <f t="shared" si="12"/>
        <v>0.36</v>
      </c>
    </row>
    <row r="44" spans="1:48">
      <c r="A44" s="3283"/>
      <c r="B44" s="1859" t="s">
        <v>156</v>
      </c>
      <c r="C44" s="2189" t="s">
        <v>157</v>
      </c>
      <c r="D44" s="1953">
        <f>'Table 5a'!L39</f>
        <v>79819</v>
      </c>
      <c r="E44" s="1954">
        <v>92294</v>
      </c>
      <c r="F44" s="814">
        <v>105320</v>
      </c>
      <c r="G44" s="814">
        <v>112734</v>
      </c>
      <c r="H44" s="814">
        <v>121325</v>
      </c>
      <c r="I44" s="807">
        <v>125272</v>
      </c>
      <c r="J44" s="807">
        <v>125437</v>
      </c>
      <c r="K44" s="305">
        <v>365388</v>
      </c>
      <c r="L44" s="1862">
        <f t="shared" si="2"/>
        <v>0.56999999999999995</v>
      </c>
      <c r="M44" s="1955">
        <f t="shared" si="3"/>
        <v>7.07</v>
      </c>
      <c r="N44" s="1956">
        <v>0</v>
      </c>
      <c r="O44" s="633">
        <f>'Table 5a'!G39</f>
        <v>7.07</v>
      </c>
      <c r="P44" s="1000">
        <f t="shared" si="4"/>
        <v>8.1199999999999992</v>
      </c>
      <c r="Q44" s="1956">
        <v>0</v>
      </c>
      <c r="R44" s="3080">
        <f>E44*$AO44/1000000</f>
        <v>8.1199999999999992</v>
      </c>
      <c r="S44" s="2010">
        <v>0</v>
      </c>
      <c r="T44" s="1957">
        <f t="shared" si="5"/>
        <v>9.27</v>
      </c>
      <c r="U44" s="1956">
        <v>0</v>
      </c>
      <c r="V44" s="3080">
        <f>F44*$AO44/1000000</f>
        <v>9.27</v>
      </c>
      <c r="W44" s="3090">
        <v>0</v>
      </c>
      <c r="X44" s="1955">
        <f t="shared" si="6"/>
        <v>9.92</v>
      </c>
      <c r="Y44" s="299">
        <v>0</v>
      </c>
      <c r="Z44" s="3080">
        <f>G44*$AO44/1000000</f>
        <v>9.92</v>
      </c>
      <c r="AA44" s="2010">
        <v>0</v>
      </c>
      <c r="AB44" s="1957">
        <f t="shared" si="7"/>
        <v>10.68</v>
      </c>
      <c r="AC44" s="1956">
        <v>0</v>
      </c>
      <c r="AD44" s="3080">
        <f>H44*$AO44/1000000</f>
        <v>10.68</v>
      </c>
      <c r="AE44" s="2010">
        <v>0</v>
      </c>
      <c r="AF44" s="1957">
        <f t="shared" si="8"/>
        <v>11.02</v>
      </c>
      <c r="AG44" s="299">
        <v>0</v>
      </c>
      <c r="AH44" s="3080">
        <f>I44*$AO44/1000000</f>
        <v>11.02</v>
      </c>
      <c r="AI44" s="2010">
        <v>0</v>
      </c>
      <c r="AJ44" s="1957">
        <f t="shared" si="110"/>
        <v>11.04</v>
      </c>
      <c r="AK44" s="299">
        <v>0</v>
      </c>
      <c r="AL44" s="3080">
        <f>J44*AO44/1000000</f>
        <v>11.04</v>
      </c>
      <c r="AM44" s="2011">
        <v>0</v>
      </c>
      <c r="AN44" s="300">
        <f t="shared" si="102"/>
        <v>0.56000000000000005</v>
      </c>
      <c r="AO44" s="2190">
        <f>'Table 5a'!P39</f>
        <v>88</v>
      </c>
      <c r="AP44" s="1957">
        <f t="shared" si="9"/>
        <v>11.7</v>
      </c>
      <c r="AQ44" s="299">
        <f t="shared" si="113"/>
        <v>0</v>
      </c>
      <c r="AR44" s="3080">
        <f t="shared" si="114"/>
        <v>11.7</v>
      </c>
      <c r="AS44" s="3093">
        <v>0</v>
      </c>
      <c r="AU44" s="1959">
        <f t="shared" si="11"/>
        <v>45618</v>
      </c>
      <c r="AV44" s="1960">
        <f t="shared" si="12"/>
        <v>3.97</v>
      </c>
    </row>
    <row r="45" spans="1:48">
      <c r="A45" s="3283"/>
      <c r="B45" s="1859" t="s">
        <v>158</v>
      </c>
      <c r="C45" s="2189" t="s">
        <v>159</v>
      </c>
      <c r="D45" s="1953">
        <v>1532</v>
      </c>
      <c r="E45" s="1954">
        <v>1617</v>
      </c>
      <c r="F45" s="814">
        <v>1617</v>
      </c>
      <c r="G45" s="814">
        <v>1617</v>
      </c>
      <c r="H45" s="814">
        <v>1617</v>
      </c>
      <c r="I45" s="807">
        <v>1773</v>
      </c>
      <c r="J45" s="807">
        <v>1784</v>
      </c>
      <c r="K45" s="305">
        <v>4076</v>
      </c>
      <c r="L45" s="1862">
        <f t="shared" si="2"/>
        <v>0.16</v>
      </c>
      <c r="M45" s="1955">
        <f t="shared" si="3"/>
        <v>0.17</v>
      </c>
      <c r="N45" s="1956">
        <v>0</v>
      </c>
      <c r="O45" s="633">
        <f>'Table 5a'!G40</f>
        <v>0.17</v>
      </c>
      <c r="P45" s="1000">
        <f t="shared" si="4"/>
        <v>0.22</v>
      </c>
      <c r="Q45" s="1956">
        <v>0</v>
      </c>
      <c r="R45" s="3080">
        <f>3174*$AO45/1000000</f>
        <v>0.22</v>
      </c>
      <c r="S45" s="2010">
        <v>0</v>
      </c>
      <c r="T45" s="1957">
        <f t="shared" si="5"/>
        <v>0.22</v>
      </c>
      <c r="U45" s="1956">
        <v>0</v>
      </c>
      <c r="V45" s="3080">
        <f>3174*$AO45/1000000</f>
        <v>0.22</v>
      </c>
      <c r="W45" s="3090">
        <v>0</v>
      </c>
      <c r="X45" s="1955">
        <f t="shared" si="6"/>
        <v>0.22</v>
      </c>
      <c r="Y45" s="299">
        <v>0</v>
      </c>
      <c r="Z45" s="3080">
        <f>3233*$AO45/1000000</f>
        <v>0.22</v>
      </c>
      <c r="AA45" s="2010">
        <v>0</v>
      </c>
      <c r="AB45" s="1957">
        <f t="shared" si="7"/>
        <v>0.23</v>
      </c>
      <c r="AC45" s="1956">
        <v>0</v>
      </c>
      <c r="AD45" s="3080">
        <f>3329*$AO45/1000000</f>
        <v>0.23</v>
      </c>
      <c r="AE45" s="2010">
        <v>0</v>
      </c>
      <c r="AF45" s="1957">
        <f t="shared" si="8"/>
        <v>0.24</v>
      </c>
      <c r="AG45" s="299">
        <v>0</v>
      </c>
      <c r="AH45" s="3080">
        <f>3488*$AO45/1000000</f>
        <v>0.24</v>
      </c>
      <c r="AI45" s="2010">
        <v>0</v>
      </c>
      <c r="AJ45" s="1957">
        <f t="shared" si="110"/>
        <v>0.24</v>
      </c>
      <c r="AK45" s="299">
        <v>0</v>
      </c>
      <c r="AL45" s="3080">
        <f>3499*AO45/1000000</f>
        <v>0.24</v>
      </c>
      <c r="AM45" s="2011">
        <v>0</v>
      </c>
      <c r="AN45" s="300">
        <f t="shared" si="102"/>
        <v>0.41</v>
      </c>
      <c r="AO45" s="2190">
        <f>'Table 5a'!P40</f>
        <v>69</v>
      </c>
      <c r="AP45" s="1957">
        <f t="shared" si="9"/>
        <v>0.25</v>
      </c>
      <c r="AQ45" s="299">
        <f t="shared" si="113"/>
        <v>0</v>
      </c>
      <c r="AR45" s="3080">
        <f t="shared" si="114"/>
        <v>0.25</v>
      </c>
      <c r="AS45" s="3090">
        <v>0</v>
      </c>
      <c r="AU45" s="1959">
        <f t="shared" si="11"/>
        <v>252</v>
      </c>
      <c r="AV45" s="1960">
        <f t="shared" si="12"/>
        <v>7.0000000000000007E-2</v>
      </c>
    </row>
    <row r="46" spans="1:48">
      <c r="A46" s="3283"/>
      <c r="B46" s="1859" t="s">
        <v>160</v>
      </c>
      <c r="C46" s="2189" t="s">
        <v>161</v>
      </c>
      <c r="D46" s="1953">
        <f>'Table 5a'!L41</f>
        <v>2875</v>
      </c>
      <c r="E46" s="1954">
        <v>3004</v>
      </c>
      <c r="F46" s="814">
        <v>3025</v>
      </c>
      <c r="G46" s="814">
        <v>3025</v>
      </c>
      <c r="H46" s="814">
        <v>3025</v>
      </c>
      <c r="I46" s="807">
        <v>4207</v>
      </c>
      <c r="J46" s="807">
        <v>8174</v>
      </c>
      <c r="K46" s="305">
        <v>136594</v>
      </c>
      <c r="L46" s="1862">
        <f t="shared" si="2"/>
        <v>1.84</v>
      </c>
      <c r="M46" s="1955">
        <f t="shared" si="3"/>
        <v>0.33</v>
      </c>
      <c r="N46" s="1956">
        <v>0</v>
      </c>
      <c r="O46" s="633">
        <f>'Table 5a'!G41</f>
        <v>0.33</v>
      </c>
      <c r="P46" s="1000">
        <f t="shared" si="4"/>
        <v>0.39</v>
      </c>
      <c r="Q46" s="1956">
        <v>0</v>
      </c>
      <c r="R46" s="3080">
        <f>E46*$AO46/1000000</f>
        <v>0.39</v>
      </c>
      <c r="S46" s="2010">
        <v>0</v>
      </c>
      <c r="T46" s="1957">
        <f t="shared" si="5"/>
        <v>0.4</v>
      </c>
      <c r="U46" s="1956">
        <v>0</v>
      </c>
      <c r="V46" s="3080">
        <f>F46*$AO46/1000000</f>
        <v>0.4</v>
      </c>
      <c r="W46" s="3090">
        <v>0</v>
      </c>
      <c r="X46" s="1955">
        <f t="shared" si="6"/>
        <v>0.4</v>
      </c>
      <c r="Y46" s="299">
        <v>0</v>
      </c>
      <c r="Z46" s="3080">
        <f>G46*$AO46/1000000</f>
        <v>0.4</v>
      </c>
      <c r="AA46" s="2010">
        <v>0</v>
      </c>
      <c r="AB46" s="1957">
        <f t="shared" si="7"/>
        <v>0.4</v>
      </c>
      <c r="AC46" s="1956">
        <v>0</v>
      </c>
      <c r="AD46" s="3080">
        <f>H46*$AO46/1000000</f>
        <v>0.4</v>
      </c>
      <c r="AE46" s="2010">
        <v>0</v>
      </c>
      <c r="AF46" s="1957">
        <f t="shared" si="8"/>
        <v>0.55000000000000004</v>
      </c>
      <c r="AG46" s="299">
        <v>0</v>
      </c>
      <c r="AH46" s="3080">
        <f>I46*$AO46/1000000</f>
        <v>0.55000000000000004</v>
      </c>
      <c r="AI46" s="2010">
        <v>0</v>
      </c>
      <c r="AJ46" s="1957">
        <f t="shared" si="110"/>
        <v>1.07</v>
      </c>
      <c r="AK46" s="299">
        <v>0</v>
      </c>
      <c r="AL46" s="3080">
        <f>J46*AO46/1000000</f>
        <v>1.07</v>
      </c>
      <c r="AM46" s="2011">
        <v>0</v>
      </c>
      <c r="AN46" s="300">
        <f t="shared" si="102"/>
        <v>2.2400000000000002</v>
      </c>
      <c r="AO46" s="2190">
        <f>'Table 5a'!P41</f>
        <v>131</v>
      </c>
      <c r="AP46" s="1957">
        <f t="shared" si="9"/>
        <v>1.1299999999999999</v>
      </c>
      <c r="AQ46" s="299">
        <f t="shared" si="113"/>
        <v>0</v>
      </c>
      <c r="AR46" s="3080">
        <f t="shared" si="114"/>
        <v>1.1299999999999999</v>
      </c>
      <c r="AS46" s="3096">
        <v>0</v>
      </c>
      <c r="AU46" s="1959">
        <f t="shared" si="11"/>
        <v>5299</v>
      </c>
      <c r="AV46" s="1960">
        <f t="shared" si="12"/>
        <v>0.74</v>
      </c>
    </row>
    <row r="47" spans="1:48">
      <c r="A47" s="3283"/>
      <c r="B47" s="1859" t="s">
        <v>162</v>
      </c>
      <c r="C47" s="2189" t="s">
        <v>163</v>
      </c>
      <c r="D47" s="1953">
        <f>'Table 5a'!L42</f>
        <v>1284</v>
      </c>
      <c r="E47" s="1954">
        <v>1284</v>
      </c>
      <c r="F47" s="814">
        <v>1284</v>
      </c>
      <c r="G47" s="814">
        <v>1284</v>
      </c>
      <c r="H47" s="814">
        <v>1284</v>
      </c>
      <c r="I47" s="807">
        <v>1284</v>
      </c>
      <c r="J47" s="807">
        <v>1284</v>
      </c>
      <c r="K47" s="305">
        <v>1284</v>
      </c>
      <c r="L47" s="1862">
        <f t="shared" si="2"/>
        <v>0</v>
      </c>
      <c r="M47" s="1955">
        <f t="shared" si="3"/>
        <v>7.0000000000000007E-2</v>
      </c>
      <c r="N47" s="1956">
        <v>7.0000000000000007E-2</v>
      </c>
      <c r="O47" s="633">
        <f>'Table 5a'!G42</f>
        <v>0.14000000000000001</v>
      </c>
      <c r="P47" s="1000">
        <f t="shared" si="4"/>
        <v>0.08</v>
      </c>
      <c r="Q47" s="2200">
        <v>0.03</v>
      </c>
      <c r="R47" s="3080">
        <f>E47*$AO47/1000000</f>
        <v>0.11</v>
      </c>
      <c r="S47" s="2010">
        <v>0</v>
      </c>
      <c r="T47" s="1957">
        <f t="shared" si="5"/>
        <v>0.08</v>
      </c>
      <c r="U47" s="2201">
        <v>0.03</v>
      </c>
      <c r="V47" s="3080">
        <f>F47*$AO47/1000000</f>
        <v>0.11</v>
      </c>
      <c r="W47" s="3090">
        <v>0</v>
      </c>
      <c r="X47" s="1955">
        <f t="shared" si="6"/>
        <v>0.08</v>
      </c>
      <c r="Y47" s="2202">
        <v>0.03</v>
      </c>
      <c r="Z47" s="3080">
        <f>G47*$AO47/1000000</f>
        <v>0.11</v>
      </c>
      <c r="AA47" s="2010">
        <v>0</v>
      </c>
      <c r="AB47" s="1957">
        <f t="shared" si="7"/>
        <v>0.08</v>
      </c>
      <c r="AC47" s="2201">
        <v>0.03</v>
      </c>
      <c r="AD47" s="3080">
        <f>H47*$AO47/1000000</f>
        <v>0.11</v>
      </c>
      <c r="AE47" s="2010">
        <v>0</v>
      </c>
      <c r="AF47" s="1957">
        <f t="shared" si="8"/>
        <v>0.08</v>
      </c>
      <c r="AG47" s="2202">
        <v>0.03</v>
      </c>
      <c r="AH47" s="3080">
        <f>I47*$AO47/1000000</f>
        <v>0.11</v>
      </c>
      <c r="AI47" s="2010">
        <v>0</v>
      </c>
      <c r="AJ47" s="1957">
        <f t="shared" si="110"/>
        <v>0.08</v>
      </c>
      <c r="AK47" s="2202">
        <v>0.03</v>
      </c>
      <c r="AL47" s="3080">
        <f>J47*AO47/1000000</f>
        <v>0.11</v>
      </c>
      <c r="AM47" s="2011">
        <v>0</v>
      </c>
      <c r="AN47" s="300">
        <f t="shared" si="102"/>
        <v>-0.21</v>
      </c>
      <c r="AO47" s="2190">
        <f>'Table 5a'!P42</f>
        <v>85</v>
      </c>
      <c r="AP47" s="1957">
        <f t="shared" si="9"/>
        <v>0.09</v>
      </c>
      <c r="AQ47" s="2202">
        <f t="shared" si="113"/>
        <v>0.03</v>
      </c>
      <c r="AR47" s="3080">
        <f t="shared" si="114"/>
        <v>0.12</v>
      </c>
      <c r="AS47" s="3090">
        <v>0</v>
      </c>
      <c r="AU47" s="1959">
        <f t="shared" si="11"/>
        <v>0</v>
      </c>
      <c r="AV47" s="1960">
        <f t="shared" si="12"/>
        <v>-0.03</v>
      </c>
    </row>
    <row r="48" spans="1:48">
      <c r="A48" s="3283"/>
      <c r="B48" s="2203" t="s">
        <v>164</v>
      </c>
      <c r="C48" s="2204" t="s">
        <v>165</v>
      </c>
      <c r="D48" s="2015">
        <v>239</v>
      </c>
      <c r="E48" s="2016">
        <v>398</v>
      </c>
      <c r="F48" s="2017">
        <v>398</v>
      </c>
      <c r="G48" s="2017">
        <v>398</v>
      </c>
      <c r="H48" s="2017">
        <v>398</v>
      </c>
      <c r="I48" s="2018">
        <v>622</v>
      </c>
      <c r="J48" s="2018">
        <v>622</v>
      </c>
      <c r="K48" s="2020">
        <v>3518</v>
      </c>
      <c r="L48" s="1020">
        <f t="shared" si="2"/>
        <v>1.6</v>
      </c>
      <c r="M48" s="2021">
        <f t="shared" si="3"/>
        <v>0</v>
      </c>
      <c r="N48" s="2022">
        <v>0</v>
      </c>
      <c r="O48" s="633">
        <v>0</v>
      </c>
      <c r="P48" s="1053">
        <f t="shared" si="4"/>
        <v>0</v>
      </c>
      <c r="Q48" s="2022">
        <v>0</v>
      </c>
      <c r="R48" s="3080">
        <v>0</v>
      </c>
      <c r="S48" s="2024">
        <v>0</v>
      </c>
      <c r="T48" s="2023">
        <f t="shared" si="5"/>
        <v>0</v>
      </c>
      <c r="U48" s="2022">
        <v>0</v>
      </c>
      <c r="V48" s="3080">
        <v>0</v>
      </c>
      <c r="W48" s="3093">
        <v>0</v>
      </c>
      <c r="X48" s="2021">
        <f t="shared" si="6"/>
        <v>0</v>
      </c>
      <c r="Y48" s="1857">
        <v>0</v>
      </c>
      <c r="Z48" s="3080">
        <v>0</v>
      </c>
      <c r="AA48" s="2024">
        <v>0</v>
      </c>
      <c r="AB48" s="2023">
        <f t="shared" si="7"/>
        <v>0</v>
      </c>
      <c r="AC48" s="2022">
        <v>0</v>
      </c>
      <c r="AD48" s="3080">
        <v>0</v>
      </c>
      <c r="AE48" s="2024">
        <v>0</v>
      </c>
      <c r="AF48" s="2023">
        <f t="shared" si="8"/>
        <v>0</v>
      </c>
      <c r="AG48" s="1857">
        <v>0</v>
      </c>
      <c r="AH48" s="3080">
        <v>0</v>
      </c>
      <c r="AI48" s="2024">
        <v>0</v>
      </c>
      <c r="AJ48" s="2023">
        <f t="shared" si="110"/>
        <v>0</v>
      </c>
      <c r="AK48" s="1857">
        <v>0</v>
      </c>
      <c r="AL48" s="3080">
        <v>0</v>
      </c>
      <c r="AM48" s="2011">
        <v>0</v>
      </c>
      <c r="AN48" s="300" t="s">
        <v>16</v>
      </c>
      <c r="AO48" s="2205" t="s">
        <v>16</v>
      </c>
      <c r="AP48" s="2023">
        <f t="shared" si="9"/>
        <v>0</v>
      </c>
      <c r="AQ48" s="1857">
        <f t="shared" si="113"/>
        <v>0</v>
      </c>
      <c r="AR48" s="3080">
        <f t="shared" si="114"/>
        <v>0</v>
      </c>
      <c r="AS48" s="3096">
        <v>0</v>
      </c>
      <c r="AU48" s="2027">
        <f t="shared" si="11"/>
        <v>383</v>
      </c>
      <c r="AV48" s="2028">
        <f t="shared" si="12"/>
        <v>0</v>
      </c>
    </row>
    <row r="49" spans="1:48">
      <c r="A49" s="3283"/>
      <c r="B49" s="1951" t="s">
        <v>166</v>
      </c>
      <c r="C49" s="2206" t="s">
        <v>167</v>
      </c>
      <c r="D49" s="2015">
        <v>418</v>
      </c>
      <c r="E49" s="2016">
        <v>418</v>
      </c>
      <c r="F49" s="2017">
        <v>418</v>
      </c>
      <c r="G49" s="2017">
        <v>459</v>
      </c>
      <c r="H49" s="2017">
        <v>459</v>
      </c>
      <c r="I49" s="2018">
        <v>459</v>
      </c>
      <c r="J49" s="2018">
        <v>459</v>
      </c>
      <c r="K49" s="2020">
        <v>495</v>
      </c>
      <c r="L49" s="1020">
        <f t="shared" si="2"/>
        <v>0.1</v>
      </c>
      <c r="M49" s="2021">
        <f t="shared" si="3"/>
        <v>0</v>
      </c>
      <c r="N49" s="2022">
        <v>0</v>
      </c>
      <c r="O49" s="633">
        <v>0</v>
      </c>
      <c r="P49" s="1053">
        <f t="shared" si="4"/>
        <v>0</v>
      </c>
      <c r="Q49" s="2022">
        <v>0</v>
      </c>
      <c r="R49" s="3080">
        <v>0</v>
      </c>
      <c r="S49" s="2024">
        <v>0</v>
      </c>
      <c r="T49" s="2023">
        <f t="shared" si="5"/>
        <v>0</v>
      </c>
      <c r="U49" s="2022">
        <v>0</v>
      </c>
      <c r="V49" s="3080">
        <v>0</v>
      </c>
      <c r="W49" s="3093">
        <v>0</v>
      </c>
      <c r="X49" s="2021">
        <f t="shared" si="6"/>
        <v>0</v>
      </c>
      <c r="Y49" s="1857">
        <v>0</v>
      </c>
      <c r="Z49" s="3080">
        <v>0</v>
      </c>
      <c r="AA49" s="2024">
        <v>0</v>
      </c>
      <c r="AB49" s="2023">
        <f t="shared" si="7"/>
        <v>0</v>
      </c>
      <c r="AC49" s="2022">
        <v>0</v>
      </c>
      <c r="AD49" s="3080">
        <v>0</v>
      </c>
      <c r="AE49" s="2024">
        <v>0</v>
      </c>
      <c r="AF49" s="2023">
        <f t="shared" si="8"/>
        <v>0</v>
      </c>
      <c r="AG49" s="1857">
        <v>0</v>
      </c>
      <c r="AH49" s="3080">
        <v>0</v>
      </c>
      <c r="AI49" s="2024">
        <v>0</v>
      </c>
      <c r="AJ49" s="2023">
        <f t="shared" si="110"/>
        <v>0</v>
      </c>
      <c r="AK49" s="1857">
        <v>0</v>
      </c>
      <c r="AL49" s="3080">
        <v>0</v>
      </c>
      <c r="AM49" s="2011">
        <v>0</v>
      </c>
      <c r="AN49" s="300" t="s">
        <v>16</v>
      </c>
      <c r="AO49" s="2205" t="s">
        <v>16</v>
      </c>
      <c r="AP49" s="2023">
        <f t="shared" si="9"/>
        <v>0</v>
      </c>
      <c r="AQ49" s="1857">
        <f t="shared" si="113"/>
        <v>0</v>
      </c>
      <c r="AR49" s="3080">
        <f t="shared" si="114"/>
        <v>0</v>
      </c>
      <c r="AS49" s="3090">
        <v>0</v>
      </c>
      <c r="AU49" s="2027">
        <f t="shared" si="11"/>
        <v>41</v>
      </c>
      <c r="AV49" s="2028">
        <f t="shared" si="12"/>
        <v>0</v>
      </c>
    </row>
    <row r="50" spans="1:48" ht="13.5" thickBot="1">
      <c r="A50" s="3283"/>
      <c r="B50" s="2156" t="s">
        <v>168</v>
      </c>
      <c r="C50" s="2207">
        <v>51136</v>
      </c>
      <c r="D50" s="2031">
        <f>'Table 5a'!L43</f>
        <v>4017</v>
      </c>
      <c r="E50" s="2032">
        <v>4153</v>
      </c>
      <c r="F50" s="2033">
        <v>4153</v>
      </c>
      <c r="G50" s="2033">
        <v>4208</v>
      </c>
      <c r="H50" s="2033">
        <v>4430</v>
      </c>
      <c r="I50" s="2034">
        <v>4551</v>
      </c>
      <c r="J50" s="2034">
        <v>4551</v>
      </c>
      <c r="K50" s="2036">
        <v>4588</v>
      </c>
      <c r="L50" s="209">
        <f t="shared" si="2"/>
        <v>0.13</v>
      </c>
      <c r="M50" s="2037">
        <f t="shared" si="3"/>
        <v>0.69</v>
      </c>
      <c r="N50" s="2038">
        <v>0</v>
      </c>
      <c r="O50" s="51">
        <f>'Table 5a'!G43</f>
        <v>0.69</v>
      </c>
      <c r="P50" s="1021">
        <f t="shared" si="4"/>
        <v>0.78</v>
      </c>
      <c r="Q50" s="2038">
        <v>0</v>
      </c>
      <c r="R50" s="3078">
        <f>E50*$AO50/1000000</f>
        <v>0.78</v>
      </c>
      <c r="S50" s="3091">
        <v>0</v>
      </c>
      <c r="T50" s="2040">
        <f t="shared" si="5"/>
        <v>0.78</v>
      </c>
      <c r="U50" s="2038">
        <v>0</v>
      </c>
      <c r="V50" s="2039">
        <f>F50*$AO50/1000000</f>
        <v>0.78</v>
      </c>
      <c r="W50" s="3091">
        <v>0</v>
      </c>
      <c r="X50" s="2037">
        <f t="shared" si="6"/>
        <v>0.79</v>
      </c>
      <c r="Y50" s="1022">
        <v>0</v>
      </c>
      <c r="Z50" s="3078">
        <f>G50*$AO50/1000000</f>
        <v>0.79</v>
      </c>
      <c r="AA50" s="2042">
        <v>0</v>
      </c>
      <c r="AB50" s="2040">
        <f t="shared" si="7"/>
        <v>0.83</v>
      </c>
      <c r="AC50" s="2038">
        <v>0</v>
      </c>
      <c r="AD50" s="3078">
        <f>H50*$AO50/1000000</f>
        <v>0.83</v>
      </c>
      <c r="AE50" s="2042">
        <v>0</v>
      </c>
      <c r="AF50" s="2040">
        <f t="shared" si="8"/>
        <v>0.86</v>
      </c>
      <c r="AG50" s="1022">
        <v>0</v>
      </c>
      <c r="AH50" s="3078">
        <f>I50*$AO50/1000000</f>
        <v>0.86</v>
      </c>
      <c r="AI50" s="2042">
        <v>0</v>
      </c>
      <c r="AJ50" s="2040">
        <f t="shared" si="110"/>
        <v>0.86</v>
      </c>
      <c r="AK50" s="1022">
        <v>0</v>
      </c>
      <c r="AL50" s="3078">
        <f>J50*AO50/1000000</f>
        <v>0.86</v>
      </c>
      <c r="AM50" s="2043">
        <v>0</v>
      </c>
      <c r="AN50" s="216">
        <f t="shared" ref="AN50:AN91" si="115">(AL50-O50)/O50</f>
        <v>0.25</v>
      </c>
      <c r="AO50" s="2208">
        <v>188</v>
      </c>
      <c r="AP50" s="2040">
        <f t="shared" si="9"/>
        <v>0.91</v>
      </c>
      <c r="AQ50" s="1022">
        <f t="shared" si="113"/>
        <v>0</v>
      </c>
      <c r="AR50" s="3078">
        <f t="shared" si="114"/>
        <v>0.91</v>
      </c>
      <c r="AS50" s="3091">
        <v>0</v>
      </c>
      <c r="AU50" s="2045">
        <f t="shared" si="11"/>
        <v>534</v>
      </c>
      <c r="AV50" s="2046">
        <f t="shared" si="12"/>
        <v>0.17</v>
      </c>
    </row>
    <row r="51" spans="1:48" ht="14.25" thickTop="1" thickBot="1">
      <c r="A51" s="3284"/>
      <c r="B51" s="3277" t="s">
        <v>169</v>
      </c>
      <c r="C51" s="3278"/>
      <c r="D51" s="2196">
        <f t="shared" ref="D51:K51" si="116">SUM(D43:D50)</f>
        <v>94805</v>
      </c>
      <c r="E51" s="2178">
        <f t="shared" si="116"/>
        <v>107845</v>
      </c>
      <c r="F51" s="2179">
        <f t="shared" si="116"/>
        <v>120892</v>
      </c>
      <c r="G51" s="2179">
        <f t="shared" si="116"/>
        <v>130769</v>
      </c>
      <c r="H51" s="2179">
        <f t="shared" si="116"/>
        <v>139582</v>
      </c>
      <c r="I51" s="2180">
        <f t="shared" si="116"/>
        <v>145212</v>
      </c>
      <c r="J51" s="2180">
        <f t="shared" si="116"/>
        <v>149355</v>
      </c>
      <c r="K51" s="2181">
        <f t="shared" si="116"/>
        <v>524270</v>
      </c>
      <c r="L51" s="210">
        <f t="shared" si="2"/>
        <v>0.57999999999999996</v>
      </c>
      <c r="M51" s="2182">
        <f t="shared" si="3"/>
        <v>8.98</v>
      </c>
      <c r="N51" s="2183">
        <f>SUM(N43:N50)</f>
        <v>7.0000000000000007E-2</v>
      </c>
      <c r="O51" s="315">
        <f>SUM(O43:O50)</f>
        <v>9.0500000000000007</v>
      </c>
      <c r="P51" s="60">
        <f t="shared" si="4"/>
        <v>10.26</v>
      </c>
      <c r="Q51" s="2183">
        <f>SUM(Q43:Q50)</f>
        <v>0.03</v>
      </c>
      <c r="R51" s="3071">
        <f>SUM(R43:R50)</f>
        <v>10.29</v>
      </c>
      <c r="S51" s="103">
        <f>SUM(S43:S50)</f>
        <v>0</v>
      </c>
      <c r="T51" s="2184">
        <f t="shared" si="5"/>
        <v>11.42</v>
      </c>
      <c r="U51" s="2183">
        <f>SUM(U43:U50)</f>
        <v>0.03</v>
      </c>
      <c r="V51" s="3071">
        <f>SUM(V43:V50)</f>
        <v>11.45</v>
      </c>
      <c r="W51" s="3100">
        <f>SUM(W43:W50)</f>
        <v>0</v>
      </c>
      <c r="X51" s="2182">
        <f t="shared" si="6"/>
        <v>12.42</v>
      </c>
      <c r="Y51" s="106">
        <f>SUM(Y43:Y50)</f>
        <v>0.03</v>
      </c>
      <c r="Z51" s="103">
        <f>SUM(Z43:Z50)</f>
        <v>12.45</v>
      </c>
      <c r="AA51" s="3098">
        <f>SUM(AA43:AA50)</f>
        <v>0</v>
      </c>
      <c r="AB51" s="2184">
        <f t="shared" si="7"/>
        <v>13.23</v>
      </c>
      <c r="AC51" s="2183">
        <f>SUM(AC43:AC50)</f>
        <v>0.03</v>
      </c>
      <c r="AD51" s="3071">
        <f>SUM(AD43:AD50)</f>
        <v>13.26</v>
      </c>
      <c r="AE51" s="103">
        <f>SUM(AE43:AE50)</f>
        <v>0</v>
      </c>
      <c r="AF51" s="2184">
        <f t="shared" si="8"/>
        <v>13.76</v>
      </c>
      <c r="AG51" s="106">
        <f>SUM(AG43:AG50)</f>
        <v>0.03</v>
      </c>
      <c r="AH51" s="3075">
        <f>SUM(AH43:AH50)</f>
        <v>13.79</v>
      </c>
      <c r="AI51" s="103">
        <f>SUM(AI43:AI50)</f>
        <v>0</v>
      </c>
      <c r="AJ51" s="2184">
        <f t="shared" ref="AJ51:AJ53" si="117">AL51-AK51</f>
        <v>14.3</v>
      </c>
      <c r="AK51" s="106">
        <f>SUM(AK43:AK50)</f>
        <v>0.03</v>
      </c>
      <c r="AL51" s="3071">
        <f>SUM(AL43:AL50)</f>
        <v>14.33</v>
      </c>
      <c r="AM51" s="61">
        <f>SUM(AM43:AM50)</f>
        <v>0</v>
      </c>
      <c r="AN51" s="210">
        <f t="shared" si="115"/>
        <v>0.57999999999999996</v>
      </c>
      <c r="AO51" s="3037" t="s">
        <v>16</v>
      </c>
      <c r="AP51" s="2184">
        <f t="shared" si="9"/>
        <v>15.15</v>
      </c>
      <c r="AQ51" s="106">
        <f>SUM(AQ43:AQ50)</f>
        <v>0.03</v>
      </c>
      <c r="AR51" s="3075">
        <f>SUM(AR43:AR50)</f>
        <v>15.18</v>
      </c>
      <c r="AS51" s="3099">
        <f>SUM(AS43:AS50)</f>
        <v>0</v>
      </c>
      <c r="AU51" s="2185">
        <f t="shared" si="11"/>
        <v>54550</v>
      </c>
      <c r="AV51" s="2186">
        <f t="shared" si="12"/>
        <v>5.28</v>
      </c>
    </row>
    <row r="52" spans="1:48">
      <c r="A52" s="3289" t="s">
        <v>170</v>
      </c>
      <c r="B52" s="2209" t="s">
        <v>171</v>
      </c>
      <c r="C52" s="2210">
        <v>216453</v>
      </c>
      <c r="D52" s="2211">
        <f>'Table 5a'!L45</f>
        <v>2040</v>
      </c>
      <c r="E52" s="2212">
        <v>2117</v>
      </c>
      <c r="F52" s="2213">
        <v>2363</v>
      </c>
      <c r="G52" s="2213">
        <v>2559</v>
      </c>
      <c r="H52" s="2213">
        <v>2695</v>
      </c>
      <c r="I52" s="2214">
        <v>2710</v>
      </c>
      <c r="J52" s="2214">
        <v>2710</v>
      </c>
      <c r="K52" s="2215">
        <v>15316</v>
      </c>
      <c r="L52" s="232">
        <f t="shared" si="2"/>
        <v>0.33</v>
      </c>
      <c r="M52" s="2216">
        <f t="shared" si="3"/>
        <v>0.22</v>
      </c>
      <c r="N52" s="2217">
        <v>0</v>
      </c>
      <c r="O52" s="2218">
        <f>'Table 5a'!G45</f>
        <v>0.22</v>
      </c>
      <c r="P52" s="2219">
        <f t="shared" si="4"/>
        <v>0.22</v>
      </c>
      <c r="Q52" s="2217">
        <v>0</v>
      </c>
      <c r="R52" s="3072">
        <f>E52*$AO52/1000000</f>
        <v>0.22</v>
      </c>
      <c r="S52" s="2223">
        <v>0</v>
      </c>
      <c r="T52" s="2220">
        <f t="shared" si="5"/>
        <v>0.25</v>
      </c>
      <c r="U52" s="2217">
        <v>0</v>
      </c>
      <c r="V52" s="3072">
        <f>F52*$AO52/1000000</f>
        <v>0.25</v>
      </c>
      <c r="W52" s="3101">
        <v>0</v>
      </c>
      <c r="X52" s="2216">
        <f t="shared" si="6"/>
        <v>0.27</v>
      </c>
      <c r="Y52" s="2222">
        <v>0</v>
      </c>
      <c r="Z52" s="3072">
        <f>G52*$AO52/1000000</f>
        <v>0.27</v>
      </c>
      <c r="AA52" s="2223">
        <v>0</v>
      </c>
      <c r="AB52" s="2220">
        <f t="shared" si="7"/>
        <v>0.28000000000000003</v>
      </c>
      <c r="AC52" s="2217">
        <v>0</v>
      </c>
      <c r="AD52" s="3072">
        <f>H52*$AO52/1000000</f>
        <v>0.28000000000000003</v>
      </c>
      <c r="AE52" s="2223">
        <v>0</v>
      </c>
      <c r="AF52" s="2220">
        <f t="shared" si="8"/>
        <v>0.28000000000000003</v>
      </c>
      <c r="AG52" s="2222">
        <v>0</v>
      </c>
      <c r="AH52" s="3072">
        <f>I52*$AO52/1000000</f>
        <v>0.28000000000000003</v>
      </c>
      <c r="AI52" s="2223">
        <v>0</v>
      </c>
      <c r="AJ52" s="2220">
        <f t="shared" si="117"/>
        <v>0.28000000000000003</v>
      </c>
      <c r="AK52" s="2222">
        <v>0</v>
      </c>
      <c r="AL52" s="3072">
        <f>J52*AO52/1000000</f>
        <v>0.28000000000000003</v>
      </c>
      <c r="AM52" s="2224">
        <v>0</v>
      </c>
      <c r="AN52" s="232">
        <f t="shared" si="115"/>
        <v>0.27</v>
      </c>
      <c r="AO52" s="2225">
        <f>'Table 5a'!P45</f>
        <v>104</v>
      </c>
      <c r="AP52" s="2220">
        <f t="shared" si="9"/>
        <v>0.3</v>
      </c>
      <c r="AQ52" s="2222">
        <v>0</v>
      </c>
      <c r="AR52" s="3072">
        <f t="shared" ref="AR52:AR53" si="118">AL52*1.06</f>
        <v>0.3</v>
      </c>
      <c r="AS52" s="3121">
        <v>0</v>
      </c>
      <c r="AU52" s="2226">
        <f t="shared" si="11"/>
        <v>670</v>
      </c>
      <c r="AV52" s="2227">
        <f t="shared" si="12"/>
        <v>0.06</v>
      </c>
    </row>
    <row r="53" spans="1:48" ht="13.5" thickBot="1">
      <c r="A53" s="3275"/>
      <c r="B53" s="2118" t="s">
        <v>172</v>
      </c>
      <c r="C53" s="2080">
        <v>220310</v>
      </c>
      <c r="D53" s="2031">
        <f>'Table 5a'!L46</f>
        <v>85</v>
      </c>
      <c r="E53" s="2032">
        <v>103</v>
      </c>
      <c r="F53" s="2033">
        <v>123</v>
      </c>
      <c r="G53" s="2033">
        <v>151</v>
      </c>
      <c r="H53" s="2033">
        <v>168</v>
      </c>
      <c r="I53" s="2034">
        <v>170</v>
      </c>
      <c r="J53" s="2034">
        <v>170</v>
      </c>
      <c r="K53" s="2036">
        <v>1110</v>
      </c>
      <c r="L53" s="216">
        <f t="shared" si="2"/>
        <v>1</v>
      </c>
      <c r="M53" s="2037">
        <f t="shared" si="3"/>
        <v>0</v>
      </c>
      <c r="N53" s="2038">
        <v>0</v>
      </c>
      <c r="O53" s="50">
        <f>'Table 5a'!G46</f>
        <v>0</v>
      </c>
      <c r="P53" s="1021">
        <f t="shared" ref="P53" si="119">R53-Q53</f>
        <v>0</v>
      </c>
      <c r="Q53" s="2038">
        <v>0</v>
      </c>
      <c r="R53" s="3073">
        <f>E53*$AO53/1000000</f>
        <v>0</v>
      </c>
      <c r="S53" s="1734">
        <v>0</v>
      </c>
      <c r="T53" s="2040">
        <f t="shared" ref="T53" si="120">V53-U53</f>
        <v>0</v>
      </c>
      <c r="U53" s="2038">
        <v>0</v>
      </c>
      <c r="V53" s="3073">
        <f>F53*$AO53/1000000</f>
        <v>0</v>
      </c>
      <c r="W53" s="3102">
        <v>0</v>
      </c>
      <c r="X53" s="2037">
        <f t="shared" ref="X53" si="121">Z53-Y53</f>
        <v>0</v>
      </c>
      <c r="Y53" s="1022">
        <v>0</v>
      </c>
      <c r="Z53" s="3073">
        <f>G53*$AO53/1000000</f>
        <v>0</v>
      </c>
      <c r="AA53" s="1734">
        <v>0</v>
      </c>
      <c r="AB53" s="2040">
        <f t="shared" ref="AB53" si="122">AD53-AC53</f>
        <v>0</v>
      </c>
      <c r="AC53" s="2038">
        <v>0</v>
      </c>
      <c r="AD53" s="3073">
        <f>H53*$AO53/1000000</f>
        <v>0</v>
      </c>
      <c r="AE53" s="1734">
        <v>0</v>
      </c>
      <c r="AF53" s="2040">
        <f t="shared" ref="AF53" si="123">AH53-AG53</f>
        <v>0</v>
      </c>
      <c r="AG53" s="1022">
        <v>0</v>
      </c>
      <c r="AH53" s="3073">
        <f>I53*$AO53/1000000</f>
        <v>0</v>
      </c>
      <c r="AI53" s="1734">
        <v>0</v>
      </c>
      <c r="AJ53" s="2040">
        <f t="shared" si="117"/>
        <v>0</v>
      </c>
      <c r="AK53" s="1022">
        <v>0</v>
      </c>
      <c r="AL53" s="3073">
        <f>J53*AO53/1000000</f>
        <v>0</v>
      </c>
      <c r="AM53" s="874">
        <v>0</v>
      </c>
      <c r="AN53" s="216" t="s">
        <v>16</v>
      </c>
      <c r="AO53" s="2088">
        <f>'Table 5a'!P46</f>
        <v>0</v>
      </c>
      <c r="AP53" s="2040">
        <f t="shared" ref="AP53" si="124">AR53-AQ53</f>
        <v>0</v>
      </c>
      <c r="AQ53" s="1022">
        <v>0</v>
      </c>
      <c r="AR53" s="3073">
        <f t="shared" si="118"/>
        <v>0</v>
      </c>
      <c r="AS53" s="3102">
        <v>0</v>
      </c>
      <c r="AU53" s="2045">
        <f t="shared" si="11"/>
        <v>85</v>
      </c>
      <c r="AV53" s="2046">
        <f t="shared" si="12"/>
        <v>0</v>
      </c>
    </row>
    <row r="54" spans="1:48" ht="14.25" thickTop="1" thickBot="1">
      <c r="A54" s="3285"/>
      <c r="B54" s="3277" t="s">
        <v>173</v>
      </c>
      <c r="C54" s="3278"/>
      <c r="D54" s="1978">
        <f>SUM(D52:D53)</f>
        <v>2125</v>
      </c>
      <c r="E54" s="1979">
        <f t="shared" ref="E54:K54" si="125">SUM(E52:E53)</f>
        <v>2220</v>
      </c>
      <c r="F54" s="1980">
        <f t="shared" si="125"/>
        <v>2486</v>
      </c>
      <c r="G54" s="1980">
        <f t="shared" si="125"/>
        <v>2710</v>
      </c>
      <c r="H54" s="1980">
        <f t="shared" si="125"/>
        <v>2863</v>
      </c>
      <c r="I54" s="1981">
        <f t="shared" si="125"/>
        <v>2880</v>
      </c>
      <c r="J54" s="1981">
        <f t="shared" si="125"/>
        <v>2880</v>
      </c>
      <c r="K54" s="1983">
        <f t="shared" si="125"/>
        <v>16426</v>
      </c>
      <c r="L54" s="217">
        <f t="shared" si="2"/>
        <v>0.36</v>
      </c>
      <c r="M54" s="101">
        <f t="shared" si="3"/>
        <v>0.22</v>
      </c>
      <c r="N54" s="1984">
        <f>SUM(N52:N53)</f>
        <v>0</v>
      </c>
      <c r="O54" s="154">
        <f>SUM(O52:O53)</f>
        <v>0.22</v>
      </c>
      <c r="P54" s="100">
        <f t="shared" ref="P54:P57" si="126">R54-Q54</f>
        <v>0.22</v>
      </c>
      <c r="Q54" s="1984">
        <f t="shared" ref="Q54:R54" si="127">SUM(Q52:Q53)</f>
        <v>0</v>
      </c>
      <c r="R54" s="3074">
        <f t="shared" si="127"/>
        <v>0.22</v>
      </c>
      <c r="S54" s="303">
        <f>SUM(S52:S53)</f>
        <v>0</v>
      </c>
      <c r="T54" s="1985">
        <f t="shared" ref="T54:T57" si="128">V54-U54</f>
        <v>0.25</v>
      </c>
      <c r="U54" s="1984">
        <f t="shared" ref="U54:V54" si="129">SUM(U52:U53)</f>
        <v>0</v>
      </c>
      <c r="V54" s="3074">
        <f t="shared" si="129"/>
        <v>0.25</v>
      </c>
      <c r="W54" s="3099">
        <f>SUM(W52:W53)</f>
        <v>0</v>
      </c>
      <c r="X54" s="101">
        <f t="shared" ref="X54:X57" si="130">Z54-Y54</f>
        <v>0.27</v>
      </c>
      <c r="Y54" s="108">
        <f t="shared" ref="Y54:Z54" si="131">SUM(Y52:Y53)</f>
        <v>0</v>
      </c>
      <c r="Z54" s="3074">
        <f t="shared" si="131"/>
        <v>0.27</v>
      </c>
      <c r="AA54" s="303">
        <f>SUM(AA52:AA53)</f>
        <v>0</v>
      </c>
      <c r="AB54" s="1985">
        <f t="shared" ref="AB54:AB57" si="132">AD54-AC54</f>
        <v>0.28000000000000003</v>
      </c>
      <c r="AC54" s="1984">
        <f t="shared" ref="AC54:AD54" si="133">SUM(AC52:AC53)</f>
        <v>0</v>
      </c>
      <c r="AD54" s="3074">
        <f t="shared" si="133"/>
        <v>0.28000000000000003</v>
      </c>
      <c r="AE54" s="303">
        <f>SUM(AE52:AE53)</f>
        <v>0</v>
      </c>
      <c r="AF54" s="1985">
        <f t="shared" ref="AF54:AF57" si="134">AH54-AG54</f>
        <v>0.28000000000000003</v>
      </c>
      <c r="AG54" s="108">
        <f t="shared" ref="AG54:AH54" si="135">SUM(AG52:AG53)</f>
        <v>0</v>
      </c>
      <c r="AH54" s="3074">
        <f t="shared" si="135"/>
        <v>0.28000000000000003</v>
      </c>
      <c r="AI54" s="303">
        <f>SUM(AI52:AI53)</f>
        <v>0</v>
      </c>
      <c r="AJ54" s="1985">
        <f t="shared" ref="AJ54:AJ58" si="136">AL54-AK54</f>
        <v>0.28000000000000003</v>
      </c>
      <c r="AK54" s="108">
        <f t="shared" ref="AK54:AL54" si="137">SUM(AK52:AK53)</f>
        <v>0</v>
      </c>
      <c r="AL54" s="3074">
        <f t="shared" si="137"/>
        <v>0.28000000000000003</v>
      </c>
      <c r="AM54" s="21">
        <f>SUM(AM52:AM53)</f>
        <v>0</v>
      </c>
      <c r="AN54" s="217">
        <f t="shared" si="115"/>
        <v>0.27</v>
      </c>
      <c r="AO54" s="3035" t="s">
        <v>16</v>
      </c>
      <c r="AP54" s="1985">
        <f t="shared" ref="AP54:AP56" si="138">AR54-AQ54</f>
        <v>0.3</v>
      </c>
      <c r="AQ54" s="108">
        <f>SUM(AQ52:AQ53)</f>
        <v>0</v>
      </c>
      <c r="AR54" s="3074">
        <f>SUM(AR52:AR53)</f>
        <v>0.3</v>
      </c>
      <c r="AS54" s="3099">
        <f>SUM(AS52:AS53)</f>
        <v>0</v>
      </c>
      <c r="AU54" s="1986">
        <f t="shared" si="11"/>
        <v>755</v>
      </c>
      <c r="AV54" s="1987">
        <f t="shared" si="12"/>
        <v>0.06</v>
      </c>
    </row>
    <row r="55" spans="1:48" ht="12.75" customHeight="1">
      <c r="A55" s="3274" t="s">
        <v>174</v>
      </c>
      <c r="B55" s="2013" t="s">
        <v>175</v>
      </c>
      <c r="C55" s="2014" t="s">
        <v>176</v>
      </c>
      <c r="D55" s="2015">
        <f>'Table 5a'!L48</f>
        <v>699</v>
      </c>
      <c r="E55" s="2016">
        <v>699</v>
      </c>
      <c r="F55" s="2017">
        <v>699</v>
      </c>
      <c r="G55" s="2017">
        <v>699</v>
      </c>
      <c r="H55" s="2017">
        <v>699</v>
      </c>
      <c r="I55" s="2018">
        <v>699</v>
      </c>
      <c r="J55" s="2018">
        <v>699</v>
      </c>
      <c r="K55" s="2020">
        <v>1222</v>
      </c>
      <c r="L55" s="215">
        <f t="shared" si="2"/>
        <v>0</v>
      </c>
      <c r="M55" s="2228">
        <f t="shared" si="3"/>
        <v>0.14000000000000001</v>
      </c>
      <c r="N55" s="2229">
        <v>0</v>
      </c>
      <c r="O55" s="315">
        <f>'Table 5a'!G48</f>
        <v>0.14000000000000001</v>
      </c>
      <c r="P55" s="2230">
        <f t="shared" si="126"/>
        <v>0.15</v>
      </c>
      <c r="Q55" s="2229">
        <v>0</v>
      </c>
      <c r="R55" s="3075">
        <f>E55*$AO55/1000000</f>
        <v>0.15</v>
      </c>
      <c r="S55" s="103">
        <v>0</v>
      </c>
      <c r="T55" s="2231">
        <f t="shared" si="128"/>
        <v>0.15</v>
      </c>
      <c r="U55" s="2229">
        <v>0</v>
      </c>
      <c r="V55" s="3075">
        <f>F55*$AO55/1000000</f>
        <v>0.15</v>
      </c>
      <c r="W55" s="3103">
        <v>0</v>
      </c>
      <c r="X55" s="2228">
        <f t="shared" si="130"/>
        <v>0.15</v>
      </c>
      <c r="Y55" s="2232">
        <v>0</v>
      </c>
      <c r="Z55" s="3075">
        <f>G55*$AO55/1000000</f>
        <v>0.15</v>
      </c>
      <c r="AA55" s="103">
        <v>0</v>
      </c>
      <c r="AB55" s="2231">
        <f t="shared" si="132"/>
        <v>0.15</v>
      </c>
      <c r="AC55" s="2229">
        <v>0</v>
      </c>
      <c r="AD55" s="3075">
        <f>H55*$AO55/1000000</f>
        <v>0.15</v>
      </c>
      <c r="AE55" s="103">
        <v>0</v>
      </c>
      <c r="AF55" s="2231">
        <f t="shared" si="134"/>
        <v>0.15</v>
      </c>
      <c r="AG55" s="2232">
        <v>0</v>
      </c>
      <c r="AH55" s="3075">
        <f>I55*$AO55/1000000</f>
        <v>0.15</v>
      </c>
      <c r="AI55" s="103">
        <v>0</v>
      </c>
      <c r="AJ55" s="2231">
        <f t="shared" si="136"/>
        <v>0.15</v>
      </c>
      <c r="AK55" s="2232">
        <v>0</v>
      </c>
      <c r="AL55" s="3075">
        <f>J55*AO55/1000000</f>
        <v>0.15</v>
      </c>
      <c r="AM55" s="61">
        <v>0</v>
      </c>
      <c r="AN55" s="215">
        <f t="shared" si="115"/>
        <v>7.0000000000000007E-2</v>
      </c>
      <c r="AO55" s="2233">
        <f>'Table 5a'!P48</f>
        <v>208</v>
      </c>
      <c r="AP55" s="2231">
        <f t="shared" si="138"/>
        <v>0.16</v>
      </c>
      <c r="AQ55" s="2232">
        <v>0</v>
      </c>
      <c r="AR55" s="3075">
        <f t="shared" ref="AR55:AR58" si="139">AL55*1.06</f>
        <v>0.16</v>
      </c>
      <c r="AS55" s="3121">
        <v>0</v>
      </c>
      <c r="AU55" s="2027">
        <f t="shared" si="11"/>
        <v>0</v>
      </c>
      <c r="AV55" s="2234">
        <f t="shared" si="12"/>
        <v>0.01</v>
      </c>
    </row>
    <row r="56" spans="1:48" ht="15" customHeight="1">
      <c r="A56" s="3275"/>
      <c r="B56" s="2048" t="s">
        <v>177</v>
      </c>
      <c r="C56" s="2008" t="s">
        <v>178</v>
      </c>
      <c r="D56" s="1953">
        <f>'Table 5a'!L49</f>
        <v>754</v>
      </c>
      <c r="E56" s="1954">
        <v>777</v>
      </c>
      <c r="F56" s="814">
        <v>820</v>
      </c>
      <c r="G56" s="814">
        <v>843</v>
      </c>
      <c r="H56" s="814">
        <v>843</v>
      </c>
      <c r="I56" s="807">
        <v>843</v>
      </c>
      <c r="J56" s="807">
        <v>877</v>
      </c>
      <c r="K56" s="305">
        <v>1347</v>
      </c>
      <c r="L56" s="300">
        <f t="shared" si="2"/>
        <v>0.16</v>
      </c>
      <c r="M56" s="1955">
        <f t="shared" si="3"/>
        <v>0.04</v>
      </c>
      <c r="N56" s="1956">
        <v>0</v>
      </c>
      <c r="O56" s="392">
        <f>'Table 5a'!G49</f>
        <v>0.04</v>
      </c>
      <c r="P56" s="1000">
        <f t="shared" si="126"/>
        <v>0.05</v>
      </c>
      <c r="Q56" s="1956">
        <v>0</v>
      </c>
      <c r="R56" s="3076">
        <f>E56*$AO56/1000000</f>
        <v>0.05</v>
      </c>
      <c r="S56" s="998">
        <v>0</v>
      </c>
      <c r="T56" s="1957">
        <f t="shared" si="128"/>
        <v>0.05</v>
      </c>
      <c r="U56" s="1956">
        <v>0</v>
      </c>
      <c r="V56" s="3076">
        <f>F56*$AO56/1000000</f>
        <v>0.05</v>
      </c>
      <c r="W56" s="3104">
        <v>0</v>
      </c>
      <c r="X56" s="1955">
        <f t="shared" si="130"/>
        <v>0.05</v>
      </c>
      <c r="Y56" s="299">
        <v>0</v>
      </c>
      <c r="Z56" s="3076">
        <f>G56*$AO56/1000000</f>
        <v>0.05</v>
      </c>
      <c r="AA56" s="998">
        <v>0</v>
      </c>
      <c r="AB56" s="1957">
        <f t="shared" si="132"/>
        <v>0.05</v>
      </c>
      <c r="AC56" s="1956">
        <v>0</v>
      </c>
      <c r="AD56" s="3076">
        <f>H56*$AO56/1000000</f>
        <v>0.05</v>
      </c>
      <c r="AE56" s="998">
        <v>0</v>
      </c>
      <c r="AF56" s="1957">
        <f t="shared" si="134"/>
        <v>0.05</v>
      </c>
      <c r="AG56" s="299">
        <v>0</v>
      </c>
      <c r="AH56" s="3076">
        <f>I56*$AO56/1000000</f>
        <v>0.05</v>
      </c>
      <c r="AI56" s="998">
        <v>0</v>
      </c>
      <c r="AJ56" s="1957">
        <f t="shared" si="136"/>
        <v>0.05</v>
      </c>
      <c r="AK56" s="299">
        <v>0</v>
      </c>
      <c r="AL56" s="3076">
        <f>J56*AO56/1000000</f>
        <v>0.05</v>
      </c>
      <c r="AM56" s="830">
        <v>0</v>
      </c>
      <c r="AN56" s="300">
        <f t="shared" si="115"/>
        <v>0.25</v>
      </c>
      <c r="AO56" s="2235">
        <f>'Table 5a'!P49</f>
        <v>58</v>
      </c>
      <c r="AP56" s="1957">
        <f t="shared" si="138"/>
        <v>0.05</v>
      </c>
      <c r="AQ56" s="299">
        <v>0</v>
      </c>
      <c r="AR56" s="3076">
        <f t="shared" si="139"/>
        <v>0.05</v>
      </c>
      <c r="AS56" s="3103">
        <v>0</v>
      </c>
      <c r="AU56" s="1959">
        <f t="shared" si="11"/>
        <v>123</v>
      </c>
      <c r="AV56" s="1960">
        <f t="shared" si="12"/>
        <v>0.01</v>
      </c>
    </row>
    <row r="57" spans="1:48" ht="15" customHeight="1">
      <c r="A57" s="3275"/>
      <c r="B57" s="3003" t="s">
        <v>179</v>
      </c>
      <c r="C57" s="2014" t="s">
        <v>180</v>
      </c>
      <c r="D57" s="2015">
        <v>0</v>
      </c>
      <c r="E57" s="2016">
        <v>0</v>
      </c>
      <c r="F57" s="2017">
        <v>0</v>
      </c>
      <c r="G57" s="2017">
        <v>0</v>
      </c>
      <c r="H57" s="2017">
        <v>0</v>
      </c>
      <c r="I57" s="2018">
        <v>0</v>
      </c>
      <c r="J57" s="2018">
        <v>0</v>
      </c>
      <c r="K57" s="2020">
        <v>0</v>
      </c>
      <c r="L57" s="300" t="s">
        <v>16</v>
      </c>
      <c r="M57" s="1955">
        <f t="shared" si="3"/>
        <v>7.0000000000000007E-2</v>
      </c>
      <c r="N57" s="2022">
        <v>0</v>
      </c>
      <c r="O57" s="358">
        <f>'Table 5a'!G50</f>
        <v>7.0000000000000007E-2</v>
      </c>
      <c r="P57" s="1955">
        <f t="shared" si="126"/>
        <v>0.13</v>
      </c>
      <c r="Q57" s="2022">
        <v>0</v>
      </c>
      <c r="R57" s="3077">
        <v>0.13</v>
      </c>
      <c r="S57" s="2304">
        <v>0</v>
      </c>
      <c r="T57" s="1081">
        <f t="shared" si="128"/>
        <v>0.13</v>
      </c>
      <c r="U57" s="2022">
        <v>0</v>
      </c>
      <c r="V57" s="3077">
        <v>0.13</v>
      </c>
      <c r="W57" s="2304">
        <v>0</v>
      </c>
      <c r="X57" s="1081">
        <f t="shared" si="130"/>
        <v>0.13</v>
      </c>
      <c r="Y57" s="299">
        <v>0</v>
      </c>
      <c r="Z57" s="3077">
        <v>0.13</v>
      </c>
      <c r="AA57" s="2304">
        <v>0</v>
      </c>
      <c r="AB57" s="1081">
        <f t="shared" si="132"/>
        <v>0.13</v>
      </c>
      <c r="AC57" s="2022">
        <v>0</v>
      </c>
      <c r="AD57" s="3077">
        <v>0.13</v>
      </c>
      <c r="AE57" s="2304">
        <v>0</v>
      </c>
      <c r="AF57" s="1081">
        <f t="shared" si="134"/>
        <v>0.13</v>
      </c>
      <c r="AG57" s="2022">
        <v>0</v>
      </c>
      <c r="AH57" s="3076">
        <v>0.13</v>
      </c>
      <c r="AI57" s="998">
        <v>0</v>
      </c>
      <c r="AJ57" s="1081">
        <f t="shared" si="136"/>
        <v>0.13</v>
      </c>
      <c r="AK57" s="2022">
        <v>0</v>
      </c>
      <c r="AL57" s="3076">
        <v>0.13</v>
      </c>
      <c r="AM57" s="830">
        <v>0</v>
      </c>
      <c r="AN57" s="300">
        <f t="shared" si="115"/>
        <v>0.86</v>
      </c>
      <c r="AO57" s="2235" t="str">
        <f>'Table 5a'!P50</f>
        <v>N/A</v>
      </c>
      <c r="AP57" s="1957">
        <f t="shared" ref="AP57" si="140">AR57-AQ57</f>
        <v>0.14000000000000001</v>
      </c>
      <c r="AQ57" s="299">
        <v>0</v>
      </c>
      <c r="AR57" s="3076">
        <f t="shared" si="139"/>
        <v>0.14000000000000001</v>
      </c>
      <c r="AS57" s="3122">
        <v>0</v>
      </c>
      <c r="AU57" s="2027"/>
      <c r="AV57" s="2028"/>
    </row>
    <row r="58" spans="1:48" ht="15.75" customHeight="1" thickBot="1">
      <c r="A58" s="3275"/>
      <c r="B58" s="2029" t="s">
        <v>181</v>
      </c>
      <c r="C58" s="2030" t="s">
        <v>182</v>
      </c>
      <c r="D58" s="2031">
        <f>'Table 5a'!L51</f>
        <v>3623</v>
      </c>
      <c r="E58" s="2032">
        <v>3736</v>
      </c>
      <c r="F58" s="2033">
        <v>3736</v>
      </c>
      <c r="G58" s="2033">
        <v>3736</v>
      </c>
      <c r="H58" s="2033">
        <v>3736</v>
      </c>
      <c r="I58" s="2034">
        <v>3736</v>
      </c>
      <c r="J58" s="2034">
        <v>3736</v>
      </c>
      <c r="K58" s="2036">
        <v>8392</v>
      </c>
      <c r="L58" s="216">
        <f t="shared" si="2"/>
        <v>0.03</v>
      </c>
      <c r="M58" s="2037">
        <f t="shared" si="3"/>
        <v>0.66</v>
      </c>
      <c r="N58" s="2038">
        <v>0</v>
      </c>
      <c r="O58" s="51">
        <f>'Table 5a'!G51</f>
        <v>0.66</v>
      </c>
      <c r="P58" s="1021">
        <f t="shared" si="4"/>
        <v>0.7</v>
      </c>
      <c r="Q58" s="2038">
        <v>0</v>
      </c>
      <c r="R58" s="3078">
        <f>E58*$AO58/1000000</f>
        <v>0.7</v>
      </c>
      <c r="S58" s="2042">
        <v>0</v>
      </c>
      <c r="T58" s="2040">
        <f t="shared" si="5"/>
        <v>0.7</v>
      </c>
      <c r="U58" s="2038">
        <v>0</v>
      </c>
      <c r="V58" s="3078">
        <f>F58*$AO58/1000000</f>
        <v>0.7</v>
      </c>
      <c r="W58" s="3091">
        <v>0</v>
      </c>
      <c r="X58" s="2037">
        <f t="shared" si="6"/>
        <v>0.7</v>
      </c>
      <c r="Y58" s="1022">
        <v>0</v>
      </c>
      <c r="Z58" s="3078">
        <f>G58*$AO58/1000000</f>
        <v>0.7</v>
      </c>
      <c r="AA58" s="2042">
        <v>0</v>
      </c>
      <c r="AB58" s="2040">
        <f t="shared" si="7"/>
        <v>0.7</v>
      </c>
      <c r="AC58" s="2038">
        <v>0</v>
      </c>
      <c r="AD58" s="3078">
        <f>H58*$AO58/1000000</f>
        <v>0.7</v>
      </c>
      <c r="AE58" s="2042">
        <v>0</v>
      </c>
      <c r="AF58" s="2040">
        <f t="shared" si="8"/>
        <v>0.7</v>
      </c>
      <c r="AG58" s="1022">
        <v>0</v>
      </c>
      <c r="AH58" s="3078">
        <f>I58*$AO58/1000000</f>
        <v>0.7</v>
      </c>
      <c r="AI58" s="2042">
        <v>0</v>
      </c>
      <c r="AJ58" s="2040">
        <f t="shared" si="136"/>
        <v>0.7</v>
      </c>
      <c r="AK58" s="1022">
        <v>0</v>
      </c>
      <c r="AL58" s="3078">
        <f>J58*AO58/1000000</f>
        <v>0.7</v>
      </c>
      <c r="AM58" s="2043">
        <v>0</v>
      </c>
      <c r="AN58" s="216">
        <f t="shared" si="115"/>
        <v>0.06</v>
      </c>
      <c r="AO58" s="2044">
        <f>'Table 5a'!P51</f>
        <v>188</v>
      </c>
      <c r="AP58" s="2040">
        <f t="shared" si="9"/>
        <v>0.74</v>
      </c>
      <c r="AQ58" s="1022">
        <v>0</v>
      </c>
      <c r="AR58" s="3078">
        <f t="shared" si="139"/>
        <v>0.74</v>
      </c>
      <c r="AS58" s="3091">
        <v>0</v>
      </c>
      <c r="AU58" s="2045">
        <f t="shared" si="11"/>
        <v>113</v>
      </c>
      <c r="AV58" s="2046">
        <f t="shared" si="12"/>
        <v>0.04</v>
      </c>
    </row>
    <row r="59" spans="1:48" ht="16.5" customHeight="1" thickTop="1" thickBot="1">
      <c r="A59" s="3276"/>
      <c r="B59" s="3277" t="s">
        <v>183</v>
      </c>
      <c r="C59" s="3278"/>
      <c r="D59" s="1978">
        <f>SUM(D55:D58)</f>
        <v>5076</v>
      </c>
      <c r="E59" s="1979">
        <f t="shared" ref="E59:K59" si="141">SUM(E55:E58)</f>
        <v>5212</v>
      </c>
      <c r="F59" s="1980">
        <f t="shared" si="141"/>
        <v>5255</v>
      </c>
      <c r="G59" s="1980">
        <f t="shared" si="141"/>
        <v>5278</v>
      </c>
      <c r="H59" s="1980">
        <f t="shared" si="141"/>
        <v>5278</v>
      </c>
      <c r="I59" s="1981">
        <f t="shared" si="141"/>
        <v>5278</v>
      </c>
      <c r="J59" s="1981">
        <f t="shared" si="141"/>
        <v>5312</v>
      </c>
      <c r="K59" s="1983">
        <f t="shared" si="141"/>
        <v>10961</v>
      </c>
      <c r="L59" s="217">
        <f t="shared" si="2"/>
        <v>0.05</v>
      </c>
      <c r="M59" s="101">
        <f t="shared" si="3"/>
        <v>0.91</v>
      </c>
      <c r="N59" s="1984">
        <f>SUM(N55:N58)</f>
        <v>0</v>
      </c>
      <c r="O59" s="154">
        <f>SUM(O55:O58)</f>
        <v>0.91</v>
      </c>
      <c r="P59" s="100">
        <f t="shared" si="4"/>
        <v>1.03</v>
      </c>
      <c r="Q59" s="1984">
        <f t="shared" ref="Q59:R59" si="142">SUM(Q55:Q58)</f>
        <v>0</v>
      </c>
      <c r="R59" s="3074">
        <f t="shared" si="142"/>
        <v>1.03</v>
      </c>
      <c r="S59" s="303">
        <f>SUM(S55:S58)</f>
        <v>0</v>
      </c>
      <c r="T59" s="1985">
        <f t="shared" si="5"/>
        <v>1.03</v>
      </c>
      <c r="U59" s="1984">
        <f t="shared" ref="U59:V59" si="143">SUM(U55:U58)</f>
        <v>0</v>
      </c>
      <c r="V59" s="3074">
        <f t="shared" si="143"/>
        <v>1.03</v>
      </c>
      <c r="W59" s="3099">
        <f>SUM(W55:W58)</f>
        <v>0</v>
      </c>
      <c r="X59" s="101">
        <f t="shared" si="6"/>
        <v>1.03</v>
      </c>
      <c r="Y59" s="108">
        <f t="shared" ref="Y59:Z59" si="144">SUM(Y55:Y58)</f>
        <v>0</v>
      </c>
      <c r="Z59" s="2546">
        <f t="shared" si="144"/>
        <v>1.03</v>
      </c>
      <c r="AA59" s="303">
        <f>SUM(AA55:AA58)</f>
        <v>0</v>
      </c>
      <c r="AB59" s="1985">
        <f t="shared" si="7"/>
        <v>1.03</v>
      </c>
      <c r="AC59" s="1984">
        <f t="shared" ref="AC59:AD59" si="145">SUM(AC55:AC58)</f>
        <v>0</v>
      </c>
      <c r="AD59" s="2546">
        <f t="shared" si="145"/>
        <v>1.03</v>
      </c>
      <c r="AE59" s="303">
        <f>SUM(AE55:AE58)</f>
        <v>0</v>
      </c>
      <c r="AF59" s="1985">
        <f t="shared" si="8"/>
        <v>1.03</v>
      </c>
      <c r="AG59" s="108">
        <f t="shared" ref="AG59:AH59" si="146">SUM(AG55:AG58)</f>
        <v>0</v>
      </c>
      <c r="AH59" s="3074">
        <f t="shared" si="146"/>
        <v>1.03</v>
      </c>
      <c r="AI59" s="303">
        <f>SUM(AI55:AI58)</f>
        <v>0</v>
      </c>
      <c r="AJ59" s="1985">
        <f t="shared" ref="AJ59:AJ64" si="147">AL59-AK59</f>
        <v>1.03</v>
      </c>
      <c r="AK59" s="108">
        <f t="shared" ref="AK59:AL59" si="148">SUM(AK55:AK58)</f>
        <v>0</v>
      </c>
      <c r="AL59" s="2546">
        <f t="shared" si="148"/>
        <v>1.03</v>
      </c>
      <c r="AM59" s="21">
        <f>SUM(AM55:AM58)</f>
        <v>0</v>
      </c>
      <c r="AN59" s="217">
        <f t="shared" si="115"/>
        <v>0.13</v>
      </c>
      <c r="AO59" s="3037" t="s">
        <v>16</v>
      </c>
      <c r="AP59" s="1985">
        <f t="shared" si="9"/>
        <v>1.0900000000000001</v>
      </c>
      <c r="AQ59" s="108">
        <f>SUM(AQ55:AQ58)</f>
        <v>0</v>
      </c>
      <c r="AR59" s="3074">
        <f>SUM(AR55:AR58)</f>
        <v>1.0900000000000001</v>
      </c>
      <c r="AS59" s="3103">
        <f>SUM(AS55:AS58)</f>
        <v>0</v>
      </c>
      <c r="AU59" s="1986">
        <f t="shared" si="11"/>
        <v>236</v>
      </c>
      <c r="AV59" s="1987">
        <f t="shared" si="12"/>
        <v>0.12</v>
      </c>
    </row>
    <row r="60" spans="1:48">
      <c r="A60" s="3289" t="s">
        <v>184</v>
      </c>
      <c r="B60" s="63" t="s">
        <v>185</v>
      </c>
      <c r="C60" s="2187" t="s">
        <v>186</v>
      </c>
      <c r="D60" s="2211">
        <f>'Table 5a'!L56</f>
        <v>18661</v>
      </c>
      <c r="E60" s="2167">
        <v>19705</v>
      </c>
      <c r="F60" s="2168">
        <v>20476</v>
      </c>
      <c r="G60" s="2168">
        <v>20476</v>
      </c>
      <c r="H60" s="2168">
        <v>20476</v>
      </c>
      <c r="I60" s="2169">
        <v>20476</v>
      </c>
      <c r="J60" s="2169">
        <v>20476</v>
      </c>
      <c r="K60" s="2170">
        <v>20540</v>
      </c>
      <c r="L60" s="196">
        <f t="shared" si="2"/>
        <v>0.1</v>
      </c>
      <c r="M60" s="2171">
        <f t="shared" ref="M60:M65" si="149">O60-N60</f>
        <v>2.96</v>
      </c>
      <c r="N60" s="2172">
        <v>0</v>
      </c>
      <c r="O60" s="675">
        <f>'Table 5a'!G56</f>
        <v>2.96</v>
      </c>
      <c r="P60" s="102">
        <f t="shared" ref="P60:P65" si="150">R60-Q60</f>
        <v>3.33</v>
      </c>
      <c r="Q60" s="2172">
        <v>0</v>
      </c>
      <c r="R60" s="3079">
        <f>E60*$AO60/1000000</f>
        <v>3.33</v>
      </c>
      <c r="S60" s="2129">
        <v>0</v>
      </c>
      <c r="T60" s="2173">
        <f t="shared" ref="T60:T65" si="151">V60-U60</f>
        <v>3.46</v>
      </c>
      <c r="U60" s="2172">
        <v>0</v>
      </c>
      <c r="V60" s="3079">
        <f>F60*$AO60/1000000</f>
        <v>3.46</v>
      </c>
      <c r="W60" s="3094">
        <v>0</v>
      </c>
      <c r="X60" s="2171">
        <f t="shared" ref="X60:X65" si="152">Z60-Y60</f>
        <v>3.46</v>
      </c>
      <c r="Y60" s="117">
        <v>0</v>
      </c>
      <c r="Z60" s="3079">
        <f>G60*$AO60/1000000</f>
        <v>3.46</v>
      </c>
      <c r="AA60" s="2129">
        <v>0</v>
      </c>
      <c r="AB60" s="2173">
        <f t="shared" ref="AB60:AB65" si="153">AD60-AC60</f>
        <v>3.46</v>
      </c>
      <c r="AC60" s="2172">
        <v>0</v>
      </c>
      <c r="AD60" s="3079">
        <f>H60*$AO60/1000000</f>
        <v>3.46</v>
      </c>
      <c r="AE60" s="2129">
        <v>0</v>
      </c>
      <c r="AF60" s="2173">
        <f t="shared" ref="AF60:AF65" si="154">AH60-AG60</f>
        <v>3.46</v>
      </c>
      <c r="AG60" s="117">
        <v>0</v>
      </c>
      <c r="AH60" s="3079">
        <f>I60*$AO60/1000000</f>
        <v>3.46</v>
      </c>
      <c r="AI60" s="2129">
        <v>0</v>
      </c>
      <c r="AJ60" s="2173">
        <f t="shared" si="147"/>
        <v>3.46</v>
      </c>
      <c r="AK60" s="117">
        <v>0</v>
      </c>
      <c r="AL60" s="3079">
        <f>J60*AO60/1000000</f>
        <v>3.46</v>
      </c>
      <c r="AM60" s="2132">
        <v>0</v>
      </c>
      <c r="AN60" s="218">
        <f t="shared" si="115"/>
        <v>0.17</v>
      </c>
      <c r="AO60" s="2236">
        <f>'Table 5a'!P56</f>
        <v>169</v>
      </c>
      <c r="AP60" s="2173">
        <f t="shared" ref="AP60:AP65" si="155">AR60-AQ60</f>
        <v>3.67</v>
      </c>
      <c r="AQ60" s="117">
        <f>AG60</f>
        <v>0</v>
      </c>
      <c r="AR60" s="3079">
        <f t="shared" ref="AR60:AR63" si="156">AL60*1.06</f>
        <v>3.67</v>
      </c>
      <c r="AS60" s="3094">
        <v>0</v>
      </c>
      <c r="AU60" s="2175">
        <f t="shared" si="11"/>
        <v>1815</v>
      </c>
      <c r="AV60" s="2176">
        <f t="shared" si="12"/>
        <v>0.5</v>
      </c>
    </row>
    <row r="61" spans="1:48">
      <c r="A61" s="3283"/>
      <c r="B61" s="1859" t="s">
        <v>187</v>
      </c>
      <c r="C61" s="2189" t="s">
        <v>188</v>
      </c>
      <c r="D61" s="1953">
        <f>'Table 5a'!L57</f>
        <v>1609</v>
      </c>
      <c r="E61" s="1954">
        <v>1719</v>
      </c>
      <c r="F61" s="814">
        <v>2097</v>
      </c>
      <c r="G61" s="814">
        <v>2861</v>
      </c>
      <c r="H61" s="814">
        <v>2861</v>
      </c>
      <c r="I61" s="807">
        <v>2861</v>
      </c>
      <c r="J61" s="807">
        <v>2861</v>
      </c>
      <c r="K61" s="305">
        <v>4247</v>
      </c>
      <c r="L61" s="1861">
        <f t="shared" si="2"/>
        <v>0.78</v>
      </c>
      <c r="M61" s="1955">
        <f t="shared" si="149"/>
        <v>0.16</v>
      </c>
      <c r="N61" s="1956">
        <v>0</v>
      </c>
      <c r="O61" s="633">
        <f>'Table 5a'!G57</f>
        <v>0.16</v>
      </c>
      <c r="P61" s="1000">
        <f t="shared" si="150"/>
        <v>0.18</v>
      </c>
      <c r="Q61" s="1956">
        <v>0</v>
      </c>
      <c r="R61" s="3080">
        <f>E61*$AO61/1000000</f>
        <v>0.18</v>
      </c>
      <c r="S61" s="2010">
        <v>0</v>
      </c>
      <c r="T61" s="1957">
        <f t="shared" si="151"/>
        <v>0.22</v>
      </c>
      <c r="U61" s="1956">
        <v>0</v>
      </c>
      <c r="V61" s="3080">
        <f>F61*$AO61/1000000</f>
        <v>0.22</v>
      </c>
      <c r="W61" s="3090">
        <v>0</v>
      </c>
      <c r="X61" s="1955">
        <f t="shared" si="152"/>
        <v>0.3</v>
      </c>
      <c r="Y61" s="299">
        <v>0</v>
      </c>
      <c r="Z61" s="3080">
        <f>G61*$AO61/1000000</f>
        <v>0.3</v>
      </c>
      <c r="AA61" s="2010">
        <v>0</v>
      </c>
      <c r="AB61" s="1957">
        <f t="shared" si="153"/>
        <v>0.3</v>
      </c>
      <c r="AC61" s="1956">
        <v>0</v>
      </c>
      <c r="AD61" s="3080">
        <f>H61*$AO61/1000000</f>
        <v>0.3</v>
      </c>
      <c r="AE61" s="2010">
        <v>0</v>
      </c>
      <c r="AF61" s="1957">
        <f t="shared" si="154"/>
        <v>0.3</v>
      </c>
      <c r="AG61" s="299">
        <v>0</v>
      </c>
      <c r="AH61" s="3080">
        <f>I61*$AO61/1000000</f>
        <v>0.3</v>
      </c>
      <c r="AI61" s="2010">
        <v>0</v>
      </c>
      <c r="AJ61" s="1957">
        <f t="shared" si="147"/>
        <v>0.3</v>
      </c>
      <c r="AK61" s="299">
        <v>0</v>
      </c>
      <c r="AL61" s="3080">
        <f>J61*AO61/1000000</f>
        <v>0.3</v>
      </c>
      <c r="AM61" s="2011">
        <v>0</v>
      </c>
      <c r="AN61" s="300">
        <f t="shared" si="115"/>
        <v>0.88</v>
      </c>
      <c r="AO61" s="2237">
        <f>'Table 5a'!P57</f>
        <v>104</v>
      </c>
      <c r="AP61" s="1957">
        <f t="shared" si="155"/>
        <v>0.32</v>
      </c>
      <c r="AQ61" s="299">
        <f>AG61</f>
        <v>0</v>
      </c>
      <c r="AR61" s="3080">
        <f t="shared" si="156"/>
        <v>0.32</v>
      </c>
      <c r="AS61" s="3096">
        <v>0</v>
      </c>
      <c r="AU61" s="1959">
        <f t="shared" si="11"/>
        <v>1252</v>
      </c>
      <c r="AV61" s="1960">
        <f t="shared" si="12"/>
        <v>0.14000000000000001</v>
      </c>
    </row>
    <row r="62" spans="1:48">
      <c r="A62" s="3283"/>
      <c r="B62" s="1859" t="s">
        <v>189</v>
      </c>
      <c r="C62" s="2189" t="s">
        <v>190</v>
      </c>
      <c r="D62" s="1953">
        <f>'Table 5a'!L58</f>
        <v>3000</v>
      </c>
      <c r="E62" s="1954">
        <v>3189</v>
      </c>
      <c r="F62" s="814">
        <v>3189</v>
      </c>
      <c r="G62" s="814">
        <v>4727</v>
      </c>
      <c r="H62" s="814">
        <v>4727</v>
      </c>
      <c r="I62" s="807">
        <v>4889</v>
      </c>
      <c r="J62" s="807">
        <v>4889</v>
      </c>
      <c r="K62" s="305">
        <v>9716</v>
      </c>
      <c r="L62" s="1861">
        <f t="shared" si="2"/>
        <v>0.63</v>
      </c>
      <c r="M62" s="1955">
        <f t="shared" si="149"/>
        <v>0.23</v>
      </c>
      <c r="N62" s="1956">
        <v>0</v>
      </c>
      <c r="O62" s="633">
        <f>'Table 5a'!G58</f>
        <v>0.23</v>
      </c>
      <c r="P62" s="1000">
        <f t="shared" si="150"/>
        <v>0.24</v>
      </c>
      <c r="Q62" s="1956">
        <v>0</v>
      </c>
      <c r="R62" s="3080">
        <f>E62*$AO62/1000000</f>
        <v>0.24</v>
      </c>
      <c r="S62" s="2010">
        <v>0</v>
      </c>
      <c r="T62" s="1957">
        <f t="shared" si="151"/>
        <v>0.24</v>
      </c>
      <c r="U62" s="1956">
        <v>0</v>
      </c>
      <c r="V62" s="3080">
        <f>F62*$AO62/1000000</f>
        <v>0.24</v>
      </c>
      <c r="W62" s="3090">
        <v>0</v>
      </c>
      <c r="X62" s="1955">
        <f t="shared" si="152"/>
        <v>0.35</v>
      </c>
      <c r="Y62" s="299">
        <v>0</v>
      </c>
      <c r="Z62" s="3080">
        <f>G62*$AO62/1000000</f>
        <v>0.35</v>
      </c>
      <c r="AA62" s="2010">
        <v>0</v>
      </c>
      <c r="AB62" s="1957">
        <f t="shared" si="153"/>
        <v>0.35</v>
      </c>
      <c r="AC62" s="1956">
        <v>0</v>
      </c>
      <c r="AD62" s="3080">
        <f>H62*$AO62/1000000</f>
        <v>0.35</v>
      </c>
      <c r="AE62" s="2010">
        <v>0</v>
      </c>
      <c r="AF62" s="1957">
        <f t="shared" si="154"/>
        <v>0.37</v>
      </c>
      <c r="AG62" s="299">
        <v>0</v>
      </c>
      <c r="AH62" s="3080">
        <f>I62*$AO62/1000000</f>
        <v>0.37</v>
      </c>
      <c r="AI62" s="2010">
        <v>0</v>
      </c>
      <c r="AJ62" s="1957">
        <f t="shared" si="147"/>
        <v>0.37</v>
      </c>
      <c r="AK62" s="299">
        <v>0</v>
      </c>
      <c r="AL62" s="3080">
        <f>J62*AO62/1000000</f>
        <v>0.37</v>
      </c>
      <c r="AM62" s="2011">
        <v>0</v>
      </c>
      <c r="AN62" s="300">
        <f t="shared" si="115"/>
        <v>0.61</v>
      </c>
      <c r="AO62" s="2237">
        <f>'Table 5a'!P58</f>
        <v>75</v>
      </c>
      <c r="AP62" s="1957">
        <f t="shared" si="155"/>
        <v>0.39</v>
      </c>
      <c r="AQ62" s="299">
        <f>AG62</f>
        <v>0</v>
      </c>
      <c r="AR62" s="3080">
        <f t="shared" si="156"/>
        <v>0.39</v>
      </c>
      <c r="AS62" s="3093">
        <v>0</v>
      </c>
      <c r="AU62" s="1959">
        <f t="shared" si="11"/>
        <v>1889</v>
      </c>
      <c r="AV62" s="1960">
        <f t="shared" si="12"/>
        <v>0.14000000000000001</v>
      </c>
    </row>
    <row r="63" spans="1:48">
      <c r="A63" s="3283"/>
      <c r="B63" s="1859" t="s">
        <v>191</v>
      </c>
      <c r="C63" s="2189" t="s">
        <v>192</v>
      </c>
      <c r="D63" s="1953">
        <f>'Table 5a'!L59</f>
        <v>9242</v>
      </c>
      <c r="E63" s="1954">
        <v>9578</v>
      </c>
      <c r="F63" s="814">
        <v>9775</v>
      </c>
      <c r="G63" s="814">
        <v>9775</v>
      </c>
      <c r="H63" s="814">
        <v>9775</v>
      </c>
      <c r="I63" s="807">
        <v>9775</v>
      </c>
      <c r="J63" s="807">
        <v>9775</v>
      </c>
      <c r="K63" s="305">
        <v>9775</v>
      </c>
      <c r="L63" s="1861">
        <f t="shared" si="2"/>
        <v>0.06</v>
      </c>
      <c r="M63" s="1955">
        <f t="shared" si="149"/>
        <v>1.31</v>
      </c>
      <c r="N63" s="1956">
        <v>0</v>
      </c>
      <c r="O63" s="633">
        <f>'Table 5a'!G59</f>
        <v>1.31</v>
      </c>
      <c r="P63" s="1000">
        <f t="shared" si="150"/>
        <v>1.41</v>
      </c>
      <c r="Q63" s="1956">
        <v>0</v>
      </c>
      <c r="R63" s="3080">
        <f>E63*$AO63/1000000</f>
        <v>1.41</v>
      </c>
      <c r="S63" s="2010">
        <v>0</v>
      </c>
      <c r="T63" s="1957">
        <f t="shared" si="151"/>
        <v>1.44</v>
      </c>
      <c r="U63" s="1956">
        <v>0</v>
      </c>
      <c r="V63" s="3080">
        <f>F63*$AO63/1000000</f>
        <v>1.44</v>
      </c>
      <c r="W63" s="3090">
        <v>0</v>
      </c>
      <c r="X63" s="1955">
        <f t="shared" si="152"/>
        <v>1.44</v>
      </c>
      <c r="Y63" s="299">
        <v>0</v>
      </c>
      <c r="Z63" s="3080">
        <f>G63*$AO63/1000000</f>
        <v>1.44</v>
      </c>
      <c r="AA63" s="2010">
        <v>0</v>
      </c>
      <c r="AB63" s="1957">
        <f t="shared" si="153"/>
        <v>1.44</v>
      </c>
      <c r="AC63" s="1956">
        <v>0</v>
      </c>
      <c r="AD63" s="3080">
        <f>H63*$AO63/1000000</f>
        <v>1.44</v>
      </c>
      <c r="AE63" s="2010">
        <v>0</v>
      </c>
      <c r="AF63" s="1957">
        <f t="shared" si="154"/>
        <v>1.44</v>
      </c>
      <c r="AG63" s="299">
        <v>0</v>
      </c>
      <c r="AH63" s="3080">
        <f>I63*$AO63/1000000</f>
        <v>1.44</v>
      </c>
      <c r="AI63" s="2010">
        <v>0</v>
      </c>
      <c r="AJ63" s="1957">
        <f t="shared" si="147"/>
        <v>1.44</v>
      </c>
      <c r="AK63" s="299">
        <v>0</v>
      </c>
      <c r="AL63" s="3080">
        <f>J63*AO63/1000000</f>
        <v>1.44</v>
      </c>
      <c r="AM63" s="2011">
        <v>0</v>
      </c>
      <c r="AN63" s="300">
        <f t="shared" si="115"/>
        <v>0.1</v>
      </c>
      <c r="AO63" s="2237">
        <f>'Table 5a'!P59</f>
        <v>147</v>
      </c>
      <c r="AP63" s="1957">
        <f t="shared" si="155"/>
        <v>1.53</v>
      </c>
      <c r="AQ63" s="299">
        <f>AG63</f>
        <v>0</v>
      </c>
      <c r="AR63" s="3080">
        <f t="shared" si="156"/>
        <v>1.53</v>
      </c>
      <c r="AS63" s="3093">
        <v>0</v>
      </c>
      <c r="AU63" s="1959">
        <f t="shared" si="11"/>
        <v>533</v>
      </c>
      <c r="AV63" s="1960">
        <f t="shared" si="12"/>
        <v>0.13</v>
      </c>
    </row>
    <row r="64" spans="1:48" ht="13.5" thickBot="1">
      <c r="A64" s="3283"/>
      <c r="B64" s="2177" t="s">
        <v>193</v>
      </c>
      <c r="C64" s="2195" t="s">
        <v>128</v>
      </c>
      <c r="D64" s="2031">
        <v>36872</v>
      </c>
      <c r="E64" s="2032">
        <v>42245</v>
      </c>
      <c r="F64" s="2033">
        <v>48281</v>
      </c>
      <c r="G64" s="2033">
        <v>52246</v>
      </c>
      <c r="H64" s="2033">
        <v>57358</v>
      </c>
      <c r="I64" s="2034">
        <v>61491</v>
      </c>
      <c r="J64" s="2034">
        <v>65315</v>
      </c>
      <c r="K64" s="2036">
        <v>224737</v>
      </c>
      <c r="L64" s="197">
        <f t="shared" si="2"/>
        <v>0.77</v>
      </c>
      <c r="M64" s="2037">
        <f t="shared" si="149"/>
        <v>2.2599999999999998</v>
      </c>
      <c r="N64" s="2038">
        <v>0</v>
      </c>
      <c r="O64" s="51">
        <f>'Table 5a'!G60</f>
        <v>2.2599999999999998</v>
      </c>
      <c r="P64" s="1021">
        <f t="shared" si="150"/>
        <v>2.91</v>
      </c>
      <c r="Q64" s="2038">
        <v>0</v>
      </c>
      <c r="R64" s="3078">
        <f>E64*$AO64/1000000</f>
        <v>2.91</v>
      </c>
      <c r="S64" s="2042">
        <v>0</v>
      </c>
      <c r="T64" s="2040">
        <f t="shared" si="151"/>
        <v>3.33</v>
      </c>
      <c r="U64" s="2038">
        <v>0</v>
      </c>
      <c r="V64" s="3078">
        <f>F64*$AO64/1000000</f>
        <v>3.33</v>
      </c>
      <c r="W64" s="3091">
        <v>0</v>
      </c>
      <c r="X64" s="2037">
        <f t="shared" si="152"/>
        <v>3.6</v>
      </c>
      <c r="Y64" s="1022">
        <v>0</v>
      </c>
      <c r="Z64" s="3078">
        <f>G64*$AO64/1000000</f>
        <v>3.6</v>
      </c>
      <c r="AA64" s="2042">
        <v>0</v>
      </c>
      <c r="AB64" s="2040">
        <f t="shared" si="153"/>
        <v>3.83</v>
      </c>
      <c r="AC64" s="2038">
        <v>0</v>
      </c>
      <c r="AD64" s="3078">
        <f>(H64*$AO64/1000000)-AE64</f>
        <v>3.83</v>
      </c>
      <c r="AE64" s="2042">
        <v>0.13</v>
      </c>
      <c r="AF64" s="2040">
        <f t="shared" si="154"/>
        <v>3.83</v>
      </c>
      <c r="AG64" s="1022">
        <v>0</v>
      </c>
      <c r="AH64" s="3078">
        <f>(I64*$AO64/1000000)-AI64</f>
        <v>3.83</v>
      </c>
      <c r="AI64" s="2042">
        <v>0.41</v>
      </c>
      <c r="AJ64" s="2040">
        <f t="shared" si="147"/>
        <v>3.83</v>
      </c>
      <c r="AK64" s="1022">
        <v>0</v>
      </c>
      <c r="AL64" s="3078">
        <f>(J64*AO64/1000000)-AM64</f>
        <v>3.83</v>
      </c>
      <c r="AM64" s="2043">
        <v>0.68</v>
      </c>
      <c r="AN64" s="216">
        <f t="shared" si="115"/>
        <v>0.69</v>
      </c>
      <c r="AO64" s="2238">
        <f>'Table 5a'!P60</f>
        <v>69</v>
      </c>
      <c r="AP64" s="2040">
        <f t="shared" si="155"/>
        <v>3.83</v>
      </c>
      <c r="AQ64" s="1022">
        <f>AG64</f>
        <v>0</v>
      </c>
      <c r="AR64" s="3078">
        <f>(SUM(AL64:AM64)*1.06)-AS64</f>
        <v>3.83</v>
      </c>
      <c r="AS64" s="3093">
        <v>0.95</v>
      </c>
      <c r="AU64" s="2045">
        <f t="shared" si="11"/>
        <v>28443</v>
      </c>
      <c r="AV64" s="2046">
        <f t="shared" si="12"/>
        <v>1.57</v>
      </c>
    </row>
    <row r="65" spans="1:48" ht="14.25" thickTop="1" thickBot="1">
      <c r="A65" s="3285"/>
      <c r="B65" s="3277" t="s">
        <v>194</v>
      </c>
      <c r="C65" s="3278"/>
      <c r="D65" s="1978">
        <f t="shared" ref="D65:J65" si="157">SUM(D60:D64)</f>
        <v>69384</v>
      </c>
      <c r="E65" s="1979">
        <f t="shared" si="157"/>
        <v>76436</v>
      </c>
      <c r="F65" s="1980">
        <f t="shared" si="157"/>
        <v>83818</v>
      </c>
      <c r="G65" s="1980">
        <f t="shared" si="157"/>
        <v>90085</v>
      </c>
      <c r="H65" s="1980">
        <f t="shared" si="157"/>
        <v>95197</v>
      </c>
      <c r="I65" s="1981">
        <f t="shared" si="157"/>
        <v>99492</v>
      </c>
      <c r="J65" s="1981">
        <f t="shared" si="157"/>
        <v>103316</v>
      </c>
      <c r="K65" s="1983">
        <f>SUM(K60:K64)</f>
        <v>269015</v>
      </c>
      <c r="L65" s="202">
        <f t="shared" si="2"/>
        <v>0.49</v>
      </c>
      <c r="M65" s="101">
        <f t="shared" si="149"/>
        <v>6.92</v>
      </c>
      <c r="N65" s="1984">
        <f>SUM(N60:N64)</f>
        <v>0</v>
      </c>
      <c r="O65" s="154">
        <f t="shared" ref="O65" si="158">SUM(O60:O64)</f>
        <v>6.92</v>
      </c>
      <c r="P65" s="100">
        <f t="shared" si="150"/>
        <v>8.07</v>
      </c>
      <c r="Q65" s="1984">
        <f t="shared" ref="Q65:AL65" si="159">SUM(Q60:Q64)</f>
        <v>0</v>
      </c>
      <c r="R65" s="2546">
        <f t="shared" si="159"/>
        <v>8.07</v>
      </c>
      <c r="S65" s="2992">
        <f>SUM(S60:S64)</f>
        <v>0</v>
      </c>
      <c r="T65" s="2240">
        <f t="shared" si="151"/>
        <v>8.69</v>
      </c>
      <c r="U65" s="2241">
        <f t="shared" ref="U65" si="160">SUM(U60:U64)</f>
        <v>0</v>
      </c>
      <c r="V65" s="2546">
        <f t="shared" si="159"/>
        <v>8.69</v>
      </c>
      <c r="W65" s="3098">
        <f>SUM(W60:W64)</f>
        <v>0</v>
      </c>
      <c r="X65" s="2243">
        <f t="shared" si="152"/>
        <v>9.15</v>
      </c>
      <c r="Y65" s="2244">
        <f t="shared" ref="Y65" si="161">SUM(Y60:Y64)</f>
        <v>0</v>
      </c>
      <c r="Z65" s="3074">
        <f t="shared" si="159"/>
        <v>9.15</v>
      </c>
      <c r="AA65" s="303">
        <f>SUM(AA60:AA64)</f>
        <v>0</v>
      </c>
      <c r="AB65" s="1985">
        <f t="shared" si="153"/>
        <v>9.3800000000000008</v>
      </c>
      <c r="AC65" s="1984">
        <f t="shared" ref="AC65" si="162">SUM(AC60:AC64)</f>
        <v>0</v>
      </c>
      <c r="AD65" s="3074">
        <f t="shared" si="159"/>
        <v>9.3800000000000008</v>
      </c>
      <c r="AE65" s="303">
        <f>SUM(AE60:AE64)</f>
        <v>0.13</v>
      </c>
      <c r="AF65" s="1985">
        <f t="shared" si="154"/>
        <v>9.4</v>
      </c>
      <c r="AG65" s="108">
        <f t="shared" ref="AG65" si="163">SUM(AG60:AG64)</f>
        <v>0</v>
      </c>
      <c r="AH65" s="3074">
        <f t="shared" si="159"/>
        <v>9.4</v>
      </c>
      <c r="AI65" s="303">
        <f>SUM(AI60:AI64)</f>
        <v>0.41</v>
      </c>
      <c r="AJ65" s="1985">
        <f t="shared" ref="AJ65:AJ72" si="164">AL65-AK65</f>
        <v>9.4</v>
      </c>
      <c r="AK65" s="108">
        <f t="shared" ref="AK65" si="165">SUM(AK60:AK64)</f>
        <v>0</v>
      </c>
      <c r="AL65" s="3074">
        <f t="shared" si="159"/>
        <v>9.4</v>
      </c>
      <c r="AM65" s="21">
        <f>SUM(AM60:AM64)</f>
        <v>0.68</v>
      </c>
      <c r="AN65" s="202">
        <f t="shared" si="115"/>
        <v>0.36</v>
      </c>
      <c r="AO65" s="3035" t="s">
        <v>16</v>
      </c>
      <c r="AP65" s="1985">
        <f t="shared" si="155"/>
        <v>9.74</v>
      </c>
      <c r="AQ65" s="108">
        <f>SUM(AQ60:AQ64)</f>
        <v>0</v>
      </c>
      <c r="AR65" s="2546">
        <f t="shared" ref="AR65" si="166">SUM(AR60:AR64)</f>
        <v>9.74</v>
      </c>
      <c r="AS65" s="3098">
        <f>SUM(AS60:AS64)</f>
        <v>0.95</v>
      </c>
      <c r="AU65" s="1986">
        <f t="shared" si="11"/>
        <v>33932</v>
      </c>
      <c r="AV65" s="1987">
        <f t="shared" si="12"/>
        <v>2.48</v>
      </c>
    </row>
    <row r="66" spans="1:48">
      <c r="A66" s="3274" t="s">
        <v>195</v>
      </c>
      <c r="B66" s="2245" t="s">
        <v>196</v>
      </c>
      <c r="C66" s="2122" t="s">
        <v>197</v>
      </c>
      <c r="D66" s="2047">
        <f>'Table 5a'!L62</f>
        <v>935</v>
      </c>
      <c r="E66" s="2167">
        <v>959</v>
      </c>
      <c r="F66" s="2168">
        <v>959</v>
      </c>
      <c r="G66" s="2168">
        <v>959</v>
      </c>
      <c r="H66" s="2168">
        <v>959</v>
      </c>
      <c r="I66" s="2169">
        <v>959</v>
      </c>
      <c r="J66" s="2169">
        <v>959</v>
      </c>
      <c r="K66" s="2170">
        <v>2205</v>
      </c>
      <c r="L66" s="221">
        <f t="shared" si="2"/>
        <v>0.03</v>
      </c>
      <c r="M66" s="122">
        <f t="shared" ref="M66" si="167">O66-N66</f>
        <v>0.08</v>
      </c>
      <c r="N66" s="462">
        <v>0</v>
      </c>
      <c r="O66" s="2246">
        <f>'Table 5a'!G62</f>
        <v>0.08</v>
      </c>
      <c r="P66" s="109">
        <f t="shared" ref="P66" si="168">R66-Q66</f>
        <v>0.08</v>
      </c>
      <c r="Q66" s="2247">
        <v>0</v>
      </c>
      <c r="R66" s="3081">
        <f t="shared" ref="R66:R72" si="169">E66*$AO66/1000000</f>
        <v>0.08</v>
      </c>
      <c r="S66" s="2248">
        <v>0</v>
      </c>
      <c r="T66" s="99">
        <f t="shared" ref="T66" si="170">V66-U66</f>
        <v>0.08</v>
      </c>
      <c r="U66" s="2249">
        <v>0</v>
      </c>
      <c r="V66" s="3081">
        <f t="shared" ref="V66:V72" si="171">F66*$AO66/1000000</f>
        <v>0.08</v>
      </c>
      <c r="W66" s="3105">
        <v>0</v>
      </c>
      <c r="X66" s="122">
        <f t="shared" ref="X66" si="172">Z66-Y66</f>
        <v>0.08</v>
      </c>
      <c r="Y66" s="2247">
        <v>0</v>
      </c>
      <c r="Z66" s="3081">
        <f t="shared" ref="Z66:Z72" si="173">G66*$AO66/1000000</f>
        <v>0.08</v>
      </c>
      <c r="AA66" s="2248">
        <v>0</v>
      </c>
      <c r="AB66" s="99">
        <f t="shared" ref="AB66" si="174">AD66-AC66</f>
        <v>0.08</v>
      </c>
      <c r="AC66" s="2249">
        <v>0</v>
      </c>
      <c r="AD66" s="3081">
        <f t="shared" ref="AD66:AD72" si="175">H66*$AO66/1000000</f>
        <v>0.08</v>
      </c>
      <c r="AE66" s="2248">
        <v>0</v>
      </c>
      <c r="AF66" s="99">
        <f t="shared" ref="AF66" si="176">AH66-AG66</f>
        <v>0.08</v>
      </c>
      <c r="AG66" s="2247">
        <v>0</v>
      </c>
      <c r="AH66" s="3081">
        <f t="shared" ref="AH66:AH72" si="177">I66*$AO66/1000000</f>
        <v>0.08</v>
      </c>
      <c r="AI66" s="2248">
        <v>0</v>
      </c>
      <c r="AJ66" s="99">
        <f t="shared" si="164"/>
        <v>0.08</v>
      </c>
      <c r="AK66" s="2247">
        <v>0</v>
      </c>
      <c r="AL66" s="3081">
        <f t="shared" ref="AL66:AL72" si="178">J66*AO66/1000000</f>
        <v>0.08</v>
      </c>
      <c r="AM66" s="2250">
        <v>0</v>
      </c>
      <c r="AN66" s="882">
        <f t="shared" si="115"/>
        <v>0</v>
      </c>
      <c r="AO66" s="2251">
        <f>'Table 5a'!P62</f>
        <v>88</v>
      </c>
      <c r="AP66" s="99">
        <f t="shared" ref="AP66" si="179">AR66-AQ66</f>
        <v>0.08</v>
      </c>
      <c r="AQ66" s="2247">
        <f t="shared" ref="AQ66:AQ72" si="180">AG66</f>
        <v>0</v>
      </c>
      <c r="AR66" s="3081">
        <f t="shared" ref="AR66:AR72" si="181">AL66*1.06</f>
        <v>0.08</v>
      </c>
      <c r="AS66" s="3123">
        <v>0</v>
      </c>
      <c r="AT66" s="2"/>
      <c r="AU66" s="2175">
        <f t="shared" si="11"/>
        <v>24</v>
      </c>
      <c r="AV66" s="1582">
        <f t="shared" si="12"/>
        <v>0</v>
      </c>
    </row>
    <row r="67" spans="1:48">
      <c r="A67" s="3275"/>
      <c r="B67" s="2252" t="s">
        <v>198</v>
      </c>
      <c r="C67" s="2253">
        <v>1627</v>
      </c>
      <c r="D67" s="2254">
        <f>'Table 5a'!L63</f>
        <v>1800</v>
      </c>
      <c r="E67" s="2255">
        <v>1805</v>
      </c>
      <c r="F67" s="76">
        <v>1805</v>
      </c>
      <c r="G67" s="76">
        <v>1805</v>
      </c>
      <c r="H67" s="76">
        <v>1805</v>
      </c>
      <c r="I67" s="2256">
        <v>1805</v>
      </c>
      <c r="J67" s="2256">
        <v>1805</v>
      </c>
      <c r="K67" s="2257">
        <v>4238</v>
      </c>
      <c r="L67" s="224">
        <f t="shared" si="2"/>
        <v>0</v>
      </c>
      <c r="M67" s="114">
        <f t="shared" ref="M67:M90" si="182">O67-N67</f>
        <v>0.17</v>
      </c>
      <c r="N67" s="118">
        <v>0</v>
      </c>
      <c r="O67" s="1024">
        <f>'Table 5a'!G63</f>
        <v>0.17</v>
      </c>
      <c r="P67" s="121">
        <f t="shared" ref="P67:P91" si="183">R67-Q67</f>
        <v>0.17</v>
      </c>
      <c r="Q67" s="118">
        <v>0</v>
      </c>
      <c r="R67" s="3082">
        <f t="shared" si="169"/>
        <v>0.17</v>
      </c>
      <c r="S67" s="2258">
        <v>0</v>
      </c>
      <c r="T67" s="110">
        <f t="shared" ref="T67:T91" si="184">V67-U67</f>
        <v>0.17</v>
      </c>
      <c r="U67" s="118">
        <v>0</v>
      </c>
      <c r="V67" s="3082">
        <f t="shared" si="171"/>
        <v>0.17</v>
      </c>
      <c r="W67" s="3097">
        <v>0</v>
      </c>
      <c r="X67" s="114">
        <f t="shared" ref="X67:X91" si="185">Z67-Y67</f>
        <v>0.17</v>
      </c>
      <c r="Y67" s="112">
        <v>0</v>
      </c>
      <c r="Z67" s="3082">
        <f t="shared" si="173"/>
        <v>0.17</v>
      </c>
      <c r="AA67" s="2258">
        <v>0</v>
      </c>
      <c r="AB67" s="110">
        <f t="shared" ref="AB67:AB91" si="186">AD67-AC67</f>
        <v>0.17</v>
      </c>
      <c r="AC67" s="118">
        <v>0</v>
      </c>
      <c r="AD67" s="3082">
        <f t="shared" si="175"/>
        <v>0.17</v>
      </c>
      <c r="AE67" s="2258">
        <v>0</v>
      </c>
      <c r="AF67" s="110">
        <f t="shared" ref="AF67:AF91" si="187">AH67-AG67</f>
        <v>0.17</v>
      </c>
      <c r="AG67" s="112">
        <v>0</v>
      </c>
      <c r="AH67" s="3082">
        <f t="shared" si="177"/>
        <v>0.17</v>
      </c>
      <c r="AI67" s="2258">
        <v>0</v>
      </c>
      <c r="AJ67" s="110">
        <f t="shared" si="164"/>
        <v>0.17</v>
      </c>
      <c r="AK67" s="112">
        <v>0</v>
      </c>
      <c r="AL67" s="3082">
        <f t="shared" si="178"/>
        <v>0.17</v>
      </c>
      <c r="AM67" s="2259">
        <v>0</v>
      </c>
      <c r="AN67" s="229">
        <f t="shared" si="115"/>
        <v>0</v>
      </c>
      <c r="AO67" s="2260">
        <f>'Table 5a'!P63</f>
        <v>96</v>
      </c>
      <c r="AP67" s="110">
        <f t="shared" ref="AP67:AP90" si="188">AR67-AQ67</f>
        <v>0.18</v>
      </c>
      <c r="AQ67" s="112">
        <f t="shared" si="180"/>
        <v>0</v>
      </c>
      <c r="AR67" s="3082">
        <f t="shared" si="181"/>
        <v>0.18</v>
      </c>
      <c r="AS67" s="3093">
        <v>0</v>
      </c>
      <c r="AT67" s="2"/>
      <c r="AU67" s="2261">
        <f t="shared" si="11"/>
        <v>5</v>
      </c>
      <c r="AV67" s="2262">
        <f t="shared" si="12"/>
        <v>0</v>
      </c>
    </row>
    <row r="68" spans="1:48">
      <c r="A68" s="3275"/>
      <c r="B68" s="1859" t="s">
        <v>199</v>
      </c>
      <c r="C68" s="2263">
        <v>7961</v>
      </c>
      <c r="D68" s="1953">
        <f>'Table 5a'!L64</f>
        <v>450</v>
      </c>
      <c r="E68" s="1954">
        <v>450</v>
      </c>
      <c r="F68" s="814">
        <v>450</v>
      </c>
      <c r="G68" s="814">
        <v>450</v>
      </c>
      <c r="H68" s="814">
        <v>450</v>
      </c>
      <c r="I68" s="807">
        <v>450</v>
      </c>
      <c r="J68" s="807">
        <v>450</v>
      </c>
      <c r="K68" s="305">
        <v>616</v>
      </c>
      <c r="L68" s="1863">
        <f t="shared" si="2"/>
        <v>0</v>
      </c>
      <c r="M68" s="1054">
        <f t="shared" si="182"/>
        <v>0.15</v>
      </c>
      <c r="N68" s="1077">
        <v>0</v>
      </c>
      <c r="O68" s="633">
        <f>'Table 5a'!G64</f>
        <v>0.15</v>
      </c>
      <c r="P68" s="1353">
        <f t="shared" si="183"/>
        <v>0.12</v>
      </c>
      <c r="Q68" s="1077">
        <v>0</v>
      </c>
      <c r="R68" s="3080">
        <f t="shared" si="169"/>
        <v>0.12</v>
      </c>
      <c r="S68" s="2010">
        <v>0</v>
      </c>
      <c r="T68" s="1001">
        <f t="shared" si="184"/>
        <v>0.12</v>
      </c>
      <c r="U68" s="1077">
        <v>0</v>
      </c>
      <c r="V68" s="3080">
        <f t="shared" si="171"/>
        <v>0.12</v>
      </c>
      <c r="W68" s="3090">
        <v>0</v>
      </c>
      <c r="X68" s="1054">
        <f t="shared" si="185"/>
        <v>0.12</v>
      </c>
      <c r="Y68" s="451">
        <v>0</v>
      </c>
      <c r="Z68" s="3080">
        <f t="shared" si="173"/>
        <v>0.12</v>
      </c>
      <c r="AA68" s="2010">
        <v>0</v>
      </c>
      <c r="AB68" s="1001">
        <f t="shared" si="186"/>
        <v>0.12</v>
      </c>
      <c r="AC68" s="1077">
        <v>0</v>
      </c>
      <c r="AD68" s="3080">
        <f t="shared" si="175"/>
        <v>0.12</v>
      </c>
      <c r="AE68" s="2010">
        <v>0</v>
      </c>
      <c r="AF68" s="1001">
        <f t="shared" si="187"/>
        <v>0.12</v>
      </c>
      <c r="AG68" s="451">
        <v>0</v>
      </c>
      <c r="AH68" s="3080">
        <f t="shared" si="177"/>
        <v>0.12</v>
      </c>
      <c r="AI68" s="2010">
        <v>0</v>
      </c>
      <c r="AJ68" s="1001">
        <f t="shared" si="164"/>
        <v>0.12</v>
      </c>
      <c r="AK68" s="451">
        <v>0</v>
      </c>
      <c r="AL68" s="3080">
        <f t="shared" si="178"/>
        <v>0.12</v>
      </c>
      <c r="AM68" s="2011">
        <v>0</v>
      </c>
      <c r="AN68" s="300">
        <f t="shared" si="115"/>
        <v>-0.2</v>
      </c>
      <c r="AO68" s="2193">
        <f>'Table 5a'!P64</f>
        <v>257</v>
      </c>
      <c r="AP68" s="1001">
        <f t="shared" si="188"/>
        <v>0.13</v>
      </c>
      <c r="AQ68" s="451">
        <f t="shared" si="180"/>
        <v>0</v>
      </c>
      <c r="AR68" s="3080">
        <f t="shared" si="181"/>
        <v>0.13</v>
      </c>
      <c r="AS68" s="3093">
        <v>0</v>
      </c>
      <c r="AT68" s="2"/>
      <c r="AU68" s="1959">
        <f t="shared" si="11"/>
        <v>0</v>
      </c>
      <c r="AV68" s="2264">
        <f t="shared" si="12"/>
        <v>-0.03</v>
      </c>
    </row>
    <row r="69" spans="1:48">
      <c r="A69" s="3275"/>
      <c r="B69" s="1859" t="s">
        <v>200</v>
      </c>
      <c r="C69" s="2263">
        <v>7981</v>
      </c>
      <c r="D69" s="1953">
        <f>'Table 5a'!L65</f>
        <v>1000</v>
      </c>
      <c r="E69" s="1954">
        <v>1001</v>
      </c>
      <c r="F69" s="814">
        <v>1001</v>
      </c>
      <c r="G69" s="814">
        <v>1001</v>
      </c>
      <c r="H69" s="814">
        <v>1001</v>
      </c>
      <c r="I69" s="807">
        <v>1001</v>
      </c>
      <c r="J69" s="807">
        <v>1001</v>
      </c>
      <c r="K69" s="305">
        <v>1881</v>
      </c>
      <c r="L69" s="1863">
        <f t="shared" si="2"/>
        <v>0</v>
      </c>
      <c r="M69" s="1054">
        <f t="shared" si="182"/>
        <v>0.1</v>
      </c>
      <c r="N69" s="1077">
        <v>0</v>
      </c>
      <c r="O69" s="633">
        <f>'Table 5a'!G65</f>
        <v>0.1</v>
      </c>
      <c r="P69" s="1353">
        <f t="shared" si="183"/>
        <v>7.0000000000000007E-2</v>
      </c>
      <c r="Q69" s="1077">
        <v>0</v>
      </c>
      <c r="R69" s="3080">
        <f t="shared" si="169"/>
        <v>7.0000000000000007E-2</v>
      </c>
      <c r="S69" s="2010">
        <v>0</v>
      </c>
      <c r="T69" s="1001">
        <f t="shared" si="184"/>
        <v>7.0000000000000007E-2</v>
      </c>
      <c r="U69" s="1077">
        <v>0</v>
      </c>
      <c r="V69" s="3080">
        <f t="shared" si="171"/>
        <v>7.0000000000000007E-2</v>
      </c>
      <c r="W69" s="3090">
        <v>0</v>
      </c>
      <c r="X69" s="1054">
        <f t="shared" si="185"/>
        <v>7.0000000000000007E-2</v>
      </c>
      <c r="Y69" s="451">
        <v>0</v>
      </c>
      <c r="Z69" s="3080">
        <f t="shared" si="173"/>
        <v>7.0000000000000007E-2</v>
      </c>
      <c r="AA69" s="2010">
        <v>0</v>
      </c>
      <c r="AB69" s="1001">
        <f t="shared" si="186"/>
        <v>7.0000000000000007E-2</v>
      </c>
      <c r="AC69" s="1077">
        <v>0</v>
      </c>
      <c r="AD69" s="3080">
        <f t="shared" si="175"/>
        <v>7.0000000000000007E-2</v>
      </c>
      <c r="AE69" s="2010">
        <v>0</v>
      </c>
      <c r="AF69" s="1001">
        <f t="shared" si="187"/>
        <v>7.0000000000000007E-2</v>
      </c>
      <c r="AG69" s="451">
        <v>0</v>
      </c>
      <c r="AH69" s="3080">
        <f t="shared" si="177"/>
        <v>7.0000000000000007E-2</v>
      </c>
      <c r="AI69" s="2010">
        <v>0</v>
      </c>
      <c r="AJ69" s="1001">
        <f t="shared" si="164"/>
        <v>7.0000000000000007E-2</v>
      </c>
      <c r="AK69" s="451">
        <v>0</v>
      </c>
      <c r="AL69" s="3080">
        <f t="shared" si="178"/>
        <v>7.0000000000000007E-2</v>
      </c>
      <c r="AM69" s="2011">
        <v>0</v>
      </c>
      <c r="AN69" s="300">
        <f t="shared" si="115"/>
        <v>-0.3</v>
      </c>
      <c r="AO69" s="2193">
        <f>'Table 5a'!P65</f>
        <v>69</v>
      </c>
      <c r="AP69" s="1001">
        <f t="shared" si="188"/>
        <v>7.0000000000000007E-2</v>
      </c>
      <c r="AQ69" s="451">
        <f t="shared" si="180"/>
        <v>0</v>
      </c>
      <c r="AR69" s="3080">
        <f t="shared" si="181"/>
        <v>7.0000000000000007E-2</v>
      </c>
      <c r="AS69" s="3090">
        <v>0</v>
      </c>
      <c r="AT69" s="2"/>
      <c r="AU69" s="1959">
        <f t="shared" si="11"/>
        <v>1</v>
      </c>
      <c r="AV69" s="2264">
        <f t="shared" si="12"/>
        <v>-0.03</v>
      </c>
    </row>
    <row r="70" spans="1:48">
      <c r="A70" s="3275"/>
      <c r="B70" s="2265" t="s">
        <v>201</v>
      </c>
      <c r="C70" s="2263">
        <v>8114</v>
      </c>
      <c r="D70" s="1953">
        <f>'Table 5a'!L66</f>
        <v>11941</v>
      </c>
      <c r="E70" s="1954">
        <v>12053</v>
      </c>
      <c r="F70" s="814">
        <v>12053</v>
      </c>
      <c r="G70" s="814">
        <v>12053</v>
      </c>
      <c r="H70" s="814">
        <v>12053</v>
      </c>
      <c r="I70" s="807">
        <v>12053</v>
      </c>
      <c r="J70" s="807">
        <v>12053</v>
      </c>
      <c r="K70" s="305">
        <v>24916</v>
      </c>
      <c r="L70" s="1863">
        <f t="shared" si="2"/>
        <v>0.01</v>
      </c>
      <c r="M70" s="1054">
        <f t="shared" si="182"/>
        <v>1.31</v>
      </c>
      <c r="N70" s="1077">
        <v>0</v>
      </c>
      <c r="O70" s="633">
        <f>'Table 5a'!G66</f>
        <v>1.31</v>
      </c>
      <c r="P70" s="1353">
        <f t="shared" si="183"/>
        <v>1.28</v>
      </c>
      <c r="Q70" s="1077">
        <v>0</v>
      </c>
      <c r="R70" s="3080">
        <f t="shared" si="169"/>
        <v>1.28</v>
      </c>
      <c r="S70" s="2010">
        <v>0</v>
      </c>
      <c r="T70" s="1001">
        <f t="shared" si="184"/>
        <v>1.28</v>
      </c>
      <c r="U70" s="1077">
        <v>0</v>
      </c>
      <c r="V70" s="3080">
        <f t="shared" si="171"/>
        <v>1.28</v>
      </c>
      <c r="W70" s="3090">
        <v>0</v>
      </c>
      <c r="X70" s="1054">
        <f t="shared" si="185"/>
        <v>1.28</v>
      </c>
      <c r="Y70" s="451">
        <v>0</v>
      </c>
      <c r="Z70" s="3080">
        <f t="shared" si="173"/>
        <v>1.28</v>
      </c>
      <c r="AA70" s="2010">
        <v>0</v>
      </c>
      <c r="AB70" s="1001">
        <f t="shared" si="186"/>
        <v>1.28</v>
      </c>
      <c r="AC70" s="1077">
        <v>0</v>
      </c>
      <c r="AD70" s="3080">
        <f t="shared" si="175"/>
        <v>1.28</v>
      </c>
      <c r="AE70" s="2010">
        <v>0</v>
      </c>
      <c r="AF70" s="1001">
        <f t="shared" si="187"/>
        <v>1.28</v>
      </c>
      <c r="AG70" s="451">
        <v>0</v>
      </c>
      <c r="AH70" s="3080">
        <f t="shared" si="177"/>
        <v>1.28</v>
      </c>
      <c r="AI70" s="2010">
        <v>0</v>
      </c>
      <c r="AJ70" s="1001">
        <f t="shared" si="164"/>
        <v>1.28</v>
      </c>
      <c r="AK70" s="451">
        <v>0</v>
      </c>
      <c r="AL70" s="3080">
        <f t="shared" si="178"/>
        <v>1.28</v>
      </c>
      <c r="AM70" s="2011">
        <v>0</v>
      </c>
      <c r="AN70" s="300">
        <f t="shared" si="115"/>
        <v>-0.02</v>
      </c>
      <c r="AO70" s="2193">
        <f>'Table 5a'!P66</f>
        <v>106</v>
      </c>
      <c r="AP70" s="1001">
        <f t="shared" si="188"/>
        <v>1.36</v>
      </c>
      <c r="AQ70" s="451">
        <f t="shared" si="180"/>
        <v>0</v>
      </c>
      <c r="AR70" s="3080">
        <f t="shared" si="181"/>
        <v>1.36</v>
      </c>
      <c r="AS70" s="3090">
        <v>0</v>
      </c>
      <c r="AT70" s="2"/>
      <c r="AU70" s="1959">
        <f t="shared" si="11"/>
        <v>112</v>
      </c>
      <c r="AV70" s="2264">
        <f t="shared" si="12"/>
        <v>-0.03</v>
      </c>
    </row>
    <row r="71" spans="1:48">
      <c r="A71" s="3275"/>
      <c r="B71" s="1859" t="s">
        <v>202</v>
      </c>
      <c r="C71" s="2263">
        <v>8168</v>
      </c>
      <c r="D71" s="1953">
        <f>'Table 5a'!L67</f>
        <v>1781</v>
      </c>
      <c r="E71" s="1954">
        <v>1821</v>
      </c>
      <c r="F71" s="814">
        <v>2088</v>
      </c>
      <c r="G71" s="814">
        <v>2169</v>
      </c>
      <c r="H71" s="814">
        <v>2337</v>
      </c>
      <c r="I71" s="807">
        <v>2491</v>
      </c>
      <c r="J71" s="807">
        <v>2668</v>
      </c>
      <c r="K71" s="305">
        <v>3282</v>
      </c>
      <c r="L71" s="1863">
        <f t="shared" ref="L71:L91" si="189">(J71-D71)/D71</f>
        <v>0.5</v>
      </c>
      <c r="M71" s="1054">
        <f t="shared" si="182"/>
        <v>0.1</v>
      </c>
      <c r="N71" s="1077">
        <v>0</v>
      </c>
      <c r="O71" s="633">
        <f>'Table 5a'!G67</f>
        <v>0.1</v>
      </c>
      <c r="P71" s="1353">
        <f t="shared" si="183"/>
        <v>0.1</v>
      </c>
      <c r="Q71" s="1077">
        <v>0</v>
      </c>
      <c r="R71" s="3080">
        <f t="shared" si="169"/>
        <v>0.1</v>
      </c>
      <c r="S71" s="2010">
        <v>0</v>
      </c>
      <c r="T71" s="1001">
        <f t="shared" si="184"/>
        <v>0.11</v>
      </c>
      <c r="U71" s="1077">
        <v>0</v>
      </c>
      <c r="V71" s="3080">
        <f t="shared" si="171"/>
        <v>0.11</v>
      </c>
      <c r="W71" s="3090">
        <v>0</v>
      </c>
      <c r="X71" s="1054">
        <f t="shared" si="185"/>
        <v>0.12</v>
      </c>
      <c r="Y71" s="451">
        <v>0</v>
      </c>
      <c r="Z71" s="3080">
        <f t="shared" si="173"/>
        <v>0.12</v>
      </c>
      <c r="AA71" s="2010">
        <v>0</v>
      </c>
      <c r="AB71" s="1001">
        <f t="shared" si="186"/>
        <v>0.13</v>
      </c>
      <c r="AC71" s="1077">
        <v>0</v>
      </c>
      <c r="AD71" s="3080">
        <f t="shared" si="175"/>
        <v>0.13</v>
      </c>
      <c r="AE71" s="2010">
        <v>0</v>
      </c>
      <c r="AF71" s="1001">
        <f t="shared" si="187"/>
        <v>0.14000000000000001</v>
      </c>
      <c r="AG71" s="451">
        <v>0</v>
      </c>
      <c r="AH71" s="3080">
        <f t="shared" si="177"/>
        <v>0.14000000000000001</v>
      </c>
      <c r="AI71" s="2010">
        <v>0</v>
      </c>
      <c r="AJ71" s="1001">
        <f t="shared" si="164"/>
        <v>0.15</v>
      </c>
      <c r="AK71" s="451">
        <v>0</v>
      </c>
      <c r="AL71" s="3080">
        <f t="shared" si="178"/>
        <v>0.15</v>
      </c>
      <c r="AM71" s="2011">
        <v>0</v>
      </c>
      <c r="AN71" s="300">
        <f t="shared" si="115"/>
        <v>0.5</v>
      </c>
      <c r="AO71" s="2193">
        <f>'Table 5a'!P67</f>
        <v>55</v>
      </c>
      <c r="AP71" s="1001">
        <f t="shared" si="188"/>
        <v>0.16</v>
      </c>
      <c r="AQ71" s="451">
        <f t="shared" si="180"/>
        <v>0</v>
      </c>
      <c r="AR71" s="3080">
        <f t="shared" si="181"/>
        <v>0.16</v>
      </c>
      <c r="AS71" s="3090">
        <v>0</v>
      </c>
      <c r="AT71" s="2"/>
      <c r="AU71" s="1959">
        <f t="shared" si="11"/>
        <v>887</v>
      </c>
      <c r="AV71" s="2264">
        <f t="shared" si="12"/>
        <v>0.05</v>
      </c>
    </row>
    <row r="72" spans="1:48" ht="13.5" thickBot="1">
      <c r="A72" s="3275"/>
      <c r="B72" s="1860" t="s">
        <v>203</v>
      </c>
      <c r="C72" s="2266">
        <v>92165</v>
      </c>
      <c r="D72" s="2031">
        <f>'Table 5a'!L68</f>
        <v>2479</v>
      </c>
      <c r="E72" s="2032">
        <v>2857</v>
      </c>
      <c r="F72" s="2033">
        <v>2857</v>
      </c>
      <c r="G72" s="2033">
        <v>2857</v>
      </c>
      <c r="H72" s="2033">
        <v>2857</v>
      </c>
      <c r="I72" s="2034">
        <v>2857</v>
      </c>
      <c r="J72" s="2034">
        <v>2857</v>
      </c>
      <c r="K72" s="2036">
        <v>5691</v>
      </c>
      <c r="L72" s="222">
        <f t="shared" si="189"/>
        <v>0.15</v>
      </c>
      <c r="M72" s="1056">
        <f t="shared" si="182"/>
        <v>0.27</v>
      </c>
      <c r="N72" s="528">
        <v>0</v>
      </c>
      <c r="O72" s="51">
        <f>'Table 5a'!G68</f>
        <v>0.27</v>
      </c>
      <c r="P72" s="1349">
        <f t="shared" si="183"/>
        <v>0.28000000000000003</v>
      </c>
      <c r="Q72" s="528">
        <v>0</v>
      </c>
      <c r="R72" s="3078">
        <f t="shared" si="169"/>
        <v>0.28000000000000003</v>
      </c>
      <c r="S72" s="2042">
        <v>0</v>
      </c>
      <c r="T72" s="124">
        <f t="shared" si="184"/>
        <v>0.28000000000000003</v>
      </c>
      <c r="U72" s="528">
        <v>0</v>
      </c>
      <c r="V72" s="3078">
        <f t="shared" si="171"/>
        <v>0.28000000000000003</v>
      </c>
      <c r="W72" s="2042">
        <v>0</v>
      </c>
      <c r="X72" s="1306">
        <f t="shared" si="185"/>
        <v>0.28000000000000003</v>
      </c>
      <c r="Y72" s="1057">
        <v>0</v>
      </c>
      <c r="Z72" s="3078">
        <f t="shared" si="173"/>
        <v>0.28000000000000003</v>
      </c>
      <c r="AA72" s="2042">
        <v>0</v>
      </c>
      <c r="AB72" s="124">
        <f t="shared" si="186"/>
        <v>0.28000000000000003</v>
      </c>
      <c r="AC72" s="528">
        <v>0</v>
      </c>
      <c r="AD72" s="3078">
        <f t="shared" si="175"/>
        <v>0.28000000000000003</v>
      </c>
      <c r="AE72" s="2042">
        <v>0</v>
      </c>
      <c r="AF72" s="124">
        <f t="shared" si="187"/>
        <v>0.28000000000000003</v>
      </c>
      <c r="AG72" s="1057">
        <v>0</v>
      </c>
      <c r="AH72" s="3078">
        <f t="shared" si="177"/>
        <v>0.28000000000000003</v>
      </c>
      <c r="AI72" s="2042">
        <v>0</v>
      </c>
      <c r="AJ72" s="124">
        <f t="shared" si="164"/>
        <v>0.28000000000000003</v>
      </c>
      <c r="AK72" s="1057">
        <v>0</v>
      </c>
      <c r="AL72" s="3078">
        <f t="shared" si="178"/>
        <v>0.28000000000000003</v>
      </c>
      <c r="AM72" s="2043">
        <v>0</v>
      </c>
      <c r="AN72" s="216">
        <f t="shared" si="115"/>
        <v>0.04</v>
      </c>
      <c r="AO72" s="2267">
        <f>'Table 5a'!P68</f>
        <v>98</v>
      </c>
      <c r="AP72" s="124">
        <f t="shared" si="188"/>
        <v>0.3</v>
      </c>
      <c r="AQ72" s="1057">
        <f t="shared" si="180"/>
        <v>0</v>
      </c>
      <c r="AR72" s="3078">
        <f t="shared" si="181"/>
        <v>0.3</v>
      </c>
      <c r="AS72" s="3091">
        <v>0</v>
      </c>
      <c r="AT72" s="2"/>
      <c r="AU72" s="2045">
        <f t="shared" ref="AU72:AU91" si="190">J72-D72</f>
        <v>378</v>
      </c>
      <c r="AV72" s="1845">
        <f t="shared" ref="AV72:AV91" si="191">AL72-O72</f>
        <v>0.01</v>
      </c>
    </row>
    <row r="73" spans="1:48" ht="14.25" thickTop="1" thickBot="1">
      <c r="A73" s="3276"/>
      <c r="B73" s="3277" t="s">
        <v>204</v>
      </c>
      <c r="C73" s="3278"/>
      <c r="D73" s="1978">
        <f>SUM(D66:D72)</f>
        <v>20386</v>
      </c>
      <c r="E73" s="1979">
        <f t="shared" ref="E73:J73" si="192">SUM(E66:E72)</f>
        <v>20946</v>
      </c>
      <c r="F73" s="1980">
        <f t="shared" si="192"/>
        <v>21213</v>
      </c>
      <c r="G73" s="1980">
        <f t="shared" si="192"/>
        <v>21294</v>
      </c>
      <c r="H73" s="1980">
        <f t="shared" si="192"/>
        <v>21462</v>
      </c>
      <c r="I73" s="1981">
        <f t="shared" si="192"/>
        <v>21616</v>
      </c>
      <c r="J73" s="1981">
        <f t="shared" si="192"/>
        <v>21793</v>
      </c>
      <c r="K73" s="1983">
        <f>SUM(K66:K72)</f>
        <v>42829</v>
      </c>
      <c r="L73" s="233">
        <f t="shared" si="189"/>
        <v>7.0000000000000007E-2</v>
      </c>
      <c r="M73" s="119">
        <f t="shared" si="182"/>
        <v>2.1800000000000002</v>
      </c>
      <c r="N73" s="107">
        <f>SUM(N66:N72)</f>
        <v>0</v>
      </c>
      <c r="O73" s="647">
        <f>SUM(O66:O72)</f>
        <v>2.1800000000000002</v>
      </c>
      <c r="P73" s="120">
        <f t="shared" si="183"/>
        <v>2.1</v>
      </c>
      <c r="Q73" s="107">
        <f t="shared" ref="Q73:R73" si="193">SUM(Q66:Q72)</f>
        <v>0</v>
      </c>
      <c r="R73" s="3109">
        <f t="shared" si="193"/>
        <v>2.1</v>
      </c>
      <c r="S73" s="2097">
        <f>SUM(S66:S72)</f>
        <v>0</v>
      </c>
      <c r="T73" s="98">
        <f t="shared" si="184"/>
        <v>2.11</v>
      </c>
      <c r="U73" s="107">
        <f t="shared" ref="U73:V73" si="194">SUM(U66:U72)</f>
        <v>0</v>
      </c>
      <c r="V73" s="3083">
        <f t="shared" si="194"/>
        <v>2.11</v>
      </c>
      <c r="W73" s="3092">
        <f>SUM(W66:W72)</f>
        <v>0</v>
      </c>
      <c r="X73" s="119">
        <f t="shared" si="185"/>
        <v>2.12</v>
      </c>
      <c r="Y73" s="128">
        <f t="shared" ref="Y73:Z73" si="195">SUM(Y66:Y72)</f>
        <v>0</v>
      </c>
      <c r="Z73" s="3109">
        <f t="shared" si="195"/>
        <v>2.12</v>
      </c>
      <c r="AA73" s="2097">
        <f>SUM(AA66:AA72)</f>
        <v>0</v>
      </c>
      <c r="AB73" s="98">
        <f t="shared" si="186"/>
        <v>2.13</v>
      </c>
      <c r="AC73" s="107">
        <f t="shared" ref="AC73:AD73" si="196">SUM(AC66:AC72)</f>
        <v>0</v>
      </c>
      <c r="AD73" s="3109">
        <f t="shared" si="196"/>
        <v>2.13</v>
      </c>
      <c r="AE73" s="2097">
        <f>SUM(AE66:AE72)</f>
        <v>0</v>
      </c>
      <c r="AF73" s="98">
        <f t="shared" si="187"/>
        <v>2.14</v>
      </c>
      <c r="AG73" s="128">
        <f t="shared" ref="AG73:AH73" si="197">SUM(AG66:AG72)</f>
        <v>0</v>
      </c>
      <c r="AH73" s="3083">
        <f t="shared" si="197"/>
        <v>2.14</v>
      </c>
      <c r="AI73" s="2097">
        <f>SUM(AI66:AI72)</f>
        <v>0</v>
      </c>
      <c r="AJ73" s="98">
        <f t="shared" ref="AJ73:AJ80" si="198">AL73-AK73</f>
        <v>2.15</v>
      </c>
      <c r="AK73" s="128">
        <f t="shared" ref="AK73:AL73" si="199">SUM(AK66:AK72)</f>
        <v>0</v>
      </c>
      <c r="AL73" s="3109">
        <f t="shared" si="199"/>
        <v>2.15</v>
      </c>
      <c r="AM73" s="2101">
        <f>SUM(AM66:AM72)</f>
        <v>0</v>
      </c>
      <c r="AN73" s="217">
        <f t="shared" si="115"/>
        <v>-0.01</v>
      </c>
      <c r="AO73" s="2268" t="s">
        <v>16</v>
      </c>
      <c r="AP73" s="98">
        <f t="shared" si="188"/>
        <v>2.2799999999999998</v>
      </c>
      <c r="AQ73" s="128">
        <f>SUM(AQ66:AQ72)</f>
        <v>0</v>
      </c>
      <c r="AR73" s="3109">
        <f>SUM(AR66:AR72)</f>
        <v>2.2799999999999998</v>
      </c>
      <c r="AS73" s="3096">
        <f>SUM(AS66:AS72)</f>
        <v>0</v>
      </c>
      <c r="AT73" s="2"/>
      <c r="AU73" s="1986">
        <f t="shared" si="190"/>
        <v>1407</v>
      </c>
      <c r="AV73" s="1583">
        <f t="shared" si="191"/>
        <v>-0.03</v>
      </c>
    </row>
    <row r="74" spans="1:48">
      <c r="A74" s="3274" t="s">
        <v>205</v>
      </c>
      <c r="B74" s="162" t="s">
        <v>206</v>
      </c>
      <c r="C74" s="2253">
        <v>157</v>
      </c>
      <c r="D74" s="2047">
        <f>'Table 5a'!L70</f>
        <v>3295</v>
      </c>
      <c r="E74" s="2167">
        <v>3885</v>
      </c>
      <c r="F74" s="2168">
        <v>5077</v>
      </c>
      <c r="G74" s="2168">
        <v>5077</v>
      </c>
      <c r="H74" s="2168">
        <v>5077</v>
      </c>
      <c r="I74" s="2169">
        <v>5077</v>
      </c>
      <c r="J74" s="2256">
        <v>5077</v>
      </c>
      <c r="K74" s="2257">
        <v>5077</v>
      </c>
      <c r="L74" s="224">
        <f t="shared" si="189"/>
        <v>0.54</v>
      </c>
      <c r="M74" s="114">
        <f t="shared" si="182"/>
        <v>0.45</v>
      </c>
      <c r="N74" s="118">
        <v>0</v>
      </c>
      <c r="O74" s="1024">
        <f>'Table 5a'!G70</f>
        <v>0.45</v>
      </c>
      <c r="P74" s="121">
        <f t="shared" si="183"/>
        <v>0.53</v>
      </c>
      <c r="Q74" s="118">
        <v>0</v>
      </c>
      <c r="R74" s="3082">
        <f>E74*$AO74/1000000</f>
        <v>0.53</v>
      </c>
      <c r="S74" s="2258">
        <v>0</v>
      </c>
      <c r="T74" s="110">
        <f t="shared" si="184"/>
        <v>0.69</v>
      </c>
      <c r="U74" s="118">
        <v>0</v>
      </c>
      <c r="V74" s="3082">
        <f>F74*$AO74/1000000</f>
        <v>0.69</v>
      </c>
      <c r="W74" s="3097">
        <v>0</v>
      </c>
      <c r="X74" s="114">
        <f t="shared" si="185"/>
        <v>0.69</v>
      </c>
      <c r="Y74" s="112">
        <v>0</v>
      </c>
      <c r="Z74" s="3079">
        <f>G74*$AO74/1000000</f>
        <v>0.69</v>
      </c>
      <c r="AA74" s="2258">
        <v>0</v>
      </c>
      <c r="AB74" s="110">
        <f t="shared" si="186"/>
        <v>0.69</v>
      </c>
      <c r="AC74" s="118">
        <v>0</v>
      </c>
      <c r="AD74" s="3082">
        <f>H74*$AO74/1000000</f>
        <v>0.69</v>
      </c>
      <c r="AE74" s="2258">
        <v>0</v>
      </c>
      <c r="AF74" s="110">
        <f t="shared" si="187"/>
        <v>0.69</v>
      </c>
      <c r="AG74" s="112">
        <v>0</v>
      </c>
      <c r="AH74" s="3082">
        <f>I74*$AO74/1000000</f>
        <v>0.69</v>
      </c>
      <c r="AI74" s="2258">
        <v>0</v>
      </c>
      <c r="AJ74" s="110">
        <f t="shared" si="198"/>
        <v>0.69</v>
      </c>
      <c r="AK74" s="112">
        <v>0</v>
      </c>
      <c r="AL74" s="3082">
        <f>J74*AO74/1000000</f>
        <v>0.69</v>
      </c>
      <c r="AM74" s="2259">
        <v>0</v>
      </c>
      <c r="AN74" s="229">
        <f t="shared" si="115"/>
        <v>0.53</v>
      </c>
      <c r="AO74" s="2194">
        <f>'Table 5a'!P70</f>
        <v>136</v>
      </c>
      <c r="AP74" s="110">
        <f t="shared" si="188"/>
        <v>0.73</v>
      </c>
      <c r="AQ74" s="112">
        <f t="shared" ref="AQ74:AQ80" si="200">AG74</f>
        <v>0</v>
      </c>
      <c r="AR74" s="3082">
        <f t="shared" ref="AR74:AR79" si="201">AL74*1.06</f>
        <v>0.73</v>
      </c>
      <c r="AS74" s="3094">
        <v>0</v>
      </c>
      <c r="AT74" s="2"/>
      <c r="AU74" s="2175">
        <f t="shared" si="190"/>
        <v>1782</v>
      </c>
      <c r="AV74" s="2262">
        <f t="shared" si="191"/>
        <v>0.24</v>
      </c>
    </row>
    <row r="75" spans="1:48">
      <c r="A75" s="3275"/>
      <c r="B75" s="1859" t="s">
        <v>207</v>
      </c>
      <c r="C75" s="2263">
        <v>324</v>
      </c>
      <c r="D75" s="1953">
        <f>'Table 5a'!L71</f>
        <v>858</v>
      </c>
      <c r="E75" s="1954">
        <v>891</v>
      </c>
      <c r="F75" s="814">
        <v>933</v>
      </c>
      <c r="G75" s="814">
        <v>933</v>
      </c>
      <c r="H75" s="814">
        <v>933</v>
      </c>
      <c r="I75" s="807">
        <v>933</v>
      </c>
      <c r="J75" s="807">
        <v>933</v>
      </c>
      <c r="K75" s="305">
        <v>933</v>
      </c>
      <c r="L75" s="1863">
        <f t="shared" si="189"/>
        <v>0.09</v>
      </c>
      <c r="M75" s="1054">
        <f t="shared" si="182"/>
        <v>0.06</v>
      </c>
      <c r="N75" s="1077">
        <v>0</v>
      </c>
      <c r="O75" s="633">
        <f>'Table 5a'!G71</f>
        <v>0.06</v>
      </c>
      <c r="P75" s="1353">
        <f t="shared" si="183"/>
        <v>0.06</v>
      </c>
      <c r="Q75" s="1077">
        <v>0</v>
      </c>
      <c r="R75" s="3080">
        <f>E75*$AO75/1000000</f>
        <v>0.06</v>
      </c>
      <c r="S75" s="2010">
        <v>0</v>
      </c>
      <c r="T75" s="1001">
        <f t="shared" si="184"/>
        <v>0.06</v>
      </c>
      <c r="U75" s="1077">
        <v>0</v>
      </c>
      <c r="V75" s="3080">
        <f>F75*$AO75/1000000</f>
        <v>0.06</v>
      </c>
      <c r="W75" s="3090">
        <v>0</v>
      </c>
      <c r="X75" s="1054">
        <f t="shared" si="185"/>
        <v>0.06</v>
      </c>
      <c r="Y75" s="451">
        <v>0</v>
      </c>
      <c r="Z75" s="3080">
        <f>G75*$AO75/1000000</f>
        <v>0.06</v>
      </c>
      <c r="AA75" s="2010">
        <v>0</v>
      </c>
      <c r="AB75" s="1001">
        <f t="shared" si="186"/>
        <v>0.06</v>
      </c>
      <c r="AC75" s="1077">
        <v>0</v>
      </c>
      <c r="AD75" s="3080">
        <f>H75*$AO75/1000000</f>
        <v>0.06</v>
      </c>
      <c r="AE75" s="2010">
        <v>0</v>
      </c>
      <c r="AF75" s="1001">
        <f t="shared" si="187"/>
        <v>0.06</v>
      </c>
      <c r="AG75" s="451">
        <v>0</v>
      </c>
      <c r="AH75" s="3080">
        <f>I75*$AO75/1000000</f>
        <v>0.06</v>
      </c>
      <c r="AI75" s="2010">
        <v>0</v>
      </c>
      <c r="AJ75" s="1001">
        <f t="shared" si="198"/>
        <v>0.06</v>
      </c>
      <c r="AK75" s="451">
        <v>0</v>
      </c>
      <c r="AL75" s="3080">
        <f>J75*AO75/1000000</f>
        <v>0.06</v>
      </c>
      <c r="AM75" s="2011">
        <v>0</v>
      </c>
      <c r="AN75" s="300">
        <f t="shared" si="115"/>
        <v>0</v>
      </c>
      <c r="AO75" s="2193">
        <f>'Table 5a'!P71</f>
        <v>68</v>
      </c>
      <c r="AP75" s="1001">
        <f t="shared" si="188"/>
        <v>0.06</v>
      </c>
      <c r="AQ75" s="451">
        <f t="shared" si="200"/>
        <v>0</v>
      </c>
      <c r="AR75" s="3080">
        <f t="shared" si="201"/>
        <v>0.06</v>
      </c>
      <c r="AS75" s="3093">
        <v>0</v>
      </c>
      <c r="AT75" s="2"/>
      <c r="AU75" s="1959">
        <f t="shared" si="190"/>
        <v>75</v>
      </c>
      <c r="AV75" s="2264">
        <f t="shared" si="191"/>
        <v>0</v>
      </c>
    </row>
    <row r="76" spans="1:48">
      <c r="A76" s="3275"/>
      <c r="B76" s="2192" t="s">
        <v>208</v>
      </c>
      <c r="C76" s="2263">
        <v>1142</v>
      </c>
      <c r="D76" s="1953">
        <v>25274</v>
      </c>
      <c r="E76" s="1954">
        <v>29408</v>
      </c>
      <c r="F76" s="814">
        <v>29408</v>
      </c>
      <c r="G76" s="814">
        <v>29408</v>
      </c>
      <c r="H76" s="814">
        <v>29408</v>
      </c>
      <c r="I76" s="807">
        <v>29408</v>
      </c>
      <c r="J76" s="807">
        <v>29408</v>
      </c>
      <c r="K76" s="305">
        <v>29784</v>
      </c>
      <c r="L76" s="1863">
        <f t="shared" si="189"/>
        <v>0.16</v>
      </c>
      <c r="M76" s="1054">
        <f t="shared" si="182"/>
        <v>4.0199999999999996</v>
      </c>
      <c r="N76" s="1077">
        <v>0</v>
      </c>
      <c r="O76" s="633">
        <f>'Table 5a'!G72</f>
        <v>4.0199999999999996</v>
      </c>
      <c r="P76" s="1353">
        <f t="shared" si="183"/>
        <v>4.78</v>
      </c>
      <c r="Q76" s="1077">
        <v>0</v>
      </c>
      <c r="R76" s="3080">
        <f>29491*$AO76/1000000</f>
        <v>4.78</v>
      </c>
      <c r="S76" s="2010">
        <v>0</v>
      </c>
      <c r="T76" s="1001">
        <f t="shared" si="184"/>
        <v>4.78</v>
      </c>
      <c r="U76" s="1077">
        <v>0</v>
      </c>
      <c r="V76" s="3080">
        <f>29491*$AO76/1000000</f>
        <v>4.78</v>
      </c>
      <c r="W76" s="3090">
        <v>0</v>
      </c>
      <c r="X76" s="1054">
        <f t="shared" si="185"/>
        <v>4.78</v>
      </c>
      <c r="Y76" s="451">
        <v>0</v>
      </c>
      <c r="Z76" s="3080">
        <f>29491*$AO76/1000000</f>
        <v>4.78</v>
      </c>
      <c r="AA76" s="2010">
        <v>0</v>
      </c>
      <c r="AB76" s="1001">
        <f t="shared" si="186"/>
        <v>4.78</v>
      </c>
      <c r="AC76" s="1077">
        <v>0</v>
      </c>
      <c r="AD76" s="3080">
        <f>29491*$AO76/1000000</f>
        <v>4.78</v>
      </c>
      <c r="AE76" s="2010">
        <v>0</v>
      </c>
      <c r="AF76" s="1001">
        <f t="shared" si="187"/>
        <v>4.78</v>
      </c>
      <c r="AG76" s="451">
        <v>0</v>
      </c>
      <c r="AH76" s="3080">
        <f>29493*$AO76/1000000</f>
        <v>4.78</v>
      </c>
      <c r="AI76" s="2010">
        <v>0</v>
      </c>
      <c r="AJ76" s="1001">
        <f t="shared" si="198"/>
        <v>4.78</v>
      </c>
      <c r="AK76" s="451">
        <v>0</v>
      </c>
      <c r="AL76" s="3080">
        <f>29493*AO76/1000000</f>
        <v>4.78</v>
      </c>
      <c r="AM76" s="2011">
        <v>0</v>
      </c>
      <c r="AN76" s="300">
        <f t="shared" si="115"/>
        <v>0.19</v>
      </c>
      <c r="AO76" s="2193">
        <f>'Table 5a'!P72</f>
        <v>162</v>
      </c>
      <c r="AP76" s="1001">
        <f t="shared" si="188"/>
        <v>5.07</v>
      </c>
      <c r="AQ76" s="451">
        <f t="shared" si="200"/>
        <v>0</v>
      </c>
      <c r="AR76" s="3080">
        <f t="shared" si="201"/>
        <v>5.07</v>
      </c>
      <c r="AS76" s="3093">
        <v>0</v>
      </c>
      <c r="AT76" s="2"/>
      <c r="AU76" s="1959">
        <f t="shared" si="190"/>
        <v>4134</v>
      </c>
      <c r="AV76" s="2264">
        <f t="shared" si="191"/>
        <v>0.76</v>
      </c>
    </row>
    <row r="77" spans="1:48">
      <c r="A77" s="3275"/>
      <c r="B77" s="1859" t="s">
        <v>209</v>
      </c>
      <c r="C77" s="2263">
        <v>1198</v>
      </c>
      <c r="D77" s="1953">
        <f>'Table 5a'!L73</f>
        <v>70395</v>
      </c>
      <c r="E77" s="1954">
        <v>76210</v>
      </c>
      <c r="F77" s="814">
        <v>102128</v>
      </c>
      <c r="G77" s="814">
        <v>130244</v>
      </c>
      <c r="H77" s="814">
        <v>152607</v>
      </c>
      <c r="I77" s="807">
        <v>159943</v>
      </c>
      <c r="J77" s="807">
        <v>162581</v>
      </c>
      <c r="K77" s="305">
        <v>409267</v>
      </c>
      <c r="L77" s="1863">
        <f t="shared" si="189"/>
        <v>1.31</v>
      </c>
      <c r="M77" s="1054">
        <f t="shared" si="182"/>
        <v>6.9</v>
      </c>
      <c r="N77" s="1077">
        <v>0</v>
      </c>
      <c r="O77" s="633">
        <f>'Table 5a'!G73</f>
        <v>6.9</v>
      </c>
      <c r="P77" s="1353">
        <f t="shared" si="183"/>
        <v>12.35</v>
      </c>
      <c r="Q77" s="1077">
        <v>0</v>
      </c>
      <c r="R77" s="3080">
        <f>E77*$AO77/1000000</f>
        <v>12.35</v>
      </c>
      <c r="S77" s="2010">
        <v>0</v>
      </c>
      <c r="T77" s="1232">
        <f>V77-U77</f>
        <v>15.2</v>
      </c>
      <c r="U77" s="1077">
        <v>0</v>
      </c>
      <c r="V77" s="3080">
        <f>(F77*$AO77/1000000)-W77</f>
        <v>15.2</v>
      </c>
      <c r="W77" s="3090">
        <v>1.34</v>
      </c>
      <c r="X77" s="1054">
        <f t="shared" si="185"/>
        <v>15.2</v>
      </c>
      <c r="Y77" s="451">
        <v>0</v>
      </c>
      <c r="Z77" s="3080">
        <f>(G77*$AO77/1000000)-AA77</f>
        <v>15.2</v>
      </c>
      <c r="AA77" s="2010">
        <v>5.9</v>
      </c>
      <c r="AB77" s="1001">
        <f t="shared" si="186"/>
        <v>15.2</v>
      </c>
      <c r="AC77" s="1077">
        <v>0</v>
      </c>
      <c r="AD77" s="3080">
        <f>(H77*$AO77/1000000)-AE77</f>
        <v>15.2</v>
      </c>
      <c r="AE77" s="2010">
        <v>9.52</v>
      </c>
      <c r="AF77" s="1001">
        <f t="shared" si="187"/>
        <v>15.2</v>
      </c>
      <c r="AG77" s="451">
        <v>0</v>
      </c>
      <c r="AH77" s="3080">
        <f>(I77*$AO77/1000000)-AI77</f>
        <v>15.2</v>
      </c>
      <c r="AI77" s="2010">
        <v>10.71</v>
      </c>
      <c r="AJ77" s="1001">
        <f t="shared" si="198"/>
        <v>15.2</v>
      </c>
      <c r="AK77" s="451">
        <v>0</v>
      </c>
      <c r="AL77" s="3080">
        <f>(J77*AO77/1000000)-AM77</f>
        <v>15.2</v>
      </c>
      <c r="AM77" s="2011">
        <v>11.14</v>
      </c>
      <c r="AN77" s="300">
        <f t="shared" si="115"/>
        <v>1.2</v>
      </c>
      <c r="AO77" s="2193">
        <f>'Table 5a'!P72</f>
        <v>162</v>
      </c>
      <c r="AP77" s="1001">
        <f t="shared" si="188"/>
        <v>15.2</v>
      </c>
      <c r="AQ77" s="451">
        <f t="shared" si="200"/>
        <v>0</v>
      </c>
      <c r="AR77" s="3080">
        <f>(SUM(AL77:AM77)*1.06)-AS77</f>
        <v>15.2</v>
      </c>
      <c r="AS77" s="3090">
        <v>12.72</v>
      </c>
      <c r="AT77" s="2"/>
      <c r="AU77" s="1959">
        <f t="shared" si="190"/>
        <v>92186</v>
      </c>
      <c r="AV77" s="2264">
        <f t="shared" si="191"/>
        <v>8.3000000000000007</v>
      </c>
    </row>
    <row r="78" spans="1:48">
      <c r="A78" s="3275"/>
      <c r="B78" s="1859" t="s">
        <v>209</v>
      </c>
      <c r="C78" s="2263">
        <v>1392</v>
      </c>
      <c r="D78" s="1953">
        <f>'Table 5a'!L74</f>
        <v>682</v>
      </c>
      <c r="E78" s="1954">
        <v>708</v>
      </c>
      <c r="F78" s="814">
        <v>1108</v>
      </c>
      <c r="G78" s="814">
        <v>2144</v>
      </c>
      <c r="H78" s="814">
        <v>2790</v>
      </c>
      <c r="I78" s="807">
        <v>2862</v>
      </c>
      <c r="J78" s="807">
        <v>2862</v>
      </c>
      <c r="K78" s="305">
        <v>3389</v>
      </c>
      <c r="L78" s="1863">
        <f t="shared" si="189"/>
        <v>3.2</v>
      </c>
      <c r="M78" s="1054">
        <f t="shared" si="182"/>
        <v>0.08</v>
      </c>
      <c r="N78" s="1077">
        <v>0</v>
      </c>
      <c r="O78" s="633">
        <f>'Table 5a'!G74</f>
        <v>0.08</v>
      </c>
      <c r="P78" s="1353">
        <f t="shared" si="183"/>
        <v>7.0000000000000007E-2</v>
      </c>
      <c r="Q78" s="1077">
        <v>0</v>
      </c>
      <c r="R78" s="3080">
        <f>E78*$AO78/1000000</f>
        <v>7.0000000000000007E-2</v>
      </c>
      <c r="S78" s="2010">
        <v>0</v>
      </c>
      <c r="T78" s="1001">
        <f t="shared" si="184"/>
        <v>0.12</v>
      </c>
      <c r="U78" s="1077">
        <v>0</v>
      </c>
      <c r="V78" s="3080">
        <f>F78*$AO78/1000000</f>
        <v>0.12</v>
      </c>
      <c r="W78" s="3090">
        <v>0</v>
      </c>
      <c r="X78" s="1054">
        <f t="shared" si="185"/>
        <v>0.23</v>
      </c>
      <c r="Y78" s="451">
        <v>0</v>
      </c>
      <c r="Z78" s="3080">
        <f>G78*$AO78/1000000</f>
        <v>0.23</v>
      </c>
      <c r="AA78" s="2010">
        <v>0</v>
      </c>
      <c r="AB78" s="1001">
        <f t="shared" si="186"/>
        <v>0.28999999999999998</v>
      </c>
      <c r="AC78" s="1077">
        <v>0</v>
      </c>
      <c r="AD78" s="3080">
        <f>H78*$AO78/1000000</f>
        <v>0.28999999999999998</v>
      </c>
      <c r="AE78" s="2010">
        <v>0</v>
      </c>
      <c r="AF78" s="1001">
        <f t="shared" si="187"/>
        <v>0.3</v>
      </c>
      <c r="AG78" s="451">
        <v>0</v>
      </c>
      <c r="AH78" s="3080">
        <f>I78*$AO78/1000000</f>
        <v>0.3</v>
      </c>
      <c r="AI78" s="2010">
        <v>0</v>
      </c>
      <c r="AJ78" s="1001">
        <f t="shared" si="198"/>
        <v>0.3</v>
      </c>
      <c r="AK78" s="451">
        <v>0</v>
      </c>
      <c r="AL78" s="3080">
        <f>J78*AO78/1000000</f>
        <v>0.3</v>
      </c>
      <c r="AM78" s="2011">
        <v>0</v>
      </c>
      <c r="AN78" s="300">
        <f t="shared" si="115"/>
        <v>2.75</v>
      </c>
      <c r="AO78" s="2193">
        <f>'Table 5a'!P73</f>
        <v>105</v>
      </c>
      <c r="AP78" s="1001">
        <f t="shared" si="188"/>
        <v>0.32</v>
      </c>
      <c r="AQ78" s="451">
        <f t="shared" si="200"/>
        <v>0</v>
      </c>
      <c r="AR78" s="3080">
        <f t="shared" si="201"/>
        <v>0.32</v>
      </c>
      <c r="AS78" s="3096">
        <v>0</v>
      </c>
      <c r="AT78" s="2"/>
      <c r="AU78" s="1959">
        <f t="shared" si="190"/>
        <v>2180</v>
      </c>
      <c r="AV78" s="2264">
        <f t="shared" si="191"/>
        <v>0.22</v>
      </c>
    </row>
    <row r="79" spans="1:48">
      <c r="A79" s="3275"/>
      <c r="B79" s="2269" t="s">
        <v>210</v>
      </c>
      <c r="C79" s="2263">
        <v>50299</v>
      </c>
      <c r="D79" s="1953">
        <f>'Table 5a'!L75</f>
        <v>28207</v>
      </c>
      <c r="E79" s="1954">
        <v>33919</v>
      </c>
      <c r="F79" s="814">
        <v>40714</v>
      </c>
      <c r="G79" s="814">
        <v>40714</v>
      </c>
      <c r="H79" s="814">
        <v>40714</v>
      </c>
      <c r="I79" s="807">
        <v>41488</v>
      </c>
      <c r="J79" s="807">
        <v>43975</v>
      </c>
      <c r="K79" s="305">
        <v>52019</v>
      </c>
      <c r="L79" s="1863">
        <f t="shared" si="189"/>
        <v>0.56000000000000005</v>
      </c>
      <c r="M79" s="1054">
        <f t="shared" si="182"/>
        <v>3.23</v>
      </c>
      <c r="N79" s="1077">
        <v>0</v>
      </c>
      <c r="O79" s="633">
        <f>'Table 5a'!G75</f>
        <v>3.23</v>
      </c>
      <c r="P79" s="1353">
        <f t="shared" si="183"/>
        <v>4.2699999999999996</v>
      </c>
      <c r="Q79" s="1077">
        <v>0</v>
      </c>
      <c r="R79" s="3080">
        <f>E79*$AO79/1000000</f>
        <v>4.2699999999999996</v>
      </c>
      <c r="S79" s="2010">
        <v>0</v>
      </c>
      <c r="T79" s="1001">
        <f t="shared" si="184"/>
        <v>5.13</v>
      </c>
      <c r="U79" s="1077">
        <v>0</v>
      </c>
      <c r="V79" s="3080">
        <f>F79*$AO79/1000000</f>
        <v>5.13</v>
      </c>
      <c r="W79" s="3090">
        <v>0</v>
      </c>
      <c r="X79" s="1054">
        <f t="shared" si="185"/>
        <v>5.13</v>
      </c>
      <c r="Y79" s="451">
        <v>0</v>
      </c>
      <c r="Z79" s="3080">
        <f>G79*$AO79/1000000</f>
        <v>5.13</v>
      </c>
      <c r="AA79" s="2010">
        <v>0</v>
      </c>
      <c r="AB79" s="1001">
        <f t="shared" si="186"/>
        <v>5.13</v>
      </c>
      <c r="AC79" s="1077">
        <v>0</v>
      </c>
      <c r="AD79" s="3080">
        <f>H79*$AO79/1000000</f>
        <v>5.13</v>
      </c>
      <c r="AE79" s="2010">
        <v>0</v>
      </c>
      <c r="AF79" s="1001">
        <f t="shared" si="187"/>
        <v>5.23</v>
      </c>
      <c r="AG79" s="451">
        <v>0</v>
      </c>
      <c r="AH79" s="3080">
        <f>I79*$AO79/1000000</f>
        <v>5.23</v>
      </c>
      <c r="AI79" s="2010">
        <v>0</v>
      </c>
      <c r="AJ79" s="1001">
        <f t="shared" si="198"/>
        <v>5.54</v>
      </c>
      <c r="AK79" s="451">
        <v>0</v>
      </c>
      <c r="AL79" s="3080">
        <f>J79*AO79/1000000</f>
        <v>5.54</v>
      </c>
      <c r="AM79" s="2011">
        <v>0</v>
      </c>
      <c r="AN79" s="300">
        <f t="shared" si="115"/>
        <v>0.72</v>
      </c>
      <c r="AO79" s="2193">
        <f>'Table 5a'!P74</f>
        <v>126</v>
      </c>
      <c r="AP79" s="1001">
        <f t="shared" si="188"/>
        <v>5.87</v>
      </c>
      <c r="AQ79" s="451">
        <f t="shared" si="200"/>
        <v>0</v>
      </c>
      <c r="AR79" s="3080">
        <f t="shared" si="201"/>
        <v>5.87</v>
      </c>
      <c r="AS79" s="3093">
        <v>0</v>
      </c>
      <c r="AT79" s="2"/>
      <c r="AU79" s="1959">
        <f t="shared" si="190"/>
        <v>15768</v>
      </c>
      <c r="AV79" s="2264">
        <f t="shared" si="191"/>
        <v>2.31</v>
      </c>
    </row>
    <row r="80" spans="1:48" ht="13.5" thickBot="1">
      <c r="A80" s="3275"/>
      <c r="B80" s="2177" t="s">
        <v>211</v>
      </c>
      <c r="C80" s="2266">
        <v>88271</v>
      </c>
      <c r="D80" s="2031">
        <v>44505</v>
      </c>
      <c r="E80" s="2032">
        <v>56566</v>
      </c>
      <c r="F80" s="2033">
        <v>58445</v>
      </c>
      <c r="G80" s="2033">
        <v>58445</v>
      </c>
      <c r="H80" s="2033">
        <v>59222</v>
      </c>
      <c r="I80" s="2034">
        <v>71871</v>
      </c>
      <c r="J80" s="2034">
        <v>86409</v>
      </c>
      <c r="K80" s="2036">
        <v>115091</v>
      </c>
      <c r="L80" s="222">
        <f t="shared" si="189"/>
        <v>0.94</v>
      </c>
      <c r="M80" s="1056">
        <f t="shared" si="182"/>
        <v>4.47</v>
      </c>
      <c r="N80" s="528">
        <v>0</v>
      </c>
      <c r="O80" s="51">
        <v>4.47</v>
      </c>
      <c r="P80" s="1349">
        <f t="shared" si="183"/>
        <v>6.5</v>
      </c>
      <c r="Q80" s="528">
        <v>0</v>
      </c>
      <c r="R80" s="3078">
        <f>(E80*$AO80/1000000)-S80</f>
        <v>6.5</v>
      </c>
      <c r="S80" s="2042">
        <v>2.21</v>
      </c>
      <c r="T80" s="124">
        <f t="shared" si="184"/>
        <v>6.5</v>
      </c>
      <c r="U80" s="528">
        <v>0</v>
      </c>
      <c r="V80" s="3078">
        <f>(F80*$AO80/1000000)-W80</f>
        <v>6.5</v>
      </c>
      <c r="W80" s="3091">
        <v>2.5</v>
      </c>
      <c r="X80" s="1056">
        <f t="shared" si="185"/>
        <v>6.5</v>
      </c>
      <c r="Y80" s="1057">
        <v>0</v>
      </c>
      <c r="Z80" s="3078">
        <f>(G80*$AO80/1000000)-AA80</f>
        <v>6.5</v>
      </c>
      <c r="AA80" s="2042">
        <v>2.5</v>
      </c>
      <c r="AB80" s="124">
        <f t="shared" si="186"/>
        <v>6.5</v>
      </c>
      <c r="AC80" s="528">
        <v>0</v>
      </c>
      <c r="AD80" s="3078">
        <f>(H80*$AO80/1000000)-AE80</f>
        <v>6.5</v>
      </c>
      <c r="AE80" s="2042">
        <v>2.62</v>
      </c>
      <c r="AF80" s="124">
        <f t="shared" si="187"/>
        <v>6.5</v>
      </c>
      <c r="AG80" s="1057">
        <v>0</v>
      </c>
      <c r="AH80" s="3078">
        <f>(I80*$AO80/1000000)-AI80</f>
        <v>6.5</v>
      </c>
      <c r="AI80" s="2042">
        <v>4.57</v>
      </c>
      <c r="AJ80" s="124">
        <f t="shared" si="198"/>
        <v>6.5</v>
      </c>
      <c r="AK80" s="1057">
        <v>0</v>
      </c>
      <c r="AL80" s="3078">
        <f>(J80*AO80/1000000)-AM80</f>
        <v>6.5</v>
      </c>
      <c r="AM80" s="2043">
        <v>6.81</v>
      </c>
      <c r="AN80" s="216">
        <f t="shared" si="115"/>
        <v>0.45</v>
      </c>
      <c r="AO80" s="2044">
        <f>'Table 5a'!P36</f>
        <v>154</v>
      </c>
      <c r="AP80" s="124">
        <f t="shared" si="188"/>
        <v>6.5</v>
      </c>
      <c r="AQ80" s="1057">
        <f t="shared" si="200"/>
        <v>0</v>
      </c>
      <c r="AR80" s="3078">
        <f>(SUM(AL80:AM80)*1.06)-AS80</f>
        <v>6.5</v>
      </c>
      <c r="AS80" s="3093">
        <v>7.61</v>
      </c>
      <c r="AT80" s="2"/>
      <c r="AU80" s="2045">
        <f t="shared" si="190"/>
        <v>41904</v>
      </c>
      <c r="AV80" s="1845">
        <f t="shared" si="191"/>
        <v>2.0299999999999998</v>
      </c>
    </row>
    <row r="81" spans="1:48" ht="14.25" thickTop="1" thickBot="1">
      <c r="A81" s="3276"/>
      <c r="B81" s="3277" t="s">
        <v>212</v>
      </c>
      <c r="C81" s="3278"/>
      <c r="D81" s="1978">
        <f t="shared" ref="D81:J81" si="202">SUM(D74:D80)</f>
        <v>173216</v>
      </c>
      <c r="E81" s="2270">
        <f t="shared" si="202"/>
        <v>201587</v>
      </c>
      <c r="F81" s="2271">
        <f t="shared" si="202"/>
        <v>237813</v>
      </c>
      <c r="G81" s="2271">
        <f t="shared" si="202"/>
        <v>266965</v>
      </c>
      <c r="H81" s="2271">
        <f t="shared" si="202"/>
        <v>290751</v>
      </c>
      <c r="I81" s="2272">
        <f t="shared" si="202"/>
        <v>311582</v>
      </c>
      <c r="J81" s="2272">
        <f t="shared" si="202"/>
        <v>331245</v>
      </c>
      <c r="K81" s="1983">
        <f>SUM(K74:K80)</f>
        <v>615560</v>
      </c>
      <c r="L81" s="233">
        <f t="shared" si="189"/>
        <v>0.91</v>
      </c>
      <c r="M81" s="119">
        <f t="shared" si="182"/>
        <v>19.21</v>
      </c>
      <c r="N81" s="107">
        <f>SUM(N74:N80)</f>
        <v>0</v>
      </c>
      <c r="O81" s="2273">
        <f t="shared" ref="O81" si="203">SUM(O74:O80)</f>
        <v>19.21</v>
      </c>
      <c r="P81" s="120">
        <f t="shared" si="183"/>
        <v>28.56</v>
      </c>
      <c r="Q81" s="107">
        <f t="shared" ref="Q81:AL81" si="204">SUM(Q74:Q80)</f>
        <v>0</v>
      </c>
      <c r="R81" s="3110">
        <f t="shared" si="204"/>
        <v>28.56</v>
      </c>
      <c r="S81" s="2275">
        <f>SUM(S74:S80)</f>
        <v>2.21</v>
      </c>
      <c r="T81" s="98">
        <f t="shared" si="184"/>
        <v>32.479999999999997</v>
      </c>
      <c r="U81" s="107">
        <f t="shared" ref="U81" si="205">SUM(U74:U80)</f>
        <v>0</v>
      </c>
      <c r="V81" s="2274">
        <f t="shared" si="204"/>
        <v>32.479999999999997</v>
      </c>
      <c r="W81" s="3106">
        <f>SUM(W74:W80)</f>
        <v>3.84</v>
      </c>
      <c r="X81" s="119">
        <f t="shared" si="185"/>
        <v>32.590000000000003</v>
      </c>
      <c r="Y81" s="128">
        <f t="shared" ref="Y81" si="206">SUM(Y74:Y80)</f>
        <v>0</v>
      </c>
      <c r="Z81" s="3110">
        <f t="shared" si="204"/>
        <v>32.590000000000003</v>
      </c>
      <c r="AA81" s="2275">
        <f>SUM(AA74:AA80)</f>
        <v>8.4</v>
      </c>
      <c r="AB81" s="98">
        <f t="shared" si="186"/>
        <v>32.65</v>
      </c>
      <c r="AC81" s="107">
        <f t="shared" ref="AC81" si="207">SUM(AC74:AC80)</f>
        <v>0</v>
      </c>
      <c r="AD81" s="3112">
        <f t="shared" si="204"/>
        <v>32.65</v>
      </c>
      <c r="AE81" s="2275">
        <f>SUM(AE74:AE80)</f>
        <v>12.14</v>
      </c>
      <c r="AF81" s="98">
        <f t="shared" si="187"/>
        <v>32.76</v>
      </c>
      <c r="AG81" s="128">
        <f t="shared" ref="AG81" si="208">SUM(AG74:AG80)</f>
        <v>0</v>
      </c>
      <c r="AH81" s="3112">
        <f t="shared" si="204"/>
        <v>32.76</v>
      </c>
      <c r="AI81" s="2275">
        <f>SUM(AI74:AI80)</f>
        <v>15.28</v>
      </c>
      <c r="AJ81" s="98">
        <f t="shared" ref="AJ81:AJ87" si="209">AL81-AK81</f>
        <v>33.07</v>
      </c>
      <c r="AK81" s="128">
        <f t="shared" ref="AK81" si="210">SUM(AK74:AK80)</f>
        <v>0</v>
      </c>
      <c r="AL81" s="3112">
        <f t="shared" si="204"/>
        <v>33.07</v>
      </c>
      <c r="AM81" s="2276">
        <f>SUM(AM74:AM80)</f>
        <v>17.95</v>
      </c>
      <c r="AN81" s="233">
        <f t="shared" si="115"/>
        <v>0.72</v>
      </c>
      <c r="AO81" s="2268" t="s">
        <v>16</v>
      </c>
      <c r="AP81" s="98">
        <f t="shared" si="188"/>
        <v>33.75</v>
      </c>
      <c r="AQ81" s="128">
        <f>SUM(AQ74:AQ80)</f>
        <v>0</v>
      </c>
      <c r="AR81" s="3112">
        <f t="shared" ref="AR81" si="211">SUM(AR74:AR80)</f>
        <v>33.75</v>
      </c>
      <c r="AS81" s="3106">
        <f>SUM(AS74:AS80)</f>
        <v>20.329999999999998</v>
      </c>
      <c r="AT81" s="2"/>
      <c r="AU81" s="2277">
        <f t="shared" si="190"/>
        <v>158029</v>
      </c>
      <c r="AV81" s="1583">
        <f t="shared" si="191"/>
        <v>13.86</v>
      </c>
    </row>
    <row r="82" spans="1:48">
      <c r="A82" s="3283" t="s">
        <v>213</v>
      </c>
      <c r="B82" s="1859" t="s">
        <v>214</v>
      </c>
      <c r="C82" s="2206">
        <v>216507</v>
      </c>
      <c r="D82" s="1953">
        <f>'Table 5a'!L77</f>
        <v>483</v>
      </c>
      <c r="E82" s="1954">
        <v>490</v>
      </c>
      <c r="F82" s="814">
        <v>490</v>
      </c>
      <c r="G82" s="814">
        <v>490</v>
      </c>
      <c r="H82" s="814">
        <v>548</v>
      </c>
      <c r="I82" s="807">
        <v>613</v>
      </c>
      <c r="J82" s="807">
        <v>613</v>
      </c>
      <c r="K82" s="305">
        <v>613</v>
      </c>
      <c r="L82" s="300">
        <f t="shared" si="189"/>
        <v>0.27</v>
      </c>
      <c r="M82" s="1955">
        <f t="shared" si="182"/>
        <v>0.04</v>
      </c>
      <c r="N82" s="1956">
        <v>0</v>
      </c>
      <c r="O82" s="633">
        <f>'Table 5a'!G77</f>
        <v>0.04</v>
      </c>
      <c r="P82" s="1000">
        <f t="shared" si="183"/>
        <v>0.04</v>
      </c>
      <c r="Q82" s="1956">
        <v>0</v>
      </c>
      <c r="R82" s="3080">
        <f>E82*$AO82/1000000</f>
        <v>0.04</v>
      </c>
      <c r="S82" s="2010">
        <v>0</v>
      </c>
      <c r="T82" s="1957">
        <f t="shared" si="184"/>
        <v>0.04</v>
      </c>
      <c r="U82" s="1956">
        <v>0</v>
      </c>
      <c r="V82" s="3079">
        <f>F82*$AO82/1000000</f>
        <v>0.04</v>
      </c>
      <c r="W82" s="3090">
        <v>0</v>
      </c>
      <c r="X82" s="1955">
        <f t="shared" si="185"/>
        <v>0.04</v>
      </c>
      <c r="Y82" s="299">
        <v>0</v>
      </c>
      <c r="Z82" s="3079">
        <f>G82*$AO82/1000000</f>
        <v>0.04</v>
      </c>
      <c r="AA82" s="2010">
        <v>0</v>
      </c>
      <c r="AB82" s="1957">
        <f t="shared" si="186"/>
        <v>0.04</v>
      </c>
      <c r="AC82" s="1956">
        <v>0</v>
      </c>
      <c r="AD82" s="3080">
        <f>H82*$AO82/1000000</f>
        <v>0.04</v>
      </c>
      <c r="AE82" s="2010">
        <v>0</v>
      </c>
      <c r="AF82" s="1957">
        <f t="shared" si="187"/>
        <v>0.05</v>
      </c>
      <c r="AG82" s="299">
        <v>0</v>
      </c>
      <c r="AH82" s="3080">
        <f>I82*$AO82/1000000</f>
        <v>0.05</v>
      </c>
      <c r="AI82" s="2010">
        <v>0</v>
      </c>
      <c r="AJ82" s="1957">
        <f t="shared" si="209"/>
        <v>0.05</v>
      </c>
      <c r="AK82" s="299">
        <v>0</v>
      </c>
      <c r="AL82" s="3080">
        <f>J82*AO82/1000000</f>
        <v>0.05</v>
      </c>
      <c r="AM82" s="2011">
        <v>0</v>
      </c>
      <c r="AN82" s="300">
        <f t="shared" si="115"/>
        <v>0.25</v>
      </c>
      <c r="AO82" s="2278">
        <f>'Table 5a'!P77</f>
        <v>79</v>
      </c>
      <c r="AP82" s="1957">
        <f t="shared" si="188"/>
        <v>0.05</v>
      </c>
      <c r="AQ82" s="299">
        <v>0</v>
      </c>
      <c r="AR82" s="3080">
        <f t="shared" ref="AR82:AR85" si="212">AL82*1.06</f>
        <v>0.05</v>
      </c>
      <c r="AS82" s="3094">
        <v>0</v>
      </c>
      <c r="AT82" s="2279"/>
      <c r="AU82" s="1959">
        <f t="shared" si="190"/>
        <v>130</v>
      </c>
      <c r="AV82" s="1960">
        <f t="shared" si="191"/>
        <v>0.01</v>
      </c>
    </row>
    <row r="83" spans="1:48">
      <c r="A83" s="3283"/>
      <c r="B83" s="2103" t="s">
        <v>215</v>
      </c>
      <c r="C83" s="2280">
        <v>216658</v>
      </c>
      <c r="D83" s="2015">
        <f>'Table 5a'!L78</f>
        <v>664</v>
      </c>
      <c r="E83" s="2016">
        <v>700</v>
      </c>
      <c r="F83" s="2017">
        <v>700</v>
      </c>
      <c r="G83" s="2017">
        <v>727</v>
      </c>
      <c r="H83" s="2017">
        <v>927</v>
      </c>
      <c r="I83" s="2018">
        <v>927</v>
      </c>
      <c r="J83" s="2018">
        <v>927</v>
      </c>
      <c r="K83" s="2020">
        <v>937</v>
      </c>
      <c r="L83" s="996">
        <f t="shared" si="189"/>
        <v>0.4</v>
      </c>
      <c r="M83" s="2021">
        <f t="shared" si="182"/>
        <v>7.0000000000000007E-2</v>
      </c>
      <c r="N83" s="2022">
        <v>0</v>
      </c>
      <c r="O83" s="632">
        <f>'Table 5a'!G78</f>
        <v>7.0000000000000007E-2</v>
      </c>
      <c r="P83" s="1053">
        <f t="shared" si="183"/>
        <v>0.08</v>
      </c>
      <c r="Q83" s="2022">
        <v>0</v>
      </c>
      <c r="R83" s="3084">
        <f>E83*$AO83/1000000</f>
        <v>0.08</v>
      </c>
      <c r="S83" s="2024">
        <v>0</v>
      </c>
      <c r="T83" s="2023">
        <f t="shared" si="184"/>
        <v>0.08</v>
      </c>
      <c r="U83" s="2022">
        <v>0</v>
      </c>
      <c r="V83" s="3084">
        <f>F83*$AO83/1000000</f>
        <v>0.08</v>
      </c>
      <c r="W83" s="3093">
        <v>0</v>
      </c>
      <c r="X83" s="2021">
        <f t="shared" si="185"/>
        <v>0.09</v>
      </c>
      <c r="Y83" s="1857">
        <v>0</v>
      </c>
      <c r="Z83" s="3084">
        <f>G83*$AO83/1000000</f>
        <v>0.09</v>
      </c>
      <c r="AA83" s="2024">
        <v>0</v>
      </c>
      <c r="AB83" s="2023">
        <f t="shared" si="186"/>
        <v>0.11</v>
      </c>
      <c r="AC83" s="2022">
        <v>0</v>
      </c>
      <c r="AD83" s="3084">
        <f>H83*$AO83/1000000</f>
        <v>0.11</v>
      </c>
      <c r="AE83" s="2024">
        <v>0</v>
      </c>
      <c r="AF83" s="2023">
        <f t="shared" si="187"/>
        <v>0.11</v>
      </c>
      <c r="AG83" s="1857">
        <v>0</v>
      </c>
      <c r="AH83" s="3084">
        <f>I83*$AO83/1000000</f>
        <v>0.11</v>
      </c>
      <c r="AI83" s="2024">
        <v>0</v>
      </c>
      <c r="AJ83" s="2023">
        <f t="shared" si="209"/>
        <v>0.11</v>
      </c>
      <c r="AK83" s="1857">
        <v>0</v>
      </c>
      <c r="AL83" s="3084">
        <f>J83*AO83/1000000</f>
        <v>0.11</v>
      </c>
      <c r="AM83" s="2025">
        <v>0</v>
      </c>
      <c r="AN83" s="996">
        <f t="shared" si="115"/>
        <v>0.56999999999999995</v>
      </c>
      <c r="AO83" s="2281">
        <f>'Table 5a'!P78</f>
        <v>120</v>
      </c>
      <c r="AP83" s="2023">
        <f t="shared" si="188"/>
        <v>0.12</v>
      </c>
      <c r="AQ83" s="1857">
        <v>0</v>
      </c>
      <c r="AR83" s="3108">
        <f t="shared" si="212"/>
        <v>0.12</v>
      </c>
      <c r="AS83" s="3096">
        <v>0</v>
      </c>
      <c r="AT83" s="2279"/>
      <c r="AU83" s="2027">
        <f t="shared" si="190"/>
        <v>263</v>
      </c>
      <c r="AV83" s="2028">
        <f t="shared" si="191"/>
        <v>0.04</v>
      </c>
    </row>
    <row r="84" spans="1:48">
      <c r="A84" s="3284"/>
      <c r="B84" s="2203" t="s">
        <v>216</v>
      </c>
      <c r="C84" s="2206">
        <v>219527</v>
      </c>
      <c r="D84" s="1953">
        <v>563</v>
      </c>
      <c r="E84" s="1954">
        <v>793</v>
      </c>
      <c r="F84" s="814">
        <v>1308</v>
      </c>
      <c r="G84" s="814">
        <v>1566</v>
      </c>
      <c r="H84" s="814">
        <v>1566</v>
      </c>
      <c r="I84" s="807">
        <v>1566</v>
      </c>
      <c r="J84" s="807">
        <v>1579</v>
      </c>
      <c r="K84" s="305">
        <v>9304</v>
      </c>
      <c r="L84" s="300">
        <f t="shared" si="189"/>
        <v>1.8</v>
      </c>
      <c r="M84" s="1955">
        <f t="shared" si="182"/>
        <v>0.14000000000000001</v>
      </c>
      <c r="N84" s="1956">
        <v>0</v>
      </c>
      <c r="O84" s="633">
        <f>'Table 5a'!G79</f>
        <v>0.14000000000000001</v>
      </c>
      <c r="P84" s="1000">
        <f t="shared" ref="P84:P85" si="213">R84-Q84</f>
        <v>0.16</v>
      </c>
      <c r="Q84" s="1956">
        <v>0</v>
      </c>
      <c r="R84" s="3080">
        <f>E84*$AO84/1000000</f>
        <v>0.16</v>
      </c>
      <c r="S84" s="2010">
        <v>0</v>
      </c>
      <c r="T84" s="1957">
        <f t="shared" ref="T84:T85" si="214">V84-U84</f>
        <v>0.26</v>
      </c>
      <c r="U84" s="1956">
        <v>0</v>
      </c>
      <c r="V84" s="3080">
        <f>F84*$AO84/1000000</f>
        <v>0.26</v>
      </c>
      <c r="W84" s="3090">
        <v>0</v>
      </c>
      <c r="X84" s="1955">
        <f t="shared" ref="X84:X85" si="215">Z84-Y84</f>
        <v>0.31</v>
      </c>
      <c r="Y84" s="299">
        <v>0</v>
      </c>
      <c r="Z84" s="3080">
        <f>G84*$AO84/1000000</f>
        <v>0.31</v>
      </c>
      <c r="AA84" s="2010">
        <v>0</v>
      </c>
      <c r="AB84" s="1957">
        <f t="shared" ref="AB84:AB85" si="216">AD84-AC84</f>
        <v>0.31</v>
      </c>
      <c r="AC84" s="1956">
        <v>0</v>
      </c>
      <c r="AD84" s="3080">
        <f>H84*$AO84/1000000</f>
        <v>0.31</v>
      </c>
      <c r="AE84" s="2010">
        <v>0</v>
      </c>
      <c r="AF84" s="1957">
        <f t="shared" ref="AF84:AF85" si="217">AH84-AG84</f>
        <v>0.31</v>
      </c>
      <c r="AG84" s="299">
        <v>0</v>
      </c>
      <c r="AH84" s="3080">
        <f>I84*$AO84/1000000</f>
        <v>0.31</v>
      </c>
      <c r="AI84" s="2010">
        <v>0</v>
      </c>
      <c r="AJ84" s="1957">
        <f t="shared" si="209"/>
        <v>0.31</v>
      </c>
      <c r="AK84" s="299">
        <v>0</v>
      </c>
      <c r="AL84" s="3080">
        <f>J84*AO84/1000000</f>
        <v>0.31</v>
      </c>
      <c r="AM84" s="2011">
        <v>0</v>
      </c>
      <c r="AN84" s="300">
        <f t="shared" si="115"/>
        <v>1.21</v>
      </c>
      <c r="AO84" s="2282">
        <f>'Table 5a'!P79</f>
        <v>199</v>
      </c>
      <c r="AP84" s="1957">
        <f t="shared" ref="AP84:AP85" si="218">AR84-AQ84</f>
        <v>0.33</v>
      </c>
      <c r="AQ84" s="299">
        <v>0</v>
      </c>
      <c r="AR84" s="3080">
        <f t="shared" si="212"/>
        <v>0.33</v>
      </c>
      <c r="AS84" s="3090">
        <v>0</v>
      </c>
      <c r="AT84" s="2279"/>
      <c r="AU84" s="1959">
        <f t="shared" si="190"/>
        <v>1016</v>
      </c>
      <c r="AV84" s="1960">
        <f t="shared" si="191"/>
        <v>0.17</v>
      </c>
    </row>
    <row r="85" spans="1:48" ht="13.5" thickBot="1">
      <c r="A85" s="3284"/>
      <c r="B85" s="2283" t="s">
        <v>217</v>
      </c>
      <c r="C85" s="2207">
        <v>220612</v>
      </c>
      <c r="D85" s="2031">
        <f>'Table 5a'!L80</f>
        <v>5781</v>
      </c>
      <c r="E85" s="2032">
        <v>6142</v>
      </c>
      <c r="F85" s="2033">
        <v>6463</v>
      </c>
      <c r="G85" s="2033">
        <v>6744</v>
      </c>
      <c r="H85" s="2033">
        <v>6971</v>
      </c>
      <c r="I85" s="2034">
        <v>7159</v>
      </c>
      <c r="J85" s="2034">
        <v>7319</v>
      </c>
      <c r="K85" s="2036">
        <v>11659</v>
      </c>
      <c r="L85" s="216">
        <f t="shared" si="189"/>
        <v>0.27</v>
      </c>
      <c r="M85" s="2037">
        <f t="shared" si="182"/>
        <v>1.07</v>
      </c>
      <c r="N85" s="2038">
        <v>0</v>
      </c>
      <c r="O85" s="51">
        <f>'Table 5a'!G80</f>
        <v>1.07</v>
      </c>
      <c r="P85" s="1021">
        <f t="shared" si="213"/>
        <v>1.17</v>
      </c>
      <c r="Q85" s="2038">
        <v>0</v>
      </c>
      <c r="R85" s="3078">
        <f>E85*$AO85/1000000</f>
        <v>1.17</v>
      </c>
      <c r="S85" s="2042">
        <v>0</v>
      </c>
      <c r="T85" s="2040">
        <f t="shared" si="214"/>
        <v>1.23</v>
      </c>
      <c r="U85" s="2038">
        <v>0</v>
      </c>
      <c r="V85" s="3078">
        <f>F85*$AO85/1000000</f>
        <v>1.23</v>
      </c>
      <c r="W85" s="3091">
        <v>0</v>
      </c>
      <c r="X85" s="2037">
        <f t="shared" si="215"/>
        <v>1.29</v>
      </c>
      <c r="Y85" s="1022">
        <v>0</v>
      </c>
      <c r="Z85" s="3078">
        <f>G85*$AO85/1000000</f>
        <v>1.29</v>
      </c>
      <c r="AA85" s="2042">
        <v>0</v>
      </c>
      <c r="AB85" s="2040">
        <f t="shared" si="216"/>
        <v>1.33</v>
      </c>
      <c r="AC85" s="2038">
        <v>0</v>
      </c>
      <c r="AD85" s="3078">
        <f>H85*$AO85/1000000</f>
        <v>1.33</v>
      </c>
      <c r="AE85" s="2042">
        <v>0</v>
      </c>
      <c r="AF85" s="2040">
        <f t="shared" si="217"/>
        <v>1.37</v>
      </c>
      <c r="AG85" s="1022">
        <v>0</v>
      </c>
      <c r="AH85" s="3078">
        <f>I85*$AO85/1000000</f>
        <v>1.37</v>
      </c>
      <c r="AI85" s="2042">
        <v>0</v>
      </c>
      <c r="AJ85" s="2040">
        <f t="shared" si="209"/>
        <v>1.4</v>
      </c>
      <c r="AK85" s="1022">
        <v>0</v>
      </c>
      <c r="AL85" s="3078">
        <f>J85*AO85/1000000</f>
        <v>1.4</v>
      </c>
      <c r="AM85" s="2043">
        <v>0</v>
      </c>
      <c r="AN85" s="216">
        <f t="shared" si="115"/>
        <v>0.31</v>
      </c>
      <c r="AO85" s="2284">
        <f>'Table 5a'!P80</f>
        <v>191</v>
      </c>
      <c r="AP85" s="2040">
        <f t="shared" si="218"/>
        <v>1.48</v>
      </c>
      <c r="AQ85" s="1022">
        <v>0</v>
      </c>
      <c r="AR85" s="3078">
        <f t="shared" si="212"/>
        <v>1.48</v>
      </c>
      <c r="AS85" s="3096">
        <v>0</v>
      </c>
      <c r="AT85" s="2279"/>
      <c r="AU85" s="2045">
        <f t="shared" si="190"/>
        <v>1538</v>
      </c>
      <c r="AV85" s="2046">
        <f t="shared" si="191"/>
        <v>0.33</v>
      </c>
    </row>
    <row r="86" spans="1:48" ht="14.25" thickTop="1" thickBot="1">
      <c r="A86" s="3285"/>
      <c r="B86" s="3277" t="s">
        <v>218</v>
      </c>
      <c r="C86" s="3278"/>
      <c r="D86" s="1978">
        <f>SUM(D82:D85)</f>
        <v>7491</v>
      </c>
      <c r="E86" s="1979">
        <f t="shared" ref="E86:K86" si="219">SUM(E82:E85)</f>
        <v>8125</v>
      </c>
      <c r="F86" s="1980">
        <f t="shared" si="219"/>
        <v>8961</v>
      </c>
      <c r="G86" s="1980">
        <f t="shared" si="219"/>
        <v>9527</v>
      </c>
      <c r="H86" s="1980">
        <f t="shared" si="219"/>
        <v>10012</v>
      </c>
      <c r="I86" s="1981">
        <f t="shared" si="219"/>
        <v>10265</v>
      </c>
      <c r="J86" s="1981">
        <f t="shared" si="219"/>
        <v>10438</v>
      </c>
      <c r="K86" s="1983">
        <f t="shared" si="219"/>
        <v>22513</v>
      </c>
      <c r="L86" s="217">
        <f t="shared" si="189"/>
        <v>0.39</v>
      </c>
      <c r="M86" s="101">
        <f t="shared" si="182"/>
        <v>1.32</v>
      </c>
      <c r="N86" s="1984">
        <f>SUM(N82:N85)</f>
        <v>0</v>
      </c>
      <c r="O86" s="647">
        <f>SUM(O82:O85)</f>
        <v>1.32</v>
      </c>
      <c r="P86" s="100">
        <f t="shared" ref="P86" si="220">R86-Q86</f>
        <v>1.45</v>
      </c>
      <c r="Q86" s="1984">
        <f t="shared" ref="Q86:R86" si="221">SUM(Q82:Q85)</f>
        <v>0</v>
      </c>
      <c r="R86" s="3109">
        <f t="shared" si="221"/>
        <v>1.45</v>
      </c>
      <c r="S86" s="2097">
        <f>SUM(S82:S85)</f>
        <v>0</v>
      </c>
      <c r="T86" s="1985">
        <f t="shared" ref="T86" si="222">V86-U86</f>
        <v>1.61</v>
      </c>
      <c r="U86" s="1984">
        <f t="shared" ref="U86:V86" si="223">SUM(U82:U85)</f>
        <v>0</v>
      </c>
      <c r="V86" s="3083">
        <f t="shared" si="223"/>
        <v>1.61</v>
      </c>
      <c r="W86" s="3107">
        <f>SUM(W82:W85)</f>
        <v>0</v>
      </c>
      <c r="X86" s="101">
        <f t="shared" ref="X86" si="224">Z86-Y86</f>
        <v>1.73</v>
      </c>
      <c r="Y86" s="108">
        <f t="shared" ref="Y86:Z86" si="225">SUM(Y82:Y85)</f>
        <v>0</v>
      </c>
      <c r="Z86" s="3109">
        <f t="shared" si="225"/>
        <v>1.73</v>
      </c>
      <c r="AA86" s="2097">
        <f>SUM(AA82:AA85)</f>
        <v>0</v>
      </c>
      <c r="AB86" s="1985">
        <f t="shared" ref="AB86" si="226">AD86-AC86</f>
        <v>1.79</v>
      </c>
      <c r="AC86" s="1984">
        <f t="shared" ref="AC86:AD86" si="227">SUM(AC82:AC85)</f>
        <v>0</v>
      </c>
      <c r="AD86" s="3109">
        <f t="shared" si="227"/>
        <v>1.79</v>
      </c>
      <c r="AE86" s="2097">
        <f>SUM(AE82:AE85)</f>
        <v>0</v>
      </c>
      <c r="AF86" s="1985">
        <f t="shared" ref="AF86" si="228">AH86-AG86</f>
        <v>1.84</v>
      </c>
      <c r="AG86" s="108">
        <f t="shared" ref="AG86:AH86" si="229">SUM(AG82:AG85)</f>
        <v>0</v>
      </c>
      <c r="AH86" s="3083">
        <f t="shared" si="229"/>
        <v>1.84</v>
      </c>
      <c r="AI86" s="2097">
        <f>SUM(AI82:AI85)</f>
        <v>0</v>
      </c>
      <c r="AJ86" s="1985">
        <f t="shared" ref="AJ86" si="230">AL86-AK86</f>
        <v>1.87</v>
      </c>
      <c r="AK86" s="108">
        <f t="shared" ref="AK86:AL86" si="231">SUM(AK82:AK85)</f>
        <v>0</v>
      </c>
      <c r="AL86" s="3083">
        <f t="shared" si="231"/>
        <v>1.87</v>
      </c>
      <c r="AM86" s="2101">
        <f>SUM(AM82:AM85)</f>
        <v>0</v>
      </c>
      <c r="AN86" s="217">
        <f t="shared" si="115"/>
        <v>0.42</v>
      </c>
      <c r="AO86" s="2285" t="s">
        <v>16</v>
      </c>
      <c r="AP86" s="1985">
        <f t="shared" ref="AP86" si="232">AR86-AQ86</f>
        <v>1.98</v>
      </c>
      <c r="AQ86" s="108">
        <f>SUM(AQ82:AQ85)</f>
        <v>0</v>
      </c>
      <c r="AR86" s="3109">
        <f>SUM(AR82:AR85)</f>
        <v>1.98</v>
      </c>
      <c r="AS86" s="3092">
        <f>SUM(AS82:AS85)</f>
        <v>0</v>
      </c>
      <c r="AT86" s="2279"/>
      <c r="AU86" s="1986">
        <f t="shared" si="190"/>
        <v>2947</v>
      </c>
      <c r="AV86" s="1987">
        <f t="shared" si="191"/>
        <v>0.55000000000000004</v>
      </c>
    </row>
    <row r="87" spans="1:48" ht="13.5" thickBot="1">
      <c r="A87" s="3289" t="s">
        <v>219</v>
      </c>
      <c r="B87" s="2135" t="s">
        <v>220</v>
      </c>
      <c r="C87" s="1993">
        <v>220148</v>
      </c>
      <c r="D87" s="2136">
        <f>'Table 5a'!L82</f>
        <v>1742</v>
      </c>
      <c r="E87" s="2137">
        <v>1850</v>
      </c>
      <c r="F87" s="2138">
        <v>1885</v>
      </c>
      <c r="G87" s="2138">
        <v>1885</v>
      </c>
      <c r="H87" s="2138">
        <v>1905</v>
      </c>
      <c r="I87" s="2139">
        <v>1905</v>
      </c>
      <c r="J87" s="2139">
        <v>1905</v>
      </c>
      <c r="K87" s="2140">
        <v>6558</v>
      </c>
      <c r="L87" s="219">
        <f t="shared" si="189"/>
        <v>0.09</v>
      </c>
      <c r="M87" s="2141">
        <f t="shared" si="182"/>
        <v>0.26</v>
      </c>
      <c r="N87" s="2142">
        <v>0</v>
      </c>
      <c r="O87" s="2143">
        <f>'Table 5a'!G82</f>
        <v>0.26</v>
      </c>
      <c r="P87" s="2144">
        <f t="shared" si="183"/>
        <v>0.24</v>
      </c>
      <c r="Q87" s="2145">
        <v>0</v>
      </c>
      <c r="R87" s="3085">
        <f>E87*$AO87/1000000</f>
        <v>0.24</v>
      </c>
      <c r="S87" s="2146">
        <v>0</v>
      </c>
      <c r="T87" s="2147">
        <f t="shared" si="184"/>
        <v>0.24</v>
      </c>
      <c r="U87" s="2142">
        <v>0</v>
      </c>
      <c r="V87" s="3085">
        <f>F87*$AO87/1000000</f>
        <v>0.24</v>
      </c>
      <c r="W87" s="3095">
        <v>0</v>
      </c>
      <c r="X87" s="2141">
        <f t="shared" si="185"/>
        <v>0.24</v>
      </c>
      <c r="Y87" s="2142">
        <v>0</v>
      </c>
      <c r="Z87" s="3085">
        <f>G87*$AO87/1000000</f>
        <v>0.24</v>
      </c>
      <c r="AA87" s="2146">
        <v>0</v>
      </c>
      <c r="AB87" s="2147">
        <f t="shared" si="186"/>
        <v>0.25</v>
      </c>
      <c r="AC87" s="2142">
        <v>0</v>
      </c>
      <c r="AD87" s="3085">
        <f>H87*$AO87/1000000</f>
        <v>0.25</v>
      </c>
      <c r="AE87" s="2146">
        <v>0</v>
      </c>
      <c r="AF87" s="2147">
        <f t="shared" si="187"/>
        <v>0.25</v>
      </c>
      <c r="AG87" s="2145">
        <v>0</v>
      </c>
      <c r="AH87" s="3085">
        <f>I87*$AO87/1000000</f>
        <v>0.25</v>
      </c>
      <c r="AI87" s="2146">
        <v>0</v>
      </c>
      <c r="AJ87" s="2147">
        <f t="shared" si="209"/>
        <v>0.25</v>
      </c>
      <c r="AK87" s="2145">
        <v>0</v>
      </c>
      <c r="AL87" s="3085">
        <f>J87*AO87/1000000</f>
        <v>0.25</v>
      </c>
      <c r="AM87" s="3114">
        <v>0</v>
      </c>
      <c r="AN87" s="230">
        <f t="shared" si="115"/>
        <v>-0.04</v>
      </c>
      <c r="AO87" s="2149">
        <f>'Table 5a'!P82</f>
        <v>129</v>
      </c>
      <c r="AP87" s="2147">
        <f t="shared" si="188"/>
        <v>0.27</v>
      </c>
      <c r="AQ87" s="2145">
        <v>0</v>
      </c>
      <c r="AR87" s="3078">
        <f>AL87*1.06</f>
        <v>0.27</v>
      </c>
      <c r="AS87" s="3096">
        <v>0</v>
      </c>
      <c r="AT87" s="2279"/>
      <c r="AU87" s="2150">
        <f t="shared" si="190"/>
        <v>163</v>
      </c>
      <c r="AV87" s="2151">
        <f t="shared" si="191"/>
        <v>-0.01</v>
      </c>
    </row>
    <row r="88" spans="1:48" ht="14.25" thickTop="1" thickBot="1">
      <c r="A88" s="3285"/>
      <c r="B88" s="3277" t="s">
        <v>221</v>
      </c>
      <c r="C88" s="3278"/>
      <c r="D88" s="304">
        <f t="shared" ref="D88:J88" si="233">D87</f>
        <v>1742</v>
      </c>
      <c r="E88" s="2090">
        <f t="shared" si="233"/>
        <v>1850</v>
      </c>
      <c r="F88" s="274">
        <f t="shared" si="233"/>
        <v>1885</v>
      </c>
      <c r="G88" s="274">
        <f t="shared" si="233"/>
        <v>1885</v>
      </c>
      <c r="H88" s="274">
        <f t="shared" si="233"/>
        <v>1905</v>
      </c>
      <c r="I88" s="2091">
        <f t="shared" si="233"/>
        <v>1905</v>
      </c>
      <c r="J88" s="2091">
        <f t="shared" si="233"/>
        <v>1905</v>
      </c>
      <c r="K88" s="2092">
        <f>K87</f>
        <v>6558</v>
      </c>
      <c r="L88" s="217">
        <f t="shared" si="189"/>
        <v>0.09</v>
      </c>
      <c r="M88" s="2093">
        <f t="shared" si="182"/>
        <v>0.26</v>
      </c>
      <c r="N88" s="2094">
        <f>N87</f>
        <v>0</v>
      </c>
      <c r="O88" s="647">
        <f t="shared" ref="O88" si="234">O87</f>
        <v>0.26</v>
      </c>
      <c r="P88" s="2095">
        <f t="shared" si="183"/>
        <v>0.24</v>
      </c>
      <c r="Q88" s="2096">
        <f t="shared" ref="Q88:AL88" si="235">Q87</f>
        <v>0</v>
      </c>
      <c r="R88" s="3109">
        <f t="shared" si="235"/>
        <v>0.24</v>
      </c>
      <c r="S88" s="2097">
        <f>SUM(S87)</f>
        <v>0</v>
      </c>
      <c r="T88" s="2098">
        <f t="shared" si="184"/>
        <v>0.24</v>
      </c>
      <c r="U88" s="2094">
        <f t="shared" ref="U88" si="236">U87</f>
        <v>0</v>
      </c>
      <c r="V88" s="3083">
        <f t="shared" si="235"/>
        <v>0.24</v>
      </c>
      <c r="W88" s="3107">
        <f>SUM(W87)</f>
        <v>0</v>
      </c>
      <c r="X88" s="2093">
        <f t="shared" si="185"/>
        <v>0.24</v>
      </c>
      <c r="Y88" s="2094">
        <f t="shared" ref="Y88" si="237">Y87</f>
        <v>0</v>
      </c>
      <c r="Z88" s="3109">
        <f t="shared" si="235"/>
        <v>0.24</v>
      </c>
      <c r="AA88" s="2097">
        <f>SUM(AA87)</f>
        <v>0</v>
      </c>
      <c r="AB88" s="2098">
        <f t="shared" si="186"/>
        <v>0.25</v>
      </c>
      <c r="AC88" s="2094">
        <f t="shared" ref="AC88" si="238">AC87</f>
        <v>0</v>
      </c>
      <c r="AD88" s="3083">
        <f t="shared" si="235"/>
        <v>0.25</v>
      </c>
      <c r="AE88" s="2097">
        <f>SUM(AE87)</f>
        <v>0</v>
      </c>
      <c r="AF88" s="2098">
        <f t="shared" si="187"/>
        <v>0.25</v>
      </c>
      <c r="AG88" s="2096">
        <f t="shared" ref="AG88" si="239">AG87</f>
        <v>0</v>
      </c>
      <c r="AH88" s="3109">
        <f t="shared" si="235"/>
        <v>0.25</v>
      </c>
      <c r="AI88" s="2097">
        <f>SUM(AI87)</f>
        <v>0</v>
      </c>
      <c r="AJ88" s="2098">
        <f t="shared" ref="AJ88:AJ91" si="240">AL88-AK88</f>
        <v>0.25</v>
      </c>
      <c r="AK88" s="2096">
        <f t="shared" ref="AK88" si="241">AK87</f>
        <v>0</v>
      </c>
      <c r="AL88" s="3109">
        <f t="shared" si="235"/>
        <v>0.25</v>
      </c>
      <c r="AM88" s="2101">
        <f>SUM(AM87)</f>
        <v>0</v>
      </c>
      <c r="AN88" s="298">
        <f t="shared" si="115"/>
        <v>-0.04</v>
      </c>
      <c r="AO88" s="3040" t="s">
        <v>16</v>
      </c>
      <c r="AP88" s="2098">
        <f t="shared" si="188"/>
        <v>0.27</v>
      </c>
      <c r="AQ88" s="2096">
        <f>AQ87</f>
        <v>0</v>
      </c>
      <c r="AR88" s="3109">
        <f t="shared" ref="AR88" si="242">AR87</f>
        <v>0.27</v>
      </c>
      <c r="AS88" s="3092">
        <f>SUM(AS87)</f>
        <v>0</v>
      </c>
      <c r="AT88" s="2279"/>
      <c r="AU88" s="739">
        <f t="shared" si="190"/>
        <v>163</v>
      </c>
      <c r="AV88" s="2102">
        <f t="shared" si="191"/>
        <v>-0.01</v>
      </c>
    </row>
    <row r="89" spans="1:48" s="2" customFormat="1" ht="13.5" thickBot="1">
      <c r="A89" s="3307" t="s">
        <v>32</v>
      </c>
      <c r="B89" s="3308"/>
      <c r="C89" s="3309"/>
      <c r="D89" s="304">
        <f t="shared" ref="D89:K89" si="243">D10+D19+D21+D30+D42+D51+D65+D73+D81</f>
        <v>1383967</v>
      </c>
      <c r="E89" s="2090">
        <f t="shared" si="243"/>
        <v>1496051</v>
      </c>
      <c r="F89" s="274">
        <f t="shared" si="243"/>
        <v>1617656</v>
      </c>
      <c r="G89" s="274">
        <f t="shared" si="243"/>
        <v>1707159</v>
      </c>
      <c r="H89" s="274">
        <f t="shared" si="243"/>
        <v>1790758</v>
      </c>
      <c r="I89" s="2091">
        <f t="shared" si="243"/>
        <v>1856566</v>
      </c>
      <c r="J89" s="2091">
        <f t="shared" si="243"/>
        <v>1916415</v>
      </c>
      <c r="K89" s="304">
        <f t="shared" si="243"/>
        <v>3544459</v>
      </c>
      <c r="L89" s="714">
        <f t="shared" si="189"/>
        <v>0.38</v>
      </c>
      <c r="M89" s="2286">
        <f t="shared" ref="M89:AL89" si="244">M10+M19+M21+M30+M42+M51+M65+M73+M81</f>
        <v>178.8</v>
      </c>
      <c r="N89" s="2287">
        <f t="shared" si="244"/>
        <v>7.0000000000000007E-2</v>
      </c>
      <c r="O89" s="2288">
        <f t="shared" si="244"/>
        <v>178.87</v>
      </c>
      <c r="P89" s="2286">
        <f t="shared" si="244"/>
        <v>196.67</v>
      </c>
      <c r="Q89" s="2287">
        <f t="shared" si="244"/>
        <v>0.03</v>
      </c>
      <c r="R89" s="3111">
        <f t="shared" si="244"/>
        <v>196.7</v>
      </c>
      <c r="S89" s="3068">
        <f t="shared" ref="S89" si="245">S10+S19+S21+S30+S42+S51+S65+S73+S81</f>
        <v>3.5</v>
      </c>
      <c r="T89" s="2289">
        <f t="shared" si="244"/>
        <v>212.11</v>
      </c>
      <c r="U89" s="2287">
        <f t="shared" si="244"/>
        <v>0.03</v>
      </c>
      <c r="V89" s="3086">
        <f t="shared" si="244"/>
        <v>212.14</v>
      </c>
      <c r="W89" s="3068">
        <f t="shared" ref="W89" si="246">W10+W19+W21+W30+W42+W51+W65+W73+W81</f>
        <v>5.13</v>
      </c>
      <c r="X89" s="2289">
        <f t="shared" si="244"/>
        <v>220.2</v>
      </c>
      <c r="Y89" s="2287">
        <f t="shared" si="244"/>
        <v>0.03</v>
      </c>
      <c r="Z89" s="3111">
        <f t="shared" si="244"/>
        <v>220.23</v>
      </c>
      <c r="AA89" s="3068">
        <f t="shared" ref="AA89" si="247">AA10+AA19+AA21+AA30+AA42+AA51+AA65+AA73+AA81</f>
        <v>9.69</v>
      </c>
      <c r="AB89" s="2289">
        <f t="shared" si="244"/>
        <v>227.64</v>
      </c>
      <c r="AC89" s="2287">
        <f t="shared" si="244"/>
        <v>0.03</v>
      </c>
      <c r="AD89" s="3111">
        <f t="shared" si="244"/>
        <v>227.67</v>
      </c>
      <c r="AE89" s="3068">
        <f t="shared" ref="AE89" si="248">AE10+AE19+AE21+AE30+AE42+AE51+AE65+AE73+AE81</f>
        <v>13.56</v>
      </c>
      <c r="AF89" s="2289">
        <f t="shared" si="244"/>
        <v>233.18</v>
      </c>
      <c r="AG89" s="2287">
        <f t="shared" si="244"/>
        <v>0.03</v>
      </c>
      <c r="AH89" s="3111">
        <f t="shared" si="244"/>
        <v>233.21</v>
      </c>
      <c r="AI89" s="3068">
        <f t="shared" ref="AI89" si="249">AI10+AI19+AI21+AI30+AI42+AI51+AI65+AI73+AI81</f>
        <v>16.98</v>
      </c>
      <c r="AJ89" s="2289">
        <f t="shared" si="244"/>
        <v>238.39</v>
      </c>
      <c r="AK89" s="2287">
        <f t="shared" si="244"/>
        <v>0.03</v>
      </c>
      <c r="AL89" s="3111">
        <f t="shared" si="244"/>
        <v>238.42</v>
      </c>
      <c r="AM89" s="2287">
        <f t="shared" ref="AM89" si="250">AM10+AM19+AM21+AM30+AM42+AM51+AM65+AM73+AM81</f>
        <v>20.07</v>
      </c>
      <c r="AN89" s="714">
        <f t="shared" si="115"/>
        <v>0.33</v>
      </c>
      <c r="AO89" s="1023" t="s">
        <v>16</v>
      </c>
      <c r="AP89" s="2289">
        <f>AP10+AP19+AP21+AP30+AP42+AP51+AP65+AP73+AP81</f>
        <v>251.15</v>
      </c>
      <c r="AQ89" s="2287">
        <f>AQ10+AQ19+AQ21+AQ30+AQ42+AQ51+AQ65+AQ73+AQ81</f>
        <v>0.03</v>
      </c>
      <c r="AR89" s="3111">
        <f>AR10+AR19+AR21+AR30+AR42+AR51+AR65+AR73+AR81</f>
        <v>251.18</v>
      </c>
      <c r="AS89" s="3126">
        <f>AS10+AS19+AS21+AS30+AS42+AS51+AS65+AS73+AS81</f>
        <v>22.81</v>
      </c>
      <c r="AU89" s="739">
        <f t="shared" si="190"/>
        <v>532448</v>
      </c>
      <c r="AV89" s="2290">
        <f t="shared" si="191"/>
        <v>59.55</v>
      </c>
    </row>
    <row r="90" spans="1:48" s="2" customFormat="1" ht="13.5" thickBot="1">
      <c r="A90" s="3271" t="s">
        <v>33</v>
      </c>
      <c r="B90" s="3272"/>
      <c r="C90" s="3273"/>
      <c r="D90" s="419">
        <f t="shared" ref="D90:K90" si="251">D16+D24+D33+D54+D59+D86+D88</f>
        <v>64483</v>
      </c>
      <c r="E90" s="306">
        <f t="shared" si="251"/>
        <v>69179</v>
      </c>
      <c r="F90" s="65">
        <f t="shared" si="251"/>
        <v>71351</v>
      </c>
      <c r="G90" s="65">
        <f t="shared" si="251"/>
        <v>74457</v>
      </c>
      <c r="H90" s="65">
        <f t="shared" si="251"/>
        <v>77251</v>
      </c>
      <c r="I90" s="214">
        <f t="shared" si="251"/>
        <v>78706</v>
      </c>
      <c r="J90" s="214">
        <f t="shared" si="251"/>
        <v>79985</v>
      </c>
      <c r="K90" s="419">
        <f t="shared" si="251"/>
        <v>220902</v>
      </c>
      <c r="L90" s="228">
        <f t="shared" si="189"/>
        <v>0.24</v>
      </c>
      <c r="M90" s="2291">
        <f t="shared" si="182"/>
        <v>9.32</v>
      </c>
      <c r="N90" s="2292">
        <f>N16+N24+N33+N111+N54+N59+N113+N115+N120+N125+N86+N129+N88</f>
        <v>0</v>
      </c>
      <c r="O90" s="2293">
        <f>O16+O24+O33+O54+O59+O86+O88</f>
        <v>9.32</v>
      </c>
      <c r="P90" s="2291">
        <f t="shared" si="183"/>
        <v>9.99</v>
      </c>
      <c r="Q90" s="2292">
        <f>Q16+Q24+Q33+Q111+Q54+Q59+Q113+Q115+Q120+Q125+Q86+Q129+Q88</f>
        <v>0</v>
      </c>
      <c r="R90" s="3086">
        <f>R16+R24+R33+R54+R59+R86+R88</f>
        <v>9.99</v>
      </c>
      <c r="S90" s="3069">
        <f>S16+S24+S33+S54+S59+S86+S88</f>
        <v>0</v>
      </c>
      <c r="T90" s="2294">
        <f t="shared" si="184"/>
        <v>10.32</v>
      </c>
      <c r="U90" s="2292">
        <f>U16+U24+U33+U111+U54+U59+U113+U115+U120+U125+U86+U129+U88</f>
        <v>0</v>
      </c>
      <c r="V90" s="3086">
        <f>V16+V24+V33+V54+V59+V86+V88</f>
        <v>10.32</v>
      </c>
      <c r="W90" s="3069">
        <f>W16+W24+W33+W54+W59+W86+W88</f>
        <v>0</v>
      </c>
      <c r="X90" s="2294">
        <f t="shared" si="185"/>
        <v>10.73</v>
      </c>
      <c r="Y90" s="2292">
        <f>Y16+Y24+Y33+Y111+Y54+Y59+Y113+Y115+Y120+Y125+Y86+Y129+Y88</f>
        <v>0</v>
      </c>
      <c r="Z90" s="3086">
        <f>Z16+Z24+Z33+Z54+Z59+Z86+Z88</f>
        <v>10.73</v>
      </c>
      <c r="AA90" s="3069">
        <f>AA16+AA24+AA33+AA54+AA59+AA86+AA88</f>
        <v>0</v>
      </c>
      <c r="AB90" s="2294">
        <f t="shared" si="186"/>
        <v>11.1</v>
      </c>
      <c r="AC90" s="2292">
        <f>AC16+AC24+AC33+AC111+AC54+AC59+AC113+AC115+AC120+AC125+AC86+AC129+AC88</f>
        <v>0</v>
      </c>
      <c r="AD90" s="3086">
        <f>AD16+AD24+AD33+AD54+AD59+AD86+AD88</f>
        <v>11.1</v>
      </c>
      <c r="AE90" s="3069">
        <f>AE16+AE24+AE33+AE54+AE59+AE86+AE88</f>
        <v>0</v>
      </c>
      <c r="AF90" s="2294">
        <f t="shared" si="187"/>
        <v>11.33</v>
      </c>
      <c r="AG90" s="2292">
        <f>AG16+AG24+AG33+AG111+AG54+AG59+AG113+AG115+AG120+AG125+AG86+AG129+AG88</f>
        <v>0</v>
      </c>
      <c r="AH90" s="3086">
        <f>AH16+AH24+AH33+AH54+AH59+AH86+AH88</f>
        <v>11.33</v>
      </c>
      <c r="AI90" s="3069">
        <f>AI16+AI24+AI33+AI54+AI59+AI86+AI88</f>
        <v>0</v>
      </c>
      <c r="AJ90" s="2294">
        <f t="shared" si="240"/>
        <v>11.52</v>
      </c>
      <c r="AK90" s="2292">
        <f>AK16+AK24+AK33+AK111+AK54+AK59+AK113+AK115+AK120+AK125+AK86+AK129+AK88</f>
        <v>0</v>
      </c>
      <c r="AL90" s="3086">
        <f>AL16+AL24+AL33+AL54+AL59+AL86+AL88</f>
        <v>11.52</v>
      </c>
      <c r="AM90" s="2292">
        <f>AM16+AM24+AM33+AM54+AM59+AM86+AM88</f>
        <v>0</v>
      </c>
      <c r="AN90" s="228">
        <f t="shared" si="115"/>
        <v>0.24</v>
      </c>
      <c r="AO90" s="2051" t="s">
        <v>16</v>
      </c>
      <c r="AP90" s="2294">
        <f t="shared" si="188"/>
        <v>12.22</v>
      </c>
      <c r="AQ90" s="2292">
        <f>AQ16+AQ24+AQ33+AQ111+AQ54+AQ59+AQ113+AQ115+AQ120+AQ125+AQ86+AQ129+AQ88</f>
        <v>0</v>
      </c>
      <c r="AR90" s="3086">
        <f>AR16+AR24+AR33+AR54+AR59+AR86+AR88</f>
        <v>12.22</v>
      </c>
      <c r="AS90" s="3124">
        <f>AS16+AS24+AS33+AS54+AS59+AS86+AS88</f>
        <v>0</v>
      </c>
      <c r="AU90" s="1610">
        <f t="shared" si="190"/>
        <v>15502</v>
      </c>
      <c r="AV90" s="2295">
        <f t="shared" si="191"/>
        <v>2.2000000000000002</v>
      </c>
    </row>
    <row r="91" spans="1:48" s="2" customFormat="1" ht="13.5" thickBot="1">
      <c r="A91" s="3271" t="s">
        <v>34</v>
      </c>
      <c r="B91" s="3272"/>
      <c r="C91" s="3273"/>
      <c r="D91" s="419">
        <f t="shared" ref="D91" si="252">D89+D90</f>
        <v>1448450</v>
      </c>
      <c r="E91" s="306">
        <f t="shared" ref="E91:K91" si="253">E89+E90</f>
        <v>1565230</v>
      </c>
      <c r="F91" s="65">
        <f t="shared" si="253"/>
        <v>1689007</v>
      </c>
      <c r="G91" s="65">
        <f t="shared" si="253"/>
        <v>1781616</v>
      </c>
      <c r="H91" s="65">
        <f t="shared" si="253"/>
        <v>1868009</v>
      </c>
      <c r="I91" s="214">
        <f t="shared" si="253"/>
        <v>1935272</v>
      </c>
      <c r="J91" s="214">
        <f t="shared" si="253"/>
        <v>1996400</v>
      </c>
      <c r="K91" s="419">
        <f t="shared" si="253"/>
        <v>3765361</v>
      </c>
      <c r="L91" s="228">
        <f t="shared" si="189"/>
        <v>0.38</v>
      </c>
      <c r="M91" s="2291">
        <f>O91-N91</f>
        <v>188.12</v>
      </c>
      <c r="N91" s="2292">
        <f>N89+N90</f>
        <v>7.0000000000000007E-2</v>
      </c>
      <c r="O91" s="2293">
        <f t="shared" ref="O91" si="254">O89+O90</f>
        <v>188.19</v>
      </c>
      <c r="P91" s="2291">
        <f t="shared" si="183"/>
        <v>206.66</v>
      </c>
      <c r="Q91" s="2292">
        <f t="shared" ref="Q91:AL91" si="255">Q89+Q90</f>
        <v>0.03</v>
      </c>
      <c r="R91" s="3086">
        <f t="shared" si="255"/>
        <v>206.69</v>
      </c>
      <c r="S91" s="3069">
        <f t="shared" ref="S91" si="256">S89+S90</f>
        <v>3.5</v>
      </c>
      <c r="T91" s="2294">
        <f t="shared" si="184"/>
        <v>222.43</v>
      </c>
      <c r="U91" s="2292">
        <f t="shared" ref="U91" si="257">U89+U90</f>
        <v>0.03</v>
      </c>
      <c r="V91" s="3086">
        <f t="shared" si="255"/>
        <v>222.46</v>
      </c>
      <c r="W91" s="3069">
        <f t="shared" ref="W91" si="258">W89+W90</f>
        <v>5.13</v>
      </c>
      <c r="X91" s="2294">
        <f t="shared" si="185"/>
        <v>230.93</v>
      </c>
      <c r="Y91" s="2292">
        <f t="shared" ref="Y91" si="259">Y89+Y90</f>
        <v>0.03</v>
      </c>
      <c r="Z91" s="3086">
        <f t="shared" si="255"/>
        <v>230.96</v>
      </c>
      <c r="AA91" s="3069">
        <f t="shared" ref="AA91" si="260">AA89+AA90</f>
        <v>9.69</v>
      </c>
      <c r="AB91" s="2294">
        <f t="shared" si="186"/>
        <v>238.74</v>
      </c>
      <c r="AC91" s="2292">
        <f t="shared" ref="AC91" si="261">AC89+AC90</f>
        <v>0.03</v>
      </c>
      <c r="AD91" s="3086">
        <f t="shared" si="255"/>
        <v>238.77</v>
      </c>
      <c r="AE91" s="3069">
        <f t="shared" ref="AE91" si="262">AE89+AE90</f>
        <v>13.56</v>
      </c>
      <c r="AF91" s="2294">
        <f t="shared" si="187"/>
        <v>244.51</v>
      </c>
      <c r="AG91" s="2292">
        <f t="shared" ref="AG91" si="263">AG89+AG90</f>
        <v>0.03</v>
      </c>
      <c r="AH91" s="3086">
        <f t="shared" si="255"/>
        <v>244.54</v>
      </c>
      <c r="AI91" s="3069">
        <f t="shared" ref="AI91" si="264">AI89+AI90</f>
        <v>16.98</v>
      </c>
      <c r="AJ91" s="2294">
        <f t="shared" si="240"/>
        <v>249.91</v>
      </c>
      <c r="AK91" s="2292">
        <f t="shared" ref="AK91" si="265">AK89+AK90</f>
        <v>0.03</v>
      </c>
      <c r="AL91" s="3086">
        <f t="shared" si="255"/>
        <v>249.94</v>
      </c>
      <c r="AM91" s="2292">
        <f t="shared" ref="AM91" si="266">AM89+AM90</f>
        <v>20.07</v>
      </c>
      <c r="AN91" s="228">
        <f t="shared" si="115"/>
        <v>0.33</v>
      </c>
      <c r="AO91" s="2051" t="s">
        <v>16</v>
      </c>
      <c r="AP91" s="2294">
        <f>AR91-AQ91</f>
        <v>263.37</v>
      </c>
      <c r="AQ91" s="2292">
        <f>AQ89+AQ90</f>
        <v>0.03</v>
      </c>
      <c r="AR91" s="3086">
        <f t="shared" ref="AR91:AS91" si="267">AR89+AR90</f>
        <v>263.39999999999998</v>
      </c>
      <c r="AS91" s="3125">
        <f t="shared" si="267"/>
        <v>22.81</v>
      </c>
      <c r="AU91" s="1610">
        <f t="shared" si="190"/>
        <v>547950</v>
      </c>
      <c r="AV91" s="2295">
        <f t="shared" si="191"/>
        <v>61.75</v>
      </c>
    </row>
    <row r="92" spans="1:48">
      <c r="A92" s="54" t="s">
        <v>35</v>
      </c>
      <c r="B92" s="54"/>
      <c r="C92" s="54"/>
      <c r="L92" s="1" t="s">
        <v>36</v>
      </c>
      <c r="AS92" s="2933"/>
    </row>
    <row r="93" spans="1:48">
      <c r="A93" s="2" t="s">
        <v>222</v>
      </c>
      <c r="B93" s="54"/>
      <c r="C93" s="54"/>
      <c r="D93" s="2296"/>
      <c r="F93" s="2" t="s">
        <v>36</v>
      </c>
      <c r="O93" s="2297"/>
    </row>
    <row r="94" spans="1:48">
      <c r="A94" s="2" t="s">
        <v>69</v>
      </c>
      <c r="B94" s="54"/>
      <c r="C94" s="54"/>
      <c r="P94" s="2228"/>
      <c r="AH94" s="23"/>
      <c r="AI94" s="23"/>
      <c r="AJ94" s="23" t="s">
        <v>36</v>
      </c>
      <c r="AK94" s="23"/>
      <c r="AL94" s="23"/>
      <c r="AM94" s="23"/>
    </row>
    <row r="95" spans="1:48" ht="13.5" customHeight="1">
      <c r="A95" s="1" t="s">
        <v>223</v>
      </c>
      <c r="B95" s="1"/>
      <c r="C95" s="1"/>
      <c r="E95" s="1"/>
      <c r="F95" s="1"/>
      <c r="G95" s="1"/>
      <c r="H95" s="1"/>
      <c r="I95" s="1"/>
      <c r="J95" s="1"/>
      <c r="P95" s="2228"/>
    </row>
    <row r="96" spans="1:48">
      <c r="A96" s="2" t="s">
        <v>40</v>
      </c>
      <c r="O96" s="23"/>
      <c r="P96" s="23"/>
      <c r="AL96" s="1" t="s">
        <v>36</v>
      </c>
    </row>
    <row r="97" spans="1:48">
      <c r="A97" s="2" t="s">
        <v>224</v>
      </c>
    </row>
    <row r="98" spans="1:48">
      <c r="A98" s="2" t="s">
        <v>225</v>
      </c>
    </row>
    <row r="99" spans="1:48">
      <c r="A99" s="2" t="s">
        <v>226</v>
      </c>
    </row>
    <row r="100" spans="1:48">
      <c r="A100" s="2" t="s">
        <v>227</v>
      </c>
    </row>
    <row r="101" spans="1:48" ht="26.25" customHeight="1">
      <c r="A101" s="3304" t="s">
        <v>228</v>
      </c>
      <c r="B101" s="3304"/>
      <c r="C101" s="3304"/>
      <c r="D101" s="3304"/>
      <c r="E101" s="3304"/>
      <c r="F101" s="3304"/>
      <c r="G101" s="3304"/>
      <c r="H101" s="3304"/>
      <c r="I101" s="3304"/>
      <c r="J101" s="3304"/>
      <c r="K101" s="3304"/>
      <c r="L101" s="3304"/>
      <c r="M101" s="3304"/>
      <c r="N101" s="3304"/>
      <c r="O101" s="3304"/>
      <c r="P101" s="3304"/>
      <c r="Q101" s="3304"/>
      <c r="R101" s="3304"/>
      <c r="S101" s="3304"/>
      <c r="T101" s="3304"/>
      <c r="U101" s="3304"/>
      <c r="V101" s="3304"/>
      <c r="W101" s="3304"/>
      <c r="X101" s="3304"/>
      <c r="Y101" s="3304"/>
      <c r="Z101" s="3304"/>
      <c r="AA101" s="3304"/>
      <c r="AB101" s="3304"/>
      <c r="AC101" s="3304"/>
      <c r="AD101" s="3304"/>
      <c r="AE101" s="3304"/>
      <c r="AF101" s="3304"/>
      <c r="AG101" s="3304"/>
      <c r="AH101" s="3304"/>
      <c r="AI101" s="3304"/>
      <c r="AJ101" s="3304"/>
      <c r="AK101" s="3304"/>
      <c r="AL101" s="3304"/>
      <c r="AM101" s="3304"/>
      <c r="AN101" s="3304"/>
      <c r="AO101" s="3304"/>
      <c r="AP101" s="3304"/>
      <c r="AQ101" s="3304"/>
      <c r="AR101" s="3304"/>
      <c r="AS101" s="3025"/>
    </row>
    <row r="102" spans="1:48">
      <c r="A102" s="255"/>
      <c r="B102" s="3025"/>
      <c r="C102" s="3025"/>
      <c r="D102" s="936"/>
      <c r="E102" s="3025"/>
      <c r="F102" s="3025"/>
      <c r="G102" s="3025"/>
      <c r="H102" s="3025"/>
      <c r="I102" s="3025"/>
      <c r="J102" s="3025"/>
      <c r="K102" s="3025"/>
      <c r="L102" s="3025"/>
      <c r="M102" s="3025"/>
      <c r="N102" s="3025"/>
      <c r="O102" s="3025"/>
      <c r="P102" s="3025"/>
      <c r="Q102" s="3025"/>
      <c r="R102" s="3025"/>
      <c r="S102" s="3025"/>
      <c r="T102" s="3025"/>
      <c r="U102" s="3025"/>
      <c r="V102" s="3025"/>
      <c r="W102" s="3025"/>
      <c r="X102" s="3025"/>
      <c r="Y102" s="3025"/>
      <c r="Z102" s="3025"/>
      <c r="AA102" s="3025"/>
      <c r="AB102" s="3025"/>
      <c r="AC102" s="3025"/>
      <c r="AD102" s="3025"/>
      <c r="AE102" s="3025"/>
      <c r="AF102" s="3025"/>
      <c r="AG102" s="3025"/>
      <c r="AH102" s="3025"/>
      <c r="AI102" s="3025"/>
      <c r="AJ102" s="3025"/>
      <c r="AK102" s="3025"/>
      <c r="AL102" s="3025"/>
      <c r="AM102" s="3025"/>
      <c r="AN102" s="3025"/>
      <c r="AO102" s="3025"/>
      <c r="AP102" s="3025"/>
      <c r="AQ102" s="3025"/>
      <c r="AR102" s="3025"/>
      <c r="AS102" s="3025"/>
    </row>
    <row r="103" spans="1:48" ht="13.5" thickBot="1">
      <c r="A103" s="297" t="s">
        <v>229</v>
      </c>
      <c r="B103" s="2049"/>
      <c r="C103" s="2049"/>
      <c r="D103" s="2050"/>
      <c r="E103" s="2049"/>
      <c r="F103" s="2049"/>
      <c r="G103" s="2049"/>
      <c r="H103" s="2049"/>
      <c r="I103" s="2049"/>
      <c r="J103" s="2049"/>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22"/>
    </row>
    <row r="104" spans="1:48" ht="15.75" customHeight="1" thickBot="1">
      <c r="A104" s="3233" t="s">
        <v>85</v>
      </c>
      <c r="B104" s="3294" t="s">
        <v>86</v>
      </c>
      <c r="C104" s="3290" t="s">
        <v>87</v>
      </c>
      <c r="D104" s="3238" t="s">
        <v>76</v>
      </c>
      <c r="E104" s="3293" t="s">
        <v>88</v>
      </c>
      <c r="F104" s="3294"/>
      <c r="G104" s="3294"/>
      <c r="H104" s="3294"/>
      <c r="I104" s="3294"/>
      <c r="J104" s="3294"/>
      <c r="K104" s="3297" t="s">
        <v>89</v>
      </c>
      <c r="L104" s="3300" t="s">
        <v>57</v>
      </c>
      <c r="M104" s="3286" t="s">
        <v>55</v>
      </c>
      <c r="N104" s="3287"/>
      <c r="O104" s="3288"/>
      <c r="P104" s="3286" t="s">
        <v>56</v>
      </c>
      <c r="Q104" s="3287"/>
      <c r="R104" s="3287"/>
      <c r="S104" s="3287"/>
      <c r="T104" s="3287"/>
      <c r="U104" s="3287"/>
      <c r="V104" s="3287"/>
      <c r="W104" s="3287"/>
      <c r="X104" s="3287"/>
      <c r="Y104" s="3287"/>
      <c r="Z104" s="3287"/>
      <c r="AA104" s="3287"/>
      <c r="AB104" s="3287"/>
      <c r="AC104" s="3287"/>
      <c r="AD104" s="3287"/>
      <c r="AE104" s="3287"/>
      <c r="AF104" s="3287"/>
      <c r="AG104" s="3287"/>
      <c r="AH104" s="3287"/>
      <c r="AI104" s="3287"/>
      <c r="AJ104" s="3287"/>
      <c r="AK104" s="3287"/>
      <c r="AL104" s="3287"/>
      <c r="AM104" s="3288"/>
      <c r="AN104" s="3300" t="s">
        <v>57</v>
      </c>
      <c r="AO104" s="3266" t="s">
        <v>90</v>
      </c>
      <c r="AP104" s="3261" t="s">
        <v>58</v>
      </c>
      <c r="AQ104" s="3262"/>
      <c r="AR104" s="3262"/>
      <c r="AS104" s="3263"/>
      <c r="AU104" s="3300" t="s">
        <v>78</v>
      </c>
      <c r="AV104" s="3300" t="s">
        <v>91</v>
      </c>
    </row>
    <row r="105" spans="1:48" ht="15.75" customHeight="1" thickBot="1">
      <c r="A105" s="3234"/>
      <c r="B105" s="3306"/>
      <c r="C105" s="3291"/>
      <c r="D105" s="3240"/>
      <c r="E105" s="3295"/>
      <c r="F105" s="3296"/>
      <c r="G105" s="3296"/>
      <c r="H105" s="3296"/>
      <c r="I105" s="3296"/>
      <c r="J105" s="3296"/>
      <c r="K105" s="3298"/>
      <c r="L105" s="3301"/>
      <c r="M105" s="3281">
        <v>2015</v>
      </c>
      <c r="N105" s="3281"/>
      <c r="O105" s="3282"/>
      <c r="P105" s="3305">
        <v>2020</v>
      </c>
      <c r="Q105" s="3281"/>
      <c r="R105" s="3281"/>
      <c r="S105" s="3282"/>
      <c r="T105" s="3305">
        <v>2025</v>
      </c>
      <c r="U105" s="3281"/>
      <c r="V105" s="3281"/>
      <c r="W105" s="3282"/>
      <c r="X105" s="3305">
        <v>2030</v>
      </c>
      <c r="Y105" s="3281"/>
      <c r="Z105" s="3281"/>
      <c r="AA105" s="3282"/>
      <c r="AB105" s="3305">
        <v>2035</v>
      </c>
      <c r="AC105" s="3281"/>
      <c r="AD105" s="3281"/>
      <c r="AE105" s="3282"/>
      <c r="AF105" s="3305">
        <v>2040</v>
      </c>
      <c r="AG105" s="3281"/>
      <c r="AH105" s="3281"/>
      <c r="AI105" s="3282"/>
      <c r="AJ105" s="3305">
        <v>2045</v>
      </c>
      <c r="AK105" s="3281"/>
      <c r="AL105" s="3281"/>
      <c r="AM105" s="3282"/>
      <c r="AN105" s="3301"/>
      <c r="AO105" s="3279"/>
      <c r="AP105" s="3305">
        <v>2045</v>
      </c>
      <c r="AQ105" s="3281"/>
      <c r="AR105" s="3281"/>
      <c r="AS105" s="3282"/>
      <c r="AU105" s="3301"/>
      <c r="AV105" s="3301"/>
    </row>
    <row r="106" spans="1:48" ht="13.5" thickBot="1">
      <c r="A106" s="3235"/>
      <c r="B106" s="3296"/>
      <c r="C106" s="3292"/>
      <c r="D106" s="1023">
        <v>2015</v>
      </c>
      <c r="E106" s="3028">
        <v>2020</v>
      </c>
      <c r="F106" s="3029">
        <v>2025</v>
      </c>
      <c r="G106" s="3029">
        <v>2030</v>
      </c>
      <c r="H106" s="3029">
        <v>2035</v>
      </c>
      <c r="I106" s="2051">
        <v>2040</v>
      </c>
      <c r="J106" s="3038">
        <v>2045</v>
      </c>
      <c r="K106" s="3299"/>
      <c r="L106" s="3302"/>
      <c r="M106" s="1680" t="s">
        <v>92</v>
      </c>
      <c r="N106" s="1128" t="s">
        <v>93</v>
      </c>
      <c r="O106" s="1681" t="s">
        <v>18</v>
      </c>
      <c r="P106" s="1127" t="s">
        <v>92</v>
      </c>
      <c r="Q106" s="1131" t="s">
        <v>93</v>
      </c>
      <c r="R106" s="3070" t="s">
        <v>18</v>
      </c>
      <c r="S106" s="1680" t="s">
        <v>81</v>
      </c>
      <c r="T106" s="1130" t="s">
        <v>92</v>
      </c>
      <c r="U106" s="1128" t="s">
        <v>93</v>
      </c>
      <c r="V106" s="3070" t="s">
        <v>18</v>
      </c>
      <c r="W106" s="1132" t="s">
        <v>81</v>
      </c>
      <c r="X106" s="1127" t="s">
        <v>92</v>
      </c>
      <c r="Y106" s="1128" t="s">
        <v>93</v>
      </c>
      <c r="Z106" s="3070" t="s">
        <v>18</v>
      </c>
      <c r="AA106" s="1680" t="s">
        <v>81</v>
      </c>
      <c r="AB106" s="1130" t="s">
        <v>92</v>
      </c>
      <c r="AC106" s="1128" t="s">
        <v>93</v>
      </c>
      <c r="AD106" s="3070" t="s">
        <v>18</v>
      </c>
      <c r="AE106" s="1680" t="s">
        <v>81</v>
      </c>
      <c r="AF106" s="1130" t="s">
        <v>92</v>
      </c>
      <c r="AG106" s="1131" t="s">
        <v>93</v>
      </c>
      <c r="AH106" s="3070" t="s">
        <v>18</v>
      </c>
      <c r="AI106" s="1680" t="s">
        <v>81</v>
      </c>
      <c r="AJ106" s="1130" t="s">
        <v>92</v>
      </c>
      <c r="AK106" s="1131" t="s">
        <v>93</v>
      </c>
      <c r="AL106" s="3070" t="s">
        <v>18</v>
      </c>
      <c r="AM106" s="3088" t="s">
        <v>81</v>
      </c>
      <c r="AN106" s="3302"/>
      <c r="AO106" s="3280"/>
      <c r="AP106" s="1130" t="s">
        <v>92</v>
      </c>
      <c r="AQ106" s="1131" t="s">
        <v>93</v>
      </c>
      <c r="AR106" s="3070" t="s">
        <v>18</v>
      </c>
      <c r="AS106" s="3088" t="s">
        <v>81</v>
      </c>
      <c r="AU106" s="3302"/>
      <c r="AV106" s="3302"/>
    </row>
    <row r="107" spans="1:48">
      <c r="A107" s="3275" t="s">
        <v>230</v>
      </c>
      <c r="B107" s="2298" t="s">
        <v>231</v>
      </c>
      <c r="C107" s="2053">
        <v>216823</v>
      </c>
      <c r="D107" s="2254">
        <f>'Table 5a'!L96</f>
        <v>1637</v>
      </c>
      <c r="E107" s="2255">
        <v>2063</v>
      </c>
      <c r="F107" s="76">
        <v>2188</v>
      </c>
      <c r="G107" s="76">
        <v>2252</v>
      </c>
      <c r="H107" s="76">
        <v>2267</v>
      </c>
      <c r="I107" s="2256">
        <v>2267</v>
      </c>
      <c r="J107" s="335">
        <v>2267</v>
      </c>
      <c r="K107" s="2257">
        <v>5173</v>
      </c>
      <c r="L107" s="229">
        <f t="shared" ref="L107:L130" si="268">(J107-D107)/D107</f>
        <v>0.38</v>
      </c>
      <c r="M107" s="2299">
        <f>O107-N107</f>
        <v>0.53</v>
      </c>
      <c r="N107" s="2300">
        <v>0</v>
      </c>
      <c r="O107" s="53">
        <f>'Table 5a'!G96</f>
        <v>0.53</v>
      </c>
      <c r="P107" s="73">
        <f>R107-Q107</f>
        <v>0.68</v>
      </c>
      <c r="Q107" s="2300">
        <v>0</v>
      </c>
      <c r="R107" s="3116">
        <f>E107*$AO107/1000000</f>
        <v>0.68</v>
      </c>
      <c r="S107" s="784">
        <v>0</v>
      </c>
      <c r="T107" s="2301">
        <f>V107-U107</f>
        <v>0.72</v>
      </c>
      <c r="U107" s="2300">
        <v>0</v>
      </c>
      <c r="V107" s="3116">
        <f>F107*$AO107/1000000</f>
        <v>0.72</v>
      </c>
      <c r="W107" s="15">
        <v>0</v>
      </c>
      <c r="X107" s="2299">
        <f>Z107-Y107</f>
        <v>0.75</v>
      </c>
      <c r="Y107" s="90">
        <v>0</v>
      </c>
      <c r="Z107" s="3116">
        <f>G107*$AO107/1000000</f>
        <v>0.75</v>
      </c>
      <c r="AA107" s="784">
        <v>0</v>
      </c>
      <c r="AB107" s="2301">
        <f>AD107-AC107</f>
        <v>0.75</v>
      </c>
      <c r="AC107" s="2300">
        <v>0</v>
      </c>
      <c r="AD107" s="3116">
        <f>H107*$AO107/1000000</f>
        <v>0.75</v>
      </c>
      <c r="AE107" s="784">
        <v>0</v>
      </c>
      <c r="AF107" s="2301">
        <f>AH107-AG107</f>
        <v>0.75</v>
      </c>
      <c r="AG107" s="90">
        <v>0</v>
      </c>
      <c r="AH107" s="3116">
        <f>I107*$AO107/1000000</f>
        <v>0.75</v>
      </c>
      <c r="AI107" s="784">
        <v>0</v>
      </c>
      <c r="AJ107" s="2301">
        <f>AL107-AK107</f>
        <v>0.75</v>
      </c>
      <c r="AK107" s="90">
        <v>0</v>
      </c>
      <c r="AL107" s="3116">
        <f>J107*AO107/1000000</f>
        <v>0.75</v>
      </c>
      <c r="AM107" s="15">
        <v>0</v>
      </c>
      <c r="AN107" s="229">
        <f t="shared" ref="AN107:AN130" si="269">(AL107-O107)/O107</f>
        <v>0.42</v>
      </c>
      <c r="AO107" s="2302">
        <f>'Table 5a'!P96</f>
        <v>331</v>
      </c>
      <c r="AP107" s="2301">
        <f>AR107-AQ107</f>
        <v>0.8</v>
      </c>
      <c r="AQ107" s="90">
        <v>0</v>
      </c>
      <c r="AR107" s="3116">
        <f>AL107*1.06</f>
        <v>0.8</v>
      </c>
      <c r="AS107" s="3121">
        <v>0</v>
      </c>
      <c r="AU107" s="2261">
        <f>J107-D107</f>
        <v>630</v>
      </c>
      <c r="AV107" s="2303">
        <f>AL107-O107</f>
        <v>0.22</v>
      </c>
    </row>
    <row r="108" spans="1:48">
      <c r="A108" s="3275"/>
      <c r="B108" s="2152" t="s">
        <v>232</v>
      </c>
      <c r="C108" s="2104">
        <v>216831</v>
      </c>
      <c r="D108" s="2015">
        <f>'Table 5a'!L97</f>
        <v>286</v>
      </c>
      <c r="E108" s="2016">
        <v>300</v>
      </c>
      <c r="F108" s="2017">
        <v>300</v>
      </c>
      <c r="G108" s="2017">
        <v>300</v>
      </c>
      <c r="H108" s="2017">
        <v>302</v>
      </c>
      <c r="I108" s="2018">
        <v>302</v>
      </c>
      <c r="J108" s="2019">
        <v>302</v>
      </c>
      <c r="K108" s="2020">
        <v>476</v>
      </c>
      <c r="L108" s="996">
        <f t="shared" si="268"/>
        <v>0.06</v>
      </c>
      <c r="M108" s="2021">
        <f>O108-N108</f>
        <v>7.0000000000000007E-2</v>
      </c>
      <c r="N108" s="2022">
        <v>0</v>
      </c>
      <c r="O108" s="358">
        <f>'Table 5a'!G97</f>
        <v>7.0000000000000007E-2</v>
      </c>
      <c r="P108" s="1053">
        <f>R108-Q108</f>
        <v>7.0000000000000007E-2</v>
      </c>
      <c r="Q108" s="2022">
        <v>0</v>
      </c>
      <c r="R108" s="3077">
        <f>E108*$AO108/1000000</f>
        <v>7.0000000000000007E-2</v>
      </c>
      <c r="S108" s="2304">
        <v>0</v>
      </c>
      <c r="T108" s="2023">
        <f>V108-U108</f>
        <v>7.0000000000000007E-2</v>
      </c>
      <c r="U108" s="2022">
        <v>0</v>
      </c>
      <c r="V108" s="3077">
        <f>F108*$AO108/1000000</f>
        <v>7.0000000000000007E-2</v>
      </c>
      <c r="W108" s="1002">
        <v>0</v>
      </c>
      <c r="X108" s="2021">
        <f>Z108-Y108</f>
        <v>7.0000000000000007E-2</v>
      </c>
      <c r="Y108" s="1857">
        <v>0</v>
      </c>
      <c r="Z108" s="3077">
        <f>G108*$AO108/1000000</f>
        <v>7.0000000000000007E-2</v>
      </c>
      <c r="AA108" s="2304">
        <v>0</v>
      </c>
      <c r="AB108" s="2023">
        <f>AD108-AC108</f>
        <v>7.0000000000000007E-2</v>
      </c>
      <c r="AC108" s="2022">
        <v>0</v>
      </c>
      <c r="AD108" s="3077">
        <f>H108*$AO108/1000000</f>
        <v>7.0000000000000007E-2</v>
      </c>
      <c r="AE108" s="2304">
        <v>0</v>
      </c>
      <c r="AF108" s="2023">
        <f>AH108-AG108</f>
        <v>7.0000000000000007E-2</v>
      </c>
      <c r="AG108" s="1857">
        <v>0</v>
      </c>
      <c r="AH108" s="3077">
        <f>I108*$AO108/1000000</f>
        <v>7.0000000000000007E-2</v>
      </c>
      <c r="AI108" s="2304">
        <v>0</v>
      </c>
      <c r="AJ108" s="2023">
        <f>AL108-AK108</f>
        <v>7.0000000000000007E-2</v>
      </c>
      <c r="AK108" s="1857">
        <v>0</v>
      </c>
      <c r="AL108" s="3077">
        <f>J108*AO108/1000000</f>
        <v>7.0000000000000007E-2</v>
      </c>
      <c r="AM108" s="1002">
        <v>0</v>
      </c>
      <c r="AN108" s="996">
        <f t="shared" si="269"/>
        <v>0</v>
      </c>
      <c r="AO108" s="2305">
        <f>'Table 5a'!P97</f>
        <v>239</v>
      </c>
      <c r="AP108" s="2023">
        <f>AR108-AQ108</f>
        <v>7.0000000000000007E-2</v>
      </c>
      <c r="AQ108" s="1857">
        <v>0</v>
      </c>
      <c r="AR108" s="3077">
        <f t="shared" ref="AR108:AR110" si="270">AL108*1.06</f>
        <v>7.0000000000000007E-2</v>
      </c>
      <c r="AS108" s="61">
        <v>0</v>
      </c>
      <c r="AU108" s="2027">
        <f t="shared" ref="AU108:AU130" si="271">J108-D108</f>
        <v>16</v>
      </c>
      <c r="AV108" s="2028">
        <f t="shared" ref="AV108:AV130" si="272">AL108-O108</f>
        <v>0</v>
      </c>
    </row>
    <row r="109" spans="1:48">
      <c r="A109" s="3275"/>
      <c r="B109" s="1951" t="s">
        <v>233</v>
      </c>
      <c r="C109" s="1952">
        <v>217129</v>
      </c>
      <c r="D109" s="1953">
        <f>'Table 5a'!L98</f>
        <v>164</v>
      </c>
      <c r="E109" s="1954">
        <v>167</v>
      </c>
      <c r="F109" s="814">
        <v>167</v>
      </c>
      <c r="G109" s="814">
        <v>167</v>
      </c>
      <c r="H109" s="814">
        <v>167</v>
      </c>
      <c r="I109" s="807">
        <v>167</v>
      </c>
      <c r="J109" s="813">
        <v>167</v>
      </c>
      <c r="K109" s="305">
        <v>332</v>
      </c>
      <c r="L109" s="300">
        <f t="shared" si="268"/>
        <v>0.02</v>
      </c>
      <c r="M109" s="1955">
        <f t="shared" ref="M109:M110" si="273">O109-N109</f>
        <v>0.05</v>
      </c>
      <c r="N109" s="1956">
        <v>0</v>
      </c>
      <c r="O109" s="392">
        <f>'Table 5a'!G98</f>
        <v>0.05</v>
      </c>
      <c r="P109" s="1000">
        <f>R109-Q109</f>
        <v>0.05</v>
      </c>
      <c r="Q109" s="1956">
        <v>0</v>
      </c>
      <c r="R109" s="3076">
        <f>E109*$AO109/1000000</f>
        <v>0.05</v>
      </c>
      <c r="S109" s="998">
        <v>0</v>
      </c>
      <c r="T109" s="1957">
        <f>V109-U109</f>
        <v>0.05</v>
      </c>
      <c r="U109" s="1956">
        <v>0</v>
      </c>
      <c r="V109" s="3076">
        <f>F109*$AO109/1000000</f>
        <v>0.05</v>
      </c>
      <c r="W109" s="830">
        <v>0</v>
      </c>
      <c r="X109" s="1955">
        <f>Z109-Y109</f>
        <v>0.05</v>
      </c>
      <c r="Y109" s="299">
        <v>0</v>
      </c>
      <c r="Z109" s="3076">
        <f>G109*$AO109/1000000</f>
        <v>0.05</v>
      </c>
      <c r="AA109" s="998">
        <v>0</v>
      </c>
      <c r="AB109" s="1957">
        <f>AD109-AC109</f>
        <v>0.05</v>
      </c>
      <c r="AC109" s="1956">
        <v>0</v>
      </c>
      <c r="AD109" s="3076">
        <f>H109*$AO109/1000000</f>
        <v>0.05</v>
      </c>
      <c r="AE109" s="998">
        <v>0</v>
      </c>
      <c r="AF109" s="1957">
        <f>AH109-AG109</f>
        <v>0.05</v>
      </c>
      <c r="AG109" s="299">
        <v>0</v>
      </c>
      <c r="AH109" s="3076">
        <f>I109*$AO109/1000000</f>
        <v>0.05</v>
      </c>
      <c r="AI109" s="998">
        <v>0</v>
      </c>
      <c r="AJ109" s="1957">
        <f>AL109-AK109</f>
        <v>0.05</v>
      </c>
      <c r="AK109" s="299">
        <v>0</v>
      </c>
      <c r="AL109" s="3076">
        <f>J109*AO109/1000000</f>
        <v>0.05</v>
      </c>
      <c r="AM109" s="830">
        <v>0</v>
      </c>
      <c r="AN109" s="300">
        <f t="shared" si="269"/>
        <v>0</v>
      </c>
      <c r="AO109" s="1958">
        <f>'Table 5a'!P98</f>
        <v>276</v>
      </c>
      <c r="AP109" s="1957">
        <f t="shared" ref="AP109:AP110" si="274">AR109-AQ109</f>
        <v>0.05</v>
      </c>
      <c r="AQ109" s="299">
        <v>0</v>
      </c>
      <c r="AR109" s="3076">
        <f t="shared" si="270"/>
        <v>0.05</v>
      </c>
      <c r="AS109" s="3104">
        <v>0</v>
      </c>
      <c r="AU109" s="1959">
        <f t="shared" si="271"/>
        <v>3</v>
      </c>
      <c r="AV109" s="1960">
        <f t="shared" si="272"/>
        <v>0</v>
      </c>
    </row>
    <row r="110" spans="1:48" ht="13.5" thickBot="1">
      <c r="A110" s="3275"/>
      <c r="B110" s="1961" t="s">
        <v>234</v>
      </c>
      <c r="C110" s="1962">
        <v>220310</v>
      </c>
      <c r="D110" s="1963">
        <f>'Table 5a'!L99</f>
        <v>404</v>
      </c>
      <c r="E110" s="1964">
        <v>422</v>
      </c>
      <c r="F110" s="1965">
        <v>422</v>
      </c>
      <c r="G110" s="1965">
        <v>422</v>
      </c>
      <c r="H110" s="1965">
        <v>425</v>
      </c>
      <c r="I110" s="1966">
        <v>425</v>
      </c>
      <c r="J110" s="1967">
        <v>425</v>
      </c>
      <c r="K110" s="1968">
        <v>1744</v>
      </c>
      <c r="L110" s="230">
        <f t="shared" si="268"/>
        <v>0.05</v>
      </c>
      <c r="M110" s="1969">
        <f t="shared" si="273"/>
        <v>0</v>
      </c>
      <c r="N110" s="1970">
        <v>0</v>
      </c>
      <c r="O110" s="411">
        <f>'Table 5a'!G99</f>
        <v>0</v>
      </c>
      <c r="P110" s="1971">
        <f>R110-Q110</f>
        <v>0</v>
      </c>
      <c r="Q110" s="1970">
        <v>0</v>
      </c>
      <c r="R110" s="3117">
        <f>E110*$AO110/1000000</f>
        <v>0</v>
      </c>
      <c r="S110" s="1974">
        <v>0</v>
      </c>
      <c r="T110" s="1972">
        <f>V110-U110</f>
        <v>0</v>
      </c>
      <c r="U110" s="1970">
        <v>0</v>
      </c>
      <c r="V110" s="3117">
        <f>F110*$AO110/1000000</f>
        <v>0</v>
      </c>
      <c r="W110" s="145">
        <v>0</v>
      </c>
      <c r="X110" s="1969">
        <f>Z110-Y110</f>
        <v>0</v>
      </c>
      <c r="Y110" s="1973">
        <v>0</v>
      </c>
      <c r="Z110" s="3117">
        <f>G110*$AO110/1000000</f>
        <v>0</v>
      </c>
      <c r="AA110" s="1974">
        <v>0</v>
      </c>
      <c r="AB110" s="1972">
        <f>AD110-AC110</f>
        <v>0</v>
      </c>
      <c r="AC110" s="1970">
        <v>0</v>
      </c>
      <c r="AD110" s="3117">
        <f>H110*$AO110/1000000</f>
        <v>0</v>
      </c>
      <c r="AE110" s="1974">
        <v>0</v>
      </c>
      <c r="AF110" s="1972">
        <f>AH110-AG110</f>
        <v>0</v>
      </c>
      <c r="AG110" s="1973">
        <v>0</v>
      </c>
      <c r="AH110" s="3117">
        <f>I110*$AO110/1000000</f>
        <v>0</v>
      </c>
      <c r="AI110" s="1974">
        <v>0</v>
      </c>
      <c r="AJ110" s="1972">
        <f>AL110-AK110</f>
        <v>0</v>
      </c>
      <c r="AK110" s="1973">
        <v>0</v>
      </c>
      <c r="AL110" s="3117">
        <f>J110*AO110/1000000</f>
        <v>0</v>
      </c>
      <c r="AM110" s="145">
        <v>0</v>
      </c>
      <c r="AN110" s="230" t="s">
        <v>16</v>
      </c>
      <c r="AO110" s="1975">
        <f>'Table 5a'!P99</f>
        <v>0</v>
      </c>
      <c r="AP110" s="1972">
        <f t="shared" si="274"/>
        <v>0</v>
      </c>
      <c r="AQ110" s="1973">
        <v>0</v>
      </c>
      <c r="AR110" s="3117">
        <f t="shared" si="270"/>
        <v>0</v>
      </c>
      <c r="AS110" s="61">
        <v>0</v>
      </c>
      <c r="AU110" s="1976">
        <f t="shared" si="271"/>
        <v>21</v>
      </c>
      <c r="AV110" s="1977">
        <f t="shared" si="272"/>
        <v>0</v>
      </c>
    </row>
    <row r="111" spans="1:48" ht="14.25" thickTop="1" thickBot="1">
      <c r="A111" s="3276"/>
      <c r="B111" s="3277" t="s">
        <v>235</v>
      </c>
      <c r="C111" s="3278"/>
      <c r="D111" s="1978">
        <f>SUM(D107:D110)</f>
        <v>2491</v>
      </c>
      <c r="E111" s="1979">
        <f>SUM(E107:E110)</f>
        <v>2952</v>
      </c>
      <c r="F111" s="1980">
        <f t="shared" ref="F111:K111" si="275">SUM(F107:F110)</f>
        <v>3077</v>
      </c>
      <c r="G111" s="1980">
        <f t="shared" si="275"/>
        <v>3141</v>
      </c>
      <c r="H111" s="1980">
        <f t="shared" si="275"/>
        <v>3161</v>
      </c>
      <c r="I111" s="1981">
        <f t="shared" si="275"/>
        <v>3161</v>
      </c>
      <c r="J111" s="1982">
        <f t="shared" si="275"/>
        <v>3161</v>
      </c>
      <c r="K111" s="1983">
        <f t="shared" si="275"/>
        <v>7725</v>
      </c>
      <c r="L111" s="217">
        <f t="shared" si="268"/>
        <v>0.27</v>
      </c>
      <c r="M111" s="101">
        <f t="shared" ref="M111" si="276">SUM(M107:M110)</f>
        <v>0.65</v>
      </c>
      <c r="N111" s="1984">
        <f t="shared" ref="N111" si="277">SUM(N107:N110)</f>
        <v>0</v>
      </c>
      <c r="O111" s="154">
        <f t="shared" ref="O111" si="278">SUM(O107:O110)</f>
        <v>0.65</v>
      </c>
      <c r="P111" s="100">
        <f t="shared" ref="P111" si="279">SUM(P107:P110)</f>
        <v>0.8</v>
      </c>
      <c r="Q111" s="1984">
        <f t="shared" ref="Q111" si="280">SUM(Q107:Q110)</f>
        <v>0</v>
      </c>
      <c r="R111" s="3074">
        <f t="shared" ref="R111" si="281">SUM(R107:R110)</f>
        <v>0.8</v>
      </c>
      <c r="S111" s="303">
        <f>SUM(S107:S110)</f>
        <v>0</v>
      </c>
      <c r="T111" s="1985">
        <f t="shared" ref="T111" si="282">SUM(T107:T110)</f>
        <v>0.84</v>
      </c>
      <c r="U111" s="1984">
        <f t="shared" ref="U111" si="283">SUM(U107:U110)</f>
        <v>0</v>
      </c>
      <c r="V111" s="3074">
        <f t="shared" ref="V111" si="284">SUM(V107:V110)</f>
        <v>0.84</v>
      </c>
      <c r="W111" s="21">
        <f>SUM(W107:W110)</f>
        <v>0</v>
      </c>
      <c r="X111" s="101">
        <f t="shared" ref="X111" si="285">SUM(X107:X110)</f>
        <v>0.87</v>
      </c>
      <c r="Y111" s="108">
        <f t="shared" ref="Y111" si="286">SUM(Y107:Y110)</f>
        <v>0</v>
      </c>
      <c r="Z111" s="3074">
        <f t="shared" ref="Z111" si="287">SUM(Z107:Z110)</f>
        <v>0.87</v>
      </c>
      <c r="AA111" s="303">
        <f>SUM(AA107:AA110)</f>
        <v>0</v>
      </c>
      <c r="AB111" s="1985">
        <f t="shared" ref="AB111" si="288">SUM(AB107:AB110)</f>
        <v>0.87</v>
      </c>
      <c r="AC111" s="1984">
        <f t="shared" ref="AC111" si="289">SUM(AC107:AC110)</f>
        <v>0</v>
      </c>
      <c r="AD111" s="3074">
        <f t="shared" ref="AD111" si="290">SUM(AD107:AD110)</f>
        <v>0.87</v>
      </c>
      <c r="AE111" s="303">
        <f>SUM(AE107:AE110)</f>
        <v>0</v>
      </c>
      <c r="AF111" s="1985">
        <f t="shared" ref="AF111" si="291">SUM(AF107:AF110)</f>
        <v>0.87</v>
      </c>
      <c r="AG111" s="108">
        <f t="shared" ref="AG111" si="292">SUM(AG107:AG110)</f>
        <v>0</v>
      </c>
      <c r="AH111" s="3074">
        <f t="shared" ref="AH111" si="293">SUM(AH107:AH110)</f>
        <v>0.87</v>
      </c>
      <c r="AI111" s="303">
        <f>SUM(AI107:AI110)</f>
        <v>0</v>
      </c>
      <c r="AJ111" s="1985">
        <f t="shared" ref="AJ111" si="294">SUM(AJ107:AJ110)</f>
        <v>0.87</v>
      </c>
      <c r="AK111" s="108">
        <f t="shared" ref="AK111" si="295">SUM(AK107:AK110)</f>
        <v>0</v>
      </c>
      <c r="AL111" s="3074">
        <f t="shared" ref="AL111" si="296">SUM(AL107:AL110)</f>
        <v>0.87</v>
      </c>
      <c r="AM111" s="21">
        <f>SUM(AM107:AM110)</f>
        <v>0</v>
      </c>
      <c r="AN111" s="217">
        <f t="shared" si="269"/>
        <v>0.34</v>
      </c>
      <c r="AO111" s="3024" t="s">
        <v>16</v>
      </c>
      <c r="AP111" s="1985">
        <f t="shared" ref="AP111" si="297">SUM(AP107:AP110)</f>
        <v>0.92</v>
      </c>
      <c r="AQ111" s="108">
        <f>SUM(AQ107:AQ108)</f>
        <v>0</v>
      </c>
      <c r="AR111" s="3074">
        <f>SUM(AR107:AR108)</f>
        <v>0.87</v>
      </c>
      <c r="AS111" s="3098">
        <f>SUM(AS107:AS110)</f>
        <v>0</v>
      </c>
      <c r="AU111" s="1986">
        <f t="shared" si="271"/>
        <v>670</v>
      </c>
      <c r="AV111" s="1987">
        <f t="shared" si="272"/>
        <v>0.22</v>
      </c>
    </row>
    <row r="112" spans="1:48" ht="12.75" customHeight="1" thickBot="1">
      <c r="A112" s="3303" t="s">
        <v>236</v>
      </c>
      <c r="B112" s="1988" t="s">
        <v>237</v>
      </c>
      <c r="C112" s="1962">
        <v>218662</v>
      </c>
      <c r="D112" s="1989">
        <f>'Table 5a'!L101</f>
        <v>553</v>
      </c>
      <c r="E112" s="1964">
        <v>606</v>
      </c>
      <c r="F112" s="1965">
        <v>618</v>
      </c>
      <c r="G112" s="1965">
        <v>626</v>
      </c>
      <c r="H112" s="1965">
        <v>629</v>
      </c>
      <c r="I112" s="1966">
        <v>639</v>
      </c>
      <c r="J112" s="1967">
        <v>644</v>
      </c>
      <c r="K112" s="1990">
        <v>18403</v>
      </c>
      <c r="L112" s="230">
        <f t="shared" si="268"/>
        <v>0.16</v>
      </c>
      <c r="M112" s="1969">
        <f>O112-N112</f>
        <v>0</v>
      </c>
      <c r="N112" s="1970">
        <v>0</v>
      </c>
      <c r="O112" s="411">
        <f>'Table 5a'!G101</f>
        <v>0</v>
      </c>
      <c r="P112" s="1971">
        <f>R112-Q112</f>
        <v>0</v>
      </c>
      <c r="Q112" s="1970">
        <v>0</v>
      </c>
      <c r="R112" s="3117">
        <v>0</v>
      </c>
      <c r="S112" s="1974">
        <v>0</v>
      </c>
      <c r="T112" s="1972">
        <f>V112-U112</f>
        <v>0</v>
      </c>
      <c r="U112" s="1970">
        <v>0</v>
      </c>
      <c r="V112" s="3117">
        <v>0</v>
      </c>
      <c r="W112" s="145">
        <v>0</v>
      </c>
      <c r="X112" s="1969">
        <f>Z112-Y112</f>
        <v>0</v>
      </c>
      <c r="Y112" s="1973">
        <v>0</v>
      </c>
      <c r="Z112" s="3117">
        <v>0</v>
      </c>
      <c r="AA112" s="1974">
        <v>0</v>
      </c>
      <c r="AB112" s="1972">
        <f>AD112-AC112</f>
        <v>0</v>
      </c>
      <c r="AC112" s="1970">
        <v>0</v>
      </c>
      <c r="AD112" s="3117">
        <v>0</v>
      </c>
      <c r="AE112" s="1974">
        <v>0</v>
      </c>
      <c r="AF112" s="1972">
        <f>AH112-AG112</f>
        <v>0</v>
      </c>
      <c r="AG112" s="1973">
        <v>0</v>
      </c>
      <c r="AH112" s="3117">
        <v>0</v>
      </c>
      <c r="AI112" s="1974">
        <v>0</v>
      </c>
      <c r="AJ112" s="1972">
        <f>AL112-AK112</f>
        <v>0</v>
      </c>
      <c r="AK112" s="1973">
        <v>0</v>
      </c>
      <c r="AL112" s="3117">
        <v>0</v>
      </c>
      <c r="AM112" s="145">
        <v>0</v>
      </c>
      <c r="AN112" s="230">
        <v>0</v>
      </c>
      <c r="AO112" s="1991" t="s">
        <v>16</v>
      </c>
      <c r="AP112" s="1972">
        <f>AR112-AQ112</f>
        <v>0</v>
      </c>
      <c r="AQ112" s="1973">
        <v>0</v>
      </c>
      <c r="AR112" s="3117">
        <f>AL112*1.06</f>
        <v>0</v>
      </c>
      <c r="AS112" s="3101">
        <v>0</v>
      </c>
      <c r="AU112" s="1976">
        <f t="shared" si="271"/>
        <v>91</v>
      </c>
      <c r="AV112" s="1977">
        <f t="shared" si="272"/>
        <v>0</v>
      </c>
    </row>
    <row r="113" spans="1:48" ht="14.25" thickTop="1" thickBot="1">
      <c r="A113" s="3285"/>
      <c r="B113" s="3277" t="s">
        <v>238</v>
      </c>
      <c r="C113" s="3278"/>
      <c r="D113" s="1978">
        <f t="shared" ref="D113:J113" si="298">SUM(D112)</f>
        <v>553</v>
      </c>
      <c r="E113" s="1979">
        <f>SUM(E112)</f>
        <v>606</v>
      </c>
      <c r="F113" s="1980">
        <f t="shared" si="298"/>
        <v>618</v>
      </c>
      <c r="G113" s="1980">
        <f t="shared" si="298"/>
        <v>626</v>
      </c>
      <c r="H113" s="1980">
        <f t="shared" si="298"/>
        <v>629</v>
      </c>
      <c r="I113" s="1981">
        <f t="shared" si="298"/>
        <v>639</v>
      </c>
      <c r="J113" s="1982">
        <f t="shared" si="298"/>
        <v>644</v>
      </c>
      <c r="K113" s="1983">
        <f>K112</f>
        <v>18403</v>
      </c>
      <c r="L113" s="217">
        <f t="shared" si="268"/>
        <v>0.16</v>
      </c>
      <c r="M113" s="101">
        <f t="shared" ref="M113:AL113" si="299">M112</f>
        <v>0</v>
      </c>
      <c r="N113" s="1984">
        <f t="shared" si="299"/>
        <v>0</v>
      </c>
      <c r="O113" s="154">
        <f t="shared" si="299"/>
        <v>0</v>
      </c>
      <c r="P113" s="100">
        <f t="shared" si="299"/>
        <v>0</v>
      </c>
      <c r="Q113" s="1984">
        <f t="shared" si="299"/>
        <v>0</v>
      </c>
      <c r="R113" s="3074">
        <f>R112</f>
        <v>0</v>
      </c>
      <c r="S113" s="303">
        <f>SUM(S112)</f>
        <v>0</v>
      </c>
      <c r="T113" s="1985">
        <f t="shared" si="299"/>
        <v>0</v>
      </c>
      <c r="U113" s="1984">
        <f t="shared" si="299"/>
        <v>0</v>
      </c>
      <c r="V113" s="3074">
        <f t="shared" si="299"/>
        <v>0</v>
      </c>
      <c r="W113" s="21">
        <f>SUM(W112)</f>
        <v>0</v>
      </c>
      <c r="X113" s="101">
        <f t="shared" si="299"/>
        <v>0</v>
      </c>
      <c r="Y113" s="108">
        <f t="shared" si="299"/>
        <v>0</v>
      </c>
      <c r="Z113" s="3074">
        <f t="shared" si="299"/>
        <v>0</v>
      </c>
      <c r="AA113" s="303">
        <f>SUM(AA112)</f>
        <v>0</v>
      </c>
      <c r="AB113" s="1985">
        <f t="shared" si="299"/>
        <v>0</v>
      </c>
      <c r="AC113" s="1984">
        <f t="shared" si="299"/>
        <v>0</v>
      </c>
      <c r="AD113" s="3074">
        <f t="shared" si="299"/>
        <v>0</v>
      </c>
      <c r="AE113" s="303">
        <f>SUM(AE112)</f>
        <v>0</v>
      </c>
      <c r="AF113" s="1985">
        <f t="shared" si="299"/>
        <v>0</v>
      </c>
      <c r="AG113" s="108">
        <f t="shared" si="299"/>
        <v>0</v>
      </c>
      <c r="AH113" s="3074">
        <f t="shared" si="299"/>
        <v>0</v>
      </c>
      <c r="AI113" s="303">
        <f>SUM(AI112)</f>
        <v>0</v>
      </c>
      <c r="AJ113" s="1985">
        <f t="shared" si="299"/>
        <v>0</v>
      </c>
      <c r="AK113" s="108">
        <f t="shared" si="299"/>
        <v>0</v>
      </c>
      <c r="AL113" s="3074">
        <f t="shared" si="299"/>
        <v>0</v>
      </c>
      <c r="AM113" s="61">
        <f>SUM(AM112)</f>
        <v>0</v>
      </c>
      <c r="AN113" s="229">
        <v>0</v>
      </c>
      <c r="AO113" s="3035" t="s">
        <v>16</v>
      </c>
      <c r="AP113" s="1985">
        <f>AP112</f>
        <v>0</v>
      </c>
      <c r="AQ113" s="108">
        <f>SUM(AQ112)</f>
        <v>0</v>
      </c>
      <c r="AR113" s="3074">
        <f>SUM(AR112)</f>
        <v>0</v>
      </c>
      <c r="AS113" s="3099">
        <f>SUM(AS112)</f>
        <v>0</v>
      </c>
      <c r="AU113" s="1986">
        <f t="shared" si="271"/>
        <v>91</v>
      </c>
      <c r="AV113" s="1987">
        <f t="shared" si="272"/>
        <v>0</v>
      </c>
    </row>
    <row r="114" spans="1:48" ht="12.75" customHeight="1" thickBot="1">
      <c r="A114" s="3289" t="s">
        <v>239</v>
      </c>
      <c r="B114" s="1992" t="s">
        <v>240</v>
      </c>
      <c r="C114" s="1993">
        <v>216851</v>
      </c>
      <c r="D114" s="1989">
        <f>'Table 5a'!L103</f>
        <v>1188</v>
      </c>
      <c r="E114" s="1994">
        <v>1208</v>
      </c>
      <c r="F114" s="1995">
        <v>1208</v>
      </c>
      <c r="G114" s="1995">
        <v>1208</v>
      </c>
      <c r="H114" s="1995">
        <v>1208</v>
      </c>
      <c r="I114" s="1996">
        <v>1208</v>
      </c>
      <c r="J114" s="1997">
        <v>1214</v>
      </c>
      <c r="K114" s="1990">
        <v>1780</v>
      </c>
      <c r="L114" s="219">
        <f t="shared" si="268"/>
        <v>0.02</v>
      </c>
      <c r="M114" s="1998">
        <f>O114-N114</f>
        <v>0.15</v>
      </c>
      <c r="N114" s="1999">
        <v>0</v>
      </c>
      <c r="O114" s="2000">
        <f>'Table 5a'!G103</f>
        <v>0.15</v>
      </c>
      <c r="P114" s="2001">
        <f>R114-Q114</f>
        <v>0.16</v>
      </c>
      <c r="Q114" s="1999">
        <v>0</v>
      </c>
      <c r="R114" s="3118">
        <f>E114*$AO114/1000000</f>
        <v>0.16</v>
      </c>
      <c r="S114" s="762">
        <v>0</v>
      </c>
      <c r="T114" s="2002">
        <f>V114-U114</f>
        <v>0.16</v>
      </c>
      <c r="U114" s="1999">
        <v>0</v>
      </c>
      <c r="V114" s="3118">
        <f>F114*$AO114/1000000</f>
        <v>0.16</v>
      </c>
      <c r="W114" s="763">
        <v>0</v>
      </c>
      <c r="X114" s="1998">
        <f>Z114-Y114</f>
        <v>0.16</v>
      </c>
      <c r="Y114" s="2003">
        <v>0</v>
      </c>
      <c r="Z114" s="3118">
        <f>G114*$AO114/1000000</f>
        <v>0.16</v>
      </c>
      <c r="AA114" s="762">
        <v>0</v>
      </c>
      <c r="AB114" s="2002">
        <f>AD114-AC114</f>
        <v>0.16</v>
      </c>
      <c r="AC114" s="1999">
        <v>0</v>
      </c>
      <c r="AD114" s="3118">
        <f>H114*$AO114/1000000</f>
        <v>0.16</v>
      </c>
      <c r="AE114" s="762">
        <v>0</v>
      </c>
      <c r="AF114" s="2002">
        <f>AH114-AG114</f>
        <v>0.16</v>
      </c>
      <c r="AG114" s="2003">
        <v>0</v>
      </c>
      <c r="AH114" s="3118">
        <f>I114*$AO114/1000000</f>
        <v>0.16</v>
      </c>
      <c r="AI114" s="762">
        <v>0</v>
      </c>
      <c r="AJ114" s="2002">
        <f>AL114-AK114</f>
        <v>0.16</v>
      </c>
      <c r="AK114" s="2003">
        <v>0</v>
      </c>
      <c r="AL114" s="3118">
        <f>J114*AO114/1000000</f>
        <v>0.16</v>
      </c>
      <c r="AM114" s="763">
        <v>0</v>
      </c>
      <c r="AN114" s="219">
        <f t="shared" si="269"/>
        <v>7.0000000000000007E-2</v>
      </c>
      <c r="AO114" s="2004">
        <f>'Table 5a'!P103</f>
        <v>133</v>
      </c>
      <c r="AP114" s="2002">
        <f>AR114-AQ114</f>
        <v>0.17</v>
      </c>
      <c r="AQ114" s="2003">
        <v>0</v>
      </c>
      <c r="AR114" s="3118">
        <f>AL114*1.06</f>
        <v>0.17</v>
      </c>
      <c r="AS114" s="61">
        <v>0</v>
      </c>
      <c r="AU114" s="2005">
        <f t="shared" si="271"/>
        <v>26</v>
      </c>
      <c r="AV114" s="2006">
        <f t="shared" si="272"/>
        <v>0.01</v>
      </c>
    </row>
    <row r="115" spans="1:48" ht="14.25" thickTop="1" thickBot="1">
      <c r="A115" s="3285"/>
      <c r="B115" s="3277" t="s">
        <v>241</v>
      </c>
      <c r="C115" s="3278"/>
      <c r="D115" s="1978">
        <f t="shared" ref="D115:J115" si="300">SUM(D114)</f>
        <v>1188</v>
      </c>
      <c r="E115" s="1979">
        <f t="shared" si="300"/>
        <v>1208</v>
      </c>
      <c r="F115" s="1980">
        <f t="shared" si="300"/>
        <v>1208</v>
      </c>
      <c r="G115" s="1980">
        <f t="shared" si="300"/>
        <v>1208</v>
      </c>
      <c r="H115" s="1980">
        <f t="shared" si="300"/>
        <v>1208</v>
      </c>
      <c r="I115" s="1981">
        <f t="shared" si="300"/>
        <v>1208</v>
      </c>
      <c r="J115" s="1982">
        <f t="shared" si="300"/>
        <v>1214</v>
      </c>
      <c r="K115" s="1983">
        <f>K114</f>
        <v>1780</v>
      </c>
      <c r="L115" s="217">
        <f t="shared" si="268"/>
        <v>0.02</v>
      </c>
      <c r="M115" s="101">
        <f t="shared" ref="M115:AL115" si="301">M114</f>
        <v>0.15</v>
      </c>
      <c r="N115" s="1984">
        <f t="shared" si="301"/>
        <v>0</v>
      </c>
      <c r="O115" s="154">
        <f t="shared" si="301"/>
        <v>0.15</v>
      </c>
      <c r="P115" s="100">
        <f t="shared" si="301"/>
        <v>0.16</v>
      </c>
      <c r="Q115" s="1984">
        <f t="shared" si="301"/>
        <v>0</v>
      </c>
      <c r="R115" s="3074">
        <f t="shared" si="301"/>
        <v>0.16</v>
      </c>
      <c r="S115" s="303">
        <f>SUM(S114)</f>
        <v>0</v>
      </c>
      <c r="T115" s="1985">
        <f t="shared" si="301"/>
        <v>0.16</v>
      </c>
      <c r="U115" s="1984">
        <f t="shared" si="301"/>
        <v>0</v>
      </c>
      <c r="V115" s="3074">
        <f t="shared" si="301"/>
        <v>0.16</v>
      </c>
      <c r="W115" s="21">
        <f>SUM(W114)</f>
        <v>0</v>
      </c>
      <c r="X115" s="101">
        <f t="shared" si="301"/>
        <v>0.16</v>
      </c>
      <c r="Y115" s="108">
        <f t="shared" si="301"/>
        <v>0</v>
      </c>
      <c r="Z115" s="3074">
        <f t="shared" si="301"/>
        <v>0.16</v>
      </c>
      <c r="AA115" s="303">
        <f>SUM(AA114)</f>
        <v>0</v>
      </c>
      <c r="AB115" s="1985">
        <f t="shared" si="301"/>
        <v>0.16</v>
      </c>
      <c r="AC115" s="1984">
        <f t="shared" si="301"/>
        <v>0</v>
      </c>
      <c r="AD115" s="3074">
        <f t="shared" si="301"/>
        <v>0.16</v>
      </c>
      <c r="AE115" s="303">
        <f>SUM(AE114)</f>
        <v>0</v>
      </c>
      <c r="AF115" s="1985">
        <f t="shared" si="301"/>
        <v>0.16</v>
      </c>
      <c r="AG115" s="108">
        <f t="shared" si="301"/>
        <v>0</v>
      </c>
      <c r="AH115" s="3074">
        <f t="shared" si="301"/>
        <v>0.16</v>
      </c>
      <c r="AI115" s="303">
        <f>SUM(AI114)</f>
        <v>0</v>
      </c>
      <c r="AJ115" s="1985">
        <f t="shared" si="301"/>
        <v>0.16</v>
      </c>
      <c r="AK115" s="108">
        <f t="shared" si="301"/>
        <v>0</v>
      </c>
      <c r="AL115" s="3074">
        <f t="shared" si="301"/>
        <v>0.16</v>
      </c>
      <c r="AM115" s="21">
        <f>SUM(AM114)</f>
        <v>0</v>
      </c>
      <c r="AN115" s="217">
        <f t="shared" si="269"/>
        <v>7.0000000000000007E-2</v>
      </c>
      <c r="AO115" s="3035" t="s">
        <v>16</v>
      </c>
      <c r="AP115" s="1985">
        <f>AP114</f>
        <v>0.17</v>
      </c>
      <c r="AQ115" s="108">
        <f>SUM(AQ114)</f>
        <v>0</v>
      </c>
      <c r="AR115" s="3074">
        <f>SUM(AR114)</f>
        <v>0.17</v>
      </c>
      <c r="AS115" s="3098">
        <f>SUM(AS114)</f>
        <v>0</v>
      </c>
      <c r="AU115" s="1986">
        <f t="shared" si="271"/>
        <v>26</v>
      </c>
      <c r="AV115" s="1987">
        <f t="shared" si="272"/>
        <v>0.01</v>
      </c>
    </row>
    <row r="116" spans="1:48">
      <c r="A116" s="3283" t="s">
        <v>242</v>
      </c>
      <c r="B116" s="2007" t="s">
        <v>243</v>
      </c>
      <c r="C116" s="2008" t="s">
        <v>244</v>
      </c>
      <c r="D116" s="1953">
        <f>'Table 5a'!L105</f>
        <v>2180</v>
      </c>
      <c r="E116" s="1954">
        <v>2304</v>
      </c>
      <c r="F116" s="814">
        <v>2304</v>
      </c>
      <c r="G116" s="814">
        <v>2304</v>
      </c>
      <c r="H116" s="814">
        <v>2304</v>
      </c>
      <c r="I116" s="807">
        <v>2304</v>
      </c>
      <c r="J116" s="813">
        <v>2304</v>
      </c>
      <c r="K116" s="305">
        <v>4616</v>
      </c>
      <c r="L116" s="300">
        <f t="shared" si="268"/>
        <v>0.06</v>
      </c>
      <c r="M116" s="1955">
        <f>O116-N116</f>
        <v>0.12</v>
      </c>
      <c r="N116" s="1956">
        <v>0</v>
      </c>
      <c r="O116" s="633">
        <f>'Table 5a'!G105</f>
        <v>0.12</v>
      </c>
      <c r="P116" s="1000">
        <f>R116-Q116</f>
        <v>0.13</v>
      </c>
      <c r="Q116" s="1956">
        <v>0</v>
      </c>
      <c r="R116" s="3080">
        <f>E116*$AO116/1000000</f>
        <v>0.13</v>
      </c>
      <c r="S116" s="2010">
        <v>0</v>
      </c>
      <c r="T116" s="1957">
        <f>V116-U116</f>
        <v>0.13</v>
      </c>
      <c r="U116" s="1956">
        <v>0</v>
      </c>
      <c r="V116" s="3080">
        <f>F116*$AO116/1000000</f>
        <v>0.13</v>
      </c>
      <c r="W116" s="2011">
        <v>0</v>
      </c>
      <c r="X116" s="1955">
        <f>Z116-Y116</f>
        <v>0.13</v>
      </c>
      <c r="Y116" s="299">
        <v>0</v>
      </c>
      <c r="Z116" s="3080">
        <f>G116*$AO116/1000000</f>
        <v>0.13</v>
      </c>
      <c r="AA116" s="2010">
        <v>0</v>
      </c>
      <c r="AB116" s="1957">
        <f>AD116-AC116</f>
        <v>0.13</v>
      </c>
      <c r="AC116" s="1956">
        <v>0</v>
      </c>
      <c r="AD116" s="3080">
        <f>H116*$AO116/1000000</f>
        <v>0.13</v>
      </c>
      <c r="AE116" s="2010">
        <v>0</v>
      </c>
      <c r="AF116" s="1957">
        <f>AH116-AG116</f>
        <v>0.13</v>
      </c>
      <c r="AG116" s="299">
        <v>0</v>
      </c>
      <c r="AH116" s="3080">
        <f>I116*$AO116/1000000</f>
        <v>0.13</v>
      </c>
      <c r="AI116" s="2010">
        <v>0</v>
      </c>
      <c r="AJ116" s="1957">
        <f>AL116-AK116</f>
        <v>0.13</v>
      </c>
      <c r="AK116" s="299">
        <v>0</v>
      </c>
      <c r="AL116" s="3080">
        <f>J116*AO116/1000000</f>
        <v>0.13</v>
      </c>
      <c r="AM116" s="2011">
        <v>0</v>
      </c>
      <c r="AN116" s="300">
        <f t="shared" si="269"/>
        <v>0.08</v>
      </c>
      <c r="AO116" s="2012">
        <f>'Table 5a'!P105</f>
        <v>57</v>
      </c>
      <c r="AP116" s="1957">
        <f>AR116-AQ116</f>
        <v>0.14000000000000001</v>
      </c>
      <c r="AQ116" s="299">
        <v>0</v>
      </c>
      <c r="AR116" s="3080">
        <f t="shared" ref="AR116:AR119" si="302">AL116*1.06</f>
        <v>0.14000000000000001</v>
      </c>
      <c r="AS116" s="2067">
        <v>0</v>
      </c>
      <c r="AU116" s="1959">
        <f t="shared" si="271"/>
        <v>124</v>
      </c>
      <c r="AV116" s="1960">
        <f t="shared" si="272"/>
        <v>0.01</v>
      </c>
    </row>
    <row r="117" spans="1:48">
      <c r="A117" s="3283"/>
      <c r="B117" s="2007" t="s">
        <v>245</v>
      </c>
      <c r="C117" s="2008" t="s">
        <v>246</v>
      </c>
      <c r="D117" s="1953">
        <f>'Table 5a'!L106</f>
        <v>2211</v>
      </c>
      <c r="E117" s="1954">
        <v>2317</v>
      </c>
      <c r="F117" s="814">
        <v>2402</v>
      </c>
      <c r="G117" s="814">
        <v>2489</v>
      </c>
      <c r="H117" s="814">
        <v>2532</v>
      </c>
      <c r="I117" s="807">
        <v>2586</v>
      </c>
      <c r="J117" s="813">
        <v>2651</v>
      </c>
      <c r="K117" s="305">
        <v>9063</v>
      </c>
      <c r="L117" s="300">
        <f t="shared" si="268"/>
        <v>0.2</v>
      </c>
      <c r="M117" s="1955">
        <f>O117-N117</f>
        <v>0.31</v>
      </c>
      <c r="N117" s="1956">
        <v>0</v>
      </c>
      <c r="O117" s="633">
        <f>'Table 5a'!G106</f>
        <v>0.31</v>
      </c>
      <c r="P117" s="1000">
        <f>R117-Q117</f>
        <v>0.31</v>
      </c>
      <c r="Q117" s="1956">
        <v>0</v>
      </c>
      <c r="R117" s="3080">
        <f>E117*$AO117/1000000</f>
        <v>0.31</v>
      </c>
      <c r="S117" s="2010">
        <v>0</v>
      </c>
      <c r="T117" s="1957">
        <f>V117-U117</f>
        <v>0.32</v>
      </c>
      <c r="U117" s="1956">
        <v>0</v>
      </c>
      <c r="V117" s="3080">
        <f>F117*$AO117/1000000</f>
        <v>0.32</v>
      </c>
      <c r="W117" s="2011">
        <v>0</v>
      </c>
      <c r="X117" s="1955">
        <f>Z117-Y117</f>
        <v>0.34</v>
      </c>
      <c r="Y117" s="299">
        <v>0</v>
      </c>
      <c r="Z117" s="3080">
        <f>G117*$AO117/1000000</f>
        <v>0.34</v>
      </c>
      <c r="AA117" s="2010">
        <v>0</v>
      </c>
      <c r="AB117" s="1957">
        <f>AD117-AC117</f>
        <v>0.34</v>
      </c>
      <c r="AC117" s="1956">
        <v>0</v>
      </c>
      <c r="AD117" s="3080">
        <f>H117*$AO117/1000000</f>
        <v>0.34</v>
      </c>
      <c r="AE117" s="2010">
        <v>0</v>
      </c>
      <c r="AF117" s="1957">
        <f>AH117-AG117</f>
        <v>0.35</v>
      </c>
      <c r="AG117" s="299">
        <v>0</v>
      </c>
      <c r="AH117" s="3080">
        <f>I117*$AO117/1000000</f>
        <v>0.35</v>
      </c>
      <c r="AI117" s="2010">
        <v>0</v>
      </c>
      <c r="AJ117" s="1957">
        <f>AL117-AK117</f>
        <v>0.36</v>
      </c>
      <c r="AK117" s="299">
        <v>0</v>
      </c>
      <c r="AL117" s="3080">
        <f>J117*AO117/1000000</f>
        <v>0.36</v>
      </c>
      <c r="AM117" s="2011">
        <v>0</v>
      </c>
      <c r="AN117" s="300">
        <f t="shared" si="269"/>
        <v>0.16</v>
      </c>
      <c r="AO117" s="2012">
        <f>'Table 5a'!P106</f>
        <v>135</v>
      </c>
      <c r="AP117" s="1957">
        <f>AR117-AQ117</f>
        <v>0.38</v>
      </c>
      <c r="AQ117" s="299">
        <v>0</v>
      </c>
      <c r="AR117" s="3080">
        <f t="shared" si="302"/>
        <v>0.38</v>
      </c>
      <c r="AS117" s="3093">
        <v>0</v>
      </c>
      <c r="AU117" s="1959">
        <f t="shared" si="271"/>
        <v>440</v>
      </c>
      <c r="AV117" s="1960">
        <f t="shared" si="272"/>
        <v>0.05</v>
      </c>
    </row>
    <row r="118" spans="1:48">
      <c r="A118" s="3283"/>
      <c r="B118" s="2013" t="s">
        <v>247</v>
      </c>
      <c r="C118" s="2014" t="s">
        <v>248</v>
      </c>
      <c r="D118" s="2015">
        <f>'Table 5a'!L107</f>
        <v>1106</v>
      </c>
      <c r="E118" s="2016">
        <v>1133</v>
      </c>
      <c r="F118" s="2017">
        <v>1133</v>
      </c>
      <c r="G118" s="2017">
        <v>1133</v>
      </c>
      <c r="H118" s="2017">
        <v>1133</v>
      </c>
      <c r="I118" s="2018">
        <v>1133</v>
      </c>
      <c r="J118" s="2019">
        <v>1133</v>
      </c>
      <c r="K118" s="2020">
        <v>5075</v>
      </c>
      <c r="L118" s="996">
        <f t="shared" si="268"/>
        <v>0.02</v>
      </c>
      <c r="M118" s="2021">
        <f>O118-N118</f>
        <v>0.15</v>
      </c>
      <c r="N118" s="2022">
        <v>0</v>
      </c>
      <c r="O118" s="632">
        <f>'Table 5a'!G107</f>
        <v>0.15</v>
      </c>
      <c r="P118" s="1053">
        <f>R118-Q118</f>
        <v>0.15</v>
      </c>
      <c r="Q118" s="2022">
        <v>0</v>
      </c>
      <c r="R118" s="3084">
        <f>E118*$AO118/1000000</f>
        <v>0.15</v>
      </c>
      <c r="S118" s="2024">
        <v>0</v>
      </c>
      <c r="T118" s="2023">
        <f>V118-U118</f>
        <v>0.15</v>
      </c>
      <c r="U118" s="2022">
        <v>0</v>
      </c>
      <c r="V118" s="3084">
        <f>F118*$AO118/1000000</f>
        <v>0.15</v>
      </c>
      <c r="W118" s="2025">
        <v>0</v>
      </c>
      <c r="X118" s="2021">
        <f>Z118-Y118</f>
        <v>0.15</v>
      </c>
      <c r="Y118" s="1857">
        <v>0</v>
      </c>
      <c r="Z118" s="3084">
        <f>G118*$AO118/1000000</f>
        <v>0.15</v>
      </c>
      <c r="AA118" s="2024">
        <v>0</v>
      </c>
      <c r="AB118" s="2023">
        <f>AD118-AC118</f>
        <v>0.15</v>
      </c>
      <c r="AC118" s="2022">
        <v>0</v>
      </c>
      <c r="AD118" s="3084">
        <f>H118*$AO118/1000000</f>
        <v>0.15</v>
      </c>
      <c r="AE118" s="2024">
        <v>0</v>
      </c>
      <c r="AF118" s="2023">
        <f>AH118-AG118</f>
        <v>0.15</v>
      </c>
      <c r="AG118" s="1857">
        <v>0</v>
      </c>
      <c r="AH118" s="3084">
        <f>I118*$AO118/1000000</f>
        <v>0.15</v>
      </c>
      <c r="AI118" s="2024">
        <v>0</v>
      </c>
      <c r="AJ118" s="2023">
        <f>AL118-AK118</f>
        <v>0.15</v>
      </c>
      <c r="AK118" s="1857">
        <v>0</v>
      </c>
      <c r="AL118" s="3084">
        <f>J118*AO118/1000000</f>
        <v>0.15</v>
      </c>
      <c r="AM118" s="2025">
        <v>0</v>
      </c>
      <c r="AN118" s="996">
        <f t="shared" si="269"/>
        <v>0</v>
      </c>
      <c r="AO118" s="2026">
        <f>'Table 5a'!P107</f>
        <v>132</v>
      </c>
      <c r="AP118" s="2023">
        <f>AR118-AQ118</f>
        <v>0.16</v>
      </c>
      <c r="AQ118" s="1857">
        <v>0</v>
      </c>
      <c r="AR118" s="3084">
        <f t="shared" si="302"/>
        <v>0.16</v>
      </c>
      <c r="AS118" s="3090">
        <v>0</v>
      </c>
      <c r="AU118" s="2027">
        <f t="shared" si="271"/>
        <v>27</v>
      </c>
      <c r="AV118" s="2028">
        <f t="shared" si="272"/>
        <v>0</v>
      </c>
    </row>
    <row r="119" spans="1:48" ht="13.5" thickBot="1">
      <c r="A119" s="3284"/>
      <c r="B119" s="2029" t="s">
        <v>249</v>
      </c>
      <c r="C119" s="2030" t="s">
        <v>250</v>
      </c>
      <c r="D119" s="2031">
        <f>'Table 5a'!L108</f>
        <v>177</v>
      </c>
      <c r="E119" s="2032">
        <v>177</v>
      </c>
      <c r="F119" s="2033">
        <v>177</v>
      </c>
      <c r="G119" s="2033">
        <v>177</v>
      </c>
      <c r="H119" s="2033">
        <v>177</v>
      </c>
      <c r="I119" s="2034">
        <v>177</v>
      </c>
      <c r="J119" s="2035">
        <v>177</v>
      </c>
      <c r="K119" s="2036">
        <v>581</v>
      </c>
      <c r="L119" s="216">
        <f t="shared" si="268"/>
        <v>0</v>
      </c>
      <c r="M119" s="2037">
        <f>O119-N119</f>
        <v>0.1</v>
      </c>
      <c r="N119" s="2038">
        <v>0</v>
      </c>
      <c r="O119" s="51">
        <f>'Table 5a'!G108</f>
        <v>0.1</v>
      </c>
      <c r="P119" s="1021">
        <f>R119-Q119</f>
        <v>0.02</v>
      </c>
      <c r="Q119" s="2038">
        <v>0</v>
      </c>
      <c r="R119" s="3078">
        <f>E119*$AO119/1000000</f>
        <v>0.02</v>
      </c>
      <c r="S119" s="2042">
        <v>0</v>
      </c>
      <c r="T119" s="2040">
        <f>V119-U119</f>
        <v>0.02</v>
      </c>
      <c r="U119" s="2038">
        <v>0</v>
      </c>
      <c r="V119" s="3078">
        <f>F119*$AO119/1000000</f>
        <v>0.02</v>
      </c>
      <c r="W119" s="2043">
        <v>0</v>
      </c>
      <c r="X119" s="2037">
        <f>Z119-Y119</f>
        <v>0.02</v>
      </c>
      <c r="Y119" s="1022">
        <v>0</v>
      </c>
      <c r="Z119" s="3078">
        <f>G119*$AO119/1000000</f>
        <v>0.02</v>
      </c>
      <c r="AA119" s="2042">
        <v>0</v>
      </c>
      <c r="AB119" s="2040">
        <f>AD119-AC119</f>
        <v>0.02</v>
      </c>
      <c r="AC119" s="2038">
        <v>0</v>
      </c>
      <c r="AD119" s="3078">
        <f>H119*$AO119/1000000</f>
        <v>0.02</v>
      </c>
      <c r="AE119" s="2042">
        <v>0</v>
      </c>
      <c r="AF119" s="2040">
        <f>AH119-AG119</f>
        <v>0.02</v>
      </c>
      <c r="AG119" s="1022">
        <v>0</v>
      </c>
      <c r="AH119" s="3078">
        <f>I119*$AO119/1000000</f>
        <v>0.02</v>
      </c>
      <c r="AI119" s="2042">
        <v>0</v>
      </c>
      <c r="AJ119" s="2040">
        <f>AL119-AK119</f>
        <v>0.02</v>
      </c>
      <c r="AK119" s="1022">
        <v>0</v>
      </c>
      <c r="AL119" s="3078">
        <f>J119*AO119/1000000</f>
        <v>0.02</v>
      </c>
      <c r="AM119" s="2043">
        <v>0</v>
      </c>
      <c r="AN119" s="216">
        <f t="shared" si="269"/>
        <v>-0.8</v>
      </c>
      <c r="AO119" s="2044">
        <v>94</v>
      </c>
      <c r="AP119" s="2040">
        <f>AR119-AQ119</f>
        <v>0.02</v>
      </c>
      <c r="AQ119" s="1022">
        <v>0</v>
      </c>
      <c r="AR119" s="3078">
        <f t="shared" si="302"/>
        <v>0.02</v>
      </c>
      <c r="AS119" s="3091">
        <v>0</v>
      </c>
      <c r="AU119" s="2045">
        <f t="shared" si="271"/>
        <v>0</v>
      </c>
      <c r="AV119" s="2046">
        <f t="shared" si="272"/>
        <v>-0.08</v>
      </c>
    </row>
    <row r="120" spans="1:48" ht="14.25" thickTop="1" thickBot="1">
      <c r="A120" s="3285"/>
      <c r="B120" s="3277" t="s">
        <v>251</v>
      </c>
      <c r="C120" s="3278"/>
      <c r="D120" s="1978">
        <f>SUM(D116:D119)</f>
        <v>5674</v>
      </c>
      <c r="E120" s="1979">
        <f>SUM(E116:E119)</f>
        <v>5931</v>
      </c>
      <c r="F120" s="1980">
        <f>SUM(F116:F119)</f>
        <v>6016</v>
      </c>
      <c r="G120" s="1980">
        <f t="shared" ref="G120:J120" si="303">SUM(G116:G119)</f>
        <v>6103</v>
      </c>
      <c r="H120" s="1980">
        <f t="shared" si="303"/>
        <v>6146</v>
      </c>
      <c r="I120" s="1981">
        <f t="shared" si="303"/>
        <v>6200</v>
      </c>
      <c r="J120" s="1982">
        <f t="shared" si="303"/>
        <v>6265</v>
      </c>
      <c r="K120" s="1983">
        <f>SUM(K116:K119)</f>
        <v>19335</v>
      </c>
      <c r="L120" s="217">
        <f t="shared" si="268"/>
        <v>0.1</v>
      </c>
      <c r="M120" s="101">
        <f t="shared" ref="M120:AL120" si="304">SUM(M116:M119)</f>
        <v>0.68</v>
      </c>
      <c r="N120" s="1984">
        <f t="shared" si="304"/>
        <v>0</v>
      </c>
      <c r="O120" s="154">
        <f t="shared" si="304"/>
        <v>0.68</v>
      </c>
      <c r="P120" s="100">
        <f t="shared" si="304"/>
        <v>0.61</v>
      </c>
      <c r="Q120" s="1984">
        <f t="shared" si="304"/>
        <v>0</v>
      </c>
      <c r="R120" s="3074">
        <f t="shared" si="304"/>
        <v>0.61</v>
      </c>
      <c r="S120" s="303">
        <f>SUM(S116:S119)</f>
        <v>0</v>
      </c>
      <c r="T120" s="1985">
        <f t="shared" si="304"/>
        <v>0.62</v>
      </c>
      <c r="U120" s="1984">
        <f t="shared" si="304"/>
        <v>0</v>
      </c>
      <c r="V120" s="3074">
        <f t="shared" si="304"/>
        <v>0.62</v>
      </c>
      <c r="W120" s="21">
        <f>SUM(W116:W119)</f>
        <v>0</v>
      </c>
      <c r="X120" s="101">
        <f t="shared" si="304"/>
        <v>0.64</v>
      </c>
      <c r="Y120" s="108">
        <f t="shared" si="304"/>
        <v>0</v>
      </c>
      <c r="Z120" s="3074">
        <f t="shared" si="304"/>
        <v>0.64</v>
      </c>
      <c r="AA120" s="303">
        <f>SUM(AA116:AA119)</f>
        <v>0</v>
      </c>
      <c r="AB120" s="1985">
        <f t="shared" si="304"/>
        <v>0.64</v>
      </c>
      <c r="AC120" s="1984">
        <f t="shared" si="304"/>
        <v>0</v>
      </c>
      <c r="AD120" s="3074">
        <f t="shared" si="304"/>
        <v>0.64</v>
      </c>
      <c r="AE120" s="303">
        <f>SUM(AE116:AE119)</f>
        <v>0</v>
      </c>
      <c r="AF120" s="1985">
        <f t="shared" si="304"/>
        <v>0.65</v>
      </c>
      <c r="AG120" s="108">
        <f t="shared" si="304"/>
        <v>0</v>
      </c>
      <c r="AH120" s="3074">
        <f t="shared" si="304"/>
        <v>0.65</v>
      </c>
      <c r="AI120" s="303">
        <f>SUM(AI116:AI119)</f>
        <v>0</v>
      </c>
      <c r="AJ120" s="1985">
        <f t="shared" si="304"/>
        <v>0.66</v>
      </c>
      <c r="AK120" s="108">
        <f t="shared" si="304"/>
        <v>0</v>
      </c>
      <c r="AL120" s="3074">
        <f t="shared" si="304"/>
        <v>0.66</v>
      </c>
      <c r="AM120" s="21">
        <f>SUM(AM116:AM119)</f>
        <v>0</v>
      </c>
      <c r="AN120" s="217">
        <f t="shared" si="269"/>
        <v>-0.03</v>
      </c>
      <c r="AO120" s="3035" t="s">
        <v>16</v>
      </c>
      <c r="AP120" s="1985">
        <f t="shared" ref="AP120:AR120" si="305">SUM(AP116:AP119)</f>
        <v>0.7</v>
      </c>
      <c r="AQ120" s="108">
        <f t="shared" si="305"/>
        <v>0</v>
      </c>
      <c r="AR120" s="3074">
        <f t="shared" si="305"/>
        <v>0.7</v>
      </c>
      <c r="AS120" s="3099">
        <f>SUM(AS116:AS119)</f>
        <v>0</v>
      </c>
      <c r="AU120" s="1986">
        <f t="shared" si="271"/>
        <v>591</v>
      </c>
      <c r="AV120" s="1987">
        <f t="shared" si="272"/>
        <v>-0.02</v>
      </c>
    </row>
    <row r="121" spans="1:48">
      <c r="A121" s="3283" t="s">
        <v>252</v>
      </c>
      <c r="B121" s="2007" t="s">
        <v>253</v>
      </c>
      <c r="C121" s="2008" t="s">
        <v>254</v>
      </c>
      <c r="D121" s="2047">
        <f>'Table 5a'!L110</f>
        <v>3783</v>
      </c>
      <c r="E121" s="1954">
        <v>3969</v>
      </c>
      <c r="F121" s="814">
        <v>4034</v>
      </c>
      <c r="G121" s="814">
        <v>4088</v>
      </c>
      <c r="H121" s="814">
        <v>4109</v>
      </c>
      <c r="I121" s="807">
        <v>4152</v>
      </c>
      <c r="J121" s="813">
        <v>4200</v>
      </c>
      <c r="K121" s="305">
        <v>16736</v>
      </c>
      <c r="L121" s="300">
        <f t="shared" si="268"/>
        <v>0.11</v>
      </c>
      <c r="M121" s="1955">
        <f>O121-N121</f>
        <v>0.93</v>
      </c>
      <c r="N121" s="1956">
        <v>0</v>
      </c>
      <c r="O121" s="633">
        <f>'Table 5a'!G110</f>
        <v>0.93</v>
      </c>
      <c r="P121" s="1000">
        <f>R121-Q121</f>
        <v>1.04</v>
      </c>
      <c r="Q121" s="1956">
        <v>0</v>
      </c>
      <c r="R121" s="3080">
        <f>E121*$AO121/1000000</f>
        <v>1.04</v>
      </c>
      <c r="S121" s="2010">
        <v>0</v>
      </c>
      <c r="T121" s="1957">
        <f>V121-U121</f>
        <v>1.06</v>
      </c>
      <c r="U121" s="1956">
        <v>0</v>
      </c>
      <c r="V121" s="3080">
        <f>F121*$AO121/1000000</f>
        <v>1.06</v>
      </c>
      <c r="W121" s="2011">
        <v>0</v>
      </c>
      <c r="X121" s="1955">
        <f>Z121-Y121</f>
        <v>1.08</v>
      </c>
      <c r="Y121" s="299">
        <v>0</v>
      </c>
      <c r="Z121" s="3080">
        <f>G121*$AO121/1000000</f>
        <v>1.08</v>
      </c>
      <c r="AA121" s="2010">
        <v>0</v>
      </c>
      <c r="AB121" s="1957">
        <f>AD121-AC121</f>
        <v>1.08</v>
      </c>
      <c r="AC121" s="1956">
        <v>0</v>
      </c>
      <c r="AD121" s="3080">
        <f>H121*$AO121/1000000</f>
        <v>1.08</v>
      </c>
      <c r="AE121" s="2010">
        <v>0</v>
      </c>
      <c r="AF121" s="1957">
        <f>AH121-AG121</f>
        <v>1.0900000000000001</v>
      </c>
      <c r="AG121" s="299">
        <v>0</v>
      </c>
      <c r="AH121" s="3080">
        <f>I121*$AO121/1000000</f>
        <v>1.0900000000000001</v>
      </c>
      <c r="AI121" s="2010">
        <v>0</v>
      </c>
      <c r="AJ121" s="1957">
        <f>AL121-AK121</f>
        <v>1.1000000000000001</v>
      </c>
      <c r="AK121" s="299">
        <v>0</v>
      </c>
      <c r="AL121" s="3080">
        <f>J121*AO121/1000000</f>
        <v>1.1000000000000001</v>
      </c>
      <c r="AM121" s="2011">
        <v>0</v>
      </c>
      <c r="AN121" s="300">
        <f t="shared" si="269"/>
        <v>0.18</v>
      </c>
      <c r="AO121" s="2012">
        <f>'Table 5a'!P110</f>
        <v>263</v>
      </c>
      <c r="AP121" s="1957">
        <f>AR121-AQ121</f>
        <v>1.17</v>
      </c>
      <c r="AQ121" s="299">
        <v>0</v>
      </c>
      <c r="AR121" s="3079">
        <f t="shared" ref="AR121:AR124" si="306">AL121*1.06</f>
        <v>1.17</v>
      </c>
      <c r="AS121" s="2067">
        <v>0</v>
      </c>
      <c r="AU121" s="1959">
        <f t="shared" si="271"/>
        <v>417</v>
      </c>
      <c r="AV121" s="1960">
        <f t="shared" si="272"/>
        <v>0.17</v>
      </c>
    </row>
    <row r="122" spans="1:48">
      <c r="A122" s="3283"/>
      <c r="B122" s="2048" t="s">
        <v>255</v>
      </c>
      <c r="C122" s="2008" t="s">
        <v>256</v>
      </c>
      <c r="D122" s="1953">
        <f>'Table 5a'!L111</f>
        <v>770</v>
      </c>
      <c r="E122" s="1954">
        <v>796</v>
      </c>
      <c r="F122" s="814">
        <v>796</v>
      </c>
      <c r="G122" s="814">
        <v>796</v>
      </c>
      <c r="H122" s="814">
        <v>796</v>
      </c>
      <c r="I122" s="807">
        <v>796</v>
      </c>
      <c r="J122" s="813">
        <v>796</v>
      </c>
      <c r="K122" s="305">
        <v>2040</v>
      </c>
      <c r="L122" s="300">
        <f t="shared" si="268"/>
        <v>0.03</v>
      </c>
      <c r="M122" s="1955">
        <f>O122-N122</f>
        <v>0.1</v>
      </c>
      <c r="N122" s="1956">
        <v>0</v>
      </c>
      <c r="O122" s="633">
        <f>'Table 5a'!G111</f>
        <v>0.1</v>
      </c>
      <c r="P122" s="1000">
        <f>R122-Q122</f>
        <v>0.11</v>
      </c>
      <c r="Q122" s="1956">
        <v>0</v>
      </c>
      <c r="R122" s="3080">
        <f>E122*$AO122/1000000</f>
        <v>0.11</v>
      </c>
      <c r="S122" s="2010">
        <v>0</v>
      </c>
      <c r="T122" s="1957">
        <f>V122-U122</f>
        <v>0.11</v>
      </c>
      <c r="U122" s="1956">
        <v>0</v>
      </c>
      <c r="V122" s="3080">
        <f>F122*$AO122/1000000</f>
        <v>0.11</v>
      </c>
      <c r="W122" s="2011">
        <v>0</v>
      </c>
      <c r="X122" s="1955">
        <f>Z122-Y122</f>
        <v>0.11</v>
      </c>
      <c r="Y122" s="299">
        <v>0</v>
      </c>
      <c r="Z122" s="3080">
        <f>G122*$AO122/1000000</f>
        <v>0.11</v>
      </c>
      <c r="AA122" s="2010">
        <v>0</v>
      </c>
      <c r="AB122" s="1957">
        <f>AD122-AC122</f>
        <v>0.11</v>
      </c>
      <c r="AC122" s="1956">
        <v>0</v>
      </c>
      <c r="AD122" s="3080">
        <f>H122*$AO122/1000000</f>
        <v>0.11</v>
      </c>
      <c r="AE122" s="2010">
        <v>0</v>
      </c>
      <c r="AF122" s="1957">
        <f>AH122-AG122</f>
        <v>0.11</v>
      </c>
      <c r="AG122" s="299">
        <v>0</v>
      </c>
      <c r="AH122" s="3080">
        <f>I122*$AO122/1000000</f>
        <v>0.11</v>
      </c>
      <c r="AI122" s="2010">
        <v>0</v>
      </c>
      <c r="AJ122" s="1957">
        <f>AL122-AK122</f>
        <v>0.11</v>
      </c>
      <c r="AK122" s="299">
        <v>0</v>
      </c>
      <c r="AL122" s="3080">
        <f>J122*AO122/1000000</f>
        <v>0.11</v>
      </c>
      <c r="AM122" s="2011">
        <v>0</v>
      </c>
      <c r="AN122" s="300">
        <f t="shared" si="269"/>
        <v>0.1</v>
      </c>
      <c r="AO122" s="2012">
        <f>'Table 5a'!P111</f>
        <v>142</v>
      </c>
      <c r="AP122" s="1957">
        <f>AR122-AQ122</f>
        <v>0.12</v>
      </c>
      <c r="AQ122" s="299">
        <v>0</v>
      </c>
      <c r="AR122" s="3080">
        <f t="shared" si="306"/>
        <v>0.12</v>
      </c>
      <c r="AS122" s="3090">
        <v>0</v>
      </c>
      <c r="AU122" s="1959">
        <f t="shared" si="271"/>
        <v>26</v>
      </c>
      <c r="AV122" s="1960">
        <f t="shared" si="272"/>
        <v>0.01</v>
      </c>
    </row>
    <row r="123" spans="1:48">
      <c r="A123" s="3283"/>
      <c r="B123" s="2306" t="s">
        <v>257</v>
      </c>
      <c r="C123" s="2307" t="s">
        <v>258</v>
      </c>
      <c r="D123" s="2254">
        <f>'Table 5a'!L112</f>
        <v>331</v>
      </c>
      <c r="E123" s="2255">
        <v>338</v>
      </c>
      <c r="F123" s="76">
        <v>338</v>
      </c>
      <c r="G123" s="76">
        <v>338</v>
      </c>
      <c r="H123" s="76">
        <v>338</v>
      </c>
      <c r="I123" s="2256">
        <v>346</v>
      </c>
      <c r="J123" s="335">
        <v>346</v>
      </c>
      <c r="K123" s="2257">
        <v>1929</v>
      </c>
      <c r="L123" s="215">
        <f t="shared" si="268"/>
        <v>0.05</v>
      </c>
      <c r="M123" s="2299">
        <f>O123-N123</f>
        <v>0.06</v>
      </c>
      <c r="N123" s="2229">
        <v>0</v>
      </c>
      <c r="O123" s="638">
        <f>'Table 5a'!G112</f>
        <v>0.06</v>
      </c>
      <c r="P123" s="2230">
        <f>R123-Q123</f>
        <v>7.0000000000000007E-2</v>
      </c>
      <c r="Q123" s="2229">
        <v>0</v>
      </c>
      <c r="R123" s="3082">
        <f>E123*$AO123/1000000</f>
        <v>7.0000000000000007E-2</v>
      </c>
      <c r="S123" s="2063">
        <v>0</v>
      </c>
      <c r="T123" s="2231">
        <f>V123-U123</f>
        <v>7.0000000000000007E-2</v>
      </c>
      <c r="U123" s="2229">
        <v>0</v>
      </c>
      <c r="V123" s="3108">
        <f>F123*$AO123/1000000</f>
        <v>7.0000000000000007E-2</v>
      </c>
      <c r="W123" s="2067">
        <v>0</v>
      </c>
      <c r="X123" s="2228">
        <f>Z123-Y123</f>
        <v>7.0000000000000007E-2</v>
      </c>
      <c r="Y123" s="2232">
        <v>0</v>
      </c>
      <c r="Z123" s="3108">
        <f>G123*$AO123/1000000</f>
        <v>7.0000000000000007E-2</v>
      </c>
      <c r="AA123" s="2063">
        <v>0</v>
      </c>
      <c r="AB123" s="2231">
        <f>AD123-AC123</f>
        <v>7.0000000000000007E-2</v>
      </c>
      <c r="AC123" s="2229">
        <v>0</v>
      </c>
      <c r="AD123" s="3108">
        <f>H123*$AO123/1000000</f>
        <v>7.0000000000000007E-2</v>
      </c>
      <c r="AE123" s="2063">
        <v>0</v>
      </c>
      <c r="AF123" s="2231">
        <f>AH123-AG123</f>
        <v>7.0000000000000007E-2</v>
      </c>
      <c r="AG123" s="2232">
        <v>0</v>
      </c>
      <c r="AH123" s="3108">
        <f>I123*$AO123/1000000</f>
        <v>7.0000000000000007E-2</v>
      </c>
      <c r="AI123" s="2063">
        <v>0</v>
      </c>
      <c r="AJ123" s="2231">
        <f>AL123-AK123</f>
        <v>7.0000000000000007E-2</v>
      </c>
      <c r="AK123" s="2232">
        <v>0</v>
      </c>
      <c r="AL123" s="3108">
        <f>J123*AO123/1000000</f>
        <v>7.0000000000000007E-2</v>
      </c>
      <c r="AM123" s="2067">
        <v>0</v>
      </c>
      <c r="AN123" s="215">
        <f t="shared" si="269"/>
        <v>0.17</v>
      </c>
      <c r="AO123" s="2174">
        <f>'Table 5a'!P112</f>
        <v>208</v>
      </c>
      <c r="AP123" s="2301">
        <f>AR123-AQ123</f>
        <v>7.0000000000000007E-2</v>
      </c>
      <c r="AQ123" s="2232">
        <v>0</v>
      </c>
      <c r="AR123" s="3082">
        <f t="shared" si="306"/>
        <v>7.0000000000000007E-2</v>
      </c>
      <c r="AS123" s="2067">
        <v>0</v>
      </c>
      <c r="AU123" s="2261">
        <f t="shared" si="271"/>
        <v>15</v>
      </c>
      <c r="AV123" s="2303">
        <f t="shared" si="272"/>
        <v>0.01</v>
      </c>
    </row>
    <row r="124" spans="1:48" ht="13.5" thickBot="1">
      <c r="A124" s="3283"/>
      <c r="B124" s="2177" t="s">
        <v>259</v>
      </c>
      <c r="C124" s="2030" t="s">
        <v>260</v>
      </c>
      <c r="D124" s="2031">
        <f>'Table 5a'!L113</f>
        <v>620</v>
      </c>
      <c r="E124" s="2032">
        <v>660</v>
      </c>
      <c r="F124" s="2033">
        <v>664</v>
      </c>
      <c r="G124" s="2033">
        <v>664</v>
      </c>
      <c r="H124" s="2033">
        <v>664</v>
      </c>
      <c r="I124" s="2034">
        <v>664</v>
      </c>
      <c r="J124" s="2035">
        <v>664</v>
      </c>
      <c r="K124" s="2036">
        <v>1903</v>
      </c>
      <c r="L124" s="216">
        <f t="shared" si="268"/>
        <v>7.0000000000000007E-2</v>
      </c>
      <c r="M124" s="2037">
        <f>O124-N124</f>
        <v>0.05</v>
      </c>
      <c r="N124" s="2038">
        <v>0</v>
      </c>
      <c r="O124" s="51">
        <f>'Table 5a'!G113</f>
        <v>0.05</v>
      </c>
      <c r="P124" s="1021">
        <f>R124-Q124</f>
        <v>0.05</v>
      </c>
      <c r="Q124" s="2038">
        <v>0</v>
      </c>
      <c r="R124" s="3078">
        <f>E124*$AO124/1000000</f>
        <v>0.05</v>
      </c>
      <c r="S124" s="2042">
        <v>0</v>
      </c>
      <c r="T124" s="2040">
        <f>V124-U124</f>
        <v>0.05</v>
      </c>
      <c r="U124" s="2038">
        <v>0</v>
      </c>
      <c r="V124" s="3078">
        <f>F124*$AO124/1000000</f>
        <v>0.05</v>
      </c>
      <c r="W124" s="2043">
        <v>0</v>
      </c>
      <c r="X124" s="2037">
        <f>Z124-Y124</f>
        <v>0.05</v>
      </c>
      <c r="Y124" s="1022">
        <v>0</v>
      </c>
      <c r="Z124" s="3078">
        <f>G124*$AO124/1000000</f>
        <v>0.05</v>
      </c>
      <c r="AA124" s="2042">
        <v>0</v>
      </c>
      <c r="AB124" s="2040">
        <f>AD124-AC124</f>
        <v>0.05</v>
      </c>
      <c r="AC124" s="2038">
        <v>0</v>
      </c>
      <c r="AD124" s="3078">
        <f>H124*$AO124/1000000</f>
        <v>0.05</v>
      </c>
      <c r="AE124" s="2042">
        <v>0</v>
      </c>
      <c r="AF124" s="2040">
        <f>AH124-AG124</f>
        <v>0.05</v>
      </c>
      <c r="AG124" s="1022">
        <v>0</v>
      </c>
      <c r="AH124" s="3078">
        <f>I124*$AO124/1000000</f>
        <v>0.05</v>
      </c>
      <c r="AI124" s="2042">
        <v>0</v>
      </c>
      <c r="AJ124" s="2040">
        <f>AL124-AK124</f>
        <v>0.05</v>
      </c>
      <c r="AK124" s="1022">
        <v>0</v>
      </c>
      <c r="AL124" s="3078">
        <f>J124*AO124/1000000</f>
        <v>0.05</v>
      </c>
      <c r="AM124" s="2043">
        <v>0</v>
      </c>
      <c r="AN124" s="216">
        <f t="shared" si="269"/>
        <v>0</v>
      </c>
      <c r="AO124" s="2044">
        <f>'Table 5a'!P113</f>
        <v>81</v>
      </c>
      <c r="AP124" s="2040">
        <f>AR124-AQ124</f>
        <v>0.05</v>
      </c>
      <c r="AQ124" s="1022">
        <v>0</v>
      </c>
      <c r="AR124" s="3078">
        <f t="shared" si="306"/>
        <v>0.05</v>
      </c>
      <c r="AS124" s="3093">
        <v>0</v>
      </c>
      <c r="AU124" s="2045">
        <f t="shared" si="271"/>
        <v>44</v>
      </c>
      <c r="AV124" s="2046">
        <f t="shared" si="272"/>
        <v>0</v>
      </c>
    </row>
    <row r="125" spans="1:48" ht="14.25" thickTop="1" thickBot="1">
      <c r="A125" s="3285"/>
      <c r="B125" s="3277" t="s">
        <v>261</v>
      </c>
      <c r="C125" s="3278"/>
      <c r="D125" s="1978">
        <f t="shared" ref="D125:K125" si="307">SUM(D121:D124)</f>
        <v>5504</v>
      </c>
      <c r="E125" s="1979">
        <f t="shared" si="307"/>
        <v>5763</v>
      </c>
      <c r="F125" s="1980">
        <f t="shared" si="307"/>
        <v>5832</v>
      </c>
      <c r="G125" s="1980">
        <f t="shared" si="307"/>
        <v>5886</v>
      </c>
      <c r="H125" s="1980">
        <f t="shared" si="307"/>
        <v>5907</v>
      </c>
      <c r="I125" s="1981">
        <f t="shared" si="307"/>
        <v>5958</v>
      </c>
      <c r="J125" s="1982">
        <f t="shared" si="307"/>
        <v>6006</v>
      </c>
      <c r="K125" s="1983">
        <f t="shared" si="307"/>
        <v>22608</v>
      </c>
      <c r="L125" s="217">
        <f t="shared" ref="L125:AL125" si="308">SUM(L121:L124)</f>
        <v>0.26</v>
      </c>
      <c r="M125" s="101">
        <f t="shared" si="308"/>
        <v>1.1399999999999999</v>
      </c>
      <c r="N125" s="1984">
        <f t="shared" si="308"/>
        <v>0</v>
      </c>
      <c r="O125" s="154">
        <f t="shared" si="308"/>
        <v>1.1399999999999999</v>
      </c>
      <c r="P125" s="100">
        <f t="shared" si="308"/>
        <v>1.27</v>
      </c>
      <c r="Q125" s="1984">
        <f t="shared" si="308"/>
        <v>0</v>
      </c>
      <c r="R125" s="3074">
        <f t="shared" si="308"/>
        <v>1.27</v>
      </c>
      <c r="S125" s="303">
        <f>SUM(S121:S124)</f>
        <v>0</v>
      </c>
      <c r="T125" s="1985">
        <f t="shared" si="308"/>
        <v>1.29</v>
      </c>
      <c r="U125" s="1984">
        <f t="shared" si="308"/>
        <v>0</v>
      </c>
      <c r="V125" s="3074">
        <f t="shared" si="308"/>
        <v>1.29</v>
      </c>
      <c r="W125" s="21">
        <f>SUM(W121:W124)</f>
        <v>0</v>
      </c>
      <c r="X125" s="101">
        <f t="shared" si="308"/>
        <v>1.31</v>
      </c>
      <c r="Y125" s="108">
        <f t="shared" si="308"/>
        <v>0</v>
      </c>
      <c r="Z125" s="3074">
        <f t="shared" si="308"/>
        <v>1.31</v>
      </c>
      <c r="AA125" s="303">
        <f>SUM(AA121:AA124)</f>
        <v>0</v>
      </c>
      <c r="AB125" s="1985">
        <f t="shared" si="308"/>
        <v>1.31</v>
      </c>
      <c r="AC125" s="1984">
        <f t="shared" si="308"/>
        <v>0</v>
      </c>
      <c r="AD125" s="3074">
        <f t="shared" si="308"/>
        <v>1.31</v>
      </c>
      <c r="AE125" s="303">
        <f>SUM(AE121:AE124)</f>
        <v>0</v>
      </c>
      <c r="AF125" s="1985">
        <f t="shared" si="308"/>
        <v>1.32</v>
      </c>
      <c r="AG125" s="108">
        <f t="shared" si="308"/>
        <v>0</v>
      </c>
      <c r="AH125" s="3074">
        <f t="shared" si="308"/>
        <v>1.32</v>
      </c>
      <c r="AI125" s="303">
        <f>SUM(AI121:AI124)</f>
        <v>0</v>
      </c>
      <c r="AJ125" s="1985">
        <f t="shared" si="308"/>
        <v>1.33</v>
      </c>
      <c r="AK125" s="108">
        <f t="shared" si="308"/>
        <v>0</v>
      </c>
      <c r="AL125" s="3074">
        <f t="shared" si="308"/>
        <v>1.33</v>
      </c>
      <c r="AM125" s="21">
        <f>SUM(AM121:AM124)</f>
        <v>0</v>
      </c>
      <c r="AN125" s="217">
        <f t="shared" si="269"/>
        <v>0.17</v>
      </c>
      <c r="AO125" s="3035" t="s">
        <v>16</v>
      </c>
      <c r="AP125" s="1985">
        <f t="shared" ref="AP125:AR125" si="309">SUM(AP121:AP124)</f>
        <v>1.41</v>
      </c>
      <c r="AQ125" s="108">
        <f t="shared" si="309"/>
        <v>0</v>
      </c>
      <c r="AR125" s="2546">
        <f t="shared" si="309"/>
        <v>1.41</v>
      </c>
      <c r="AS125" s="3098">
        <f>SUM(AS121:AS124)</f>
        <v>0</v>
      </c>
      <c r="AU125" s="1986">
        <f t="shared" si="271"/>
        <v>502</v>
      </c>
      <c r="AV125" s="1987">
        <f t="shared" si="272"/>
        <v>0.19</v>
      </c>
    </row>
    <row r="126" spans="1:48">
      <c r="A126" s="3274" t="s">
        <v>262</v>
      </c>
      <c r="B126" s="2103" t="s">
        <v>263</v>
      </c>
      <c r="C126" s="2280">
        <v>216835</v>
      </c>
      <c r="D126" s="2015">
        <f>'Table 5a'!L115</f>
        <v>6736</v>
      </c>
      <c r="E126" s="2016">
        <v>6919</v>
      </c>
      <c r="F126" s="2017">
        <v>6919</v>
      </c>
      <c r="G126" s="2017">
        <v>6919</v>
      </c>
      <c r="H126" s="2017">
        <v>6919</v>
      </c>
      <c r="I126" s="2018">
        <v>6919</v>
      </c>
      <c r="J126" s="2019">
        <v>6919</v>
      </c>
      <c r="K126" s="2020">
        <v>12145</v>
      </c>
      <c r="L126" s="215">
        <f t="shared" si="268"/>
        <v>0.03</v>
      </c>
      <c r="M126" s="2216">
        <f>O126-N126</f>
        <v>1.43</v>
      </c>
      <c r="N126" s="2229">
        <v>0</v>
      </c>
      <c r="O126" s="315">
        <f>'Table 5a'!G115</f>
        <v>1.43</v>
      </c>
      <c r="P126" s="2230">
        <f>R126-Q126</f>
        <v>1.49</v>
      </c>
      <c r="Q126" s="2229">
        <v>0</v>
      </c>
      <c r="R126" s="3075">
        <f>E126*$AO126/1000000</f>
        <v>1.49</v>
      </c>
      <c r="S126" s="103">
        <v>0</v>
      </c>
      <c r="T126" s="2231">
        <f>V126-U126</f>
        <v>1.49</v>
      </c>
      <c r="U126" s="2229">
        <v>0</v>
      </c>
      <c r="V126" s="3075">
        <f>F126*$AO126/1000000</f>
        <v>1.49</v>
      </c>
      <c r="W126" s="61">
        <v>0</v>
      </c>
      <c r="X126" s="2228">
        <f>Z126-Y126</f>
        <v>1.49</v>
      </c>
      <c r="Y126" s="2232">
        <v>0</v>
      </c>
      <c r="Z126" s="3075">
        <f>G126*$AO126/1000000</f>
        <v>1.49</v>
      </c>
      <c r="AA126" s="103">
        <v>0</v>
      </c>
      <c r="AB126" s="2231">
        <f>AD126-AC126</f>
        <v>1.49</v>
      </c>
      <c r="AC126" s="2229">
        <v>0</v>
      </c>
      <c r="AD126" s="3075">
        <f>H126*$AO126/1000000</f>
        <v>1.49</v>
      </c>
      <c r="AE126" s="103">
        <v>0</v>
      </c>
      <c r="AF126" s="2231">
        <f>AH126-AG126</f>
        <v>1.49</v>
      </c>
      <c r="AG126" s="2232">
        <v>0</v>
      </c>
      <c r="AH126" s="3075">
        <f>I126*$AO126/1000000</f>
        <v>1.49</v>
      </c>
      <c r="AI126" s="103">
        <v>0</v>
      </c>
      <c r="AJ126" s="2231">
        <f>AL126-AK126</f>
        <v>1.49</v>
      </c>
      <c r="AK126" s="2232">
        <v>0</v>
      </c>
      <c r="AL126" s="3075">
        <f>J126*AO126/1000000</f>
        <v>1.49</v>
      </c>
      <c r="AM126" s="61">
        <v>0</v>
      </c>
      <c r="AN126" s="215">
        <f t="shared" si="269"/>
        <v>0.04</v>
      </c>
      <c r="AO126" s="2308">
        <f>'Table 5a'!P115</f>
        <v>215</v>
      </c>
      <c r="AP126" s="2220">
        <f>AR126-AQ126</f>
        <v>1.58</v>
      </c>
      <c r="AQ126" s="2232">
        <v>0</v>
      </c>
      <c r="AR126" s="3087">
        <f t="shared" ref="AR126:AR128" si="310">AL126*1.06</f>
        <v>1.58</v>
      </c>
      <c r="AS126" s="2067">
        <v>0</v>
      </c>
      <c r="AU126" s="2027">
        <f t="shared" si="271"/>
        <v>183</v>
      </c>
      <c r="AV126" s="2227">
        <f t="shared" si="272"/>
        <v>0.06</v>
      </c>
    </row>
    <row r="127" spans="1:48">
      <c r="A127" s="3275"/>
      <c r="B127" s="2203" t="s">
        <v>264</v>
      </c>
      <c r="C127" s="2206">
        <v>220484</v>
      </c>
      <c r="D127" s="1953">
        <f>'Table 5a'!L116</f>
        <v>3222</v>
      </c>
      <c r="E127" s="1954">
        <v>3412</v>
      </c>
      <c r="F127" s="814">
        <v>3952</v>
      </c>
      <c r="G127" s="814">
        <v>4307</v>
      </c>
      <c r="H127" s="814">
        <v>4662</v>
      </c>
      <c r="I127" s="807">
        <v>4923</v>
      </c>
      <c r="J127" s="813">
        <v>5289</v>
      </c>
      <c r="K127" s="305">
        <v>6192</v>
      </c>
      <c r="L127" s="300">
        <f t="shared" si="268"/>
        <v>0.64</v>
      </c>
      <c r="M127" s="1955">
        <f>O127-N127</f>
        <v>0.26</v>
      </c>
      <c r="N127" s="1956">
        <v>0</v>
      </c>
      <c r="O127" s="633">
        <f>'Table 5a'!G116</f>
        <v>0.26</v>
      </c>
      <c r="P127" s="1000">
        <f>R127-Q127</f>
        <v>0.32</v>
      </c>
      <c r="Q127" s="1956">
        <v>0</v>
      </c>
      <c r="R127" s="3080">
        <f>E127*$AO127/1000000</f>
        <v>0.32</v>
      </c>
      <c r="S127" s="2010">
        <v>0</v>
      </c>
      <c r="T127" s="1957">
        <f>V127-U127</f>
        <v>0.38</v>
      </c>
      <c r="U127" s="1956">
        <v>0</v>
      </c>
      <c r="V127" s="3080">
        <f>F127*$AO127/1000000</f>
        <v>0.38</v>
      </c>
      <c r="W127" s="2011">
        <v>0</v>
      </c>
      <c r="X127" s="1955">
        <f>Z127-Y127</f>
        <v>0.41</v>
      </c>
      <c r="Y127" s="299">
        <v>0</v>
      </c>
      <c r="Z127" s="3080">
        <f>G127*$AO127/1000000</f>
        <v>0.41</v>
      </c>
      <c r="AA127" s="2010">
        <v>0</v>
      </c>
      <c r="AB127" s="1957">
        <f>AD127-AC127</f>
        <v>0.44</v>
      </c>
      <c r="AC127" s="1956">
        <v>0</v>
      </c>
      <c r="AD127" s="3080">
        <f>H127*$AO127/1000000</f>
        <v>0.44</v>
      </c>
      <c r="AE127" s="2010">
        <v>0</v>
      </c>
      <c r="AF127" s="1957">
        <f>AH127-AG127</f>
        <v>0.47</v>
      </c>
      <c r="AG127" s="299">
        <v>0</v>
      </c>
      <c r="AH127" s="3080">
        <f>I127*$AO127/1000000</f>
        <v>0.47</v>
      </c>
      <c r="AI127" s="2010">
        <v>0</v>
      </c>
      <c r="AJ127" s="1957">
        <f>AL127-AK127</f>
        <v>0.5</v>
      </c>
      <c r="AK127" s="299">
        <v>0</v>
      </c>
      <c r="AL127" s="3080">
        <f>J127*AO127/1000000</f>
        <v>0.5</v>
      </c>
      <c r="AM127" s="2011">
        <v>0</v>
      </c>
      <c r="AN127" s="300">
        <f t="shared" si="269"/>
        <v>0.92</v>
      </c>
      <c r="AO127" s="2190">
        <f>'Table 5a'!P116</f>
        <v>95</v>
      </c>
      <c r="AP127" s="1957">
        <f>AR127-AQ127</f>
        <v>0.53</v>
      </c>
      <c r="AQ127" s="299">
        <v>0</v>
      </c>
      <c r="AR127" s="3080">
        <f t="shared" si="310"/>
        <v>0.53</v>
      </c>
      <c r="AS127" s="3090">
        <v>0</v>
      </c>
      <c r="AT127" s="2279"/>
      <c r="AU127" s="1959">
        <f t="shared" si="271"/>
        <v>2067</v>
      </c>
      <c r="AV127" s="1960">
        <f t="shared" si="272"/>
        <v>0.24</v>
      </c>
    </row>
    <row r="128" spans="1:48" ht="13.5" thickBot="1">
      <c r="A128" s="3275"/>
      <c r="B128" s="2283" t="s">
        <v>265</v>
      </c>
      <c r="C128" s="2207">
        <v>221166</v>
      </c>
      <c r="D128" s="2031">
        <f>'Table 5a'!L117</f>
        <v>1233</v>
      </c>
      <c r="E128" s="2032">
        <v>1330</v>
      </c>
      <c r="F128" s="2033">
        <v>1398</v>
      </c>
      <c r="G128" s="2033">
        <v>1470</v>
      </c>
      <c r="H128" s="2033">
        <v>1545</v>
      </c>
      <c r="I128" s="2034">
        <v>1623</v>
      </c>
      <c r="J128" s="2035">
        <v>1623</v>
      </c>
      <c r="K128" s="2036">
        <v>8749</v>
      </c>
      <c r="L128" s="216">
        <f t="shared" si="268"/>
        <v>0.32</v>
      </c>
      <c r="M128" s="2037">
        <f>O128-N128</f>
        <v>0.05</v>
      </c>
      <c r="N128" s="2038">
        <v>0</v>
      </c>
      <c r="O128" s="51">
        <f>'Table 5a'!G117</f>
        <v>0.05</v>
      </c>
      <c r="P128" s="1021">
        <f>R128-Q128</f>
        <v>0.06</v>
      </c>
      <c r="Q128" s="2038">
        <v>0</v>
      </c>
      <c r="R128" s="3078">
        <f>E128*$AO128/1000000</f>
        <v>0.06</v>
      </c>
      <c r="S128" s="2042">
        <v>0</v>
      </c>
      <c r="T128" s="2040">
        <f>V128-U128</f>
        <v>0.06</v>
      </c>
      <c r="U128" s="2038">
        <v>0</v>
      </c>
      <c r="V128" s="3078">
        <f>F128*$AO128/1000000</f>
        <v>0.06</v>
      </c>
      <c r="W128" s="2043">
        <v>0</v>
      </c>
      <c r="X128" s="2037">
        <f>Z128-Y128</f>
        <v>7.0000000000000007E-2</v>
      </c>
      <c r="Y128" s="1022">
        <v>0</v>
      </c>
      <c r="Z128" s="3078">
        <f>G128*$AO128/1000000</f>
        <v>7.0000000000000007E-2</v>
      </c>
      <c r="AA128" s="2042">
        <v>0</v>
      </c>
      <c r="AB128" s="2040">
        <f>AD128-AC128</f>
        <v>7.0000000000000007E-2</v>
      </c>
      <c r="AC128" s="2038">
        <v>0</v>
      </c>
      <c r="AD128" s="3078">
        <f>H128*$AO128/1000000</f>
        <v>7.0000000000000007E-2</v>
      </c>
      <c r="AE128" s="2042">
        <v>0</v>
      </c>
      <c r="AF128" s="2040">
        <f>AH128-AG128</f>
        <v>7.0000000000000007E-2</v>
      </c>
      <c r="AG128" s="1022">
        <v>0</v>
      </c>
      <c r="AH128" s="3078">
        <f>I128*$AO128/1000000</f>
        <v>7.0000000000000007E-2</v>
      </c>
      <c r="AI128" s="2042">
        <v>0</v>
      </c>
      <c r="AJ128" s="2040">
        <f>AL128-AK128</f>
        <v>7.0000000000000007E-2</v>
      </c>
      <c r="AK128" s="1022">
        <v>0</v>
      </c>
      <c r="AL128" s="3078">
        <f>J128*AO128/1000000</f>
        <v>7.0000000000000007E-2</v>
      </c>
      <c r="AM128" s="2043">
        <v>0</v>
      </c>
      <c r="AN128" s="216">
        <f t="shared" si="269"/>
        <v>0.4</v>
      </c>
      <c r="AO128" s="2309">
        <f>'Table 5a'!P117</f>
        <v>45</v>
      </c>
      <c r="AP128" s="2040">
        <f>AR128-AQ128</f>
        <v>7.0000000000000007E-2</v>
      </c>
      <c r="AQ128" s="1022">
        <v>0</v>
      </c>
      <c r="AR128" s="3078">
        <f t="shared" si="310"/>
        <v>7.0000000000000007E-2</v>
      </c>
      <c r="AS128" s="3091">
        <v>0</v>
      </c>
      <c r="AT128" s="2279"/>
      <c r="AU128" s="2045">
        <f t="shared" si="271"/>
        <v>390</v>
      </c>
      <c r="AV128" s="2046">
        <f t="shared" si="272"/>
        <v>0.02</v>
      </c>
    </row>
    <row r="129" spans="1:48" ht="14.25" thickTop="1" thickBot="1">
      <c r="A129" s="3276"/>
      <c r="B129" s="3277" t="s">
        <v>266</v>
      </c>
      <c r="C129" s="3278"/>
      <c r="D129" s="1978">
        <f>SUM(D126:D128)</f>
        <v>11191</v>
      </c>
      <c r="E129" s="1979">
        <f t="shared" ref="E129:J129" si="311">SUM(E126:E128)</f>
        <v>11661</v>
      </c>
      <c r="F129" s="1980">
        <f t="shared" si="311"/>
        <v>12269</v>
      </c>
      <c r="G129" s="1980">
        <f t="shared" si="311"/>
        <v>12696</v>
      </c>
      <c r="H129" s="1980">
        <f t="shared" si="311"/>
        <v>13126</v>
      </c>
      <c r="I129" s="1981">
        <f t="shared" si="311"/>
        <v>13465</v>
      </c>
      <c r="J129" s="1982">
        <f t="shared" si="311"/>
        <v>13831</v>
      </c>
      <c r="K129" s="1983">
        <f>SUM(K126:K128)</f>
        <v>27086</v>
      </c>
      <c r="L129" s="217">
        <f t="shared" si="268"/>
        <v>0.24</v>
      </c>
      <c r="M129" s="101">
        <f t="shared" ref="M129:AM129" si="312">SUM(M126:M128)</f>
        <v>1.74</v>
      </c>
      <c r="N129" s="1984">
        <f t="shared" si="312"/>
        <v>0</v>
      </c>
      <c r="O129" s="647">
        <f t="shared" si="312"/>
        <v>1.74</v>
      </c>
      <c r="P129" s="100">
        <f t="shared" si="312"/>
        <v>1.87</v>
      </c>
      <c r="Q129" s="1984">
        <f t="shared" si="312"/>
        <v>0</v>
      </c>
      <c r="R129" s="3109">
        <f t="shared" si="312"/>
        <v>1.87</v>
      </c>
      <c r="S129" s="2097">
        <f t="shared" ref="S129" si="313">SUM(S126:S128)</f>
        <v>0</v>
      </c>
      <c r="T129" s="1985">
        <f t="shared" si="312"/>
        <v>1.93</v>
      </c>
      <c r="U129" s="1984">
        <f t="shared" si="312"/>
        <v>0</v>
      </c>
      <c r="V129" s="3109">
        <f t="shared" si="312"/>
        <v>1.93</v>
      </c>
      <c r="W129" s="2101">
        <f t="shared" si="312"/>
        <v>0</v>
      </c>
      <c r="X129" s="101">
        <f t="shared" si="312"/>
        <v>1.97</v>
      </c>
      <c r="Y129" s="108">
        <f t="shared" si="312"/>
        <v>0</v>
      </c>
      <c r="Z129" s="3109">
        <f t="shared" si="312"/>
        <v>1.97</v>
      </c>
      <c r="AA129" s="2097">
        <f t="shared" si="312"/>
        <v>0</v>
      </c>
      <c r="AB129" s="1985">
        <f t="shared" si="312"/>
        <v>2</v>
      </c>
      <c r="AC129" s="1984">
        <f t="shared" si="312"/>
        <v>0</v>
      </c>
      <c r="AD129" s="3109">
        <f t="shared" si="312"/>
        <v>2</v>
      </c>
      <c r="AE129" s="2097">
        <f t="shared" si="312"/>
        <v>0</v>
      </c>
      <c r="AF129" s="1985">
        <f t="shared" si="312"/>
        <v>2.0299999999999998</v>
      </c>
      <c r="AG129" s="108">
        <f t="shared" si="312"/>
        <v>0</v>
      </c>
      <c r="AH129" s="3109">
        <f t="shared" si="312"/>
        <v>2.0299999999999998</v>
      </c>
      <c r="AI129" s="2097">
        <f t="shared" si="312"/>
        <v>0</v>
      </c>
      <c r="AJ129" s="1985">
        <f t="shared" si="312"/>
        <v>2.06</v>
      </c>
      <c r="AK129" s="108">
        <f t="shared" si="312"/>
        <v>0</v>
      </c>
      <c r="AL129" s="3109">
        <f t="shared" si="312"/>
        <v>2.06</v>
      </c>
      <c r="AM129" s="2101">
        <f t="shared" si="312"/>
        <v>0</v>
      </c>
      <c r="AN129" s="217">
        <f t="shared" si="269"/>
        <v>0.18</v>
      </c>
      <c r="AO129" s="3041" t="s">
        <v>16</v>
      </c>
      <c r="AP129" s="1985">
        <f t="shared" ref="AP129:AR129" si="314">SUM(AP126:AP128)</f>
        <v>2.1800000000000002</v>
      </c>
      <c r="AQ129" s="108">
        <f t="shared" si="314"/>
        <v>0</v>
      </c>
      <c r="AR129" s="3109">
        <f t="shared" si="314"/>
        <v>2.1800000000000002</v>
      </c>
      <c r="AS129" s="2067">
        <f>SUM(AS126:AS128)</f>
        <v>0</v>
      </c>
      <c r="AT129" s="2279"/>
      <c r="AU129" s="1986">
        <f t="shared" si="271"/>
        <v>2640</v>
      </c>
      <c r="AV129" s="1987">
        <f t="shared" si="272"/>
        <v>0.32</v>
      </c>
    </row>
    <row r="130" spans="1:48" ht="13.5" thickBot="1">
      <c r="A130" s="3271" t="s">
        <v>52</v>
      </c>
      <c r="B130" s="3272"/>
      <c r="C130" s="3273"/>
      <c r="D130" s="1978">
        <f>D111+D113+D115+D120+D125+D129</f>
        <v>26601</v>
      </c>
      <c r="E130" s="1979">
        <f t="shared" ref="E130:K130" si="315">E111+E113+E115+E120+E125+E129</f>
        <v>28121</v>
      </c>
      <c r="F130" s="1980">
        <f t="shared" si="315"/>
        <v>29020</v>
      </c>
      <c r="G130" s="1980">
        <f t="shared" si="315"/>
        <v>29660</v>
      </c>
      <c r="H130" s="1980">
        <f t="shared" si="315"/>
        <v>30177</v>
      </c>
      <c r="I130" s="1981">
        <f t="shared" si="315"/>
        <v>30631</v>
      </c>
      <c r="J130" s="1982">
        <f t="shared" si="315"/>
        <v>31121</v>
      </c>
      <c r="K130" s="1983">
        <f t="shared" si="315"/>
        <v>96937</v>
      </c>
      <c r="L130" s="217">
        <f t="shared" si="268"/>
        <v>0.17</v>
      </c>
      <c r="M130" s="101">
        <f t="shared" ref="M130" si="316">M111+M113+M115+M120+M125+M129</f>
        <v>4.3600000000000003</v>
      </c>
      <c r="N130" s="1984">
        <f t="shared" ref="N130" si="317">N111+N113+N115+N120+N125+N129</f>
        <v>0</v>
      </c>
      <c r="O130" s="647">
        <f t="shared" ref="O130" si="318">O111+O113+O115+O120+O125+O129</f>
        <v>4.3600000000000003</v>
      </c>
      <c r="P130" s="100">
        <f t="shared" ref="P130" si="319">P111+P113+P115+P120+P125+P129</f>
        <v>4.71</v>
      </c>
      <c r="Q130" s="1984">
        <f t="shared" ref="Q130" si="320">Q111+Q113+Q115+Q120+Q125+Q129</f>
        <v>0</v>
      </c>
      <c r="R130" s="3109">
        <f t="shared" ref="R130:S130" si="321">R111+R113+R115+R120+R125+R129</f>
        <v>4.71</v>
      </c>
      <c r="S130" s="2097">
        <f t="shared" si="321"/>
        <v>0</v>
      </c>
      <c r="T130" s="1985">
        <f t="shared" ref="T130" si="322">T111+T113+T115+T120+T125+T129</f>
        <v>4.84</v>
      </c>
      <c r="U130" s="1984">
        <f t="shared" ref="U130" si="323">U111+U113+U115+U120+U125+U129</f>
        <v>0</v>
      </c>
      <c r="V130" s="3109">
        <f t="shared" ref="V130:W130" si="324">V111+V113+V115+V120+V125+V129</f>
        <v>4.84</v>
      </c>
      <c r="W130" s="2101">
        <f t="shared" si="324"/>
        <v>0</v>
      </c>
      <c r="X130" s="101">
        <f t="shared" ref="X130" si="325">X111+X113+X115+X120+X125+X129</f>
        <v>4.95</v>
      </c>
      <c r="Y130" s="108">
        <f t="shared" ref="Y130" si="326">Y111+Y113+Y115+Y120+Y125+Y129</f>
        <v>0</v>
      </c>
      <c r="Z130" s="3109">
        <f t="shared" ref="Z130:AA130" si="327">Z111+Z113+Z115+Z120+Z125+Z129</f>
        <v>4.95</v>
      </c>
      <c r="AA130" s="2097">
        <f t="shared" si="327"/>
        <v>0</v>
      </c>
      <c r="AB130" s="1985">
        <f t="shared" ref="AB130" si="328">AB111+AB113+AB115+AB120+AB125+AB129</f>
        <v>4.9800000000000004</v>
      </c>
      <c r="AC130" s="1984">
        <f t="shared" ref="AC130" si="329">AC111+AC113+AC115+AC120+AC125+AC129</f>
        <v>0</v>
      </c>
      <c r="AD130" s="3109">
        <f t="shared" ref="AD130:AE130" si="330">AD111+AD113+AD115+AD120+AD125+AD129</f>
        <v>4.9800000000000004</v>
      </c>
      <c r="AE130" s="2097">
        <f t="shared" si="330"/>
        <v>0</v>
      </c>
      <c r="AF130" s="1985">
        <f t="shared" ref="AF130" si="331">AF111+AF113+AF115+AF120+AF125+AF129</f>
        <v>5.03</v>
      </c>
      <c r="AG130" s="108">
        <f t="shared" ref="AG130" si="332">AG111+AG113+AG115+AG120+AG125+AG129</f>
        <v>0</v>
      </c>
      <c r="AH130" s="3109">
        <f t="shared" ref="AH130:AI130" si="333">AH111+AH113+AH115+AH120+AH125+AH129</f>
        <v>5.03</v>
      </c>
      <c r="AI130" s="2097">
        <f t="shared" si="333"/>
        <v>0</v>
      </c>
      <c r="AJ130" s="1985">
        <f t="shared" ref="AJ130" si="334">AJ111+AJ113+AJ115+AJ120+AJ125+AJ129</f>
        <v>5.08</v>
      </c>
      <c r="AK130" s="108">
        <f t="shared" ref="AK130" si="335">AK111+AK113+AK115+AK120+AK125+AK129</f>
        <v>0</v>
      </c>
      <c r="AL130" s="3109">
        <f t="shared" ref="AL130:AM130" si="336">AL111+AL113+AL115+AL120+AL125+AL129</f>
        <v>5.08</v>
      </c>
      <c r="AM130" s="2101">
        <f t="shared" si="336"/>
        <v>0</v>
      </c>
      <c r="AN130" s="217">
        <f t="shared" si="269"/>
        <v>0.17</v>
      </c>
      <c r="AO130" s="3041" t="s">
        <v>16</v>
      </c>
      <c r="AP130" s="1985">
        <f t="shared" ref="AP130" si="337">AP111+AP113+AP115+AP120+AP125+AP129</f>
        <v>5.38</v>
      </c>
      <c r="AQ130" s="108">
        <f t="shared" ref="AQ130" si="338">AQ111+AQ113+AQ115+AQ120+AQ125+AQ129</f>
        <v>0</v>
      </c>
      <c r="AR130" s="3109">
        <f t="shared" ref="AR130:AS130" si="339">AR111+AR113+AR115+AR120+AR125+AR129</f>
        <v>5.33</v>
      </c>
      <c r="AS130" s="3127">
        <f t="shared" si="339"/>
        <v>0</v>
      </c>
      <c r="AU130" s="1986">
        <f t="shared" si="271"/>
        <v>4520</v>
      </c>
      <c r="AV130" s="1987">
        <f t="shared" si="272"/>
        <v>0.72</v>
      </c>
    </row>
    <row r="131" spans="1:48">
      <c r="A131" s="54" t="s">
        <v>35</v>
      </c>
      <c r="B131" s="54"/>
      <c r="C131" s="54"/>
      <c r="L131" s="1" t="s">
        <v>36</v>
      </c>
    </row>
    <row r="132" spans="1:48">
      <c r="A132" s="2" t="s">
        <v>222</v>
      </c>
      <c r="B132" s="54"/>
      <c r="C132" s="54"/>
      <c r="D132" s="2296"/>
      <c r="F132" s="2" t="s">
        <v>36</v>
      </c>
      <c r="O132" s="2297"/>
    </row>
    <row r="133" spans="1:48">
      <c r="A133" s="2" t="s">
        <v>69</v>
      </c>
      <c r="B133" s="54"/>
      <c r="C133" s="54"/>
      <c r="P133" s="2228"/>
      <c r="AH133" s="23"/>
      <c r="AI133" s="23"/>
      <c r="AJ133" s="23" t="s">
        <v>36</v>
      </c>
      <c r="AK133" s="23"/>
      <c r="AL133" s="23"/>
      <c r="AM133" s="23"/>
    </row>
    <row r="134" spans="1:48">
      <c r="A134" s="1" t="s">
        <v>223</v>
      </c>
      <c r="B134" s="1"/>
      <c r="C134" s="1"/>
      <c r="E134" s="1"/>
      <c r="F134" s="1"/>
      <c r="G134" s="1"/>
      <c r="H134" s="1"/>
      <c r="I134" s="1"/>
      <c r="J134" s="1"/>
      <c r="P134" s="2228"/>
    </row>
    <row r="135" spans="1:48">
      <c r="A135" s="2" t="s">
        <v>40</v>
      </c>
      <c r="O135" s="23"/>
      <c r="P135" s="23"/>
      <c r="AL135" s="1" t="s">
        <v>36</v>
      </c>
    </row>
    <row r="136" spans="1:48">
      <c r="A136" s="2" t="s">
        <v>267</v>
      </c>
    </row>
    <row r="137" spans="1:48">
      <c r="A137" s="2" t="s">
        <v>268</v>
      </c>
    </row>
    <row r="138" spans="1:48">
      <c r="A138" s="2" t="s">
        <v>269</v>
      </c>
    </row>
    <row r="139" spans="1:48" ht="25.5" customHeight="1">
      <c r="A139" s="3304" t="s">
        <v>270</v>
      </c>
      <c r="B139" s="3304"/>
      <c r="C139" s="3304"/>
      <c r="D139" s="3304"/>
      <c r="E139" s="3304"/>
      <c r="F139" s="3304"/>
      <c r="G139" s="3304"/>
      <c r="H139" s="3304"/>
      <c r="I139" s="3304"/>
      <c r="J139" s="3304"/>
      <c r="K139" s="3304"/>
      <c r="L139" s="3304"/>
      <c r="M139" s="3304"/>
      <c r="N139" s="3304"/>
      <c r="O139" s="3304"/>
      <c r="P139" s="3304"/>
      <c r="Q139" s="3304"/>
      <c r="R139" s="3304"/>
      <c r="S139" s="3304"/>
      <c r="T139" s="3304"/>
      <c r="U139" s="3304"/>
      <c r="V139" s="3304"/>
      <c r="W139" s="3304"/>
      <c r="X139" s="3304"/>
      <c r="Y139" s="3304"/>
      <c r="Z139" s="3304"/>
      <c r="AA139" s="3304"/>
      <c r="AB139" s="3304"/>
      <c r="AC139" s="3304"/>
      <c r="AD139" s="3304"/>
      <c r="AE139" s="3304"/>
      <c r="AF139" s="3304"/>
      <c r="AG139" s="3304"/>
      <c r="AH139" s="3304"/>
      <c r="AI139" s="3304"/>
      <c r="AJ139" s="3304"/>
      <c r="AK139" s="3304"/>
      <c r="AL139" s="3304"/>
      <c r="AM139" s="3304"/>
      <c r="AN139" s="3304"/>
      <c r="AO139" s="3304"/>
      <c r="AP139" s="3304"/>
      <c r="AQ139" s="3304"/>
      <c r="AR139" s="3304"/>
      <c r="AS139" s="3025"/>
    </row>
  </sheetData>
  <mergeCells count="94">
    <mergeCell ref="P2:AM2"/>
    <mergeCell ref="P3:S3"/>
    <mergeCell ref="AV2:AV4"/>
    <mergeCell ref="AU104:AU106"/>
    <mergeCell ref="AV104:AV106"/>
    <mergeCell ref="AJ3:AM3"/>
    <mergeCell ref="AP2:AS2"/>
    <mergeCell ref="AP3:AS3"/>
    <mergeCell ref="AP104:AS104"/>
    <mergeCell ref="AP105:AS105"/>
    <mergeCell ref="AB105:AE105"/>
    <mergeCell ref="A2:A4"/>
    <mergeCell ref="AU2:AU4"/>
    <mergeCell ref="C2:C4"/>
    <mergeCell ref="E2:J3"/>
    <mergeCell ref="B2:B4"/>
    <mergeCell ref="AO2:AO4"/>
    <mergeCell ref="K2:K4"/>
    <mergeCell ref="D2:D3"/>
    <mergeCell ref="L2:L4"/>
    <mergeCell ref="AN2:AN4"/>
    <mergeCell ref="M2:O2"/>
    <mergeCell ref="M3:O3"/>
    <mergeCell ref="T3:W3"/>
    <mergeCell ref="X3:AA3"/>
    <mergeCell ref="AB3:AE3"/>
    <mergeCell ref="AF3:AI3"/>
    <mergeCell ref="A139:AR139"/>
    <mergeCell ref="A5:A10"/>
    <mergeCell ref="B10:C10"/>
    <mergeCell ref="A17:A19"/>
    <mergeCell ref="B19:C19"/>
    <mergeCell ref="B30:C30"/>
    <mergeCell ref="A11:A16"/>
    <mergeCell ref="B24:C24"/>
    <mergeCell ref="A20:A21"/>
    <mergeCell ref="B21:C21"/>
    <mergeCell ref="B65:C65"/>
    <mergeCell ref="A60:A65"/>
    <mergeCell ref="B73:C73"/>
    <mergeCell ref="B59:C59"/>
    <mergeCell ref="B16:C16"/>
    <mergeCell ref="B33:C33"/>
    <mergeCell ref="A22:A24"/>
    <mergeCell ref="A89:C89"/>
    <mergeCell ref="B54:C54"/>
    <mergeCell ref="A52:A54"/>
    <mergeCell ref="A82:A86"/>
    <mergeCell ref="A66:A73"/>
    <mergeCell ref="A25:A30"/>
    <mergeCell ref="A31:A33"/>
    <mergeCell ref="A55:A59"/>
    <mergeCell ref="B81:C81"/>
    <mergeCell ref="A74:A81"/>
    <mergeCell ref="A101:AR101"/>
    <mergeCell ref="A90:C90"/>
    <mergeCell ref="A91:C91"/>
    <mergeCell ref="AN104:AN106"/>
    <mergeCell ref="P105:S105"/>
    <mergeCell ref="P104:AM104"/>
    <mergeCell ref="AJ105:AM105"/>
    <mergeCell ref="AF105:AI105"/>
    <mergeCell ref="A104:A106"/>
    <mergeCell ref="B104:B106"/>
    <mergeCell ref="X105:AA105"/>
    <mergeCell ref="T105:W105"/>
    <mergeCell ref="L104:L106"/>
    <mergeCell ref="A112:A113"/>
    <mergeCell ref="A114:A115"/>
    <mergeCell ref="B113:C113"/>
    <mergeCell ref="B115:C115"/>
    <mergeCell ref="A34:A42"/>
    <mergeCell ref="B42:C42"/>
    <mergeCell ref="B51:C51"/>
    <mergeCell ref="B88:C88"/>
    <mergeCell ref="A87:A88"/>
    <mergeCell ref="A43:A51"/>
    <mergeCell ref="B86:C86"/>
    <mergeCell ref="A130:C130"/>
    <mergeCell ref="A126:A129"/>
    <mergeCell ref="B129:C129"/>
    <mergeCell ref="AO104:AO106"/>
    <mergeCell ref="M105:O105"/>
    <mergeCell ref="B120:C120"/>
    <mergeCell ref="B111:C111"/>
    <mergeCell ref="A107:A111"/>
    <mergeCell ref="A116:A120"/>
    <mergeCell ref="B125:C125"/>
    <mergeCell ref="A121:A125"/>
    <mergeCell ref="M104:O104"/>
    <mergeCell ref="C104:C106"/>
    <mergeCell ref="D104:D105"/>
    <mergeCell ref="E104:J105"/>
    <mergeCell ref="K104:K106"/>
  </mergeCells>
  <pageMargins left="0.7" right="0.7" top="0.75" bottom="0.75" header="0.3" footer="0.3"/>
  <pageSetup paperSize="3" scale="47" fitToHeight="0" pageOrder="overThenDown" orientation="landscape" r:id="rId1"/>
  <rowBreaks count="1" manualBreakCount="1">
    <brk id="101"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24"/>
  <sheetViews>
    <sheetView zoomScale="90" zoomScaleNormal="90" workbookViewId="0">
      <pane xSplit="5" ySplit="3" topLeftCell="F4" activePane="bottomRight" state="frozen"/>
      <selection pane="bottomRight" activeCell="P120" sqref="P120"/>
      <selection pane="bottomLeft" activeCell="A4" sqref="A4"/>
      <selection pane="topRight" activeCell="F1" sqref="F1"/>
    </sheetView>
  </sheetViews>
  <sheetFormatPr defaultColWidth="9.140625" defaultRowHeight="12.75"/>
  <cols>
    <col min="1" max="1" width="13.42578125" style="78" customWidth="1"/>
    <col min="2" max="2" width="39" style="78" customWidth="1"/>
    <col min="3" max="3" width="39.28515625" style="78" customWidth="1"/>
    <col min="4" max="4" width="38" style="78" customWidth="1"/>
    <col min="5" max="5" width="13" style="78" customWidth="1"/>
    <col min="6" max="10" width="8.85546875" style="2467" customWidth="1"/>
    <col min="11" max="15" width="10.28515625" style="2" customWidth="1"/>
    <col min="16" max="16" width="11.7109375" style="2" customWidth="1"/>
    <col min="17" max="17" width="27.140625" style="78" customWidth="1"/>
    <col min="18" max="16384" width="9.140625" style="2"/>
  </cols>
  <sheetData>
    <row r="1" spans="1:17" ht="28.5" customHeight="1" thickBot="1">
      <c r="A1" s="3224" t="s">
        <v>271</v>
      </c>
      <c r="B1" s="3224"/>
      <c r="C1" s="3224"/>
      <c r="D1" s="3224"/>
      <c r="E1" s="3224"/>
      <c r="F1" s="3224"/>
      <c r="G1" s="3224"/>
      <c r="H1" s="3224"/>
      <c r="I1" s="3224"/>
      <c r="J1" s="3224"/>
      <c r="K1" s="3224"/>
      <c r="L1" s="3224"/>
      <c r="M1" s="3224"/>
      <c r="N1" s="3224"/>
      <c r="O1" s="3224"/>
      <c r="P1" s="3224"/>
      <c r="Q1" s="3224"/>
    </row>
    <row r="2" spans="1:17" ht="21.75" customHeight="1">
      <c r="A2" s="3212" t="s">
        <v>272</v>
      </c>
      <c r="B2" s="3213" t="s">
        <v>273</v>
      </c>
      <c r="C2" s="3219" t="s">
        <v>86</v>
      </c>
      <c r="D2" s="3215" t="s">
        <v>274</v>
      </c>
      <c r="E2" s="3209" t="s">
        <v>85</v>
      </c>
      <c r="F2" s="3332" t="s">
        <v>55</v>
      </c>
      <c r="G2" s="3332"/>
      <c r="H2" s="3332"/>
      <c r="I2" s="3332"/>
      <c r="J2" s="3333"/>
      <c r="K2" s="3334" t="s">
        <v>275</v>
      </c>
      <c r="L2" s="3334"/>
      <c r="M2" s="3334"/>
      <c r="N2" s="3334"/>
      <c r="O2" s="3335"/>
      <c r="P2" s="3238" t="s">
        <v>276</v>
      </c>
      <c r="Q2" s="3209" t="s">
        <v>277</v>
      </c>
    </row>
    <row r="3" spans="1:17" s="67" customFormat="1" ht="21.75" customHeight="1" thickBot="1">
      <c r="A3" s="3330"/>
      <c r="B3" s="3331"/>
      <c r="C3" s="3328"/>
      <c r="D3" s="3329"/>
      <c r="E3" s="3211"/>
      <c r="F3" s="2310">
        <v>2014</v>
      </c>
      <c r="G3" s="2310">
        <v>2015</v>
      </c>
      <c r="H3" s="2310">
        <v>2016</v>
      </c>
      <c r="I3" s="2311">
        <v>2017</v>
      </c>
      <c r="J3" s="2312">
        <v>2018</v>
      </c>
      <c r="K3" s="2310">
        <v>2014</v>
      </c>
      <c r="L3" s="2310">
        <v>2015</v>
      </c>
      <c r="M3" s="2313">
        <v>2016</v>
      </c>
      <c r="N3" s="2310">
        <v>2017</v>
      </c>
      <c r="O3" s="2314">
        <v>2018</v>
      </c>
      <c r="P3" s="3240"/>
      <c r="Q3" s="3211"/>
    </row>
    <row r="4" spans="1:17">
      <c r="A4" s="2315">
        <v>1674</v>
      </c>
      <c r="B4" s="2316" t="s">
        <v>95</v>
      </c>
      <c r="C4" s="2317" t="s">
        <v>95</v>
      </c>
      <c r="D4" s="2318"/>
      <c r="E4" s="79" t="s">
        <v>278</v>
      </c>
      <c r="F4" s="75">
        <v>0.158</v>
      </c>
      <c r="G4" s="75">
        <v>0.13900000000000001</v>
      </c>
      <c r="H4" s="75">
        <v>0.159</v>
      </c>
      <c r="I4" s="269">
        <v>9.1999999999999998E-2</v>
      </c>
      <c r="J4" s="177">
        <v>0.11799999999999999</v>
      </c>
      <c r="K4" s="76">
        <v>1508</v>
      </c>
      <c r="L4" s="2256">
        <v>1508</v>
      </c>
      <c r="M4" s="2256">
        <v>1508</v>
      </c>
      <c r="N4" s="76">
        <v>1510</v>
      </c>
      <c r="O4" s="2319">
        <v>1530</v>
      </c>
      <c r="P4" s="2254">
        <f t="shared" ref="P4:P28" si="0">SUM(F4:J4)/SUM(K4:O4)*1000000</f>
        <v>88</v>
      </c>
      <c r="Q4" s="79"/>
    </row>
    <row r="5" spans="1:17">
      <c r="A5" s="2321">
        <v>11339</v>
      </c>
      <c r="B5" s="2322" t="s">
        <v>279</v>
      </c>
      <c r="C5" s="2192" t="s">
        <v>279</v>
      </c>
      <c r="D5" s="2323" t="s">
        <v>280</v>
      </c>
      <c r="E5" s="309" t="s">
        <v>278</v>
      </c>
      <c r="F5" s="819">
        <v>20.295000000000002</v>
      </c>
      <c r="G5" s="819">
        <v>20.757000000000001</v>
      </c>
      <c r="H5" s="819">
        <v>21.93</v>
      </c>
      <c r="I5" s="817">
        <v>22.038</v>
      </c>
      <c r="J5" s="818">
        <v>20.388999999999999</v>
      </c>
      <c r="K5" s="814">
        <v>181468</v>
      </c>
      <c r="L5" s="807">
        <v>183762</v>
      </c>
      <c r="M5" s="807">
        <v>183762</v>
      </c>
      <c r="N5" s="814">
        <v>185788</v>
      </c>
      <c r="O5" s="2319">
        <v>187646</v>
      </c>
      <c r="P5" s="2254">
        <f t="shared" si="0"/>
        <v>114</v>
      </c>
      <c r="Q5" s="1195"/>
    </row>
    <row r="6" spans="1:17">
      <c r="A6" s="2321">
        <v>11343</v>
      </c>
      <c r="B6" s="2322" t="s">
        <v>97</v>
      </c>
      <c r="C6" s="2192" t="s">
        <v>97</v>
      </c>
      <c r="D6" s="2323" t="s">
        <v>281</v>
      </c>
      <c r="E6" s="309" t="s">
        <v>278</v>
      </c>
      <c r="F6" s="819">
        <v>7.4999999999999997E-2</v>
      </c>
      <c r="G6" s="819">
        <v>8.5000000000000006E-2</v>
      </c>
      <c r="H6" s="819">
        <v>9.2999999999999999E-2</v>
      </c>
      <c r="I6" s="817">
        <v>0.104</v>
      </c>
      <c r="J6" s="818">
        <v>0.13900000000000001</v>
      </c>
      <c r="K6" s="814">
        <v>606</v>
      </c>
      <c r="L6" s="807">
        <v>620</v>
      </c>
      <c r="M6" s="807">
        <v>620</v>
      </c>
      <c r="N6" s="814">
        <v>620</v>
      </c>
      <c r="O6" s="2319">
        <v>620</v>
      </c>
      <c r="P6" s="2254">
        <f t="shared" si="0"/>
        <v>161</v>
      </c>
      <c r="Q6" s="309"/>
    </row>
    <row r="7" spans="1:17">
      <c r="A7" s="2321">
        <v>11356</v>
      </c>
      <c r="B7" s="2322" t="s">
        <v>98</v>
      </c>
      <c r="C7" s="2192" t="s">
        <v>98</v>
      </c>
      <c r="D7" s="2323"/>
      <c r="E7" s="309" t="s">
        <v>278</v>
      </c>
      <c r="F7" s="819">
        <v>0.06</v>
      </c>
      <c r="G7" s="819">
        <v>5.8999999999999997E-2</v>
      </c>
      <c r="H7" s="819">
        <v>6.0999999999999999E-2</v>
      </c>
      <c r="I7" s="817">
        <v>0.06</v>
      </c>
      <c r="J7" s="818">
        <v>5.0999999999999997E-2</v>
      </c>
      <c r="K7" s="814">
        <v>824</v>
      </c>
      <c r="L7" s="807">
        <v>824</v>
      </c>
      <c r="M7" s="807">
        <v>824</v>
      </c>
      <c r="N7" s="814">
        <v>824</v>
      </c>
      <c r="O7" s="2319">
        <v>824</v>
      </c>
      <c r="P7" s="2254">
        <f t="shared" si="0"/>
        <v>71</v>
      </c>
      <c r="Q7" s="309"/>
    </row>
    <row r="8" spans="1:17" ht="13.5" customHeight="1" thickBot="1">
      <c r="A8" s="2325" t="s">
        <v>100</v>
      </c>
      <c r="B8" s="2326" t="s">
        <v>99</v>
      </c>
      <c r="C8" s="2327" t="s">
        <v>99</v>
      </c>
      <c r="D8" s="2328" t="s">
        <v>282</v>
      </c>
      <c r="E8" s="80" t="s">
        <v>278</v>
      </c>
      <c r="F8" s="746">
        <v>7.9000000000000001E-2</v>
      </c>
      <c r="G8" s="746">
        <v>8.5000000000000006E-2</v>
      </c>
      <c r="H8" s="746">
        <v>0.10199999999999999</v>
      </c>
      <c r="I8" s="817">
        <v>0.09</v>
      </c>
      <c r="J8" s="2329">
        <v>9.9000000000000005E-2</v>
      </c>
      <c r="K8" s="2033">
        <v>1266</v>
      </c>
      <c r="L8" s="2034">
        <v>1266</v>
      </c>
      <c r="M8" s="807">
        <v>1195</v>
      </c>
      <c r="N8" s="814">
        <v>1195</v>
      </c>
      <c r="O8" s="2330">
        <v>1195</v>
      </c>
      <c r="P8" s="2031">
        <f t="shared" si="0"/>
        <v>74</v>
      </c>
      <c r="Q8" s="80"/>
    </row>
    <row r="9" spans="1:17" ht="15.75" customHeight="1" thickTop="1" thickBot="1">
      <c r="A9" s="3321" t="s">
        <v>101</v>
      </c>
      <c r="B9" s="3486"/>
      <c r="C9" s="3486"/>
      <c r="D9" s="3486"/>
      <c r="E9" s="3487"/>
      <c r="F9" s="1398">
        <f t="shared" ref="F9:N9" si="1">SUM(F4:F8)</f>
        <v>20.667000000000002</v>
      </c>
      <c r="G9" s="1398">
        <f t="shared" si="1"/>
        <v>21.125</v>
      </c>
      <c r="H9" s="1265">
        <f t="shared" si="1"/>
        <v>22.344999999999999</v>
      </c>
      <c r="I9" s="2494">
        <f t="shared" si="1"/>
        <v>22.384</v>
      </c>
      <c r="J9" s="1402">
        <f>SUM(J4:J8)</f>
        <v>20.795999999999999</v>
      </c>
      <c r="K9" s="2334">
        <f t="shared" si="1"/>
        <v>185672</v>
      </c>
      <c r="L9" s="2334">
        <f t="shared" si="1"/>
        <v>187980</v>
      </c>
      <c r="M9" s="2335">
        <f t="shared" si="1"/>
        <v>187909</v>
      </c>
      <c r="N9" s="2334">
        <f t="shared" si="1"/>
        <v>189937</v>
      </c>
      <c r="O9" s="2336">
        <f>SUM(O4:O8)</f>
        <v>191815</v>
      </c>
      <c r="P9" s="2337">
        <f t="shared" si="0"/>
        <v>114</v>
      </c>
      <c r="Q9" s="1195"/>
    </row>
    <row r="10" spans="1:17">
      <c r="A10" s="2339">
        <v>216450</v>
      </c>
      <c r="B10" s="750" t="s">
        <v>283</v>
      </c>
      <c r="C10" s="750" t="s">
        <v>283</v>
      </c>
      <c r="D10" s="2340" t="s">
        <v>284</v>
      </c>
      <c r="E10" s="2341" t="s">
        <v>278</v>
      </c>
      <c r="F10" s="83">
        <v>0.495</v>
      </c>
      <c r="G10" s="83">
        <v>0.52100000000000002</v>
      </c>
      <c r="H10" s="83">
        <v>0.55100000000000005</v>
      </c>
      <c r="I10" s="289">
        <v>0.57399999999999995</v>
      </c>
      <c r="J10" s="132">
        <v>0.59099999999999997</v>
      </c>
      <c r="K10" s="2495">
        <v>4245</v>
      </c>
      <c r="L10" s="2495">
        <v>4251</v>
      </c>
      <c r="M10" s="2342">
        <v>4463</v>
      </c>
      <c r="N10" s="2343">
        <v>4638</v>
      </c>
      <c r="O10" s="2344">
        <v>4696</v>
      </c>
      <c r="P10" s="2047">
        <f t="shared" si="0"/>
        <v>123</v>
      </c>
      <c r="Q10" s="81"/>
    </row>
    <row r="11" spans="1:17">
      <c r="A11" s="2345">
        <v>216647</v>
      </c>
      <c r="B11" s="810" t="s">
        <v>285</v>
      </c>
      <c r="C11" s="810" t="s">
        <v>285</v>
      </c>
      <c r="D11" s="2347" t="s">
        <v>286</v>
      </c>
      <c r="E11" s="2324" t="s">
        <v>278</v>
      </c>
      <c r="F11" s="819">
        <v>0.11</v>
      </c>
      <c r="G11" s="819">
        <v>0.13500000000000001</v>
      </c>
      <c r="H11" s="819">
        <v>0.11700000000000001</v>
      </c>
      <c r="I11" s="817">
        <v>0.114</v>
      </c>
      <c r="J11" s="818">
        <v>0.128</v>
      </c>
      <c r="K11" s="2496">
        <v>1246</v>
      </c>
      <c r="L11" s="2496">
        <v>1273</v>
      </c>
      <c r="M11" s="2350">
        <v>1282</v>
      </c>
      <c r="N11" s="2351">
        <v>1284</v>
      </c>
      <c r="O11" s="2352">
        <v>1303</v>
      </c>
      <c r="P11" s="2254">
        <f t="shared" si="0"/>
        <v>95</v>
      </c>
      <c r="Q11" s="309"/>
    </row>
    <row r="12" spans="1:17">
      <c r="A12" s="2345">
        <v>216833</v>
      </c>
      <c r="B12" s="810" t="s">
        <v>287</v>
      </c>
      <c r="C12" s="810" t="s">
        <v>287</v>
      </c>
      <c r="D12" s="2347" t="s">
        <v>288</v>
      </c>
      <c r="E12" s="2324" t="s">
        <v>278</v>
      </c>
      <c r="F12" s="819">
        <v>0.40899999999999997</v>
      </c>
      <c r="G12" s="819">
        <v>0.45500000000000002</v>
      </c>
      <c r="H12" s="819">
        <v>0.503</v>
      </c>
      <c r="I12" s="817">
        <v>0.55600000000000005</v>
      </c>
      <c r="J12" s="818">
        <v>0.57999999999999996</v>
      </c>
      <c r="K12" s="2496">
        <v>5675</v>
      </c>
      <c r="L12" s="2496">
        <v>5684</v>
      </c>
      <c r="M12" s="2350">
        <v>6093</v>
      </c>
      <c r="N12" s="2351">
        <v>6155</v>
      </c>
      <c r="O12" s="2352">
        <v>6221</v>
      </c>
      <c r="P12" s="2254">
        <f t="shared" si="0"/>
        <v>84</v>
      </c>
      <c r="Q12" s="309"/>
    </row>
    <row r="13" spans="1:17">
      <c r="A13" s="2353">
        <v>217300</v>
      </c>
      <c r="B13" s="2497" t="s">
        <v>289</v>
      </c>
      <c r="C13" s="2497" t="s">
        <v>289</v>
      </c>
      <c r="D13" s="2355" t="s">
        <v>290</v>
      </c>
      <c r="E13" s="2356" t="s">
        <v>278</v>
      </c>
      <c r="F13" s="2395">
        <v>6.5000000000000002E-2</v>
      </c>
      <c r="G13" s="2395">
        <v>6.2E-2</v>
      </c>
      <c r="H13" s="2395">
        <v>6.7000000000000004E-2</v>
      </c>
      <c r="I13" s="2396">
        <v>7.0999999999999994E-2</v>
      </c>
      <c r="J13" s="2329">
        <v>7.2999999999999995E-2</v>
      </c>
      <c r="K13" s="2498">
        <v>966</v>
      </c>
      <c r="L13" s="2498">
        <v>947</v>
      </c>
      <c r="M13" s="2357">
        <v>955</v>
      </c>
      <c r="N13" s="2358">
        <v>947</v>
      </c>
      <c r="O13" s="2359">
        <v>960</v>
      </c>
      <c r="P13" s="2015">
        <f t="shared" si="0"/>
        <v>71</v>
      </c>
      <c r="Q13" s="2360"/>
    </row>
    <row r="14" spans="1:17" ht="13.5" thickBot="1">
      <c r="A14" s="2361">
        <v>220667</v>
      </c>
      <c r="B14" s="2450" t="s">
        <v>291</v>
      </c>
      <c r="C14" s="2450" t="s">
        <v>291</v>
      </c>
      <c r="D14" s="2363" t="s">
        <v>292</v>
      </c>
      <c r="E14" s="2331" t="s">
        <v>278</v>
      </c>
      <c r="F14" s="746">
        <v>1.131</v>
      </c>
      <c r="G14" s="746">
        <v>1.17</v>
      </c>
      <c r="H14" s="746">
        <v>1.2749999999999999</v>
      </c>
      <c r="I14" s="869">
        <v>1.17</v>
      </c>
      <c r="J14" s="747">
        <v>1.2070000000000001</v>
      </c>
      <c r="K14" s="2499">
        <v>9665</v>
      </c>
      <c r="L14" s="2499">
        <v>9665</v>
      </c>
      <c r="M14" s="2366">
        <v>9873</v>
      </c>
      <c r="N14" s="2367">
        <v>10027</v>
      </c>
      <c r="O14" s="2368">
        <v>10155</v>
      </c>
      <c r="P14" s="2031">
        <f t="shared" ref="P14" si="2">SUM(F14:J14)/SUM(K14:O14)*1000000</f>
        <v>121</v>
      </c>
      <c r="Q14" s="80"/>
    </row>
    <row r="15" spans="1:17" ht="15.75" customHeight="1" thickTop="1" thickBot="1">
      <c r="A15" s="3236" t="s">
        <v>293</v>
      </c>
      <c r="B15" s="3324"/>
      <c r="C15" s="3324"/>
      <c r="D15" s="3324"/>
      <c r="E15" s="3237"/>
      <c r="F15" s="280">
        <f>SUM(F10:F14)</f>
        <v>2.21</v>
      </c>
      <c r="G15" s="280">
        <f t="shared" ref="G15:O15" si="3">SUM(G10:G14)</f>
        <v>2.343</v>
      </c>
      <c r="H15" s="280">
        <f t="shared" si="3"/>
        <v>2.5129999999999999</v>
      </c>
      <c r="I15" s="85">
        <f t="shared" si="3"/>
        <v>2.4849999999999999</v>
      </c>
      <c r="J15" s="2381">
        <f t="shared" si="3"/>
        <v>2.5790000000000002</v>
      </c>
      <c r="K15" s="1980">
        <f t="shared" si="3"/>
        <v>21797</v>
      </c>
      <c r="L15" s="1980">
        <f t="shared" si="3"/>
        <v>21820</v>
      </c>
      <c r="M15" s="1981">
        <f t="shared" si="3"/>
        <v>22666</v>
      </c>
      <c r="N15" s="1980">
        <f t="shared" si="3"/>
        <v>23051</v>
      </c>
      <c r="O15" s="2371">
        <f t="shared" si="3"/>
        <v>23335</v>
      </c>
      <c r="P15" s="1978">
        <f t="shared" si="0"/>
        <v>108</v>
      </c>
      <c r="Q15" s="2372"/>
    </row>
    <row r="16" spans="1:17">
      <c r="A16" s="2373">
        <v>15</v>
      </c>
      <c r="B16" s="2374" t="s">
        <v>110</v>
      </c>
      <c r="C16" s="2375" t="s">
        <v>110</v>
      </c>
      <c r="D16" s="2376"/>
      <c r="E16" s="81" t="s">
        <v>294</v>
      </c>
      <c r="F16" s="83">
        <v>0.84499999999999997</v>
      </c>
      <c r="G16" s="83">
        <v>0.88600000000000001</v>
      </c>
      <c r="H16" s="83">
        <v>0.92200000000000004</v>
      </c>
      <c r="I16" s="289">
        <v>0.90300000000000002</v>
      </c>
      <c r="J16" s="132">
        <v>0.93400000000000005</v>
      </c>
      <c r="K16" s="2168">
        <v>6391</v>
      </c>
      <c r="L16" s="2169">
        <v>6430</v>
      </c>
      <c r="M16" s="2169">
        <v>6430</v>
      </c>
      <c r="N16" s="2168">
        <v>6472</v>
      </c>
      <c r="O16" s="2377">
        <v>6582</v>
      </c>
      <c r="P16" s="2047">
        <f t="shared" si="0"/>
        <v>139</v>
      </c>
      <c r="Q16" s="79"/>
    </row>
    <row r="17" spans="1:17" ht="13.5" thickBot="1">
      <c r="A17" s="2378">
        <v>24</v>
      </c>
      <c r="B17" s="2326" t="s">
        <v>295</v>
      </c>
      <c r="C17" s="2327" t="s">
        <v>295</v>
      </c>
      <c r="D17" s="2379"/>
      <c r="E17" s="80" t="s">
        <v>294</v>
      </c>
      <c r="F17" s="746">
        <v>3.1E-2</v>
      </c>
      <c r="G17" s="746">
        <v>3.1E-2</v>
      </c>
      <c r="H17" s="746">
        <v>3.2000000000000001E-2</v>
      </c>
      <c r="I17" s="869">
        <v>3.3000000000000002E-2</v>
      </c>
      <c r="J17" s="747">
        <v>3.4000000000000002E-2</v>
      </c>
      <c r="K17" s="2033">
        <v>428</v>
      </c>
      <c r="L17" s="2034">
        <v>435</v>
      </c>
      <c r="M17" s="2034">
        <v>435</v>
      </c>
      <c r="N17" s="2033">
        <v>440</v>
      </c>
      <c r="O17" s="2380">
        <v>449</v>
      </c>
      <c r="P17" s="2031">
        <f t="shared" si="0"/>
        <v>74</v>
      </c>
      <c r="Q17" s="80"/>
    </row>
    <row r="18" spans="1:17" ht="14.25" thickTop="1" thickBot="1">
      <c r="A18" s="3236" t="s">
        <v>112</v>
      </c>
      <c r="B18" s="3324"/>
      <c r="C18" s="3324"/>
      <c r="D18" s="3324"/>
      <c r="E18" s="3237"/>
      <c r="F18" s="84">
        <f t="shared" ref="F18:N18" si="4">SUM(F16:F17)</f>
        <v>0.876</v>
      </c>
      <c r="G18" s="84">
        <f t="shared" si="4"/>
        <v>0.91700000000000004</v>
      </c>
      <c r="H18" s="280">
        <f t="shared" si="4"/>
        <v>0.95399999999999996</v>
      </c>
      <c r="I18" s="85">
        <f t="shared" si="4"/>
        <v>0.93600000000000005</v>
      </c>
      <c r="J18" s="2381">
        <f>SUM(J16:J17)</f>
        <v>0.96799999999999997</v>
      </c>
      <c r="K18" s="1980">
        <f t="shared" si="4"/>
        <v>6819</v>
      </c>
      <c r="L18" s="1980">
        <f t="shared" si="4"/>
        <v>6865</v>
      </c>
      <c r="M18" s="1981">
        <f t="shared" si="4"/>
        <v>6865</v>
      </c>
      <c r="N18" s="1980">
        <f t="shared" si="4"/>
        <v>6912</v>
      </c>
      <c r="O18" s="2371">
        <f>SUM(O16:O17)</f>
        <v>7031</v>
      </c>
      <c r="P18" s="2382">
        <f t="shared" si="0"/>
        <v>135</v>
      </c>
      <c r="Q18" s="2372"/>
    </row>
    <row r="19" spans="1:17">
      <c r="A19" s="2339">
        <v>216650</v>
      </c>
      <c r="B19" s="2384" t="s">
        <v>117</v>
      </c>
      <c r="C19" s="2384" t="s">
        <v>117</v>
      </c>
      <c r="D19" s="2385" t="s">
        <v>296</v>
      </c>
      <c r="E19" s="81" t="s">
        <v>297</v>
      </c>
      <c r="F19" s="83">
        <v>0.69599999999999995</v>
      </c>
      <c r="G19" s="83">
        <v>0.748</v>
      </c>
      <c r="H19" s="83">
        <v>0.64500000000000002</v>
      </c>
      <c r="I19" s="289">
        <v>0.70699999999999996</v>
      </c>
      <c r="J19" s="132">
        <v>0.68</v>
      </c>
      <c r="K19" s="2495">
        <v>6591</v>
      </c>
      <c r="L19" s="2495">
        <v>6585</v>
      </c>
      <c r="M19" s="2342">
        <v>6541</v>
      </c>
      <c r="N19" s="2343">
        <v>6538</v>
      </c>
      <c r="O19" s="2344">
        <v>6700</v>
      </c>
      <c r="P19" s="2047">
        <f t="shared" ref="P19" si="5">SUM(F19:J19)/SUM(K19:O19)*1000000</f>
        <v>105</v>
      </c>
      <c r="Q19" s="81"/>
    </row>
    <row r="20" spans="1:17" ht="13.5" thickBot="1">
      <c r="A20" s="2361">
        <v>218998</v>
      </c>
      <c r="B20" s="2387" t="s">
        <v>118</v>
      </c>
      <c r="C20" s="2387" t="s">
        <v>118</v>
      </c>
      <c r="D20" s="2388" t="s">
        <v>298</v>
      </c>
      <c r="E20" s="80" t="s">
        <v>297</v>
      </c>
      <c r="F20" s="746">
        <v>0.186</v>
      </c>
      <c r="G20" s="746">
        <v>0.193</v>
      </c>
      <c r="H20" s="746">
        <v>0.184</v>
      </c>
      <c r="I20" s="869">
        <v>0.191</v>
      </c>
      <c r="J20" s="747">
        <v>0.21199999999999999</v>
      </c>
      <c r="K20" s="2499">
        <v>855</v>
      </c>
      <c r="L20" s="2499">
        <v>877</v>
      </c>
      <c r="M20" s="2366">
        <v>876</v>
      </c>
      <c r="N20" s="2367">
        <v>868</v>
      </c>
      <c r="O20" s="2368">
        <v>889</v>
      </c>
      <c r="P20" s="2031">
        <f t="shared" si="0"/>
        <v>221</v>
      </c>
      <c r="Q20" s="80"/>
    </row>
    <row r="21" spans="1:17" ht="14.25" thickTop="1" thickBot="1">
      <c r="A21" s="3236" t="s">
        <v>119</v>
      </c>
      <c r="B21" s="3324"/>
      <c r="C21" s="3324"/>
      <c r="D21" s="3324"/>
      <c r="E21" s="3237"/>
      <c r="F21" s="84">
        <f>SUM(F19:F20)</f>
        <v>0.88200000000000001</v>
      </c>
      <c r="G21" s="84">
        <f t="shared" ref="G21:J21" si="6">SUM(G19:G20)</f>
        <v>0.94099999999999995</v>
      </c>
      <c r="H21" s="280">
        <f t="shared" si="6"/>
        <v>0.82899999999999996</v>
      </c>
      <c r="I21" s="85">
        <f t="shared" si="6"/>
        <v>0.89800000000000002</v>
      </c>
      <c r="J21" s="2381">
        <f t="shared" si="6"/>
        <v>0.89200000000000002</v>
      </c>
      <c r="K21" s="1980">
        <f>SUM(K19:K20)</f>
        <v>7446</v>
      </c>
      <c r="L21" s="1980">
        <f t="shared" ref="L21:O21" si="7">SUM(L19:L20)</f>
        <v>7462</v>
      </c>
      <c r="M21" s="1980">
        <f t="shared" si="7"/>
        <v>7417</v>
      </c>
      <c r="N21" s="1980">
        <f t="shared" si="7"/>
        <v>7406</v>
      </c>
      <c r="O21" s="1982">
        <f t="shared" si="7"/>
        <v>7589</v>
      </c>
      <c r="P21" s="1978">
        <f t="shared" si="0"/>
        <v>119</v>
      </c>
      <c r="Q21" s="2372"/>
    </row>
    <row r="22" spans="1:17" ht="38.25">
      <c r="A22" s="2390" t="s">
        <v>121</v>
      </c>
      <c r="B22" s="2316" t="s">
        <v>114</v>
      </c>
      <c r="C22" s="2316" t="s">
        <v>114</v>
      </c>
      <c r="D22" s="2318" t="s">
        <v>299</v>
      </c>
      <c r="E22" s="79" t="s">
        <v>300</v>
      </c>
      <c r="F22" s="129">
        <v>10.628</v>
      </c>
      <c r="G22" s="75">
        <v>11.037000000000001</v>
      </c>
      <c r="H22" s="75">
        <v>11.728999999999999</v>
      </c>
      <c r="I22" s="269">
        <v>11.657999999999999</v>
      </c>
      <c r="J22" s="177">
        <v>11.231</v>
      </c>
      <c r="K22" s="76">
        <v>118554</v>
      </c>
      <c r="L22" s="2256">
        <v>115629</v>
      </c>
      <c r="M22" s="2256">
        <v>118432</v>
      </c>
      <c r="N22" s="76">
        <v>118437</v>
      </c>
      <c r="O22" s="2319">
        <v>120444</v>
      </c>
      <c r="P22" s="2254">
        <f t="shared" si="0"/>
        <v>95</v>
      </c>
      <c r="Q22" s="79" t="s">
        <v>301</v>
      </c>
    </row>
    <row r="23" spans="1:17" ht="25.5">
      <c r="A23" s="2390">
        <v>137335</v>
      </c>
      <c r="B23" s="2316" t="s">
        <v>122</v>
      </c>
      <c r="C23" s="2316" t="s">
        <v>122</v>
      </c>
      <c r="D23" s="2318"/>
      <c r="E23" s="79" t="s">
        <v>302</v>
      </c>
      <c r="F23" s="129">
        <v>0</v>
      </c>
      <c r="G23" s="75">
        <v>0</v>
      </c>
      <c r="H23" s="75">
        <v>0</v>
      </c>
      <c r="I23" s="269">
        <v>0</v>
      </c>
      <c r="J23" s="177">
        <v>0</v>
      </c>
      <c r="K23" s="76">
        <v>0</v>
      </c>
      <c r="L23" s="2256">
        <v>0</v>
      </c>
      <c r="M23" s="2256">
        <v>0</v>
      </c>
      <c r="N23" s="76">
        <v>0</v>
      </c>
      <c r="O23" s="2319">
        <v>0</v>
      </c>
      <c r="P23" s="2254" t="s">
        <v>16</v>
      </c>
      <c r="Q23" s="79"/>
    </row>
    <row r="24" spans="1:17">
      <c r="A24" s="2321">
        <v>453</v>
      </c>
      <c r="B24" s="2322" t="s">
        <v>123</v>
      </c>
      <c r="C24" s="2322" t="s">
        <v>123</v>
      </c>
      <c r="D24" s="2323"/>
      <c r="E24" s="309" t="s">
        <v>302</v>
      </c>
      <c r="F24" s="809">
        <v>0.86199999999999999</v>
      </c>
      <c r="G24" s="819">
        <v>0.88700000000000001</v>
      </c>
      <c r="H24" s="819">
        <v>0.92200000000000004</v>
      </c>
      <c r="I24" s="817">
        <v>0.88900000000000001</v>
      </c>
      <c r="J24" s="818">
        <v>0.83</v>
      </c>
      <c r="K24" s="814">
        <v>9042</v>
      </c>
      <c r="L24" s="807">
        <v>9042</v>
      </c>
      <c r="M24" s="807">
        <v>9042</v>
      </c>
      <c r="N24" s="814">
        <v>9058</v>
      </c>
      <c r="O24" s="2319">
        <v>9058</v>
      </c>
      <c r="P24" s="2254">
        <f t="shared" si="0"/>
        <v>97</v>
      </c>
      <c r="Q24" s="309"/>
    </row>
    <row r="25" spans="1:17" ht="13.5" thickBot="1">
      <c r="A25" s="2391">
        <v>499</v>
      </c>
      <c r="B25" s="2392" t="s">
        <v>125</v>
      </c>
      <c r="C25" s="2392" t="s">
        <v>125</v>
      </c>
      <c r="D25" s="2393"/>
      <c r="E25" s="2360" t="s">
        <v>302</v>
      </c>
      <c r="F25" s="2394">
        <v>0.97</v>
      </c>
      <c r="G25" s="2395">
        <v>0.996</v>
      </c>
      <c r="H25" s="746">
        <v>1.127</v>
      </c>
      <c r="I25" s="2396">
        <v>1.1579999999999999</v>
      </c>
      <c r="J25" s="2329">
        <v>1.0489999999999999</v>
      </c>
      <c r="K25" s="2017">
        <v>6500</v>
      </c>
      <c r="L25" s="2018">
        <v>6500</v>
      </c>
      <c r="M25" s="2034">
        <v>6500</v>
      </c>
      <c r="N25" s="2033">
        <v>6630</v>
      </c>
      <c r="O25" s="2380">
        <v>6763</v>
      </c>
      <c r="P25" s="2031">
        <f t="shared" si="0"/>
        <v>161</v>
      </c>
      <c r="Q25" s="2360"/>
    </row>
    <row r="26" spans="1:17" ht="14.25" thickTop="1" thickBot="1">
      <c r="A26" s="3321" t="s">
        <v>129</v>
      </c>
      <c r="B26" s="3322"/>
      <c r="C26" s="3322"/>
      <c r="D26" s="3322"/>
      <c r="E26" s="3323"/>
      <c r="F26" s="1162">
        <f t="shared" ref="F26:N26" si="8">SUM(F22:F25)</f>
        <v>12.46</v>
      </c>
      <c r="G26" s="1169">
        <f t="shared" si="8"/>
        <v>12.92</v>
      </c>
      <c r="H26" s="1168">
        <f t="shared" si="8"/>
        <v>13.778</v>
      </c>
      <c r="I26" s="2500">
        <f t="shared" si="8"/>
        <v>13.705</v>
      </c>
      <c r="J26" s="1278">
        <f>SUM(J22:J25)</f>
        <v>13.11</v>
      </c>
      <c r="K26" s="2271">
        <f t="shared" si="8"/>
        <v>134096</v>
      </c>
      <c r="L26" s="2271">
        <f t="shared" si="8"/>
        <v>131171</v>
      </c>
      <c r="M26" s="2272">
        <f t="shared" si="8"/>
        <v>133974</v>
      </c>
      <c r="N26" s="2271">
        <f t="shared" si="8"/>
        <v>134125</v>
      </c>
      <c r="O26" s="2397">
        <f>SUM(O22:O25)</f>
        <v>136265</v>
      </c>
      <c r="P26" s="2382">
        <f t="shared" si="0"/>
        <v>99</v>
      </c>
      <c r="Q26" s="2479"/>
    </row>
    <row r="27" spans="1:17">
      <c r="A27" s="2399">
        <v>217754</v>
      </c>
      <c r="B27" s="2384" t="s">
        <v>131</v>
      </c>
      <c r="C27" s="2384" t="s">
        <v>131</v>
      </c>
      <c r="D27" s="2385" t="s">
        <v>303</v>
      </c>
      <c r="E27" s="2400" t="s">
        <v>22</v>
      </c>
      <c r="F27" s="83">
        <v>3.2309999999999999</v>
      </c>
      <c r="G27" s="2501">
        <v>3.28</v>
      </c>
      <c r="H27" s="83">
        <v>3.4129999999999998</v>
      </c>
      <c r="I27" s="289">
        <v>3.3620000000000001</v>
      </c>
      <c r="J27" s="132">
        <v>3.3450000000000002</v>
      </c>
      <c r="K27" s="2502">
        <v>18604</v>
      </c>
      <c r="L27" s="2495">
        <v>18697</v>
      </c>
      <c r="M27" s="2342">
        <v>18752</v>
      </c>
      <c r="N27" s="2343">
        <v>18912</v>
      </c>
      <c r="O27" s="2344">
        <v>19097</v>
      </c>
      <c r="P27" s="2047">
        <f>SUM(F27:J27)/SUM(K27:O27)*1000000</f>
        <v>177</v>
      </c>
      <c r="Q27" s="81"/>
    </row>
    <row r="28" spans="1:17" ht="13.5" thickBot="1">
      <c r="A28" s="2401">
        <v>220704</v>
      </c>
      <c r="B28" s="810" t="s">
        <v>133</v>
      </c>
      <c r="C28" s="810" t="s">
        <v>133</v>
      </c>
      <c r="D28" s="2402" t="s">
        <v>304</v>
      </c>
      <c r="E28" s="2403" t="s">
        <v>22</v>
      </c>
      <c r="F28" s="819">
        <v>4.2000000000000003E-2</v>
      </c>
      <c r="G28" s="1270">
        <v>3.7999999999999999E-2</v>
      </c>
      <c r="H28" s="819">
        <v>3.5000000000000003E-2</v>
      </c>
      <c r="I28" s="817">
        <v>4.4999999999999998E-2</v>
      </c>
      <c r="J28" s="818">
        <v>6.6000000000000003E-2</v>
      </c>
      <c r="K28" s="814">
        <v>70</v>
      </c>
      <c r="L28" s="814">
        <v>70</v>
      </c>
      <c r="M28" s="807">
        <v>70</v>
      </c>
      <c r="N28" s="814">
        <v>71</v>
      </c>
      <c r="O28" s="2319">
        <v>75</v>
      </c>
      <c r="P28" s="2254">
        <f t="shared" si="0"/>
        <v>635</v>
      </c>
      <c r="Q28" s="309"/>
    </row>
    <row r="29" spans="1:17" ht="14.25" customHeight="1" thickTop="1" thickBot="1">
      <c r="A29" s="3345" t="s">
        <v>135</v>
      </c>
      <c r="B29" s="3346"/>
      <c r="C29" s="3346"/>
      <c r="D29" s="3346"/>
      <c r="E29" s="3347"/>
      <c r="F29" s="1168">
        <f t="shared" ref="F29:O29" si="9">SUM(F27:F28)</f>
        <v>3.2730000000000001</v>
      </c>
      <c r="G29" s="1168">
        <f t="shared" si="9"/>
        <v>3.3180000000000001</v>
      </c>
      <c r="H29" s="1168">
        <f t="shared" si="9"/>
        <v>3.448</v>
      </c>
      <c r="I29" s="2500">
        <f t="shared" si="9"/>
        <v>3.407</v>
      </c>
      <c r="J29" s="1278">
        <f t="shared" si="9"/>
        <v>3.411</v>
      </c>
      <c r="K29" s="2271">
        <f t="shared" si="9"/>
        <v>18674</v>
      </c>
      <c r="L29" s="2271">
        <f t="shared" si="9"/>
        <v>18767</v>
      </c>
      <c r="M29" s="2271">
        <f t="shared" si="9"/>
        <v>18822</v>
      </c>
      <c r="N29" s="2271">
        <f t="shared" si="9"/>
        <v>18983</v>
      </c>
      <c r="O29" s="2397">
        <f t="shared" si="9"/>
        <v>19172</v>
      </c>
      <c r="P29" s="2382">
        <f>SUM(F29:J29)/SUM(K29:O29)*1000000</f>
        <v>179</v>
      </c>
      <c r="Q29" s="2479"/>
    </row>
    <row r="30" spans="1:17">
      <c r="A30" s="2315">
        <v>756</v>
      </c>
      <c r="B30" s="2316" t="s">
        <v>137</v>
      </c>
      <c r="C30" s="2316" t="s">
        <v>137</v>
      </c>
      <c r="D30" s="2318"/>
      <c r="E30" s="79" t="s">
        <v>23</v>
      </c>
      <c r="F30" s="75">
        <v>7.4999999999999997E-2</v>
      </c>
      <c r="G30" s="75">
        <v>7.9000000000000001E-2</v>
      </c>
      <c r="H30" s="75">
        <v>8.6999999999999994E-2</v>
      </c>
      <c r="I30" s="269">
        <v>8.3000000000000004E-2</v>
      </c>
      <c r="J30" s="2404">
        <v>6.8000000000000005E-2</v>
      </c>
      <c r="K30" s="72">
        <v>1015</v>
      </c>
      <c r="L30" s="2256">
        <v>1015</v>
      </c>
      <c r="M30" s="2256">
        <v>1015</v>
      </c>
      <c r="N30" s="76">
        <v>1015</v>
      </c>
      <c r="O30" s="2405">
        <v>1015</v>
      </c>
      <c r="P30" s="2254">
        <f>SUM(F30:J30)/SUM(K30:O30)*1000000</f>
        <v>77</v>
      </c>
      <c r="Q30" s="79"/>
    </row>
    <row r="31" spans="1:17">
      <c r="A31" s="2321">
        <v>784</v>
      </c>
      <c r="B31" s="2322" t="s">
        <v>139</v>
      </c>
      <c r="C31" s="2322" t="s">
        <v>139</v>
      </c>
      <c r="D31" s="2323"/>
      <c r="E31" s="309" t="s">
        <v>23</v>
      </c>
      <c r="F31" s="819">
        <v>0.24199999999999999</v>
      </c>
      <c r="G31" s="819">
        <v>0.217</v>
      </c>
      <c r="H31" s="819">
        <v>0.23100000000000001</v>
      </c>
      <c r="I31" s="817">
        <v>0.24199999999999999</v>
      </c>
      <c r="J31" s="2406">
        <v>0.19900000000000001</v>
      </c>
      <c r="K31" s="824">
        <v>1411</v>
      </c>
      <c r="L31" s="807">
        <v>1385</v>
      </c>
      <c r="M31" s="807">
        <v>1392</v>
      </c>
      <c r="N31" s="814">
        <v>1407</v>
      </c>
      <c r="O31" s="2405">
        <v>1419</v>
      </c>
      <c r="P31" s="2254">
        <f t="shared" ref="P31:P52" si="10">SUM(F31:J31)/SUM(K31:O31)*1000000</f>
        <v>161</v>
      </c>
      <c r="Q31" s="309"/>
    </row>
    <row r="32" spans="1:17">
      <c r="A32" s="2321">
        <v>793</v>
      </c>
      <c r="B32" s="2322" t="s">
        <v>141</v>
      </c>
      <c r="C32" s="2322" t="s">
        <v>141</v>
      </c>
      <c r="D32" s="2323"/>
      <c r="E32" s="309" t="s">
        <v>23</v>
      </c>
      <c r="F32" s="819">
        <v>2.3650000000000002</v>
      </c>
      <c r="G32" s="819">
        <v>2.4910000000000001</v>
      </c>
      <c r="H32" s="819">
        <v>2.6579999999999999</v>
      </c>
      <c r="I32" s="817">
        <v>2.5390000000000001</v>
      </c>
      <c r="J32" s="2406">
        <v>2.4180000000000001</v>
      </c>
      <c r="K32" s="824">
        <v>23279</v>
      </c>
      <c r="L32" s="807">
        <v>23279</v>
      </c>
      <c r="M32" s="807">
        <v>23279</v>
      </c>
      <c r="N32" s="814">
        <v>23498</v>
      </c>
      <c r="O32" s="2405">
        <v>23733</v>
      </c>
      <c r="P32" s="2254">
        <f t="shared" si="10"/>
        <v>107</v>
      </c>
      <c r="Q32" s="309"/>
    </row>
    <row r="33" spans="1:17">
      <c r="A33" s="2321">
        <v>810</v>
      </c>
      <c r="B33" s="2322" t="s">
        <v>143</v>
      </c>
      <c r="C33" s="2322" t="s">
        <v>143</v>
      </c>
      <c r="D33" s="2323" t="s">
        <v>305</v>
      </c>
      <c r="E33" s="309" t="s">
        <v>23</v>
      </c>
      <c r="F33" s="819">
        <v>2.34</v>
      </c>
      <c r="G33" s="819">
        <v>2.355</v>
      </c>
      <c r="H33" s="819">
        <v>2.359</v>
      </c>
      <c r="I33" s="817">
        <v>2.3220000000000001</v>
      </c>
      <c r="J33" s="2406">
        <v>2.31</v>
      </c>
      <c r="K33" s="824">
        <v>22530</v>
      </c>
      <c r="L33" s="807">
        <v>22674</v>
      </c>
      <c r="M33" s="807">
        <v>23024</v>
      </c>
      <c r="N33" s="814">
        <v>23313</v>
      </c>
      <c r="O33" s="2405">
        <v>23585</v>
      </c>
      <c r="P33" s="2254">
        <f t="shared" si="10"/>
        <v>102</v>
      </c>
      <c r="Q33" s="309"/>
    </row>
    <row r="34" spans="1:17">
      <c r="A34" s="2321">
        <v>842</v>
      </c>
      <c r="B34" s="2322" t="s">
        <v>145</v>
      </c>
      <c r="C34" s="2322" t="s">
        <v>145</v>
      </c>
      <c r="D34" s="2323"/>
      <c r="E34" s="309" t="s">
        <v>23</v>
      </c>
      <c r="F34" s="819">
        <v>0.95699999999999996</v>
      </c>
      <c r="G34" s="819">
        <v>0.93799999999999994</v>
      </c>
      <c r="H34" s="819">
        <v>0.91400000000000003</v>
      </c>
      <c r="I34" s="817">
        <v>0.92900000000000005</v>
      </c>
      <c r="J34" s="2406">
        <v>0.88400000000000001</v>
      </c>
      <c r="K34" s="824">
        <v>7270</v>
      </c>
      <c r="L34" s="807">
        <v>7270</v>
      </c>
      <c r="M34" s="807">
        <v>7270</v>
      </c>
      <c r="N34" s="814">
        <v>7303</v>
      </c>
      <c r="O34" s="2405">
        <v>7554</v>
      </c>
      <c r="P34" s="2254">
        <f t="shared" si="10"/>
        <v>126</v>
      </c>
      <c r="Q34" s="309"/>
    </row>
    <row r="35" spans="1:17">
      <c r="A35" s="2321">
        <v>50293</v>
      </c>
      <c r="B35" s="2322" t="s">
        <v>306</v>
      </c>
      <c r="C35" s="2322" t="s">
        <v>306</v>
      </c>
      <c r="D35" s="2323"/>
      <c r="E35" s="309" t="s">
        <v>23</v>
      </c>
      <c r="F35" s="819">
        <v>0.27500000000000002</v>
      </c>
      <c r="G35" s="819">
        <v>0.28299999999999997</v>
      </c>
      <c r="H35" s="819">
        <v>0.27900000000000003</v>
      </c>
      <c r="I35" s="817">
        <v>0.32700000000000001</v>
      </c>
      <c r="J35" s="2406">
        <v>0.28100000000000003</v>
      </c>
      <c r="K35" s="824">
        <v>3265</v>
      </c>
      <c r="L35" s="807">
        <v>3200</v>
      </c>
      <c r="M35" s="807">
        <v>3200</v>
      </c>
      <c r="N35" s="814">
        <v>3202</v>
      </c>
      <c r="O35" s="2405">
        <v>3235</v>
      </c>
      <c r="P35" s="2254">
        <f t="shared" si="10"/>
        <v>90</v>
      </c>
      <c r="Q35" s="309"/>
    </row>
    <row r="36" spans="1:17" ht="39" thickBot="1">
      <c r="A36" s="2325">
        <v>88271</v>
      </c>
      <c r="B36" s="2326" t="s">
        <v>307</v>
      </c>
      <c r="C36" s="2326" t="s">
        <v>307</v>
      </c>
      <c r="D36" s="2328"/>
      <c r="E36" s="80" t="s">
        <v>308</v>
      </c>
      <c r="F36" s="746">
        <v>100.428</v>
      </c>
      <c r="G36" s="746">
        <v>104.625</v>
      </c>
      <c r="H36" s="746">
        <v>109.845</v>
      </c>
      <c r="I36" s="869">
        <v>113.288</v>
      </c>
      <c r="J36" s="2407">
        <v>110.158</v>
      </c>
      <c r="K36" s="2408">
        <v>683536</v>
      </c>
      <c r="L36" s="2034">
        <v>688039</v>
      </c>
      <c r="M36" s="2034">
        <v>698947</v>
      </c>
      <c r="N36" s="2033">
        <v>706344</v>
      </c>
      <c r="O36" s="2409">
        <v>730054</v>
      </c>
      <c r="P36" s="2031">
        <f t="shared" si="10"/>
        <v>154</v>
      </c>
      <c r="Q36" s="80"/>
    </row>
    <row r="37" spans="1:17" ht="14.25" customHeight="1" thickTop="1" thickBot="1">
      <c r="A37" s="3321" t="s">
        <v>152</v>
      </c>
      <c r="B37" s="3322"/>
      <c r="C37" s="3322"/>
      <c r="D37" s="3322"/>
      <c r="E37" s="3323"/>
      <c r="F37" s="84">
        <f t="shared" ref="F37:N37" si="11">SUM(F30:F36)</f>
        <v>106.682</v>
      </c>
      <c r="G37" s="84">
        <f t="shared" si="11"/>
        <v>110.988</v>
      </c>
      <c r="H37" s="280">
        <f t="shared" si="11"/>
        <v>116.373</v>
      </c>
      <c r="I37" s="85">
        <f t="shared" si="11"/>
        <v>119.73</v>
      </c>
      <c r="J37" s="287">
        <f>SUM(J30:J36)</f>
        <v>116.318</v>
      </c>
      <c r="K37" s="2411">
        <f t="shared" si="11"/>
        <v>742306</v>
      </c>
      <c r="L37" s="1980">
        <f t="shared" si="11"/>
        <v>746862</v>
      </c>
      <c r="M37" s="1981">
        <f t="shared" si="11"/>
        <v>758127</v>
      </c>
      <c r="N37" s="1980">
        <f t="shared" si="11"/>
        <v>766082</v>
      </c>
      <c r="O37" s="2412">
        <f>SUM(O30:O36)</f>
        <v>790595</v>
      </c>
      <c r="P37" s="2382">
        <f t="shared" si="10"/>
        <v>150</v>
      </c>
      <c r="Q37" s="2372"/>
    </row>
    <row r="38" spans="1:17">
      <c r="A38" s="2373">
        <v>59</v>
      </c>
      <c r="B38" s="2374" t="s">
        <v>154</v>
      </c>
      <c r="C38" s="2374" t="s">
        <v>154</v>
      </c>
      <c r="D38" s="2413"/>
      <c r="E38" s="81" t="s">
        <v>309</v>
      </c>
      <c r="F38" s="83">
        <v>0.81899999999999995</v>
      </c>
      <c r="G38" s="83">
        <v>0.64900000000000002</v>
      </c>
      <c r="H38" s="75">
        <v>0.67300000000000004</v>
      </c>
      <c r="I38" s="269">
        <v>0.64300000000000002</v>
      </c>
      <c r="J38" s="2404">
        <v>0.54100000000000004</v>
      </c>
      <c r="K38" s="72">
        <v>4507</v>
      </c>
      <c r="L38" s="2256">
        <v>4621</v>
      </c>
      <c r="M38" s="2256">
        <v>4630</v>
      </c>
      <c r="N38" s="76">
        <v>4677</v>
      </c>
      <c r="O38" s="2405">
        <v>4677</v>
      </c>
      <c r="P38" s="2254">
        <f t="shared" si="10"/>
        <v>144</v>
      </c>
      <c r="Q38" s="81"/>
    </row>
    <row r="39" spans="1:17">
      <c r="A39" s="2321">
        <v>1947</v>
      </c>
      <c r="B39" s="2322" t="s">
        <v>156</v>
      </c>
      <c r="C39" s="2322" t="s">
        <v>156</v>
      </c>
      <c r="D39" s="2323" t="s">
        <v>310</v>
      </c>
      <c r="E39" s="309" t="s">
        <v>309</v>
      </c>
      <c r="F39" s="819">
        <v>6.5650000000000004</v>
      </c>
      <c r="G39" s="819">
        <v>7.0739999999999998</v>
      </c>
      <c r="H39" s="819">
        <v>7.6059999999999999</v>
      </c>
      <c r="I39" s="817">
        <v>7.66</v>
      </c>
      <c r="J39" s="2406">
        <v>7.452</v>
      </c>
      <c r="K39" s="824">
        <v>79903</v>
      </c>
      <c r="L39" s="807">
        <v>79819</v>
      </c>
      <c r="M39" s="807">
        <v>81182</v>
      </c>
      <c r="N39" s="814">
        <v>82137</v>
      </c>
      <c r="O39" s="2405">
        <v>89548</v>
      </c>
      <c r="P39" s="2254">
        <f t="shared" si="10"/>
        <v>88</v>
      </c>
      <c r="Q39" s="309"/>
    </row>
    <row r="40" spans="1:17" ht="25.5">
      <c r="A40" s="2321">
        <v>1960</v>
      </c>
      <c r="B40" s="2322" t="s">
        <v>311</v>
      </c>
      <c r="C40" s="2322" t="s">
        <v>311</v>
      </c>
      <c r="D40" s="2323"/>
      <c r="E40" s="309" t="s">
        <v>312</v>
      </c>
      <c r="F40" s="819">
        <v>0.17499999999999999</v>
      </c>
      <c r="G40" s="819">
        <v>0.16900000000000001</v>
      </c>
      <c r="H40" s="819">
        <v>0.223</v>
      </c>
      <c r="I40" s="817">
        <v>0.26300000000000001</v>
      </c>
      <c r="J40" s="2406">
        <v>0.23599999999999999</v>
      </c>
      <c r="K40" s="824">
        <v>3000</v>
      </c>
      <c r="L40" s="807">
        <v>3000</v>
      </c>
      <c r="M40" s="807">
        <v>3000</v>
      </c>
      <c r="N40" s="814">
        <v>3174</v>
      </c>
      <c r="O40" s="2405">
        <v>3174</v>
      </c>
      <c r="P40" s="2254">
        <f t="shared" si="10"/>
        <v>69</v>
      </c>
      <c r="Q40" s="309"/>
    </row>
    <row r="41" spans="1:17">
      <c r="A41" s="2321">
        <v>1982</v>
      </c>
      <c r="B41" s="2322" t="s">
        <v>160</v>
      </c>
      <c r="C41" s="2322" t="s">
        <v>160</v>
      </c>
      <c r="D41" s="2323"/>
      <c r="E41" s="309" t="s">
        <v>309</v>
      </c>
      <c r="F41" s="819">
        <v>0.35199999999999998</v>
      </c>
      <c r="G41" s="819">
        <v>0.32900000000000001</v>
      </c>
      <c r="H41" s="819">
        <v>0.40100000000000002</v>
      </c>
      <c r="I41" s="817">
        <v>0.48599999999999999</v>
      </c>
      <c r="J41" s="2406">
        <v>0.33700000000000002</v>
      </c>
      <c r="K41" s="824">
        <v>2835</v>
      </c>
      <c r="L41" s="807">
        <v>2875</v>
      </c>
      <c r="M41" s="807">
        <v>2910</v>
      </c>
      <c r="N41" s="814">
        <v>2934</v>
      </c>
      <c r="O41" s="2405">
        <v>2999</v>
      </c>
      <c r="P41" s="2254">
        <f t="shared" si="10"/>
        <v>131</v>
      </c>
      <c r="Q41" s="309"/>
    </row>
    <row r="42" spans="1:17">
      <c r="A42" s="2321">
        <v>2002</v>
      </c>
      <c r="B42" s="2322" t="s">
        <v>162</v>
      </c>
      <c r="C42" s="2322" t="s">
        <v>162</v>
      </c>
      <c r="D42" s="2323" t="s">
        <v>313</v>
      </c>
      <c r="E42" s="309" t="s">
        <v>309</v>
      </c>
      <c r="F42" s="819">
        <v>0.128</v>
      </c>
      <c r="G42" s="819">
        <v>0.13500000000000001</v>
      </c>
      <c r="H42" s="819">
        <v>9.8000000000000004E-2</v>
      </c>
      <c r="I42" s="817">
        <v>4.9000000000000002E-2</v>
      </c>
      <c r="J42" s="2406">
        <v>0.13500000000000001</v>
      </c>
      <c r="K42" s="824">
        <v>1284</v>
      </c>
      <c r="L42" s="807">
        <v>1284</v>
      </c>
      <c r="M42" s="807">
        <v>1284</v>
      </c>
      <c r="N42" s="814">
        <v>1284</v>
      </c>
      <c r="O42" s="2405">
        <v>1284</v>
      </c>
      <c r="P42" s="2254">
        <f t="shared" si="10"/>
        <v>85</v>
      </c>
      <c r="Q42" s="309"/>
    </row>
    <row r="43" spans="1:17" ht="26.25" thickBot="1">
      <c r="A43" s="2378">
        <v>51136</v>
      </c>
      <c r="B43" s="2326" t="s">
        <v>168</v>
      </c>
      <c r="C43" s="2326" t="s">
        <v>168</v>
      </c>
      <c r="D43" s="2328"/>
      <c r="E43" s="80" t="s">
        <v>309</v>
      </c>
      <c r="F43" s="746">
        <v>2.4750000000000001</v>
      </c>
      <c r="G43" s="746">
        <v>0.69199999999999995</v>
      </c>
      <c r="H43" s="746">
        <v>0.86</v>
      </c>
      <c r="I43" s="869">
        <v>0.91200000000000003</v>
      </c>
      <c r="J43" s="2407">
        <v>0.8</v>
      </c>
      <c r="K43" s="2408">
        <v>4017</v>
      </c>
      <c r="L43" s="2034">
        <v>4017</v>
      </c>
      <c r="M43" s="2034">
        <v>4017</v>
      </c>
      <c r="N43" s="2033">
        <v>4091</v>
      </c>
      <c r="O43" s="2409">
        <v>4153</v>
      </c>
      <c r="P43" s="2031">
        <f t="shared" si="10"/>
        <v>283</v>
      </c>
      <c r="Q43" s="80" t="s">
        <v>314</v>
      </c>
    </row>
    <row r="44" spans="1:17" ht="14.25" customHeight="1" thickTop="1" thickBot="1">
      <c r="A44" s="3321" t="s">
        <v>169</v>
      </c>
      <c r="B44" s="3322"/>
      <c r="C44" s="3322"/>
      <c r="D44" s="3322"/>
      <c r="E44" s="3323"/>
      <c r="F44" s="1398">
        <f t="shared" ref="F44:N44" si="12">SUM(F38:F43)</f>
        <v>10.513999999999999</v>
      </c>
      <c r="G44" s="1398">
        <f t="shared" si="12"/>
        <v>9.048</v>
      </c>
      <c r="H44" s="1265">
        <f t="shared" si="12"/>
        <v>9.8610000000000007</v>
      </c>
      <c r="I44" s="1399">
        <f t="shared" si="12"/>
        <v>10.013</v>
      </c>
      <c r="J44" s="2503">
        <f>SUM(J38:J43)</f>
        <v>9.5009999999999994</v>
      </c>
      <c r="K44" s="2416">
        <f t="shared" si="12"/>
        <v>95546</v>
      </c>
      <c r="L44" s="2271">
        <f t="shared" si="12"/>
        <v>95616</v>
      </c>
      <c r="M44" s="2272">
        <f t="shared" si="12"/>
        <v>97023</v>
      </c>
      <c r="N44" s="2271">
        <f t="shared" si="12"/>
        <v>98297</v>
      </c>
      <c r="O44" s="2412">
        <f>SUM(O38:O43)</f>
        <v>105835</v>
      </c>
      <c r="P44" s="1978">
        <f t="shared" si="10"/>
        <v>99</v>
      </c>
      <c r="Q44" s="2372"/>
    </row>
    <row r="45" spans="1:17">
      <c r="A45" s="2339">
        <v>216453</v>
      </c>
      <c r="B45" s="750" t="s">
        <v>171</v>
      </c>
      <c r="C45" s="750" t="s">
        <v>171</v>
      </c>
      <c r="D45" s="2385" t="s">
        <v>315</v>
      </c>
      <c r="E45" s="2400" t="s">
        <v>25</v>
      </c>
      <c r="F45" s="1018">
        <v>0.23100000000000001</v>
      </c>
      <c r="G45" s="83">
        <v>0.218</v>
      </c>
      <c r="H45" s="83">
        <v>0.22</v>
      </c>
      <c r="I45" s="289">
        <v>0.19500000000000001</v>
      </c>
      <c r="J45" s="2417">
        <v>0.20399999999999999</v>
      </c>
      <c r="K45" s="2504">
        <v>2042</v>
      </c>
      <c r="L45" s="2495">
        <v>2040</v>
      </c>
      <c r="M45" s="2342">
        <v>2038</v>
      </c>
      <c r="N45" s="2343">
        <v>2041</v>
      </c>
      <c r="O45" s="2418">
        <v>2100</v>
      </c>
      <c r="P45" s="2047">
        <f t="shared" si="10"/>
        <v>104</v>
      </c>
      <c r="Q45" s="81"/>
    </row>
    <row r="46" spans="1:17" ht="26.25" thickBot="1">
      <c r="A46" s="2419">
        <v>220310</v>
      </c>
      <c r="B46" s="1177" t="s">
        <v>316</v>
      </c>
      <c r="C46" s="1177" t="s">
        <v>316</v>
      </c>
      <c r="D46" s="2420"/>
      <c r="E46" s="2421" t="s">
        <v>25</v>
      </c>
      <c r="F46" s="2505">
        <v>0</v>
      </c>
      <c r="G46" s="991">
        <v>0</v>
      </c>
      <c r="H46" s="991">
        <v>0</v>
      </c>
      <c r="I46" s="992">
        <v>0</v>
      </c>
      <c r="J46" s="2506">
        <v>0</v>
      </c>
      <c r="K46" s="2507">
        <v>86</v>
      </c>
      <c r="L46" s="2508">
        <v>85</v>
      </c>
      <c r="M46" s="2424">
        <v>96</v>
      </c>
      <c r="N46" s="2425">
        <v>98</v>
      </c>
      <c r="O46" s="2426">
        <v>101</v>
      </c>
      <c r="P46" s="1963">
        <f t="shared" si="10"/>
        <v>0</v>
      </c>
      <c r="Q46" s="288" t="s">
        <v>317</v>
      </c>
    </row>
    <row r="47" spans="1:17" ht="14.25" customHeight="1" thickTop="1" thickBot="1">
      <c r="A47" s="3321" t="s">
        <v>173</v>
      </c>
      <c r="B47" s="3322"/>
      <c r="C47" s="3322"/>
      <c r="D47" s="3322"/>
      <c r="E47" s="3323"/>
      <c r="F47" s="1397">
        <f>SUM(F45:F46)</f>
        <v>0.23100000000000001</v>
      </c>
      <c r="G47" s="865">
        <f t="shared" ref="G47:O47" si="13">SUM(G45:G46)</f>
        <v>0.218</v>
      </c>
      <c r="H47" s="865">
        <f t="shared" si="13"/>
        <v>0.22</v>
      </c>
      <c r="I47" s="2494">
        <f t="shared" si="13"/>
        <v>0.19500000000000001</v>
      </c>
      <c r="J47" s="2509">
        <f t="shared" si="13"/>
        <v>0.20399999999999999</v>
      </c>
      <c r="K47" s="2427">
        <f t="shared" si="13"/>
        <v>2128</v>
      </c>
      <c r="L47" s="2334">
        <f t="shared" si="13"/>
        <v>2125</v>
      </c>
      <c r="M47" s="2334">
        <f t="shared" si="13"/>
        <v>2134</v>
      </c>
      <c r="N47" s="2334">
        <f t="shared" si="13"/>
        <v>2139</v>
      </c>
      <c r="O47" s="2428">
        <f t="shared" si="13"/>
        <v>2201</v>
      </c>
      <c r="P47" s="2337">
        <f t="shared" si="10"/>
        <v>100</v>
      </c>
      <c r="Q47" s="2429"/>
    </row>
    <row r="48" spans="1:17">
      <c r="A48" s="2339">
        <v>216567</v>
      </c>
      <c r="B48" s="2430" t="s">
        <v>175</v>
      </c>
      <c r="C48" s="2430" t="s">
        <v>175</v>
      </c>
      <c r="D48" s="2385" t="s">
        <v>318</v>
      </c>
      <c r="E48" s="2400" t="s">
        <v>26</v>
      </c>
      <c r="F48" s="83">
        <v>0.161</v>
      </c>
      <c r="G48" s="83">
        <v>0.13500000000000001</v>
      </c>
      <c r="H48" s="83">
        <v>0.14000000000000001</v>
      </c>
      <c r="I48" s="289">
        <v>0.14099999999999999</v>
      </c>
      <c r="J48" s="2417">
        <v>0.14299999999999999</v>
      </c>
      <c r="K48" s="2504">
        <v>699</v>
      </c>
      <c r="L48" s="2495">
        <v>699</v>
      </c>
      <c r="M48" s="2342">
        <v>688</v>
      </c>
      <c r="N48" s="2343">
        <v>669</v>
      </c>
      <c r="O48" s="2418">
        <v>699</v>
      </c>
      <c r="P48" s="2047">
        <f t="shared" ref="P48" si="14">SUM(F48:J48)/SUM(K48:O48)*1000000</f>
        <v>208</v>
      </c>
      <c r="Q48" s="81"/>
    </row>
    <row r="49" spans="1:17">
      <c r="A49" s="2345">
        <v>216651</v>
      </c>
      <c r="B49" s="2432" t="s">
        <v>177</v>
      </c>
      <c r="C49" s="2432" t="s">
        <v>177</v>
      </c>
      <c r="D49" s="2433" t="s">
        <v>319</v>
      </c>
      <c r="E49" s="2403" t="s">
        <v>26</v>
      </c>
      <c r="F49" s="819">
        <v>4.2999999999999997E-2</v>
      </c>
      <c r="G49" s="819">
        <v>3.5000000000000003E-2</v>
      </c>
      <c r="H49" s="819">
        <v>3.5000000000000003E-2</v>
      </c>
      <c r="I49" s="817">
        <v>4.5999999999999999E-2</v>
      </c>
      <c r="J49" s="2406">
        <v>0.06</v>
      </c>
      <c r="K49" s="2510">
        <v>757</v>
      </c>
      <c r="L49" s="2496">
        <v>754</v>
      </c>
      <c r="M49" s="2350">
        <v>754</v>
      </c>
      <c r="N49" s="2351">
        <v>741</v>
      </c>
      <c r="O49" s="2435">
        <v>777</v>
      </c>
      <c r="P49" s="1953">
        <f t="shared" si="10"/>
        <v>58</v>
      </c>
      <c r="Q49" s="309"/>
    </row>
    <row r="50" spans="1:17">
      <c r="A50" s="2353">
        <v>220443</v>
      </c>
      <c r="B50" s="2446" t="s">
        <v>179</v>
      </c>
      <c r="C50" s="2446" t="s">
        <v>179</v>
      </c>
      <c r="D50" s="3004"/>
      <c r="E50" s="2448" t="s">
        <v>26</v>
      </c>
      <c r="F50" s="2395">
        <v>7.3999999999999996E-2</v>
      </c>
      <c r="G50" s="2395">
        <v>6.7000000000000004E-2</v>
      </c>
      <c r="H50" s="2395">
        <v>4.7E-2</v>
      </c>
      <c r="I50" s="2396">
        <v>5.1999999999999998E-2</v>
      </c>
      <c r="J50" s="3005">
        <v>0.06</v>
      </c>
      <c r="K50" s="2512">
        <v>0</v>
      </c>
      <c r="L50" s="2498">
        <v>0</v>
      </c>
      <c r="M50" s="2357">
        <v>0</v>
      </c>
      <c r="N50" s="2358">
        <v>0</v>
      </c>
      <c r="O50" s="2449">
        <v>0</v>
      </c>
      <c r="P50" s="2015" t="s">
        <v>16</v>
      </c>
      <c r="Q50" s="2360"/>
    </row>
    <row r="51" spans="1:17" ht="13.5" thickBot="1">
      <c r="A51" s="2361">
        <v>220463</v>
      </c>
      <c r="B51" s="749" t="s">
        <v>181</v>
      </c>
      <c r="C51" s="749" t="s">
        <v>181</v>
      </c>
      <c r="D51" s="2388" t="s">
        <v>320</v>
      </c>
      <c r="E51" s="2437" t="s">
        <v>26</v>
      </c>
      <c r="F51" s="746">
        <v>0.61099999999999999</v>
      </c>
      <c r="G51" s="746">
        <v>0.65800000000000003</v>
      </c>
      <c r="H51" s="746">
        <v>0.73499999999999999</v>
      </c>
      <c r="I51" s="869">
        <v>0.68600000000000005</v>
      </c>
      <c r="J51" s="2407">
        <v>0.71599999999999997</v>
      </c>
      <c r="K51" s="2511">
        <v>3635</v>
      </c>
      <c r="L51" s="2499">
        <v>3623</v>
      </c>
      <c r="M51" s="2366">
        <v>3598</v>
      </c>
      <c r="N51" s="2367">
        <v>3574</v>
      </c>
      <c r="O51" s="2439">
        <v>3735</v>
      </c>
      <c r="P51" s="2031">
        <f t="shared" ref="P51" si="15">SUM(F51:J51)/SUM(K51:O51)*1000000</f>
        <v>188</v>
      </c>
      <c r="Q51" s="2517"/>
    </row>
    <row r="52" spans="1:17" ht="14.25" customHeight="1" thickTop="1" thickBot="1">
      <c r="A52" s="3236" t="s">
        <v>183</v>
      </c>
      <c r="B52" s="3324"/>
      <c r="C52" s="3324"/>
      <c r="D52" s="3324"/>
      <c r="E52" s="3237"/>
      <c r="F52" s="280">
        <f t="shared" ref="F52:O52" si="16">SUM(F48:F51)</f>
        <v>0.88900000000000001</v>
      </c>
      <c r="G52" s="280">
        <f t="shared" si="16"/>
        <v>0.89500000000000002</v>
      </c>
      <c r="H52" s="280">
        <f t="shared" si="16"/>
        <v>0.95699999999999996</v>
      </c>
      <c r="I52" s="85">
        <f t="shared" si="16"/>
        <v>0.92500000000000004</v>
      </c>
      <c r="J52" s="287">
        <f t="shared" si="16"/>
        <v>0.97899999999999998</v>
      </c>
      <c r="K52" s="2411">
        <f t="shared" si="16"/>
        <v>5091</v>
      </c>
      <c r="L52" s="1980">
        <f t="shared" si="16"/>
        <v>5076</v>
      </c>
      <c r="M52" s="1980">
        <f t="shared" si="16"/>
        <v>5040</v>
      </c>
      <c r="N52" s="1980">
        <f t="shared" si="16"/>
        <v>4984</v>
      </c>
      <c r="O52" s="2412">
        <f t="shared" si="16"/>
        <v>5211</v>
      </c>
      <c r="P52" s="1978">
        <f t="shared" si="10"/>
        <v>183</v>
      </c>
      <c r="Q52" s="2383"/>
    </row>
    <row r="53" spans="1:17" ht="29.25" customHeight="1" thickBot="1">
      <c r="A53" s="3224" t="s">
        <v>321</v>
      </c>
      <c r="B53" s="3224"/>
      <c r="C53" s="3224"/>
      <c r="D53" s="3224"/>
      <c r="E53" s="3224"/>
      <c r="F53" s="3224"/>
      <c r="G53" s="3224"/>
      <c r="H53" s="3224"/>
      <c r="I53" s="3224"/>
      <c r="J53" s="3224"/>
      <c r="K53" s="3224"/>
      <c r="L53" s="3224"/>
      <c r="M53" s="3224"/>
      <c r="N53" s="3224"/>
      <c r="O53" s="3224"/>
      <c r="P53" s="3224"/>
      <c r="Q53" s="3224"/>
    </row>
    <row r="54" spans="1:17" ht="21.75" customHeight="1">
      <c r="A54" s="3212" t="s">
        <v>272</v>
      </c>
      <c r="B54" s="3213" t="s">
        <v>273</v>
      </c>
      <c r="C54" s="3219" t="s">
        <v>86</v>
      </c>
      <c r="D54" s="3215" t="s">
        <v>274</v>
      </c>
      <c r="E54" s="3209" t="s">
        <v>85</v>
      </c>
      <c r="F54" s="3342" t="s">
        <v>55</v>
      </c>
      <c r="G54" s="3332"/>
      <c r="H54" s="3332"/>
      <c r="I54" s="3332"/>
      <c r="J54" s="3333"/>
      <c r="K54" s="3344" t="s">
        <v>275</v>
      </c>
      <c r="L54" s="3334"/>
      <c r="M54" s="3334"/>
      <c r="N54" s="3334"/>
      <c r="O54" s="3335"/>
      <c r="P54" s="3238" t="s">
        <v>276</v>
      </c>
      <c r="Q54" s="3209" t="s">
        <v>277</v>
      </c>
    </row>
    <row r="55" spans="1:17" s="67" customFormat="1" ht="21.75" customHeight="1" thickBot="1">
      <c r="A55" s="3330"/>
      <c r="B55" s="3331"/>
      <c r="C55" s="3328"/>
      <c r="D55" s="3329"/>
      <c r="E55" s="3211"/>
      <c r="F55" s="2310">
        <v>2014</v>
      </c>
      <c r="G55" s="2310">
        <v>2015</v>
      </c>
      <c r="H55" s="2310">
        <v>2016</v>
      </c>
      <c r="I55" s="2311">
        <v>2017</v>
      </c>
      <c r="J55" s="2312">
        <v>2018</v>
      </c>
      <c r="K55" s="2310">
        <v>2014</v>
      </c>
      <c r="L55" s="2310">
        <v>2015</v>
      </c>
      <c r="M55" s="2313">
        <v>2016</v>
      </c>
      <c r="N55" s="2310">
        <v>2017</v>
      </c>
      <c r="O55" s="2314">
        <v>2018</v>
      </c>
      <c r="P55" s="3240"/>
      <c r="Q55" s="3211"/>
    </row>
    <row r="56" spans="1:17">
      <c r="A56" s="2315">
        <v>122</v>
      </c>
      <c r="B56" s="2316" t="s">
        <v>185</v>
      </c>
      <c r="C56" s="2316" t="s">
        <v>185</v>
      </c>
      <c r="D56" s="2318"/>
      <c r="E56" s="79" t="s">
        <v>322</v>
      </c>
      <c r="F56" s="2440">
        <v>3.0569999999999999</v>
      </c>
      <c r="G56" s="75">
        <v>2.956</v>
      </c>
      <c r="H56" s="75">
        <v>3.2730000000000001</v>
      </c>
      <c r="I56" s="269">
        <v>3.2879999999999998</v>
      </c>
      <c r="J56" s="2404">
        <v>3.3929999999999998</v>
      </c>
      <c r="K56" s="72">
        <v>18661</v>
      </c>
      <c r="L56" s="2256">
        <v>18661</v>
      </c>
      <c r="M56" s="2256">
        <v>18797</v>
      </c>
      <c r="N56" s="76">
        <v>19020</v>
      </c>
      <c r="O56" s="2405">
        <v>19249</v>
      </c>
      <c r="P56" s="2254">
        <f t="shared" ref="P56:P61" si="17">SUM(F56:J56)/SUM(K56:O56)*1000000</f>
        <v>169</v>
      </c>
      <c r="Q56" s="2320"/>
    </row>
    <row r="57" spans="1:17">
      <c r="A57" s="2321">
        <v>922</v>
      </c>
      <c r="B57" s="2322" t="s">
        <v>187</v>
      </c>
      <c r="C57" s="2322" t="s">
        <v>187</v>
      </c>
      <c r="D57" s="2323"/>
      <c r="E57" s="309" t="s">
        <v>322</v>
      </c>
      <c r="F57" s="2441">
        <v>0.152</v>
      </c>
      <c r="G57" s="819">
        <v>0.157</v>
      </c>
      <c r="H57" s="819">
        <v>0.16800000000000001</v>
      </c>
      <c r="I57" s="817">
        <v>0.18099999999999999</v>
      </c>
      <c r="J57" s="2406">
        <v>0.20100000000000001</v>
      </c>
      <c r="K57" s="824">
        <v>1609</v>
      </c>
      <c r="L57" s="807">
        <v>1609</v>
      </c>
      <c r="M57" s="807">
        <v>1658</v>
      </c>
      <c r="N57" s="814">
        <v>1672</v>
      </c>
      <c r="O57" s="2405">
        <v>1719</v>
      </c>
      <c r="P57" s="2254">
        <f t="shared" si="17"/>
        <v>104</v>
      </c>
      <c r="Q57" s="2324"/>
    </row>
    <row r="58" spans="1:17">
      <c r="A58" s="2321">
        <v>948</v>
      </c>
      <c r="B58" s="2322" t="s">
        <v>189</v>
      </c>
      <c r="C58" s="2322" t="s">
        <v>189</v>
      </c>
      <c r="D58" s="2323"/>
      <c r="E58" s="309" t="s">
        <v>322</v>
      </c>
      <c r="F58" s="2441">
        <v>0.221</v>
      </c>
      <c r="G58" s="819">
        <v>0.23200000000000001</v>
      </c>
      <c r="H58" s="819">
        <v>0.21299999999999999</v>
      </c>
      <c r="I58" s="817">
        <v>0.23100000000000001</v>
      </c>
      <c r="J58" s="2406">
        <v>0.27200000000000002</v>
      </c>
      <c r="K58" s="824">
        <v>3000</v>
      </c>
      <c r="L58" s="807">
        <v>3000</v>
      </c>
      <c r="M58" s="807">
        <v>3166</v>
      </c>
      <c r="N58" s="814">
        <v>3178</v>
      </c>
      <c r="O58" s="2405">
        <v>3189</v>
      </c>
      <c r="P58" s="2254">
        <f t="shared" si="17"/>
        <v>75</v>
      </c>
      <c r="Q58" s="2324"/>
    </row>
    <row r="59" spans="1:17" ht="25.5">
      <c r="A59" s="2321">
        <v>50087</v>
      </c>
      <c r="B59" s="2322" t="s">
        <v>323</v>
      </c>
      <c r="C59" s="2322" t="s">
        <v>191</v>
      </c>
      <c r="D59" s="2323" t="s">
        <v>324</v>
      </c>
      <c r="E59" s="309" t="s">
        <v>322</v>
      </c>
      <c r="F59" s="2441">
        <v>1.264</v>
      </c>
      <c r="G59" s="819">
        <v>1.3089999999999999</v>
      </c>
      <c r="H59" s="819">
        <v>1.407</v>
      </c>
      <c r="I59" s="817">
        <v>1.4179999999999999</v>
      </c>
      <c r="J59" s="2406">
        <v>1.385</v>
      </c>
      <c r="K59" s="824">
        <v>8946</v>
      </c>
      <c r="L59" s="807">
        <v>9242</v>
      </c>
      <c r="M59" s="807">
        <v>9290</v>
      </c>
      <c r="N59" s="814">
        <v>9344</v>
      </c>
      <c r="O59" s="2442">
        <v>9401</v>
      </c>
      <c r="P59" s="1953">
        <f t="shared" si="17"/>
        <v>147</v>
      </c>
      <c r="Q59" s="2324"/>
    </row>
    <row r="60" spans="1:17" ht="13.5" thickBot="1">
      <c r="A60" s="2325">
        <v>88271</v>
      </c>
      <c r="B60" s="2326" t="s">
        <v>307</v>
      </c>
      <c r="C60" s="2326" t="s">
        <v>307</v>
      </c>
      <c r="D60" s="2328" t="s">
        <v>325</v>
      </c>
      <c r="E60" s="80" t="s">
        <v>322</v>
      </c>
      <c r="F60" s="866">
        <v>2.1850000000000001</v>
      </c>
      <c r="G60" s="746">
        <v>2.2570000000000001</v>
      </c>
      <c r="H60" s="746">
        <v>2.6509999999999998</v>
      </c>
      <c r="I60" s="869">
        <v>2.89</v>
      </c>
      <c r="J60" s="2407">
        <v>3.1669999999999998</v>
      </c>
      <c r="K60" s="2408">
        <v>35686</v>
      </c>
      <c r="L60" s="2034">
        <v>36856</v>
      </c>
      <c r="M60" s="2034">
        <v>38084</v>
      </c>
      <c r="N60" s="2033">
        <v>39221</v>
      </c>
      <c r="O60" s="2409">
        <v>41366</v>
      </c>
      <c r="P60" s="2031">
        <f t="shared" si="17"/>
        <v>69</v>
      </c>
      <c r="Q60" s="2331"/>
    </row>
    <row r="61" spans="1:17" ht="14.25" customHeight="1" thickTop="1" thickBot="1">
      <c r="A61" s="3236" t="s">
        <v>194</v>
      </c>
      <c r="B61" s="3324"/>
      <c r="C61" s="3324"/>
      <c r="D61" s="3324"/>
      <c r="E61" s="3237"/>
      <c r="F61" s="84">
        <f t="shared" ref="F61:N61" si="18">SUM(F56:F60)</f>
        <v>6.8789999999999996</v>
      </c>
      <c r="G61" s="84">
        <f t="shared" si="18"/>
        <v>6.9109999999999996</v>
      </c>
      <c r="H61" s="280">
        <f t="shared" si="18"/>
        <v>7.7119999999999997</v>
      </c>
      <c r="I61" s="85">
        <f t="shared" si="18"/>
        <v>8.0079999999999991</v>
      </c>
      <c r="J61" s="287">
        <f>SUM(J56:J60)</f>
        <v>8.4179999999999993</v>
      </c>
      <c r="K61" s="2411">
        <f t="shared" si="18"/>
        <v>67902</v>
      </c>
      <c r="L61" s="1980">
        <f t="shared" si="18"/>
        <v>69368</v>
      </c>
      <c r="M61" s="1981">
        <f t="shared" si="18"/>
        <v>70995</v>
      </c>
      <c r="N61" s="1980">
        <f t="shared" si="18"/>
        <v>72435</v>
      </c>
      <c r="O61" s="2412">
        <f>SUM(O56:O60)</f>
        <v>74924</v>
      </c>
      <c r="P61" s="2382">
        <f t="shared" si="17"/>
        <v>107</v>
      </c>
      <c r="Q61" s="2479"/>
    </row>
    <row r="62" spans="1:17" ht="14.25" customHeight="1">
      <c r="A62" s="2339" t="s">
        <v>197</v>
      </c>
      <c r="B62" s="750" t="s">
        <v>196</v>
      </c>
      <c r="C62" s="750" t="s">
        <v>196</v>
      </c>
      <c r="D62" s="2443"/>
      <c r="E62" s="2400" t="s">
        <v>326</v>
      </c>
      <c r="F62" s="87">
        <v>0.08</v>
      </c>
      <c r="G62" s="83">
        <v>8.2000000000000003E-2</v>
      </c>
      <c r="H62" s="83">
        <v>0.08</v>
      </c>
      <c r="I62" s="289">
        <v>0.10100000000000001</v>
      </c>
      <c r="J62" s="2417">
        <v>7.0999999999999994E-2</v>
      </c>
      <c r="K62" s="2444">
        <v>930</v>
      </c>
      <c r="L62" s="2168">
        <v>935</v>
      </c>
      <c r="M62" s="2168">
        <v>938</v>
      </c>
      <c r="N62" s="2167">
        <v>943</v>
      </c>
      <c r="O62" s="2445">
        <v>959</v>
      </c>
      <c r="P62" s="2047">
        <f t="shared" ref="P62:P76" si="19">SUM(F62:J62)/SUM(K62:O62)*1000000</f>
        <v>88</v>
      </c>
      <c r="Q62" s="2341"/>
    </row>
    <row r="63" spans="1:17">
      <c r="A63" s="2315">
        <v>1627</v>
      </c>
      <c r="B63" s="2316" t="s">
        <v>198</v>
      </c>
      <c r="C63" s="2316" t="s">
        <v>198</v>
      </c>
      <c r="D63" s="2318"/>
      <c r="E63" s="79" t="s">
        <v>326</v>
      </c>
      <c r="F63" s="2440">
        <v>0.17599999999999999</v>
      </c>
      <c r="G63" s="75">
        <v>0.16600000000000001</v>
      </c>
      <c r="H63" s="75">
        <v>0.17100000000000001</v>
      </c>
      <c r="I63" s="269">
        <v>0.17799999999999999</v>
      </c>
      <c r="J63" s="2404">
        <v>0.17100000000000001</v>
      </c>
      <c r="K63" s="72">
        <v>1800</v>
      </c>
      <c r="L63" s="2256">
        <v>1800</v>
      </c>
      <c r="M63" s="2256">
        <v>1800</v>
      </c>
      <c r="N63" s="76">
        <v>1804</v>
      </c>
      <c r="O63" s="2405">
        <v>1805</v>
      </c>
      <c r="P63" s="2254">
        <f t="shared" si="19"/>
        <v>96</v>
      </c>
      <c r="Q63" s="2320"/>
    </row>
    <row r="64" spans="1:17" ht="38.25">
      <c r="A64" s="2321">
        <v>7961</v>
      </c>
      <c r="B64" s="2322" t="s">
        <v>199</v>
      </c>
      <c r="C64" s="2322" t="s">
        <v>199</v>
      </c>
      <c r="D64" s="2323"/>
      <c r="E64" s="309" t="s">
        <v>326</v>
      </c>
      <c r="F64" s="2441">
        <v>0.1</v>
      </c>
      <c r="G64" s="819">
        <v>0.151</v>
      </c>
      <c r="H64" s="819">
        <v>0.113</v>
      </c>
      <c r="I64" s="817">
        <v>0.107</v>
      </c>
      <c r="J64" s="2406">
        <v>0.108</v>
      </c>
      <c r="K64" s="824">
        <v>449</v>
      </c>
      <c r="L64" s="807">
        <v>450</v>
      </c>
      <c r="M64" s="807">
        <v>450</v>
      </c>
      <c r="N64" s="814">
        <v>450</v>
      </c>
      <c r="O64" s="2405">
        <v>450</v>
      </c>
      <c r="P64" s="2254">
        <f t="shared" si="19"/>
        <v>257</v>
      </c>
      <c r="Q64" s="2324" t="s">
        <v>327</v>
      </c>
    </row>
    <row r="65" spans="1:17">
      <c r="A65" s="2321">
        <v>7981</v>
      </c>
      <c r="B65" s="2322" t="s">
        <v>328</v>
      </c>
      <c r="C65" s="2322" t="s">
        <v>200</v>
      </c>
      <c r="D65" s="2323"/>
      <c r="E65" s="309" t="s">
        <v>326</v>
      </c>
      <c r="F65" s="2441">
        <v>6.2E-2</v>
      </c>
      <c r="G65" s="819">
        <v>9.8000000000000004E-2</v>
      </c>
      <c r="H65" s="819">
        <v>6.5000000000000002E-2</v>
      </c>
      <c r="I65" s="817">
        <v>6.9000000000000006E-2</v>
      </c>
      <c r="J65" s="2406">
        <v>0.05</v>
      </c>
      <c r="K65" s="824">
        <v>1000</v>
      </c>
      <c r="L65" s="807">
        <v>1000</v>
      </c>
      <c r="M65" s="807">
        <v>1000</v>
      </c>
      <c r="N65" s="814">
        <v>1001</v>
      </c>
      <c r="O65" s="2405">
        <v>1001</v>
      </c>
      <c r="P65" s="2254">
        <f t="shared" si="19"/>
        <v>69</v>
      </c>
      <c r="Q65" s="2324"/>
    </row>
    <row r="66" spans="1:17">
      <c r="A66" s="2321">
        <v>8114</v>
      </c>
      <c r="B66" s="2322" t="s">
        <v>201</v>
      </c>
      <c r="C66" s="2322" t="s">
        <v>201</v>
      </c>
      <c r="D66" s="2323"/>
      <c r="E66" s="309" t="s">
        <v>326</v>
      </c>
      <c r="F66" s="2441">
        <v>1.3260000000000001</v>
      </c>
      <c r="G66" s="819">
        <v>1.3069999999999999</v>
      </c>
      <c r="H66" s="819">
        <v>1.206</v>
      </c>
      <c r="I66" s="817">
        <v>1.526</v>
      </c>
      <c r="J66" s="2406">
        <v>0.96099999999999997</v>
      </c>
      <c r="K66" s="824">
        <v>11900</v>
      </c>
      <c r="L66" s="807">
        <v>11941</v>
      </c>
      <c r="M66" s="807">
        <v>11985</v>
      </c>
      <c r="N66" s="814">
        <v>12053</v>
      </c>
      <c r="O66" s="2405">
        <v>12053</v>
      </c>
      <c r="P66" s="2254">
        <f t="shared" si="19"/>
        <v>106</v>
      </c>
      <c r="Q66" s="2324"/>
    </row>
    <row r="67" spans="1:17">
      <c r="A67" s="2321">
        <v>8168</v>
      </c>
      <c r="B67" s="2322" t="s">
        <v>202</v>
      </c>
      <c r="C67" s="2322" t="s">
        <v>202</v>
      </c>
      <c r="D67" s="2323"/>
      <c r="E67" s="309" t="s">
        <v>326</v>
      </c>
      <c r="F67" s="2441">
        <v>9.4E-2</v>
      </c>
      <c r="G67" s="819">
        <v>9.8000000000000004E-2</v>
      </c>
      <c r="H67" s="819">
        <v>8.7999999999999995E-2</v>
      </c>
      <c r="I67" s="817">
        <v>0.114</v>
      </c>
      <c r="J67" s="2406">
        <v>9.4E-2</v>
      </c>
      <c r="K67" s="824">
        <v>1781</v>
      </c>
      <c r="L67" s="807">
        <v>1781</v>
      </c>
      <c r="M67" s="807">
        <v>1781</v>
      </c>
      <c r="N67" s="814">
        <v>1785</v>
      </c>
      <c r="O67" s="2405">
        <v>1790</v>
      </c>
      <c r="P67" s="2254">
        <f t="shared" si="19"/>
        <v>55</v>
      </c>
      <c r="Q67" s="2324"/>
    </row>
    <row r="68" spans="1:17" ht="26.25" thickBot="1">
      <c r="A68" s="2378">
        <v>92165</v>
      </c>
      <c r="B68" s="2326" t="s">
        <v>203</v>
      </c>
      <c r="C68" s="2326" t="s">
        <v>203</v>
      </c>
      <c r="D68" s="2328" t="s">
        <v>329</v>
      </c>
      <c r="E68" s="80" t="s">
        <v>326</v>
      </c>
      <c r="F68" s="866">
        <v>0.24299999999999999</v>
      </c>
      <c r="G68" s="746">
        <v>0.26900000000000002</v>
      </c>
      <c r="H68" s="746">
        <v>0.27400000000000002</v>
      </c>
      <c r="I68" s="869">
        <v>0.27100000000000002</v>
      </c>
      <c r="J68" s="2407">
        <v>0.26100000000000001</v>
      </c>
      <c r="K68" s="2408">
        <v>2393</v>
      </c>
      <c r="L68" s="2034">
        <v>2479</v>
      </c>
      <c r="M68" s="2034">
        <v>2842</v>
      </c>
      <c r="N68" s="2033">
        <v>2851</v>
      </c>
      <c r="O68" s="2409">
        <v>2857</v>
      </c>
      <c r="P68" s="2031">
        <f t="shared" si="19"/>
        <v>98</v>
      </c>
      <c r="Q68" s="2331"/>
    </row>
    <row r="69" spans="1:17" ht="14.25" customHeight="1" thickTop="1" thickBot="1">
      <c r="A69" s="3236" t="s">
        <v>204</v>
      </c>
      <c r="B69" s="3324"/>
      <c r="C69" s="3324"/>
      <c r="D69" s="3324"/>
      <c r="E69" s="3237"/>
      <c r="F69" s="84">
        <f>SUM(F62:F68)</f>
        <v>2.081</v>
      </c>
      <c r="G69" s="84">
        <f t="shared" ref="G69:O69" si="20">SUM(G62:G68)</f>
        <v>2.1709999999999998</v>
      </c>
      <c r="H69" s="280">
        <f t="shared" si="20"/>
        <v>1.9970000000000001</v>
      </c>
      <c r="I69" s="85">
        <f t="shared" si="20"/>
        <v>2.3660000000000001</v>
      </c>
      <c r="J69" s="287">
        <f t="shared" si="20"/>
        <v>1.716</v>
      </c>
      <c r="K69" s="2411">
        <f t="shared" si="20"/>
        <v>20253</v>
      </c>
      <c r="L69" s="1980">
        <f t="shared" si="20"/>
        <v>20386</v>
      </c>
      <c r="M69" s="1981">
        <f t="shared" si="20"/>
        <v>20796</v>
      </c>
      <c r="N69" s="1980">
        <f t="shared" si="20"/>
        <v>20887</v>
      </c>
      <c r="O69" s="2412">
        <f t="shared" si="20"/>
        <v>20915</v>
      </c>
      <c r="P69" s="1978">
        <f t="shared" si="19"/>
        <v>100</v>
      </c>
      <c r="Q69" s="2383"/>
    </row>
    <row r="70" spans="1:17">
      <c r="A70" s="2373">
        <v>157</v>
      </c>
      <c r="B70" s="2374" t="s">
        <v>206</v>
      </c>
      <c r="C70" s="2374" t="s">
        <v>206</v>
      </c>
      <c r="D70" s="2413"/>
      <c r="E70" s="81" t="s">
        <v>330</v>
      </c>
      <c r="F70" s="87">
        <v>0.41499999999999998</v>
      </c>
      <c r="G70" s="83">
        <v>0.44900000000000001</v>
      </c>
      <c r="H70" s="75">
        <v>0.49299999999999999</v>
      </c>
      <c r="I70" s="269">
        <v>0.498</v>
      </c>
      <c r="J70" s="2404">
        <v>0.53500000000000003</v>
      </c>
      <c r="K70" s="72">
        <v>3295</v>
      </c>
      <c r="L70" s="2256">
        <v>3295</v>
      </c>
      <c r="M70" s="2256">
        <v>3445</v>
      </c>
      <c r="N70" s="76">
        <v>3702</v>
      </c>
      <c r="O70" s="2405">
        <v>3789</v>
      </c>
      <c r="P70" s="2254">
        <f t="shared" si="19"/>
        <v>136</v>
      </c>
      <c r="Q70" s="2341"/>
    </row>
    <row r="71" spans="1:17">
      <c r="A71" s="2321">
        <v>324</v>
      </c>
      <c r="B71" s="2322" t="s">
        <v>207</v>
      </c>
      <c r="C71" s="2322" t="s">
        <v>207</v>
      </c>
      <c r="D71" s="2323"/>
      <c r="E71" s="309" t="s">
        <v>330</v>
      </c>
      <c r="F71" s="2441">
        <v>6.0999999999999999E-2</v>
      </c>
      <c r="G71" s="819">
        <v>0.06</v>
      </c>
      <c r="H71" s="819">
        <v>5.8000000000000003E-2</v>
      </c>
      <c r="I71" s="817">
        <v>5.8999999999999997E-2</v>
      </c>
      <c r="J71" s="2406">
        <v>5.7000000000000002E-2</v>
      </c>
      <c r="K71" s="824">
        <v>858</v>
      </c>
      <c r="L71" s="807">
        <v>858</v>
      </c>
      <c r="M71" s="807">
        <v>858</v>
      </c>
      <c r="N71" s="814">
        <v>858</v>
      </c>
      <c r="O71" s="2405">
        <v>891</v>
      </c>
      <c r="P71" s="2254">
        <f t="shared" si="19"/>
        <v>68</v>
      </c>
      <c r="Q71" s="2324"/>
    </row>
    <row r="72" spans="1:17" ht="25.5">
      <c r="A72" s="2321">
        <v>1142</v>
      </c>
      <c r="B72" s="2322" t="s">
        <v>331</v>
      </c>
      <c r="C72" s="2322" t="s">
        <v>331</v>
      </c>
      <c r="D72" s="2323" t="s">
        <v>332</v>
      </c>
      <c r="E72" s="309" t="s">
        <v>333</v>
      </c>
      <c r="F72" s="2441">
        <v>3.665</v>
      </c>
      <c r="G72" s="819">
        <v>4.0170000000000003</v>
      </c>
      <c r="H72" s="819">
        <v>4.5350000000000001</v>
      </c>
      <c r="I72" s="817">
        <v>4.7629999999999999</v>
      </c>
      <c r="J72" s="2406">
        <v>4.01</v>
      </c>
      <c r="K72" s="824">
        <v>25353</v>
      </c>
      <c r="L72" s="807">
        <v>25353</v>
      </c>
      <c r="M72" s="807">
        <v>25707</v>
      </c>
      <c r="N72" s="814">
        <v>26176</v>
      </c>
      <c r="O72" s="2405">
        <v>27197</v>
      </c>
      <c r="P72" s="2254">
        <f t="shared" si="19"/>
        <v>162</v>
      </c>
      <c r="Q72" s="2324"/>
    </row>
    <row r="73" spans="1:17" ht="25.5">
      <c r="A73" s="2321">
        <v>1198</v>
      </c>
      <c r="B73" s="2322" t="s">
        <v>209</v>
      </c>
      <c r="C73" s="2322" t="s">
        <v>209</v>
      </c>
      <c r="D73" s="2323" t="s">
        <v>334</v>
      </c>
      <c r="E73" s="309" t="s">
        <v>330</v>
      </c>
      <c r="F73" s="2441">
        <v>6.8179999999999996</v>
      </c>
      <c r="G73" s="819">
        <v>6.8949999999999996</v>
      </c>
      <c r="H73" s="819">
        <v>7.9219999999999997</v>
      </c>
      <c r="I73" s="817">
        <v>7.8460000000000001</v>
      </c>
      <c r="J73" s="2406">
        <v>7.6840000000000002</v>
      </c>
      <c r="K73" s="824">
        <v>62675</v>
      </c>
      <c r="L73" s="807">
        <v>70395</v>
      </c>
      <c r="M73" s="807">
        <v>70395</v>
      </c>
      <c r="N73" s="814">
        <v>75016</v>
      </c>
      <c r="O73" s="2442">
        <v>75016</v>
      </c>
      <c r="P73" s="1953">
        <f t="shared" si="19"/>
        <v>105</v>
      </c>
      <c r="Q73" s="2324"/>
    </row>
    <row r="74" spans="1:17">
      <c r="A74" s="2321">
        <v>1392</v>
      </c>
      <c r="B74" s="2322" t="s">
        <v>209</v>
      </c>
      <c r="C74" s="2322" t="s">
        <v>209</v>
      </c>
      <c r="D74" s="2323" t="s">
        <v>335</v>
      </c>
      <c r="E74" s="309" t="s">
        <v>330</v>
      </c>
      <c r="F74" s="2441">
        <v>0.08</v>
      </c>
      <c r="G74" s="819">
        <v>8.4000000000000005E-2</v>
      </c>
      <c r="H74" s="819">
        <v>8.5999999999999993E-2</v>
      </c>
      <c r="I74" s="817">
        <v>8.3000000000000004E-2</v>
      </c>
      <c r="J74" s="2406">
        <v>8.8999999999999996E-2</v>
      </c>
      <c r="K74" s="824">
        <v>593</v>
      </c>
      <c r="L74" s="807">
        <v>682</v>
      </c>
      <c r="M74" s="807">
        <v>682</v>
      </c>
      <c r="N74" s="814">
        <v>695</v>
      </c>
      <c r="O74" s="2405">
        <v>708</v>
      </c>
      <c r="P74" s="2254">
        <f t="shared" si="19"/>
        <v>126</v>
      </c>
      <c r="Q74" s="2324"/>
    </row>
    <row r="75" spans="1:17" ht="13.5" thickBot="1">
      <c r="A75" s="2378">
        <v>50299</v>
      </c>
      <c r="B75" s="2326" t="s">
        <v>336</v>
      </c>
      <c r="C75" s="2326" t="s">
        <v>336</v>
      </c>
      <c r="D75" s="2328"/>
      <c r="E75" s="80" t="s">
        <v>330</v>
      </c>
      <c r="F75" s="866">
        <v>2.9510000000000001</v>
      </c>
      <c r="G75" s="746">
        <v>3.2309999999999999</v>
      </c>
      <c r="H75" s="746">
        <v>3.4089999999999998</v>
      </c>
      <c r="I75" s="869">
        <v>3.5779999999999998</v>
      </c>
      <c r="J75" s="2407">
        <v>3.46</v>
      </c>
      <c r="K75" s="2408">
        <v>28207</v>
      </c>
      <c r="L75" s="2034">
        <v>28207</v>
      </c>
      <c r="M75" s="2034">
        <v>29490</v>
      </c>
      <c r="N75" s="2033">
        <v>30190</v>
      </c>
      <c r="O75" s="2409">
        <v>32088</v>
      </c>
      <c r="P75" s="2031">
        <f t="shared" si="19"/>
        <v>112</v>
      </c>
      <c r="Q75" s="2331"/>
    </row>
    <row r="76" spans="1:17" ht="14.25" thickTop="1" thickBot="1">
      <c r="A76" s="3236" t="s">
        <v>212</v>
      </c>
      <c r="B76" s="3324"/>
      <c r="C76" s="3324"/>
      <c r="D76" s="3324"/>
      <c r="E76" s="3237"/>
      <c r="F76" s="84">
        <f t="shared" ref="F76:N76" si="21">SUM(F70:F75)</f>
        <v>13.99</v>
      </c>
      <c r="G76" s="84">
        <f t="shared" si="21"/>
        <v>14.736000000000001</v>
      </c>
      <c r="H76" s="280">
        <f t="shared" si="21"/>
        <v>16.503</v>
      </c>
      <c r="I76" s="85">
        <f t="shared" si="21"/>
        <v>16.827000000000002</v>
      </c>
      <c r="J76" s="287">
        <f>SUM(J70:J75)</f>
        <v>15.835000000000001</v>
      </c>
      <c r="K76" s="2411">
        <f t="shared" si="21"/>
        <v>120981</v>
      </c>
      <c r="L76" s="1980">
        <f t="shared" si="21"/>
        <v>128790</v>
      </c>
      <c r="M76" s="1981">
        <f t="shared" si="21"/>
        <v>130577</v>
      </c>
      <c r="N76" s="1980">
        <f t="shared" si="21"/>
        <v>136637</v>
      </c>
      <c r="O76" s="2412">
        <f>SUM(O70:O75)</f>
        <v>139689</v>
      </c>
      <c r="P76" s="1978">
        <f t="shared" si="19"/>
        <v>119</v>
      </c>
      <c r="Q76" s="2383"/>
    </row>
    <row r="77" spans="1:17">
      <c r="A77" s="2339">
        <v>216507</v>
      </c>
      <c r="B77" s="2430" t="s">
        <v>214</v>
      </c>
      <c r="C77" s="2430" t="s">
        <v>214</v>
      </c>
      <c r="D77" s="2385" t="s">
        <v>337</v>
      </c>
      <c r="E77" s="2400" t="s">
        <v>30</v>
      </c>
      <c r="F77" s="1018">
        <v>4.2000000000000003E-2</v>
      </c>
      <c r="G77" s="83">
        <v>3.5000000000000003E-2</v>
      </c>
      <c r="H77" s="83">
        <v>3.6999999999999998E-2</v>
      </c>
      <c r="I77" s="289">
        <v>3.7999999999999999E-2</v>
      </c>
      <c r="J77" s="132">
        <v>3.9E-2</v>
      </c>
      <c r="K77" s="2444">
        <v>493</v>
      </c>
      <c r="L77" s="2168">
        <v>483</v>
      </c>
      <c r="M77" s="2169">
        <v>485</v>
      </c>
      <c r="N77" s="2168">
        <v>478</v>
      </c>
      <c r="O77" s="2445">
        <v>490</v>
      </c>
      <c r="P77" s="2047">
        <f t="shared" ref="P77:P83" si="22">SUM(F77:J77)/SUM(K77:O77)*1000000</f>
        <v>79</v>
      </c>
      <c r="Q77" s="81"/>
    </row>
    <row r="78" spans="1:17">
      <c r="A78" s="2353">
        <v>216658</v>
      </c>
      <c r="B78" s="2446" t="s">
        <v>215</v>
      </c>
      <c r="C78" s="2446" t="s">
        <v>215</v>
      </c>
      <c r="D78" s="2447" t="s">
        <v>338</v>
      </c>
      <c r="E78" s="2448" t="s">
        <v>30</v>
      </c>
      <c r="F78" s="2394">
        <v>7.4999999999999997E-2</v>
      </c>
      <c r="G78" s="2395">
        <v>7.2999999999999995E-2</v>
      </c>
      <c r="H78" s="2395">
        <v>8.2000000000000003E-2</v>
      </c>
      <c r="I78" s="2396">
        <v>9.4E-2</v>
      </c>
      <c r="J78" s="2329">
        <v>8.4000000000000005E-2</v>
      </c>
      <c r="K78" s="2512">
        <v>666</v>
      </c>
      <c r="L78" s="2498">
        <v>664</v>
      </c>
      <c r="M78" s="2357">
        <v>683</v>
      </c>
      <c r="N78" s="2358">
        <v>683</v>
      </c>
      <c r="O78" s="2449">
        <v>700</v>
      </c>
      <c r="P78" s="2015">
        <f t="shared" si="22"/>
        <v>120</v>
      </c>
      <c r="Q78" s="2360"/>
    </row>
    <row r="79" spans="1:17">
      <c r="A79" s="2345">
        <v>219527</v>
      </c>
      <c r="B79" s="2432" t="s">
        <v>216</v>
      </c>
      <c r="C79" s="2432" t="s">
        <v>216</v>
      </c>
      <c r="D79" s="2402" t="s">
        <v>339</v>
      </c>
      <c r="E79" s="2403" t="s">
        <v>30</v>
      </c>
      <c r="F79" s="809">
        <v>0.13700000000000001</v>
      </c>
      <c r="G79" s="819">
        <v>0.13600000000000001</v>
      </c>
      <c r="H79" s="819">
        <v>0.13600000000000001</v>
      </c>
      <c r="I79" s="817">
        <v>0.14599999999999999</v>
      </c>
      <c r="J79" s="818">
        <v>0.127</v>
      </c>
      <c r="K79" s="2510">
        <v>563</v>
      </c>
      <c r="L79" s="2496">
        <v>563</v>
      </c>
      <c r="M79" s="2350">
        <v>753</v>
      </c>
      <c r="N79" s="2351">
        <v>761</v>
      </c>
      <c r="O79" s="2435">
        <v>780</v>
      </c>
      <c r="P79" s="2015">
        <f t="shared" si="22"/>
        <v>199</v>
      </c>
      <c r="Q79" s="309"/>
    </row>
    <row r="80" spans="1:17" ht="13.5" thickBot="1">
      <c r="A80" s="2361">
        <v>220612</v>
      </c>
      <c r="B80" s="2450" t="s">
        <v>217</v>
      </c>
      <c r="C80" s="2450" t="s">
        <v>217</v>
      </c>
      <c r="D80" s="2388" t="s">
        <v>340</v>
      </c>
      <c r="E80" s="2437" t="s">
        <v>30</v>
      </c>
      <c r="F80" s="1874">
        <v>1.1879999999999999</v>
      </c>
      <c r="G80" s="746">
        <v>1.0649999999999999</v>
      </c>
      <c r="H80" s="746">
        <v>1.1499999999999999</v>
      </c>
      <c r="I80" s="869">
        <v>1.0680000000000001</v>
      </c>
      <c r="J80" s="747">
        <v>1.056</v>
      </c>
      <c r="K80" s="2511">
        <v>5627</v>
      </c>
      <c r="L80" s="2499">
        <v>5781</v>
      </c>
      <c r="M80" s="2366">
        <v>5750</v>
      </c>
      <c r="N80" s="2367">
        <v>5779</v>
      </c>
      <c r="O80" s="2439">
        <v>6005</v>
      </c>
      <c r="P80" s="2031">
        <f t="shared" ref="P80" si="23">SUM(F80:J80)/SUM(K80:O80)*1000000</f>
        <v>191</v>
      </c>
      <c r="Q80" s="80"/>
    </row>
    <row r="81" spans="1:17" ht="14.25" customHeight="1" thickTop="1" thickBot="1">
      <c r="A81" s="3236" t="s">
        <v>218</v>
      </c>
      <c r="B81" s="3324"/>
      <c r="C81" s="3324"/>
      <c r="D81" s="3324"/>
      <c r="E81" s="3237"/>
      <c r="F81" s="2513">
        <f>SUM(F77:F80)</f>
        <v>1.4419999999999999</v>
      </c>
      <c r="G81" s="280">
        <f t="shared" ref="G81:O81" si="24">SUM(G77:G80)</f>
        <v>1.3089999999999999</v>
      </c>
      <c r="H81" s="280">
        <f t="shared" si="24"/>
        <v>1.405</v>
      </c>
      <c r="I81" s="85">
        <f t="shared" si="24"/>
        <v>1.3460000000000001</v>
      </c>
      <c r="J81" s="2381">
        <f t="shared" si="24"/>
        <v>1.306</v>
      </c>
      <c r="K81" s="2411">
        <f t="shared" si="24"/>
        <v>7349</v>
      </c>
      <c r="L81" s="1980">
        <f t="shared" si="24"/>
        <v>7491</v>
      </c>
      <c r="M81" s="1980">
        <f t="shared" si="24"/>
        <v>7671</v>
      </c>
      <c r="N81" s="1980">
        <f t="shared" si="24"/>
        <v>7701</v>
      </c>
      <c r="O81" s="2412">
        <f t="shared" si="24"/>
        <v>7975</v>
      </c>
      <c r="P81" s="1978">
        <f t="shared" si="22"/>
        <v>178</v>
      </c>
      <c r="Q81" s="2372"/>
    </row>
    <row r="82" spans="1:17" ht="13.5" thickBot="1">
      <c r="A82" s="2419">
        <v>220148</v>
      </c>
      <c r="B82" s="2451" t="s">
        <v>220</v>
      </c>
      <c r="C82" s="2451" t="s">
        <v>220</v>
      </c>
      <c r="D82" s="2452" t="s">
        <v>341</v>
      </c>
      <c r="E82" s="2421" t="s">
        <v>31</v>
      </c>
      <c r="F82" s="2505">
        <v>0.219</v>
      </c>
      <c r="G82" s="991">
        <v>0.26</v>
      </c>
      <c r="H82" s="991">
        <v>0.21299999999999999</v>
      </c>
      <c r="I82" s="992">
        <v>0.222</v>
      </c>
      <c r="J82" s="2514">
        <v>0.223</v>
      </c>
      <c r="K82" s="2507">
        <v>1743</v>
      </c>
      <c r="L82" s="2508">
        <v>1742</v>
      </c>
      <c r="M82" s="2424">
        <v>1742</v>
      </c>
      <c r="N82" s="2425">
        <v>1729</v>
      </c>
      <c r="O82" s="2426">
        <v>1850</v>
      </c>
      <c r="P82" s="1963">
        <f t="shared" si="22"/>
        <v>129</v>
      </c>
      <c r="Q82" s="288"/>
    </row>
    <row r="83" spans="1:17" ht="14.25" customHeight="1" thickTop="1" thickBot="1">
      <c r="A83" s="3236" t="s">
        <v>221</v>
      </c>
      <c r="B83" s="3324"/>
      <c r="C83" s="3324"/>
      <c r="D83" s="3324"/>
      <c r="E83" s="3237"/>
      <c r="F83" s="2513">
        <f t="shared" ref="F83:N83" si="25">F82</f>
        <v>0.219</v>
      </c>
      <c r="G83" s="280">
        <f t="shared" si="25"/>
        <v>0.26</v>
      </c>
      <c r="H83" s="280">
        <f t="shared" si="25"/>
        <v>0.21299999999999999</v>
      </c>
      <c r="I83" s="85">
        <f t="shared" si="25"/>
        <v>0.222</v>
      </c>
      <c r="J83" s="2381">
        <f>J82</f>
        <v>0.223</v>
      </c>
      <c r="K83" s="2411">
        <f t="shared" si="25"/>
        <v>1743</v>
      </c>
      <c r="L83" s="1980">
        <f t="shared" si="25"/>
        <v>1742</v>
      </c>
      <c r="M83" s="1980">
        <f t="shared" si="25"/>
        <v>1742</v>
      </c>
      <c r="N83" s="1980">
        <f t="shared" si="25"/>
        <v>1729</v>
      </c>
      <c r="O83" s="2412">
        <f>O82</f>
        <v>1850</v>
      </c>
      <c r="P83" s="1978">
        <f t="shared" si="22"/>
        <v>129</v>
      </c>
      <c r="Q83" s="2372"/>
    </row>
    <row r="84" spans="1:17" ht="13.5" thickBot="1">
      <c r="A84" s="3325" t="s">
        <v>32</v>
      </c>
      <c r="B84" s="3326"/>
      <c r="C84" s="3326"/>
      <c r="D84" s="3326"/>
      <c r="E84" s="3327"/>
      <c r="F84" s="2453">
        <f t="shared" ref="F84:O84" si="26">F76+F69+F61+F44+F37+F26+F18+F9</f>
        <v>174.149</v>
      </c>
      <c r="G84" s="2454">
        <f t="shared" si="26"/>
        <v>178.816</v>
      </c>
      <c r="H84" s="2454">
        <f t="shared" si="26"/>
        <v>189.523</v>
      </c>
      <c r="I84" s="2455">
        <f t="shared" si="26"/>
        <v>193.96899999999999</v>
      </c>
      <c r="J84" s="2455">
        <f t="shared" si="26"/>
        <v>186.66200000000001</v>
      </c>
      <c r="K84" s="2456">
        <f t="shared" si="26"/>
        <v>1373575</v>
      </c>
      <c r="L84" s="2457">
        <f t="shared" si="26"/>
        <v>1387038</v>
      </c>
      <c r="M84" s="2458">
        <f t="shared" si="26"/>
        <v>1406266</v>
      </c>
      <c r="N84" s="2457">
        <f t="shared" si="26"/>
        <v>1425312</v>
      </c>
      <c r="O84" s="2459">
        <f t="shared" si="26"/>
        <v>1467069</v>
      </c>
      <c r="P84" s="2460">
        <f t="shared" ref="P84:P86" si="27">SUM(F84:J84)/SUM(K84:O84)*1000000</f>
        <v>131</v>
      </c>
      <c r="Q84" s="2461"/>
    </row>
    <row r="85" spans="1:17" ht="13.5" thickBot="1">
      <c r="A85" s="3325" t="s">
        <v>33</v>
      </c>
      <c r="B85" s="3326"/>
      <c r="C85" s="3326"/>
      <c r="D85" s="3326"/>
      <c r="E85" s="3327"/>
      <c r="F85" s="2462">
        <f t="shared" ref="F85:O85" si="28">F15+F21+F29+F47+F52+F81+F83</f>
        <v>9.1460000000000008</v>
      </c>
      <c r="G85" s="88">
        <f t="shared" si="28"/>
        <v>9.2840000000000007</v>
      </c>
      <c r="H85" s="88">
        <f t="shared" si="28"/>
        <v>9.5850000000000009</v>
      </c>
      <c r="I85" s="2463">
        <f t="shared" si="28"/>
        <v>9.4779999999999998</v>
      </c>
      <c r="J85" s="2463">
        <f t="shared" si="28"/>
        <v>9.5939999999999994</v>
      </c>
      <c r="K85" s="2464">
        <f t="shared" si="28"/>
        <v>64228</v>
      </c>
      <c r="L85" s="2465">
        <f t="shared" si="28"/>
        <v>64483</v>
      </c>
      <c r="M85" s="2465">
        <f t="shared" si="28"/>
        <v>65492</v>
      </c>
      <c r="N85" s="2465">
        <f t="shared" si="28"/>
        <v>65993</v>
      </c>
      <c r="O85" s="2466">
        <f t="shared" si="28"/>
        <v>67333</v>
      </c>
      <c r="P85" s="2460">
        <f t="shared" si="27"/>
        <v>144</v>
      </c>
      <c r="Q85" s="2461"/>
    </row>
    <row r="86" spans="1:17" ht="13.5" thickBot="1">
      <c r="A86" s="3325" t="s">
        <v>34</v>
      </c>
      <c r="B86" s="3326"/>
      <c r="C86" s="3326"/>
      <c r="D86" s="3326"/>
      <c r="E86" s="3327"/>
      <c r="F86" s="84">
        <f t="shared" ref="F86:N86" si="29">F84+F85</f>
        <v>183.29499999999999</v>
      </c>
      <c r="G86" s="280">
        <f t="shared" si="29"/>
        <v>188.1</v>
      </c>
      <c r="H86" s="280">
        <f t="shared" si="29"/>
        <v>199.108</v>
      </c>
      <c r="I86" s="287">
        <f t="shared" si="29"/>
        <v>203.447</v>
      </c>
      <c r="J86" s="287">
        <f t="shared" ref="J86" si="30">J84+J85</f>
        <v>196.256</v>
      </c>
      <c r="K86" s="2411">
        <f t="shared" si="29"/>
        <v>1437803</v>
      </c>
      <c r="L86" s="1980">
        <f t="shared" si="29"/>
        <v>1451521</v>
      </c>
      <c r="M86" s="1980">
        <f t="shared" si="29"/>
        <v>1471758</v>
      </c>
      <c r="N86" s="1980">
        <f t="shared" si="29"/>
        <v>1491305</v>
      </c>
      <c r="O86" s="2412">
        <f t="shared" ref="O86" si="31">O84+O85</f>
        <v>1534402</v>
      </c>
      <c r="P86" s="2460">
        <f t="shared" si="27"/>
        <v>131</v>
      </c>
      <c r="Q86" s="2461"/>
    </row>
    <row r="87" spans="1:17">
      <c r="A87" s="54" t="s">
        <v>35</v>
      </c>
    </row>
    <row r="88" spans="1:17">
      <c r="A88" s="2" t="s">
        <v>68</v>
      </c>
      <c r="I88" s="2467" t="s">
        <v>36</v>
      </c>
      <c r="N88" s="2" t="s">
        <v>36</v>
      </c>
    </row>
    <row r="89" spans="1:17">
      <c r="A89" s="2" t="s">
        <v>69</v>
      </c>
      <c r="K89" s="212"/>
      <c r="L89" s="212"/>
      <c r="M89" s="212" t="s">
        <v>36</v>
      </c>
      <c r="N89" s="212"/>
      <c r="O89" s="212"/>
    </row>
    <row r="90" spans="1:17">
      <c r="A90" s="2" t="s">
        <v>342</v>
      </c>
    </row>
    <row r="91" spans="1:17">
      <c r="A91" s="2" t="s">
        <v>343</v>
      </c>
    </row>
    <row r="92" spans="1:17">
      <c r="A92" s="2"/>
    </row>
    <row r="93" spans="1:17" ht="13.5" thickBot="1">
      <c r="A93" s="2" t="s">
        <v>344</v>
      </c>
    </row>
    <row r="94" spans="1:17" ht="21.75" customHeight="1">
      <c r="A94" s="3212" t="s">
        <v>272</v>
      </c>
      <c r="B94" s="3213" t="s">
        <v>273</v>
      </c>
      <c r="C94" s="3219" t="s">
        <v>86</v>
      </c>
      <c r="D94" s="3215" t="s">
        <v>274</v>
      </c>
      <c r="E94" s="3209" t="s">
        <v>85</v>
      </c>
      <c r="F94" s="3342" t="s">
        <v>55</v>
      </c>
      <c r="G94" s="3332"/>
      <c r="H94" s="3332"/>
      <c r="I94" s="3332"/>
      <c r="J94" s="3333"/>
      <c r="K94" s="3334" t="s">
        <v>275</v>
      </c>
      <c r="L94" s="3334"/>
      <c r="M94" s="3334"/>
      <c r="N94" s="3334"/>
      <c r="O94" s="3334"/>
      <c r="P94" s="3238" t="s">
        <v>276</v>
      </c>
      <c r="Q94" s="3218" t="s">
        <v>277</v>
      </c>
    </row>
    <row r="95" spans="1:17" s="67" customFormat="1" ht="21.75" customHeight="1" thickBot="1">
      <c r="A95" s="3330"/>
      <c r="B95" s="3331"/>
      <c r="C95" s="3328"/>
      <c r="D95" s="3329"/>
      <c r="E95" s="3211"/>
      <c r="F95" s="2528">
        <v>2014</v>
      </c>
      <c r="G95" s="2310">
        <v>2015</v>
      </c>
      <c r="H95" s="2310">
        <v>2016</v>
      </c>
      <c r="I95" s="2311">
        <v>2017</v>
      </c>
      <c r="J95" s="2312">
        <v>2018</v>
      </c>
      <c r="K95" s="2522">
        <v>2014</v>
      </c>
      <c r="L95" s="2310">
        <v>2015</v>
      </c>
      <c r="M95" s="2313">
        <v>2016</v>
      </c>
      <c r="N95" s="2310">
        <v>2017</v>
      </c>
      <c r="O95" s="2314">
        <v>2018</v>
      </c>
      <c r="P95" s="3240"/>
      <c r="Q95" s="3343"/>
    </row>
    <row r="96" spans="1:17">
      <c r="A96" s="2468">
        <v>216823</v>
      </c>
      <c r="B96" s="2469" t="s">
        <v>231</v>
      </c>
      <c r="C96" s="2469" t="s">
        <v>231</v>
      </c>
      <c r="D96" s="2470" t="s">
        <v>341</v>
      </c>
      <c r="E96" s="2471" t="s">
        <v>46</v>
      </c>
      <c r="F96" s="129">
        <v>0.51900000000000002</v>
      </c>
      <c r="G96" s="75">
        <v>0.52500000000000002</v>
      </c>
      <c r="H96" s="75">
        <v>0.54600000000000004</v>
      </c>
      <c r="I96" s="269">
        <v>0.55200000000000005</v>
      </c>
      <c r="J96" s="177">
        <v>0.57799999999999996</v>
      </c>
      <c r="K96" s="2523">
        <v>1645</v>
      </c>
      <c r="L96" s="2515">
        <v>1637</v>
      </c>
      <c r="M96" s="2473">
        <v>1617</v>
      </c>
      <c r="N96" s="2474">
        <v>1611</v>
      </c>
      <c r="O96" s="2352">
        <v>1696</v>
      </c>
      <c r="P96" s="2254">
        <f t="shared" ref="P96:P100" si="32">SUM(F96:J96)/SUM(K96:O96)*1000000</f>
        <v>331</v>
      </c>
      <c r="Q96" s="2320"/>
    </row>
    <row r="97" spans="1:17">
      <c r="A97" s="2345">
        <v>216831</v>
      </c>
      <c r="B97" s="2432" t="s">
        <v>232</v>
      </c>
      <c r="C97" s="2432" t="s">
        <v>232</v>
      </c>
      <c r="D97" s="2475" t="s">
        <v>345</v>
      </c>
      <c r="E97" s="2403" t="s">
        <v>46</v>
      </c>
      <c r="F97" s="809">
        <v>6.0999999999999999E-2</v>
      </c>
      <c r="G97" s="819">
        <v>6.5000000000000002E-2</v>
      </c>
      <c r="H97" s="819">
        <v>7.2999999999999995E-2</v>
      </c>
      <c r="I97" s="817">
        <v>7.1999999999999995E-2</v>
      </c>
      <c r="J97" s="818">
        <v>7.2999999999999995E-2</v>
      </c>
      <c r="K97" s="1954">
        <v>286</v>
      </c>
      <c r="L97" s="814">
        <v>286</v>
      </c>
      <c r="M97" s="807">
        <v>285</v>
      </c>
      <c r="N97" s="814">
        <v>285</v>
      </c>
      <c r="O97" s="2476">
        <v>300</v>
      </c>
      <c r="P97" s="1953">
        <f t="shared" si="32"/>
        <v>239</v>
      </c>
      <c r="Q97" s="2324"/>
    </row>
    <row r="98" spans="1:17">
      <c r="A98" s="2468">
        <v>217129</v>
      </c>
      <c r="B98" s="2469" t="s">
        <v>233</v>
      </c>
      <c r="C98" s="2469" t="s">
        <v>233</v>
      </c>
      <c r="D98" s="2470" t="s">
        <v>346</v>
      </c>
      <c r="E98" s="2471" t="s">
        <v>46</v>
      </c>
      <c r="F98" s="129">
        <v>4.1000000000000002E-2</v>
      </c>
      <c r="G98" s="75">
        <v>4.4999999999999998E-2</v>
      </c>
      <c r="H98" s="75">
        <v>4.7E-2</v>
      </c>
      <c r="I98" s="269">
        <v>4.9000000000000002E-2</v>
      </c>
      <c r="J98" s="177">
        <v>4.2000000000000003E-2</v>
      </c>
      <c r="K98" s="2523">
        <v>164</v>
      </c>
      <c r="L98" s="2515">
        <v>164</v>
      </c>
      <c r="M98" s="2473">
        <v>160</v>
      </c>
      <c r="N98" s="2474">
        <v>158</v>
      </c>
      <c r="O98" s="2352">
        <v>167</v>
      </c>
      <c r="P98" s="2254">
        <f t="shared" si="32"/>
        <v>276</v>
      </c>
      <c r="Q98" s="2320"/>
    </row>
    <row r="99" spans="1:17" ht="26.25" thickBot="1">
      <c r="A99" s="2361">
        <v>220310</v>
      </c>
      <c r="B99" s="2450" t="s">
        <v>347</v>
      </c>
      <c r="C99" s="2450" t="s">
        <v>347</v>
      </c>
      <c r="D99" s="2477"/>
      <c r="E99" s="2437" t="s">
        <v>46</v>
      </c>
      <c r="F99" s="1874">
        <v>0</v>
      </c>
      <c r="G99" s="746">
        <v>0</v>
      </c>
      <c r="H99" s="746">
        <v>0</v>
      </c>
      <c r="I99" s="869">
        <v>0</v>
      </c>
      <c r="J99" s="747">
        <v>0</v>
      </c>
      <c r="K99" s="2032">
        <v>405</v>
      </c>
      <c r="L99" s="2033">
        <v>404</v>
      </c>
      <c r="M99" s="2034">
        <v>401</v>
      </c>
      <c r="N99" s="2033">
        <v>398</v>
      </c>
      <c r="O99" s="2380">
        <v>421</v>
      </c>
      <c r="P99" s="2031">
        <f t="shared" si="32"/>
        <v>0</v>
      </c>
      <c r="Q99" s="2331" t="s">
        <v>348</v>
      </c>
    </row>
    <row r="100" spans="1:17" ht="14.25" customHeight="1" thickTop="1" thickBot="1">
      <c r="A100" s="3236" t="s">
        <v>235</v>
      </c>
      <c r="B100" s="3324"/>
      <c r="C100" s="3324"/>
      <c r="D100" s="3324"/>
      <c r="E100" s="3237"/>
      <c r="F100" s="2513">
        <f t="shared" ref="F100:O100" si="33">SUM(F96:F99)</f>
        <v>0.621</v>
      </c>
      <c r="G100" s="280">
        <f t="shared" si="33"/>
        <v>0.63500000000000001</v>
      </c>
      <c r="H100" s="280">
        <f t="shared" si="33"/>
        <v>0.66600000000000004</v>
      </c>
      <c r="I100" s="85">
        <f t="shared" si="33"/>
        <v>0.67300000000000004</v>
      </c>
      <c r="J100" s="2381">
        <f t="shared" si="33"/>
        <v>0.69299999999999995</v>
      </c>
      <c r="K100" s="1979">
        <f t="shared" si="33"/>
        <v>2500</v>
      </c>
      <c r="L100" s="1980">
        <f t="shared" si="33"/>
        <v>2491</v>
      </c>
      <c r="M100" s="1980">
        <f t="shared" si="33"/>
        <v>2463</v>
      </c>
      <c r="N100" s="1980">
        <f t="shared" si="33"/>
        <v>2452</v>
      </c>
      <c r="O100" s="2371">
        <f t="shared" si="33"/>
        <v>2584</v>
      </c>
      <c r="P100" s="1978">
        <f t="shared" si="32"/>
        <v>263</v>
      </c>
      <c r="Q100" s="2383"/>
    </row>
    <row r="101" spans="1:17" ht="14.25" customHeight="1" thickBot="1">
      <c r="A101" s="2468" t="s">
        <v>349</v>
      </c>
      <c r="B101" s="2469" t="s">
        <v>350</v>
      </c>
      <c r="C101" s="2469" t="s">
        <v>350</v>
      </c>
      <c r="D101" s="2452" t="s">
        <v>351</v>
      </c>
      <c r="E101" s="2471" t="s">
        <v>47</v>
      </c>
      <c r="F101" s="129">
        <v>0</v>
      </c>
      <c r="G101" s="75">
        <v>0</v>
      </c>
      <c r="H101" s="75">
        <v>0</v>
      </c>
      <c r="I101" s="75">
        <v>0</v>
      </c>
      <c r="J101" s="177">
        <v>0</v>
      </c>
      <c r="K101" s="2530">
        <v>548</v>
      </c>
      <c r="L101" s="2531">
        <v>553</v>
      </c>
      <c r="M101" s="2532">
        <v>529</v>
      </c>
      <c r="N101" s="2533">
        <v>577</v>
      </c>
      <c r="O101" s="2534">
        <v>603</v>
      </c>
      <c r="P101" s="2535" t="s">
        <v>16</v>
      </c>
      <c r="Q101" s="2338" t="s">
        <v>352</v>
      </c>
    </row>
    <row r="102" spans="1:17" ht="14.25" thickTop="1" thickBot="1">
      <c r="A102" s="3321" t="s">
        <v>238</v>
      </c>
      <c r="B102" s="3322"/>
      <c r="C102" s="3322"/>
      <c r="D102" s="3322"/>
      <c r="E102" s="3323"/>
      <c r="F102" s="1397">
        <v>0</v>
      </c>
      <c r="G102" s="2478">
        <v>0</v>
      </c>
      <c r="H102" s="2478">
        <v>0</v>
      </c>
      <c r="I102" s="2478">
        <v>0</v>
      </c>
      <c r="J102" s="1403">
        <v>0</v>
      </c>
      <c r="K102" s="1979">
        <f>SUM(K101:K101)</f>
        <v>548</v>
      </c>
      <c r="L102" s="1980">
        <f>SUM(L101:L101)</f>
        <v>553</v>
      </c>
      <c r="M102" s="1980">
        <f>SUM(M101:M101)</f>
        <v>529</v>
      </c>
      <c r="N102" s="1980">
        <f>SUM(N101:N101)</f>
        <v>577</v>
      </c>
      <c r="O102" s="2371">
        <f>SUM(O101:O101)</f>
        <v>603</v>
      </c>
      <c r="P102" s="304" t="s">
        <v>16</v>
      </c>
      <c r="Q102" s="2398"/>
    </row>
    <row r="103" spans="1:17" ht="13.5" thickBot="1">
      <c r="A103" s="294">
        <v>216851</v>
      </c>
      <c r="B103" s="2480" t="s">
        <v>240</v>
      </c>
      <c r="C103" s="2480" t="s">
        <v>240</v>
      </c>
      <c r="D103" s="2481" t="s">
        <v>353</v>
      </c>
      <c r="E103" s="2482" t="s">
        <v>48</v>
      </c>
      <c r="F103" s="1275">
        <v>0.16800000000000001</v>
      </c>
      <c r="G103" s="2483">
        <v>0.14699999999999999</v>
      </c>
      <c r="H103" s="86">
        <v>0.161</v>
      </c>
      <c r="I103" s="2484">
        <v>0.14699999999999999</v>
      </c>
      <c r="J103" s="1276">
        <v>0.17199999999999999</v>
      </c>
      <c r="K103" s="2524">
        <v>1195</v>
      </c>
      <c r="L103" s="2516">
        <v>1188</v>
      </c>
      <c r="M103" s="2486">
        <v>1182</v>
      </c>
      <c r="N103" s="2487">
        <v>1183</v>
      </c>
      <c r="O103" s="2518">
        <v>1208</v>
      </c>
      <c r="P103" s="1989">
        <f t="shared" ref="P103:P104" si="34">SUM(F103:J103)/SUM(K103:O103)*1000000</f>
        <v>133</v>
      </c>
      <c r="Q103" s="2521"/>
    </row>
    <row r="104" spans="1:17" ht="14.25" thickTop="1" thickBot="1">
      <c r="A104" s="3236" t="s">
        <v>241</v>
      </c>
      <c r="B104" s="3324"/>
      <c r="C104" s="3324"/>
      <c r="D104" s="3324"/>
      <c r="E104" s="3237"/>
      <c r="F104" s="2513">
        <f t="shared" ref="F104:N104" si="35">F103</f>
        <v>0.16800000000000001</v>
      </c>
      <c r="G104" s="84">
        <f t="shared" si="35"/>
        <v>0.14699999999999999</v>
      </c>
      <c r="H104" s="84">
        <f t="shared" si="35"/>
        <v>0.161</v>
      </c>
      <c r="I104" s="2488">
        <f t="shared" si="35"/>
        <v>0.14699999999999999</v>
      </c>
      <c r="J104" s="2381">
        <f>J103</f>
        <v>0.17199999999999999</v>
      </c>
      <c r="K104" s="1979">
        <f t="shared" si="35"/>
        <v>1195</v>
      </c>
      <c r="L104" s="1980">
        <f t="shared" si="35"/>
        <v>1188</v>
      </c>
      <c r="M104" s="1980">
        <f t="shared" si="35"/>
        <v>1182</v>
      </c>
      <c r="N104" s="1980">
        <f t="shared" si="35"/>
        <v>1183</v>
      </c>
      <c r="O104" s="2371">
        <f>O103</f>
        <v>1208</v>
      </c>
      <c r="P104" s="1978">
        <f t="shared" si="34"/>
        <v>133</v>
      </c>
      <c r="Q104" s="2383"/>
    </row>
    <row r="105" spans="1:17">
      <c r="A105" s="2339">
        <v>216821</v>
      </c>
      <c r="B105" s="750" t="s">
        <v>354</v>
      </c>
      <c r="C105" s="750" t="s">
        <v>354</v>
      </c>
      <c r="D105" s="2385" t="s">
        <v>355</v>
      </c>
      <c r="E105" s="2400" t="s">
        <v>49</v>
      </c>
      <c r="F105" s="1018">
        <v>0.13200000000000001</v>
      </c>
      <c r="G105" s="83">
        <v>0.11600000000000001</v>
      </c>
      <c r="H105" s="83">
        <v>0.125</v>
      </c>
      <c r="I105" s="289">
        <v>0.129</v>
      </c>
      <c r="J105" s="132">
        <v>0.13100000000000001</v>
      </c>
      <c r="K105" s="2525">
        <v>2191</v>
      </c>
      <c r="L105" s="2495">
        <v>2180</v>
      </c>
      <c r="M105" s="2342">
        <v>2207</v>
      </c>
      <c r="N105" s="2343">
        <v>2283</v>
      </c>
      <c r="O105" s="2344">
        <v>2304</v>
      </c>
      <c r="P105" s="2047">
        <f t="shared" ref="P105:P114" si="36">SUM(F105:J105)/SUM(K105:O105)*1000000</f>
        <v>57</v>
      </c>
      <c r="Q105" s="2341"/>
    </row>
    <row r="106" spans="1:17">
      <c r="A106" s="2345">
        <v>216826</v>
      </c>
      <c r="B106" s="2432" t="s">
        <v>245</v>
      </c>
      <c r="C106" s="2432" t="s">
        <v>245</v>
      </c>
      <c r="D106" s="2402" t="s">
        <v>356</v>
      </c>
      <c r="E106" s="2403" t="s">
        <v>49</v>
      </c>
      <c r="F106" s="809">
        <v>0.312</v>
      </c>
      <c r="G106" s="819">
        <v>0.314</v>
      </c>
      <c r="H106" s="819">
        <v>0.28399999999999997</v>
      </c>
      <c r="I106" s="817">
        <v>0.29099999999999998</v>
      </c>
      <c r="J106" s="818">
        <v>0.29299999999999998</v>
      </c>
      <c r="K106" s="2526">
        <v>2220</v>
      </c>
      <c r="L106" s="2496">
        <v>2211</v>
      </c>
      <c r="M106" s="2350">
        <v>2215</v>
      </c>
      <c r="N106" s="2351">
        <v>2208</v>
      </c>
      <c r="O106" s="2519">
        <v>2229</v>
      </c>
      <c r="P106" s="1953">
        <f t="shared" si="36"/>
        <v>135</v>
      </c>
      <c r="Q106" s="2324"/>
    </row>
    <row r="107" spans="1:17">
      <c r="A107" s="2345">
        <v>216830</v>
      </c>
      <c r="B107" s="2432" t="s">
        <v>247</v>
      </c>
      <c r="C107" s="2432" t="s">
        <v>247</v>
      </c>
      <c r="D107" s="2402" t="s">
        <v>357</v>
      </c>
      <c r="E107" s="2403" t="s">
        <v>49</v>
      </c>
      <c r="F107" s="809">
        <v>0.114</v>
      </c>
      <c r="G107" s="819">
        <v>0.154</v>
      </c>
      <c r="H107" s="819">
        <v>0.151</v>
      </c>
      <c r="I107" s="817">
        <v>0.153</v>
      </c>
      <c r="J107" s="818">
        <v>0.16400000000000001</v>
      </c>
      <c r="K107" s="2526">
        <v>1111</v>
      </c>
      <c r="L107" s="2496">
        <v>1106</v>
      </c>
      <c r="M107" s="2350">
        <v>1110</v>
      </c>
      <c r="N107" s="2351">
        <v>1130</v>
      </c>
      <c r="O107" s="2519">
        <v>1133</v>
      </c>
      <c r="P107" s="1953">
        <f t="shared" si="36"/>
        <v>132</v>
      </c>
      <c r="Q107" s="2324"/>
    </row>
    <row r="108" spans="1:17" ht="64.5" thickBot="1">
      <c r="A108" s="2419">
        <v>220310</v>
      </c>
      <c r="B108" s="1177" t="s">
        <v>358</v>
      </c>
      <c r="C108" s="1177" t="s">
        <v>358</v>
      </c>
      <c r="D108" s="2452" t="s">
        <v>359</v>
      </c>
      <c r="E108" s="2421" t="s">
        <v>49</v>
      </c>
      <c r="F108" s="2505">
        <v>9.4E-2</v>
      </c>
      <c r="G108" s="991">
        <v>9.7000000000000003E-2</v>
      </c>
      <c r="H108" s="991">
        <v>0.11700000000000001</v>
      </c>
      <c r="I108" s="992">
        <v>0.13</v>
      </c>
      <c r="J108" s="2514">
        <v>0.13700000000000001</v>
      </c>
      <c r="K108" s="2527">
        <v>178</v>
      </c>
      <c r="L108" s="2508">
        <v>177</v>
      </c>
      <c r="M108" s="2424">
        <v>176</v>
      </c>
      <c r="N108" s="2425">
        <v>175</v>
      </c>
      <c r="O108" s="2520">
        <v>176</v>
      </c>
      <c r="P108" s="1963">
        <f>SUM(F108:J108)/SUM(K108:O108,K99:O99,K46:O46)*1000000</f>
        <v>170</v>
      </c>
      <c r="Q108" s="2331" t="s">
        <v>360</v>
      </c>
    </row>
    <row r="109" spans="1:17" ht="14.25" thickTop="1" thickBot="1">
      <c r="A109" s="3339" t="s">
        <v>251</v>
      </c>
      <c r="B109" s="3340"/>
      <c r="C109" s="3340"/>
      <c r="D109" s="3340"/>
      <c r="E109" s="3341"/>
      <c r="F109" s="2513">
        <f>SUM(F105:F108)</f>
        <v>0.65200000000000002</v>
      </c>
      <c r="G109" s="280">
        <f t="shared" ref="G109:O109" si="37">SUM(G105:G108)</f>
        <v>0.68100000000000005</v>
      </c>
      <c r="H109" s="280">
        <f t="shared" si="37"/>
        <v>0.67700000000000005</v>
      </c>
      <c r="I109" s="85">
        <f t="shared" si="37"/>
        <v>0.70299999999999996</v>
      </c>
      <c r="J109" s="2381">
        <f t="shared" si="37"/>
        <v>0.72499999999999998</v>
      </c>
      <c r="K109" s="1979">
        <f t="shared" si="37"/>
        <v>5700</v>
      </c>
      <c r="L109" s="1980">
        <f t="shared" si="37"/>
        <v>5674</v>
      </c>
      <c r="M109" s="1980">
        <f t="shared" si="37"/>
        <v>5708</v>
      </c>
      <c r="N109" s="1980">
        <f t="shared" si="37"/>
        <v>5796</v>
      </c>
      <c r="O109" s="2371">
        <f t="shared" si="37"/>
        <v>5842</v>
      </c>
      <c r="P109" s="1978">
        <f t="shared" si="36"/>
        <v>120</v>
      </c>
      <c r="Q109" s="2383"/>
    </row>
    <row r="110" spans="1:17">
      <c r="A110" s="2345">
        <v>216506</v>
      </c>
      <c r="B110" s="2432" t="s">
        <v>253</v>
      </c>
      <c r="C110" s="2432" t="s">
        <v>253</v>
      </c>
      <c r="D110" s="2402" t="s">
        <v>361</v>
      </c>
      <c r="E110" s="2403" t="s">
        <v>50</v>
      </c>
      <c r="F110" s="809">
        <v>1.0129999999999999</v>
      </c>
      <c r="G110" s="819">
        <v>0.92500000000000004</v>
      </c>
      <c r="H110" s="819">
        <v>0.97399999999999998</v>
      </c>
      <c r="I110" s="817">
        <v>1.0580000000000001</v>
      </c>
      <c r="J110" s="818">
        <v>1.0429999999999999</v>
      </c>
      <c r="K110" s="2526">
        <v>3806</v>
      </c>
      <c r="L110" s="2496">
        <v>3783</v>
      </c>
      <c r="M110" s="2350">
        <v>3762</v>
      </c>
      <c r="N110" s="2351">
        <v>3741</v>
      </c>
      <c r="O110" s="2519">
        <v>3969</v>
      </c>
      <c r="P110" s="1953">
        <f t="shared" si="36"/>
        <v>263</v>
      </c>
      <c r="Q110" s="2324"/>
    </row>
    <row r="111" spans="1:17">
      <c r="A111" s="2345">
        <v>217127</v>
      </c>
      <c r="B111" s="2432" t="s">
        <v>255</v>
      </c>
      <c r="C111" s="2432" t="s">
        <v>255</v>
      </c>
      <c r="D111" s="2402" t="s">
        <v>362</v>
      </c>
      <c r="E111" s="2403" t="s">
        <v>50</v>
      </c>
      <c r="F111" s="809">
        <v>9.8000000000000004E-2</v>
      </c>
      <c r="G111" s="819">
        <v>0.1</v>
      </c>
      <c r="H111" s="819">
        <v>0.11600000000000001</v>
      </c>
      <c r="I111" s="817">
        <v>0.13</v>
      </c>
      <c r="J111" s="818">
        <v>0.104</v>
      </c>
      <c r="K111" s="2526">
        <v>773</v>
      </c>
      <c r="L111" s="2496">
        <v>770</v>
      </c>
      <c r="M111" s="2350">
        <v>772</v>
      </c>
      <c r="N111" s="2351">
        <v>756</v>
      </c>
      <c r="O111" s="2519">
        <v>796</v>
      </c>
      <c r="P111" s="1953">
        <f t="shared" si="36"/>
        <v>142</v>
      </c>
      <c r="Q111" s="2324"/>
    </row>
    <row r="112" spans="1:17">
      <c r="A112" s="2468">
        <v>218663</v>
      </c>
      <c r="B112" s="2469" t="s">
        <v>257</v>
      </c>
      <c r="C112" s="2469" t="s">
        <v>257</v>
      </c>
      <c r="D112" s="2490" t="s">
        <v>363</v>
      </c>
      <c r="E112" s="2471" t="s">
        <v>50</v>
      </c>
      <c r="F112" s="129">
        <v>6.9000000000000006E-2</v>
      </c>
      <c r="G112" s="75">
        <v>6.2E-2</v>
      </c>
      <c r="H112" s="75">
        <v>7.9000000000000001E-2</v>
      </c>
      <c r="I112" s="269">
        <v>5.8999999999999997E-2</v>
      </c>
      <c r="J112" s="177">
        <v>7.1999999999999995E-2</v>
      </c>
      <c r="K112" s="2523">
        <v>331</v>
      </c>
      <c r="L112" s="2515">
        <v>331</v>
      </c>
      <c r="M112" s="2473">
        <v>319</v>
      </c>
      <c r="N112" s="2474">
        <v>319</v>
      </c>
      <c r="O112" s="2352">
        <v>338</v>
      </c>
      <c r="P112" s="2254">
        <f t="shared" ref="P112" si="38">SUM(F112:J112)/SUM(K112:O112)*1000000</f>
        <v>208</v>
      </c>
      <c r="Q112" s="2320"/>
    </row>
    <row r="113" spans="1:17" ht="13.5" thickBot="1">
      <c r="A113" s="2361">
        <v>219588</v>
      </c>
      <c r="B113" s="749" t="s">
        <v>364</v>
      </c>
      <c r="C113" s="749" t="s">
        <v>364</v>
      </c>
      <c r="D113" s="2388" t="s">
        <v>365</v>
      </c>
      <c r="E113" s="2437" t="s">
        <v>50</v>
      </c>
      <c r="F113" s="1874">
        <v>5.0999999999999997E-2</v>
      </c>
      <c r="G113" s="746">
        <v>5.1999999999999998E-2</v>
      </c>
      <c r="H113" s="746">
        <v>5.5E-2</v>
      </c>
      <c r="I113" s="869">
        <v>4.4999999999999998E-2</v>
      </c>
      <c r="J113" s="747">
        <v>0.05</v>
      </c>
      <c r="K113" s="2032">
        <v>622</v>
      </c>
      <c r="L113" s="2033">
        <v>620</v>
      </c>
      <c r="M113" s="2034">
        <v>620</v>
      </c>
      <c r="N113" s="2033">
        <v>621</v>
      </c>
      <c r="O113" s="2380">
        <v>659</v>
      </c>
      <c r="P113" s="2031">
        <f t="shared" si="36"/>
        <v>81</v>
      </c>
      <c r="Q113" s="2331"/>
    </row>
    <row r="114" spans="1:17" ht="14.25" customHeight="1" thickTop="1" thickBot="1">
      <c r="A114" s="3336" t="s">
        <v>261</v>
      </c>
      <c r="B114" s="3337"/>
      <c r="C114" s="3337"/>
      <c r="D114" s="3337"/>
      <c r="E114" s="3338"/>
      <c r="F114" s="2513">
        <f t="shared" ref="F114:O114" si="39">SUM(F110:F113)</f>
        <v>1.2310000000000001</v>
      </c>
      <c r="G114" s="280">
        <f t="shared" si="39"/>
        <v>1.139</v>
      </c>
      <c r="H114" s="280">
        <f t="shared" si="39"/>
        <v>1.224</v>
      </c>
      <c r="I114" s="85">
        <f t="shared" si="39"/>
        <v>1.292</v>
      </c>
      <c r="J114" s="2381">
        <f t="shared" si="39"/>
        <v>1.2689999999999999</v>
      </c>
      <c r="K114" s="1979">
        <f t="shared" si="39"/>
        <v>5532</v>
      </c>
      <c r="L114" s="1980">
        <f t="shared" si="39"/>
        <v>5504</v>
      </c>
      <c r="M114" s="1980">
        <f t="shared" si="39"/>
        <v>5473</v>
      </c>
      <c r="N114" s="1980">
        <f t="shared" si="39"/>
        <v>5437</v>
      </c>
      <c r="O114" s="2371">
        <f t="shared" si="39"/>
        <v>5762</v>
      </c>
      <c r="P114" s="1978">
        <f t="shared" si="36"/>
        <v>222</v>
      </c>
      <c r="Q114" s="2383"/>
    </row>
    <row r="115" spans="1:17" ht="14.25" customHeight="1">
      <c r="A115" s="2339">
        <v>216835</v>
      </c>
      <c r="B115" s="2430" t="s">
        <v>366</v>
      </c>
      <c r="C115" s="2430" t="s">
        <v>366</v>
      </c>
      <c r="D115" s="2385" t="s">
        <v>367</v>
      </c>
      <c r="E115" s="2400" t="s">
        <v>51</v>
      </c>
      <c r="F115" s="1018">
        <v>1.4139999999999999</v>
      </c>
      <c r="G115" s="83">
        <v>1.431</v>
      </c>
      <c r="H115" s="83">
        <v>1.4970000000000001</v>
      </c>
      <c r="I115" s="289">
        <v>1.415</v>
      </c>
      <c r="J115" s="132">
        <v>1.498</v>
      </c>
      <c r="K115" s="2525">
        <v>6745</v>
      </c>
      <c r="L115" s="2495">
        <v>6736</v>
      </c>
      <c r="M115" s="2342">
        <v>6663</v>
      </c>
      <c r="N115" s="2343">
        <v>6638</v>
      </c>
      <c r="O115" s="2344">
        <v>6919</v>
      </c>
      <c r="P115" s="2047">
        <f t="shared" ref="P115" si="40">SUM(F115:J115)/SUM(K115:O115)*1000000</f>
        <v>215</v>
      </c>
      <c r="Q115" s="2341"/>
    </row>
    <row r="116" spans="1:17">
      <c r="A116" s="2468">
        <v>220484</v>
      </c>
      <c r="B116" s="2469" t="s">
        <v>264</v>
      </c>
      <c r="C116" s="2469" t="s">
        <v>264</v>
      </c>
      <c r="D116" s="2490" t="s">
        <v>368</v>
      </c>
      <c r="E116" s="2471" t="s">
        <v>51</v>
      </c>
      <c r="F116" s="129">
        <v>0.29399999999999998</v>
      </c>
      <c r="G116" s="75">
        <v>0.26200000000000001</v>
      </c>
      <c r="H116" s="75">
        <v>0.371</v>
      </c>
      <c r="I116" s="269">
        <v>0.27200000000000002</v>
      </c>
      <c r="J116" s="177">
        <v>0.32200000000000001</v>
      </c>
      <c r="K116" s="2255">
        <v>3222</v>
      </c>
      <c r="L116" s="76">
        <v>3222</v>
      </c>
      <c r="M116" s="2256">
        <v>3174</v>
      </c>
      <c r="N116" s="76">
        <v>3168</v>
      </c>
      <c r="O116" s="2319">
        <v>3300</v>
      </c>
      <c r="P116" s="2254">
        <f>SUM(F116:J116)/SUM(K116:O116)*1000000</f>
        <v>95</v>
      </c>
      <c r="Q116" s="2320"/>
    </row>
    <row r="117" spans="1:17" ht="13.5" thickBot="1">
      <c r="A117" s="2361">
        <v>221166</v>
      </c>
      <c r="B117" s="2450" t="s">
        <v>265</v>
      </c>
      <c r="C117" s="2450" t="s">
        <v>265</v>
      </c>
      <c r="D117" s="2388" t="s">
        <v>369</v>
      </c>
      <c r="E117" s="2437" t="s">
        <v>51</v>
      </c>
      <c r="F117" s="1874">
        <v>4.9000000000000002E-2</v>
      </c>
      <c r="G117" s="746">
        <v>0.05</v>
      </c>
      <c r="H117" s="746">
        <v>0.05</v>
      </c>
      <c r="I117" s="869">
        <v>6.4000000000000001E-2</v>
      </c>
      <c r="J117" s="747">
        <v>6.4000000000000001E-2</v>
      </c>
      <c r="K117" s="2032">
        <v>1233</v>
      </c>
      <c r="L117" s="2033">
        <v>1233</v>
      </c>
      <c r="M117" s="2034">
        <v>1200</v>
      </c>
      <c r="N117" s="2033">
        <v>1214</v>
      </c>
      <c r="O117" s="2380">
        <v>1265</v>
      </c>
      <c r="P117" s="2031">
        <f>SUM(F117:J117)/SUM(K117:O117)*1000000</f>
        <v>45</v>
      </c>
      <c r="Q117" s="2331"/>
    </row>
    <row r="118" spans="1:17" ht="14.25" customHeight="1" thickTop="1" thickBot="1">
      <c r="A118" s="3236" t="s">
        <v>266</v>
      </c>
      <c r="B118" s="3324"/>
      <c r="C118" s="3324"/>
      <c r="D118" s="3324"/>
      <c r="E118" s="3237"/>
      <c r="F118" s="2513">
        <f>SUM(F115:F117)</f>
        <v>1.7569999999999999</v>
      </c>
      <c r="G118" s="280">
        <f t="shared" ref="G118:O118" si="41">SUM(G115:G117)</f>
        <v>1.7430000000000001</v>
      </c>
      <c r="H118" s="280">
        <f t="shared" si="41"/>
        <v>1.9179999999999999</v>
      </c>
      <c r="I118" s="85">
        <f t="shared" si="41"/>
        <v>1.7509999999999999</v>
      </c>
      <c r="J118" s="2381">
        <f t="shared" si="41"/>
        <v>1.8839999999999999</v>
      </c>
      <c r="K118" s="1979">
        <f t="shared" si="41"/>
        <v>11200</v>
      </c>
      <c r="L118" s="1980">
        <f t="shared" si="41"/>
        <v>11191</v>
      </c>
      <c r="M118" s="1980">
        <f t="shared" si="41"/>
        <v>11037</v>
      </c>
      <c r="N118" s="1980">
        <f t="shared" si="41"/>
        <v>11020</v>
      </c>
      <c r="O118" s="2371">
        <f t="shared" si="41"/>
        <v>11484</v>
      </c>
      <c r="P118" s="1978">
        <f>SUM(F118:J118)/SUM(K118:O118)*1000000</f>
        <v>162</v>
      </c>
      <c r="Q118" s="2383"/>
    </row>
    <row r="119" spans="1:17" ht="42" customHeight="1" thickBot="1">
      <c r="A119" s="3236" t="s">
        <v>52</v>
      </c>
      <c r="B119" s="3324"/>
      <c r="C119" s="3324"/>
      <c r="D119" s="3324"/>
      <c r="E119" s="3237"/>
      <c r="F119" s="2513">
        <f>F100+F104+F109+F114+F118</f>
        <v>4.4290000000000003</v>
      </c>
      <c r="G119" s="84">
        <f t="shared" ref="G119:J119" si="42">G100+G104+G109+G114+G118</f>
        <v>4.3449999999999998</v>
      </c>
      <c r="H119" s="84">
        <f t="shared" si="42"/>
        <v>4.6459999999999999</v>
      </c>
      <c r="I119" s="84">
        <f t="shared" si="42"/>
        <v>4.5659999999999998</v>
      </c>
      <c r="J119" s="2529">
        <f t="shared" si="42"/>
        <v>4.7430000000000003</v>
      </c>
      <c r="K119" s="2371">
        <f>K100+K102+K104+K109+K114+K118</f>
        <v>26675</v>
      </c>
      <c r="L119" s="2537">
        <f t="shared" ref="L119:O119" si="43">L100+L102+L104+L109+L114+L118</f>
        <v>26601</v>
      </c>
      <c r="M119" s="2537">
        <f t="shared" si="43"/>
        <v>26392</v>
      </c>
      <c r="N119" s="2537">
        <f t="shared" si="43"/>
        <v>26465</v>
      </c>
      <c r="O119" s="2536">
        <f t="shared" si="43"/>
        <v>27483</v>
      </c>
      <c r="P119" s="1978">
        <v>174</v>
      </c>
      <c r="Q119" s="2383" t="s">
        <v>370</v>
      </c>
    </row>
    <row r="120" spans="1:17">
      <c r="A120" s="54" t="s">
        <v>35</v>
      </c>
    </row>
    <row r="121" spans="1:17">
      <c r="A121" s="2" t="s">
        <v>68</v>
      </c>
      <c r="K121" s="212"/>
      <c r="L121" s="212"/>
      <c r="M121" s="212"/>
      <c r="N121" s="212"/>
      <c r="O121" s="212"/>
    </row>
    <row r="122" spans="1:17">
      <c r="A122" s="2" t="s">
        <v>69</v>
      </c>
    </row>
    <row r="123" spans="1:17">
      <c r="A123" s="2" t="s">
        <v>342</v>
      </c>
    </row>
    <row r="124" spans="1:17">
      <c r="A124" s="2" t="s">
        <v>343</v>
      </c>
    </row>
  </sheetData>
  <mergeCells count="54">
    <mergeCell ref="A1:Q1"/>
    <mergeCell ref="F94:J94"/>
    <mergeCell ref="K94:O94"/>
    <mergeCell ref="P94:P95"/>
    <mergeCell ref="Q94:Q95"/>
    <mergeCell ref="F54:J54"/>
    <mergeCell ref="K54:O54"/>
    <mergeCell ref="P54:P55"/>
    <mergeCell ref="Q54:Q55"/>
    <mergeCell ref="A29:E29"/>
    <mergeCell ref="A47:E47"/>
    <mergeCell ref="A52:E52"/>
    <mergeCell ref="A69:E69"/>
    <mergeCell ref="A81:E81"/>
    <mergeCell ref="A54:A55"/>
    <mergeCell ref="B54:B55"/>
    <mergeCell ref="A119:E119"/>
    <mergeCell ref="A94:A95"/>
    <mergeCell ref="B94:B95"/>
    <mergeCell ref="C94:C95"/>
    <mergeCell ref="D94:D95"/>
    <mergeCell ref="E94:E95"/>
    <mergeCell ref="A100:E100"/>
    <mergeCell ref="A102:E102"/>
    <mergeCell ref="A114:E114"/>
    <mergeCell ref="A109:E109"/>
    <mergeCell ref="A118:E118"/>
    <mergeCell ref="Q2:Q3"/>
    <mergeCell ref="A9:E9"/>
    <mergeCell ref="P2:P3"/>
    <mergeCell ref="A26:E26"/>
    <mergeCell ref="A18:E18"/>
    <mergeCell ref="A2:A3"/>
    <mergeCell ref="B2:B3"/>
    <mergeCell ref="C2:C3"/>
    <mergeCell ref="D2:D3"/>
    <mergeCell ref="E2:E3"/>
    <mergeCell ref="A15:E15"/>
    <mergeCell ref="A21:E21"/>
    <mergeCell ref="F2:J2"/>
    <mergeCell ref="K2:O2"/>
    <mergeCell ref="A37:E37"/>
    <mergeCell ref="A44:E44"/>
    <mergeCell ref="A76:E76"/>
    <mergeCell ref="A104:E104"/>
    <mergeCell ref="A61:E61"/>
    <mergeCell ref="A85:E85"/>
    <mergeCell ref="A86:E86"/>
    <mergeCell ref="A83:E83"/>
    <mergeCell ref="A84:E84"/>
    <mergeCell ref="C54:C55"/>
    <mergeCell ref="D54:D55"/>
    <mergeCell ref="E54:E55"/>
    <mergeCell ref="A53:Q53"/>
  </mergeCells>
  <pageMargins left="0.7" right="0.7" top="0.75" bottom="0.75" header="0.3" footer="0.3"/>
  <pageSetup paperSize="5" scale="57" fitToHeight="0" orientation="landscape" r:id="rId1"/>
  <rowBreaks count="2" manualBreakCount="2">
    <brk id="52" max="16383" man="1"/>
    <brk id="91"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49"/>
  <sheetViews>
    <sheetView workbookViewId="0">
      <pane xSplit="1" topLeftCell="J1" activePane="topRight" state="frozen"/>
      <selection pane="topRight" activeCell="P20" sqref="P20"/>
    </sheetView>
  </sheetViews>
  <sheetFormatPr defaultColWidth="9.140625" defaultRowHeight="12.75"/>
  <cols>
    <col min="1" max="1" width="15.28515625" style="1" customWidth="1"/>
    <col min="2" max="2" width="11.28515625" style="1" customWidth="1"/>
    <col min="3" max="3" width="10.5703125" style="1" customWidth="1"/>
    <col min="4" max="5" width="9.5703125" style="1" bestFit="1" customWidth="1"/>
    <col min="6" max="6" width="9.28515625" style="1" bestFit="1" customWidth="1"/>
    <col min="7" max="7" width="9.5703125" style="1" bestFit="1" customWidth="1"/>
    <col min="8" max="9" width="9.5703125" style="1" customWidth="1"/>
    <col min="10" max="10" width="11" style="1" customWidth="1"/>
    <col min="11" max="27" width="9.140625" style="1"/>
    <col min="28" max="31" width="9.140625" style="1" customWidth="1"/>
    <col min="32" max="32" width="10.140625" style="1" customWidth="1"/>
    <col min="33" max="36" width="9.140625" style="1" customWidth="1"/>
    <col min="37" max="37" width="10.85546875" style="1" hidden="1" customWidth="1"/>
    <col min="38" max="38" width="11" style="1" hidden="1" customWidth="1"/>
    <col min="39" max="39" width="9.140625" style="1"/>
    <col min="40" max="40" width="11.28515625" style="1" customWidth="1"/>
    <col min="41" max="41" width="11.140625" style="1" customWidth="1"/>
    <col min="42" max="42" width="9.140625" style="1"/>
    <col min="43" max="46" width="10.5703125" style="1" customWidth="1"/>
    <col min="47" max="16384" width="9.140625" style="1"/>
  </cols>
  <sheetData>
    <row r="1" spans="1:38" ht="13.5" thickBot="1">
      <c r="A1" s="1" t="s">
        <v>371</v>
      </c>
      <c r="B1" s="256"/>
      <c r="C1" s="256"/>
      <c r="D1" s="256"/>
      <c r="E1" s="256"/>
      <c r="F1" s="256"/>
      <c r="G1" s="256"/>
    </row>
    <row r="2" spans="1:38" ht="13.5" thickBot="1">
      <c r="A2" s="3181" t="s">
        <v>1</v>
      </c>
      <c r="B2" s="3362" t="s">
        <v>2</v>
      </c>
      <c r="C2" s="3300" t="s">
        <v>275</v>
      </c>
      <c r="D2" s="3365" t="s">
        <v>88</v>
      </c>
      <c r="E2" s="3366"/>
      <c r="F2" s="3366"/>
      <c r="G2" s="3366"/>
      <c r="H2" s="3366"/>
      <c r="I2" s="3318"/>
      <c r="J2" s="3300" t="s">
        <v>57</v>
      </c>
      <c r="K2" s="3261" t="s">
        <v>55</v>
      </c>
      <c r="L2" s="3262"/>
      <c r="M2" s="3263"/>
      <c r="N2" s="3261" t="s">
        <v>56</v>
      </c>
      <c r="O2" s="3262"/>
      <c r="P2" s="3262"/>
      <c r="Q2" s="3262"/>
      <c r="R2" s="3262"/>
      <c r="S2" s="3262"/>
      <c r="T2" s="3262"/>
      <c r="U2" s="3262"/>
      <c r="V2" s="3262"/>
      <c r="W2" s="3262"/>
      <c r="X2" s="3262"/>
      <c r="Y2" s="3262"/>
      <c r="Z2" s="3262"/>
      <c r="AA2" s="3262"/>
      <c r="AB2" s="3262"/>
      <c r="AC2" s="3262"/>
      <c r="AD2" s="3262"/>
      <c r="AE2" s="3263"/>
      <c r="AF2" s="3245" t="s">
        <v>57</v>
      </c>
      <c r="AG2" s="3261" t="s">
        <v>58</v>
      </c>
      <c r="AH2" s="3262"/>
      <c r="AI2" s="3263"/>
      <c r="AK2" s="3300" t="s">
        <v>78</v>
      </c>
      <c r="AL2" s="3255" t="s">
        <v>80</v>
      </c>
    </row>
    <row r="3" spans="1:38" ht="13.5" thickBot="1">
      <c r="A3" s="3361"/>
      <c r="B3" s="3363"/>
      <c r="C3" s="3302"/>
      <c r="D3" s="3367"/>
      <c r="E3" s="3368"/>
      <c r="F3" s="3368"/>
      <c r="G3" s="3368"/>
      <c r="H3" s="3368"/>
      <c r="I3" s="3374"/>
      <c r="J3" s="3301"/>
      <c r="K3" s="3373">
        <v>2015</v>
      </c>
      <c r="L3" s="3349"/>
      <c r="M3" s="3350"/>
      <c r="N3" s="3351">
        <v>2020</v>
      </c>
      <c r="O3" s="3352"/>
      <c r="P3" s="3353"/>
      <c r="Q3" s="3354">
        <v>2025</v>
      </c>
      <c r="R3" s="3352"/>
      <c r="S3" s="3355"/>
      <c r="T3" s="3356">
        <v>2030</v>
      </c>
      <c r="U3" s="3357"/>
      <c r="V3" s="3358"/>
      <c r="W3" s="3351">
        <v>2035</v>
      </c>
      <c r="X3" s="3352"/>
      <c r="Y3" s="3353"/>
      <c r="Z3" s="3354">
        <v>2040</v>
      </c>
      <c r="AA3" s="3352"/>
      <c r="AB3" s="3355"/>
      <c r="AC3" s="3354">
        <v>2045</v>
      </c>
      <c r="AD3" s="3352"/>
      <c r="AE3" s="3355"/>
      <c r="AF3" s="3246"/>
      <c r="AG3" s="3258">
        <v>2045</v>
      </c>
      <c r="AH3" s="3264"/>
      <c r="AI3" s="3245"/>
      <c r="AK3" s="3301"/>
      <c r="AL3" s="3256"/>
    </row>
    <row r="4" spans="1:38" ht="15.75" customHeight="1" thickBot="1">
      <c r="A4" s="3488"/>
      <c r="B4" s="3364"/>
      <c r="C4" s="235">
        <v>2015</v>
      </c>
      <c r="D4" s="3042">
        <v>2020</v>
      </c>
      <c r="E4" s="1682">
        <v>2025</v>
      </c>
      <c r="F4" s="3042">
        <v>2030</v>
      </c>
      <c r="G4" s="1682">
        <v>2035</v>
      </c>
      <c r="H4" s="3042">
        <v>2040</v>
      </c>
      <c r="I4" s="1684">
        <v>2045</v>
      </c>
      <c r="J4" s="3377"/>
      <c r="K4" s="1130" t="s">
        <v>60</v>
      </c>
      <c r="L4" s="1128" t="s">
        <v>61</v>
      </c>
      <c r="M4" s="1681" t="s">
        <v>18</v>
      </c>
      <c r="N4" s="1127" t="s">
        <v>60</v>
      </c>
      <c r="O4" s="1131" t="s">
        <v>61</v>
      </c>
      <c r="P4" s="1132" t="s">
        <v>18</v>
      </c>
      <c r="Q4" s="1130" t="s">
        <v>60</v>
      </c>
      <c r="R4" s="1128" t="s">
        <v>61</v>
      </c>
      <c r="S4" s="1659" t="s">
        <v>18</v>
      </c>
      <c r="T4" s="1655" t="s">
        <v>60</v>
      </c>
      <c r="U4" s="1657" t="s">
        <v>61</v>
      </c>
      <c r="V4" s="1658" t="s">
        <v>18</v>
      </c>
      <c r="W4" s="1127" t="s">
        <v>60</v>
      </c>
      <c r="X4" s="1128" t="s">
        <v>61</v>
      </c>
      <c r="Y4" s="1129" t="s">
        <v>18</v>
      </c>
      <c r="Z4" s="1130" t="s">
        <v>60</v>
      </c>
      <c r="AA4" s="1131" t="s">
        <v>61</v>
      </c>
      <c r="AB4" s="1132" t="s">
        <v>18</v>
      </c>
      <c r="AC4" s="1683" t="s">
        <v>60</v>
      </c>
      <c r="AD4" s="1131" t="s">
        <v>61</v>
      </c>
      <c r="AE4" s="1132" t="s">
        <v>18</v>
      </c>
      <c r="AF4" s="3247"/>
      <c r="AG4" s="1133" t="s">
        <v>60</v>
      </c>
      <c r="AH4" s="1134" t="s">
        <v>61</v>
      </c>
      <c r="AI4" s="1135" t="s">
        <v>18</v>
      </c>
      <c r="AK4" s="3302"/>
      <c r="AL4" s="3257"/>
    </row>
    <row r="5" spans="1:38">
      <c r="A5" s="295" t="s">
        <v>14</v>
      </c>
      <c r="B5" s="296" t="s">
        <v>15</v>
      </c>
      <c r="C5" s="372">
        <f>'Table 6a'!C5</f>
        <v>9486</v>
      </c>
      <c r="D5" s="370">
        <f>'Table 6a'!D5</f>
        <v>9756</v>
      </c>
      <c r="E5" s="371">
        <f>'Table 6a'!E5</f>
        <v>10120</v>
      </c>
      <c r="F5" s="370">
        <f>'Table 6a'!F5</f>
        <v>11998</v>
      </c>
      <c r="G5" s="371">
        <f>'Table 6a'!G5</f>
        <v>11998</v>
      </c>
      <c r="H5" s="370">
        <f>'Table 6a'!H5</f>
        <v>13089</v>
      </c>
      <c r="I5" s="1028">
        <f>'Table 6a'!I5</f>
        <v>14518</v>
      </c>
      <c r="J5" s="198">
        <f>(I5-C5)/C5</f>
        <v>0.53</v>
      </c>
      <c r="K5" s="9">
        <f>'Table 6a'!K5</f>
        <v>0.85</v>
      </c>
      <c r="L5" s="7">
        <f>'Table 6a'!L5</f>
        <v>0</v>
      </c>
      <c r="M5" s="53">
        <f>'Table 6a'!M5</f>
        <v>0.85</v>
      </c>
      <c r="N5" s="9">
        <f>'Table 6a'!N5</f>
        <v>0.67</v>
      </c>
      <c r="O5" s="7">
        <f>'Table 6a'!O5</f>
        <v>0</v>
      </c>
      <c r="P5" s="53">
        <f>'Table 6a'!P5</f>
        <v>0.67</v>
      </c>
      <c r="Q5" s="9">
        <f>'Table 6a'!Q5</f>
        <v>0.7</v>
      </c>
      <c r="R5" s="7">
        <f>'Table 6a'!R5</f>
        <v>0</v>
      </c>
      <c r="S5" s="53">
        <f>'Table 6a'!S5</f>
        <v>0.7</v>
      </c>
      <c r="T5" s="9">
        <f>'Table 6a'!T5</f>
        <v>0.83</v>
      </c>
      <c r="U5" s="10">
        <f>'Table 6a'!U5</f>
        <v>0</v>
      </c>
      <c r="V5" s="11">
        <f>'Table 6a'!V5</f>
        <v>0.83</v>
      </c>
      <c r="W5" s="9">
        <f>'Table 6a'!W5</f>
        <v>0.83</v>
      </c>
      <c r="X5" s="7">
        <f>'Table 6a'!X5</f>
        <v>0</v>
      </c>
      <c r="Y5" s="53">
        <f>'Table 6a'!Y5</f>
        <v>0.83</v>
      </c>
      <c r="Z5" s="9">
        <f>'Table 6a'!Z5</f>
        <v>0.9</v>
      </c>
      <c r="AA5" s="10">
        <f>'Table 6a'!AA5</f>
        <v>0</v>
      </c>
      <c r="AB5" s="11">
        <f>'Table 6a'!AB5</f>
        <v>0.9</v>
      </c>
      <c r="AC5" s="1208">
        <f>'Table 6a'!AC5</f>
        <v>1</v>
      </c>
      <c r="AD5" s="10">
        <f>'Table 6a'!AD5</f>
        <v>0</v>
      </c>
      <c r="AE5" s="11">
        <f>'Table 6a'!AE5</f>
        <v>1</v>
      </c>
      <c r="AF5" s="43">
        <f>(AE5-M5)/M5</f>
        <v>0.18</v>
      </c>
      <c r="AG5" s="47">
        <f>'Table 6a'!AH5</f>
        <v>1.06</v>
      </c>
      <c r="AH5" s="5">
        <f>'Table 6a'!AI5</f>
        <v>0</v>
      </c>
      <c r="AI5" s="15">
        <f>'Table 6a'!AJ5</f>
        <v>1.06</v>
      </c>
      <c r="AK5" s="372">
        <f>I5-C5</f>
        <v>5032</v>
      </c>
      <c r="AL5" s="1360">
        <f>AE5-M5</f>
        <v>0.15</v>
      </c>
    </row>
    <row r="6" spans="1:38" ht="13.5" thickBot="1">
      <c r="A6" s="1037" t="s">
        <v>14</v>
      </c>
      <c r="B6" s="1864" t="s">
        <v>17</v>
      </c>
      <c r="C6" s="1941">
        <f>'Table 6a'!C6+'Table 6b'!D8</f>
        <v>33908</v>
      </c>
      <c r="D6" s="1940">
        <f>'Table 6a'!D6+'Table 6b'!E8</f>
        <v>41946</v>
      </c>
      <c r="E6" s="375">
        <f>'Table 6a'!E6+'Table 6b'!F8</f>
        <v>48682</v>
      </c>
      <c r="F6" s="374">
        <f>'Table 6a'!F6+'Table 6b'!G8</f>
        <v>53397</v>
      </c>
      <c r="G6" s="375">
        <f>'Table 6a'!G6+'Table 6b'!H8</f>
        <v>60475</v>
      </c>
      <c r="H6" s="374">
        <f>'Table 6a'!H6+'Table 6b'!I8</f>
        <v>65410</v>
      </c>
      <c r="I6" s="1031">
        <f>'Table 6a'!I6+'Table 6b'!J8</f>
        <v>69416</v>
      </c>
      <c r="J6" s="384">
        <f t="shared" ref="J6:J27" si="0">(I6-C6)/C6</f>
        <v>1.05</v>
      </c>
      <c r="K6" s="158">
        <f>'Table 6a'!K6+'Table 6b'!M8</f>
        <v>1.84</v>
      </c>
      <c r="L6" s="354">
        <f>'Table 6a'!L6+'Table 6b'!N8</f>
        <v>0</v>
      </c>
      <c r="M6" s="315">
        <f>'Table 6a'!M6+'Table 6b'!O8</f>
        <v>1.84</v>
      </c>
      <c r="N6" s="158">
        <f>'Table 6a'!N6+'Table 6b'!P8</f>
        <v>2.27</v>
      </c>
      <c r="O6" s="354">
        <f>'Table 6a'!O6+'Table 6b'!Q8</f>
        <v>0</v>
      </c>
      <c r="P6" s="315">
        <f>'Table 6a'!P6+'Table 6b'!R8</f>
        <v>2.27</v>
      </c>
      <c r="Q6" s="158">
        <f>'Table 6a'!Q6+'Table 6b'!S8</f>
        <v>2.63</v>
      </c>
      <c r="R6" s="354">
        <f>'Table 6a'!R6+'Table 6b'!T8</f>
        <v>0</v>
      </c>
      <c r="S6" s="315">
        <f>'Table 6a'!S6+'Table 6b'!U8</f>
        <v>2.63</v>
      </c>
      <c r="T6" s="158">
        <f>'Table 6a'!T6+'Table 6b'!V8</f>
        <v>2.89</v>
      </c>
      <c r="U6" s="355">
        <f>'Table 6a'!U6+'Table 6b'!W8</f>
        <v>0</v>
      </c>
      <c r="V6" s="353">
        <f>'Table 6a'!V6+'Table 6b'!X8</f>
        <v>2.89</v>
      </c>
      <c r="W6" s="158">
        <f>'Table 6a'!W6+'Table 6b'!Y8</f>
        <v>3.27</v>
      </c>
      <c r="X6" s="354">
        <f>'Table 6a'!X6+'Table 6b'!Z8</f>
        <v>0</v>
      </c>
      <c r="Y6" s="315">
        <f>'Table 6a'!Y6+'Table 6b'!AA8</f>
        <v>3.27</v>
      </c>
      <c r="Z6" s="158">
        <f>'Table 6a'!Z6+'Table 6b'!AB8</f>
        <v>3.54</v>
      </c>
      <c r="AA6" s="355">
        <f>'Table 6a'!AA6+'Table 6b'!AC8</f>
        <v>0</v>
      </c>
      <c r="AB6" s="353">
        <f>'Table 6a'!AB6+'Table 6b'!AD8</f>
        <v>3.54</v>
      </c>
      <c r="AC6" s="1844">
        <f>'Table 6a'!AC6+'Table 6b'!AE8</f>
        <v>3.75</v>
      </c>
      <c r="AD6" s="412">
        <f>'Table 6a'!AD6+'Table 6b'!AF8</f>
        <v>0</v>
      </c>
      <c r="AE6" s="876">
        <f>'Table 6a'!AE6+'Table 6b'!AG8</f>
        <v>3.75</v>
      </c>
      <c r="AF6" s="194">
        <f t="shared" ref="AF6:AF27" si="1">(AE6-M6)/M6</f>
        <v>1.04</v>
      </c>
      <c r="AG6" s="48">
        <f>'Table 6a'!AH6+'Table 6b'!AJ8</f>
        <v>3.97</v>
      </c>
      <c r="AH6" s="440">
        <f>'Table 6a'!AI6+'Table 6b'!AK8</f>
        <v>0</v>
      </c>
      <c r="AI6" s="874">
        <f>'Table 6a'!AJ6+'Table 6b'!AL8</f>
        <v>3.97</v>
      </c>
      <c r="AK6" s="373">
        <f t="shared" ref="AK6:AK27" si="2">I6-C6</f>
        <v>35508</v>
      </c>
      <c r="AL6" s="1312">
        <f t="shared" ref="AL6:AL27" si="3">AE6-M6</f>
        <v>1.91</v>
      </c>
    </row>
    <row r="7" spans="1:38" ht="14.25" thickTop="1" thickBot="1">
      <c r="A7" s="402" t="s">
        <v>14</v>
      </c>
      <c r="B7" s="403" t="s">
        <v>18</v>
      </c>
      <c r="C7" s="431">
        <f t="shared" ref="C7:I7" si="4">SUM(C5:C6)</f>
        <v>43394</v>
      </c>
      <c r="D7" s="432">
        <f t="shared" si="4"/>
        <v>51702</v>
      </c>
      <c r="E7" s="433">
        <f t="shared" si="4"/>
        <v>58802</v>
      </c>
      <c r="F7" s="432">
        <f t="shared" si="4"/>
        <v>65395</v>
      </c>
      <c r="G7" s="433">
        <f t="shared" si="4"/>
        <v>72473</v>
      </c>
      <c r="H7" s="432">
        <f t="shared" si="4"/>
        <v>78499</v>
      </c>
      <c r="I7" s="1029">
        <f t="shared" si="4"/>
        <v>83934</v>
      </c>
      <c r="J7" s="434">
        <f t="shared" si="0"/>
        <v>0.93</v>
      </c>
      <c r="K7" s="435">
        <f>SUM(K5:K6)</f>
        <v>2.69</v>
      </c>
      <c r="L7" s="436">
        <f t="shared" ref="L7:AE7" si="5">SUM(L5:L6)</f>
        <v>0</v>
      </c>
      <c r="M7" s="407">
        <f t="shared" si="5"/>
        <v>2.69</v>
      </c>
      <c r="N7" s="435">
        <f t="shared" si="5"/>
        <v>2.94</v>
      </c>
      <c r="O7" s="436">
        <f t="shared" si="5"/>
        <v>0</v>
      </c>
      <c r="P7" s="407">
        <f t="shared" si="5"/>
        <v>2.94</v>
      </c>
      <c r="Q7" s="435">
        <f t="shared" si="5"/>
        <v>3.33</v>
      </c>
      <c r="R7" s="436">
        <f t="shared" si="5"/>
        <v>0</v>
      </c>
      <c r="S7" s="407">
        <f t="shared" si="5"/>
        <v>3.33</v>
      </c>
      <c r="T7" s="435">
        <f t="shared" si="5"/>
        <v>3.72</v>
      </c>
      <c r="U7" s="437">
        <f t="shared" si="5"/>
        <v>0</v>
      </c>
      <c r="V7" s="408">
        <f t="shared" si="5"/>
        <v>3.72</v>
      </c>
      <c r="W7" s="435">
        <f t="shared" si="5"/>
        <v>4.0999999999999996</v>
      </c>
      <c r="X7" s="436">
        <f t="shared" si="5"/>
        <v>0</v>
      </c>
      <c r="Y7" s="407">
        <f t="shared" si="5"/>
        <v>4.0999999999999996</v>
      </c>
      <c r="Z7" s="435">
        <f t="shared" si="5"/>
        <v>4.4400000000000004</v>
      </c>
      <c r="AA7" s="437">
        <f t="shared" si="5"/>
        <v>0</v>
      </c>
      <c r="AB7" s="408">
        <f t="shared" si="5"/>
        <v>4.4400000000000004</v>
      </c>
      <c r="AC7" s="1525">
        <f t="shared" si="5"/>
        <v>4.75</v>
      </c>
      <c r="AD7" s="1531">
        <f t="shared" si="5"/>
        <v>0</v>
      </c>
      <c r="AE7" s="1036">
        <f t="shared" si="5"/>
        <v>4.75</v>
      </c>
      <c r="AF7" s="1612">
        <f t="shared" si="1"/>
        <v>0.77</v>
      </c>
      <c r="AG7" s="139">
        <f>SUM(AG5:AG6)</f>
        <v>5.03</v>
      </c>
      <c r="AH7" s="550">
        <f>SUM(AH5:AH6)</f>
        <v>0</v>
      </c>
      <c r="AI7" s="61">
        <f>SUM(AI5:AI6)</f>
        <v>5.03</v>
      </c>
      <c r="AK7" s="431">
        <f t="shared" si="2"/>
        <v>40540</v>
      </c>
      <c r="AL7" s="1614">
        <f t="shared" si="3"/>
        <v>2.06</v>
      </c>
    </row>
    <row r="8" spans="1:38">
      <c r="A8" s="292" t="s">
        <v>19</v>
      </c>
      <c r="B8" s="267" t="s">
        <v>15</v>
      </c>
      <c r="C8" s="404">
        <f>'Table 6a'!C8</f>
        <v>19691</v>
      </c>
      <c r="D8" s="405">
        <f>'Table 6a'!D8</f>
        <v>20395</v>
      </c>
      <c r="E8" s="406">
        <f>'Table 6a'!E8</f>
        <v>21529</v>
      </c>
      <c r="F8" s="405">
        <f>'Table 6a'!F8</f>
        <v>22193</v>
      </c>
      <c r="G8" s="406">
        <f>'Table 6a'!G8</f>
        <v>22924</v>
      </c>
      <c r="H8" s="405">
        <f>'Table 6a'!H8</f>
        <v>23637</v>
      </c>
      <c r="I8" s="1030">
        <f>'Table 6a'!I8</f>
        <v>24364</v>
      </c>
      <c r="J8" s="199">
        <f t="shared" si="0"/>
        <v>0.24</v>
      </c>
      <c r="K8" s="151">
        <f>'Table 6a'!K8</f>
        <v>2.08</v>
      </c>
      <c r="L8" s="113">
        <f>'Table 6a'!L8</f>
        <v>0</v>
      </c>
      <c r="M8" s="146">
        <f>'Table 6a'!M8</f>
        <v>2.08</v>
      </c>
      <c r="N8" s="151">
        <f>'Table 6a'!N8</f>
        <v>2.4300000000000002</v>
      </c>
      <c r="O8" s="113">
        <f>'Table 6a'!O8</f>
        <v>0</v>
      </c>
      <c r="P8" s="146">
        <f>'Table 6a'!P8</f>
        <v>2.4300000000000002</v>
      </c>
      <c r="Q8" s="151">
        <f>'Table 6a'!Q8</f>
        <v>2.56</v>
      </c>
      <c r="R8" s="113">
        <f>'Table 6a'!R8</f>
        <v>0</v>
      </c>
      <c r="S8" s="146">
        <f>'Table 6a'!S8</f>
        <v>2.56</v>
      </c>
      <c r="T8" s="151">
        <f>'Table 6a'!T8</f>
        <v>2.64</v>
      </c>
      <c r="U8" s="123">
        <f>'Table 6a'!U8</f>
        <v>0</v>
      </c>
      <c r="V8" s="152">
        <f>'Table 6a'!V8</f>
        <v>2.64</v>
      </c>
      <c r="W8" s="151">
        <f>'Table 6a'!W8</f>
        <v>2.73</v>
      </c>
      <c r="X8" s="113">
        <f>'Table 6a'!X8</f>
        <v>0</v>
      </c>
      <c r="Y8" s="146">
        <f>'Table 6a'!Y8</f>
        <v>2.73</v>
      </c>
      <c r="Z8" s="151">
        <f>'Table 6a'!Z8</f>
        <v>2.81</v>
      </c>
      <c r="AA8" s="123">
        <f>'Table 6a'!AA8</f>
        <v>0</v>
      </c>
      <c r="AB8" s="152">
        <f>'Table 6a'!AB8</f>
        <v>2.81</v>
      </c>
      <c r="AC8" s="1209">
        <f>'Table 6a'!AC8</f>
        <v>2.9</v>
      </c>
      <c r="AD8" s="10">
        <f>'Table 6a'!AD8</f>
        <v>0</v>
      </c>
      <c r="AE8" s="11">
        <f>'Table 6a'!AE8</f>
        <v>2.9</v>
      </c>
      <c r="AF8" s="43">
        <f t="shared" si="1"/>
        <v>0.39</v>
      </c>
      <c r="AG8" s="149">
        <f>'Table 6a'!AH8</f>
        <v>3.07</v>
      </c>
      <c r="AH8" s="164">
        <f>'Table 6a'!AI8</f>
        <v>0</v>
      </c>
      <c r="AI8" s="150">
        <f>'Table 6a'!AJ8</f>
        <v>3.07</v>
      </c>
      <c r="AK8" s="404">
        <f t="shared" si="2"/>
        <v>4673</v>
      </c>
      <c r="AL8" s="1360">
        <f t="shared" si="3"/>
        <v>0.82</v>
      </c>
    </row>
    <row r="9" spans="1:38" ht="13.5" thickBot="1">
      <c r="A9" s="1037" t="s">
        <v>19</v>
      </c>
      <c r="B9" s="268" t="s">
        <v>17</v>
      </c>
      <c r="C9" s="719">
        <f>'Table 6a'!C9</f>
        <v>503</v>
      </c>
      <c r="D9" s="374">
        <f>'Table 6a'!D9</f>
        <v>521</v>
      </c>
      <c r="E9" s="375">
        <f>'Table 6a'!E9</f>
        <v>549</v>
      </c>
      <c r="F9" s="374">
        <f>'Table 6a'!F9</f>
        <v>573</v>
      </c>
      <c r="G9" s="375">
        <f>'Table 6a'!G9</f>
        <v>591</v>
      </c>
      <c r="H9" s="374">
        <f>'Table 6a'!H9</f>
        <v>609</v>
      </c>
      <c r="I9" s="1031">
        <v>623</v>
      </c>
      <c r="J9" s="409">
        <f t="shared" si="0"/>
        <v>0.24</v>
      </c>
      <c r="K9" s="156">
        <f>'Table 6a'!K9</f>
        <v>0.05</v>
      </c>
      <c r="L9" s="410">
        <f>'Table 6a'!L9</f>
        <v>0</v>
      </c>
      <c r="M9" s="411">
        <f>'Table 6a'!M9</f>
        <v>0.05</v>
      </c>
      <c r="N9" s="156">
        <f>'Table 6a'!N9</f>
        <v>0.06</v>
      </c>
      <c r="O9" s="410">
        <f>'Table 6a'!O9</f>
        <v>0</v>
      </c>
      <c r="P9" s="411">
        <f>'Table 6a'!P9</f>
        <v>0.06</v>
      </c>
      <c r="Q9" s="156">
        <f>'Table 6a'!Q9</f>
        <v>0.06</v>
      </c>
      <c r="R9" s="410">
        <f>'Table 6a'!R9</f>
        <v>0</v>
      </c>
      <c r="S9" s="411">
        <f>'Table 6a'!S9</f>
        <v>0.06</v>
      </c>
      <c r="T9" s="156">
        <f>'Table 6a'!T9</f>
        <v>0.06</v>
      </c>
      <c r="U9" s="412">
        <f>'Table 6a'!U9</f>
        <v>0</v>
      </c>
      <c r="V9" s="413">
        <f>'Table 6a'!V9</f>
        <v>0.06</v>
      </c>
      <c r="W9" s="156">
        <f>'Table 6a'!W9</f>
        <v>0.06</v>
      </c>
      <c r="X9" s="410">
        <f>'Table 6a'!X9</f>
        <v>0</v>
      </c>
      <c r="Y9" s="411">
        <f>'Table 6a'!Y9</f>
        <v>0.06</v>
      </c>
      <c r="Z9" s="156">
        <f>'Table 6a'!Z9</f>
        <v>7.0000000000000007E-2</v>
      </c>
      <c r="AA9" s="412">
        <f>'Table 6a'!AA9</f>
        <v>0</v>
      </c>
      <c r="AB9" s="413">
        <f>'Table 6a'!AB9</f>
        <v>7.0000000000000007E-2</v>
      </c>
      <c r="AC9" s="1526">
        <f>'Table 6a'!AC9</f>
        <v>7.0000000000000007E-2</v>
      </c>
      <c r="AD9" s="660">
        <f>'Table 6a'!AD9</f>
        <v>0</v>
      </c>
      <c r="AE9" s="413">
        <f>'Table 6a'!AE9</f>
        <v>7.0000000000000007E-2</v>
      </c>
      <c r="AF9" s="194">
        <f t="shared" si="1"/>
        <v>0.4</v>
      </c>
      <c r="AG9" s="48">
        <f>'Table 6a'!AH9</f>
        <v>7.0000000000000007E-2</v>
      </c>
      <c r="AH9" s="440">
        <f>'Table 6a'!AI9</f>
        <v>0</v>
      </c>
      <c r="AI9" s="874">
        <f>'Table 6a'!AJ9</f>
        <v>7.0000000000000007E-2</v>
      </c>
      <c r="AK9" s="376">
        <f t="shared" si="2"/>
        <v>120</v>
      </c>
      <c r="AL9" s="1615">
        <f t="shared" si="3"/>
        <v>0.02</v>
      </c>
    </row>
    <row r="10" spans="1:38" ht="14.25" thickTop="1" thickBot="1">
      <c r="A10" s="339" t="s">
        <v>19</v>
      </c>
      <c r="B10" s="731" t="s">
        <v>18</v>
      </c>
      <c r="C10" s="379">
        <f t="shared" ref="C10:I10" si="6">SUM(C8:C9)</f>
        <v>20194</v>
      </c>
      <c r="D10" s="432">
        <f t="shared" si="6"/>
        <v>20916</v>
      </c>
      <c r="E10" s="433">
        <f t="shared" si="6"/>
        <v>22078</v>
      </c>
      <c r="F10" s="432">
        <f t="shared" si="6"/>
        <v>22766</v>
      </c>
      <c r="G10" s="433">
        <f t="shared" si="6"/>
        <v>23515</v>
      </c>
      <c r="H10" s="432">
        <f t="shared" si="6"/>
        <v>24246</v>
      </c>
      <c r="I10" s="1032">
        <f t="shared" si="6"/>
        <v>24987</v>
      </c>
      <c r="J10" s="200">
        <f t="shared" si="0"/>
        <v>0.24</v>
      </c>
      <c r="K10" s="36">
        <f>SUM(K8:K9)</f>
        <v>2.13</v>
      </c>
      <c r="L10" s="32">
        <f t="shared" ref="L10:AB10" si="7">SUM(L8:L9)</f>
        <v>0</v>
      </c>
      <c r="M10" s="154">
        <f t="shared" si="7"/>
        <v>2.13</v>
      </c>
      <c r="N10" s="36">
        <f t="shared" si="7"/>
        <v>2.4900000000000002</v>
      </c>
      <c r="O10" s="32">
        <f t="shared" si="7"/>
        <v>0</v>
      </c>
      <c r="P10" s="154">
        <f t="shared" si="7"/>
        <v>2.4900000000000002</v>
      </c>
      <c r="Q10" s="36">
        <f t="shared" si="7"/>
        <v>2.62</v>
      </c>
      <c r="R10" s="32">
        <f t="shared" si="7"/>
        <v>0</v>
      </c>
      <c r="S10" s="154">
        <f t="shared" si="7"/>
        <v>2.62</v>
      </c>
      <c r="T10" s="36">
        <f t="shared" si="7"/>
        <v>2.7</v>
      </c>
      <c r="U10" s="165">
        <f t="shared" si="7"/>
        <v>0</v>
      </c>
      <c r="V10" s="38">
        <f t="shared" si="7"/>
        <v>2.7</v>
      </c>
      <c r="W10" s="36">
        <f t="shared" si="7"/>
        <v>2.79</v>
      </c>
      <c r="X10" s="32">
        <f t="shared" si="7"/>
        <v>0</v>
      </c>
      <c r="Y10" s="154">
        <f t="shared" si="7"/>
        <v>2.79</v>
      </c>
      <c r="Z10" s="36">
        <f t="shared" si="7"/>
        <v>2.88</v>
      </c>
      <c r="AA10" s="165">
        <f t="shared" si="7"/>
        <v>0</v>
      </c>
      <c r="AB10" s="38">
        <f t="shared" si="7"/>
        <v>2.88</v>
      </c>
      <c r="AC10" s="1231">
        <f>SUM(AC8:AC9)</f>
        <v>2.97</v>
      </c>
      <c r="AD10" s="165">
        <f t="shared" ref="AD10:AE10" si="8">SUM(AD8:AD9)</f>
        <v>0</v>
      </c>
      <c r="AE10" s="38">
        <f t="shared" si="8"/>
        <v>2.97</v>
      </c>
      <c r="AF10" s="244">
        <f t="shared" si="1"/>
        <v>0.39</v>
      </c>
      <c r="AG10" s="34">
        <f>SUM(AG8:AG9)</f>
        <v>3.14</v>
      </c>
      <c r="AH10" s="1026">
        <f>SUM(AH8:AH9)</f>
        <v>0</v>
      </c>
      <c r="AI10" s="21">
        <f>SUM(AI8:AI9)</f>
        <v>3.14</v>
      </c>
      <c r="AK10" s="379">
        <f t="shared" si="2"/>
        <v>4793</v>
      </c>
      <c r="AL10" s="1335">
        <f t="shared" si="3"/>
        <v>0.84</v>
      </c>
    </row>
    <row r="11" spans="1:38">
      <c r="A11" s="292" t="s">
        <v>20</v>
      </c>
      <c r="B11" s="267" t="s">
        <v>15</v>
      </c>
      <c r="C11" s="404">
        <f>'Table 6a'!C11</f>
        <v>2174</v>
      </c>
      <c r="D11" s="405">
        <f>'Table 6a'!D11</f>
        <v>2353</v>
      </c>
      <c r="E11" s="406">
        <f>'Table 6a'!E11</f>
        <v>2727</v>
      </c>
      <c r="F11" s="405">
        <f>'Table 6a'!F11</f>
        <v>2914</v>
      </c>
      <c r="G11" s="406">
        <f>'Table 6a'!G11</f>
        <v>2914</v>
      </c>
      <c r="H11" s="405">
        <f>'Table 6a'!H11</f>
        <v>3079</v>
      </c>
      <c r="I11" s="1030">
        <f>'Table 6a'!I11</f>
        <v>3263</v>
      </c>
      <c r="J11" s="199">
        <f t="shared" si="0"/>
        <v>0.5</v>
      </c>
      <c r="K11" s="151">
        <f>'Table 6a'!K11</f>
        <v>0.28000000000000003</v>
      </c>
      <c r="L11" s="113">
        <f>'Table 6a'!L11</f>
        <v>0</v>
      </c>
      <c r="M11" s="146">
        <f>'Table 6a'!M11</f>
        <v>0.28000000000000003</v>
      </c>
      <c r="N11" s="151">
        <f>'Table 6a'!N11</f>
        <v>0.21</v>
      </c>
      <c r="O11" s="113">
        <f>'Table 6a'!O11</f>
        <v>0</v>
      </c>
      <c r="P11" s="146">
        <f>'Table 6a'!P11</f>
        <v>0.21</v>
      </c>
      <c r="Q11" s="151">
        <f>'Table 6a'!Q11</f>
        <v>0.25</v>
      </c>
      <c r="R11" s="113">
        <f>'Table 6a'!R11</f>
        <v>0</v>
      </c>
      <c r="S11" s="146">
        <f>'Table 6a'!S11</f>
        <v>0.25</v>
      </c>
      <c r="T11" s="151">
        <f>'Table 6a'!T11</f>
        <v>0.27</v>
      </c>
      <c r="U11" s="123">
        <f>'Table 6a'!U11</f>
        <v>0</v>
      </c>
      <c r="V11" s="152">
        <f>'Table 6a'!V11</f>
        <v>0.27</v>
      </c>
      <c r="W11" s="151">
        <f>'Table 6a'!W11</f>
        <v>0.27</v>
      </c>
      <c r="X11" s="113">
        <f>'Table 6a'!X11</f>
        <v>0</v>
      </c>
      <c r="Y11" s="146">
        <f>'Table 6a'!Y11</f>
        <v>0.27</v>
      </c>
      <c r="Z11" s="151">
        <f>'Table 6a'!Z11</f>
        <v>0.28000000000000003</v>
      </c>
      <c r="AA11" s="123">
        <f>'Table 6a'!AA11</f>
        <v>0</v>
      </c>
      <c r="AB11" s="152">
        <f>'Table 6a'!AB11</f>
        <v>0.28000000000000003</v>
      </c>
      <c r="AC11" s="1211">
        <f>'Table 6a'!AC11</f>
        <v>0.3</v>
      </c>
      <c r="AD11" s="123">
        <f>'Table 6a'!AD11</f>
        <v>0</v>
      </c>
      <c r="AE11" s="152">
        <f>'Table 6a'!AE11</f>
        <v>0.3</v>
      </c>
      <c r="AF11" s="193">
        <f t="shared" si="1"/>
        <v>7.0000000000000007E-2</v>
      </c>
      <c r="AG11" s="149">
        <f>'Table 6a'!AH11</f>
        <v>0.32</v>
      </c>
      <c r="AH11" s="164">
        <f>'Table 6a'!AI11</f>
        <v>0</v>
      </c>
      <c r="AI11" s="150">
        <f>'Table 6a'!AJ11</f>
        <v>0.32</v>
      </c>
      <c r="AK11" s="404">
        <f t="shared" si="2"/>
        <v>1089</v>
      </c>
      <c r="AL11" s="1327">
        <f t="shared" si="3"/>
        <v>0.02</v>
      </c>
    </row>
    <row r="12" spans="1:38" ht="13.5" thickBot="1">
      <c r="A12" s="1037" t="s">
        <v>20</v>
      </c>
      <c r="B12" s="268" t="s">
        <v>17</v>
      </c>
      <c r="C12" s="376">
        <f>'Table 6a'!C12+'Table 6b'!D12</f>
        <v>13250</v>
      </c>
      <c r="D12" s="377">
        <f>'Table 6a'!D12+'Table 6b'!E12</f>
        <v>12237</v>
      </c>
      <c r="E12" s="378">
        <f>'Table 6a'!E12+'Table 6b'!F12</f>
        <v>12054</v>
      </c>
      <c r="F12" s="377">
        <f>'Table 6a'!F12+'Table 6b'!G12</f>
        <v>11913</v>
      </c>
      <c r="G12" s="378">
        <f>'Table 6a'!G12+'Table 6b'!H12</f>
        <v>11867</v>
      </c>
      <c r="H12" s="377">
        <f>'Table 6a'!H12+'Table 6b'!I12</f>
        <v>11690</v>
      </c>
      <c r="I12" s="1033">
        <v>11414</v>
      </c>
      <c r="J12" s="1027">
        <f t="shared" si="0"/>
        <v>-0.14000000000000001</v>
      </c>
      <c r="K12" s="18">
        <f>'Table 6a'!K12+'Table 6b'!M12</f>
        <v>0.61</v>
      </c>
      <c r="L12" s="410">
        <f>'Table 6a'!L12+'Table 6b'!N12</f>
        <v>0</v>
      </c>
      <c r="M12" s="50">
        <f>'Table 6a'!M12+'Table 6b'!O12</f>
        <v>0.61</v>
      </c>
      <c r="N12" s="18">
        <f>'Table 6a'!N12+'Table 6b'!P12</f>
        <v>0.56999999999999995</v>
      </c>
      <c r="O12" s="410">
        <f>'Table 6a'!O12+'Table 6b'!Q12</f>
        <v>0</v>
      </c>
      <c r="P12" s="50">
        <f>'Table 6a'!P12+'Table 6b'!R12</f>
        <v>0.56999999999999995</v>
      </c>
      <c r="Q12" s="18">
        <f>'Table 6a'!Q12+'Table 6b'!S12</f>
        <v>0.56000000000000005</v>
      </c>
      <c r="R12" s="410">
        <f>'Table 6a'!R12+'Table 6b'!T12</f>
        <v>0</v>
      </c>
      <c r="S12" s="50">
        <f>'Table 6a'!S12+'Table 6b'!U12</f>
        <v>0.56000000000000005</v>
      </c>
      <c r="T12" s="18">
        <f>'Table 6a'!T12+'Table 6b'!V12</f>
        <v>0.56000000000000005</v>
      </c>
      <c r="U12" s="412">
        <f>'Table 6a'!U12+'Table 6b'!W12</f>
        <v>0</v>
      </c>
      <c r="V12" s="876">
        <f>'Table 6a'!V12+'Table 6b'!X12</f>
        <v>0.56000000000000005</v>
      </c>
      <c r="W12" s="18">
        <f>'Table 6a'!W12+'Table 6b'!Y12</f>
        <v>0.55000000000000004</v>
      </c>
      <c r="X12" s="410">
        <f>'Table 6a'!X12+'Table 6b'!Z12</f>
        <v>0</v>
      </c>
      <c r="Y12" s="50">
        <f>'Table 6a'!Y12+'Table 6b'!AA12</f>
        <v>0.55000000000000004</v>
      </c>
      <c r="Z12" s="18">
        <f>'Table 6a'!Z12+'Table 6b'!AB12</f>
        <v>0.55000000000000004</v>
      </c>
      <c r="AA12" s="412">
        <f>'Table 6a'!AA12+'Table 6b'!AC12</f>
        <v>0</v>
      </c>
      <c r="AB12" s="876">
        <f>'Table 6a'!AB12+'Table 6b'!AD12</f>
        <v>0.55000000000000004</v>
      </c>
      <c r="AC12" s="1527">
        <f>'Table 6a'!AC12+'Table 6b'!AE12</f>
        <v>0.53</v>
      </c>
      <c r="AD12" s="412">
        <f>'Table 6a'!AD12+'Table 6b'!AF12</f>
        <v>0</v>
      </c>
      <c r="AE12" s="876">
        <f>'Table 6a'!AE12+'Table 6b'!AG12</f>
        <v>0.53</v>
      </c>
      <c r="AF12" s="194">
        <f t="shared" si="1"/>
        <v>-0.13</v>
      </c>
      <c r="AG12" s="48">
        <f>'Table 6a'!AH12+'Table 6b'!AJ12</f>
        <v>0.52</v>
      </c>
      <c r="AH12" s="440">
        <f>'Table 6a'!AI12+'Table 6b'!AK12</f>
        <v>0</v>
      </c>
      <c r="AI12" s="874">
        <f>'Table 6a'!AJ12+'Table 6b'!AL12</f>
        <v>0.52</v>
      </c>
      <c r="AK12" s="719">
        <f t="shared" si="2"/>
        <v>-1836</v>
      </c>
      <c r="AL12" s="1312">
        <f t="shared" si="3"/>
        <v>-0.08</v>
      </c>
    </row>
    <row r="13" spans="1:38" ht="14.25" thickTop="1" thickBot="1">
      <c r="A13" s="339" t="s">
        <v>20</v>
      </c>
      <c r="B13" s="731" t="s">
        <v>18</v>
      </c>
      <c r="C13" s="379">
        <f t="shared" ref="C13:I13" si="9">SUM(C11:C12)</f>
        <v>15424</v>
      </c>
      <c r="D13" s="380">
        <f t="shared" si="9"/>
        <v>14590</v>
      </c>
      <c r="E13" s="381">
        <f t="shared" si="9"/>
        <v>14781</v>
      </c>
      <c r="F13" s="380">
        <f t="shared" si="9"/>
        <v>14827</v>
      </c>
      <c r="G13" s="381">
        <f t="shared" si="9"/>
        <v>14781</v>
      </c>
      <c r="H13" s="380">
        <f t="shared" si="9"/>
        <v>14769</v>
      </c>
      <c r="I13" s="1032">
        <f t="shared" si="9"/>
        <v>14677</v>
      </c>
      <c r="J13" s="200">
        <f t="shared" si="0"/>
        <v>-0.05</v>
      </c>
      <c r="K13" s="36">
        <f>SUM(K11:K12)</f>
        <v>0.89</v>
      </c>
      <c r="L13" s="32">
        <f t="shared" ref="L13:AE13" si="10">SUM(L11:L12)</f>
        <v>0</v>
      </c>
      <c r="M13" s="154">
        <f t="shared" si="10"/>
        <v>0.89</v>
      </c>
      <c r="N13" s="36">
        <f t="shared" si="10"/>
        <v>0.78</v>
      </c>
      <c r="O13" s="32">
        <f t="shared" si="10"/>
        <v>0</v>
      </c>
      <c r="P13" s="154">
        <f t="shared" si="10"/>
        <v>0.78</v>
      </c>
      <c r="Q13" s="36">
        <f t="shared" si="10"/>
        <v>0.81</v>
      </c>
      <c r="R13" s="32">
        <f t="shared" si="10"/>
        <v>0</v>
      </c>
      <c r="S13" s="154">
        <f t="shared" si="10"/>
        <v>0.81</v>
      </c>
      <c r="T13" s="36">
        <f t="shared" si="10"/>
        <v>0.83</v>
      </c>
      <c r="U13" s="165">
        <f t="shared" si="10"/>
        <v>0</v>
      </c>
      <c r="V13" s="38">
        <f t="shared" si="10"/>
        <v>0.83</v>
      </c>
      <c r="W13" s="36">
        <f t="shared" si="10"/>
        <v>0.82</v>
      </c>
      <c r="X13" s="32">
        <f t="shared" si="10"/>
        <v>0</v>
      </c>
      <c r="Y13" s="154">
        <f t="shared" si="10"/>
        <v>0.82</v>
      </c>
      <c r="Z13" s="36">
        <f t="shared" si="10"/>
        <v>0.83</v>
      </c>
      <c r="AA13" s="165">
        <f t="shared" si="10"/>
        <v>0</v>
      </c>
      <c r="AB13" s="38">
        <f t="shared" si="10"/>
        <v>0.83</v>
      </c>
      <c r="AC13" s="147">
        <f t="shared" si="10"/>
        <v>0.83</v>
      </c>
      <c r="AD13" s="165">
        <f t="shared" si="10"/>
        <v>0</v>
      </c>
      <c r="AE13" s="38">
        <f t="shared" si="10"/>
        <v>0.83</v>
      </c>
      <c r="AF13" s="195">
        <f t="shared" si="1"/>
        <v>-7.0000000000000007E-2</v>
      </c>
      <c r="AG13" s="34">
        <f>SUM(AG11:AG12)</f>
        <v>0.84</v>
      </c>
      <c r="AH13" s="1026">
        <f>SUM(AH11:AH12)</f>
        <v>0</v>
      </c>
      <c r="AI13" s="21">
        <f>SUM(AI11:AI12)</f>
        <v>0.84</v>
      </c>
      <c r="AK13" s="379">
        <f t="shared" si="2"/>
        <v>-747</v>
      </c>
      <c r="AL13" s="1335">
        <f t="shared" si="3"/>
        <v>-0.06</v>
      </c>
    </row>
    <row r="14" spans="1:38">
      <c r="A14" s="295" t="s">
        <v>21</v>
      </c>
      <c r="B14" s="730" t="s">
        <v>15</v>
      </c>
      <c r="C14" s="372">
        <f>'Table 6a'!C14+'Table 6b'!D16</f>
        <v>64758</v>
      </c>
      <c r="D14" s="370">
        <f>'Table 6a'!D14+'Table 6b'!E16</f>
        <v>69381</v>
      </c>
      <c r="E14" s="371">
        <f>'Table 6a'!E14+'Table 6b'!F16</f>
        <v>76333</v>
      </c>
      <c r="F14" s="370">
        <f>'Table 6a'!F14+'Table 6b'!G16</f>
        <v>86024</v>
      </c>
      <c r="G14" s="371">
        <f>'Table 6a'!G14+'Table 6b'!H16</f>
        <v>89218</v>
      </c>
      <c r="H14" s="370">
        <f>'Table 6a'!H14+'Table 6b'!I16</f>
        <v>91999</v>
      </c>
      <c r="I14" s="1028">
        <f>'Table 6a'!I14+'Table 6b'!J16</f>
        <v>94025</v>
      </c>
      <c r="J14" s="198">
        <f t="shared" si="0"/>
        <v>0.45</v>
      </c>
      <c r="K14" s="9">
        <f>'Table 6a'!K14+'Table 6b'!M16</f>
        <v>6.8</v>
      </c>
      <c r="L14" s="7">
        <f>'Table 6a'!L14+'Table 6b'!N16</f>
        <v>0</v>
      </c>
      <c r="M14" s="53">
        <f>'Table 6a'!M14+'Table 6b'!O16</f>
        <v>6.8</v>
      </c>
      <c r="N14" s="9">
        <f>'Table 6a'!N14+'Table 6b'!P16</f>
        <v>5.0999999999999996</v>
      </c>
      <c r="O14" s="7">
        <f>'Table 6a'!O14+'Table 6b'!Q16</f>
        <v>0</v>
      </c>
      <c r="P14" s="53">
        <f>'Table 6a'!P14+'Table 6b'!R16</f>
        <v>5.0999999999999996</v>
      </c>
      <c r="Q14" s="9">
        <f>'Table 6a'!Q14+'Table 6b'!S16</f>
        <v>5.61</v>
      </c>
      <c r="R14" s="7">
        <f>'Table 6a'!R14+'Table 6b'!T16</f>
        <v>0</v>
      </c>
      <c r="S14" s="53">
        <f>'Table 6a'!S14+'Table 6b'!U16</f>
        <v>5.61</v>
      </c>
      <c r="T14" s="9">
        <f>'Table 6a'!T14+'Table 6b'!V16</f>
        <v>6.31</v>
      </c>
      <c r="U14" s="10">
        <f>'Table 6a'!U14+'Table 6b'!W16</f>
        <v>0</v>
      </c>
      <c r="V14" s="11">
        <f>'Table 6a'!V14+'Table 6b'!X16</f>
        <v>6.31</v>
      </c>
      <c r="W14" s="9">
        <f>'Table 6a'!W14+'Table 6b'!Y16</f>
        <v>6.55</v>
      </c>
      <c r="X14" s="7">
        <f>'Table 6a'!X14+'Table 6b'!Z16</f>
        <v>0</v>
      </c>
      <c r="Y14" s="53">
        <f>'Table 6a'!Y14+'Table 6b'!AA16</f>
        <v>6.55</v>
      </c>
      <c r="Z14" s="9">
        <f>'Table 6a'!Z14+'Table 6b'!AB16</f>
        <v>6.75</v>
      </c>
      <c r="AA14" s="10">
        <f>'Table 6a'!AA14+'Table 6b'!AC16</f>
        <v>0</v>
      </c>
      <c r="AB14" s="11">
        <f>'Table 6a'!AB14+'Table 6b'!AD16</f>
        <v>6.75</v>
      </c>
      <c r="AC14" s="1208">
        <f>'Table 6a'!AC14+'Table 6b'!AE16</f>
        <v>6.9</v>
      </c>
      <c r="AD14" s="10">
        <f>'Table 6a'!AD14+'Table 6b'!AF16</f>
        <v>0</v>
      </c>
      <c r="AE14" s="11">
        <f>'Table 6a'!AE14+'Table 6b'!AG16</f>
        <v>6.9</v>
      </c>
      <c r="AF14" s="43">
        <f t="shared" si="1"/>
        <v>0.01</v>
      </c>
      <c r="AG14" s="47">
        <f>'Table 6a'!AH14+'Table 6b'!AJ16</f>
        <v>7.31</v>
      </c>
      <c r="AH14" s="5">
        <f>'Table 6a'!AI14+'Table 6b'!AK16</f>
        <v>0</v>
      </c>
      <c r="AI14" s="15">
        <f>'Table 6a'!AJ14+'Table 6b'!AL16</f>
        <v>7.31</v>
      </c>
      <c r="AK14" s="372">
        <f t="shared" si="2"/>
        <v>29267</v>
      </c>
      <c r="AL14" s="1360">
        <f t="shared" si="3"/>
        <v>0.1</v>
      </c>
    </row>
    <row r="15" spans="1:38">
      <c r="A15" s="364" t="s">
        <v>22</v>
      </c>
      <c r="B15" s="730" t="s">
        <v>17</v>
      </c>
      <c r="C15" s="372">
        <f>'Table 6a'!C15+'Table 6b'!D35</f>
        <v>45270</v>
      </c>
      <c r="D15" s="370">
        <f>'Table 6a'!D15+'Table 6b'!E35</f>
        <v>46898</v>
      </c>
      <c r="E15" s="371">
        <f>'Table 6a'!E15+'Table 6b'!F35</f>
        <v>49337</v>
      </c>
      <c r="F15" s="370">
        <f>'Table 6a'!F15+'Table 6b'!G35</f>
        <v>51272</v>
      </c>
      <c r="G15" s="371">
        <f>'Table 6a'!G15+'Table 6b'!H35</f>
        <v>52689</v>
      </c>
      <c r="H15" s="370">
        <f>'Table 6a'!H15+'Table 6b'!I35</f>
        <v>53793</v>
      </c>
      <c r="I15" s="1028">
        <v>54677</v>
      </c>
      <c r="J15" s="198">
        <f t="shared" si="0"/>
        <v>0.21</v>
      </c>
      <c r="K15" s="9">
        <f>'Table 6a'!K15+'Table 6b'!M35</f>
        <v>2.65</v>
      </c>
      <c r="L15" s="884">
        <f>'Table 6a'!L15+'Table 6b'!N35</f>
        <v>0</v>
      </c>
      <c r="M15" s="53">
        <f>'Table 6a'!M15+'Table 6b'!O35</f>
        <v>2.65</v>
      </c>
      <c r="N15" s="9">
        <f>'Table 6a'!N15+'Table 6b'!P35</f>
        <v>2.73</v>
      </c>
      <c r="O15" s="884">
        <f>'Table 6a'!O15+'Table 6b'!Q35</f>
        <v>0</v>
      </c>
      <c r="P15" s="53">
        <f>'Table 6a'!P15+'Table 6b'!R35</f>
        <v>2.73</v>
      </c>
      <c r="Q15" s="9">
        <f>'Table 6a'!Q15+'Table 6b'!S35</f>
        <v>2.86</v>
      </c>
      <c r="R15" s="884">
        <f>'Table 6a'!R15+'Table 6b'!T35</f>
        <v>0</v>
      </c>
      <c r="S15" s="53">
        <f>'Table 6a'!S15+'Table 6b'!U35</f>
        <v>2.86</v>
      </c>
      <c r="T15" s="9">
        <f>'Table 6a'!T15+'Table 6b'!V35</f>
        <v>2.97</v>
      </c>
      <c r="U15" s="321">
        <f>'Table 6a'!U15+'Table 6b'!W35</f>
        <v>0</v>
      </c>
      <c r="V15" s="11">
        <f>'Table 6a'!V15+'Table 6b'!X35</f>
        <v>2.97</v>
      </c>
      <c r="W15" s="9">
        <f>'Table 6a'!W15+'Table 6b'!Y35</f>
        <v>3.05</v>
      </c>
      <c r="X15" s="884">
        <f>'Table 6a'!X15+'Table 6b'!Z35</f>
        <v>0</v>
      </c>
      <c r="Y15" s="53">
        <f>'Table 6a'!Y15+'Table 6b'!AA35</f>
        <v>3.05</v>
      </c>
      <c r="Z15" s="9">
        <f>'Table 6a'!Z15+'Table 6b'!AB35</f>
        <v>3.12</v>
      </c>
      <c r="AA15" s="321">
        <f>'Table 6a'!AA15+'Table 6b'!AC35</f>
        <v>0</v>
      </c>
      <c r="AB15" s="11">
        <f>'Table 6a'!AB15+'Table 6b'!AD35</f>
        <v>3.12</v>
      </c>
      <c r="AC15" s="1208">
        <f>'Table 6a'!AC15+'Table 6b'!AE35</f>
        <v>3.18</v>
      </c>
      <c r="AD15" s="10">
        <f>'Table 6a'!AD15+'Table 6b'!AF35</f>
        <v>0</v>
      </c>
      <c r="AE15" s="11">
        <f>'Table 6a'!AE15+'Table 6b'!AG35</f>
        <v>3.18</v>
      </c>
      <c r="AF15" s="988">
        <f t="shared" si="1"/>
        <v>0.2</v>
      </c>
      <c r="AG15" s="47">
        <f>'Table 6a'!AH15+'Table 6b'!AJ35</f>
        <v>3.32</v>
      </c>
      <c r="AH15" s="352">
        <f>'Table 6a'!AI15+'Table 6b'!AK35</f>
        <v>0</v>
      </c>
      <c r="AI15" s="15">
        <f>'Table 6a'!AJ15+'Table 6b'!AL35</f>
        <v>3.32</v>
      </c>
      <c r="AK15" s="372">
        <f t="shared" si="2"/>
        <v>9407</v>
      </c>
      <c r="AL15" s="1360">
        <f t="shared" si="3"/>
        <v>0.53</v>
      </c>
    </row>
    <row r="16" spans="1:38">
      <c r="A16" s="364" t="s">
        <v>23</v>
      </c>
      <c r="B16" s="730" t="s">
        <v>15</v>
      </c>
      <c r="C16" s="372">
        <f>'Table 6a'!C16</f>
        <v>211531</v>
      </c>
      <c r="D16" s="370">
        <f>'Table 6a'!D16</f>
        <v>228489</v>
      </c>
      <c r="E16" s="371">
        <f>'Table 6a'!E16</f>
        <v>245416</v>
      </c>
      <c r="F16" s="370">
        <f>'Table 6a'!F16</f>
        <v>258497</v>
      </c>
      <c r="G16" s="371">
        <f>'Table 6a'!G16</f>
        <v>269951</v>
      </c>
      <c r="H16" s="370">
        <f>'Table 6a'!H16</f>
        <v>279130</v>
      </c>
      <c r="I16" s="1028">
        <f>'Table 6a'!I16</f>
        <v>287137</v>
      </c>
      <c r="J16" s="198">
        <f t="shared" si="0"/>
        <v>0.36</v>
      </c>
      <c r="K16" s="9">
        <f>'Table 6a'!K16</f>
        <v>12.73</v>
      </c>
      <c r="L16" s="884">
        <f>'Table 6a'!L16</f>
        <v>0</v>
      </c>
      <c r="M16" s="53">
        <f>'Table 6a'!M16</f>
        <v>12.73</v>
      </c>
      <c r="N16" s="9">
        <f>'Table 6a'!N16</f>
        <v>22.16</v>
      </c>
      <c r="O16" s="884">
        <f>'Table 6a'!O16</f>
        <v>0</v>
      </c>
      <c r="P16" s="53">
        <f>'Table 6a'!P16</f>
        <v>22.16</v>
      </c>
      <c r="Q16" s="9">
        <f>'Table 6a'!Q16</f>
        <v>23.81</v>
      </c>
      <c r="R16" s="884">
        <f>'Table 6a'!R16</f>
        <v>0</v>
      </c>
      <c r="S16" s="53">
        <f>'Table 6a'!S16</f>
        <v>23.81</v>
      </c>
      <c r="T16" s="9">
        <f>'Table 6a'!T16</f>
        <v>25.07</v>
      </c>
      <c r="U16" s="321">
        <f>'Table 6a'!U16</f>
        <v>0</v>
      </c>
      <c r="V16" s="11">
        <f>'Table 6a'!V16</f>
        <v>25.07</v>
      </c>
      <c r="W16" s="9">
        <f>'Table 6a'!W16</f>
        <v>26.19</v>
      </c>
      <c r="X16" s="884">
        <f>'Table 6a'!X16</f>
        <v>0</v>
      </c>
      <c r="Y16" s="53">
        <f>'Table 6a'!Y16</f>
        <v>26.19</v>
      </c>
      <c r="Z16" s="9">
        <f>'Table 6a'!Z16</f>
        <v>27.08</v>
      </c>
      <c r="AA16" s="321">
        <f>'Table 6a'!AA16</f>
        <v>0</v>
      </c>
      <c r="AB16" s="11">
        <f>'Table 6a'!AB16</f>
        <v>27.08</v>
      </c>
      <c r="AC16" s="1208">
        <f>'Table 6a'!AC16</f>
        <v>27.85</v>
      </c>
      <c r="AD16" s="10">
        <f>'Table 6a'!AD16</f>
        <v>0</v>
      </c>
      <c r="AE16" s="11">
        <f>'Table 6a'!AE16</f>
        <v>27.85</v>
      </c>
      <c r="AF16" s="988">
        <f t="shared" si="1"/>
        <v>1.19</v>
      </c>
      <c r="AG16" s="47">
        <f>'Table 6a'!AH16</f>
        <v>29.52</v>
      </c>
      <c r="AH16" s="352">
        <f>'Table 6a'!AI16</f>
        <v>0</v>
      </c>
      <c r="AI16" s="15">
        <f>'Table 6a'!AJ16</f>
        <v>29.52</v>
      </c>
      <c r="AK16" s="372">
        <f t="shared" si="2"/>
        <v>75606</v>
      </c>
      <c r="AL16" s="1360">
        <f t="shared" si="3"/>
        <v>15.12</v>
      </c>
    </row>
    <row r="17" spans="1:39">
      <c r="A17" s="364" t="s">
        <v>24</v>
      </c>
      <c r="B17" s="730" t="s">
        <v>15</v>
      </c>
      <c r="C17" s="372">
        <f>'Table 6a'!C17+'Table 6b'!D37</f>
        <v>4964</v>
      </c>
      <c r="D17" s="370">
        <f>'Table 6a'!D17+'Table 6b'!E37</f>
        <v>5542</v>
      </c>
      <c r="E17" s="371">
        <f>'Table 6a'!E17+'Table 6b'!F37</f>
        <v>5596</v>
      </c>
      <c r="F17" s="370">
        <f>'Table 6a'!F17+'Table 6b'!G37</f>
        <v>6992</v>
      </c>
      <c r="G17" s="371">
        <f>'Table 6a'!G17+'Table 6b'!H37</f>
        <v>7114</v>
      </c>
      <c r="H17" s="370">
        <f>'Table 6a'!H17+'Table 6b'!I37</f>
        <v>7258</v>
      </c>
      <c r="I17" s="1028">
        <f>'Table 6a'!I17+'Table 6b'!J37</f>
        <v>7671</v>
      </c>
      <c r="J17" s="198">
        <f t="shared" si="0"/>
        <v>0.55000000000000004</v>
      </c>
      <c r="K17" s="9">
        <f>'Table 6a'!K17+'Table 6b'!M37</f>
        <v>0.31</v>
      </c>
      <c r="L17" s="884">
        <f>'Table 6a'!L17+'Table 6b'!N37</f>
        <v>0</v>
      </c>
      <c r="M17" s="53">
        <f>'Table 6a'!M17+'Table 6b'!O37</f>
        <v>0.31</v>
      </c>
      <c r="N17" s="9">
        <f>'Table 6a'!N17+'Table 6b'!P37</f>
        <v>0.3</v>
      </c>
      <c r="O17" s="884">
        <f>'Table 6a'!O17+'Table 6b'!Q37</f>
        <v>0</v>
      </c>
      <c r="P17" s="53">
        <f>'Table 6a'!P17+'Table 6b'!R37</f>
        <v>0.3</v>
      </c>
      <c r="Q17" s="9">
        <f>'Table 6a'!Q17+'Table 6b'!S37</f>
        <v>0.3</v>
      </c>
      <c r="R17" s="884">
        <f>'Table 6a'!R17+'Table 6b'!T37</f>
        <v>0</v>
      </c>
      <c r="S17" s="53">
        <f>'Table 6a'!S17+'Table 6b'!U37</f>
        <v>0.3</v>
      </c>
      <c r="T17" s="9">
        <f>'Table 6a'!T17+'Table 6b'!V37</f>
        <v>0.38</v>
      </c>
      <c r="U17" s="321">
        <f>'Table 6a'!U17+'Table 6b'!W37</f>
        <v>0</v>
      </c>
      <c r="V17" s="11">
        <f>'Table 6a'!V17+'Table 6b'!X37</f>
        <v>0.38</v>
      </c>
      <c r="W17" s="9">
        <f>'Table 6a'!W17+'Table 6b'!Y37</f>
        <v>0.39</v>
      </c>
      <c r="X17" s="884">
        <f>'Table 6a'!X17+'Table 6b'!Z37</f>
        <v>0</v>
      </c>
      <c r="Y17" s="53">
        <f>'Table 6a'!Y17+'Table 6b'!AA37</f>
        <v>0.39</v>
      </c>
      <c r="Z17" s="9">
        <f>'Table 6a'!Z17+'Table 6b'!AB37</f>
        <v>0.39</v>
      </c>
      <c r="AA17" s="321">
        <f>'Table 6a'!AA17+'Table 6b'!AC37</f>
        <v>0</v>
      </c>
      <c r="AB17" s="11">
        <f>'Table 6a'!AB17+'Table 6b'!AD37</f>
        <v>0.39</v>
      </c>
      <c r="AC17" s="1208">
        <f>'Table 6a'!AC17+'Table 6b'!AE37</f>
        <v>0.4</v>
      </c>
      <c r="AD17" s="10">
        <f>'Table 6a'!AD17+'Table 6b'!AF37</f>
        <v>0</v>
      </c>
      <c r="AE17" s="11">
        <f>'Table 6a'!AE17+'Table 6b'!AG37</f>
        <v>0.4</v>
      </c>
      <c r="AF17" s="988">
        <f t="shared" si="1"/>
        <v>0.28999999999999998</v>
      </c>
      <c r="AG17" s="47">
        <f>'Table 6a'!AH17+'Table 6b'!AJ37</f>
        <v>0.42</v>
      </c>
      <c r="AH17" s="352">
        <f>'Table 6a'!AI17+'Table 6b'!AK37</f>
        <v>0</v>
      </c>
      <c r="AI17" s="15">
        <f>'Table 6a'!AJ17+'Table 6b'!AL37</f>
        <v>0.42</v>
      </c>
      <c r="AK17" s="372">
        <f t="shared" si="2"/>
        <v>2707</v>
      </c>
      <c r="AL17" s="1360">
        <f t="shared" si="3"/>
        <v>0.09</v>
      </c>
      <c r="AM17" s="1" t="s">
        <v>36</v>
      </c>
    </row>
    <row r="18" spans="1:39">
      <c r="A18" s="364" t="s">
        <v>25</v>
      </c>
      <c r="B18" s="729" t="s">
        <v>17</v>
      </c>
      <c r="C18" s="372">
        <f>'Table 6a'!C18</f>
        <v>14033</v>
      </c>
      <c r="D18" s="370">
        <f>'Table 6a'!D18</f>
        <v>14994</v>
      </c>
      <c r="E18" s="371">
        <f>'Table 6a'!E18</f>
        <v>15628</v>
      </c>
      <c r="F18" s="370">
        <f>'Table 6a'!F18</f>
        <v>16204</v>
      </c>
      <c r="G18" s="371">
        <f>'Table 6a'!G18</f>
        <v>16751</v>
      </c>
      <c r="H18" s="370">
        <f>'Table 6a'!H18</f>
        <v>17234</v>
      </c>
      <c r="I18" s="1028">
        <f>'Table 6a'!I18</f>
        <v>17734</v>
      </c>
      <c r="J18" s="1865">
        <f t="shared" si="0"/>
        <v>0.26</v>
      </c>
      <c r="K18" s="923">
        <f>'Table 6a'!K18</f>
        <v>0.98</v>
      </c>
      <c r="L18" s="1866">
        <f>'Table 6a'!L18</f>
        <v>0</v>
      </c>
      <c r="M18" s="358">
        <f>'Table 6a'!M18</f>
        <v>0.98</v>
      </c>
      <c r="N18" s="923">
        <f>'Table 6a'!N18</f>
        <v>1.05</v>
      </c>
      <c r="O18" s="1866">
        <f>'Table 6a'!O18</f>
        <v>0</v>
      </c>
      <c r="P18" s="358">
        <f>'Table 6a'!P18</f>
        <v>1.05</v>
      </c>
      <c r="Q18" s="923">
        <f>'Table 6a'!Q18</f>
        <v>1.0900000000000001</v>
      </c>
      <c r="R18" s="1866">
        <f>'Table 6a'!R18</f>
        <v>0</v>
      </c>
      <c r="S18" s="358">
        <f>'Table 6a'!S18</f>
        <v>1.0900000000000001</v>
      </c>
      <c r="T18" s="923">
        <f>'Table 6a'!T18</f>
        <v>1.1299999999999999</v>
      </c>
      <c r="U18" s="1867">
        <f>'Table 6a'!U18</f>
        <v>0</v>
      </c>
      <c r="V18" s="1868">
        <f>'Table 6a'!V18</f>
        <v>1.1299999999999999</v>
      </c>
      <c r="W18" s="923">
        <f>'Table 6a'!W18</f>
        <v>1.17</v>
      </c>
      <c r="X18" s="1866">
        <f>'Table 6a'!X18</f>
        <v>0</v>
      </c>
      <c r="Y18" s="358">
        <f>'Table 6a'!Y18</f>
        <v>1.17</v>
      </c>
      <c r="Z18" s="923">
        <f>'Table 6a'!Z18</f>
        <v>1.21</v>
      </c>
      <c r="AA18" s="1867">
        <f>'Table 6a'!AA18</f>
        <v>0</v>
      </c>
      <c r="AB18" s="1868">
        <f>'Table 6a'!AB18</f>
        <v>1.21</v>
      </c>
      <c r="AC18" s="1869">
        <f>'Table 6a'!AC18</f>
        <v>1.24</v>
      </c>
      <c r="AD18" s="1867">
        <f>'Table 6a'!AD18</f>
        <v>0</v>
      </c>
      <c r="AE18" s="1868">
        <f>'Table 6a'!AE18</f>
        <v>1.24</v>
      </c>
      <c r="AF18" s="988">
        <f t="shared" si="1"/>
        <v>0.27</v>
      </c>
      <c r="AG18" s="820">
        <f>'Table 6a'!AH18</f>
        <v>1.31</v>
      </c>
      <c r="AH18" s="1870">
        <f>'Table 6a'!AI18</f>
        <v>0</v>
      </c>
      <c r="AI18" s="1002">
        <f>'Table 6a'!AJ18</f>
        <v>1.31</v>
      </c>
      <c r="AK18" s="718">
        <f t="shared" si="2"/>
        <v>3701</v>
      </c>
      <c r="AL18" s="1616">
        <f t="shared" si="3"/>
        <v>0.26</v>
      </c>
    </row>
    <row r="19" spans="1:39">
      <c r="A19" s="364" t="s">
        <v>26</v>
      </c>
      <c r="B19" s="730" t="s">
        <v>17</v>
      </c>
      <c r="C19" s="372">
        <f>'Table 6a'!C19+'Table 6b'!D41</f>
        <v>7065</v>
      </c>
      <c r="D19" s="370">
        <f>'Table 6a'!D19+'Table 6b'!E41</f>
        <v>6869</v>
      </c>
      <c r="E19" s="371">
        <f>'Table 6a'!E19+'Table 6b'!F41</f>
        <v>7026</v>
      </c>
      <c r="F19" s="370">
        <f>'Table 6a'!F19+'Table 6b'!G41</f>
        <v>7103</v>
      </c>
      <c r="G19" s="371">
        <f>'Table 6a'!G19+'Table 6b'!H41</f>
        <v>7103</v>
      </c>
      <c r="H19" s="370">
        <f>'Table 6a'!H19+'Table 6b'!I41</f>
        <v>7103</v>
      </c>
      <c r="I19" s="1028">
        <f>'Table 6a'!I19+'Table 6b'!J41</f>
        <v>7169</v>
      </c>
      <c r="J19" s="1025">
        <f t="shared" si="0"/>
        <v>0.01</v>
      </c>
      <c r="K19" s="883">
        <f>'Table 6a'!K19+'Table 6b'!M41</f>
        <v>0.51</v>
      </c>
      <c r="L19" s="884">
        <f>'Table 6a'!L19+'Table 6b'!N41</f>
        <v>0</v>
      </c>
      <c r="M19" s="392">
        <f>'Table 6a'!M19+'Table 6b'!O41</f>
        <v>0.51</v>
      </c>
      <c r="N19" s="883">
        <f>'Table 6a'!N19+'Table 6b'!P41</f>
        <v>0.49</v>
      </c>
      <c r="O19" s="884">
        <f>'Table 6a'!O19+'Table 6b'!Q41</f>
        <v>0</v>
      </c>
      <c r="P19" s="392">
        <f>'Table 6a'!P19+'Table 6b'!R41</f>
        <v>0.49</v>
      </c>
      <c r="Q19" s="883">
        <f>'Table 6a'!Q19+'Table 6b'!S41</f>
        <v>0.5</v>
      </c>
      <c r="R19" s="884">
        <f>'Table 6a'!R19+'Table 6b'!T41</f>
        <v>0</v>
      </c>
      <c r="S19" s="392">
        <f>'Table 6a'!S19+'Table 6b'!U41</f>
        <v>0.5</v>
      </c>
      <c r="T19" s="883">
        <f>'Table 6a'!T19+'Table 6b'!V41</f>
        <v>0.5</v>
      </c>
      <c r="U19" s="321">
        <f>'Table 6a'!U19+'Table 6b'!W41</f>
        <v>0</v>
      </c>
      <c r="V19" s="914">
        <f>'Table 6a'!V19+'Table 6b'!X41</f>
        <v>0.5</v>
      </c>
      <c r="W19" s="883">
        <f>'Table 6a'!W19+'Table 6b'!Y41</f>
        <v>0.5</v>
      </c>
      <c r="X19" s="884">
        <f>'Table 6a'!X19+'Table 6b'!Z41</f>
        <v>0</v>
      </c>
      <c r="Y19" s="392">
        <f>'Table 6a'!Y19+'Table 6b'!AA41</f>
        <v>0.5</v>
      </c>
      <c r="Z19" s="883">
        <f>'Table 6a'!Z19+'Table 6b'!AB41</f>
        <v>0.5</v>
      </c>
      <c r="AA19" s="321">
        <f>'Table 6a'!AA19+'Table 6b'!AC41</f>
        <v>0</v>
      </c>
      <c r="AB19" s="914">
        <f>'Table 6a'!AB19+'Table 6b'!AD41</f>
        <v>0.5</v>
      </c>
      <c r="AC19" s="1528">
        <f>'Table 6a'!AC19+'Table 6b'!AE41</f>
        <v>0.51</v>
      </c>
      <c r="AD19" s="321">
        <f>'Table 6a'!AD19+'Table 6b'!AF41</f>
        <v>0</v>
      </c>
      <c r="AE19" s="914">
        <f>'Table 6a'!AE19+'Table 6b'!AG41</f>
        <v>0.51</v>
      </c>
      <c r="AF19" s="988">
        <f t="shared" si="1"/>
        <v>0</v>
      </c>
      <c r="AG19" s="823">
        <f>'Table 6a'!AH19+'Table 6b'!AJ41</f>
        <v>0.54</v>
      </c>
      <c r="AH19" s="352">
        <f>'Table 6a'!AI19+'Table 6b'!AK41</f>
        <v>0</v>
      </c>
      <c r="AI19" s="830">
        <f>'Table 6a'!AJ19+'Table 6b'!AL41</f>
        <v>0.54</v>
      </c>
      <c r="AK19" s="394">
        <f t="shared" si="2"/>
        <v>104</v>
      </c>
      <c r="AL19" s="1337">
        <f t="shared" si="3"/>
        <v>0</v>
      </c>
    </row>
    <row r="20" spans="1:39">
      <c r="A20" s="365" t="s">
        <v>27</v>
      </c>
      <c r="B20" s="1938" t="s">
        <v>15</v>
      </c>
      <c r="C20" s="372">
        <f>'Table 6a'!C20+'Table 6b'!D44</f>
        <v>8433</v>
      </c>
      <c r="D20" s="370">
        <f>'Table 6a'!D20+'Table 6b'!E44</f>
        <v>9538</v>
      </c>
      <c r="E20" s="371">
        <f>'Table 6a'!E20+'Table 6b'!F44</f>
        <v>11516</v>
      </c>
      <c r="F20" s="370">
        <f>'Table 6a'!F20+'Table 6b'!G44</f>
        <v>12355</v>
      </c>
      <c r="G20" s="371">
        <f>'Table 6a'!G20+'Table 6b'!H44</f>
        <v>13436</v>
      </c>
      <c r="H20" s="370">
        <f>'Table 6a'!H20+'Table 6b'!I44</f>
        <v>14311</v>
      </c>
      <c r="I20" s="1028">
        <f>'Table 6a'!I20+'Table 6b'!J44</f>
        <v>15120</v>
      </c>
      <c r="J20" s="198">
        <f t="shared" si="0"/>
        <v>0.79</v>
      </c>
      <c r="K20" s="9">
        <f>'Table 6a'!K20+'Table 6b'!M44</f>
        <v>3.87</v>
      </c>
      <c r="L20" s="884">
        <f>'Table 6a'!L20+'Table 6b'!N44</f>
        <v>0</v>
      </c>
      <c r="M20" s="392">
        <f>'Table 6a'!M20+'Table 6b'!O44</f>
        <v>3.87</v>
      </c>
      <c r="N20" s="9">
        <f>'Table 6a'!N20+'Table 6b'!P44</f>
        <v>1.49</v>
      </c>
      <c r="O20" s="884">
        <f>'Table 6a'!O20+'Table 6b'!Q44</f>
        <v>0</v>
      </c>
      <c r="P20" s="392">
        <f>'Table 6a'!P20+'Table 6b'!R44</f>
        <v>1.49</v>
      </c>
      <c r="Q20" s="9">
        <f>'Table 6a'!Q20+'Table 6b'!S44</f>
        <v>1.72</v>
      </c>
      <c r="R20" s="884">
        <f>'Table 6a'!R20+'Table 6b'!T44</f>
        <v>0</v>
      </c>
      <c r="S20" s="392">
        <f>'Table 6a'!S20+'Table 6b'!U44</f>
        <v>1.72</v>
      </c>
      <c r="T20" s="9">
        <f>'Table 6a'!T20+'Table 6b'!V44</f>
        <v>1.85</v>
      </c>
      <c r="U20" s="321">
        <f>'Table 6a'!U20+'Table 6b'!W44</f>
        <v>0</v>
      </c>
      <c r="V20" s="914">
        <f>'Table 6a'!V20+'Table 6b'!X44</f>
        <v>1.85</v>
      </c>
      <c r="W20" s="9">
        <f>'Table 6a'!W20+'Table 6b'!Y44</f>
        <v>2.0299999999999998</v>
      </c>
      <c r="X20" s="884">
        <f>'Table 6a'!X20+'Table 6b'!Z44</f>
        <v>0</v>
      </c>
      <c r="Y20" s="392">
        <f>'Table 6a'!Y20+'Table 6b'!AA44</f>
        <v>2.0299999999999998</v>
      </c>
      <c r="Z20" s="9">
        <f>'Table 6a'!Z20+'Table 6b'!AB44</f>
        <v>2.16</v>
      </c>
      <c r="AA20" s="321">
        <f>'Table 6a'!AA20+'Table 6b'!AC44</f>
        <v>0</v>
      </c>
      <c r="AB20" s="914">
        <f>'Table 6a'!AB20+'Table 6b'!AD44</f>
        <v>2.16</v>
      </c>
      <c r="AC20" s="1528">
        <f>'Table 6a'!AC20+'Table 6b'!AE44</f>
        <v>2.2799999999999998</v>
      </c>
      <c r="AD20" s="321">
        <f>'Table 6a'!AD20+'Table 6b'!AF44</f>
        <v>0</v>
      </c>
      <c r="AE20" s="914">
        <f>'Table 6a'!AE20+'Table 6b'!AG44</f>
        <v>2.2799999999999998</v>
      </c>
      <c r="AF20" s="988">
        <f t="shared" si="1"/>
        <v>-0.41</v>
      </c>
      <c r="AG20" s="823">
        <f>'Table 6a'!AH20+'Table 6b'!AJ44</f>
        <v>2.42</v>
      </c>
      <c r="AH20" s="352">
        <f>'Table 6a'!AI20+'Table 6b'!AK44</f>
        <v>0</v>
      </c>
      <c r="AI20" s="830">
        <f>'Table 6a'!AJ20+'Table 6b'!AL44</f>
        <v>2.42</v>
      </c>
      <c r="AK20" s="372">
        <f t="shared" si="2"/>
        <v>6687</v>
      </c>
      <c r="AL20" s="1337">
        <f t="shared" si="3"/>
        <v>-1.59</v>
      </c>
    </row>
    <row r="21" spans="1:39">
      <c r="A21" s="365" t="s">
        <v>28</v>
      </c>
      <c r="B21" s="1938" t="s">
        <v>15</v>
      </c>
      <c r="C21" s="372">
        <f>'Table 6a'!C21+'Table 6b'!D56</f>
        <v>56398</v>
      </c>
      <c r="D21" s="370">
        <f>'Table 6a'!D21+'Table 6b'!E56</f>
        <v>56295</v>
      </c>
      <c r="E21" s="371">
        <f>'Table 6a'!E21+'Table 6b'!F56</f>
        <v>56300</v>
      </c>
      <c r="F21" s="370">
        <f>'Table 6a'!F21+'Table 6b'!G56</f>
        <v>56304</v>
      </c>
      <c r="G21" s="371">
        <f>'Table 6a'!G21+'Table 6b'!H56</f>
        <v>56310</v>
      </c>
      <c r="H21" s="370">
        <f>'Table 6a'!H21+'Table 6b'!I56</f>
        <v>56317</v>
      </c>
      <c r="I21" s="1028">
        <f>'Table 6a'!I21+'Table 6b'!J56</f>
        <v>56324</v>
      </c>
      <c r="J21" s="198">
        <f t="shared" si="0"/>
        <v>0</v>
      </c>
      <c r="K21" s="9">
        <f>'Table 6a'!K21+'Table 6b'!M56</f>
        <v>2.5499999999999998</v>
      </c>
      <c r="L21" s="884">
        <f>'Table 6a'!L21+'Table 6b'!N56</f>
        <v>0</v>
      </c>
      <c r="M21" s="392">
        <f>'Table 6a'!M21+'Table 6b'!O56</f>
        <v>2.5499999999999998</v>
      </c>
      <c r="N21" s="9">
        <f>'Table 6a'!N21+'Table 6b'!P56</f>
        <v>3.24</v>
      </c>
      <c r="O21" s="884">
        <f>'Table 6a'!O21+'Table 6b'!Q56</f>
        <v>0</v>
      </c>
      <c r="P21" s="392">
        <f>'Table 6a'!P21+'Table 6b'!R56</f>
        <v>3.24</v>
      </c>
      <c r="Q21" s="9">
        <f>'Table 6a'!Q21+'Table 6b'!S56</f>
        <v>3.24</v>
      </c>
      <c r="R21" s="884">
        <f>'Table 6a'!R21+'Table 6b'!T56</f>
        <v>0</v>
      </c>
      <c r="S21" s="392">
        <f>'Table 6a'!S21+'Table 6b'!U56</f>
        <v>3.24</v>
      </c>
      <c r="T21" s="9">
        <f>'Table 6a'!T21+'Table 6b'!V56</f>
        <v>3.24</v>
      </c>
      <c r="U21" s="321">
        <f>'Table 6a'!U21+'Table 6b'!W56</f>
        <v>0</v>
      </c>
      <c r="V21" s="914">
        <f>'Table 6a'!V21+'Table 6b'!X56</f>
        <v>3.24</v>
      </c>
      <c r="W21" s="9">
        <f>'Table 6a'!W21+'Table 6b'!Y56</f>
        <v>3.24</v>
      </c>
      <c r="X21" s="884">
        <f>'Table 6a'!X21+'Table 6b'!Z56</f>
        <v>0</v>
      </c>
      <c r="Y21" s="392">
        <f>'Table 6a'!Y21+'Table 6b'!AA56</f>
        <v>3.24</v>
      </c>
      <c r="Z21" s="9">
        <f>'Table 6a'!Z21+'Table 6b'!AB56</f>
        <v>3.24</v>
      </c>
      <c r="AA21" s="321">
        <f>'Table 6a'!AA21+'Table 6b'!AC56</f>
        <v>0</v>
      </c>
      <c r="AB21" s="914">
        <f>'Table 6a'!AB21+'Table 6b'!AD56</f>
        <v>3.24</v>
      </c>
      <c r="AC21" s="1528">
        <f>'Table 6a'!AC21+'Table 6b'!AE56</f>
        <v>3.24</v>
      </c>
      <c r="AD21" s="321">
        <f>'Table 6a'!AD21+'Table 6b'!AF56</f>
        <v>0</v>
      </c>
      <c r="AE21" s="914">
        <f>'Table 6a'!AE21+'Table 6b'!AG56</f>
        <v>3.24</v>
      </c>
      <c r="AF21" s="988">
        <f t="shared" si="1"/>
        <v>0.27</v>
      </c>
      <c r="AG21" s="823">
        <f>'Table 6a'!AH21+'Table 6b'!AJ56</f>
        <v>3.43</v>
      </c>
      <c r="AH21" s="352">
        <f>'Table 6a'!AI21+'Table 6b'!AK56</f>
        <v>0</v>
      </c>
      <c r="AI21" s="830">
        <f>'Table 6a'!AJ21+'Table 6b'!AL56</f>
        <v>3.43</v>
      </c>
      <c r="AK21" s="372">
        <f t="shared" si="2"/>
        <v>-74</v>
      </c>
      <c r="AL21" s="1337">
        <f t="shared" si="3"/>
        <v>0.69</v>
      </c>
    </row>
    <row r="22" spans="1:39">
      <c r="A22" s="365" t="s">
        <v>29</v>
      </c>
      <c r="B22" s="1938" t="s">
        <v>15</v>
      </c>
      <c r="C22" s="372">
        <f>'Table 6a'!C22+'Table 6b'!D61</f>
        <v>43297</v>
      </c>
      <c r="D22" s="370">
        <f>'Table 6a'!D22+'Table 6b'!E61</f>
        <v>52458</v>
      </c>
      <c r="E22" s="371">
        <f>'Table 6a'!E22+'Table 6b'!F61</f>
        <v>61397</v>
      </c>
      <c r="F22" s="370">
        <f>'Table 6a'!F22+'Table 6b'!G61</f>
        <v>70720</v>
      </c>
      <c r="G22" s="371">
        <f>'Table 6a'!G22+'Table 6b'!H61</f>
        <v>78306</v>
      </c>
      <c r="H22" s="370">
        <f>'Table 6a'!H22+'Table 6b'!I61</f>
        <v>86320</v>
      </c>
      <c r="I22" s="1028">
        <f>'Table 6a'!I22+'Table 6b'!J61</f>
        <v>93749</v>
      </c>
      <c r="J22" s="198">
        <f t="shared" si="0"/>
        <v>1.17</v>
      </c>
      <c r="K22" s="9">
        <f>'Table 6a'!K22+'Table 6b'!M61</f>
        <v>2.78</v>
      </c>
      <c r="L22" s="884">
        <f>'Table 6a'!L22+'Table 6b'!N61</f>
        <v>0</v>
      </c>
      <c r="M22" s="392">
        <f>'Table 6a'!M22+'Table 6b'!O61</f>
        <v>2.78</v>
      </c>
      <c r="N22" s="9">
        <f>'Table 6a'!N22+'Table 6b'!P61</f>
        <v>4.6100000000000003</v>
      </c>
      <c r="O22" s="884">
        <f>'Table 6a'!O22+'Table 6b'!Q61</f>
        <v>0</v>
      </c>
      <c r="P22" s="392">
        <f>'Table 6a'!P22+'Table 6b'!R61</f>
        <v>4.6100000000000003</v>
      </c>
      <c r="Q22" s="9">
        <f>'Table 6a'!Q22+'Table 6b'!S61</f>
        <v>5.4</v>
      </c>
      <c r="R22" s="884">
        <f>'Table 6a'!R22+'Table 6b'!T61</f>
        <v>0</v>
      </c>
      <c r="S22" s="392">
        <f>'Table 6a'!S22+'Table 6b'!U61</f>
        <v>5.4</v>
      </c>
      <c r="T22" s="9">
        <f>'Table 6a'!T22+'Table 6b'!V61</f>
        <v>6.22</v>
      </c>
      <c r="U22" s="321">
        <f>'Table 6a'!U22+'Table 6b'!W61</f>
        <v>0</v>
      </c>
      <c r="V22" s="914">
        <f>'Table 6a'!V22+'Table 6b'!X61</f>
        <v>6.22</v>
      </c>
      <c r="W22" s="9">
        <f>'Table 6a'!W22+'Table 6b'!Y61</f>
        <v>6.89</v>
      </c>
      <c r="X22" s="884">
        <f>'Table 6a'!X22+'Table 6b'!Z61</f>
        <v>0</v>
      </c>
      <c r="Y22" s="392">
        <f>'Table 6a'!Y22+'Table 6b'!AA61</f>
        <v>6.89</v>
      </c>
      <c r="Z22" s="9">
        <f>'Table 6a'!Z22+'Table 6b'!AB61</f>
        <v>7.6</v>
      </c>
      <c r="AA22" s="321">
        <f>'Table 6a'!AA22+'Table 6b'!AC61</f>
        <v>0</v>
      </c>
      <c r="AB22" s="914">
        <f>'Table 6a'!AB22+'Table 6b'!AD61</f>
        <v>7.6</v>
      </c>
      <c r="AC22" s="1528">
        <f>'Table 6a'!AC22+'Table 6b'!AE61</f>
        <v>8.25</v>
      </c>
      <c r="AD22" s="321">
        <f>'Table 6a'!AD22+'Table 6b'!AF61</f>
        <v>0</v>
      </c>
      <c r="AE22" s="914">
        <f>'Table 6a'!AE22+'Table 6b'!AG61</f>
        <v>8.25</v>
      </c>
      <c r="AF22" s="988">
        <f t="shared" si="1"/>
        <v>1.97</v>
      </c>
      <c r="AG22" s="823">
        <f>'Table 6a'!AH22+'Table 6b'!AJ61</f>
        <v>8.74</v>
      </c>
      <c r="AH22" s="352">
        <f>'Table 6a'!AI22+'Table 6b'!AK61</f>
        <v>0</v>
      </c>
      <c r="AI22" s="830">
        <f>'Table 6a'!AJ22+'Table 6b'!AL61</f>
        <v>8.74</v>
      </c>
      <c r="AK22" s="372">
        <f t="shared" si="2"/>
        <v>50452</v>
      </c>
      <c r="AL22" s="1337">
        <f t="shared" si="3"/>
        <v>5.47</v>
      </c>
    </row>
    <row r="23" spans="1:39">
      <c r="A23" s="365" t="s">
        <v>30</v>
      </c>
      <c r="B23" s="1937" t="s">
        <v>17</v>
      </c>
      <c r="C23" s="394">
        <f>'Table 6a'!C23+'Table 6b'!D66</f>
        <v>34041</v>
      </c>
      <c r="D23" s="370">
        <f>'Table 6a'!D23+'Table 6b'!E66</f>
        <v>35774</v>
      </c>
      <c r="E23" s="371">
        <f>'Table 6a'!E23+'Table 6b'!F66</f>
        <v>37338</v>
      </c>
      <c r="F23" s="370">
        <f>'Table 6a'!F23+'Table 6b'!G66</f>
        <v>38872</v>
      </c>
      <c r="G23" s="371">
        <f>'Table 6a'!G23+'Table 6b'!H66</f>
        <v>40087</v>
      </c>
      <c r="H23" s="370">
        <f>'Table 6a'!H23+'Table 6b'!I66</f>
        <v>41234</v>
      </c>
      <c r="I23" s="1028">
        <f>'Table 6a'!I23+'Table 6b'!J66</f>
        <v>42261</v>
      </c>
      <c r="J23" s="1025">
        <f t="shared" si="0"/>
        <v>0.24</v>
      </c>
      <c r="K23" s="883">
        <f>'Table 6a'!K23+'Table 6b'!M66</f>
        <v>2.2200000000000002</v>
      </c>
      <c r="L23" s="884">
        <f>'Table 6a'!L23+'Table 6b'!N66</f>
        <v>0</v>
      </c>
      <c r="M23" s="392">
        <f>'Table 6a'!M23+'Table 6b'!O66</f>
        <v>2.2200000000000002</v>
      </c>
      <c r="N23" s="883">
        <f>'Table 6a'!N23+'Table 6b'!P66</f>
        <v>2.34</v>
      </c>
      <c r="O23" s="884">
        <f>'Table 6a'!O23+'Table 6b'!Q66</f>
        <v>0</v>
      </c>
      <c r="P23" s="392">
        <f>'Table 6a'!P23+'Table 6b'!R66</f>
        <v>2.34</v>
      </c>
      <c r="Q23" s="883">
        <f>'Table 6a'!Q23+'Table 6b'!S66</f>
        <v>2.44</v>
      </c>
      <c r="R23" s="884">
        <f>'Table 6a'!R23+'Table 6b'!T66</f>
        <v>0</v>
      </c>
      <c r="S23" s="392">
        <f>'Table 6a'!S23+'Table 6b'!U66</f>
        <v>2.44</v>
      </c>
      <c r="T23" s="883">
        <f>'Table 6a'!T23+'Table 6b'!V66</f>
        <v>2.54</v>
      </c>
      <c r="U23" s="321">
        <f>'Table 6a'!U23+'Table 6b'!W66</f>
        <v>0</v>
      </c>
      <c r="V23" s="914">
        <f>'Table 6a'!V23+'Table 6b'!X66</f>
        <v>2.54</v>
      </c>
      <c r="W23" s="883">
        <f>'Table 6a'!W23+'Table 6b'!Y66</f>
        <v>2.62</v>
      </c>
      <c r="X23" s="884">
        <f>'Table 6a'!X23+'Table 6b'!Z66</f>
        <v>0</v>
      </c>
      <c r="Y23" s="393">
        <f>'Table 6a'!Y23+'Table 6b'!AA66</f>
        <v>2.62</v>
      </c>
      <c r="Z23" s="883">
        <f>'Table 6a'!Z23+'Table 6b'!AB66</f>
        <v>2.69</v>
      </c>
      <c r="AA23" s="321">
        <f>'Table 6a'!AA23+'Table 6b'!AC66</f>
        <v>0</v>
      </c>
      <c r="AB23" s="944">
        <f>'Table 6a'!AB23+'Table 6b'!AD66</f>
        <v>2.69</v>
      </c>
      <c r="AC23" s="1529">
        <f>'Table 6a'!AC23+'Table 6b'!AE66</f>
        <v>2.76</v>
      </c>
      <c r="AD23" s="352">
        <f>'Table 6a'!AD23+'Table 6b'!AF66</f>
        <v>0</v>
      </c>
      <c r="AE23" s="944">
        <f>'Table 6a'!AE23+'Table 6b'!AG66</f>
        <v>2.76</v>
      </c>
      <c r="AF23" s="988">
        <f t="shared" si="1"/>
        <v>0.24</v>
      </c>
      <c r="AG23" s="823">
        <f>'Table 6a'!AH23+'Table 6b'!AJ66</f>
        <v>2.92</v>
      </c>
      <c r="AH23" s="352">
        <f>'Table 6a'!AI23+'Table 6b'!AK66</f>
        <v>0</v>
      </c>
      <c r="AI23" s="830">
        <f>'Table 6a'!AJ23+'Table 6b'!AL66</f>
        <v>2.92</v>
      </c>
      <c r="AK23" s="391">
        <f t="shared" si="2"/>
        <v>8220</v>
      </c>
      <c r="AL23" s="1617">
        <f t="shared" si="3"/>
        <v>0.54</v>
      </c>
    </row>
    <row r="24" spans="1:39" ht="13.5" thickBot="1">
      <c r="A24" s="1040" t="s">
        <v>31</v>
      </c>
      <c r="B24" s="1939" t="s">
        <v>17</v>
      </c>
      <c r="C24" s="1019">
        <f>'Table 6a'!C24+'Table 6b'!D71</f>
        <v>9273</v>
      </c>
      <c r="D24" s="1940">
        <f>'Table 6a'!D24+'Table 6b'!E71</f>
        <v>8917</v>
      </c>
      <c r="E24" s="414">
        <f>'Table 6a'!E24+'Table 6b'!F71</f>
        <v>8982</v>
      </c>
      <c r="F24" s="1019">
        <f>'Table 6a'!F24+'Table 6b'!G71</f>
        <v>8982</v>
      </c>
      <c r="G24" s="414">
        <f>'Table 6a'!G24+'Table 6b'!H71</f>
        <v>9062</v>
      </c>
      <c r="H24" s="1019">
        <f>'Table 6a'!H24+'Table 6b'!I71</f>
        <v>9062</v>
      </c>
      <c r="I24" s="1033">
        <f>'Table 6a'!I24+'Table 6b'!J71</f>
        <v>9062</v>
      </c>
      <c r="J24" s="409">
        <f t="shared" si="0"/>
        <v>-0.02</v>
      </c>
      <c r="K24" s="156">
        <f>'Table 6a'!K24+'Table 6b'!M71</f>
        <v>0.67</v>
      </c>
      <c r="L24" s="658">
        <f>'Table 6a'!L24+'Table 6b'!N71</f>
        <v>0</v>
      </c>
      <c r="M24" s="411">
        <f>'Table 6a'!M24+'Table 6b'!O71</f>
        <v>0.67</v>
      </c>
      <c r="N24" s="156">
        <f>'Table 6a'!N24+'Table 6b'!P71</f>
        <v>0.65</v>
      </c>
      <c r="O24" s="658">
        <f>'Table 6a'!O24+'Table 6b'!Q71</f>
        <v>0</v>
      </c>
      <c r="P24" s="411">
        <f>'Table 6a'!P24+'Table 6b'!R71</f>
        <v>0.65</v>
      </c>
      <c r="Q24" s="156">
        <f>'Table 6a'!Q24+'Table 6b'!S71</f>
        <v>0.65</v>
      </c>
      <c r="R24" s="658">
        <f>'Table 6a'!R24+'Table 6b'!T71</f>
        <v>0</v>
      </c>
      <c r="S24" s="411">
        <f>'Table 6a'!S24+'Table 6b'!U71</f>
        <v>0.65</v>
      </c>
      <c r="T24" s="156">
        <f>'Table 6a'!T24+'Table 6b'!V71</f>
        <v>0.65</v>
      </c>
      <c r="U24" s="660">
        <f>'Table 6a'!U24+'Table 6b'!W71</f>
        <v>0</v>
      </c>
      <c r="V24" s="413">
        <f>'Table 6a'!V24+'Table 6b'!X71</f>
        <v>0.65</v>
      </c>
      <c r="W24" s="156">
        <f>'Table 6a'!W24+'Table 6b'!Y71</f>
        <v>0.66</v>
      </c>
      <c r="X24" s="658">
        <f>'Table 6a'!X24+'Table 6b'!Z71</f>
        <v>0</v>
      </c>
      <c r="Y24" s="1041">
        <f>'Table 6a'!Y24+'Table 6b'!AA71</f>
        <v>0.66</v>
      </c>
      <c r="Z24" s="156">
        <f>'Table 6a'!Z24+'Table 6b'!AB71</f>
        <v>0.66</v>
      </c>
      <c r="AA24" s="660">
        <f>'Table 6a'!AA24+'Table 6b'!AC71</f>
        <v>0</v>
      </c>
      <c r="AB24" s="1042">
        <f>'Table 6a'!AB24+'Table 6b'!AD71</f>
        <v>0.66</v>
      </c>
      <c r="AC24" s="1530">
        <f>'Table 6a'!AC24+'Table 6b'!AE71</f>
        <v>0.66</v>
      </c>
      <c r="AD24" s="441">
        <f>'Table 6a'!AD24+'Table 6b'!AF71</f>
        <v>0</v>
      </c>
      <c r="AE24" s="1042">
        <f>'Table 6a'!AE24+'Table 6b'!AG71</f>
        <v>0.66</v>
      </c>
      <c r="AF24" s="1043">
        <f t="shared" si="1"/>
        <v>-0.01</v>
      </c>
      <c r="AG24" s="136">
        <f>'Table 6a'!AH24+'Table 6b'!AJ71</f>
        <v>0.7</v>
      </c>
      <c r="AH24" s="441">
        <f>'Table 6a'!AI24+'Table 6b'!AK71</f>
        <v>0</v>
      </c>
      <c r="AI24" s="145">
        <f>'Table 6a'!AJ24+'Table 6b'!AL71</f>
        <v>0.7</v>
      </c>
      <c r="AK24" s="799">
        <f t="shared" si="2"/>
        <v>-211</v>
      </c>
      <c r="AL24" s="1618">
        <f t="shared" si="3"/>
        <v>-0.01</v>
      </c>
    </row>
    <row r="25" spans="1:39" s="22" customFormat="1" ht="14.25" thickTop="1" thickBot="1">
      <c r="A25" s="3369" t="s">
        <v>32</v>
      </c>
      <c r="B25" s="3370"/>
      <c r="C25" s="383">
        <f>C5+C8+C11+C14+C16+C17+C20+C21+C22</f>
        <v>420732</v>
      </c>
      <c r="D25" s="115">
        <f t="shared" ref="D25:I25" si="11">D5+D8+D11+D14+D16+D17+D20+D21+D22</f>
        <v>454207</v>
      </c>
      <c r="E25" s="64">
        <f t="shared" si="11"/>
        <v>490934</v>
      </c>
      <c r="F25" s="115">
        <f t="shared" si="11"/>
        <v>527997</v>
      </c>
      <c r="G25" s="64">
        <f t="shared" si="11"/>
        <v>552171</v>
      </c>
      <c r="H25" s="115">
        <f t="shared" si="11"/>
        <v>575140</v>
      </c>
      <c r="I25" s="1034">
        <f t="shared" si="11"/>
        <v>596171</v>
      </c>
      <c r="J25" s="438">
        <f t="shared" si="0"/>
        <v>0.42</v>
      </c>
      <c r="K25" s="385">
        <f t="shared" ref="K25:AB25" si="12">K5+K8+K11+K14+K16+K17+K20+K21+K22</f>
        <v>32.25</v>
      </c>
      <c r="L25" s="388">
        <f t="shared" si="12"/>
        <v>0</v>
      </c>
      <c r="M25" s="359">
        <f t="shared" si="12"/>
        <v>32.25</v>
      </c>
      <c r="N25" s="385">
        <f t="shared" si="12"/>
        <v>40.21</v>
      </c>
      <c r="O25" s="386">
        <f t="shared" si="12"/>
        <v>0</v>
      </c>
      <c r="P25" s="387">
        <f t="shared" si="12"/>
        <v>40.21</v>
      </c>
      <c r="Q25" s="385">
        <f t="shared" si="12"/>
        <v>43.59</v>
      </c>
      <c r="R25" s="388">
        <f t="shared" si="12"/>
        <v>0</v>
      </c>
      <c r="S25" s="359">
        <f t="shared" si="12"/>
        <v>43.59</v>
      </c>
      <c r="T25" s="385">
        <f t="shared" si="12"/>
        <v>46.81</v>
      </c>
      <c r="U25" s="388">
        <f t="shared" si="12"/>
        <v>0</v>
      </c>
      <c r="V25" s="359">
        <f t="shared" si="12"/>
        <v>46.81</v>
      </c>
      <c r="W25" s="385">
        <f t="shared" si="12"/>
        <v>49.12</v>
      </c>
      <c r="X25" s="386">
        <f t="shared" si="12"/>
        <v>0</v>
      </c>
      <c r="Y25" s="387">
        <f t="shared" si="12"/>
        <v>49.12</v>
      </c>
      <c r="Z25" s="385">
        <f t="shared" si="12"/>
        <v>51.21</v>
      </c>
      <c r="AA25" s="388">
        <f t="shared" si="12"/>
        <v>0</v>
      </c>
      <c r="AB25" s="389">
        <f t="shared" si="12"/>
        <v>51.21</v>
      </c>
      <c r="AC25" s="359">
        <f t="shared" ref="AC25:AE25" si="13">AC5+AC8+AC11+AC14+AC16+AC17+AC20+AC21+AC22</f>
        <v>53.12</v>
      </c>
      <c r="AD25" s="388">
        <f t="shared" si="13"/>
        <v>0</v>
      </c>
      <c r="AE25" s="389">
        <f t="shared" si="13"/>
        <v>53.12</v>
      </c>
      <c r="AF25" s="244">
        <f t="shared" si="1"/>
        <v>0.65</v>
      </c>
      <c r="AG25" s="385">
        <f t="shared" ref="AG25:AI25" si="14">AG5+AG8+AG11+AG14+AG16+AG17+AG20+AG21+AG22</f>
        <v>56.29</v>
      </c>
      <c r="AH25" s="386">
        <f t="shared" si="14"/>
        <v>0</v>
      </c>
      <c r="AI25" s="1039">
        <f t="shared" si="14"/>
        <v>56.29</v>
      </c>
      <c r="AK25" s="383">
        <f t="shared" si="2"/>
        <v>175439</v>
      </c>
      <c r="AL25" s="1619">
        <f t="shared" si="3"/>
        <v>20.87</v>
      </c>
    </row>
    <row r="26" spans="1:39" s="22" customFormat="1" ht="13.5" thickBot="1">
      <c r="A26" s="3371" t="s">
        <v>33</v>
      </c>
      <c r="B26" s="3372"/>
      <c r="C26" s="415">
        <f>C6+C9+C12+C15+C18+C19+C23+C24</f>
        <v>157343</v>
      </c>
      <c r="D26" s="416">
        <f t="shared" ref="D26:I26" si="15">D6+D9+D12+D15+D18+D19+D23+D24</f>
        <v>168156</v>
      </c>
      <c r="E26" s="417">
        <f t="shared" si="15"/>
        <v>179596</v>
      </c>
      <c r="F26" s="417">
        <f t="shared" si="15"/>
        <v>188316</v>
      </c>
      <c r="G26" s="417">
        <f t="shared" si="15"/>
        <v>198625</v>
      </c>
      <c r="H26" s="418">
        <f t="shared" si="15"/>
        <v>206135</v>
      </c>
      <c r="I26" s="420">
        <f t="shared" si="15"/>
        <v>212356</v>
      </c>
      <c r="J26" s="1044">
        <f t="shared" si="0"/>
        <v>0.35</v>
      </c>
      <c r="K26" s="396">
        <f t="shared" ref="K26:AB26" si="16">K6+K9+K12+K15+K18+K19+K23+K24</f>
        <v>9.5299999999999994</v>
      </c>
      <c r="L26" s="398">
        <f t="shared" si="16"/>
        <v>0</v>
      </c>
      <c r="M26" s="423">
        <f t="shared" si="16"/>
        <v>9.5299999999999994</v>
      </c>
      <c r="N26" s="401">
        <f t="shared" si="16"/>
        <v>10.16</v>
      </c>
      <c r="O26" s="424">
        <f t="shared" si="16"/>
        <v>0</v>
      </c>
      <c r="P26" s="421">
        <f t="shared" si="16"/>
        <v>10.16</v>
      </c>
      <c r="Q26" s="396">
        <f t="shared" si="16"/>
        <v>10.79</v>
      </c>
      <c r="R26" s="398">
        <f t="shared" si="16"/>
        <v>0</v>
      </c>
      <c r="S26" s="423">
        <f t="shared" si="16"/>
        <v>10.79</v>
      </c>
      <c r="T26" s="401">
        <f t="shared" si="16"/>
        <v>11.3</v>
      </c>
      <c r="U26" s="424">
        <f t="shared" si="16"/>
        <v>0</v>
      </c>
      <c r="V26" s="427">
        <f t="shared" si="16"/>
        <v>11.3</v>
      </c>
      <c r="W26" s="401">
        <f t="shared" si="16"/>
        <v>11.88</v>
      </c>
      <c r="X26" s="398">
        <f t="shared" si="16"/>
        <v>0</v>
      </c>
      <c r="Y26" s="429">
        <f t="shared" si="16"/>
        <v>11.88</v>
      </c>
      <c r="Z26" s="396">
        <f t="shared" si="16"/>
        <v>12.34</v>
      </c>
      <c r="AA26" s="424">
        <f t="shared" si="16"/>
        <v>0</v>
      </c>
      <c r="AB26" s="421">
        <f t="shared" si="16"/>
        <v>12.34</v>
      </c>
      <c r="AC26" s="427">
        <f t="shared" ref="AC26:AE26" si="17">AC6+AC9+AC12+AC15+AC18+AC19+AC23+AC24</f>
        <v>12.7</v>
      </c>
      <c r="AD26" s="424">
        <f t="shared" si="17"/>
        <v>0</v>
      </c>
      <c r="AE26" s="421">
        <f t="shared" si="17"/>
        <v>12.7</v>
      </c>
      <c r="AF26" s="237">
        <f t="shared" si="1"/>
        <v>0.33</v>
      </c>
      <c r="AG26" s="397">
        <f t="shared" ref="AG26:AI26" si="18">AG6+AG9+AG12+AG15+AG18+AG19+AG23+AG24</f>
        <v>13.35</v>
      </c>
      <c r="AH26" s="399">
        <f t="shared" si="18"/>
        <v>0</v>
      </c>
      <c r="AI26" s="430">
        <f t="shared" si="18"/>
        <v>13.35</v>
      </c>
      <c r="AJ26" s="1613"/>
      <c r="AK26" s="415">
        <f t="shared" si="2"/>
        <v>55013</v>
      </c>
      <c r="AL26" s="1620">
        <f t="shared" si="3"/>
        <v>3.17</v>
      </c>
    </row>
    <row r="27" spans="1:39" s="22" customFormat="1" ht="13.5" thickBot="1">
      <c r="A27" s="3375" t="s">
        <v>34</v>
      </c>
      <c r="B27" s="3376"/>
      <c r="C27" s="419">
        <f>C25+C26</f>
        <v>578075</v>
      </c>
      <c r="D27" s="306">
        <f t="shared" ref="D27:I27" si="19">D25+D26</f>
        <v>622363</v>
      </c>
      <c r="E27" s="65">
        <f t="shared" si="19"/>
        <v>670530</v>
      </c>
      <c r="F27" s="65">
        <f t="shared" si="19"/>
        <v>716313</v>
      </c>
      <c r="G27" s="65">
        <f t="shared" si="19"/>
        <v>750796</v>
      </c>
      <c r="H27" s="214">
        <f t="shared" si="19"/>
        <v>781275</v>
      </c>
      <c r="I27" s="1035">
        <f t="shared" si="19"/>
        <v>808527</v>
      </c>
      <c r="J27" s="1045">
        <f t="shared" si="0"/>
        <v>0.4</v>
      </c>
      <c r="K27" s="397">
        <f t="shared" ref="K27" si="20">K25+K26</f>
        <v>41.78</v>
      </c>
      <c r="L27" s="399">
        <f t="shared" ref="L27" si="21">L25+L26</f>
        <v>0</v>
      </c>
      <c r="M27" s="425">
        <f t="shared" ref="M27" si="22">M25+M26</f>
        <v>41.78</v>
      </c>
      <c r="N27" s="397">
        <f t="shared" ref="N27" si="23">N25+N26</f>
        <v>50.37</v>
      </c>
      <c r="O27" s="426">
        <f t="shared" ref="O27" si="24">O25+O26</f>
        <v>0</v>
      </c>
      <c r="P27" s="422">
        <f t="shared" ref="P27" si="25">P25+P26</f>
        <v>50.37</v>
      </c>
      <c r="Q27" s="400">
        <f t="shared" ref="Q27" si="26">Q25+Q26</f>
        <v>54.38</v>
      </c>
      <c r="R27" s="399">
        <f t="shared" ref="R27" si="27">R25+R26</f>
        <v>0</v>
      </c>
      <c r="S27" s="425">
        <f t="shared" ref="S27" si="28">S25+S26</f>
        <v>54.38</v>
      </c>
      <c r="T27" s="397">
        <f t="shared" ref="T27" si="29">T25+T26</f>
        <v>58.11</v>
      </c>
      <c r="U27" s="426">
        <f t="shared" ref="U27" si="30">U25+U26</f>
        <v>0</v>
      </c>
      <c r="V27" s="428">
        <f t="shared" ref="V27" si="31">V25+V26</f>
        <v>58.11</v>
      </c>
      <c r="W27" s="397">
        <f t="shared" ref="W27" si="32">W25+W26</f>
        <v>61</v>
      </c>
      <c r="X27" s="399">
        <f t="shared" ref="X27" si="33">X25+X26</f>
        <v>0</v>
      </c>
      <c r="Y27" s="430">
        <f t="shared" ref="Y27" si="34">Y25+Y26</f>
        <v>61</v>
      </c>
      <c r="Z27" s="400">
        <f t="shared" ref="Z27" si="35">Z25+Z26</f>
        <v>63.55</v>
      </c>
      <c r="AA27" s="426">
        <f t="shared" ref="AA27" si="36">AA25+AA26</f>
        <v>0</v>
      </c>
      <c r="AB27" s="422">
        <f t="shared" ref="AB27" si="37">AB25+AB26</f>
        <v>63.55</v>
      </c>
      <c r="AC27" s="428">
        <f t="shared" ref="AC27" si="38">AC25+AC26</f>
        <v>65.819999999999993</v>
      </c>
      <c r="AD27" s="426">
        <f t="shared" ref="AD27" si="39">AD25+AD26</f>
        <v>0</v>
      </c>
      <c r="AE27" s="422">
        <f t="shared" ref="AE27" si="40">AE25+AE26</f>
        <v>65.819999999999993</v>
      </c>
      <c r="AF27" s="237">
        <f t="shared" si="1"/>
        <v>0.57999999999999996</v>
      </c>
      <c r="AG27" s="439">
        <f t="shared" ref="AG27" si="41">AG25+AG26</f>
        <v>69.64</v>
      </c>
      <c r="AH27" s="26">
        <f t="shared" ref="AH27" si="42">AH25+AH26</f>
        <v>0</v>
      </c>
      <c r="AI27" s="27">
        <f t="shared" ref="AI27" si="43">AI25+AI26</f>
        <v>69.64</v>
      </c>
      <c r="AJ27" s="1613"/>
      <c r="AK27" s="419">
        <f t="shared" si="2"/>
        <v>230452</v>
      </c>
      <c r="AL27" s="1621">
        <f t="shared" si="3"/>
        <v>24.04</v>
      </c>
    </row>
    <row r="28" spans="1:39">
      <c r="A28" s="89" t="s">
        <v>35</v>
      </c>
    </row>
    <row r="29" spans="1:39">
      <c r="A29" s="1" t="s">
        <v>68</v>
      </c>
      <c r="V29" s="23" t="s">
        <v>36</v>
      </c>
    </row>
    <row r="30" spans="1:39">
      <c r="A30" s="1" t="s">
        <v>69</v>
      </c>
    </row>
    <row r="31" spans="1:39" ht="27" customHeight="1">
      <c r="A31" s="3304" t="s">
        <v>372</v>
      </c>
      <c r="B31" s="3304"/>
      <c r="C31" s="3304"/>
      <c r="D31" s="3304"/>
      <c r="E31" s="3304"/>
      <c r="F31" s="3304"/>
      <c r="G31" s="3304"/>
      <c r="H31" s="3304"/>
      <c r="I31" s="3304"/>
      <c r="J31" s="3304"/>
      <c r="K31" s="3304"/>
      <c r="L31" s="3304"/>
      <c r="M31" s="3304"/>
      <c r="N31" s="3304"/>
      <c r="O31" s="3304"/>
      <c r="P31" s="3304"/>
      <c r="Q31" s="3304"/>
      <c r="R31" s="3304"/>
      <c r="S31" s="3304"/>
      <c r="T31" s="3304"/>
      <c r="U31" s="3304"/>
      <c r="V31" s="3304"/>
      <c r="W31" s="3304"/>
      <c r="X31" s="3304"/>
      <c r="Y31" s="3304"/>
      <c r="Z31" s="3304"/>
      <c r="AA31" s="3304"/>
      <c r="AB31" s="3304"/>
      <c r="AC31" s="3304"/>
      <c r="AD31" s="3304"/>
      <c r="AE31" s="3304"/>
      <c r="AF31" s="3304"/>
      <c r="AG31" s="570"/>
      <c r="AH31" s="570"/>
      <c r="AI31" s="570"/>
      <c r="AJ31" s="570"/>
      <c r="AK31" s="570" t="s">
        <v>36</v>
      </c>
      <c r="AL31" s="570"/>
    </row>
    <row r="32" spans="1:39">
      <c r="A32" s="1" t="s">
        <v>373</v>
      </c>
      <c r="AG32" s="1" t="s">
        <v>36</v>
      </c>
    </row>
    <row r="34" spans="1:38" ht="13.5" thickBot="1">
      <c r="A34" s="1" t="s">
        <v>374</v>
      </c>
      <c r="B34" s="256"/>
      <c r="C34" s="256"/>
      <c r="D34" s="256"/>
      <c r="E34" s="256"/>
      <c r="F34" s="256"/>
      <c r="G34" s="256"/>
    </row>
    <row r="35" spans="1:38" ht="13.5" thickBot="1">
      <c r="A35" s="3181" t="s">
        <v>1</v>
      </c>
      <c r="B35" s="3362" t="s">
        <v>2</v>
      </c>
      <c r="C35" s="3300" t="s">
        <v>275</v>
      </c>
      <c r="D35" s="3365" t="s">
        <v>88</v>
      </c>
      <c r="E35" s="3366"/>
      <c r="F35" s="3366"/>
      <c r="G35" s="3366"/>
      <c r="H35" s="3366"/>
      <c r="I35" s="3366"/>
      <c r="J35" s="3300" t="s">
        <v>57</v>
      </c>
      <c r="K35" s="3262" t="s">
        <v>55</v>
      </c>
      <c r="L35" s="3262"/>
      <c r="M35" s="3263"/>
      <c r="N35" s="3261" t="s">
        <v>56</v>
      </c>
      <c r="O35" s="3262"/>
      <c r="P35" s="3262"/>
      <c r="Q35" s="3262"/>
      <c r="R35" s="3262"/>
      <c r="S35" s="3262"/>
      <c r="T35" s="3262"/>
      <c r="U35" s="3262"/>
      <c r="V35" s="3262"/>
      <c r="W35" s="3262"/>
      <c r="X35" s="3262"/>
      <c r="Y35" s="3262"/>
      <c r="Z35" s="3262"/>
      <c r="AA35" s="3262"/>
      <c r="AB35" s="3262"/>
      <c r="AC35" s="3262"/>
      <c r="AD35" s="3262"/>
      <c r="AE35" s="3263"/>
      <c r="AF35" s="3245" t="s">
        <v>57</v>
      </c>
      <c r="AG35" s="3261" t="s">
        <v>58</v>
      </c>
      <c r="AH35" s="3262"/>
      <c r="AI35" s="3263"/>
      <c r="AK35" s="3300" t="s">
        <v>78</v>
      </c>
      <c r="AL35" s="3255" t="s">
        <v>80</v>
      </c>
    </row>
    <row r="36" spans="1:38" ht="13.5" thickBot="1">
      <c r="A36" s="3361"/>
      <c r="B36" s="3363"/>
      <c r="C36" s="3302"/>
      <c r="D36" s="3367"/>
      <c r="E36" s="3368"/>
      <c r="F36" s="3368"/>
      <c r="G36" s="3368"/>
      <c r="H36" s="3368"/>
      <c r="I36" s="3368"/>
      <c r="J36" s="3301"/>
      <c r="K36" s="3348">
        <v>2015</v>
      </c>
      <c r="L36" s="3349"/>
      <c r="M36" s="3350"/>
      <c r="N36" s="3351">
        <v>2020</v>
      </c>
      <c r="O36" s="3352"/>
      <c r="P36" s="3353"/>
      <c r="Q36" s="3354">
        <v>2025</v>
      </c>
      <c r="R36" s="3352"/>
      <c r="S36" s="3355"/>
      <c r="T36" s="3356">
        <v>2030</v>
      </c>
      <c r="U36" s="3357"/>
      <c r="V36" s="3358"/>
      <c r="W36" s="3351">
        <v>2035</v>
      </c>
      <c r="X36" s="3352"/>
      <c r="Y36" s="3353"/>
      <c r="Z36" s="3354">
        <v>2040</v>
      </c>
      <c r="AA36" s="3352"/>
      <c r="AB36" s="3355"/>
      <c r="AC36" s="3354">
        <v>2045</v>
      </c>
      <c r="AD36" s="3352"/>
      <c r="AE36" s="3355"/>
      <c r="AF36" s="3246"/>
      <c r="AG36" s="3258">
        <v>2045</v>
      </c>
      <c r="AH36" s="3264"/>
      <c r="AI36" s="3245"/>
      <c r="AK36" s="3301"/>
      <c r="AL36" s="3256"/>
    </row>
    <row r="37" spans="1:38" ht="13.5" thickBot="1">
      <c r="A37" s="3488"/>
      <c r="B37" s="3364"/>
      <c r="C37" s="235">
        <v>2015</v>
      </c>
      <c r="D37" s="3042">
        <v>2020</v>
      </c>
      <c r="E37" s="1682">
        <v>2025</v>
      </c>
      <c r="F37" s="3042">
        <v>2030</v>
      </c>
      <c r="G37" s="1682">
        <v>2035</v>
      </c>
      <c r="H37" s="994">
        <v>2040</v>
      </c>
      <c r="I37" s="3042">
        <v>2045</v>
      </c>
      <c r="J37" s="3302"/>
      <c r="K37" s="1127" t="s">
        <v>60</v>
      </c>
      <c r="L37" s="1128" t="s">
        <v>61</v>
      </c>
      <c r="M37" s="1681" t="s">
        <v>18</v>
      </c>
      <c r="N37" s="1127" t="s">
        <v>60</v>
      </c>
      <c r="O37" s="1131" t="s">
        <v>61</v>
      </c>
      <c r="P37" s="1132" t="s">
        <v>18</v>
      </c>
      <c r="Q37" s="1130" t="s">
        <v>60</v>
      </c>
      <c r="R37" s="1128" t="s">
        <v>61</v>
      </c>
      <c r="S37" s="1659" t="s">
        <v>18</v>
      </c>
      <c r="T37" s="1655" t="s">
        <v>60</v>
      </c>
      <c r="U37" s="1657" t="s">
        <v>61</v>
      </c>
      <c r="V37" s="1658" t="s">
        <v>18</v>
      </c>
      <c r="W37" s="1127" t="s">
        <v>60</v>
      </c>
      <c r="X37" s="1128" t="s">
        <v>61</v>
      </c>
      <c r="Y37" s="1129" t="s">
        <v>18</v>
      </c>
      <c r="Z37" s="1130" t="s">
        <v>60</v>
      </c>
      <c r="AA37" s="1131" t="s">
        <v>61</v>
      </c>
      <c r="AB37" s="1132" t="s">
        <v>18</v>
      </c>
      <c r="AC37" s="1683" t="s">
        <v>60</v>
      </c>
      <c r="AD37" s="1131" t="s">
        <v>61</v>
      </c>
      <c r="AE37" s="1132" t="s">
        <v>18</v>
      </c>
      <c r="AF37" s="3247"/>
      <c r="AG37" s="1133" t="s">
        <v>60</v>
      </c>
      <c r="AH37" s="1134" t="s">
        <v>61</v>
      </c>
      <c r="AI37" s="1135" t="s">
        <v>18</v>
      </c>
      <c r="AK37" s="3302"/>
      <c r="AL37" s="3257"/>
    </row>
    <row r="38" spans="1:38">
      <c r="A38" s="295" t="s">
        <v>46</v>
      </c>
      <c r="B38" s="730" t="s">
        <v>17</v>
      </c>
      <c r="C38" s="1931">
        <f>'Table 6a'!C43+'Table 6b'!D91</f>
        <v>12441</v>
      </c>
      <c r="D38" s="370">
        <f>'Table 6a'!D43+'Table 6b'!E91</f>
        <v>12090</v>
      </c>
      <c r="E38" s="371">
        <f>'Table 6a'!E43+'Table 6b'!F91</f>
        <v>12165</v>
      </c>
      <c r="F38" s="370">
        <f>'Table 6a'!F43+'Table 6b'!G91</f>
        <v>12201</v>
      </c>
      <c r="G38" s="371">
        <f>'Table 6a'!G43+'Table 6b'!H91</f>
        <v>12281</v>
      </c>
      <c r="H38" s="370">
        <f>'Table 6a'!H43+'Table 6b'!I91</f>
        <v>12281</v>
      </c>
      <c r="I38" s="1028">
        <f>'Table 6a'!I43+'Table 6b'!J91</f>
        <v>12281</v>
      </c>
      <c r="J38" s="203">
        <f>(I38-C38)/C38</f>
        <v>-0.01</v>
      </c>
      <c r="K38" s="6">
        <f>'Table 6a'!K43+'Table 6b'!M91</f>
        <v>1.21</v>
      </c>
      <c r="L38" s="7">
        <f>'Table 6a'!L43+'Table 6b'!N91</f>
        <v>0</v>
      </c>
      <c r="M38" s="53">
        <f>'Table 6a'!M43+'Table 6b'!O91</f>
        <v>1.21</v>
      </c>
      <c r="N38" s="9">
        <f>'Table 6a'!N43+'Table 6b'!P91</f>
        <v>1.18</v>
      </c>
      <c r="O38" s="7">
        <f>'Table 6a'!O43+'Table 6b'!Q91</f>
        <v>0</v>
      </c>
      <c r="P38" s="53">
        <f>'Table 6a'!P43+'Table 6b'!R91</f>
        <v>1.18</v>
      </c>
      <c r="Q38" s="9">
        <f>'Table 6a'!Q43+'Table 6b'!S91</f>
        <v>1.18</v>
      </c>
      <c r="R38" s="7">
        <f>'Table 6a'!R43+'Table 6b'!T91</f>
        <v>0</v>
      </c>
      <c r="S38" s="53">
        <f>'Table 6a'!S43+'Table 6b'!U91</f>
        <v>1.18</v>
      </c>
      <c r="T38" s="9">
        <f>'Table 6a'!T43+'Table 6b'!V91</f>
        <v>1.19</v>
      </c>
      <c r="U38" s="10">
        <f>'Table 6a'!U43+'Table 6b'!W91</f>
        <v>0</v>
      </c>
      <c r="V38" s="11">
        <f>'Table 6a'!V43+'Table 6b'!X91</f>
        <v>1.19</v>
      </c>
      <c r="W38" s="9">
        <f>'Table 6a'!W43+'Table 6b'!Y91</f>
        <v>1.19</v>
      </c>
      <c r="X38" s="7">
        <f>'Table 6a'!X43+'Table 6b'!Z91</f>
        <v>0</v>
      </c>
      <c r="Y38" s="53">
        <f>'Table 6a'!Y43+'Table 6b'!AA91</f>
        <v>1.19</v>
      </c>
      <c r="Z38" s="9">
        <f>'Table 6a'!Z43+'Table 6b'!AB91</f>
        <v>1.19</v>
      </c>
      <c r="AA38" s="10">
        <f>'Table 6a'!AA43+'Table 6b'!AC91</f>
        <v>0</v>
      </c>
      <c r="AB38" s="11">
        <f>'Table 6a'!AB43+'Table 6b'!AD91</f>
        <v>1.19</v>
      </c>
      <c r="AC38" s="1208">
        <f>'Table 6a'!AC43+'Table 6b'!AE91</f>
        <v>1.19</v>
      </c>
      <c r="AD38" s="10">
        <f>'Table 6a'!AD43+'Table 6b'!AF91</f>
        <v>0</v>
      </c>
      <c r="AE38" s="11">
        <f>'Table 6a'!AE43+'Table 6b'!AG91</f>
        <v>1.19</v>
      </c>
      <c r="AF38" s="43">
        <f>(AE38-M38)/M38</f>
        <v>-0.02</v>
      </c>
      <c r="AG38" s="47">
        <f>'Table 6a'!AH43+'Table 6b'!AJ91</f>
        <v>1.26</v>
      </c>
      <c r="AH38" s="5">
        <f>'Table 6a'!AI43+'Table 6b'!AK91</f>
        <v>0</v>
      </c>
      <c r="AI38" s="15">
        <f>'Table 6a'!AJ43+'Table 6b'!AL91</f>
        <v>1.26</v>
      </c>
      <c r="AK38" s="372">
        <f t="shared" ref="AK38:AK44" si="44">I38-C38</f>
        <v>-160</v>
      </c>
      <c r="AL38" s="1360">
        <f t="shared" ref="AL38:AL44" si="45">AE38-M38</f>
        <v>-0.02</v>
      </c>
    </row>
    <row r="39" spans="1:38">
      <c r="A39" s="364" t="s">
        <v>47</v>
      </c>
      <c r="B39" s="730" t="s">
        <v>17</v>
      </c>
      <c r="C39" s="1932">
        <f>'Table 6a'!C44+'Table 6b'!D93</f>
        <v>3004</v>
      </c>
      <c r="D39" s="370">
        <f>'Table 6a'!D44+'Table 6b'!E93</f>
        <v>3015</v>
      </c>
      <c r="E39" s="371">
        <f>'Table 6a'!E44+'Table 6b'!F93</f>
        <v>3083</v>
      </c>
      <c r="F39" s="370">
        <f>'Table 6a'!F44+'Table 6b'!G93</f>
        <v>3127</v>
      </c>
      <c r="G39" s="371">
        <f>'Table 6a'!G44+'Table 6b'!H93</f>
        <v>3151</v>
      </c>
      <c r="H39" s="370">
        <f>'Table 6a'!H44+'Table 6b'!I93</f>
        <v>3194</v>
      </c>
      <c r="I39" s="1028">
        <f>'Table 6a'!I44+'Table 6b'!J93</f>
        <v>3215</v>
      </c>
      <c r="J39" s="203">
        <f t="shared" ref="J39:J44" si="46">(I39-C39)/C39</f>
        <v>7.0000000000000007E-2</v>
      </c>
      <c r="K39" s="885">
        <f>'Table 6a'!K44</f>
        <v>0.25</v>
      </c>
      <c r="L39" s="884">
        <f>'Table 6a'!L44</f>
        <v>0</v>
      </c>
      <c r="M39" s="392">
        <f>'Table 6a'!M44</f>
        <v>0.25</v>
      </c>
      <c r="N39" s="883">
        <f>'Table 6a'!N44</f>
        <v>0.25</v>
      </c>
      <c r="O39" s="884">
        <f>'Table 6a'!O44</f>
        <v>0</v>
      </c>
      <c r="P39" s="395">
        <f>'Table 6a'!P44</f>
        <v>0.25</v>
      </c>
      <c r="Q39" s="883">
        <f>'Table 6a'!Q44</f>
        <v>0.25</v>
      </c>
      <c r="R39" s="884">
        <f>'Table 6a'!R44</f>
        <v>0</v>
      </c>
      <c r="S39" s="392">
        <f>'Table 6a'!S44</f>
        <v>0.25</v>
      </c>
      <c r="T39" s="883">
        <f>'Table 6a'!T44</f>
        <v>0.26</v>
      </c>
      <c r="U39" s="321">
        <f>'Table 6a'!U44</f>
        <v>0</v>
      </c>
      <c r="V39" s="914">
        <f>'Table 6a'!V44</f>
        <v>0.26</v>
      </c>
      <c r="W39" s="883">
        <f>'Table 6a'!W44</f>
        <v>0.26</v>
      </c>
      <c r="X39" s="884">
        <f>'Table 6a'!X44</f>
        <v>0</v>
      </c>
      <c r="Y39" s="395">
        <f>'Table 6a'!Y44</f>
        <v>0.26</v>
      </c>
      <c r="Z39" s="883">
        <f>'Table 6a'!Z44</f>
        <v>0.26</v>
      </c>
      <c r="AA39" s="321">
        <f>'Table 6a'!AA44</f>
        <v>0</v>
      </c>
      <c r="AB39" s="914">
        <f>'Table 6a'!AB44</f>
        <v>0.26</v>
      </c>
      <c r="AC39" s="1528">
        <f>'Table 6a'!AC44</f>
        <v>0.26</v>
      </c>
      <c r="AD39" s="321">
        <f>'Table 6a'!AD44</f>
        <v>0</v>
      </c>
      <c r="AE39" s="914">
        <f>'Table 6a'!AE44</f>
        <v>0.26</v>
      </c>
      <c r="AF39" s="988">
        <f t="shared" ref="AF39:AF44" si="47">(AE39-M39)/M39</f>
        <v>0.04</v>
      </c>
      <c r="AG39" s="823">
        <f>'Table 6a'!AH44</f>
        <v>0.28000000000000003</v>
      </c>
      <c r="AH39" s="352">
        <f>'Table 6a'!AI44</f>
        <v>0</v>
      </c>
      <c r="AI39" s="830">
        <f>'Table 6a'!AJ44</f>
        <v>0.28000000000000003</v>
      </c>
      <c r="AK39" s="394">
        <f t="shared" si="44"/>
        <v>211</v>
      </c>
      <c r="AL39" s="1337">
        <f t="shared" si="45"/>
        <v>0.01</v>
      </c>
    </row>
    <row r="40" spans="1:38">
      <c r="A40" s="364" t="s">
        <v>48</v>
      </c>
      <c r="B40" s="729" t="s">
        <v>17</v>
      </c>
      <c r="C40" s="394">
        <f>'Table 6a'!C45</f>
        <v>5829</v>
      </c>
      <c r="D40" s="370">
        <f>'Table 6a'!D45</f>
        <v>6301</v>
      </c>
      <c r="E40" s="371">
        <f>'Table 6a'!E45</f>
        <v>6701</v>
      </c>
      <c r="F40" s="370">
        <f>'Table 6a'!F45</f>
        <v>7001</v>
      </c>
      <c r="G40" s="371">
        <f>'Table 6a'!G45</f>
        <v>7301</v>
      </c>
      <c r="H40" s="370">
        <f>'Table 6a'!H45</f>
        <v>7501</v>
      </c>
      <c r="I40" s="1028">
        <f>'Table 6a'!I45</f>
        <v>7695</v>
      </c>
      <c r="J40" s="546">
        <f t="shared" si="46"/>
        <v>0.32</v>
      </c>
      <c r="K40" s="885">
        <f>'Table 6a'!K45</f>
        <v>0.56000000000000005</v>
      </c>
      <c r="L40" s="884">
        <f>'Table 6a'!L45</f>
        <v>0</v>
      </c>
      <c r="M40" s="392">
        <f>'Table 6a'!M45</f>
        <v>0.56000000000000005</v>
      </c>
      <c r="N40" s="883">
        <f>'Table 6a'!N45</f>
        <v>0.6</v>
      </c>
      <c r="O40" s="884">
        <f>'Table 6a'!O45</f>
        <v>0</v>
      </c>
      <c r="P40" s="395">
        <f>'Table 6a'!P45</f>
        <v>0.6</v>
      </c>
      <c r="Q40" s="883">
        <f>'Table 6a'!Q45</f>
        <v>0.64</v>
      </c>
      <c r="R40" s="884">
        <f>'Table 6a'!R45</f>
        <v>0</v>
      </c>
      <c r="S40" s="392">
        <f>'Table 6a'!S45</f>
        <v>0.64</v>
      </c>
      <c r="T40" s="883">
        <f>'Table 6a'!T45</f>
        <v>0.67</v>
      </c>
      <c r="U40" s="321">
        <f>'Table 6a'!U45</f>
        <v>0</v>
      </c>
      <c r="V40" s="914">
        <f>'Table 6a'!V45</f>
        <v>0.67</v>
      </c>
      <c r="W40" s="883">
        <f>'Table 6a'!W45</f>
        <v>0.7</v>
      </c>
      <c r="X40" s="884">
        <f>'Table 6a'!X45</f>
        <v>0</v>
      </c>
      <c r="Y40" s="395">
        <f>'Table 6a'!Y45</f>
        <v>0.7</v>
      </c>
      <c r="Z40" s="883">
        <f>'Table 6a'!Z45</f>
        <v>0.72</v>
      </c>
      <c r="AA40" s="321">
        <f>'Table 6a'!AA45</f>
        <v>0</v>
      </c>
      <c r="AB40" s="914">
        <f>'Table 6a'!AB45</f>
        <v>0.72</v>
      </c>
      <c r="AC40" s="1528">
        <f>'Table 6a'!AC45</f>
        <v>0.74</v>
      </c>
      <c r="AD40" s="321">
        <f>'Table 6a'!AD45</f>
        <v>0</v>
      </c>
      <c r="AE40" s="914">
        <f>'Table 6a'!AE45</f>
        <v>0.74</v>
      </c>
      <c r="AF40" s="988">
        <f t="shared" si="47"/>
        <v>0.32</v>
      </c>
      <c r="AG40" s="823">
        <f>'Table 6a'!AH45</f>
        <v>0.78</v>
      </c>
      <c r="AH40" s="352">
        <f>'Table 6a'!AI45</f>
        <v>0</v>
      </c>
      <c r="AI40" s="830">
        <f>'Table 6a'!AJ45</f>
        <v>0.78</v>
      </c>
      <c r="AK40" s="394">
        <f t="shared" si="44"/>
        <v>1866</v>
      </c>
      <c r="AL40" s="1337">
        <f t="shared" si="45"/>
        <v>0.18</v>
      </c>
    </row>
    <row r="41" spans="1:38" s="22" customFormat="1">
      <c r="A41" s="134" t="s">
        <v>49</v>
      </c>
      <c r="B41" s="1936" t="s">
        <v>17</v>
      </c>
      <c r="C41" s="394">
        <f>'Table 6a'!C46+'Table 6b'!D100</f>
        <v>12613</v>
      </c>
      <c r="D41" s="370">
        <f>'Table 6a'!D46+'Table 6b'!E100</f>
        <v>12650</v>
      </c>
      <c r="E41" s="371">
        <f>'Table 6a'!E46+'Table 6b'!F100</f>
        <v>13056</v>
      </c>
      <c r="F41" s="370">
        <f>'Table 6a'!F46+'Table 6b'!G100</f>
        <v>13371</v>
      </c>
      <c r="G41" s="371">
        <f>'Table 6a'!G46+'Table 6b'!H100</f>
        <v>13641</v>
      </c>
      <c r="H41" s="370">
        <f>'Table 6a'!H46+'Table 6b'!I100</f>
        <v>13855</v>
      </c>
      <c r="I41" s="1028">
        <f>'Table 6a'!I46+'Table 6b'!J100</f>
        <v>14058</v>
      </c>
      <c r="J41" s="546">
        <f t="shared" si="46"/>
        <v>0.11</v>
      </c>
      <c r="K41" s="1046">
        <f>'Table 6a'!K46+'Table 6b'!M100</f>
        <v>0.92</v>
      </c>
      <c r="L41" s="1866">
        <f>'Table 6a'!L46+'Table 6b'!N100</f>
        <v>0</v>
      </c>
      <c r="M41" s="358">
        <f>'Table 6a'!M46+'Table 6b'!O100</f>
        <v>0.92</v>
      </c>
      <c r="N41" s="923">
        <f>'Table 6a'!N46+'Table 6b'!P100</f>
        <v>0.88</v>
      </c>
      <c r="O41" s="1866">
        <f>'Table 6a'!O46+'Table 6b'!Q100</f>
        <v>0</v>
      </c>
      <c r="P41" s="358">
        <f>'Table 6a'!P46+'Table 6b'!R100</f>
        <v>0.88</v>
      </c>
      <c r="Q41" s="923">
        <f>'Table 6a'!Q46+'Table 6b'!S100</f>
        <v>0.9</v>
      </c>
      <c r="R41" s="1866">
        <f>'Table 6a'!R46+'Table 6b'!T100</f>
        <v>0</v>
      </c>
      <c r="S41" s="358">
        <f>'Table 6a'!S46+'Table 6b'!U100</f>
        <v>0.9</v>
      </c>
      <c r="T41" s="923">
        <f>'Table 6a'!T46+'Table 6b'!V100</f>
        <v>0.92</v>
      </c>
      <c r="U41" s="1867">
        <f>'Table 6a'!U46+'Table 6b'!W100</f>
        <v>0</v>
      </c>
      <c r="V41" s="1868">
        <f>'Table 6a'!V46+'Table 6b'!X100</f>
        <v>0.92</v>
      </c>
      <c r="W41" s="923">
        <f>'Table 6a'!W46+'Table 6b'!Y100</f>
        <v>0.94</v>
      </c>
      <c r="X41" s="1866">
        <f>'Table 6a'!X46+'Table 6b'!Z100</f>
        <v>0</v>
      </c>
      <c r="Y41" s="358">
        <f>'Table 6a'!Y46+'Table 6b'!AA100</f>
        <v>0.94</v>
      </c>
      <c r="Z41" s="923">
        <f>'Table 6a'!Z46+'Table 6b'!AB100</f>
        <v>0.97</v>
      </c>
      <c r="AA41" s="1867">
        <f>'Table 6a'!AA46+'Table 6b'!AC100</f>
        <v>0</v>
      </c>
      <c r="AB41" s="1868">
        <f>'Table 6a'!AB46+'Table 6b'!AD100</f>
        <v>0.97</v>
      </c>
      <c r="AC41" s="1232">
        <f>'Table 6a'!AC46+'Table 6b'!AE100</f>
        <v>0.98</v>
      </c>
      <c r="AD41" s="321">
        <f>'Table 6a'!AD46+'Table 6b'!AF100</f>
        <v>0</v>
      </c>
      <c r="AE41" s="914">
        <f>'Table 6a'!AE46+'Table 6b'!AG100</f>
        <v>0.98</v>
      </c>
      <c r="AF41" s="988">
        <f t="shared" si="47"/>
        <v>7.0000000000000007E-2</v>
      </c>
      <c r="AG41" s="820">
        <f>'Table 6a'!AH46+'Table 6b'!AJ100</f>
        <v>1.03</v>
      </c>
      <c r="AH41" s="1870">
        <f>'Table 6a'!AI46+'Table 6b'!AK100</f>
        <v>0</v>
      </c>
      <c r="AI41" s="1002">
        <f>'Table 6a'!AJ46+'Table 6b'!AL100</f>
        <v>1.03</v>
      </c>
      <c r="AK41" s="718">
        <f t="shared" si="44"/>
        <v>1445</v>
      </c>
      <c r="AL41" s="1337">
        <f t="shared" si="45"/>
        <v>0.06</v>
      </c>
    </row>
    <row r="42" spans="1:38" s="22" customFormat="1">
      <c r="A42" s="365" t="s">
        <v>50</v>
      </c>
      <c r="B42" s="1937" t="s">
        <v>17</v>
      </c>
      <c r="C42" s="1933">
        <f>'Table 6a'!C47+'Table 6b'!D103</f>
        <v>12111</v>
      </c>
      <c r="D42" s="370">
        <f>'Table 6a'!D47+'Table 6b'!E103</f>
        <v>12049</v>
      </c>
      <c r="E42" s="371">
        <f>'Table 6a'!E47+'Table 6b'!F103</f>
        <v>12280</v>
      </c>
      <c r="F42" s="370">
        <f>'Table 6a'!F47+'Table 6b'!G103</f>
        <v>12426</v>
      </c>
      <c r="G42" s="371">
        <f>'Table 6a'!G47+'Table 6b'!H103</f>
        <v>12505</v>
      </c>
      <c r="H42" s="370">
        <f>'Table 6a'!H47+'Table 6b'!I103</f>
        <v>12654</v>
      </c>
      <c r="I42" s="1028">
        <f>'Table 6a'!I47+'Table 6b'!J103</f>
        <v>12706</v>
      </c>
      <c r="J42" s="546">
        <f t="shared" si="46"/>
        <v>0.05</v>
      </c>
      <c r="K42" s="885">
        <f>'Table 6a'!K47+'Table 6b'!M103</f>
        <v>0.71</v>
      </c>
      <c r="L42" s="884">
        <f>'Table 6a'!L47+'Table 6b'!N103</f>
        <v>0</v>
      </c>
      <c r="M42" s="392">
        <f>'Table 6a'!M47+'Table 6b'!O103</f>
        <v>0.71</v>
      </c>
      <c r="N42" s="883">
        <f>'Table 6a'!N47+'Table 6b'!P103</f>
        <v>0.7</v>
      </c>
      <c r="O42" s="884">
        <f>'Table 6a'!O47+'Table 6b'!Q103</f>
        <v>0</v>
      </c>
      <c r="P42" s="392">
        <f>'Table 6a'!P47+'Table 6b'!R103</f>
        <v>0.7</v>
      </c>
      <c r="Q42" s="883">
        <f>'Table 6a'!Q47+'Table 6b'!S103</f>
        <v>0.71</v>
      </c>
      <c r="R42" s="884">
        <f>'Table 6a'!R47+'Table 6b'!T103</f>
        <v>0</v>
      </c>
      <c r="S42" s="392">
        <f>'Table 6a'!S47+'Table 6b'!U103</f>
        <v>0.71</v>
      </c>
      <c r="T42" s="883">
        <f>'Table 6a'!T47+'Table 6b'!V103</f>
        <v>0.72</v>
      </c>
      <c r="U42" s="321">
        <f>'Table 6a'!U47+'Table 6b'!W103</f>
        <v>0</v>
      </c>
      <c r="V42" s="914">
        <f>'Table 6a'!V47+'Table 6b'!X103</f>
        <v>0.72</v>
      </c>
      <c r="W42" s="883">
        <f>'Table 6a'!W47+'Table 6b'!Y103</f>
        <v>0.72</v>
      </c>
      <c r="X42" s="884">
        <f>'Table 6a'!X47+'Table 6b'!Z103</f>
        <v>0</v>
      </c>
      <c r="Y42" s="392">
        <f>'Table 6a'!Y47+'Table 6b'!AA103</f>
        <v>0.72</v>
      </c>
      <c r="Z42" s="883">
        <f>'Table 6a'!Z47+'Table 6b'!AB103</f>
        <v>0.73</v>
      </c>
      <c r="AA42" s="321">
        <f>'Table 6a'!AA47+'Table 6b'!AC103</f>
        <v>0</v>
      </c>
      <c r="AB42" s="914">
        <f>'Table 6a'!AB47+'Table 6b'!AD103</f>
        <v>0.73</v>
      </c>
      <c r="AC42" s="1208">
        <f>'Table 6a'!AC47+'Table 6b'!AE103</f>
        <v>0.73</v>
      </c>
      <c r="AD42" s="10">
        <f>'Table 6a'!AD47+'Table 6b'!AF103</f>
        <v>0</v>
      </c>
      <c r="AE42" s="11">
        <f>'Table 6a'!AE47+'Table 6b'!AG103</f>
        <v>0.73</v>
      </c>
      <c r="AF42" s="988">
        <f t="shared" si="47"/>
        <v>0.03</v>
      </c>
      <c r="AG42" s="823">
        <f>'Table 6a'!AH47+'Table 6b'!AJ103</f>
        <v>0.77</v>
      </c>
      <c r="AH42" s="352">
        <f>'Table 6a'!AI47+'Table 6b'!AK103</f>
        <v>0</v>
      </c>
      <c r="AI42" s="830">
        <f>'Table 6a'!AJ47+'Table 6b'!AL103</f>
        <v>0.77</v>
      </c>
      <c r="AK42" s="394">
        <f t="shared" si="44"/>
        <v>595</v>
      </c>
      <c r="AL42" s="1360">
        <f t="shared" si="45"/>
        <v>0.02</v>
      </c>
    </row>
    <row r="43" spans="1:38" ht="13.5" thickBot="1">
      <c r="A43" s="133" t="s">
        <v>51</v>
      </c>
      <c r="B43" s="1935" t="s">
        <v>17</v>
      </c>
      <c r="C43" s="1934">
        <f>'Table 6a'!C48+'Table 6b'!D106</f>
        <v>8575</v>
      </c>
      <c r="D43" s="1019">
        <f>'Table 6a'!D48+'Table 6b'!E106</f>
        <v>8717</v>
      </c>
      <c r="E43" s="414">
        <f>'Table 6a'!E48+'Table 6b'!F106</f>
        <v>8709</v>
      </c>
      <c r="F43" s="1019">
        <f>'Table 6a'!F48+'Table 6b'!G106</f>
        <v>8682</v>
      </c>
      <c r="G43" s="414">
        <f>'Table 6a'!G48+'Table 6b'!H106</f>
        <v>8652</v>
      </c>
      <c r="H43" s="1019">
        <f>'Table 6a'!H48+'Table 6b'!I106</f>
        <v>8613</v>
      </c>
      <c r="I43" s="1033">
        <f>'Table 6a'!I48+'Table 6b'!J106</f>
        <v>8647</v>
      </c>
      <c r="J43" s="806">
        <f t="shared" si="46"/>
        <v>0.01</v>
      </c>
      <c r="K43" s="875">
        <f>'Table 6a'!K48+'Table 6b'!M106</f>
        <v>0.59</v>
      </c>
      <c r="L43" s="410">
        <f>'Table 6a'!L48+'Table 6b'!N106</f>
        <v>0</v>
      </c>
      <c r="M43" s="50">
        <f>'Table 6a'!M48+'Table 6b'!O106</f>
        <v>0.59</v>
      </c>
      <c r="N43" s="18">
        <f>'Table 6a'!N48+'Table 6b'!P106</f>
        <v>0.6</v>
      </c>
      <c r="O43" s="410">
        <f>'Table 6a'!O48+'Table 6b'!Q106</f>
        <v>0</v>
      </c>
      <c r="P43" s="50">
        <f>'Table 6a'!P48+'Table 6b'!R106</f>
        <v>0.6</v>
      </c>
      <c r="Q43" s="18">
        <f>'Table 6a'!Q48+'Table 6b'!S106</f>
        <v>0.6</v>
      </c>
      <c r="R43" s="410">
        <f>'Table 6a'!R48+'Table 6b'!T106</f>
        <v>0</v>
      </c>
      <c r="S43" s="50">
        <f>'Table 6a'!S48+'Table 6b'!U106</f>
        <v>0.6</v>
      </c>
      <c r="T43" s="18">
        <f>'Table 6a'!T48+'Table 6b'!V106</f>
        <v>0.59</v>
      </c>
      <c r="U43" s="412">
        <f>'Table 6a'!U48+'Table 6b'!W106</f>
        <v>0</v>
      </c>
      <c r="V43" s="876">
        <f>'Table 6a'!V48+'Table 6b'!X106</f>
        <v>0.59</v>
      </c>
      <c r="W43" s="18">
        <f>'Table 6a'!W48+'Table 6b'!Y106</f>
        <v>0.59</v>
      </c>
      <c r="X43" s="410">
        <f>'Table 6a'!X48+'Table 6b'!Z106</f>
        <v>0</v>
      </c>
      <c r="Y43" s="1048">
        <f>'Table 6a'!Y48+'Table 6b'!AA106</f>
        <v>0.59</v>
      </c>
      <c r="Z43" s="18">
        <f>'Table 6a'!Z48+'Table 6b'!AB106</f>
        <v>0.59</v>
      </c>
      <c r="AA43" s="412">
        <f>'Table 6a'!AA48+'Table 6b'!AC106</f>
        <v>0</v>
      </c>
      <c r="AB43" s="946">
        <f>'Table 6a'!AB48+'Table 6b'!AD106</f>
        <v>0.59</v>
      </c>
      <c r="AC43" s="1532">
        <f>'Table 6a'!AC48+'Table 6b'!AE106</f>
        <v>0.59</v>
      </c>
      <c r="AD43" s="440">
        <f>'Table 6a'!AD48+'Table 6b'!AF106</f>
        <v>0</v>
      </c>
      <c r="AE43" s="946">
        <f>'Table 6a'!AE48+'Table 6b'!AG106</f>
        <v>0.59</v>
      </c>
      <c r="AF43" s="720">
        <f t="shared" si="47"/>
        <v>0</v>
      </c>
      <c r="AG43" s="48">
        <f>'Table 6a'!AH48+'Table 6b'!AJ106</f>
        <v>0.62</v>
      </c>
      <c r="AH43" s="440">
        <f>'Table 6a'!AI48+'Table 6b'!AK106</f>
        <v>0</v>
      </c>
      <c r="AI43" s="874">
        <f>'Table 6a'!AJ48+'Table 6b'!AL106</f>
        <v>0.62</v>
      </c>
      <c r="AK43" s="1010">
        <f t="shared" si="44"/>
        <v>72</v>
      </c>
      <c r="AL43" s="1634">
        <f t="shared" si="45"/>
        <v>0</v>
      </c>
    </row>
    <row r="44" spans="1:38" ht="27.75" customHeight="1" thickTop="1" thickBot="1">
      <c r="A44" s="3359" t="s">
        <v>52</v>
      </c>
      <c r="B44" s="3360"/>
      <c r="C44" s="304">
        <f>SUM(C38:C43)</f>
        <v>54573</v>
      </c>
      <c r="D44" s="331">
        <f t="shared" ref="D44:I44" si="48">SUM(D38:D43)</f>
        <v>54822</v>
      </c>
      <c r="E44" s="274">
        <f t="shared" si="48"/>
        <v>55994</v>
      </c>
      <c r="F44" s="331">
        <f t="shared" si="48"/>
        <v>56808</v>
      </c>
      <c r="G44" s="274">
        <f t="shared" si="48"/>
        <v>57531</v>
      </c>
      <c r="H44" s="274">
        <f t="shared" si="48"/>
        <v>58098</v>
      </c>
      <c r="I44" s="331">
        <f t="shared" si="48"/>
        <v>58602</v>
      </c>
      <c r="J44" s="206">
        <f t="shared" si="46"/>
        <v>7.0000000000000007E-2</v>
      </c>
      <c r="K44" s="31">
        <f t="shared" ref="K44" si="49">SUM(K38:K43)</f>
        <v>4.24</v>
      </c>
      <c r="L44" s="32">
        <f t="shared" ref="L44" si="50">SUM(L38:L43)</f>
        <v>0</v>
      </c>
      <c r="M44" s="154">
        <f t="shared" ref="M44" si="51">SUM(M38:M43)</f>
        <v>4.24</v>
      </c>
      <c r="N44" s="36">
        <f t="shared" ref="N44" si="52">SUM(N38:N43)</f>
        <v>4.21</v>
      </c>
      <c r="O44" s="32">
        <f t="shared" ref="O44" si="53">SUM(O38:O43)</f>
        <v>0</v>
      </c>
      <c r="P44" s="154">
        <f t="shared" ref="P44" si="54">SUM(P38:P43)</f>
        <v>4.21</v>
      </c>
      <c r="Q44" s="36">
        <f t="shared" ref="Q44" si="55">SUM(Q38:Q43)</f>
        <v>4.28</v>
      </c>
      <c r="R44" s="32">
        <f t="shared" ref="R44" si="56">SUM(R38:R43)</f>
        <v>0</v>
      </c>
      <c r="S44" s="154">
        <f t="shared" ref="S44" si="57">SUM(S38:S43)</f>
        <v>4.28</v>
      </c>
      <c r="T44" s="36">
        <f t="shared" ref="T44" si="58">SUM(T38:T43)</f>
        <v>4.3499999999999996</v>
      </c>
      <c r="U44" s="165">
        <f t="shared" ref="U44" si="59">SUM(U38:U43)</f>
        <v>0</v>
      </c>
      <c r="V44" s="38">
        <f t="shared" ref="V44" si="60">SUM(V38:V43)</f>
        <v>4.3499999999999996</v>
      </c>
      <c r="W44" s="36">
        <f t="shared" ref="W44" si="61">SUM(W38:W43)</f>
        <v>4.4000000000000004</v>
      </c>
      <c r="X44" s="32">
        <f t="shared" ref="X44" si="62">SUM(X38:X43)</f>
        <v>0</v>
      </c>
      <c r="Y44" s="39">
        <f t="shared" ref="Y44" si="63">SUM(Y38:Y43)</f>
        <v>4.4000000000000004</v>
      </c>
      <c r="Z44" s="36">
        <f t="shared" ref="Z44" si="64">SUM(Z38:Z43)</f>
        <v>4.46</v>
      </c>
      <c r="AA44" s="165">
        <f t="shared" ref="AA44" si="65">SUM(AA38:AA43)</f>
        <v>0</v>
      </c>
      <c r="AB44" s="1049">
        <f t="shared" ref="AB44" si="66">SUM(AB38:AB43)</f>
        <v>4.46</v>
      </c>
      <c r="AC44" s="925">
        <f t="shared" ref="AC44" si="67">SUM(AC38:AC43)</f>
        <v>4.49</v>
      </c>
      <c r="AD44" s="1026">
        <f t="shared" ref="AD44" si="68">SUM(AD38:AD43)</f>
        <v>0</v>
      </c>
      <c r="AE44" s="1049">
        <f t="shared" ref="AE44" si="69">SUM(AE38:AE43)</f>
        <v>4.49</v>
      </c>
      <c r="AF44" s="44">
        <f t="shared" si="47"/>
        <v>0.06</v>
      </c>
      <c r="AG44" s="34">
        <f t="shared" ref="AG44" si="70">SUM(AG38:AG43)</f>
        <v>4.74</v>
      </c>
      <c r="AH44" s="1026">
        <f t="shared" ref="AH44" si="71">SUM(AH38:AH43)</f>
        <v>0</v>
      </c>
      <c r="AI44" s="21">
        <f t="shared" ref="AI44" si="72">SUM(AI38:AI43)</f>
        <v>4.74</v>
      </c>
      <c r="AK44" s="304">
        <f t="shared" si="44"/>
        <v>4029</v>
      </c>
      <c r="AL44" s="1622">
        <f t="shared" si="45"/>
        <v>0.25</v>
      </c>
    </row>
    <row r="45" spans="1:38">
      <c r="A45" s="89" t="s">
        <v>35</v>
      </c>
    </row>
    <row r="46" spans="1:38">
      <c r="A46" s="1" t="s">
        <v>68</v>
      </c>
      <c r="V46" s="23" t="s">
        <v>36</v>
      </c>
      <c r="AK46" s="1" t="s">
        <v>36</v>
      </c>
    </row>
    <row r="47" spans="1:38">
      <c r="A47" s="1" t="s">
        <v>69</v>
      </c>
    </row>
    <row r="48" spans="1:38">
      <c r="A48" s="3304" t="s">
        <v>372</v>
      </c>
      <c r="B48" s="3304"/>
      <c r="C48" s="3304"/>
      <c r="D48" s="3304"/>
      <c r="E48" s="3304"/>
      <c r="F48" s="3304"/>
      <c r="G48" s="3304"/>
      <c r="H48" s="3304"/>
      <c r="I48" s="3304"/>
      <c r="J48" s="3304"/>
      <c r="K48" s="3304"/>
      <c r="L48" s="3304"/>
      <c r="M48" s="3304"/>
      <c r="N48" s="3304"/>
      <c r="O48" s="3304"/>
      <c r="P48" s="3304"/>
      <c r="Q48" s="3304"/>
      <c r="R48" s="3304"/>
      <c r="S48" s="3304"/>
      <c r="T48" s="3304"/>
      <c r="U48" s="3304"/>
      <c r="V48" s="3304"/>
      <c r="W48" s="3304"/>
      <c r="X48" s="3304"/>
      <c r="Y48" s="3304"/>
      <c r="Z48" s="3304"/>
      <c r="AA48" s="3304"/>
      <c r="AB48" s="3304"/>
      <c r="AC48" s="3304"/>
      <c r="AD48" s="3304"/>
      <c r="AE48" s="3304"/>
      <c r="AF48" s="3304"/>
    </row>
    <row r="49" spans="1:1">
      <c r="A49" s="1" t="s">
        <v>373</v>
      </c>
    </row>
  </sheetData>
  <mergeCells count="44">
    <mergeCell ref="AK35:AK37"/>
    <mergeCell ref="AL35:AL37"/>
    <mergeCell ref="A48:AF48"/>
    <mergeCell ref="A31:AF31"/>
    <mergeCell ref="AL2:AL4"/>
    <mergeCell ref="AG3:AI3"/>
    <mergeCell ref="AK2:AK4"/>
    <mergeCell ref="AF2:AF4"/>
    <mergeCell ref="AG2:AI2"/>
    <mergeCell ref="A27:B27"/>
    <mergeCell ref="N3:P3"/>
    <mergeCell ref="Q3:S3"/>
    <mergeCell ref="T3:V3"/>
    <mergeCell ref="J2:J4"/>
    <mergeCell ref="K2:M2"/>
    <mergeCell ref="A2:A4"/>
    <mergeCell ref="A25:B25"/>
    <mergeCell ref="A26:B26"/>
    <mergeCell ref="Z3:AB3"/>
    <mergeCell ref="B2:B4"/>
    <mergeCell ref="K3:M3"/>
    <mergeCell ref="W3:Y3"/>
    <mergeCell ref="C2:C3"/>
    <mergeCell ref="D2:I3"/>
    <mergeCell ref="N2:AE2"/>
    <mergeCell ref="AC3:AE3"/>
    <mergeCell ref="A44:B44"/>
    <mergeCell ref="A35:A37"/>
    <mergeCell ref="B35:B37"/>
    <mergeCell ref="C35:C36"/>
    <mergeCell ref="D35:I36"/>
    <mergeCell ref="J35:J37"/>
    <mergeCell ref="K35:M35"/>
    <mergeCell ref="N35:AE35"/>
    <mergeCell ref="AF35:AF37"/>
    <mergeCell ref="AG35:AI35"/>
    <mergeCell ref="K36:M36"/>
    <mergeCell ref="N36:P36"/>
    <mergeCell ref="Q36:S36"/>
    <mergeCell ref="T36:V36"/>
    <mergeCell ref="W36:Y36"/>
    <mergeCell ref="Z36:AB36"/>
    <mergeCell ref="AC36:AE36"/>
    <mergeCell ref="AG36:AI36"/>
  </mergeCells>
  <pageMargins left="0.7" right="0.7" top="0.75" bottom="0.75" header="0.3" footer="0.3"/>
  <pageSetup paperSize="3" scale="56" fitToHeight="0"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59"/>
  <sheetViews>
    <sheetView workbookViewId="0">
      <pane xSplit="1" topLeftCell="B1" activePane="topRight" state="frozen"/>
      <selection pane="topRight" activeCell="E20" sqref="E20"/>
    </sheetView>
  </sheetViews>
  <sheetFormatPr defaultColWidth="9.140625" defaultRowHeight="12.75"/>
  <cols>
    <col min="1" max="1" width="15.85546875" style="1" customWidth="1"/>
    <col min="2" max="2" width="10.85546875" style="1" customWidth="1"/>
    <col min="3" max="3" width="11" style="1" customWidth="1"/>
    <col min="4" max="7" width="9.140625" style="1"/>
    <col min="8" max="9" width="9.140625" style="1" customWidth="1"/>
    <col min="10" max="10" width="11.28515625" style="1" customWidth="1"/>
    <col min="11" max="22" width="9.140625" style="1"/>
    <col min="23" max="23" width="9.140625" style="1" customWidth="1"/>
    <col min="24" max="27" width="9.140625" style="1"/>
    <col min="28" max="31" width="9.140625" style="1" customWidth="1"/>
    <col min="32" max="33" width="10.7109375" style="1" customWidth="1"/>
    <col min="34" max="35" width="9.140625" style="1" customWidth="1"/>
    <col min="36" max="36" width="9.140625" style="1"/>
    <col min="37" max="37" width="9.140625" style="1" customWidth="1"/>
    <col min="38" max="39" width="11.7109375" style="1" hidden="1" customWidth="1"/>
    <col min="40" max="16384" width="9.140625" style="1"/>
  </cols>
  <sheetData>
    <row r="1" spans="1:39" ht="13.5" thickBot="1">
      <c r="A1" s="297" t="s">
        <v>375</v>
      </c>
      <c r="B1" s="2538"/>
      <c r="C1" s="256"/>
      <c r="D1" s="256"/>
      <c r="E1" s="256"/>
      <c r="F1" s="256"/>
      <c r="G1" s="256"/>
      <c r="H1" s="256"/>
      <c r="I1" s="256"/>
    </row>
    <row r="2" spans="1:39" ht="13.5" thickBot="1">
      <c r="A2" s="3387" t="s">
        <v>1</v>
      </c>
      <c r="B2" s="3206" t="s">
        <v>2</v>
      </c>
      <c r="C2" s="3233" t="s">
        <v>275</v>
      </c>
      <c r="D2" s="3293" t="s">
        <v>88</v>
      </c>
      <c r="E2" s="3294"/>
      <c r="F2" s="3294"/>
      <c r="G2" s="3294"/>
      <c r="H2" s="3294"/>
      <c r="I2" s="3381"/>
      <c r="J2" s="3267" t="s">
        <v>57</v>
      </c>
      <c r="K2" s="3286" t="s">
        <v>55</v>
      </c>
      <c r="L2" s="3287"/>
      <c r="M2" s="3288"/>
      <c r="N2" s="3286" t="s">
        <v>56</v>
      </c>
      <c r="O2" s="3287"/>
      <c r="P2" s="3287"/>
      <c r="Q2" s="3287"/>
      <c r="R2" s="3287"/>
      <c r="S2" s="3287"/>
      <c r="T2" s="3287"/>
      <c r="U2" s="3287"/>
      <c r="V2" s="3287"/>
      <c r="W2" s="3287"/>
      <c r="X2" s="3287"/>
      <c r="Y2" s="3287"/>
      <c r="Z2" s="3287"/>
      <c r="AA2" s="3287"/>
      <c r="AB2" s="3287"/>
      <c r="AC2" s="3287"/>
      <c r="AD2" s="3287"/>
      <c r="AE2" s="3288"/>
      <c r="AF2" s="3265" t="s">
        <v>57</v>
      </c>
      <c r="AG2" s="3300" t="s">
        <v>376</v>
      </c>
      <c r="AH2" s="3262" t="s">
        <v>58</v>
      </c>
      <c r="AI2" s="3262"/>
      <c r="AJ2" s="3263"/>
      <c r="AL2" s="3300" t="s">
        <v>78</v>
      </c>
      <c r="AM2" s="3300" t="s">
        <v>80</v>
      </c>
    </row>
    <row r="3" spans="1:39" ht="13.5" thickBot="1">
      <c r="A3" s="3388"/>
      <c r="B3" s="3207"/>
      <c r="C3" s="3235"/>
      <c r="D3" s="3295"/>
      <c r="E3" s="3296"/>
      <c r="F3" s="3296"/>
      <c r="G3" s="3296"/>
      <c r="H3" s="3296"/>
      <c r="I3" s="3382"/>
      <c r="J3" s="3378"/>
      <c r="K3" s="3281">
        <v>2015</v>
      </c>
      <c r="L3" s="3281"/>
      <c r="M3" s="3281"/>
      <c r="N3" s="3305">
        <v>2020</v>
      </c>
      <c r="O3" s="3281"/>
      <c r="P3" s="3282"/>
      <c r="Q3" s="3305">
        <v>2025</v>
      </c>
      <c r="R3" s="3281"/>
      <c r="S3" s="3282"/>
      <c r="T3" s="3281">
        <v>2030</v>
      </c>
      <c r="U3" s="3281"/>
      <c r="V3" s="3281"/>
      <c r="W3" s="3305">
        <v>2035</v>
      </c>
      <c r="X3" s="3281"/>
      <c r="Y3" s="3282"/>
      <c r="Z3" s="3281">
        <v>2040</v>
      </c>
      <c r="AA3" s="3281"/>
      <c r="AB3" s="3282"/>
      <c r="AC3" s="3281">
        <v>2045</v>
      </c>
      <c r="AD3" s="3281"/>
      <c r="AE3" s="3282"/>
      <c r="AF3" s="3379"/>
      <c r="AG3" s="3301"/>
      <c r="AH3" s="3281">
        <v>2045</v>
      </c>
      <c r="AI3" s="3281"/>
      <c r="AJ3" s="3282"/>
      <c r="AL3" s="3301"/>
      <c r="AM3" s="3301"/>
    </row>
    <row r="4" spans="1:39" ht="13.5" thickBot="1">
      <c r="A4" s="3489"/>
      <c r="B4" s="3243"/>
      <c r="C4" s="1023">
        <v>2015</v>
      </c>
      <c r="D4" s="3030">
        <v>2020</v>
      </c>
      <c r="E4" s="3031">
        <v>2025</v>
      </c>
      <c r="F4" s="3031">
        <v>2030</v>
      </c>
      <c r="G4" s="3031">
        <v>2035</v>
      </c>
      <c r="H4" s="3029">
        <v>2040</v>
      </c>
      <c r="I4" s="3046">
        <v>2045</v>
      </c>
      <c r="J4" s="3377"/>
      <c r="K4" s="1127" t="s">
        <v>92</v>
      </c>
      <c r="L4" s="1128" t="s">
        <v>93</v>
      </c>
      <c r="M4" s="1129" t="s">
        <v>18</v>
      </c>
      <c r="N4" s="1130" t="s">
        <v>92</v>
      </c>
      <c r="O4" s="1128" t="s">
        <v>93</v>
      </c>
      <c r="P4" s="1681" t="s">
        <v>18</v>
      </c>
      <c r="Q4" s="1130" t="s">
        <v>92</v>
      </c>
      <c r="R4" s="1131" t="s">
        <v>93</v>
      </c>
      <c r="S4" s="1132" t="s">
        <v>18</v>
      </c>
      <c r="T4" s="1127" t="s">
        <v>92</v>
      </c>
      <c r="U4" s="1128" t="s">
        <v>93</v>
      </c>
      <c r="V4" s="1129" t="s">
        <v>18</v>
      </c>
      <c r="W4" s="1130" t="s">
        <v>92</v>
      </c>
      <c r="X4" s="1131" t="s">
        <v>93</v>
      </c>
      <c r="Y4" s="1681" t="s">
        <v>18</v>
      </c>
      <c r="Z4" s="1127" t="s">
        <v>92</v>
      </c>
      <c r="AA4" s="1128" t="s">
        <v>93</v>
      </c>
      <c r="AB4" s="1681" t="s">
        <v>18</v>
      </c>
      <c r="AC4" s="1127" t="s">
        <v>92</v>
      </c>
      <c r="AD4" s="1128" t="s">
        <v>93</v>
      </c>
      <c r="AE4" s="1681" t="s">
        <v>18</v>
      </c>
      <c r="AF4" s="3380"/>
      <c r="AG4" s="3302"/>
      <c r="AH4" s="1127" t="s">
        <v>92</v>
      </c>
      <c r="AI4" s="1128" t="s">
        <v>93</v>
      </c>
      <c r="AJ4" s="1681" t="s">
        <v>18</v>
      </c>
      <c r="AL4" s="3302"/>
      <c r="AM4" s="3302"/>
    </row>
    <row r="5" spans="1:39">
      <c r="A5" s="295" t="s">
        <v>14</v>
      </c>
      <c r="B5" s="296" t="s">
        <v>15</v>
      </c>
      <c r="C5" s="2254">
        <v>9486</v>
      </c>
      <c r="D5" s="72">
        <v>9756</v>
      </c>
      <c r="E5" s="76">
        <v>10120</v>
      </c>
      <c r="F5" s="76">
        <v>11998</v>
      </c>
      <c r="G5" s="76">
        <v>11998</v>
      </c>
      <c r="H5" s="76">
        <v>13089</v>
      </c>
      <c r="I5" s="2405">
        <v>14518</v>
      </c>
      <c r="J5" s="1685">
        <f>(I5-C5)/C5</f>
        <v>0.53</v>
      </c>
      <c r="K5" s="6">
        <f>M5</f>
        <v>0.85</v>
      </c>
      <c r="L5" s="7">
        <v>0</v>
      </c>
      <c r="M5" s="8">
        <v>0.85</v>
      </c>
      <c r="N5" s="47">
        <f>P5</f>
        <v>0.67</v>
      </c>
      <c r="O5" s="14">
        <v>0</v>
      </c>
      <c r="P5" s="15">
        <f>D5*AG5/1000000</f>
        <v>0.67</v>
      </c>
      <c r="Q5" s="47">
        <f>S5</f>
        <v>0.7</v>
      </c>
      <c r="R5" s="14">
        <v>0</v>
      </c>
      <c r="S5" s="15">
        <f>E5*AG5/1000000</f>
        <v>0.7</v>
      </c>
      <c r="T5" s="246">
        <f>V5</f>
        <v>0.83</v>
      </c>
      <c r="U5" s="14">
        <v>0</v>
      </c>
      <c r="V5" s="784">
        <f>F5*AG5/1000000</f>
        <v>0.83</v>
      </c>
      <c r="W5" s="47">
        <f>Y5</f>
        <v>0.83</v>
      </c>
      <c r="X5" s="14">
        <v>0</v>
      </c>
      <c r="Y5" s="15">
        <f>G5*AG5/1000000</f>
        <v>0.83</v>
      </c>
      <c r="Z5" s="246">
        <f>AB5</f>
        <v>0.9</v>
      </c>
      <c r="AA5" s="14">
        <v>0</v>
      </c>
      <c r="AB5" s="15">
        <f>H5*AG5/1000000</f>
        <v>0.9</v>
      </c>
      <c r="AC5" s="246">
        <f>AE5</f>
        <v>1</v>
      </c>
      <c r="AD5" s="14">
        <v>0</v>
      </c>
      <c r="AE5" s="15">
        <f>I5*AG5/1000000</f>
        <v>1</v>
      </c>
      <c r="AF5" s="2539">
        <f>(AE5-M5)/M5</f>
        <v>0.18</v>
      </c>
      <c r="AG5" s="2540">
        <v>69</v>
      </c>
      <c r="AH5" s="246">
        <f>AJ5</f>
        <v>1.06</v>
      </c>
      <c r="AI5" s="14">
        <v>0</v>
      </c>
      <c r="AJ5" s="15">
        <f>AE5*1.06</f>
        <v>1.06</v>
      </c>
      <c r="AL5" s="2254">
        <f>I5-C5</f>
        <v>5032</v>
      </c>
      <c r="AM5" s="1626">
        <f>AE5-M5</f>
        <v>0.15</v>
      </c>
    </row>
    <row r="6" spans="1:39" ht="13.5" thickBot="1">
      <c r="A6" s="1037" t="s">
        <v>14</v>
      </c>
      <c r="B6" s="1864" t="s">
        <v>17</v>
      </c>
      <c r="C6" s="2031">
        <v>33643</v>
      </c>
      <c r="D6" s="2408">
        <v>41677</v>
      </c>
      <c r="E6" s="2033">
        <v>48413</v>
      </c>
      <c r="F6" s="2033">
        <v>53128</v>
      </c>
      <c r="G6" s="2033">
        <v>60206</v>
      </c>
      <c r="H6" s="2033">
        <v>65141</v>
      </c>
      <c r="I6" s="2409">
        <v>69147</v>
      </c>
      <c r="J6" s="1871">
        <f t="shared" ref="J6:J27" si="0">(I6-C6)/C6</f>
        <v>1.06</v>
      </c>
      <c r="K6" s="875">
        <f t="shared" ref="K6:K19" si="1">M6</f>
        <v>1.82</v>
      </c>
      <c r="L6" s="410">
        <v>0</v>
      </c>
      <c r="M6" s="17">
        <v>1.82</v>
      </c>
      <c r="N6" s="48">
        <f t="shared" ref="N6:N19" si="2">P6</f>
        <v>2.25</v>
      </c>
      <c r="O6" s="366">
        <v>0</v>
      </c>
      <c r="P6" s="874">
        <f>D6*AG6/1000000</f>
        <v>2.25</v>
      </c>
      <c r="Q6" s="48">
        <f t="shared" ref="Q6:Q19" si="3">S6</f>
        <v>2.61</v>
      </c>
      <c r="R6" s="366">
        <v>0</v>
      </c>
      <c r="S6" s="874">
        <f>E6*AG6/1000000</f>
        <v>2.61</v>
      </c>
      <c r="T6" s="1006">
        <f t="shared" ref="T6:T19" si="4">V6</f>
        <v>2.87</v>
      </c>
      <c r="U6" s="366">
        <v>0</v>
      </c>
      <c r="V6" s="1734">
        <f>F6*AG6/1000000</f>
        <v>2.87</v>
      </c>
      <c r="W6" s="48">
        <f t="shared" ref="W6:W19" si="5">Y6</f>
        <v>3.25</v>
      </c>
      <c r="X6" s="366">
        <v>0</v>
      </c>
      <c r="Y6" s="874">
        <f>G6*AG6/1000000</f>
        <v>3.25</v>
      </c>
      <c r="Z6" s="1006">
        <f t="shared" ref="Z6:Z19" si="6">AB6</f>
        <v>3.52</v>
      </c>
      <c r="AA6" s="366">
        <v>0</v>
      </c>
      <c r="AB6" s="874">
        <f>H6*AG6/1000000</f>
        <v>3.52</v>
      </c>
      <c r="AC6" s="1006">
        <f>AE6</f>
        <v>3.73</v>
      </c>
      <c r="AD6" s="366">
        <v>0</v>
      </c>
      <c r="AE6" s="874">
        <f>I6*AG6/1000000</f>
        <v>3.73</v>
      </c>
      <c r="AF6" s="2541">
        <f t="shared" ref="AF6:AF27" si="7">(AE6-M6)/M6</f>
        <v>1.05</v>
      </c>
      <c r="AG6" s="2208">
        <v>54</v>
      </c>
      <c r="AH6" s="1006">
        <f t="shared" ref="AH6:AH19" si="8">AJ6</f>
        <v>3.95</v>
      </c>
      <c r="AI6" s="366">
        <v>0</v>
      </c>
      <c r="AJ6" s="874">
        <f>AE6*1.06</f>
        <v>3.95</v>
      </c>
      <c r="AL6" s="2031">
        <f t="shared" ref="AL6:AL27" si="9">I6-C6</f>
        <v>35504</v>
      </c>
      <c r="AM6" s="1623">
        <f t="shared" ref="AM6:AM27" si="10">AE6-M6</f>
        <v>1.91</v>
      </c>
    </row>
    <row r="7" spans="1:39" s="22" customFormat="1" ht="14.25" thickTop="1" thickBot="1">
      <c r="A7" s="2542" t="s">
        <v>14</v>
      </c>
      <c r="B7" s="2543" t="s">
        <v>18</v>
      </c>
      <c r="C7" s="2196">
        <f t="shared" ref="C7:I7" si="11">SUM(C5:C6)</f>
        <v>43129</v>
      </c>
      <c r="D7" s="2544">
        <f t="shared" si="11"/>
        <v>51433</v>
      </c>
      <c r="E7" s="2179">
        <f t="shared" si="11"/>
        <v>58533</v>
      </c>
      <c r="F7" s="2179">
        <f t="shared" si="11"/>
        <v>65126</v>
      </c>
      <c r="G7" s="2179">
        <f t="shared" si="11"/>
        <v>72204</v>
      </c>
      <c r="H7" s="2179">
        <f t="shared" si="11"/>
        <v>78230</v>
      </c>
      <c r="I7" s="2545">
        <f t="shared" si="11"/>
        <v>83665</v>
      </c>
      <c r="J7" s="242">
        <f t="shared" si="0"/>
        <v>0.94</v>
      </c>
      <c r="K7" s="586">
        <f t="shared" si="1"/>
        <v>2.67</v>
      </c>
      <c r="L7" s="318">
        <v>0</v>
      </c>
      <c r="M7" s="565">
        <f>SUM(M5:M6)</f>
        <v>2.67</v>
      </c>
      <c r="N7" s="34">
        <f t="shared" si="2"/>
        <v>2.92</v>
      </c>
      <c r="O7" s="758">
        <v>0</v>
      </c>
      <c r="P7" s="105">
        <f>SUM(P5:P6)</f>
        <v>2.92</v>
      </c>
      <c r="Q7" s="34">
        <f t="shared" si="3"/>
        <v>3.31</v>
      </c>
      <c r="R7" s="758">
        <v>0</v>
      </c>
      <c r="S7" s="105">
        <f>SUM(S5:S6)</f>
        <v>3.31</v>
      </c>
      <c r="T7" s="140">
        <f t="shared" si="4"/>
        <v>3.7</v>
      </c>
      <c r="U7" s="756">
        <v>0</v>
      </c>
      <c r="V7" s="111">
        <f>SUM(V5:V6)</f>
        <v>3.7</v>
      </c>
      <c r="W7" s="34">
        <f t="shared" si="5"/>
        <v>4.08</v>
      </c>
      <c r="X7" s="758">
        <v>0</v>
      </c>
      <c r="Y7" s="105">
        <f>SUM(Y5:Y6)</f>
        <v>4.08</v>
      </c>
      <c r="Z7" s="140">
        <f t="shared" si="6"/>
        <v>4.42</v>
      </c>
      <c r="AA7" s="756">
        <v>0</v>
      </c>
      <c r="AB7" s="2546">
        <f>SUM(AB5:AB6)</f>
        <v>4.42</v>
      </c>
      <c r="AC7" s="140">
        <f>SUM(AC5:AC6)</f>
        <v>4.7300000000000004</v>
      </c>
      <c r="AD7" s="756">
        <f>SUM(AD5:AD6)</f>
        <v>0</v>
      </c>
      <c r="AE7" s="111">
        <f>SUM(AE5:AE6)</f>
        <v>4.7300000000000004</v>
      </c>
      <c r="AF7" s="2547">
        <f t="shared" si="7"/>
        <v>0.77</v>
      </c>
      <c r="AG7" s="2548" t="s">
        <v>16</v>
      </c>
      <c r="AH7" s="35">
        <f t="shared" si="8"/>
        <v>5.01</v>
      </c>
      <c r="AI7" s="758">
        <v>0</v>
      </c>
      <c r="AJ7" s="105">
        <f>SUM(AJ5:AJ6)</f>
        <v>5.01</v>
      </c>
      <c r="AL7" s="2196">
        <f t="shared" si="9"/>
        <v>40536</v>
      </c>
      <c r="AM7" s="1624">
        <f t="shared" si="10"/>
        <v>2.06</v>
      </c>
    </row>
    <row r="8" spans="1:39">
      <c r="A8" s="292" t="s">
        <v>19</v>
      </c>
      <c r="B8" s="262" t="s">
        <v>15</v>
      </c>
      <c r="C8" s="2047">
        <v>19691</v>
      </c>
      <c r="D8" s="2444">
        <v>20395</v>
      </c>
      <c r="E8" s="2168">
        <v>21529</v>
      </c>
      <c r="F8" s="2168">
        <v>22193</v>
      </c>
      <c r="G8" s="2168">
        <v>22924</v>
      </c>
      <c r="H8" s="2168">
        <v>23637</v>
      </c>
      <c r="I8" s="2445">
        <v>24364</v>
      </c>
      <c r="J8" s="2549">
        <f t="shared" si="0"/>
        <v>0.24</v>
      </c>
      <c r="K8" s="442">
        <f t="shared" si="1"/>
        <v>2.08</v>
      </c>
      <c r="L8" s="113">
        <v>0</v>
      </c>
      <c r="M8" s="143">
        <v>2.08</v>
      </c>
      <c r="N8" s="149">
        <f t="shared" si="2"/>
        <v>2.4300000000000002</v>
      </c>
      <c r="O8" s="159">
        <v>0</v>
      </c>
      <c r="P8" s="150">
        <f>D8*AG8/1000000</f>
        <v>2.4300000000000002</v>
      </c>
      <c r="Q8" s="149">
        <f t="shared" si="3"/>
        <v>2.56</v>
      </c>
      <c r="R8" s="159">
        <v>0</v>
      </c>
      <c r="S8" s="150">
        <f>E8*AG8/1000000</f>
        <v>2.56</v>
      </c>
      <c r="T8" s="149">
        <f t="shared" si="4"/>
        <v>2.64</v>
      </c>
      <c r="U8" s="159">
        <v>0</v>
      </c>
      <c r="V8" s="150">
        <f>F8*AG8/1000000</f>
        <v>2.64</v>
      </c>
      <c r="W8" s="186">
        <f t="shared" si="5"/>
        <v>2.73</v>
      </c>
      <c r="X8" s="159">
        <v>0</v>
      </c>
      <c r="Y8" s="150">
        <f>G8*AG8/1000000</f>
        <v>2.73</v>
      </c>
      <c r="Z8" s="149">
        <f t="shared" si="6"/>
        <v>2.81</v>
      </c>
      <c r="AA8" s="159">
        <v>0</v>
      </c>
      <c r="AB8" s="150">
        <f>H8*AG8/1000000</f>
        <v>2.81</v>
      </c>
      <c r="AC8" s="149">
        <f t="shared" ref="AC8:AC9" si="12">AE8</f>
        <v>2.9</v>
      </c>
      <c r="AD8" s="159">
        <v>0</v>
      </c>
      <c r="AE8" s="150">
        <f t="shared" ref="AE8:AE9" si="13">I8*AG8/1000000</f>
        <v>2.9</v>
      </c>
      <c r="AF8" s="2550">
        <f t="shared" si="7"/>
        <v>0.39</v>
      </c>
      <c r="AG8" s="2551">
        <v>119</v>
      </c>
      <c r="AH8" s="186">
        <f t="shared" si="8"/>
        <v>3.07</v>
      </c>
      <c r="AI8" s="159">
        <v>0</v>
      </c>
      <c r="AJ8" s="150">
        <f t="shared" ref="AJ8:AJ9" si="14">AE8*1.06</f>
        <v>3.07</v>
      </c>
      <c r="AL8" s="2047">
        <f t="shared" si="9"/>
        <v>4673</v>
      </c>
      <c r="AM8" s="1625">
        <f t="shared" si="10"/>
        <v>0.82</v>
      </c>
    </row>
    <row r="9" spans="1:39" ht="13.5" thickBot="1">
      <c r="A9" s="1037" t="s">
        <v>19</v>
      </c>
      <c r="B9" s="1864" t="s">
        <v>17</v>
      </c>
      <c r="C9" s="1963">
        <v>503</v>
      </c>
      <c r="D9" s="2408">
        <v>521</v>
      </c>
      <c r="E9" s="2033">
        <v>549</v>
      </c>
      <c r="F9" s="2033">
        <v>573</v>
      </c>
      <c r="G9" s="2033">
        <v>591</v>
      </c>
      <c r="H9" s="2033">
        <v>609</v>
      </c>
      <c r="I9" s="2409">
        <v>623</v>
      </c>
      <c r="J9" s="1871">
        <f t="shared" si="0"/>
        <v>0.24</v>
      </c>
      <c r="K9" s="875">
        <f t="shared" si="1"/>
        <v>0.05</v>
      </c>
      <c r="L9" s="410">
        <v>0</v>
      </c>
      <c r="M9" s="17">
        <v>0.05</v>
      </c>
      <c r="N9" s="48">
        <f t="shared" si="2"/>
        <v>0.06</v>
      </c>
      <c r="O9" s="366">
        <v>0</v>
      </c>
      <c r="P9" s="145">
        <f>D9*AG9/1000000</f>
        <v>0.06</v>
      </c>
      <c r="Q9" s="48">
        <f t="shared" si="3"/>
        <v>0.06</v>
      </c>
      <c r="R9" s="366">
        <v>0</v>
      </c>
      <c r="S9" s="874">
        <f>E9*AG9/1000000</f>
        <v>0.06</v>
      </c>
      <c r="T9" s="48">
        <f t="shared" si="4"/>
        <v>0.06</v>
      </c>
      <c r="U9" s="366">
        <v>0</v>
      </c>
      <c r="V9" s="145">
        <f>F9*AG9/1000000</f>
        <v>0.06</v>
      </c>
      <c r="W9" s="1006">
        <f t="shared" si="5"/>
        <v>0.06</v>
      </c>
      <c r="X9" s="2552">
        <v>0</v>
      </c>
      <c r="Y9" s="874">
        <f>G9*AG9/1000000</f>
        <v>0.06</v>
      </c>
      <c r="Z9" s="48">
        <f t="shared" si="6"/>
        <v>7.0000000000000007E-2</v>
      </c>
      <c r="AA9" s="2552">
        <v>0</v>
      </c>
      <c r="AB9" s="145">
        <f>H9*AG9/1000000</f>
        <v>7.0000000000000007E-2</v>
      </c>
      <c r="AC9" s="48">
        <f t="shared" si="12"/>
        <v>7.0000000000000007E-2</v>
      </c>
      <c r="AD9" s="2552">
        <v>0</v>
      </c>
      <c r="AE9" s="145">
        <f t="shared" si="13"/>
        <v>7.0000000000000007E-2</v>
      </c>
      <c r="AF9" s="2553">
        <f t="shared" si="7"/>
        <v>0.4</v>
      </c>
      <c r="AG9" s="2208">
        <v>109</v>
      </c>
      <c r="AH9" s="1006">
        <f t="shared" si="8"/>
        <v>7.0000000000000007E-2</v>
      </c>
      <c r="AI9" s="366">
        <v>0</v>
      </c>
      <c r="AJ9" s="874">
        <f t="shared" si="14"/>
        <v>7.0000000000000007E-2</v>
      </c>
      <c r="AL9" s="2031">
        <f t="shared" si="9"/>
        <v>120</v>
      </c>
      <c r="AM9" s="1623">
        <f t="shared" si="10"/>
        <v>0.02</v>
      </c>
    </row>
    <row r="10" spans="1:39" s="22" customFormat="1" ht="14.25" thickTop="1" thickBot="1">
      <c r="A10" s="339" t="s">
        <v>19</v>
      </c>
      <c r="B10" s="2554" t="s">
        <v>18</v>
      </c>
      <c r="C10" s="1978">
        <f t="shared" ref="C10:I10" si="15">SUM(C8:C9)</f>
        <v>20194</v>
      </c>
      <c r="D10" s="2411">
        <f t="shared" si="15"/>
        <v>20916</v>
      </c>
      <c r="E10" s="1980">
        <f t="shared" si="15"/>
        <v>22078</v>
      </c>
      <c r="F10" s="1980">
        <f t="shared" si="15"/>
        <v>22766</v>
      </c>
      <c r="G10" s="1980">
        <f t="shared" si="15"/>
        <v>23515</v>
      </c>
      <c r="H10" s="1980">
        <f t="shared" si="15"/>
        <v>24246</v>
      </c>
      <c r="I10" s="2412">
        <f t="shared" si="15"/>
        <v>24987</v>
      </c>
      <c r="J10" s="2555">
        <f t="shared" si="0"/>
        <v>0.24</v>
      </c>
      <c r="K10" s="31">
        <f t="shared" si="1"/>
        <v>2.13</v>
      </c>
      <c r="L10" s="32">
        <v>0</v>
      </c>
      <c r="M10" s="33">
        <f>SUM(M8:M9)</f>
        <v>2.13</v>
      </c>
      <c r="N10" s="34">
        <f t="shared" si="2"/>
        <v>2.4900000000000002</v>
      </c>
      <c r="O10" s="20">
        <v>0</v>
      </c>
      <c r="P10" s="21">
        <f>SUM(P8:P9)</f>
        <v>2.4900000000000002</v>
      </c>
      <c r="Q10" s="34">
        <f t="shared" si="3"/>
        <v>2.62</v>
      </c>
      <c r="R10" s="20">
        <v>0</v>
      </c>
      <c r="S10" s="21">
        <f>SUM(S8:S9)</f>
        <v>2.62</v>
      </c>
      <c r="T10" s="34">
        <f t="shared" si="4"/>
        <v>2.7</v>
      </c>
      <c r="U10" s="20">
        <v>0</v>
      </c>
      <c r="V10" s="21">
        <f>SUM(V8:V9)</f>
        <v>2.7</v>
      </c>
      <c r="W10" s="35">
        <f t="shared" si="5"/>
        <v>2.79</v>
      </c>
      <c r="X10" s="20">
        <v>0</v>
      </c>
      <c r="Y10" s="21">
        <f>SUM(Y8:Y9)</f>
        <v>2.79</v>
      </c>
      <c r="Z10" s="34">
        <f t="shared" si="6"/>
        <v>2.88</v>
      </c>
      <c r="AA10" s="20">
        <v>0</v>
      </c>
      <c r="AB10" s="21">
        <f>SUM(AB8:AB9)</f>
        <v>2.88</v>
      </c>
      <c r="AC10" s="34">
        <f>SUM(AC8:AC9)</f>
        <v>2.97</v>
      </c>
      <c r="AD10" s="20">
        <f t="shared" ref="AD10:AE10" si="16">SUM(AD8:AD9)</f>
        <v>0</v>
      </c>
      <c r="AE10" s="21">
        <f t="shared" si="16"/>
        <v>2.97</v>
      </c>
      <c r="AF10" s="2556">
        <f t="shared" si="7"/>
        <v>0.39</v>
      </c>
      <c r="AG10" s="2557" t="s">
        <v>16</v>
      </c>
      <c r="AH10" s="35">
        <f t="shared" si="8"/>
        <v>3.14</v>
      </c>
      <c r="AI10" s="20">
        <v>0</v>
      </c>
      <c r="AJ10" s="21">
        <f>SUM(AJ8:AJ9)</f>
        <v>3.14</v>
      </c>
      <c r="AL10" s="1978">
        <f t="shared" si="9"/>
        <v>4793</v>
      </c>
      <c r="AM10" s="1624">
        <f t="shared" si="10"/>
        <v>0.84</v>
      </c>
    </row>
    <row r="11" spans="1:39">
      <c r="A11" s="295" t="s">
        <v>20</v>
      </c>
      <c r="B11" s="296" t="s">
        <v>15</v>
      </c>
      <c r="C11" s="2254">
        <v>2174</v>
      </c>
      <c r="D11" s="72">
        <v>2353</v>
      </c>
      <c r="E11" s="76">
        <v>2727</v>
      </c>
      <c r="F11" s="76">
        <v>2914</v>
      </c>
      <c r="G11" s="76">
        <v>2914</v>
      </c>
      <c r="H11" s="76">
        <v>3079</v>
      </c>
      <c r="I11" s="2405">
        <v>3263</v>
      </c>
      <c r="J11" s="1685">
        <f t="shared" si="0"/>
        <v>0.5</v>
      </c>
      <c r="K11" s="6">
        <f t="shared" si="1"/>
        <v>0.28000000000000003</v>
      </c>
      <c r="L11" s="7">
        <v>0</v>
      </c>
      <c r="M11" s="8">
        <v>0.28000000000000003</v>
      </c>
      <c r="N11" s="47">
        <f t="shared" si="2"/>
        <v>0.21</v>
      </c>
      <c r="O11" s="14">
        <v>0</v>
      </c>
      <c r="P11" s="15">
        <f>D11*AG11/1000000</f>
        <v>0.21</v>
      </c>
      <c r="Q11" s="47">
        <f t="shared" si="3"/>
        <v>0.25</v>
      </c>
      <c r="R11" s="14">
        <v>0</v>
      </c>
      <c r="S11" s="15">
        <f>E11*AG11/1000000</f>
        <v>0.25</v>
      </c>
      <c r="T11" s="47">
        <f t="shared" si="4"/>
        <v>0.27</v>
      </c>
      <c r="U11" s="14">
        <v>0</v>
      </c>
      <c r="V11" s="15">
        <f>F11*AG11/1000000</f>
        <v>0.27</v>
      </c>
      <c r="W11" s="246">
        <f t="shared" si="5"/>
        <v>0.27</v>
      </c>
      <c r="X11" s="14">
        <v>0</v>
      </c>
      <c r="Y11" s="15">
        <f>G11*AG11/1000000</f>
        <v>0.27</v>
      </c>
      <c r="Z11" s="47">
        <f t="shared" si="6"/>
        <v>0.28000000000000003</v>
      </c>
      <c r="AA11" s="14">
        <v>0</v>
      </c>
      <c r="AB11" s="15">
        <f>H11*AG11/1000000</f>
        <v>0.28000000000000003</v>
      </c>
      <c r="AC11" s="47">
        <f t="shared" ref="AC11:AC12" si="17">AE11</f>
        <v>0.3</v>
      </c>
      <c r="AD11" s="14">
        <v>0</v>
      </c>
      <c r="AE11" s="15">
        <f t="shared" ref="AE11:AE12" si="18">I11*AG11/1000000</f>
        <v>0.3</v>
      </c>
      <c r="AF11" s="2539">
        <f t="shared" si="7"/>
        <v>7.0000000000000007E-2</v>
      </c>
      <c r="AG11" s="2540">
        <v>91</v>
      </c>
      <c r="AH11" s="246">
        <f t="shared" si="8"/>
        <v>0.32</v>
      </c>
      <c r="AI11" s="14">
        <v>0</v>
      </c>
      <c r="AJ11" s="15">
        <f>AE11*1.06</f>
        <v>0.32</v>
      </c>
      <c r="AL11" s="2254">
        <f t="shared" si="9"/>
        <v>1089</v>
      </c>
      <c r="AM11" s="1626">
        <f t="shared" si="10"/>
        <v>0.02</v>
      </c>
    </row>
    <row r="12" spans="1:39" ht="13.5" thickBot="1">
      <c r="A12" s="1037" t="s">
        <v>20</v>
      </c>
      <c r="B12" s="1864" t="s">
        <v>17</v>
      </c>
      <c r="C12" s="1963">
        <v>12463</v>
      </c>
      <c r="D12" s="2408">
        <v>11423</v>
      </c>
      <c r="E12" s="2033">
        <v>11240</v>
      </c>
      <c r="F12" s="2033">
        <v>11099</v>
      </c>
      <c r="G12" s="2033">
        <v>11053</v>
      </c>
      <c r="H12" s="2033">
        <v>10876</v>
      </c>
      <c r="I12" s="2409">
        <v>10595</v>
      </c>
      <c r="J12" s="1871">
        <f t="shared" si="0"/>
        <v>-0.15</v>
      </c>
      <c r="K12" s="875">
        <f t="shared" si="1"/>
        <v>0.52</v>
      </c>
      <c r="L12" s="410">
        <v>0</v>
      </c>
      <c r="M12" s="17">
        <v>0.52</v>
      </c>
      <c r="N12" s="48">
        <f t="shared" si="2"/>
        <v>0.48</v>
      </c>
      <c r="O12" s="366">
        <v>0</v>
      </c>
      <c r="P12" s="145">
        <f>D12*AG12/1000000</f>
        <v>0.48</v>
      </c>
      <c r="Q12" s="48">
        <f t="shared" si="3"/>
        <v>0.47</v>
      </c>
      <c r="R12" s="366">
        <v>0</v>
      </c>
      <c r="S12" s="874">
        <f>E12*AG12/1000000</f>
        <v>0.47</v>
      </c>
      <c r="T12" s="48">
        <f t="shared" si="4"/>
        <v>0.47</v>
      </c>
      <c r="U12" s="366">
        <v>0</v>
      </c>
      <c r="V12" s="145">
        <f>F12*AG12/1000000</f>
        <v>0.47</v>
      </c>
      <c r="W12" s="1006">
        <f t="shared" si="5"/>
        <v>0.46</v>
      </c>
      <c r="X12" s="2552">
        <v>0</v>
      </c>
      <c r="Y12" s="874">
        <f>G12*AG12/1000000</f>
        <v>0.46</v>
      </c>
      <c r="Z12" s="48">
        <f t="shared" si="6"/>
        <v>0.46</v>
      </c>
      <c r="AA12" s="2552">
        <v>0</v>
      </c>
      <c r="AB12" s="145">
        <f>H12*AG12/1000000</f>
        <v>0.46</v>
      </c>
      <c r="AC12" s="48">
        <f t="shared" si="17"/>
        <v>0.44</v>
      </c>
      <c r="AD12" s="2552">
        <v>0</v>
      </c>
      <c r="AE12" s="145">
        <f t="shared" si="18"/>
        <v>0.44</v>
      </c>
      <c r="AF12" s="2553">
        <f t="shared" si="7"/>
        <v>-0.15</v>
      </c>
      <c r="AG12" s="2208">
        <v>42</v>
      </c>
      <c r="AH12" s="1006">
        <f t="shared" si="8"/>
        <v>0.47</v>
      </c>
      <c r="AI12" s="366">
        <v>0</v>
      </c>
      <c r="AJ12" s="874">
        <f>AE12*1.06</f>
        <v>0.47</v>
      </c>
      <c r="AL12" s="2031">
        <f t="shared" si="9"/>
        <v>-1868</v>
      </c>
      <c r="AM12" s="1623">
        <f t="shared" si="10"/>
        <v>-0.08</v>
      </c>
    </row>
    <row r="13" spans="1:39" s="22" customFormat="1" ht="14.25" thickTop="1" thickBot="1">
      <c r="A13" s="339" t="s">
        <v>20</v>
      </c>
      <c r="B13" s="2554" t="s">
        <v>18</v>
      </c>
      <c r="C13" s="1978">
        <f t="shared" ref="C13:I13" si="19">SUM(C11:C12)</f>
        <v>14637</v>
      </c>
      <c r="D13" s="2411">
        <f t="shared" si="19"/>
        <v>13776</v>
      </c>
      <c r="E13" s="1980">
        <f t="shared" si="19"/>
        <v>13967</v>
      </c>
      <c r="F13" s="1980">
        <f t="shared" si="19"/>
        <v>14013</v>
      </c>
      <c r="G13" s="1980">
        <f t="shared" si="19"/>
        <v>13967</v>
      </c>
      <c r="H13" s="1980">
        <f t="shared" si="19"/>
        <v>13955</v>
      </c>
      <c r="I13" s="2412">
        <f t="shared" si="19"/>
        <v>13858</v>
      </c>
      <c r="J13" s="2555">
        <f t="shared" si="0"/>
        <v>-0.05</v>
      </c>
      <c r="K13" s="31">
        <f t="shared" si="1"/>
        <v>0.8</v>
      </c>
      <c r="L13" s="32">
        <v>0</v>
      </c>
      <c r="M13" s="33">
        <f>SUM(M11:M12)</f>
        <v>0.8</v>
      </c>
      <c r="N13" s="34">
        <f t="shared" si="2"/>
        <v>0.69</v>
      </c>
      <c r="O13" s="20">
        <v>0</v>
      </c>
      <c r="P13" s="21">
        <f>SUM(P11:P12)</f>
        <v>0.69</v>
      </c>
      <c r="Q13" s="34">
        <f t="shared" si="3"/>
        <v>0.72</v>
      </c>
      <c r="R13" s="20">
        <v>0</v>
      </c>
      <c r="S13" s="21">
        <f>SUM(S11:S12)</f>
        <v>0.72</v>
      </c>
      <c r="T13" s="34">
        <f t="shared" si="4"/>
        <v>0.74</v>
      </c>
      <c r="U13" s="20">
        <v>0</v>
      </c>
      <c r="V13" s="21">
        <f>SUM(V11:V12)</f>
        <v>0.74</v>
      </c>
      <c r="W13" s="35">
        <f t="shared" si="5"/>
        <v>0.73</v>
      </c>
      <c r="X13" s="20">
        <v>0</v>
      </c>
      <c r="Y13" s="21">
        <f>SUM(Y11:Y12)</f>
        <v>0.73</v>
      </c>
      <c r="Z13" s="34">
        <f t="shared" si="6"/>
        <v>0.74</v>
      </c>
      <c r="AA13" s="20">
        <v>0</v>
      </c>
      <c r="AB13" s="21">
        <f>SUM(AB11:AB12)</f>
        <v>0.74</v>
      </c>
      <c r="AC13" s="34">
        <f>SUM(AC11:AC12)</f>
        <v>0.74</v>
      </c>
      <c r="AD13" s="20">
        <f t="shared" ref="AD13:AE13" si="20">SUM(AD11:AD12)</f>
        <v>0</v>
      </c>
      <c r="AE13" s="21">
        <f t="shared" si="20"/>
        <v>0.74</v>
      </c>
      <c r="AF13" s="2556">
        <f t="shared" si="7"/>
        <v>-0.08</v>
      </c>
      <c r="AG13" s="2557" t="s">
        <v>16</v>
      </c>
      <c r="AH13" s="35">
        <f t="shared" si="8"/>
        <v>0.79</v>
      </c>
      <c r="AI13" s="20">
        <v>0</v>
      </c>
      <c r="AJ13" s="21">
        <f>SUM(AJ11:AJ12)</f>
        <v>0.79</v>
      </c>
      <c r="AL13" s="1978">
        <f t="shared" si="9"/>
        <v>-779</v>
      </c>
      <c r="AM13" s="1624">
        <f t="shared" si="10"/>
        <v>-0.06</v>
      </c>
    </row>
    <row r="14" spans="1:39">
      <c r="A14" s="364" t="s">
        <v>21</v>
      </c>
      <c r="B14" s="296" t="s">
        <v>15</v>
      </c>
      <c r="C14" s="2254">
        <v>63061</v>
      </c>
      <c r="D14" s="824">
        <v>67682</v>
      </c>
      <c r="E14" s="814">
        <v>74518</v>
      </c>
      <c r="F14" s="814">
        <v>84148</v>
      </c>
      <c r="G14" s="814">
        <v>87210</v>
      </c>
      <c r="H14" s="814">
        <v>89991</v>
      </c>
      <c r="I14" s="2442">
        <v>92017</v>
      </c>
      <c r="J14" s="2558">
        <f t="shared" si="0"/>
        <v>0.46</v>
      </c>
      <c r="K14" s="885">
        <f t="shared" si="1"/>
        <v>6.65</v>
      </c>
      <c r="L14" s="884">
        <v>0</v>
      </c>
      <c r="M14" s="395">
        <v>6.65</v>
      </c>
      <c r="N14" s="823">
        <f t="shared" si="2"/>
        <v>4.9400000000000004</v>
      </c>
      <c r="O14" s="322">
        <v>0</v>
      </c>
      <c r="P14" s="15">
        <f t="shared" ref="P14:P19" si="21">D14*AG14/1000000</f>
        <v>4.9400000000000004</v>
      </c>
      <c r="Q14" s="823">
        <f t="shared" si="3"/>
        <v>5.44</v>
      </c>
      <c r="R14" s="322">
        <v>0</v>
      </c>
      <c r="S14" s="830">
        <f t="shared" ref="S14:S19" si="22">E14*AG14/1000000</f>
        <v>5.44</v>
      </c>
      <c r="T14" s="823">
        <f t="shared" si="4"/>
        <v>6.14</v>
      </c>
      <c r="U14" s="322">
        <v>0</v>
      </c>
      <c r="V14" s="15">
        <f t="shared" ref="V14:V19" si="23">F14*AG14/1000000</f>
        <v>6.14</v>
      </c>
      <c r="W14" s="870">
        <f t="shared" si="5"/>
        <v>6.37</v>
      </c>
      <c r="X14" s="14">
        <v>0</v>
      </c>
      <c r="Y14" s="830">
        <f t="shared" ref="Y14:Y19" si="24">G14*AG14/1000000</f>
        <v>6.37</v>
      </c>
      <c r="Z14" s="823">
        <f t="shared" si="6"/>
        <v>6.57</v>
      </c>
      <c r="AA14" s="14">
        <v>0</v>
      </c>
      <c r="AB14" s="15">
        <f t="shared" ref="AB14:AB19" si="25">H14*AG14/1000000</f>
        <v>6.57</v>
      </c>
      <c r="AC14" s="823">
        <f t="shared" ref="AC14:AC24" si="26">AE14</f>
        <v>6.72</v>
      </c>
      <c r="AD14" s="14">
        <v>0</v>
      </c>
      <c r="AE14" s="15">
        <f t="shared" ref="AE14:AE24" si="27">I14*AG14/1000000</f>
        <v>6.72</v>
      </c>
      <c r="AF14" s="2539">
        <f t="shared" si="7"/>
        <v>0.01</v>
      </c>
      <c r="AG14" s="2559">
        <v>73</v>
      </c>
      <c r="AH14" s="870">
        <f t="shared" si="8"/>
        <v>7.12</v>
      </c>
      <c r="AI14" s="322">
        <v>0</v>
      </c>
      <c r="AJ14" s="830">
        <f t="shared" ref="AJ14:AJ24" si="28">AE14*1.06</f>
        <v>7.12</v>
      </c>
      <c r="AL14" s="1953">
        <f t="shared" si="9"/>
        <v>28956</v>
      </c>
      <c r="AM14" s="1627">
        <f t="shared" si="10"/>
        <v>7.0000000000000007E-2</v>
      </c>
    </row>
    <row r="15" spans="1:39">
      <c r="A15" s="364" t="s">
        <v>22</v>
      </c>
      <c r="B15" s="296" t="s">
        <v>17</v>
      </c>
      <c r="C15" s="2254">
        <v>42958</v>
      </c>
      <c r="D15" s="824">
        <v>44570</v>
      </c>
      <c r="E15" s="814">
        <v>47009</v>
      </c>
      <c r="F15" s="814">
        <v>48944</v>
      </c>
      <c r="G15" s="814">
        <v>50361</v>
      </c>
      <c r="H15" s="814">
        <v>51416</v>
      </c>
      <c r="I15" s="2442">
        <v>52181</v>
      </c>
      <c r="J15" s="2558">
        <f t="shared" si="0"/>
        <v>0.21</v>
      </c>
      <c r="K15" s="885">
        <f t="shared" si="1"/>
        <v>2.41</v>
      </c>
      <c r="L15" s="884">
        <v>0</v>
      </c>
      <c r="M15" s="395">
        <v>2.41</v>
      </c>
      <c r="N15" s="823">
        <f t="shared" si="2"/>
        <v>2.5</v>
      </c>
      <c r="O15" s="322">
        <v>0</v>
      </c>
      <c r="P15" s="15">
        <f t="shared" si="21"/>
        <v>2.5</v>
      </c>
      <c r="Q15" s="823">
        <f t="shared" si="3"/>
        <v>2.63</v>
      </c>
      <c r="R15" s="322">
        <v>0</v>
      </c>
      <c r="S15" s="830">
        <f t="shared" si="22"/>
        <v>2.63</v>
      </c>
      <c r="T15" s="823">
        <f t="shared" si="4"/>
        <v>2.74</v>
      </c>
      <c r="U15" s="322">
        <v>0</v>
      </c>
      <c r="V15" s="15">
        <f t="shared" si="23"/>
        <v>2.74</v>
      </c>
      <c r="W15" s="870">
        <f t="shared" si="5"/>
        <v>2.82</v>
      </c>
      <c r="X15" s="14">
        <v>0</v>
      </c>
      <c r="Y15" s="830">
        <f t="shared" si="24"/>
        <v>2.82</v>
      </c>
      <c r="Z15" s="823">
        <f t="shared" si="6"/>
        <v>2.88</v>
      </c>
      <c r="AA15" s="14">
        <v>0</v>
      </c>
      <c r="AB15" s="15">
        <f t="shared" si="25"/>
        <v>2.88</v>
      </c>
      <c r="AC15" s="823">
        <f t="shared" si="26"/>
        <v>2.92</v>
      </c>
      <c r="AD15" s="14">
        <v>0</v>
      </c>
      <c r="AE15" s="15">
        <f t="shared" si="27"/>
        <v>2.92</v>
      </c>
      <c r="AF15" s="2539">
        <f t="shared" si="7"/>
        <v>0.21</v>
      </c>
      <c r="AG15" s="2559">
        <v>56</v>
      </c>
      <c r="AH15" s="870">
        <f t="shared" si="8"/>
        <v>3.1</v>
      </c>
      <c r="AI15" s="322">
        <v>0</v>
      </c>
      <c r="AJ15" s="830">
        <f t="shared" si="28"/>
        <v>3.1</v>
      </c>
      <c r="AL15" s="1953">
        <f t="shared" si="9"/>
        <v>9223</v>
      </c>
      <c r="AM15" s="1627">
        <f t="shared" si="10"/>
        <v>0.51</v>
      </c>
    </row>
    <row r="16" spans="1:39">
      <c r="A16" s="364" t="s">
        <v>23</v>
      </c>
      <c r="B16" s="296" t="s">
        <v>15</v>
      </c>
      <c r="C16" s="2254">
        <v>211531</v>
      </c>
      <c r="D16" s="824">
        <v>228489</v>
      </c>
      <c r="E16" s="814">
        <v>245416</v>
      </c>
      <c r="F16" s="814">
        <v>258497</v>
      </c>
      <c r="G16" s="814">
        <v>269951</v>
      </c>
      <c r="H16" s="814">
        <v>279130</v>
      </c>
      <c r="I16" s="2442">
        <v>287137</v>
      </c>
      <c r="J16" s="2558">
        <f t="shared" si="0"/>
        <v>0.36</v>
      </c>
      <c r="K16" s="885">
        <f t="shared" si="1"/>
        <v>12.73</v>
      </c>
      <c r="L16" s="884">
        <v>0</v>
      </c>
      <c r="M16" s="395">
        <v>12.73</v>
      </c>
      <c r="N16" s="823">
        <f t="shared" si="2"/>
        <v>22.16</v>
      </c>
      <c r="O16" s="322">
        <v>0</v>
      </c>
      <c r="P16" s="15">
        <f t="shared" si="21"/>
        <v>22.16</v>
      </c>
      <c r="Q16" s="823">
        <f t="shared" si="3"/>
        <v>23.81</v>
      </c>
      <c r="R16" s="322">
        <v>0</v>
      </c>
      <c r="S16" s="830">
        <f t="shared" si="22"/>
        <v>23.81</v>
      </c>
      <c r="T16" s="823">
        <f t="shared" si="4"/>
        <v>25.07</v>
      </c>
      <c r="U16" s="322">
        <v>0</v>
      </c>
      <c r="V16" s="15">
        <f t="shared" si="23"/>
        <v>25.07</v>
      </c>
      <c r="W16" s="870">
        <f t="shared" si="5"/>
        <v>26.19</v>
      </c>
      <c r="X16" s="14">
        <v>0</v>
      </c>
      <c r="Y16" s="830">
        <f t="shared" si="24"/>
        <v>26.19</v>
      </c>
      <c r="Z16" s="823">
        <f t="shared" si="6"/>
        <v>27.08</v>
      </c>
      <c r="AA16" s="14">
        <v>0</v>
      </c>
      <c r="AB16" s="15">
        <f t="shared" si="25"/>
        <v>27.08</v>
      </c>
      <c r="AC16" s="823">
        <f t="shared" si="26"/>
        <v>27.85</v>
      </c>
      <c r="AD16" s="14">
        <v>0</v>
      </c>
      <c r="AE16" s="15">
        <f t="shared" si="27"/>
        <v>27.85</v>
      </c>
      <c r="AF16" s="2539">
        <f t="shared" si="7"/>
        <v>1.19</v>
      </c>
      <c r="AG16" s="2559">
        <v>97</v>
      </c>
      <c r="AH16" s="870">
        <f t="shared" si="8"/>
        <v>29.52</v>
      </c>
      <c r="AI16" s="322">
        <v>0</v>
      </c>
      <c r="AJ16" s="830">
        <f t="shared" si="28"/>
        <v>29.52</v>
      </c>
      <c r="AL16" s="1953">
        <f t="shared" si="9"/>
        <v>75606</v>
      </c>
      <c r="AM16" s="1627">
        <f t="shared" si="10"/>
        <v>15.12</v>
      </c>
    </row>
    <row r="17" spans="1:39">
      <c r="A17" s="364" t="s">
        <v>24</v>
      </c>
      <c r="B17" s="296" t="s">
        <v>15</v>
      </c>
      <c r="C17" s="2254">
        <v>4584</v>
      </c>
      <c r="D17" s="824">
        <v>5162</v>
      </c>
      <c r="E17" s="814">
        <v>5216</v>
      </c>
      <c r="F17" s="814">
        <v>6612</v>
      </c>
      <c r="G17" s="814">
        <v>6734</v>
      </c>
      <c r="H17" s="814">
        <v>6859</v>
      </c>
      <c r="I17" s="2442">
        <v>6864</v>
      </c>
      <c r="J17" s="2558">
        <f t="shared" si="0"/>
        <v>0.5</v>
      </c>
      <c r="K17" s="885">
        <f t="shared" si="1"/>
        <v>0.3</v>
      </c>
      <c r="L17" s="884">
        <v>0</v>
      </c>
      <c r="M17" s="395">
        <v>0.3</v>
      </c>
      <c r="N17" s="823">
        <f t="shared" si="2"/>
        <v>0.28999999999999998</v>
      </c>
      <c r="O17" s="322">
        <v>0</v>
      </c>
      <c r="P17" s="15">
        <f t="shared" si="21"/>
        <v>0.28999999999999998</v>
      </c>
      <c r="Q17" s="823">
        <f t="shared" si="3"/>
        <v>0.28999999999999998</v>
      </c>
      <c r="R17" s="322">
        <v>0</v>
      </c>
      <c r="S17" s="830">
        <f t="shared" si="22"/>
        <v>0.28999999999999998</v>
      </c>
      <c r="T17" s="823">
        <f t="shared" si="4"/>
        <v>0.37</v>
      </c>
      <c r="U17" s="322">
        <v>0</v>
      </c>
      <c r="V17" s="15">
        <f t="shared" si="23"/>
        <v>0.37</v>
      </c>
      <c r="W17" s="870">
        <f t="shared" si="5"/>
        <v>0.38</v>
      </c>
      <c r="X17" s="14">
        <v>0</v>
      </c>
      <c r="Y17" s="830">
        <f t="shared" si="24"/>
        <v>0.38</v>
      </c>
      <c r="Z17" s="823">
        <f t="shared" si="6"/>
        <v>0.38</v>
      </c>
      <c r="AA17" s="14">
        <v>0</v>
      </c>
      <c r="AB17" s="15">
        <f t="shared" si="25"/>
        <v>0.38</v>
      </c>
      <c r="AC17" s="823">
        <f t="shared" si="26"/>
        <v>0.38</v>
      </c>
      <c r="AD17" s="14">
        <v>0</v>
      </c>
      <c r="AE17" s="15">
        <f t="shared" si="27"/>
        <v>0.38</v>
      </c>
      <c r="AF17" s="2539">
        <f t="shared" si="7"/>
        <v>0.27</v>
      </c>
      <c r="AG17" s="2559">
        <v>56</v>
      </c>
      <c r="AH17" s="870">
        <f t="shared" si="8"/>
        <v>0.4</v>
      </c>
      <c r="AI17" s="322">
        <v>0</v>
      </c>
      <c r="AJ17" s="830">
        <f t="shared" si="28"/>
        <v>0.4</v>
      </c>
      <c r="AL17" s="1953">
        <f t="shared" si="9"/>
        <v>2280</v>
      </c>
      <c r="AM17" s="1627">
        <f t="shared" si="10"/>
        <v>0.08</v>
      </c>
    </row>
    <row r="18" spans="1:39">
      <c r="A18" s="364" t="s">
        <v>25</v>
      </c>
      <c r="B18" s="296" t="s">
        <v>17</v>
      </c>
      <c r="C18" s="2254">
        <v>14033</v>
      </c>
      <c r="D18" s="2560">
        <v>14994</v>
      </c>
      <c r="E18" s="2017">
        <v>15628</v>
      </c>
      <c r="F18" s="2017">
        <v>16204</v>
      </c>
      <c r="G18" s="2017">
        <v>16751</v>
      </c>
      <c r="H18" s="2017">
        <v>17234</v>
      </c>
      <c r="I18" s="2561">
        <v>17734</v>
      </c>
      <c r="J18" s="2562">
        <f t="shared" si="0"/>
        <v>0.26</v>
      </c>
      <c r="K18" s="1046">
        <f t="shared" si="1"/>
        <v>0.98</v>
      </c>
      <c r="L18" s="1866">
        <v>0</v>
      </c>
      <c r="M18" s="568">
        <v>0.98</v>
      </c>
      <c r="N18" s="820">
        <f t="shared" si="2"/>
        <v>1.05</v>
      </c>
      <c r="O18" s="1872">
        <v>0</v>
      </c>
      <c r="P18" s="15">
        <f t="shared" si="21"/>
        <v>1.05</v>
      </c>
      <c r="Q18" s="820">
        <f t="shared" si="3"/>
        <v>1.0900000000000001</v>
      </c>
      <c r="R18" s="1872">
        <v>0</v>
      </c>
      <c r="S18" s="1002">
        <f t="shared" si="22"/>
        <v>1.0900000000000001</v>
      </c>
      <c r="T18" s="820">
        <f t="shared" si="4"/>
        <v>1.1299999999999999</v>
      </c>
      <c r="U18" s="1872">
        <v>0</v>
      </c>
      <c r="V18" s="367">
        <f t="shared" si="23"/>
        <v>1.1299999999999999</v>
      </c>
      <c r="W18" s="2563">
        <f t="shared" si="5"/>
        <v>1.17</v>
      </c>
      <c r="X18" s="14">
        <v>0</v>
      </c>
      <c r="Y18" s="1002">
        <f t="shared" si="24"/>
        <v>1.17</v>
      </c>
      <c r="Z18" s="820">
        <f t="shared" si="6"/>
        <v>1.21</v>
      </c>
      <c r="AA18" s="14">
        <v>0</v>
      </c>
      <c r="AB18" s="367">
        <f t="shared" si="25"/>
        <v>1.21</v>
      </c>
      <c r="AC18" s="820">
        <f t="shared" si="26"/>
        <v>1.24</v>
      </c>
      <c r="AD18" s="14">
        <v>0</v>
      </c>
      <c r="AE18" s="367">
        <f t="shared" si="27"/>
        <v>1.24</v>
      </c>
      <c r="AF18" s="2539">
        <f t="shared" si="7"/>
        <v>0.27</v>
      </c>
      <c r="AG18" s="2564">
        <v>70</v>
      </c>
      <c r="AH18" s="2563">
        <f t="shared" si="8"/>
        <v>1.31</v>
      </c>
      <c r="AI18" s="322">
        <v>0</v>
      </c>
      <c r="AJ18" s="1002">
        <f t="shared" si="28"/>
        <v>1.31</v>
      </c>
      <c r="AL18" s="2015">
        <f t="shared" si="9"/>
        <v>3701</v>
      </c>
      <c r="AM18" s="1628">
        <f t="shared" si="10"/>
        <v>0.26</v>
      </c>
    </row>
    <row r="19" spans="1:39">
      <c r="A19" s="364" t="s">
        <v>26</v>
      </c>
      <c r="B19" s="296" t="s">
        <v>17</v>
      </c>
      <c r="C19" s="2254">
        <v>6634</v>
      </c>
      <c r="D19" s="2560">
        <v>6438</v>
      </c>
      <c r="E19" s="2017">
        <v>6595</v>
      </c>
      <c r="F19" s="2017">
        <v>6672</v>
      </c>
      <c r="G19" s="2017">
        <v>6672</v>
      </c>
      <c r="H19" s="2017">
        <v>6672</v>
      </c>
      <c r="I19" s="2561">
        <v>6738</v>
      </c>
      <c r="J19" s="2562">
        <f t="shared" si="0"/>
        <v>0.02</v>
      </c>
      <c r="K19" s="1046">
        <f t="shared" si="1"/>
        <v>0.43</v>
      </c>
      <c r="L19" s="1866">
        <v>0</v>
      </c>
      <c r="M19" s="568">
        <v>0.43</v>
      </c>
      <c r="N19" s="820">
        <f t="shared" si="2"/>
        <v>0.42</v>
      </c>
      <c r="O19" s="1872">
        <v>0</v>
      </c>
      <c r="P19" s="15">
        <f t="shared" si="21"/>
        <v>0.42</v>
      </c>
      <c r="Q19" s="820">
        <f t="shared" si="3"/>
        <v>0.43</v>
      </c>
      <c r="R19" s="1872">
        <v>0</v>
      </c>
      <c r="S19" s="1002">
        <f t="shared" si="22"/>
        <v>0.43</v>
      </c>
      <c r="T19" s="820">
        <f t="shared" si="4"/>
        <v>0.43</v>
      </c>
      <c r="U19" s="1872">
        <v>0</v>
      </c>
      <c r="V19" s="367">
        <f t="shared" si="23"/>
        <v>0.43</v>
      </c>
      <c r="W19" s="870">
        <f t="shared" si="5"/>
        <v>0.43</v>
      </c>
      <c r="X19" s="322">
        <v>0</v>
      </c>
      <c r="Y19" s="830">
        <f t="shared" si="24"/>
        <v>0.43</v>
      </c>
      <c r="Z19" s="823">
        <f t="shared" si="6"/>
        <v>0.43</v>
      </c>
      <c r="AA19" s="322">
        <v>0</v>
      </c>
      <c r="AB19" s="830">
        <f t="shared" si="25"/>
        <v>0.43</v>
      </c>
      <c r="AC19" s="823">
        <f t="shared" si="26"/>
        <v>0.44</v>
      </c>
      <c r="AD19" s="322">
        <v>0</v>
      </c>
      <c r="AE19" s="830">
        <f t="shared" si="27"/>
        <v>0.44</v>
      </c>
      <c r="AF19" s="1861">
        <f t="shared" si="7"/>
        <v>0.02</v>
      </c>
      <c r="AG19" s="2559">
        <v>65</v>
      </c>
      <c r="AH19" s="2563">
        <f t="shared" si="8"/>
        <v>0.47</v>
      </c>
      <c r="AI19" s="322">
        <v>0</v>
      </c>
      <c r="AJ19" s="1002">
        <f t="shared" si="28"/>
        <v>0.47</v>
      </c>
      <c r="AL19" s="2015">
        <f t="shared" si="9"/>
        <v>104</v>
      </c>
      <c r="AM19" s="1628">
        <f t="shared" si="10"/>
        <v>0.01</v>
      </c>
    </row>
    <row r="20" spans="1:39">
      <c r="A20" s="365" t="s">
        <v>27</v>
      </c>
      <c r="B20" s="2565" t="s">
        <v>15</v>
      </c>
      <c r="C20" s="1953">
        <v>8319</v>
      </c>
      <c r="D20" s="824">
        <v>9381</v>
      </c>
      <c r="E20" s="814">
        <v>10820</v>
      </c>
      <c r="F20" s="814">
        <v>11659</v>
      </c>
      <c r="G20" s="814">
        <v>12740</v>
      </c>
      <c r="H20" s="814">
        <v>13615</v>
      </c>
      <c r="I20" s="2442">
        <v>14424</v>
      </c>
      <c r="J20" s="2558">
        <f t="shared" si="0"/>
        <v>0.73</v>
      </c>
      <c r="K20" s="885">
        <f t="shared" ref="K20:K24" si="29">M20</f>
        <v>3.86</v>
      </c>
      <c r="L20" s="884">
        <v>0</v>
      </c>
      <c r="M20" s="395">
        <v>3.86</v>
      </c>
      <c r="N20" s="823">
        <f t="shared" ref="N20:N24" si="30">P20</f>
        <v>1.43</v>
      </c>
      <c r="O20" s="322">
        <v>0</v>
      </c>
      <c r="P20" s="15">
        <f t="shared" ref="P20:P24" si="31">D20*AG20/1000000</f>
        <v>1.43</v>
      </c>
      <c r="Q20" s="823">
        <f t="shared" ref="Q20:Q24" si="32">S20</f>
        <v>1.64</v>
      </c>
      <c r="R20" s="322">
        <v>0</v>
      </c>
      <c r="S20" s="830">
        <f t="shared" ref="S20:S24" si="33">E20*AG20/1000000</f>
        <v>1.64</v>
      </c>
      <c r="T20" s="823">
        <f t="shared" ref="T20:T24" si="34">V20</f>
        <v>1.77</v>
      </c>
      <c r="U20" s="322">
        <v>0</v>
      </c>
      <c r="V20" s="15">
        <f t="shared" ref="V20:V24" si="35">F20*AG20/1000000</f>
        <v>1.77</v>
      </c>
      <c r="W20" s="870">
        <f t="shared" ref="W20:W24" si="36">Y20</f>
        <v>1.94</v>
      </c>
      <c r="X20" s="14">
        <v>0</v>
      </c>
      <c r="Y20" s="830">
        <f t="shared" ref="Y20:Y24" si="37">G20*AG20/1000000</f>
        <v>1.94</v>
      </c>
      <c r="Z20" s="823">
        <f t="shared" ref="Z20:Z24" si="38">AB20</f>
        <v>2.0699999999999998</v>
      </c>
      <c r="AA20" s="14">
        <v>0</v>
      </c>
      <c r="AB20" s="15">
        <f t="shared" ref="AB20:AB24" si="39">H20*AG20/1000000</f>
        <v>2.0699999999999998</v>
      </c>
      <c r="AC20" s="823">
        <f t="shared" si="26"/>
        <v>2.19</v>
      </c>
      <c r="AD20" s="14">
        <v>0</v>
      </c>
      <c r="AE20" s="15">
        <f t="shared" si="27"/>
        <v>2.19</v>
      </c>
      <c r="AF20" s="2539">
        <f t="shared" si="7"/>
        <v>-0.43</v>
      </c>
      <c r="AG20" s="2540">
        <v>152</v>
      </c>
      <c r="AH20" s="870">
        <f t="shared" ref="AH20:AH24" si="40">AJ20</f>
        <v>2.3199999999999998</v>
      </c>
      <c r="AI20" s="322">
        <v>0</v>
      </c>
      <c r="AJ20" s="830">
        <f t="shared" si="28"/>
        <v>2.3199999999999998</v>
      </c>
      <c r="AL20" s="1953">
        <f t="shared" si="9"/>
        <v>6105</v>
      </c>
      <c r="AM20" s="1627">
        <f t="shared" si="10"/>
        <v>-1.67</v>
      </c>
    </row>
    <row r="21" spans="1:39">
      <c r="A21" s="365" t="s">
        <v>28</v>
      </c>
      <c r="B21" s="2565" t="s">
        <v>15</v>
      </c>
      <c r="C21" s="1953">
        <v>53402</v>
      </c>
      <c r="D21" s="864">
        <v>53285</v>
      </c>
      <c r="E21" s="872">
        <v>53285</v>
      </c>
      <c r="F21" s="872">
        <v>53285</v>
      </c>
      <c r="G21" s="872">
        <v>53285</v>
      </c>
      <c r="H21" s="872">
        <v>53285</v>
      </c>
      <c r="I21" s="995">
        <v>53285</v>
      </c>
      <c r="J21" s="2558">
        <f t="shared" si="0"/>
        <v>0</v>
      </c>
      <c r="K21" s="885">
        <f t="shared" si="29"/>
        <v>2.35</v>
      </c>
      <c r="L21" s="884">
        <v>0</v>
      </c>
      <c r="M21" s="395">
        <v>2.35</v>
      </c>
      <c r="N21" s="823">
        <f t="shared" si="30"/>
        <v>3.04</v>
      </c>
      <c r="O21" s="322">
        <v>0</v>
      </c>
      <c r="P21" s="15">
        <f t="shared" si="31"/>
        <v>3.04</v>
      </c>
      <c r="Q21" s="823">
        <f t="shared" si="32"/>
        <v>3.04</v>
      </c>
      <c r="R21" s="322">
        <v>0</v>
      </c>
      <c r="S21" s="830">
        <f t="shared" si="33"/>
        <v>3.04</v>
      </c>
      <c r="T21" s="823">
        <f t="shared" si="34"/>
        <v>3.04</v>
      </c>
      <c r="U21" s="322">
        <v>0</v>
      </c>
      <c r="V21" s="15">
        <f t="shared" si="35"/>
        <v>3.04</v>
      </c>
      <c r="W21" s="870">
        <f t="shared" si="36"/>
        <v>3.04</v>
      </c>
      <c r="X21" s="14">
        <v>0</v>
      </c>
      <c r="Y21" s="830">
        <f t="shared" si="37"/>
        <v>3.04</v>
      </c>
      <c r="Z21" s="823">
        <f t="shared" si="38"/>
        <v>3.04</v>
      </c>
      <c r="AA21" s="14">
        <v>0</v>
      </c>
      <c r="AB21" s="15">
        <f t="shared" si="39"/>
        <v>3.04</v>
      </c>
      <c r="AC21" s="823">
        <f t="shared" si="26"/>
        <v>3.04</v>
      </c>
      <c r="AD21" s="14">
        <v>0</v>
      </c>
      <c r="AE21" s="15">
        <f t="shared" si="27"/>
        <v>3.04</v>
      </c>
      <c r="AF21" s="2539">
        <f t="shared" si="7"/>
        <v>0.28999999999999998</v>
      </c>
      <c r="AG21" s="2559">
        <v>57</v>
      </c>
      <c r="AH21" s="870">
        <f t="shared" si="40"/>
        <v>3.22</v>
      </c>
      <c r="AI21" s="322">
        <v>0</v>
      </c>
      <c r="AJ21" s="830">
        <f t="shared" si="28"/>
        <v>3.22</v>
      </c>
      <c r="AL21" s="305">
        <f t="shared" si="9"/>
        <v>-117</v>
      </c>
      <c r="AM21" s="1627">
        <f t="shared" si="10"/>
        <v>0.69</v>
      </c>
    </row>
    <row r="22" spans="1:39">
      <c r="A22" s="365" t="s">
        <v>29</v>
      </c>
      <c r="B22" s="2566" t="s">
        <v>15</v>
      </c>
      <c r="C22" s="1953">
        <v>41968</v>
      </c>
      <c r="D22" s="864">
        <v>51023</v>
      </c>
      <c r="E22" s="872">
        <v>59917</v>
      </c>
      <c r="F22" s="872">
        <v>69240</v>
      </c>
      <c r="G22" s="872">
        <v>76826</v>
      </c>
      <c r="H22" s="872">
        <v>84840</v>
      </c>
      <c r="I22" s="995">
        <v>92269</v>
      </c>
      <c r="J22" s="2558">
        <f t="shared" si="0"/>
        <v>1.2</v>
      </c>
      <c r="K22" s="885">
        <f t="shared" si="29"/>
        <v>2.67</v>
      </c>
      <c r="L22" s="884">
        <v>0</v>
      </c>
      <c r="M22" s="395">
        <v>2.67</v>
      </c>
      <c r="N22" s="823">
        <f t="shared" si="30"/>
        <v>4.49</v>
      </c>
      <c r="O22" s="322">
        <v>0</v>
      </c>
      <c r="P22" s="830">
        <f t="shared" si="31"/>
        <v>4.49</v>
      </c>
      <c r="Q22" s="823">
        <f t="shared" si="32"/>
        <v>5.27</v>
      </c>
      <c r="R22" s="322">
        <v>0</v>
      </c>
      <c r="S22" s="830">
        <f t="shared" si="33"/>
        <v>5.27</v>
      </c>
      <c r="T22" s="823">
        <f t="shared" si="34"/>
        <v>6.09</v>
      </c>
      <c r="U22" s="322">
        <v>0</v>
      </c>
      <c r="V22" s="830">
        <f t="shared" si="35"/>
        <v>6.09</v>
      </c>
      <c r="W22" s="870">
        <f t="shared" si="36"/>
        <v>6.76</v>
      </c>
      <c r="X22" s="322">
        <v>0</v>
      </c>
      <c r="Y22" s="830">
        <f t="shared" si="37"/>
        <v>6.76</v>
      </c>
      <c r="Z22" s="823">
        <f t="shared" si="38"/>
        <v>7.47</v>
      </c>
      <c r="AA22" s="322">
        <v>0</v>
      </c>
      <c r="AB22" s="830">
        <f t="shared" si="39"/>
        <v>7.47</v>
      </c>
      <c r="AC22" s="823">
        <f t="shared" si="26"/>
        <v>8.1199999999999992</v>
      </c>
      <c r="AD22" s="322">
        <v>0</v>
      </c>
      <c r="AE22" s="830">
        <f t="shared" si="27"/>
        <v>8.1199999999999992</v>
      </c>
      <c r="AF22" s="2567">
        <f t="shared" si="7"/>
        <v>2.04</v>
      </c>
      <c r="AG22" s="2559">
        <v>88</v>
      </c>
      <c r="AH22" s="870">
        <f t="shared" si="40"/>
        <v>8.61</v>
      </c>
      <c r="AI22" s="322">
        <v>0</v>
      </c>
      <c r="AJ22" s="830">
        <f t="shared" si="28"/>
        <v>8.61</v>
      </c>
      <c r="AL22" s="305">
        <f t="shared" si="9"/>
        <v>50301</v>
      </c>
      <c r="AM22" s="1627">
        <f t="shared" si="10"/>
        <v>5.45</v>
      </c>
    </row>
    <row r="23" spans="1:39">
      <c r="A23" s="365" t="s">
        <v>30</v>
      </c>
      <c r="B23" s="2566" t="s">
        <v>17</v>
      </c>
      <c r="C23" s="1953">
        <v>33604</v>
      </c>
      <c r="D23" s="824">
        <v>35337</v>
      </c>
      <c r="E23" s="814">
        <v>36901</v>
      </c>
      <c r="F23" s="814">
        <v>38435</v>
      </c>
      <c r="G23" s="814">
        <v>39650</v>
      </c>
      <c r="H23" s="814">
        <v>40797</v>
      </c>
      <c r="I23" s="2561">
        <v>41824</v>
      </c>
      <c r="J23" s="2562">
        <f t="shared" si="0"/>
        <v>0.24</v>
      </c>
      <c r="K23" s="1046">
        <f t="shared" si="29"/>
        <v>2.1800000000000002</v>
      </c>
      <c r="L23" s="1866">
        <v>0</v>
      </c>
      <c r="M23" s="568">
        <v>2.1800000000000002</v>
      </c>
      <c r="N23" s="820">
        <f t="shared" si="30"/>
        <v>2.2999999999999998</v>
      </c>
      <c r="O23" s="1872">
        <v>0</v>
      </c>
      <c r="P23" s="15">
        <f t="shared" si="31"/>
        <v>2.2999999999999998</v>
      </c>
      <c r="Q23" s="820">
        <f t="shared" si="32"/>
        <v>2.4</v>
      </c>
      <c r="R23" s="1872">
        <v>0</v>
      </c>
      <c r="S23" s="1002">
        <f t="shared" si="33"/>
        <v>2.4</v>
      </c>
      <c r="T23" s="820">
        <f t="shared" si="34"/>
        <v>2.5</v>
      </c>
      <c r="U23" s="1872">
        <v>0</v>
      </c>
      <c r="V23" s="367">
        <f t="shared" si="35"/>
        <v>2.5</v>
      </c>
      <c r="W23" s="2563">
        <f t="shared" si="36"/>
        <v>2.58</v>
      </c>
      <c r="X23" s="14">
        <v>0</v>
      </c>
      <c r="Y23" s="1002">
        <f t="shared" si="37"/>
        <v>2.58</v>
      </c>
      <c r="Z23" s="820">
        <f t="shared" si="38"/>
        <v>2.65</v>
      </c>
      <c r="AA23" s="14">
        <v>0</v>
      </c>
      <c r="AB23" s="367">
        <f t="shared" si="39"/>
        <v>2.65</v>
      </c>
      <c r="AC23" s="820">
        <f t="shared" si="26"/>
        <v>2.72</v>
      </c>
      <c r="AD23" s="14">
        <v>0</v>
      </c>
      <c r="AE23" s="367">
        <f t="shared" si="27"/>
        <v>2.72</v>
      </c>
      <c r="AF23" s="2567">
        <f t="shared" si="7"/>
        <v>0.25</v>
      </c>
      <c r="AG23" s="2564">
        <v>65</v>
      </c>
      <c r="AH23" s="2563">
        <f t="shared" si="40"/>
        <v>2.88</v>
      </c>
      <c r="AI23" s="322">
        <v>0</v>
      </c>
      <c r="AJ23" s="1002">
        <f t="shared" si="28"/>
        <v>2.88</v>
      </c>
      <c r="AL23" s="1953">
        <f t="shared" si="9"/>
        <v>8220</v>
      </c>
      <c r="AM23" s="1628">
        <f t="shared" si="10"/>
        <v>0.54</v>
      </c>
    </row>
    <row r="24" spans="1:39" ht="13.5" thickBot="1">
      <c r="A24" s="133" t="s">
        <v>31</v>
      </c>
      <c r="B24" s="2568" t="s">
        <v>17</v>
      </c>
      <c r="C24" s="2031">
        <v>9180</v>
      </c>
      <c r="D24" s="2408">
        <v>8824</v>
      </c>
      <c r="E24" s="2033">
        <v>8889</v>
      </c>
      <c r="F24" s="2033">
        <v>8889</v>
      </c>
      <c r="G24" s="2033">
        <v>8969</v>
      </c>
      <c r="H24" s="2033">
        <v>8969</v>
      </c>
      <c r="I24" s="2409">
        <v>8969</v>
      </c>
      <c r="J24" s="1871">
        <f t="shared" si="0"/>
        <v>-0.02</v>
      </c>
      <c r="K24" s="875">
        <f t="shared" si="29"/>
        <v>0.66</v>
      </c>
      <c r="L24" s="410">
        <v>0</v>
      </c>
      <c r="M24" s="17">
        <v>0.66</v>
      </c>
      <c r="N24" s="48">
        <f t="shared" si="30"/>
        <v>0.64</v>
      </c>
      <c r="O24" s="366">
        <v>0</v>
      </c>
      <c r="P24" s="874">
        <f t="shared" si="31"/>
        <v>0.64</v>
      </c>
      <c r="Q24" s="48">
        <f t="shared" si="32"/>
        <v>0.64</v>
      </c>
      <c r="R24" s="366">
        <v>0</v>
      </c>
      <c r="S24" s="874">
        <f t="shared" si="33"/>
        <v>0.64</v>
      </c>
      <c r="T24" s="48">
        <f t="shared" si="34"/>
        <v>0.64</v>
      </c>
      <c r="U24" s="366">
        <v>0</v>
      </c>
      <c r="V24" s="49">
        <f t="shared" si="35"/>
        <v>0.64</v>
      </c>
      <c r="W24" s="1006">
        <f t="shared" si="36"/>
        <v>0.65</v>
      </c>
      <c r="X24" s="366">
        <v>0</v>
      </c>
      <c r="Y24" s="874">
        <f t="shared" si="37"/>
        <v>0.65</v>
      </c>
      <c r="Z24" s="48">
        <f t="shared" si="38"/>
        <v>0.65</v>
      </c>
      <c r="AA24" s="366">
        <v>0</v>
      </c>
      <c r="AB24" s="49">
        <f t="shared" si="39"/>
        <v>0.65</v>
      </c>
      <c r="AC24" s="48">
        <f t="shared" si="26"/>
        <v>0.65</v>
      </c>
      <c r="AD24" s="366">
        <v>0</v>
      </c>
      <c r="AE24" s="49">
        <f t="shared" si="27"/>
        <v>0.65</v>
      </c>
      <c r="AF24" s="2541">
        <f t="shared" si="7"/>
        <v>-0.02</v>
      </c>
      <c r="AG24" s="2208">
        <v>72</v>
      </c>
      <c r="AH24" s="1006">
        <f t="shared" si="40"/>
        <v>0.69</v>
      </c>
      <c r="AI24" s="366">
        <v>0</v>
      </c>
      <c r="AJ24" s="874">
        <f t="shared" si="28"/>
        <v>0.69</v>
      </c>
      <c r="AL24" s="2031">
        <f t="shared" si="9"/>
        <v>-211</v>
      </c>
      <c r="AM24" s="1623">
        <f t="shared" si="10"/>
        <v>-0.01</v>
      </c>
    </row>
    <row r="25" spans="1:39" ht="14.25" thickTop="1" thickBot="1">
      <c r="A25" s="3385" t="s">
        <v>32</v>
      </c>
      <c r="B25" s="3386"/>
      <c r="C25" s="2185">
        <f t="shared" ref="C25:I25" si="41">C5+C8+C11+C14+C16+C17+C20+C21+C22</f>
        <v>414216</v>
      </c>
      <c r="D25" s="856">
        <f t="shared" si="41"/>
        <v>447526</v>
      </c>
      <c r="E25" s="172">
        <f t="shared" si="41"/>
        <v>483548</v>
      </c>
      <c r="F25" s="172">
        <f t="shared" si="41"/>
        <v>520546</v>
      </c>
      <c r="G25" s="172">
        <f t="shared" si="41"/>
        <v>544582</v>
      </c>
      <c r="H25" s="172">
        <f t="shared" si="41"/>
        <v>567525</v>
      </c>
      <c r="I25" s="290">
        <f t="shared" si="41"/>
        <v>588141</v>
      </c>
      <c r="J25" s="242">
        <f t="shared" si="0"/>
        <v>0.42</v>
      </c>
      <c r="K25" s="619">
        <f>K5+K8+K11+K14+K16+K17+K20+K21+K22</f>
        <v>31.77</v>
      </c>
      <c r="L25" s="620">
        <f t="shared" ref="L25:AE25" si="42">L5+L8+L11+L14+L16+L17+L20+L21+L22</f>
        <v>0</v>
      </c>
      <c r="M25" s="621">
        <f t="shared" si="42"/>
        <v>31.77</v>
      </c>
      <c r="N25" s="2569">
        <f t="shared" si="42"/>
        <v>39.659999999999997</v>
      </c>
      <c r="O25" s="2570">
        <f t="shared" si="42"/>
        <v>0</v>
      </c>
      <c r="P25" s="2067">
        <f t="shared" si="42"/>
        <v>39.659999999999997</v>
      </c>
      <c r="Q25" s="2571">
        <f t="shared" si="42"/>
        <v>43</v>
      </c>
      <c r="R25" s="2572">
        <f t="shared" si="42"/>
        <v>0</v>
      </c>
      <c r="S25" s="2066">
        <f t="shared" si="42"/>
        <v>43</v>
      </c>
      <c r="T25" s="2569">
        <f t="shared" si="42"/>
        <v>46.22</v>
      </c>
      <c r="U25" s="2570">
        <f t="shared" si="42"/>
        <v>0</v>
      </c>
      <c r="V25" s="2067">
        <f t="shared" si="42"/>
        <v>46.22</v>
      </c>
      <c r="W25" s="2571">
        <f t="shared" si="42"/>
        <v>48.51</v>
      </c>
      <c r="X25" s="2572">
        <f t="shared" si="42"/>
        <v>0</v>
      </c>
      <c r="Y25" s="2066">
        <f t="shared" si="42"/>
        <v>48.51</v>
      </c>
      <c r="Z25" s="2569">
        <f t="shared" si="42"/>
        <v>50.6</v>
      </c>
      <c r="AA25" s="2570">
        <f t="shared" si="42"/>
        <v>0</v>
      </c>
      <c r="AB25" s="2067">
        <f t="shared" si="42"/>
        <v>50.6</v>
      </c>
      <c r="AC25" s="2569">
        <f t="shared" si="42"/>
        <v>52.5</v>
      </c>
      <c r="AD25" s="2570">
        <f t="shared" si="42"/>
        <v>0</v>
      </c>
      <c r="AE25" s="2067">
        <f t="shared" si="42"/>
        <v>52.5</v>
      </c>
      <c r="AF25" s="2573">
        <f t="shared" si="7"/>
        <v>0.65</v>
      </c>
      <c r="AG25" s="2574" t="s">
        <v>16</v>
      </c>
      <c r="AH25" s="140">
        <f t="shared" ref="AH25:AJ25" si="43">AH5+AH8+AH11+AH14+AH16+AH17+AH20+AH21+AH22</f>
        <v>55.64</v>
      </c>
      <c r="AI25" s="104">
        <f t="shared" si="43"/>
        <v>0</v>
      </c>
      <c r="AJ25" s="61">
        <f t="shared" si="43"/>
        <v>55.64</v>
      </c>
      <c r="AL25" s="2181">
        <f t="shared" si="9"/>
        <v>173925</v>
      </c>
      <c r="AM25" s="1629">
        <f t="shared" si="10"/>
        <v>20.73</v>
      </c>
    </row>
    <row r="26" spans="1:39" ht="13.5" thickBot="1">
      <c r="A26" s="3375" t="s">
        <v>33</v>
      </c>
      <c r="B26" s="3376"/>
      <c r="C26" s="2575">
        <f>C6+C9+C12+C15+C18+C19+C23+C24</f>
        <v>153018</v>
      </c>
      <c r="D26" s="189">
        <f t="shared" ref="D26:I26" si="44">D6+D9+D12+D15+D18+D19+D23+D24</f>
        <v>163784</v>
      </c>
      <c r="E26" s="190">
        <f t="shared" si="44"/>
        <v>175224</v>
      </c>
      <c r="F26" s="190">
        <f t="shared" si="44"/>
        <v>183944</v>
      </c>
      <c r="G26" s="190">
        <f t="shared" si="44"/>
        <v>194253</v>
      </c>
      <c r="H26" s="190">
        <f t="shared" si="44"/>
        <v>201714</v>
      </c>
      <c r="I26" s="709">
        <f t="shared" si="44"/>
        <v>207811</v>
      </c>
      <c r="J26" s="2576">
        <f t="shared" si="0"/>
        <v>0.36</v>
      </c>
      <c r="K26" s="697">
        <f>K6+K9+K12+K15+K18+K19+K23+K24</f>
        <v>9.0500000000000007</v>
      </c>
      <c r="L26" s="695">
        <f t="shared" ref="L26:AE26" si="45">L6+L9+L12+L15+L18+L19+L23+L24</f>
        <v>0</v>
      </c>
      <c r="M26" s="2577">
        <f t="shared" si="45"/>
        <v>9.0500000000000007</v>
      </c>
      <c r="N26" s="2578">
        <f t="shared" si="45"/>
        <v>9.6999999999999993</v>
      </c>
      <c r="O26" s="2579">
        <f t="shared" si="45"/>
        <v>0</v>
      </c>
      <c r="P26" s="2580">
        <f t="shared" si="45"/>
        <v>9.6999999999999993</v>
      </c>
      <c r="Q26" s="2581">
        <f t="shared" si="45"/>
        <v>10.33</v>
      </c>
      <c r="R26" s="2582">
        <f t="shared" si="45"/>
        <v>0</v>
      </c>
      <c r="S26" s="2583">
        <f t="shared" si="45"/>
        <v>10.33</v>
      </c>
      <c r="T26" s="2578">
        <f t="shared" si="45"/>
        <v>10.84</v>
      </c>
      <c r="U26" s="2579">
        <f t="shared" si="45"/>
        <v>0</v>
      </c>
      <c r="V26" s="2580">
        <f t="shared" si="45"/>
        <v>10.84</v>
      </c>
      <c r="W26" s="2584">
        <f t="shared" si="45"/>
        <v>11.42</v>
      </c>
      <c r="X26" s="2582">
        <f t="shared" si="45"/>
        <v>0</v>
      </c>
      <c r="Y26" s="2583">
        <f t="shared" si="45"/>
        <v>11.42</v>
      </c>
      <c r="Z26" s="2578">
        <f t="shared" si="45"/>
        <v>11.87</v>
      </c>
      <c r="AA26" s="2579">
        <f t="shared" si="45"/>
        <v>0</v>
      </c>
      <c r="AB26" s="2580">
        <f t="shared" si="45"/>
        <v>11.87</v>
      </c>
      <c r="AC26" s="2578">
        <f t="shared" si="45"/>
        <v>12.21</v>
      </c>
      <c r="AD26" s="2579">
        <f t="shared" si="45"/>
        <v>0</v>
      </c>
      <c r="AE26" s="2580">
        <f t="shared" si="45"/>
        <v>12.21</v>
      </c>
      <c r="AF26" s="2585">
        <f t="shared" si="7"/>
        <v>0.35</v>
      </c>
      <c r="AG26" s="2586" t="s">
        <v>16</v>
      </c>
      <c r="AH26" s="2587">
        <f t="shared" ref="AH26:AJ26" si="46">AH6+AH9+AH12+AH15+AH18+AH19+AH23+AH24</f>
        <v>12.94</v>
      </c>
      <c r="AI26" s="253">
        <f t="shared" si="46"/>
        <v>0</v>
      </c>
      <c r="AJ26" s="191">
        <f t="shared" si="46"/>
        <v>12.94</v>
      </c>
      <c r="AL26" s="2588">
        <f t="shared" si="9"/>
        <v>54793</v>
      </c>
      <c r="AM26" s="1630">
        <f t="shared" si="10"/>
        <v>3.16</v>
      </c>
    </row>
    <row r="27" spans="1:39" ht="13.5" thickBot="1">
      <c r="A27" s="3383" t="s">
        <v>34</v>
      </c>
      <c r="B27" s="3384"/>
      <c r="C27" s="2589">
        <f t="shared" ref="C27" si="47">C25+C26</f>
        <v>567234</v>
      </c>
      <c r="D27" s="857">
        <f t="shared" ref="D27:I27" si="48">D25+D26</f>
        <v>611310</v>
      </c>
      <c r="E27" s="251">
        <f t="shared" si="48"/>
        <v>658772</v>
      </c>
      <c r="F27" s="251">
        <f t="shared" si="48"/>
        <v>704490</v>
      </c>
      <c r="G27" s="251">
        <f t="shared" si="48"/>
        <v>738835</v>
      </c>
      <c r="H27" s="251">
        <f t="shared" si="48"/>
        <v>769239</v>
      </c>
      <c r="I27" s="97">
        <f t="shared" si="48"/>
        <v>795952</v>
      </c>
      <c r="J27" s="2590">
        <f t="shared" si="0"/>
        <v>0.4</v>
      </c>
      <c r="K27" s="592">
        <f t="shared" ref="K27" si="49">K25+K26</f>
        <v>40.82</v>
      </c>
      <c r="L27" s="536">
        <f t="shared" ref="L27:AE27" si="50">L25+L26</f>
        <v>0</v>
      </c>
      <c r="M27" s="537">
        <f t="shared" si="50"/>
        <v>40.82</v>
      </c>
      <c r="N27" s="2591">
        <f t="shared" si="50"/>
        <v>49.36</v>
      </c>
      <c r="O27" s="2592">
        <f t="shared" si="50"/>
        <v>0</v>
      </c>
      <c r="P27" s="2101">
        <f t="shared" si="50"/>
        <v>49.36</v>
      </c>
      <c r="Q27" s="2593">
        <f t="shared" si="50"/>
        <v>53.33</v>
      </c>
      <c r="R27" s="2594">
        <f t="shared" si="50"/>
        <v>0</v>
      </c>
      <c r="S27" s="2100">
        <f t="shared" si="50"/>
        <v>53.33</v>
      </c>
      <c r="T27" s="2591">
        <f t="shared" si="50"/>
        <v>57.06</v>
      </c>
      <c r="U27" s="2592">
        <f t="shared" si="50"/>
        <v>0</v>
      </c>
      <c r="V27" s="2101">
        <f t="shared" si="50"/>
        <v>57.06</v>
      </c>
      <c r="W27" s="2595">
        <f t="shared" si="50"/>
        <v>59.93</v>
      </c>
      <c r="X27" s="2594">
        <f t="shared" si="50"/>
        <v>0</v>
      </c>
      <c r="Y27" s="2100">
        <f t="shared" si="50"/>
        <v>59.93</v>
      </c>
      <c r="Z27" s="2591">
        <f t="shared" si="50"/>
        <v>62.47</v>
      </c>
      <c r="AA27" s="2592">
        <f t="shared" si="50"/>
        <v>0</v>
      </c>
      <c r="AB27" s="2101">
        <f t="shared" si="50"/>
        <v>62.47</v>
      </c>
      <c r="AC27" s="2591">
        <f t="shared" si="50"/>
        <v>64.709999999999994</v>
      </c>
      <c r="AD27" s="2592">
        <f t="shared" si="50"/>
        <v>0</v>
      </c>
      <c r="AE27" s="2101">
        <f t="shared" si="50"/>
        <v>64.709999999999994</v>
      </c>
      <c r="AF27" s="2596">
        <f t="shared" si="7"/>
        <v>0.59</v>
      </c>
      <c r="AG27" s="2597" t="s">
        <v>16</v>
      </c>
      <c r="AH27" s="35">
        <f t="shared" ref="AH27:AJ27" si="51">AH25+AH26</f>
        <v>68.58</v>
      </c>
      <c r="AI27" s="20">
        <f t="shared" si="51"/>
        <v>0</v>
      </c>
      <c r="AJ27" s="21">
        <f t="shared" si="51"/>
        <v>68.58</v>
      </c>
      <c r="AL27" s="1983">
        <f t="shared" si="9"/>
        <v>228718</v>
      </c>
      <c r="AM27" s="1624">
        <f t="shared" si="10"/>
        <v>23.89</v>
      </c>
    </row>
    <row r="28" spans="1:39">
      <c r="A28" s="89" t="s">
        <v>35</v>
      </c>
      <c r="B28" s="2598"/>
      <c r="C28" s="2598"/>
      <c r="AF28" s="2599" t="s">
        <v>36</v>
      </c>
    </row>
    <row r="29" spans="1:39">
      <c r="A29" s="1" t="s">
        <v>68</v>
      </c>
      <c r="B29" s="54"/>
      <c r="E29" s="1" t="s">
        <v>36</v>
      </c>
      <c r="F29" s="1" t="s">
        <v>36</v>
      </c>
      <c r="L29" s="1" t="s">
        <v>36</v>
      </c>
      <c r="P29" s="1" t="s">
        <v>36</v>
      </c>
      <c r="U29" s="1" t="s">
        <v>36</v>
      </c>
      <c r="AD29" s="1" t="s">
        <v>36</v>
      </c>
      <c r="AG29" s="1" t="s">
        <v>36</v>
      </c>
    </row>
    <row r="30" spans="1:39">
      <c r="A30" s="1" t="s">
        <v>69</v>
      </c>
      <c r="B30" s="54"/>
      <c r="AC30" s="1" t="s">
        <v>377</v>
      </c>
    </row>
    <row r="31" spans="1:39" ht="12.75" customHeight="1">
      <c r="A31" s="1" t="s">
        <v>378</v>
      </c>
    </row>
    <row r="32" spans="1:39">
      <c r="A32" s="2" t="s">
        <v>40</v>
      </c>
    </row>
    <row r="33" spans="1:39">
      <c r="A33" s="2" t="s">
        <v>379</v>
      </c>
    </row>
    <row r="34" spans="1:39">
      <c r="A34" s="2" t="s">
        <v>268</v>
      </c>
    </row>
    <row r="35" spans="1:39">
      <c r="A35" s="2" t="s">
        <v>380</v>
      </c>
    </row>
    <row r="36" spans="1:39">
      <c r="A36" s="1" t="s">
        <v>381</v>
      </c>
    </row>
    <row r="37" spans="1:39">
      <c r="A37" s="1" t="s">
        <v>382</v>
      </c>
    </row>
    <row r="38" spans="1:39">
      <c r="A38" s="2"/>
    </row>
    <row r="39" spans="1:39" ht="13.5" thickBot="1">
      <c r="A39" s="297" t="s">
        <v>383</v>
      </c>
      <c r="B39" s="2538"/>
      <c r="C39" s="256"/>
      <c r="D39" s="256"/>
      <c r="E39" s="256"/>
      <c r="F39" s="256"/>
      <c r="G39" s="256"/>
      <c r="H39" s="256"/>
      <c r="I39" s="256"/>
    </row>
    <row r="40" spans="1:39" ht="13.5" thickBot="1">
      <c r="A40" s="3387" t="s">
        <v>1</v>
      </c>
      <c r="B40" s="3206" t="s">
        <v>2</v>
      </c>
      <c r="C40" s="3233" t="s">
        <v>275</v>
      </c>
      <c r="D40" s="3293" t="s">
        <v>88</v>
      </c>
      <c r="E40" s="3294"/>
      <c r="F40" s="3294"/>
      <c r="G40" s="3294"/>
      <c r="H40" s="3294"/>
      <c r="I40" s="3381"/>
      <c r="J40" s="3267" t="s">
        <v>57</v>
      </c>
      <c r="K40" s="3286" t="s">
        <v>55</v>
      </c>
      <c r="L40" s="3287"/>
      <c r="M40" s="3288"/>
      <c r="N40" s="3286" t="s">
        <v>56</v>
      </c>
      <c r="O40" s="3287"/>
      <c r="P40" s="3287"/>
      <c r="Q40" s="3287"/>
      <c r="R40" s="3287"/>
      <c r="S40" s="3287"/>
      <c r="T40" s="3287"/>
      <c r="U40" s="3287"/>
      <c r="V40" s="3287"/>
      <c r="W40" s="3287"/>
      <c r="X40" s="3287"/>
      <c r="Y40" s="3287"/>
      <c r="Z40" s="3287"/>
      <c r="AA40" s="3287"/>
      <c r="AB40" s="3287"/>
      <c r="AC40" s="3287"/>
      <c r="AD40" s="3287"/>
      <c r="AE40" s="3288"/>
      <c r="AF40" s="3265" t="s">
        <v>57</v>
      </c>
      <c r="AG40" s="3300" t="s">
        <v>376</v>
      </c>
      <c r="AH40" s="3262" t="s">
        <v>58</v>
      </c>
      <c r="AI40" s="3262"/>
      <c r="AJ40" s="3263"/>
      <c r="AL40" s="3300" t="s">
        <v>78</v>
      </c>
      <c r="AM40" s="3300" t="s">
        <v>80</v>
      </c>
    </row>
    <row r="41" spans="1:39" ht="13.5" thickBot="1">
      <c r="A41" s="3388"/>
      <c r="B41" s="3207"/>
      <c r="C41" s="3235"/>
      <c r="D41" s="3295"/>
      <c r="E41" s="3296"/>
      <c r="F41" s="3296"/>
      <c r="G41" s="3296"/>
      <c r="H41" s="3296"/>
      <c r="I41" s="3382"/>
      <c r="J41" s="3378"/>
      <c r="K41" s="3281">
        <v>2015</v>
      </c>
      <c r="L41" s="3281"/>
      <c r="M41" s="3281"/>
      <c r="N41" s="3305">
        <v>2020</v>
      </c>
      <c r="O41" s="3281"/>
      <c r="P41" s="3282"/>
      <c r="Q41" s="3305">
        <v>2025</v>
      </c>
      <c r="R41" s="3281"/>
      <c r="S41" s="3282"/>
      <c r="T41" s="3281">
        <v>2030</v>
      </c>
      <c r="U41" s="3281"/>
      <c r="V41" s="3281"/>
      <c r="W41" s="3305">
        <v>2035</v>
      </c>
      <c r="X41" s="3281"/>
      <c r="Y41" s="3282"/>
      <c r="Z41" s="3281">
        <v>2040</v>
      </c>
      <c r="AA41" s="3281"/>
      <c r="AB41" s="3282"/>
      <c r="AC41" s="3281">
        <v>2045</v>
      </c>
      <c r="AD41" s="3281"/>
      <c r="AE41" s="3282"/>
      <c r="AF41" s="3379"/>
      <c r="AG41" s="3301"/>
      <c r="AH41" s="3281">
        <v>2045</v>
      </c>
      <c r="AI41" s="3281"/>
      <c r="AJ41" s="3282"/>
      <c r="AL41" s="3301"/>
      <c r="AM41" s="3301"/>
    </row>
    <row r="42" spans="1:39" ht="13.5" thickBot="1">
      <c r="A42" s="3489"/>
      <c r="B42" s="3243"/>
      <c r="C42" s="1023">
        <v>2015</v>
      </c>
      <c r="D42" s="3030">
        <v>2020</v>
      </c>
      <c r="E42" s="3031">
        <v>2025</v>
      </c>
      <c r="F42" s="3031">
        <v>2030</v>
      </c>
      <c r="G42" s="3031">
        <v>2035</v>
      </c>
      <c r="H42" s="3029">
        <v>2040</v>
      </c>
      <c r="I42" s="3046">
        <v>2045</v>
      </c>
      <c r="J42" s="3377"/>
      <c r="K42" s="1127" t="s">
        <v>92</v>
      </c>
      <c r="L42" s="1128" t="s">
        <v>93</v>
      </c>
      <c r="M42" s="1129" t="s">
        <v>18</v>
      </c>
      <c r="N42" s="1130" t="s">
        <v>92</v>
      </c>
      <c r="O42" s="1128" t="s">
        <v>93</v>
      </c>
      <c r="P42" s="1681" t="s">
        <v>18</v>
      </c>
      <c r="Q42" s="1130" t="s">
        <v>92</v>
      </c>
      <c r="R42" s="1131" t="s">
        <v>93</v>
      </c>
      <c r="S42" s="1132" t="s">
        <v>18</v>
      </c>
      <c r="T42" s="1127" t="s">
        <v>92</v>
      </c>
      <c r="U42" s="1128" t="s">
        <v>93</v>
      </c>
      <c r="V42" s="1129" t="s">
        <v>18</v>
      </c>
      <c r="W42" s="1130" t="s">
        <v>92</v>
      </c>
      <c r="X42" s="1131" t="s">
        <v>93</v>
      </c>
      <c r="Y42" s="1681" t="s">
        <v>18</v>
      </c>
      <c r="Z42" s="1127" t="s">
        <v>92</v>
      </c>
      <c r="AA42" s="1128" t="s">
        <v>93</v>
      </c>
      <c r="AB42" s="1681" t="s">
        <v>18</v>
      </c>
      <c r="AC42" s="1127" t="s">
        <v>92</v>
      </c>
      <c r="AD42" s="1128" t="s">
        <v>93</v>
      </c>
      <c r="AE42" s="1681" t="s">
        <v>18</v>
      </c>
      <c r="AF42" s="3380"/>
      <c r="AG42" s="3302"/>
      <c r="AH42" s="1127" t="s">
        <v>92</v>
      </c>
      <c r="AI42" s="1128" t="s">
        <v>93</v>
      </c>
      <c r="AJ42" s="1681" t="s">
        <v>18</v>
      </c>
      <c r="AL42" s="3302"/>
      <c r="AM42" s="3302"/>
    </row>
    <row r="43" spans="1:39">
      <c r="A43" s="295" t="s">
        <v>46</v>
      </c>
      <c r="B43" s="296" t="s">
        <v>17</v>
      </c>
      <c r="C43" s="2254">
        <v>12308</v>
      </c>
      <c r="D43" s="72">
        <v>11957</v>
      </c>
      <c r="E43" s="76">
        <v>12032</v>
      </c>
      <c r="F43" s="76">
        <v>12068</v>
      </c>
      <c r="G43" s="76">
        <v>12148</v>
      </c>
      <c r="H43" s="76">
        <v>12148</v>
      </c>
      <c r="I43" s="2405">
        <v>12148</v>
      </c>
      <c r="J43" s="1685">
        <f t="shared" ref="J43:J49" si="52">(I43-C43)/C43</f>
        <v>-0.01</v>
      </c>
      <c r="K43" s="6">
        <f t="shared" ref="K43:K48" si="53">M43</f>
        <v>1.17</v>
      </c>
      <c r="L43" s="7">
        <v>0</v>
      </c>
      <c r="M43" s="8">
        <v>1.17</v>
      </c>
      <c r="N43" s="47">
        <f t="shared" ref="N43:N48" si="54">P43</f>
        <v>1.1399999999999999</v>
      </c>
      <c r="O43" s="14">
        <v>0</v>
      </c>
      <c r="P43" s="15">
        <f t="shared" ref="P43:P48" si="55">D43*AG43/1000000</f>
        <v>1.1399999999999999</v>
      </c>
      <c r="Q43" s="47">
        <f t="shared" ref="Q43:Q48" si="56">S43</f>
        <v>1.1399999999999999</v>
      </c>
      <c r="R43" s="14">
        <v>0</v>
      </c>
      <c r="S43" s="15">
        <f t="shared" ref="S43:S48" si="57">E43*AG43/1000000</f>
        <v>1.1399999999999999</v>
      </c>
      <c r="T43" s="47">
        <f t="shared" ref="T43:T48" si="58">V43</f>
        <v>1.1499999999999999</v>
      </c>
      <c r="U43" s="14">
        <v>0</v>
      </c>
      <c r="V43" s="15">
        <f t="shared" ref="V43:V48" si="59">F43*AG43/1000000</f>
        <v>1.1499999999999999</v>
      </c>
      <c r="W43" s="246">
        <f t="shared" ref="W43:W48" si="60">Y43</f>
        <v>1.1499999999999999</v>
      </c>
      <c r="X43" s="14">
        <v>0</v>
      </c>
      <c r="Y43" s="15">
        <f t="shared" ref="Y43:Y48" si="61">G43*AG43/1000000</f>
        <v>1.1499999999999999</v>
      </c>
      <c r="Z43" s="47">
        <f t="shared" ref="Z43:Z48" si="62">AB43</f>
        <v>1.1499999999999999</v>
      </c>
      <c r="AA43" s="14">
        <v>0</v>
      </c>
      <c r="AB43" s="15">
        <f t="shared" ref="AB43:AB48" si="63">H43*AG43/1000000</f>
        <v>1.1499999999999999</v>
      </c>
      <c r="AC43" s="47">
        <f>AE43</f>
        <v>1.1499999999999999</v>
      </c>
      <c r="AD43" s="14">
        <v>0</v>
      </c>
      <c r="AE43" s="15">
        <f>I43*AG43/1000000</f>
        <v>1.1499999999999999</v>
      </c>
      <c r="AF43" s="2539">
        <f>(AE43-M43)/M43</f>
        <v>-0.02</v>
      </c>
      <c r="AG43" s="2540">
        <v>95</v>
      </c>
      <c r="AH43" s="246">
        <f t="shared" ref="AH43:AH48" si="64">AJ43</f>
        <v>1.22</v>
      </c>
      <c r="AI43" s="14">
        <v>0</v>
      </c>
      <c r="AJ43" s="15">
        <f>AE43*1.06</f>
        <v>1.22</v>
      </c>
      <c r="AL43" s="2254">
        <f>I43-C43</f>
        <v>-160</v>
      </c>
      <c r="AM43" s="1626">
        <f>AE43-M43</f>
        <v>-0.02</v>
      </c>
    </row>
    <row r="44" spans="1:39">
      <c r="A44" s="364" t="s">
        <v>47</v>
      </c>
      <c r="B44" s="907" t="s">
        <v>17</v>
      </c>
      <c r="C44" s="1953">
        <v>2825</v>
      </c>
      <c r="D44" s="824">
        <v>2836</v>
      </c>
      <c r="E44" s="814">
        <v>2901</v>
      </c>
      <c r="F44" s="814">
        <v>2943</v>
      </c>
      <c r="G44" s="814">
        <v>2964</v>
      </c>
      <c r="H44" s="814">
        <v>3005</v>
      </c>
      <c r="I44" s="2442">
        <v>3026</v>
      </c>
      <c r="J44" s="2558">
        <f t="shared" si="52"/>
        <v>7.0000000000000007E-2</v>
      </c>
      <c r="K44" s="885">
        <f t="shared" si="53"/>
        <v>0.25</v>
      </c>
      <c r="L44" s="884">
        <v>0</v>
      </c>
      <c r="M44" s="395">
        <v>0.25</v>
      </c>
      <c r="N44" s="823">
        <f t="shared" si="54"/>
        <v>0.25</v>
      </c>
      <c r="O44" s="322">
        <v>0</v>
      </c>
      <c r="P44" s="830">
        <f t="shared" si="55"/>
        <v>0.25</v>
      </c>
      <c r="Q44" s="823">
        <f t="shared" si="56"/>
        <v>0.25</v>
      </c>
      <c r="R44" s="322">
        <v>0</v>
      </c>
      <c r="S44" s="830">
        <f t="shared" si="57"/>
        <v>0.25</v>
      </c>
      <c r="T44" s="823">
        <f t="shared" si="58"/>
        <v>0.26</v>
      </c>
      <c r="U44" s="322">
        <v>0</v>
      </c>
      <c r="V44" s="830">
        <f t="shared" si="59"/>
        <v>0.26</v>
      </c>
      <c r="W44" s="870">
        <f t="shared" si="60"/>
        <v>0.26</v>
      </c>
      <c r="X44" s="14">
        <v>0</v>
      </c>
      <c r="Y44" s="830">
        <f t="shared" si="61"/>
        <v>0.26</v>
      </c>
      <c r="Z44" s="823">
        <f t="shared" si="62"/>
        <v>0.26</v>
      </c>
      <c r="AA44" s="14">
        <v>0</v>
      </c>
      <c r="AB44" s="830">
        <f t="shared" si="63"/>
        <v>0.26</v>
      </c>
      <c r="AC44" s="823">
        <f t="shared" ref="AC44:AC48" si="65">AE44</f>
        <v>0.26</v>
      </c>
      <c r="AD44" s="14">
        <v>0</v>
      </c>
      <c r="AE44" s="830">
        <f t="shared" ref="AE44:AE48" si="66">I44*AG44/1000000</f>
        <v>0.26</v>
      </c>
      <c r="AF44" s="2539">
        <f t="shared" ref="AF44:AF49" si="67">(AE44-M44)/M44</f>
        <v>0.04</v>
      </c>
      <c r="AG44" s="2559">
        <v>87</v>
      </c>
      <c r="AH44" s="870">
        <f t="shared" si="64"/>
        <v>0.28000000000000003</v>
      </c>
      <c r="AI44" s="322">
        <v>0</v>
      </c>
      <c r="AJ44" s="830">
        <f t="shared" ref="AJ44:AJ48" si="68">AE44*1.06</f>
        <v>0.28000000000000003</v>
      </c>
      <c r="AL44" s="1953">
        <f t="shared" ref="AL44:AL49" si="69">I44-C44</f>
        <v>201</v>
      </c>
      <c r="AM44" s="1627">
        <f t="shared" ref="AM44:AM49" si="70">AE44-M44</f>
        <v>0.01</v>
      </c>
    </row>
    <row r="45" spans="1:39">
      <c r="A45" s="364" t="s">
        <v>48</v>
      </c>
      <c r="B45" s="907" t="s">
        <v>17</v>
      </c>
      <c r="C45" s="1953">
        <v>5829</v>
      </c>
      <c r="D45" s="824">
        <v>6301</v>
      </c>
      <c r="E45" s="814">
        <v>6701</v>
      </c>
      <c r="F45" s="814">
        <v>7001</v>
      </c>
      <c r="G45" s="814">
        <v>7301</v>
      </c>
      <c r="H45" s="814">
        <v>7501</v>
      </c>
      <c r="I45" s="2442">
        <v>7695</v>
      </c>
      <c r="J45" s="2558">
        <f t="shared" si="52"/>
        <v>0.32</v>
      </c>
      <c r="K45" s="885">
        <f t="shared" si="53"/>
        <v>0.56000000000000005</v>
      </c>
      <c r="L45" s="884">
        <v>0</v>
      </c>
      <c r="M45" s="395">
        <v>0.56000000000000005</v>
      </c>
      <c r="N45" s="823">
        <f t="shared" si="54"/>
        <v>0.6</v>
      </c>
      <c r="O45" s="322">
        <v>0</v>
      </c>
      <c r="P45" s="830">
        <f t="shared" si="55"/>
        <v>0.6</v>
      </c>
      <c r="Q45" s="823">
        <f t="shared" si="56"/>
        <v>0.64</v>
      </c>
      <c r="R45" s="322">
        <v>0</v>
      </c>
      <c r="S45" s="830">
        <f t="shared" si="57"/>
        <v>0.64</v>
      </c>
      <c r="T45" s="823">
        <f t="shared" si="58"/>
        <v>0.67</v>
      </c>
      <c r="U45" s="322">
        <v>0</v>
      </c>
      <c r="V45" s="830">
        <f t="shared" si="59"/>
        <v>0.67</v>
      </c>
      <c r="W45" s="870">
        <f t="shared" si="60"/>
        <v>0.7</v>
      </c>
      <c r="X45" s="322">
        <v>0</v>
      </c>
      <c r="Y45" s="830">
        <f t="shared" si="61"/>
        <v>0.7</v>
      </c>
      <c r="Z45" s="823">
        <f t="shared" si="62"/>
        <v>0.72</v>
      </c>
      <c r="AA45" s="322">
        <v>0</v>
      </c>
      <c r="AB45" s="830">
        <f t="shared" si="63"/>
        <v>0.72</v>
      </c>
      <c r="AC45" s="823">
        <f t="shared" si="65"/>
        <v>0.74</v>
      </c>
      <c r="AD45" s="322">
        <v>0</v>
      </c>
      <c r="AE45" s="830">
        <f t="shared" si="66"/>
        <v>0.74</v>
      </c>
      <c r="AF45" s="2567">
        <f t="shared" si="67"/>
        <v>0.32</v>
      </c>
      <c r="AG45" s="2282">
        <v>96</v>
      </c>
      <c r="AH45" s="870">
        <f t="shared" si="64"/>
        <v>0.78</v>
      </c>
      <c r="AI45" s="322">
        <v>0</v>
      </c>
      <c r="AJ45" s="830">
        <f t="shared" si="68"/>
        <v>0.78</v>
      </c>
      <c r="AL45" s="1953">
        <f t="shared" si="69"/>
        <v>1866</v>
      </c>
      <c r="AM45" s="1627">
        <f t="shared" si="70"/>
        <v>0.18</v>
      </c>
    </row>
    <row r="46" spans="1:39">
      <c r="A46" s="134" t="s">
        <v>49</v>
      </c>
      <c r="B46" s="2600" t="s">
        <v>17</v>
      </c>
      <c r="C46" s="2601">
        <v>11286</v>
      </c>
      <c r="D46" s="2602">
        <v>11310</v>
      </c>
      <c r="E46" s="2603">
        <v>11688</v>
      </c>
      <c r="F46" s="2603">
        <v>11985</v>
      </c>
      <c r="G46" s="2603">
        <v>12154</v>
      </c>
      <c r="H46" s="2603">
        <v>12363</v>
      </c>
      <c r="I46" s="2604">
        <v>12555</v>
      </c>
      <c r="J46" s="2605">
        <f t="shared" si="52"/>
        <v>0.11</v>
      </c>
      <c r="K46" s="569">
        <f t="shared" si="53"/>
        <v>0.69</v>
      </c>
      <c r="L46" s="354">
        <v>0</v>
      </c>
      <c r="M46" s="565">
        <v>0.69</v>
      </c>
      <c r="N46" s="138">
        <f t="shared" si="54"/>
        <v>0.7</v>
      </c>
      <c r="O46" s="360">
        <v>0</v>
      </c>
      <c r="P46" s="61">
        <f t="shared" si="55"/>
        <v>0.7</v>
      </c>
      <c r="Q46" s="138">
        <f t="shared" si="56"/>
        <v>0.72</v>
      </c>
      <c r="R46" s="360">
        <v>0</v>
      </c>
      <c r="S46" s="61">
        <f t="shared" si="57"/>
        <v>0.72</v>
      </c>
      <c r="T46" s="138">
        <f t="shared" si="58"/>
        <v>0.74</v>
      </c>
      <c r="U46" s="360">
        <v>0</v>
      </c>
      <c r="V46" s="61">
        <f t="shared" si="59"/>
        <v>0.74</v>
      </c>
      <c r="W46" s="245">
        <f t="shared" si="60"/>
        <v>0.75</v>
      </c>
      <c r="X46" s="14">
        <v>0</v>
      </c>
      <c r="Y46" s="61">
        <f t="shared" si="61"/>
        <v>0.75</v>
      </c>
      <c r="Z46" s="138">
        <f t="shared" si="62"/>
        <v>0.77</v>
      </c>
      <c r="AA46" s="14">
        <v>0</v>
      </c>
      <c r="AB46" s="61">
        <f t="shared" si="63"/>
        <v>0.77</v>
      </c>
      <c r="AC46" s="138">
        <f t="shared" si="65"/>
        <v>0.78</v>
      </c>
      <c r="AD46" s="14">
        <v>0</v>
      </c>
      <c r="AE46" s="61">
        <f t="shared" si="66"/>
        <v>0.78</v>
      </c>
      <c r="AF46" s="2539">
        <f t="shared" si="67"/>
        <v>0.13</v>
      </c>
      <c r="AG46" s="2606">
        <v>62</v>
      </c>
      <c r="AH46" s="245">
        <f t="shared" si="64"/>
        <v>0.83</v>
      </c>
      <c r="AI46" s="14">
        <v>0</v>
      </c>
      <c r="AJ46" s="61">
        <f t="shared" si="68"/>
        <v>0.83</v>
      </c>
      <c r="AL46" s="2601">
        <f t="shared" si="69"/>
        <v>1269</v>
      </c>
      <c r="AM46" s="2607">
        <f t="shared" si="70"/>
        <v>0.09</v>
      </c>
    </row>
    <row r="47" spans="1:39">
      <c r="A47" s="365" t="s">
        <v>50</v>
      </c>
      <c r="B47" s="2566" t="s">
        <v>17</v>
      </c>
      <c r="C47" s="1953">
        <v>12063</v>
      </c>
      <c r="D47" s="824">
        <v>12001</v>
      </c>
      <c r="E47" s="814">
        <v>12232</v>
      </c>
      <c r="F47" s="814">
        <v>12378</v>
      </c>
      <c r="G47" s="814">
        <v>12457</v>
      </c>
      <c r="H47" s="814">
        <v>12606</v>
      </c>
      <c r="I47" s="2442">
        <v>12658</v>
      </c>
      <c r="J47" s="2558">
        <f t="shared" si="52"/>
        <v>0.05</v>
      </c>
      <c r="K47" s="885">
        <f t="shared" si="53"/>
        <v>0.7</v>
      </c>
      <c r="L47" s="884">
        <v>0</v>
      </c>
      <c r="M47" s="395">
        <v>0.7</v>
      </c>
      <c r="N47" s="823">
        <f t="shared" si="54"/>
        <v>0.7</v>
      </c>
      <c r="O47" s="322">
        <v>0</v>
      </c>
      <c r="P47" s="830">
        <f t="shared" si="55"/>
        <v>0.7</v>
      </c>
      <c r="Q47" s="823">
        <f t="shared" si="56"/>
        <v>0.71</v>
      </c>
      <c r="R47" s="322">
        <v>0</v>
      </c>
      <c r="S47" s="830">
        <f t="shared" si="57"/>
        <v>0.71</v>
      </c>
      <c r="T47" s="823">
        <f t="shared" si="58"/>
        <v>0.72</v>
      </c>
      <c r="U47" s="322">
        <v>0</v>
      </c>
      <c r="V47" s="830">
        <f t="shared" si="59"/>
        <v>0.72</v>
      </c>
      <c r="W47" s="870">
        <f t="shared" si="60"/>
        <v>0.72</v>
      </c>
      <c r="X47" s="14">
        <v>0</v>
      </c>
      <c r="Y47" s="830">
        <f t="shared" si="61"/>
        <v>0.72</v>
      </c>
      <c r="Z47" s="823">
        <f t="shared" si="62"/>
        <v>0.73</v>
      </c>
      <c r="AA47" s="14">
        <v>0</v>
      </c>
      <c r="AB47" s="830">
        <f t="shared" si="63"/>
        <v>0.73</v>
      </c>
      <c r="AC47" s="823">
        <f t="shared" si="65"/>
        <v>0.73</v>
      </c>
      <c r="AD47" s="14">
        <v>0</v>
      </c>
      <c r="AE47" s="830">
        <f t="shared" si="66"/>
        <v>0.73</v>
      </c>
      <c r="AF47" s="2539">
        <f t="shared" si="67"/>
        <v>0.04</v>
      </c>
      <c r="AG47" s="2559">
        <v>58</v>
      </c>
      <c r="AH47" s="870">
        <f t="shared" si="64"/>
        <v>0.77</v>
      </c>
      <c r="AI47" s="322">
        <v>0</v>
      </c>
      <c r="AJ47" s="830">
        <f t="shared" si="68"/>
        <v>0.77</v>
      </c>
      <c r="AL47" s="1953">
        <f t="shared" si="69"/>
        <v>595</v>
      </c>
      <c r="AM47" s="1627">
        <f t="shared" si="70"/>
        <v>0.03</v>
      </c>
    </row>
    <row r="48" spans="1:39" ht="13.5" thickBot="1">
      <c r="A48" s="133" t="s">
        <v>51</v>
      </c>
      <c r="B48" s="2568" t="s">
        <v>17</v>
      </c>
      <c r="C48" s="2031">
        <v>8486</v>
      </c>
      <c r="D48" s="2408">
        <v>8621</v>
      </c>
      <c r="E48" s="2033">
        <v>8613</v>
      </c>
      <c r="F48" s="2033">
        <v>8586</v>
      </c>
      <c r="G48" s="2033">
        <v>8556</v>
      </c>
      <c r="H48" s="2033">
        <v>8517</v>
      </c>
      <c r="I48" s="2409">
        <v>8551</v>
      </c>
      <c r="J48" s="1871">
        <f t="shared" si="52"/>
        <v>0.01</v>
      </c>
      <c r="K48" s="875">
        <f t="shared" si="53"/>
        <v>0.57999999999999996</v>
      </c>
      <c r="L48" s="410">
        <v>0</v>
      </c>
      <c r="M48" s="17">
        <v>0.57999999999999996</v>
      </c>
      <c r="N48" s="48">
        <f t="shared" si="54"/>
        <v>0.59</v>
      </c>
      <c r="O48" s="366">
        <v>0</v>
      </c>
      <c r="P48" s="874">
        <f t="shared" si="55"/>
        <v>0.59</v>
      </c>
      <c r="Q48" s="48">
        <f t="shared" si="56"/>
        <v>0.59</v>
      </c>
      <c r="R48" s="366">
        <v>0</v>
      </c>
      <c r="S48" s="874">
        <f t="shared" si="57"/>
        <v>0.59</v>
      </c>
      <c r="T48" s="48">
        <f t="shared" si="58"/>
        <v>0.57999999999999996</v>
      </c>
      <c r="U48" s="366">
        <v>0</v>
      </c>
      <c r="V48" s="49">
        <f t="shared" si="59"/>
        <v>0.57999999999999996</v>
      </c>
      <c r="W48" s="1006">
        <f t="shared" si="60"/>
        <v>0.57999999999999996</v>
      </c>
      <c r="X48" s="366">
        <v>0</v>
      </c>
      <c r="Y48" s="874">
        <f t="shared" si="61"/>
        <v>0.57999999999999996</v>
      </c>
      <c r="Z48" s="48">
        <f t="shared" si="62"/>
        <v>0.57999999999999996</v>
      </c>
      <c r="AA48" s="366">
        <v>0</v>
      </c>
      <c r="AB48" s="49">
        <f t="shared" si="63"/>
        <v>0.57999999999999996</v>
      </c>
      <c r="AC48" s="48">
        <f t="shared" si="65"/>
        <v>0.57999999999999996</v>
      </c>
      <c r="AD48" s="366">
        <v>0</v>
      </c>
      <c r="AE48" s="49">
        <f t="shared" si="66"/>
        <v>0.57999999999999996</v>
      </c>
      <c r="AF48" s="2541">
        <f t="shared" si="67"/>
        <v>0</v>
      </c>
      <c r="AG48" s="2208">
        <v>68</v>
      </c>
      <c r="AH48" s="1006">
        <f t="shared" si="64"/>
        <v>0.61</v>
      </c>
      <c r="AI48" s="366">
        <v>0</v>
      </c>
      <c r="AJ48" s="874">
        <f t="shared" si="68"/>
        <v>0.61</v>
      </c>
      <c r="AL48" s="2031">
        <f t="shared" si="69"/>
        <v>65</v>
      </c>
      <c r="AM48" s="1623">
        <f t="shared" si="70"/>
        <v>0</v>
      </c>
    </row>
    <row r="49" spans="1:39" ht="27" customHeight="1" thickTop="1" thickBot="1">
      <c r="A49" s="3359" t="s">
        <v>52</v>
      </c>
      <c r="B49" s="3360"/>
      <c r="C49" s="1978">
        <f>SUM(C43:C48)</f>
        <v>52797</v>
      </c>
      <c r="D49" s="2411">
        <f t="shared" ref="D49:I49" si="71">SUM(D43:D48)</f>
        <v>53026</v>
      </c>
      <c r="E49" s="1980">
        <f t="shared" si="71"/>
        <v>54167</v>
      </c>
      <c r="F49" s="1980">
        <f t="shared" si="71"/>
        <v>54961</v>
      </c>
      <c r="G49" s="1980">
        <f t="shared" si="71"/>
        <v>55580</v>
      </c>
      <c r="H49" s="1980">
        <f t="shared" si="71"/>
        <v>56140</v>
      </c>
      <c r="I49" s="2412">
        <f t="shared" si="71"/>
        <v>56633</v>
      </c>
      <c r="J49" s="2555">
        <f t="shared" si="52"/>
        <v>7.0000000000000007E-2</v>
      </c>
      <c r="K49" s="31">
        <f t="shared" ref="K49:AE49" si="72">SUM(K43:K48)</f>
        <v>3.95</v>
      </c>
      <c r="L49" s="32">
        <f t="shared" si="72"/>
        <v>0</v>
      </c>
      <c r="M49" s="33">
        <f t="shared" si="72"/>
        <v>3.95</v>
      </c>
      <c r="N49" s="34">
        <f t="shared" si="72"/>
        <v>3.98</v>
      </c>
      <c r="O49" s="20">
        <f t="shared" si="72"/>
        <v>0</v>
      </c>
      <c r="P49" s="21">
        <f t="shared" si="72"/>
        <v>3.98</v>
      </c>
      <c r="Q49" s="34">
        <f t="shared" si="72"/>
        <v>4.05</v>
      </c>
      <c r="R49" s="20">
        <f t="shared" si="72"/>
        <v>0</v>
      </c>
      <c r="S49" s="21">
        <f t="shared" si="72"/>
        <v>4.05</v>
      </c>
      <c r="T49" s="34">
        <f t="shared" si="72"/>
        <v>4.12</v>
      </c>
      <c r="U49" s="20">
        <f t="shared" si="72"/>
        <v>0</v>
      </c>
      <c r="V49" s="105">
        <f t="shared" si="72"/>
        <v>4.12</v>
      </c>
      <c r="W49" s="35">
        <f t="shared" si="72"/>
        <v>4.16</v>
      </c>
      <c r="X49" s="20">
        <f t="shared" si="72"/>
        <v>0</v>
      </c>
      <c r="Y49" s="21">
        <f t="shared" si="72"/>
        <v>4.16</v>
      </c>
      <c r="Z49" s="34">
        <f t="shared" si="72"/>
        <v>4.21</v>
      </c>
      <c r="AA49" s="20">
        <f t="shared" si="72"/>
        <v>0</v>
      </c>
      <c r="AB49" s="105">
        <f t="shared" si="72"/>
        <v>4.21</v>
      </c>
      <c r="AC49" s="34">
        <f t="shared" si="72"/>
        <v>4.24</v>
      </c>
      <c r="AD49" s="20">
        <f t="shared" si="72"/>
        <v>0</v>
      </c>
      <c r="AE49" s="105">
        <f t="shared" si="72"/>
        <v>4.24</v>
      </c>
      <c r="AF49" s="2556">
        <f t="shared" si="67"/>
        <v>7.0000000000000007E-2</v>
      </c>
      <c r="AG49" s="2557" t="s">
        <v>16</v>
      </c>
      <c r="AH49" s="35">
        <f t="shared" ref="AH49" si="73">SUM(AH43:AH48)</f>
        <v>4.49</v>
      </c>
      <c r="AI49" s="20">
        <f t="shared" ref="AI49" si="74">SUM(AI43:AI48)</f>
        <v>0</v>
      </c>
      <c r="AJ49" s="21">
        <f t="shared" ref="AJ49" si="75">SUM(AJ43:AJ48)</f>
        <v>4.49</v>
      </c>
      <c r="AL49" s="1978">
        <f t="shared" si="69"/>
        <v>3836</v>
      </c>
      <c r="AM49" s="1624">
        <f t="shared" si="70"/>
        <v>0.28999999999999998</v>
      </c>
    </row>
    <row r="50" spans="1:39">
      <c r="A50" s="89" t="s">
        <v>35</v>
      </c>
    </row>
    <row r="51" spans="1:39">
      <c r="A51" s="1" t="s">
        <v>68</v>
      </c>
    </row>
    <row r="52" spans="1:39">
      <c r="A52" s="1" t="s">
        <v>69</v>
      </c>
    </row>
    <row r="53" spans="1:39">
      <c r="A53" s="1" t="s">
        <v>378</v>
      </c>
      <c r="AF53" s="1" t="s">
        <v>36</v>
      </c>
    </row>
    <row r="54" spans="1:39">
      <c r="A54" s="2" t="s">
        <v>40</v>
      </c>
    </row>
    <row r="55" spans="1:39">
      <c r="A55" s="2" t="s">
        <v>379</v>
      </c>
    </row>
    <row r="56" spans="1:39">
      <c r="A56" s="2" t="s">
        <v>268</v>
      </c>
    </row>
    <row r="57" spans="1:39">
      <c r="A57" s="2" t="s">
        <v>380</v>
      </c>
    </row>
    <row r="58" spans="1:39">
      <c r="A58" s="1" t="s">
        <v>381</v>
      </c>
    </row>
    <row r="59" spans="1:39">
      <c r="A59" s="1" t="s">
        <v>382</v>
      </c>
    </row>
  </sheetData>
  <mergeCells count="44">
    <mergeCell ref="A49:B49"/>
    <mergeCell ref="K40:M40"/>
    <mergeCell ref="N40:AE40"/>
    <mergeCell ref="AF40:AF42"/>
    <mergeCell ref="AG40:AG42"/>
    <mergeCell ref="A40:A42"/>
    <mergeCell ref="B40:B42"/>
    <mergeCell ref="C40:C41"/>
    <mergeCell ref="D40:I41"/>
    <mergeCell ref="J40:J42"/>
    <mergeCell ref="AC3:AE3"/>
    <mergeCell ref="N2:AE2"/>
    <mergeCell ref="AH40:AJ40"/>
    <mergeCell ref="K41:M41"/>
    <mergeCell ref="N41:P41"/>
    <mergeCell ref="Q41:S41"/>
    <mergeCell ref="T41:V41"/>
    <mergeCell ref="W41:Y41"/>
    <mergeCell ref="Z41:AB41"/>
    <mergeCell ref="AC41:AE41"/>
    <mergeCell ref="AH41:AJ41"/>
    <mergeCell ref="D2:I3"/>
    <mergeCell ref="A26:B26"/>
    <mergeCell ref="A27:B27"/>
    <mergeCell ref="A25:B25"/>
    <mergeCell ref="B2:B4"/>
    <mergeCell ref="C2:C3"/>
    <mergeCell ref="A2:A4"/>
    <mergeCell ref="AL2:AL4"/>
    <mergeCell ref="AM2:AM4"/>
    <mergeCell ref="AL40:AL42"/>
    <mergeCell ref="AM40:AM42"/>
    <mergeCell ref="J2:J4"/>
    <mergeCell ref="AH2:AJ2"/>
    <mergeCell ref="AH3:AJ3"/>
    <mergeCell ref="AG2:AG4"/>
    <mergeCell ref="AF2:AF4"/>
    <mergeCell ref="K3:M3"/>
    <mergeCell ref="N3:P3"/>
    <mergeCell ref="Q3:S3"/>
    <mergeCell ref="T3:V3"/>
    <mergeCell ref="W3:Y3"/>
    <mergeCell ref="Z3:AB3"/>
    <mergeCell ref="K2:M2"/>
  </mergeCells>
  <pageMargins left="0.7" right="0.7" top="0.75" bottom="0.75" header="0.3" footer="0.3"/>
  <pageSetup paperSize="3" scale="57"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116"/>
  <sheetViews>
    <sheetView workbookViewId="0">
      <pane xSplit="3" ySplit="4" topLeftCell="D32" activePane="bottomRight" state="frozen"/>
      <selection pane="bottomRight" activeCell="B43" sqref="A43:XFD43"/>
      <selection pane="bottomLeft" activeCell="A5" sqref="A5"/>
      <selection pane="topRight" activeCell="D1" sqref="D1"/>
    </sheetView>
  </sheetViews>
  <sheetFormatPr defaultColWidth="9.140625" defaultRowHeight="12.75"/>
  <cols>
    <col min="1" max="1" width="11.7109375" style="1" customWidth="1"/>
    <col min="2" max="2" width="49.140625" style="1" customWidth="1"/>
    <col min="3" max="3" width="12.7109375" style="1" customWidth="1"/>
    <col min="4" max="4" width="10.5703125" style="1" customWidth="1"/>
    <col min="5" max="11" width="9.140625" style="1"/>
    <col min="12" max="12" width="11.85546875" style="1" customWidth="1"/>
    <col min="13" max="13" width="9.140625" style="22"/>
    <col min="14" max="15" width="9.140625" style="1"/>
    <col min="16" max="16" width="9.140625" style="22"/>
    <col min="17" max="18" width="9.140625" style="1"/>
    <col min="19" max="19" width="9.140625" style="22"/>
    <col min="20" max="21" width="9.140625" style="1"/>
    <col min="22" max="22" width="9.140625" style="22"/>
    <col min="23" max="24" width="9.140625" style="1"/>
    <col min="25" max="25" width="9.140625" style="22"/>
    <col min="26" max="27" width="9.140625" style="1"/>
    <col min="28" max="28" width="9.140625" style="22"/>
    <col min="29" max="29" width="9.140625" style="22" customWidth="1"/>
    <col min="30" max="33" width="9.140625" style="2748"/>
    <col min="34" max="34" width="11.140625" style="1" customWidth="1"/>
    <col min="35" max="35" width="10" style="1" customWidth="1"/>
    <col min="36" max="36" width="9.140625" style="22"/>
    <col min="37" max="37" width="9.140625" style="1"/>
    <col min="38" max="38" width="9.7109375" style="1" customWidth="1"/>
    <col min="39" max="39" width="11.42578125" style="1" customWidth="1"/>
    <col min="40" max="40" width="11.7109375" style="1" hidden="1" customWidth="1"/>
    <col min="41" max="41" width="11.85546875" style="1" hidden="1" customWidth="1"/>
    <col min="42" max="16384" width="9.140625" style="1"/>
  </cols>
  <sheetData>
    <row r="1" spans="1:41">
      <c r="A1" s="2608" t="s">
        <v>384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3042"/>
      <c r="AE1" s="3042"/>
      <c r="AF1" s="3042"/>
      <c r="AG1" s="3042"/>
      <c r="AH1" s="161"/>
      <c r="AI1" s="161"/>
      <c r="AJ1" s="161"/>
      <c r="AK1" s="22"/>
      <c r="AL1" s="22"/>
    </row>
    <row r="2" spans="1:41" ht="15.75" customHeight="1">
      <c r="A2" s="3297" t="s">
        <v>85</v>
      </c>
      <c r="B2" s="3366" t="s">
        <v>86</v>
      </c>
      <c r="C2" s="3390" t="s">
        <v>87</v>
      </c>
      <c r="D2" s="3300" t="s">
        <v>76</v>
      </c>
      <c r="E2" s="3365" t="s">
        <v>88</v>
      </c>
      <c r="F2" s="3366"/>
      <c r="G2" s="3366"/>
      <c r="H2" s="3366"/>
      <c r="I2" s="3366"/>
      <c r="J2" s="3318"/>
      <c r="K2" s="3267" t="s">
        <v>89</v>
      </c>
      <c r="L2" s="3300" t="s">
        <v>57</v>
      </c>
      <c r="M2" s="3286" t="s">
        <v>55</v>
      </c>
      <c r="N2" s="3287"/>
      <c r="O2" s="3288"/>
      <c r="P2" s="3286" t="s">
        <v>56</v>
      </c>
      <c r="Q2" s="3287"/>
      <c r="R2" s="3287"/>
      <c r="S2" s="3287"/>
      <c r="T2" s="3287"/>
      <c r="U2" s="3287"/>
      <c r="V2" s="3287"/>
      <c r="W2" s="3287"/>
      <c r="X2" s="3287"/>
      <c r="Y2" s="3287"/>
      <c r="Z2" s="3287"/>
      <c r="AA2" s="3287"/>
      <c r="AB2" s="3287"/>
      <c r="AC2" s="3287"/>
      <c r="AD2" s="3287"/>
      <c r="AE2" s="3287"/>
      <c r="AF2" s="3287"/>
      <c r="AG2" s="3400"/>
      <c r="AH2" s="3267" t="s">
        <v>57</v>
      </c>
      <c r="AI2" s="3300" t="s">
        <v>376</v>
      </c>
      <c r="AJ2" s="3262" t="s">
        <v>58</v>
      </c>
      <c r="AK2" s="3262"/>
      <c r="AL2" s="3263"/>
      <c r="AN2" s="3300" t="s">
        <v>78</v>
      </c>
      <c r="AO2" s="3300" t="s">
        <v>80</v>
      </c>
    </row>
    <row r="3" spans="1:41" ht="13.5" customHeight="1">
      <c r="A3" s="3298"/>
      <c r="B3" s="3389"/>
      <c r="C3" s="3391"/>
      <c r="D3" s="3302"/>
      <c r="E3" s="3367"/>
      <c r="F3" s="3368"/>
      <c r="G3" s="3368"/>
      <c r="H3" s="3368"/>
      <c r="I3" s="3368"/>
      <c r="J3" s="3374"/>
      <c r="K3" s="3378"/>
      <c r="L3" s="3301"/>
      <c r="M3" s="3281">
        <v>2015</v>
      </c>
      <c r="N3" s="3281"/>
      <c r="O3" s="3282"/>
      <c r="P3" s="3305">
        <v>2020</v>
      </c>
      <c r="Q3" s="3281"/>
      <c r="R3" s="3282"/>
      <c r="S3" s="3305">
        <v>2025</v>
      </c>
      <c r="T3" s="3281"/>
      <c r="U3" s="3282"/>
      <c r="V3" s="3305">
        <v>2030</v>
      </c>
      <c r="W3" s="3281"/>
      <c r="X3" s="3282"/>
      <c r="Y3" s="3305">
        <v>2035</v>
      </c>
      <c r="Z3" s="3281"/>
      <c r="AA3" s="3282"/>
      <c r="AB3" s="3305">
        <v>2040</v>
      </c>
      <c r="AC3" s="3281"/>
      <c r="AD3" s="3282"/>
      <c r="AE3" s="3305">
        <v>2045</v>
      </c>
      <c r="AF3" s="3281"/>
      <c r="AG3" s="3282"/>
      <c r="AH3" s="3301"/>
      <c r="AI3" s="3301"/>
      <c r="AJ3" s="3305">
        <v>2045</v>
      </c>
      <c r="AK3" s="3281"/>
      <c r="AL3" s="3282"/>
      <c r="AN3" s="3301"/>
      <c r="AO3" s="3301"/>
    </row>
    <row r="4" spans="1:41" ht="15.75" customHeight="1">
      <c r="A4" s="3299"/>
      <c r="B4" s="3368"/>
      <c r="C4" s="3392"/>
      <c r="D4" s="235">
        <v>2015</v>
      </c>
      <c r="E4" s="1945">
        <v>2020</v>
      </c>
      <c r="F4" s="1682">
        <v>2025</v>
      </c>
      <c r="G4" s="1682">
        <v>2030</v>
      </c>
      <c r="H4" s="1682">
        <v>2035</v>
      </c>
      <c r="I4" s="994">
        <v>2040</v>
      </c>
      <c r="J4" s="3043">
        <v>2045</v>
      </c>
      <c r="K4" s="3377"/>
      <c r="L4" s="3302"/>
      <c r="M4" s="1127" t="s">
        <v>92</v>
      </c>
      <c r="N4" s="1128" t="s">
        <v>93</v>
      </c>
      <c r="O4" s="1681" t="s">
        <v>18</v>
      </c>
      <c r="P4" s="1130" t="s">
        <v>92</v>
      </c>
      <c r="Q4" s="1128" t="s">
        <v>93</v>
      </c>
      <c r="R4" s="1681" t="s">
        <v>18</v>
      </c>
      <c r="S4" s="1130" t="s">
        <v>92</v>
      </c>
      <c r="T4" s="1128" t="s">
        <v>93</v>
      </c>
      <c r="U4" s="1681" t="s">
        <v>18</v>
      </c>
      <c r="V4" s="1130" t="s">
        <v>92</v>
      </c>
      <c r="W4" s="1128" t="s">
        <v>93</v>
      </c>
      <c r="X4" s="1681" t="s">
        <v>18</v>
      </c>
      <c r="Y4" s="1130" t="s">
        <v>92</v>
      </c>
      <c r="Z4" s="1128" t="s">
        <v>93</v>
      </c>
      <c r="AA4" s="1681" t="s">
        <v>18</v>
      </c>
      <c r="AB4" s="1130" t="s">
        <v>92</v>
      </c>
      <c r="AC4" s="1128" t="s">
        <v>93</v>
      </c>
      <c r="AD4" s="1681" t="s">
        <v>18</v>
      </c>
      <c r="AE4" s="1130" t="s">
        <v>92</v>
      </c>
      <c r="AF4" s="1128" t="s">
        <v>93</v>
      </c>
      <c r="AG4" s="1681" t="s">
        <v>18</v>
      </c>
      <c r="AH4" s="3302"/>
      <c r="AI4" s="3302"/>
      <c r="AJ4" s="1130" t="s">
        <v>92</v>
      </c>
      <c r="AK4" s="1128" t="s">
        <v>93</v>
      </c>
      <c r="AL4" s="1681" t="s">
        <v>18</v>
      </c>
      <c r="AN4" s="3302"/>
      <c r="AO4" s="3302"/>
    </row>
    <row r="5" spans="1:41">
      <c r="A5" s="3301" t="s">
        <v>102</v>
      </c>
      <c r="B5" s="2609" t="s">
        <v>385</v>
      </c>
      <c r="C5" s="2610">
        <v>216014</v>
      </c>
      <c r="D5" s="2611">
        <f>'Table 6c'!L3</f>
        <v>48</v>
      </c>
      <c r="E5" s="2612">
        <v>48</v>
      </c>
      <c r="F5" s="2613">
        <v>48</v>
      </c>
      <c r="G5" s="2613">
        <v>48</v>
      </c>
      <c r="H5" s="2613">
        <v>48</v>
      </c>
      <c r="I5" s="2613">
        <v>48</v>
      </c>
      <c r="J5" s="2614">
        <v>48</v>
      </c>
      <c r="K5" s="2615">
        <v>48</v>
      </c>
      <c r="L5" s="215">
        <f t="shared" ref="L5:L6" si="0">(J5-D5)/D5</f>
        <v>0</v>
      </c>
      <c r="M5" s="245">
        <f t="shared" ref="M5:M6" si="1">O5-N5</f>
        <v>0.01</v>
      </c>
      <c r="N5" s="2616">
        <v>0</v>
      </c>
      <c r="O5" s="2065">
        <f>'Table 6c'!G3</f>
        <v>0.01</v>
      </c>
      <c r="P5" s="2617">
        <f t="shared" ref="P5:P6" si="2">R5-Q5</f>
        <v>0.01</v>
      </c>
      <c r="Q5" s="2616">
        <v>0</v>
      </c>
      <c r="R5" s="2065">
        <f>E5*AI5/1000000</f>
        <v>0.01</v>
      </c>
      <c r="S5" s="2617">
        <f t="shared" ref="S5:S6" si="3">U5-T5</f>
        <v>0.01</v>
      </c>
      <c r="T5" s="2616">
        <v>0</v>
      </c>
      <c r="U5" s="2065">
        <f>F5*AI5/1000000</f>
        <v>0.01</v>
      </c>
      <c r="V5" s="2617">
        <f t="shared" ref="V5:V6" si="4">X5-W5</f>
        <v>0.01</v>
      </c>
      <c r="W5" s="2616">
        <v>0</v>
      </c>
      <c r="X5" s="2065">
        <f>G5*AI5/1000000</f>
        <v>0.01</v>
      </c>
      <c r="Y5" s="2617">
        <f t="shared" ref="Y5:Y6" si="5">AA5-Z5</f>
        <v>0.01</v>
      </c>
      <c r="Z5" s="2616">
        <v>0</v>
      </c>
      <c r="AA5" s="2065">
        <f>H5*AI5/1000000</f>
        <v>0.01</v>
      </c>
      <c r="AB5" s="2617">
        <f t="shared" ref="AB5:AB6" si="6">AD5-AC5</f>
        <v>0.01</v>
      </c>
      <c r="AC5" s="2616">
        <v>0</v>
      </c>
      <c r="AD5" s="2065">
        <f>I5*AI5/1000000</f>
        <v>0.01</v>
      </c>
      <c r="AE5" s="2617">
        <f t="shared" ref="AE5:AE6" si="7">AG5-AF5</f>
        <v>0.01</v>
      </c>
      <c r="AF5" s="2616">
        <v>0</v>
      </c>
      <c r="AG5" s="2065">
        <f>J5*AI5/1000000</f>
        <v>0.01</v>
      </c>
      <c r="AH5" s="1686">
        <f>(AG5-O5)/O5</f>
        <v>0</v>
      </c>
      <c r="AI5" s="2618">
        <f>'Table 6c'!P3</f>
        <v>208</v>
      </c>
      <c r="AJ5" s="2617">
        <f t="shared" ref="AJ5:AJ6" si="8">AL5-AK5</f>
        <v>0.01</v>
      </c>
      <c r="AK5" s="2616">
        <v>0</v>
      </c>
      <c r="AL5" s="2065">
        <f>AG5*1.06</f>
        <v>0.01</v>
      </c>
      <c r="AN5" s="2619">
        <f>J5-D5</f>
        <v>0</v>
      </c>
      <c r="AO5" s="2620" t="e">
        <f>#REF!-O5</f>
        <v>#REF!</v>
      </c>
    </row>
    <row r="6" spans="1:41">
      <c r="A6" s="3301"/>
      <c r="B6" s="2621" t="s">
        <v>386</v>
      </c>
      <c r="C6" s="2622">
        <v>219158</v>
      </c>
      <c r="D6" s="2623">
        <f>'Table 6c'!L4</f>
        <v>21</v>
      </c>
      <c r="E6" s="2624">
        <v>21</v>
      </c>
      <c r="F6" s="2625">
        <v>21</v>
      </c>
      <c r="G6" s="2625">
        <v>21</v>
      </c>
      <c r="H6" s="2625">
        <v>21</v>
      </c>
      <c r="I6" s="2625">
        <v>21</v>
      </c>
      <c r="J6" s="2626">
        <v>21</v>
      </c>
      <c r="K6" s="2627">
        <v>21</v>
      </c>
      <c r="L6" s="300">
        <f t="shared" si="0"/>
        <v>0</v>
      </c>
      <c r="M6" s="823">
        <f t="shared" si="1"/>
        <v>0</v>
      </c>
      <c r="N6" s="2201">
        <v>0</v>
      </c>
      <c r="O6" s="2009">
        <f>'Table 6c'!G4</f>
        <v>0</v>
      </c>
      <c r="P6" s="2628">
        <f t="shared" si="2"/>
        <v>0</v>
      </c>
      <c r="Q6" s="2201">
        <v>0</v>
      </c>
      <c r="R6" s="2009">
        <f>E6*AI6/1000000</f>
        <v>0</v>
      </c>
      <c r="S6" s="2628">
        <f t="shared" si="3"/>
        <v>0</v>
      </c>
      <c r="T6" s="2201">
        <v>0</v>
      </c>
      <c r="U6" s="2009">
        <f>F6*AI6/1000000</f>
        <v>0</v>
      </c>
      <c r="V6" s="2628">
        <f t="shared" si="4"/>
        <v>0</v>
      </c>
      <c r="W6" s="2201">
        <v>0</v>
      </c>
      <c r="X6" s="2009">
        <f>G6*AI6/1000000</f>
        <v>0</v>
      </c>
      <c r="Y6" s="2628">
        <f t="shared" si="5"/>
        <v>0</v>
      </c>
      <c r="Z6" s="2201">
        <v>0</v>
      </c>
      <c r="AA6" s="2009">
        <f>H6*AI6/1000000</f>
        <v>0</v>
      </c>
      <c r="AB6" s="2628">
        <f t="shared" si="6"/>
        <v>0</v>
      </c>
      <c r="AC6" s="2201">
        <v>0</v>
      </c>
      <c r="AD6" s="2009">
        <f>I6*AI6/1000000</f>
        <v>0</v>
      </c>
      <c r="AE6" s="2628">
        <f t="shared" si="7"/>
        <v>0</v>
      </c>
      <c r="AF6" s="2201">
        <v>0</v>
      </c>
      <c r="AG6" s="2009">
        <f>J6*AI6/1000000</f>
        <v>0</v>
      </c>
      <c r="AH6" s="1008" t="s">
        <v>16</v>
      </c>
      <c r="AI6" s="2629">
        <f>'Table 6c'!P4</f>
        <v>143</v>
      </c>
      <c r="AJ6" s="2628">
        <f t="shared" si="8"/>
        <v>0</v>
      </c>
      <c r="AK6" s="2201">
        <v>0</v>
      </c>
      <c r="AL6" s="2009">
        <f>AG6*1.06</f>
        <v>0</v>
      </c>
      <c r="AN6" s="2630">
        <f t="shared" ref="AN6:AN74" si="9">J6-D6</f>
        <v>0</v>
      </c>
      <c r="AO6" s="2631" t="e">
        <f>#REF!-O6</f>
        <v>#REF!</v>
      </c>
    </row>
    <row r="7" spans="1:41">
      <c r="A7" s="3301"/>
      <c r="B7" s="2632" t="s">
        <v>387</v>
      </c>
      <c r="C7" s="2633">
        <v>220503</v>
      </c>
      <c r="D7" s="2634">
        <f>'Table 6c'!L5</f>
        <v>196</v>
      </c>
      <c r="E7" s="2635">
        <v>200</v>
      </c>
      <c r="F7" s="2636">
        <v>200</v>
      </c>
      <c r="G7" s="2636">
        <v>200</v>
      </c>
      <c r="H7" s="2636">
        <v>200</v>
      </c>
      <c r="I7" s="2636">
        <v>200</v>
      </c>
      <c r="J7" s="2637">
        <v>200</v>
      </c>
      <c r="K7" s="2638">
        <v>200</v>
      </c>
      <c r="L7" s="230">
        <f>(J7-D7)/D7</f>
        <v>0.02</v>
      </c>
      <c r="M7" s="2639">
        <f t="shared" ref="M7:M12" si="10">O7-N7</f>
        <v>0.01</v>
      </c>
      <c r="N7" s="2640">
        <v>0</v>
      </c>
      <c r="O7" s="2641">
        <f>'Table 6c'!G5</f>
        <v>0.01</v>
      </c>
      <c r="P7" s="2642">
        <f t="shared" ref="P7:P12" si="11">R7-Q7</f>
        <v>0.01</v>
      </c>
      <c r="Q7" s="2640">
        <v>0</v>
      </c>
      <c r="R7" s="2641">
        <f>E7*AI7/1000000</f>
        <v>0.01</v>
      </c>
      <c r="S7" s="2642">
        <f t="shared" ref="S7:S12" si="12">U7-T7</f>
        <v>0.01</v>
      </c>
      <c r="T7" s="2640">
        <v>0</v>
      </c>
      <c r="U7" s="2641">
        <f>F7*AI7/1000000</f>
        <v>0.01</v>
      </c>
      <c r="V7" s="2642">
        <f t="shared" ref="V7:V12" si="13">X7-W7</f>
        <v>0.01</v>
      </c>
      <c r="W7" s="2640">
        <v>0</v>
      </c>
      <c r="X7" s="2641">
        <f>G7*AI7/1000000</f>
        <v>0.01</v>
      </c>
      <c r="Y7" s="2642">
        <f t="shared" ref="Y7:Y12" si="14">AA7-Z7</f>
        <v>0.01</v>
      </c>
      <c r="Z7" s="2640">
        <v>0</v>
      </c>
      <c r="AA7" s="2641">
        <f>H7*AI7/1000000</f>
        <v>0.01</v>
      </c>
      <c r="AB7" s="2642">
        <f t="shared" ref="AB7:AB12" si="15">AD7-AC7</f>
        <v>0.01</v>
      </c>
      <c r="AC7" s="2640">
        <v>0</v>
      </c>
      <c r="AD7" s="2641">
        <f>I7*AI7/1000000</f>
        <v>0.01</v>
      </c>
      <c r="AE7" s="2642">
        <f t="shared" ref="AE7:AE60" si="16">AG7-AF7</f>
        <v>0.01</v>
      </c>
      <c r="AF7" s="2640">
        <v>0</v>
      </c>
      <c r="AG7" s="2641">
        <f>J7*AI7/1000000</f>
        <v>0.01</v>
      </c>
      <c r="AH7" s="1007">
        <f>(AG7-O7)/O7</f>
        <v>0</v>
      </c>
      <c r="AI7" s="2643">
        <f>'Table 6c'!P5</f>
        <v>49</v>
      </c>
      <c r="AJ7" s="2642">
        <f t="shared" ref="AJ7:AJ12" si="17">AL7-AK7</f>
        <v>0.01</v>
      </c>
      <c r="AK7" s="2640">
        <v>0</v>
      </c>
      <c r="AL7" s="2641">
        <f>AG7*1.06</f>
        <v>0.01</v>
      </c>
      <c r="AN7" s="2644">
        <f t="shared" si="9"/>
        <v>4</v>
      </c>
      <c r="AO7" s="2645" t="e">
        <f>#REF!-O7</f>
        <v>#REF!</v>
      </c>
    </row>
    <row r="8" spans="1:41" s="22" customFormat="1">
      <c r="A8" s="3302"/>
      <c r="B8" s="3368" t="s">
        <v>293</v>
      </c>
      <c r="C8" s="3374"/>
      <c r="D8" s="2646">
        <f>SUM(D5:D7)</f>
        <v>265</v>
      </c>
      <c r="E8" s="2647">
        <f t="shared" ref="E8:K8" si="18">SUM(E5:E7)</f>
        <v>269</v>
      </c>
      <c r="F8" s="2648">
        <f t="shared" si="18"/>
        <v>269</v>
      </c>
      <c r="G8" s="2648">
        <f t="shared" si="18"/>
        <v>269</v>
      </c>
      <c r="H8" s="2648">
        <f t="shared" si="18"/>
        <v>269</v>
      </c>
      <c r="I8" s="2648">
        <f t="shared" si="18"/>
        <v>269</v>
      </c>
      <c r="J8" s="2649">
        <f t="shared" si="18"/>
        <v>269</v>
      </c>
      <c r="K8" s="2650">
        <f t="shared" si="18"/>
        <v>269</v>
      </c>
      <c r="L8" s="217">
        <f t="shared" ref="L8:L74" si="19">(J8-D8)/D8</f>
        <v>0.02</v>
      </c>
      <c r="M8" s="35">
        <f t="shared" si="10"/>
        <v>0.02</v>
      </c>
      <c r="N8" s="2594">
        <v>0</v>
      </c>
      <c r="O8" s="2099">
        <f>SUM(O5:O7)</f>
        <v>0.02</v>
      </c>
      <c r="P8" s="2591">
        <f t="shared" si="11"/>
        <v>0.02</v>
      </c>
      <c r="Q8" s="2594">
        <v>0</v>
      </c>
      <c r="R8" s="2099">
        <f>SUM(R5:R7)</f>
        <v>0.02</v>
      </c>
      <c r="S8" s="2591">
        <f t="shared" si="12"/>
        <v>0.02</v>
      </c>
      <c r="T8" s="2594">
        <v>0</v>
      </c>
      <c r="U8" s="2099">
        <f>SUM(U5:U7)</f>
        <v>0.02</v>
      </c>
      <c r="V8" s="2591">
        <f t="shared" si="13"/>
        <v>0.02</v>
      </c>
      <c r="W8" s="2594">
        <v>0</v>
      </c>
      <c r="X8" s="2099">
        <f>SUM(X5:X7)</f>
        <v>0.02</v>
      </c>
      <c r="Y8" s="2591">
        <f t="shared" si="14"/>
        <v>0.02</v>
      </c>
      <c r="Z8" s="2594">
        <v>0</v>
      </c>
      <c r="AA8" s="2099">
        <f>SUM(AA5:AA7)</f>
        <v>0.02</v>
      </c>
      <c r="AB8" s="2591">
        <f t="shared" si="15"/>
        <v>0.02</v>
      </c>
      <c r="AC8" s="2594">
        <v>0</v>
      </c>
      <c r="AD8" s="2099">
        <f>SUM(AD5:AD7)</f>
        <v>0.02</v>
      </c>
      <c r="AE8" s="2591">
        <f t="shared" si="16"/>
        <v>0.02</v>
      </c>
      <c r="AF8" s="2594">
        <f t="shared" ref="AF8" si="20">AF7</f>
        <v>0</v>
      </c>
      <c r="AG8" s="2099">
        <f>SUM(AG5:AG7)</f>
        <v>0.02</v>
      </c>
      <c r="AH8" s="333">
        <f>(AG8-O8)/O8</f>
        <v>0</v>
      </c>
      <c r="AI8" s="3041" t="s">
        <v>16</v>
      </c>
      <c r="AJ8" s="2591">
        <f t="shared" si="17"/>
        <v>0.02</v>
      </c>
      <c r="AK8" s="2594">
        <v>0</v>
      </c>
      <c r="AL8" s="2099">
        <f>SUM(AL5:AL7)</f>
        <v>0.02</v>
      </c>
      <c r="AN8" s="2646">
        <f t="shared" si="9"/>
        <v>4</v>
      </c>
      <c r="AO8" s="2651" t="e">
        <f>#REF!-O8</f>
        <v>#REF!</v>
      </c>
    </row>
    <row r="9" spans="1:41" s="22" customFormat="1">
      <c r="A9" s="3300" t="s">
        <v>116</v>
      </c>
      <c r="B9" s="2652" t="s">
        <v>388</v>
      </c>
      <c r="C9" s="2653">
        <v>216644</v>
      </c>
      <c r="D9" s="2654">
        <f>'Table 6c'!L7</f>
        <v>307</v>
      </c>
      <c r="E9" s="2655">
        <v>322</v>
      </c>
      <c r="F9" s="2656">
        <v>322</v>
      </c>
      <c r="G9" s="2656">
        <v>322</v>
      </c>
      <c r="H9" s="2656">
        <v>322</v>
      </c>
      <c r="I9" s="2656">
        <v>322</v>
      </c>
      <c r="J9" s="2657">
        <v>322</v>
      </c>
      <c r="K9" s="995">
        <v>931.77333682417998</v>
      </c>
      <c r="L9" s="218">
        <f t="shared" si="19"/>
        <v>0.05</v>
      </c>
      <c r="M9" s="186">
        <f t="shared" ref="M9" si="21">O9-N9</f>
        <v>0.04</v>
      </c>
      <c r="N9" s="2658">
        <v>0</v>
      </c>
      <c r="O9" s="2131">
        <f>'Table 6c'!G7</f>
        <v>0.04</v>
      </c>
      <c r="P9" s="149">
        <f t="shared" ref="P9" si="22">R9-Q9</f>
        <v>0.04</v>
      </c>
      <c r="Q9" s="2658">
        <v>0</v>
      </c>
      <c r="R9" s="160">
        <f>E9*AI9/1000000</f>
        <v>0.04</v>
      </c>
      <c r="S9" s="149">
        <f t="shared" ref="S9" si="23">U9-T9</f>
        <v>0.04</v>
      </c>
      <c r="T9" s="2658">
        <v>0</v>
      </c>
      <c r="U9" s="160">
        <f>F9*AI9/1000000</f>
        <v>0.04</v>
      </c>
      <c r="V9" s="149">
        <f t="shared" ref="V9" si="24">X9-W9</f>
        <v>0.04</v>
      </c>
      <c r="W9" s="2658">
        <v>0</v>
      </c>
      <c r="X9" s="160">
        <f>G9*AI9/1000000</f>
        <v>0.04</v>
      </c>
      <c r="Y9" s="149">
        <f t="shared" ref="Y9" si="25">AA9-Z9</f>
        <v>0.04</v>
      </c>
      <c r="Z9" s="2658">
        <v>0</v>
      </c>
      <c r="AA9" s="160">
        <f>H9*AI9/1000000</f>
        <v>0.04</v>
      </c>
      <c r="AB9" s="149">
        <f t="shared" ref="AB9" si="26">AD9-AC9</f>
        <v>0.04</v>
      </c>
      <c r="AC9" s="2658">
        <v>0</v>
      </c>
      <c r="AD9" s="160">
        <f>I9*AI9/1000000</f>
        <v>0.04</v>
      </c>
      <c r="AE9" s="149">
        <f t="shared" si="16"/>
        <v>0.04</v>
      </c>
      <c r="AF9" s="2658">
        <v>0</v>
      </c>
      <c r="AG9" s="160">
        <f>J9*AI9/1000000</f>
        <v>0.04</v>
      </c>
      <c r="AH9" s="196">
        <f>(AG9-O9)/O9</f>
        <v>0</v>
      </c>
      <c r="AI9" s="2659">
        <f>'Table 6c'!P7</f>
        <v>129</v>
      </c>
      <c r="AJ9" s="2660">
        <f t="shared" ref="AJ9" si="27">AL9-AK9</f>
        <v>0.04</v>
      </c>
      <c r="AK9" s="2658">
        <v>0</v>
      </c>
      <c r="AL9" s="2131">
        <f>AG9*1.06</f>
        <v>0.04</v>
      </c>
      <c r="AN9" s="2661">
        <f t="shared" si="9"/>
        <v>15</v>
      </c>
      <c r="AO9" s="2662" t="e">
        <f>#REF!-O9</f>
        <v>#REF!</v>
      </c>
    </row>
    <row r="10" spans="1:41" s="22" customFormat="1">
      <c r="A10" s="3301"/>
      <c r="B10" s="2663" t="s">
        <v>389</v>
      </c>
      <c r="C10" s="2664">
        <v>217909</v>
      </c>
      <c r="D10" s="2611">
        <f>'Table 6c'!L8</f>
        <v>15</v>
      </c>
      <c r="E10" s="2612">
        <v>15</v>
      </c>
      <c r="F10" s="2613">
        <v>15</v>
      </c>
      <c r="G10" s="2613">
        <v>15</v>
      </c>
      <c r="H10" s="2613">
        <v>15</v>
      </c>
      <c r="I10" s="2613">
        <v>15</v>
      </c>
      <c r="J10" s="2614">
        <v>15</v>
      </c>
      <c r="K10" s="2665">
        <v>15</v>
      </c>
      <c r="L10" s="215">
        <f t="shared" ref="L10" si="28">(J10-D10)/D10</f>
        <v>0</v>
      </c>
      <c r="M10" s="245">
        <f t="shared" ref="M10" si="29">O10-N10</f>
        <v>0</v>
      </c>
      <c r="N10" s="2616">
        <v>0</v>
      </c>
      <c r="O10" s="2065">
        <f>'Table 6c'!G8</f>
        <v>0</v>
      </c>
      <c r="P10" s="138">
        <f t="shared" ref="P10" si="30">R10-Q10</f>
        <v>0</v>
      </c>
      <c r="Q10" s="2616">
        <v>0</v>
      </c>
      <c r="R10" s="56">
        <f>E10*AI10/1000000</f>
        <v>0</v>
      </c>
      <c r="S10" s="138">
        <f t="shared" ref="S10" si="31">U10-T10</f>
        <v>0</v>
      </c>
      <c r="T10" s="2616">
        <v>0</v>
      </c>
      <c r="U10" s="56">
        <f>F10*AI10/1000000</f>
        <v>0</v>
      </c>
      <c r="V10" s="138">
        <f t="shared" ref="V10" si="32">X10-W10</f>
        <v>0</v>
      </c>
      <c r="W10" s="2616">
        <v>0</v>
      </c>
      <c r="X10" s="56">
        <f>G10*AI10/1000000</f>
        <v>0</v>
      </c>
      <c r="Y10" s="138">
        <f t="shared" ref="Y10" si="33">AA10-Z10</f>
        <v>0</v>
      </c>
      <c r="Z10" s="2616">
        <v>0</v>
      </c>
      <c r="AA10" s="56">
        <f>H10*AI10/1000000</f>
        <v>0</v>
      </c>
      <c r="AB10" s="138">
        <f t="shared" ref="AB10" si="34">AD10-AC10</f>
        <v>0</v>
      </c>
      <c r="AC10" s="2616">
        <v>0</v>
      </c>
      <c r="AD10" s="56">
        <f>I10*AI10/1000000</f>
        <v>0</v>
      </c>
      <c r="AE10" s="138">
        <f t="shared" ref="AE10" si="35">AG10-AF10</f>
        <v>0</v>
      </c>
      <c r="AF10" s="2616">
        <v>0</v>
      </c>
      <c r="AG10" s="56">
        <f>J10*AI10/1000000</f>
        <v>0</v>
      </c>
      <c r="AH10" s="215" t="s">
        <v>16</v>
      </c>
      <c r="AI10" s="2600">
        <f>'Table 6c'!P8</f>
        <v>267</v>
      </c>
      <c r="AJ10" s="2617">
        <f t="shared" ref="AJ10" si="36">AL10-AK10</f>
        <v>0</v>
      </c>
      <c r="AK10" s="2616">
        <v>0</v>
      </c>
      <c r="AL10" s="2065">
        <f>AG10*1.06</f>
        <v>0</v>
      </c>
      <c r="AN10" s="2619">
        <f t="shared" si="9"/>
        <v>0</v>
      </c>
      <c r="AO10" s="2620" t="e">
        <f>#REF!-O10</f>
        <v>#REF!</v>
      </c>
    </row>
    <row r="11" spans="1:41" s="22" customFormat="1" ht="13.5" customHeight="1">
      <c r="A11" s="3301"/>
      <c r="B11" s="2666" t="s">
        <v>390</v>
      </c>
      <c r="C11" s="2667">
        <v>220481</v>
      </c>
      <c r="D11" s="2668">
        <f>'Table 6c'!L9</f>
        <v>465</v>
      </c>
      <c r="E11" s="2669">
        <v>477</v>
      </c>
      <c r="F11" s="2670">
        <v>477</v>
      </c>
      <c r="G11" s="2670">
        <v>477</v>
      </c>
      <c r="H11" s="2670">
        <v>477</v>
      </c>
      <c r="I11" s="2670">
        <v>477</v>
      </c>
      <c r="J11" s="2671">
        <v>482</v>
      </c>
      <c r="K11" s="2036">
        <v>1038.53964689348</v>
      </c>
      <c r="L11" s="216">
        <f t="shared" si="19"/>
        <v>0.04</v>
      </c>
      <c r="M11" s="1006">
        <f t="shared" si="10"/>
        <v>0.05</v>
      </c>
      <c r="N11" s="2672">
        <v>0</v>
      </c>
      <c r="O11" s="2041">
        <f>'Table 6c'!G9</f>
        <v>0.05</v>
      </c>
      <c r="P11" s="48">
        <f t="shared" si="11"/>
        <v>0.05</v>
      </c>
      <c r="Q11" s="2672">
        <v>0</v>
      </c>
      <c r="R11" s="49">
        <f>E11*AI11/1000000</f>
        <v>0.05</v>
      </c>
      <c r="S11" s="48">
        <f t="shared" si="12"/>
        <v>0.05</v>
      </c>
      <c r="T11" s="2672">
        <v>0</v>
      </c>
      <c r="U11" s="49">
        <f>F11*AI11/1000000</f>
        <v>0.05</v>
      </c>
      <c r="V11" s="48">
        <f t="shared" si="13"/>
        <v>0.05</v>
      </c>
      <c r="W11" s="2672">
        <v>0</v>
      </c>
      <c r="X11" s="49">
        <f>G11*AI11/1000000</f>
        <v>0.05</v>
      </c>
      <c r="Y11" s="48">
        <f t="shared" si="14"/>
        <v>0.05</v>
      </c>
      <c r="Z11" s="2672">
        <v>0</v>
      </c>
      <c r="AA11" s="49">
        <f>H11*AI11/1000000</f>
        <v>0.05</v>
      </c>
      <c r="AB11" s="48">
        <f t="shared" si="15"/>
        <v>0.05</v>
      </c>
      <c r="AC11" s="2672">
        <v>0</v>
      </c>
      <c r="AD11" s="49">
        <f>I11*AI11/1000000</f>
        <v>0.05</v>
      </c>
      <c r="AE11" s="48">
        <f t="shared" si="16"/>
        <v>0.05</v>
      </c>
      <c r="AF11" s="2672">
        <v>0</v>
      </c>
      <c r="AG11" s="49">
        <f>J11*AI11/1000000</f>
        <v>0.05</v>
      </c>
      <c r="AH11" s="197">
        <f t="shared" ref="AH11:AH20" si="37">(AG11-O11)/O11</f>
        <v>0</v>
      </c>
      <c r="AI11" s="2568">
        <f>'Table 6c'!P9</f>
        <v>97</v>
      </c>
      <c r="AJ11" s="2673">
        <f t="shared" si="17"/>
        <v>0.05</v>
      </c>
      <c r="AK11" s="2672">
        <v>0</v>
      </c>
      <c r="AL11" s="2041">
        <f>AG11*1.06</f>
        <v>0.05</v>
      </c>
      <c r="AN11" s="2674">
        <f t="shared" si="9"/>
        <v>17</v>
      </c>
      <c r="AO11" s="2675" t="e">
        <f>#REF!-O11</f>
        <v>#REF!</v>
      </c>
    </row>
    <row r="12" spans="1:41" s="22" customFormat="1">
      <c r="A12" s="3302"/>
      <c r="B12" s="3368" t="s">
        <v>119</v>
      </c>
      <c r="C12" s="3374"/>
      <c r="D12" s="2646">
        <f>SUM(D9:D11)</f>
        <v>787</v>
      </c>
      <c r="E12" s="2647">
        <f>SUM(E9:E11)</f>
        <v>814</v>
      </c>
      <c r="F12" s="2648">
        <f t="shared" ref="F12:K12" si="38">SUM(F9:F11)</f>
        <v>814</v>
      </c>
      <c r="G12" s="2648">
        <f t="shared" si="38"/>
        <v>814</v>
      </c>
      <c r="H12" s="2648">
        <f t="shared" si="38"/>
        <v>814</v>
      </c>
      <c r="I12" s="2648">
        <f t="shared" si="38"/>
        <v>814</v>
      </c>
      <c r="J12" s="2649">
        <f t="shared" si="38"/>
        <v>819</v>
      </c>
      <c r="K12" s="291">
        <f t="shared" si="38"/>
        <v>1985</v>
      </c>
      <c r="L12" s="217">
        <f t="shared" si="19"/>
        <v>0.04</v>
      </c>
      <c r="M12" s="35">
        <f t="shared" si="10"/>
        <v>0.09</v>
      </c>
      <c r="N12" s="2594">
        <v>0</v>
      </c>
      <c r="O12" s="2099">
        <f>SUM(O9:O11)</f>
        <v>0.09</v>
      </c>
      <c r="P12" s="34">
        <f t="shared" si="11"/>
        <v>0.09</v>
      </c>
      <c r="Q12" s="2594">
        <v>0</v>
      </c>
      <c r="R12" s="2099">
        <f t="shared" ref="R12" si="39">SUM(R9:R11)</f>
        <v>0.09</v>
      </c>
      <c r="S12" s="34">
        <f t="shared" si="12"/>
        <v>0.09</v>
      </c>
      <c r="T12" s="2594">
        <v>0</v>
      </c>
      <c r="U12" s="2099">
        <f t="shared" ref="U12" si="40">SUM(U9:U11)</f>
        <v>0.09</v>
      </c>
      <c r="V12" s="34">
        <f t="shared" si="13"/>
        <v>0.09</v>
      </c>
      <c r="W12" s="2594">
        <v>0</v>
      </c>
      <c r="X12" s="2099">
        <f t="shared" ref="X12" si="41">SUM(X9:X11)</f>
        <v>0.09</v>
      </c>
      <c r="Y12" s="34">
        <f t="shared" si="14"/>
        <v>0.09</v>
      </c>
      <c r="Z12" s="2594">
        <v>0</v>
      </c>
      <c r="AA12" s="2099">
        <f t="shared" ref="AA12" si="42">SUM(AA9:AA11)</f>
        <v>0.09</v>
      </c>
      <c r="AB12" s="34">
        <f t="shared" si="15"/>
        <v>0.09</v>
      </c>
      <c r="AC12" s="2594">
        <v>0</v>
      </c>
      <c r="AD12" s="2099">
        <f t="shared" ref="AD12" si="43">SUM(AD9:AD11)</f>
        <v>0.09</v>
      </c>
      <c r="AE12" s="34">
        <f t="shared" si="16"/>
        <v>0.09</v>
      </c>
      <c r="AF12" s="2594">
        <v>0</v>
      </c>
      <c r="AG12" s="2099">
        <f t="shared" ref="AG12" si="44">SUM(AG9:AG11)</f>
        <v>0.09</v>
      </c>
      <c r="AH12" s="202">
        <f t="shared" si="37"/>
        <v>0</v>
      </c>
      <c r="AI12" s="3041" t="s">
        <v>16</v>
      </c>
      <c r="AJ12" s="2591">
        <f t="shared" si="17"/>
        <v>0.05</v>
      </c>
      <c r="AK12" s="2594">
        <v>0</v>
      </c>
      <c r="AL12" s="2099">
        <f>SUM(AL11:AL11)</f>
        <v>0.05</v>
      </c>
      <c r="AN12" s="2646">
        <f t="shared" si="9"/>
        <v>32</v>
      </c>
      <c r="AO12" s="2651" t="e">
        <f>#REF!-O12</f>
        <v>#REF!</v>
      </c>
    </row>
    <row r="13" spans="1:41">
      <c r="A13" s="3379" t="s">
        <v>120</v>
      </c>
      <c r="B13" s="2676" t="s">
        <v>391</v>
      </c>
      <c r="C13" s="325">
        <v>497</v>
      </c>
      <c r="D13" s="2215">
        <v>202</v>
      </c>
      <c r="E13" s="170">
        <v>202</v>
      </c>
      <c r="F13" s="169">
        <v>202</v>
      </c>
      <c r="G13" s="169">
        <v>202</v>
      </c>
      <c r="H13" s="169">
        <v>202</v>
      </c>
      <c r="I13" s="169">
        <v>202</v>
      </c>
      <c r="J13" s="270">
        <v>202</v>
      </c>
      <c r="K13" s="270">
        <v>202</v>
      </c>
      <c r="L13" s="218">
        <f t="shared" si="19"/>
        <v>0</v>
      </c>
      <c r="M13" s="246">
        <f t="shared" ref="M13:M40" si="45">O13-N13</f>
        <v>0.05</v>
      </c>
      <c r="N13" s="2300">
        <v>0</v>
      </c>
      <c r="O13" s="141">
        <f>'Table 6c'!G11</f>
        <v>0.05</v>
      </c>
      <c r="P13" s="47">
        <f t="shared" ref="P13:P37" si="46">R13-Q13</f>
        <v>0.04</v>
      </c>
      <c r="Q13" s="2300">
        <v>0</v>
      </c>
      <c r="R13" s="141">
        <f>E13*AI13/1000000</f>
        <v>0.04</v>
      </c>
      <c r="S13" s="47">
        <f t="shared" ref="S13:S37" si="47">U13-T13</f>
        <v>0.04</v>
      </c>
      <c r="T13" s="2300">
        <v>0</v>
      </c>
      <c r="U13" s="141">
        <f>F13*AI13/1000000</f>
        <v>0.04</v>
      </c>
      <c r="V13" s="47">
        <f t="shared" ref="V13:V37" si="48">X13-W13</f>
        <v>0.04</v>
      </c>
      <c r="W13" s="2300">
        <v>0</v>
      </c>
      <c r="X13" s="141">
        <f>G13*AI13/1000000</f>
        <v>0.04</v>
      </c>
      <c r="Y13" s="47">
        <f t="shared" ref="Y13:Y37" si="49">AA13-Z13</f>
        <v>0.04</v>
      </c>
      <c r="Z13" s="2300">
        <v>0</v>
      </c>
      <c r="AA13" s="141">
        <f>H13*AI13/1000000</f>
        <v>0.04</v>
      </c>
      <c r="AB13" s="47">
        <f t="shared" ref="AB13:AB37" si="50">AD13-AC13</f>
        <v>0.04</v>
      </c>
      <c r="AC13" s="2300">
        <v>0</v>
      </c>
      <c r="AD13" s="141">
        <f>I13*AI13/1000000</f>
        <v>0.04</v>
      </c>
      <c r="AE13" s="47">
        <f t="shared" si="16"/>
        <v>0.04</v>
      </c>
      <c r="AF13" s="2300">
        <v>0</v>
      </c>
      <c r="AG13" s="141">
        <f>J13*AI13/1000000</f>
        <v>0.04</v>
      </c>
      <c r="AH13" s="2677">
        <f t="shared" si="37"/>
        <v>-0.2</v>
      </c>
      <c r="AI13" s="2678">
        <f>'Table 6c'!P11</f>
        <v>185</v>
      </c>
      <c r="AJ13" s="47">
        <f t="shared" ref="AJ13:AJ37" si="51">AL13-AK13</f>
        <v>0.04</v>
      </c>
      <c r="AK13" s="2300">
        <v>0</v>
      </c>
      <c r="AL13" s="141">
        <f t="shared" ref="AL13:AL33" si="52">AG13*1.06</f>
        <v>0.04</v>
      </c>
      <c r="AN13" s="2170">
        <f t="shared" si="9"/>
        <v>0</v>
      </c>
      <c r="AO13" s="1626" t="e">
        <f>#REF!-O13</f>
        <v>#REF!</v>
      </c>
    </row>
    <row r="14" spans="1:41">
      <c r="A14" s="3379"/>
      <c r="B14" s="2679" t="s">
        <v>392</v>
      </c>
      <c r="C14" s="2680">
        <v>509</v>
      </c>
      <c r="D14" s="305">
        <f>'Table 6c'!L12</f>
        <v>495</v>
      </c>
      <c r="E14" s="864">
        <v>497</v>
      </c>
      <c r="F14" s="872">
        <v>613</v>
      </c>
      <c r="G14" s="872">
        <v>674</v>
      </c>
      <c r="H14" s="872">
        <v>806</v>
      </c>
      <c r="I14" s="872">
        <v>806</v>
      </c>
      <c r="J14" s="995">
        <v>806</v>
      </c>
      <c r="K14" s="995">
        <v>7246</v>
      </c>
      <c r="L14" s="1861">
        <f t="shared" si="19"/>
        <v>0.63</v>
      </c>
      <c r="M14" s="870">
        <f t="shared" si="45"/>
        <v>0.03</v>
      </c>
      <c r="N14" s="1956">
        <v>0</v>
      </c>
      <c r="O14" s="367">
        <f>'Table 6c'!G12</f>
        <v>0.03</v>
      </c>
      <c r="P14" s="823">
        <f t="shared" si="46"/>
        <v>0.03</v>
      </c>
      <c r="Q14" s="1956">
        <v>0</v>
      </c>
      <c r="R14" s="367">
        <f>E14*AI14/1000000</f>
        <v>0.03</v>
      </c>
      <c r="S14" s="823">
        <f t="shared" si="47"/>
        <v>0.04</v>
      </c>
      <c r="T14" s="1956">
        <v>0</v>
      </c>
      <c r="U14" s="367">
        <f>F14*AI14/1000000</f>
        <v>0.04</v>
      </c>
      <c r="V14" s="823">
        <f t="shared" si="48"/>
        <v>0.04</v>
      </c>
      <c r="W14" s="1956">
        <v>0</v>
      </c>
      <c r="X14" s="367">
        <f>G14*AI14/1000000</f>
        <v>0.04</v>
      </c>
      <c r="Y14" s="823">
        <f t="shared" si="49"/>
        <v>0.05</v>
      </c>
      <c r="Z14" s="1956">
        <v>0</v>
      </c>
      <c r="AA14" s="367">
        <f>H14*AI14/1000000</f>
        <v>0.05</v>
      </c>
      <c r="AB14" s="823">
        <f t="shared" si="50"/>
        <v>0.05</v>
      </c>
      <c r="AC14" s="1956">
        <v>0</v>
      </c>
      <c r="AD14" s="367">
        <f>I14*AI14/1000000</f>
        <v>0.05</v>
      </c>
      <c r="AE14" s="823">
        <f t="shared" si="16"/>
        <v>0.05</v>
      </c>
      <c r="AF14" s="1956">
        <v>0</v>
      </c>
      <c r="AG14" s="367">
        <f>J14*AI14/1000000</f>
        <v>0.05</v>
      </c>
      <c r="AH14" s="2558">
        <f t="shared" si="37"/>
        <v>0.67</v>
      </c>
      <c r="AI14" s="2681">
        <f>'Table 6c'!P12</f>
        <v>60</v>
      </c>
      <c r="AJ14" s="823">
        <f t="shared" si="51"/>
        <v>0.05</v>
      </c>
      <c r="AK14" s="1956">
        <v>0</v>
      </c>
      <c r="AL14" s="367">
        <f t="shared" si="52"/>
        <v>0.05</v>
      </c>
      <c r="AN14" s="305">
        <f t="shared" si="9"/>
        <v>311</v>
      </c>
      <c r="AO14" s="1627" t="e">
        <f>#REF!-O14</f>
        <v>#REF!</v>
      </c>
    </row>
    <row r="15" spans="1:41">
      <c r="A15" s="3379"/>
      <c r="B15" s="2682" t="s">
        <v>393</v>
      </c>
      <c r="C15" s="1873">
        <v>527</v>
      </c>
      <c r="D15" s="2036">
        <f>'Table 6c'!L13</f>
        <v>1000</v>
      </c>
      <c r="E15" s="861">
        <v>1000</v>
      </c>
      <c r="F15" s="368">
        <v>1000</v>
      </c>
      <c r="G15" s="368">
        <v>1000</v>
      </c>
      <c r="H15" s="368">
        <v>1000</v>
      </c>
      <c r="I15" s="368">
        <v>1000</v>
      </c>
      <c r="J15" s="1011">
        <v>1000</v>
      </c>
      <c r="K15" s="1011">
        <v>1000</v>
      </c>
      <c r="L15" s="197">
        <f t="shared" si="19"/>
        <v>0</v>
      </c>
      <c r="M15" s="1006">
        <f t="shared" si="45"/>
        <v>7.0000000000000007E-2</v>
      </c>
      <c r="N15" s="2038">
        <v>0</v>
      </c>
      <c r="O15" s="49">
        <f>'Table 6c'!G13</f>
        <v>7.0000000000000007E-2</v>
      </c>
      <c r="P15" s="48">
        <f t="shared" si="46"/>
        <v>0.09</v>
      </c>
      <c r="Q15" s="2038">
        <v>0</v>
      </c>
      <c r="R15" s="49">
        <f>E15*AI15/1000000</f>
        <v>0.09</v>
      </c>
      <c r="S15" s="48">
        <f t="shared" si="47"/>
        <v>0.09</v>
      </c>
      <c r="T15" s="2038">
        <v>0</v>
      </c>
      <c r="U15" s="49">
        <f>F15*AI15/1000000</f>
        <v>0.09</v>
      </c>
      <c r="V15" s="48">
        <f t="shared" si="48"/>
        <v>0.09</v>
      </c>
      <c r="W15" s="2038">
        <v>0</v>
      </c>
      <c r="X15" s="49">
        <f>G15*AI15/1000000</f>
        <v>0.09</v>
      </c>
      <c r="Y15" s="48">
        <f t="shared" si="49"/>
        <v>0.09</v>
      </c>
      <c r="Z15" s="2038">
        <v>0</v>
      </c>
      <c r="AA15" s="49">
        <f>H15*AI15/1000000</f>
        <v>0.09</v>
      </c>
      <c r="AB15" s="48">
        <f t="shared" si="50"/>
        <v>0.09</v>
      </c>
      <c r="AC15" s="2038">
        <v>0</v>
      </c>
      <c r="AD15" s="49">
        <f>I15*AI15/1000000</f>
        <v>0.09</v>
      </c>
      <c r="AE15" s="48">
        <f t="shared" si="16"/>
        <v>0.09</v>
      </c>
      <c r="AF15" s="2038">
        <v>0</v>
      </c>
      <c r="AG15" s="49">
        <f>J15*AI15/1000000</f>
        <v>0.09</v>
      </c>
      <c r="AH15" s="1871">
        <f t="shared" si="37"/>
        <v>0.28999999999999998</v>
      </c>
      <c r="AI15" s="2683">
        <f>'Table 6c'!P13</f>
        <v>86</v>
      </c>
      <c r="AJ15" s="48">
        <f t="shared" si="51"/>
        <v>0.1</v>
      </c>
      <c r="AK15" s="2038">
        <v>0</v>
      </c>
      <c r="AL15" s="49">
        <f t="shared" si="52"/>
        <v>0.1</v>
      </c>
      <c r="AN15" s="2036">
        <f t="shared" si="9"/>
        <v>0</v>
      </c>
      <c r="AO15" s="1623" t="e">
        <f>#REF!-O15</f>
        <v>#REF!</v>
      </c>
    </row>
    <row r="16" spans="1:41" s="22" customFormat="1" ht="14.25" thickTop="1" thickBot="1">
      <c r="A16" s="3379"/>
      <c r="B16" s="3397" t="s">
        <v>129</v>
      </c>
      <c r="C16" s="3398"/>
      <c r="D16" s="2181">
        <f t="shared" ref="D16:I16" si="53">SUM(D13:D15)</f>
        <v>1697</v>
      </c>
      <c r="E16" s="856">
        <f t="shared" si="53"/>
        <v>1699</v>
      </c>
      <c r="F16" s="172">
        <f t="shared" si="53"/>
        <v>1815</v>
      </c>
      <c r="G16" s="172">
        <f t="shared" si="53"/>
        <v>1876</v>
      </c>
      <c r="H16" s="172">
        <f t="shared" si="53"/>
        <v>2008</v>
      </c>
      <c r="I16" s="172">
        <f t="shared" si="53"/>
        <v>2008</v>
      </c>
      <c r="J16" s="290">
        <f>SUM(J13:J15)</f>
        <v>2008</v>
      </c>
      <c r="K16" s="290">
        <f>SUM(K13:K15)</f>
        <v>8448</v>
      </c>
      <c r="L16" s="241">
        <f t="shared" si="19"/>
        <v>0.18</v>
      </c>
      <c r="M16" s="140">
        <f t="shared" si="45"/>
        <v>0.15</v>
      </c>
      <c r="N16" s="2183">
        <v>0</v>
      </c>
      <c r="O16" s="56">
        <f>SUM(O13:O15)</f>
        <v>0.15</v>
      </c>
      <c r="P16" s="139">
        <f t="shared" si="46"/>
        <v>0.16</v>
      </c>
      <c r="Q16" s="2183">
        <v>0</v>
      </c>
      <c r="R16" s="56">
        <f>SUM(R13:R15)</f>
        <v>0.16</v>
      </c>
      <c r="S16" s="139">
        <f t="shared" si="47"/>
        <v>0.17</v>
      </c>
      <c r="T16" s="2183">
        <v>0</v>
      </c>
      <c r="U16" s="56">
        <f>SUM(U13:U15)</f>
        <v>0.17</v>
      </c>
      <c r="V16" s="139">
        <f t="shared" si="48"/>
        <v>0.17</v>
      </c>
      <c r="W16" s="2183">
        <v>0</v>
      </c>
      <c r="X16" s="56">
        <f>SUM(X13:X15)</f>
        <v>0.17</v>
      </c>
      <c r="Y16" s="139">
        <f t="shared" si="49"/>
        <v>0.18</v>
      </c>
      <c r="Z16" s="2183">
        <v>0</v>
      </c>
      <c r="AA16" s="56">
        <f>SUM(AA13:AA15)</f>
        <v>0.18</v>
      </c>
      <c r="AB16" s="139">
        <f t="shared" si="50"/>
        <v>0.18</v>
      </c>
      <c r="AC16" s="2183">
        <v>0</v>
      </c>
      <c r="AD16" s="56">
        <f>SUM(AD13:AD15)</f>
        <v>0.18</v>
      </c>
      <c r="AE16" s="139">
        <f t="shared" si="16"/>
        <v>0.18</v>
      </c>
      <c r="AF16" s="2183">
        <f t="shared" ref="AF16:AG16" si="54">SUM(AF13:AF15)</f>
        <v>0</v>
      </c>
      <c r="AG16" s="56">
        <f t="shared" si="54"/>
        <v>0.18</v>
      </c>
      <c r="AH16" s="242">
        <f t="shared" si="37"/>
        <v>0.2</v>
      </c>
      <c r="AI16" s="3039" t="s">
        <v>16</v>
      </c>
      <c r="AJ16" s="139">
        <f t="shared" si="51"/>
        <v>0.19</v>
      </c>
      <c r="AK16" s="2183">
        <v>0</v>
      </c>
      <c r="AL16" s="56">
        <f t="shared" si="52"/>
        <v>0.19</v>
      </c>
      <c r="AN16" s="2181">
        <f t="shared" si="9"/>
        <v>311</v>
      </c>
      <c r="AO16" s="1629" t="e">
        <f>#REF!-O16</f>
        <v>#REF!</v>
      </c>
    </row>
    <row r="17" spans="1:41" s="22" customFormat="1" ht="12.75" customHeight="1">
      <c r="A17" s="3300" t="s">
        <v>130</v>
      </c>
      <c r="B17" s="2684" t="s">
        <v>394</v>
      </c>
      <c r="C17" s="754">
        <v>216402</v>
      </c>
      <c r="D17" s="2215">
        <f>'Table 6c'!L15</f>
        <v>52</v>
      </c>
      <c r="E17" s="2685">
        <v>52</v>
      </c>
      <c r="F17" s="2686">
        <v>52</v>
      </c>
      <c r="G17" s="2686">
        <v>52</v>
      </c>
      <c r="H17" s="2686">
        <v>52</v>
      </c>
      <c r="I17" s="2686">
        <v>52</v>
      </c>
      <c r="J17" s="2687">
        <v>52</v>
      </c>
      <c r="K17" s="2687">
        <v>52</v>
      </c>
      <c r="L17" s="196">
        <f t="shared" si="19"/>
        <v>0</v>
      </c>
      <c r="M17" s="186">
        <f t="shared" si="45"/>
        <v>0.01</v>
      </c>
      <c r="N17" s="2172">
        <v>0</v>
      </c>
      <c r="O17" s="160">
        <f>'Table 6c'!G15</f>
        <v>0.01</v>
      </c>
      <c r="P17" s="149">
        <f t="shared" ref="P17:P19" si="55">R17-Q17</f>
        <v>0.01</v>
      </c>
      <c r="Q17" s="2172">
        <v>0</v>
      </c>
      <c r="R17" s="160">
        <f t="shared" ref="R17:R33" si="56">E17*AI17/1000000</f>
        <v>0.01</v>
      </c>
      <c r="S17" s="149">
        <f t="shared" ref="S17:S19" si="57">U17-T17</f>
        <v>0.01</v>
      </c>
      <c r="T17" s="2172">
        <v>0</v>
      </c>
      <c r="U17" s="160">
        <f t="shared" ref="U17:U33" si="58">F17*AI17/1000000</f>
        <v>0.01</v>
      </c>
      <c r="V17" s="149">
        <f t="shared" ref="V17:V19" si="59">X17-W17</f>
        <v>0.01</v>
      </c>
      <c r="W17" s="2172">
        <v>0</v>
      </c>
      <c r="X17" s="160">
        <f t="shared" ref="X17:X33" si="60">G17*AI17/1000000</f>
        <v>0.01</v>
      </c>
      <c r="Y17" s="149">
        <f t="shared" ref="Y17:Y19" si="61">AA17-Z17</f>
        <v>0.01</v>
      </c>
      <c r="Z17" s="2172">
        <v>0</v>
      </c>
      <c r="AA17" s="160">
        <f t="shared" ref="AA17:AA33" si="62">H17*AI17/1000000</f>
        <v>0.01</v>
      </c>
      <c r="AB17" s="149">
        <f t="shared" ref="AB17:AB19" si="63">AD17-AC17</f>
        <v>0.01</v>
      </c>
      <c r="AC17" s="2172">
        <v>0</v>
      </c>
      <c r="AD17" s="160">
        <f t="shared" ref="AD17:AD33" si="64">I17*AI17/1000000</f>
        <v>0.01</v>
      </c>
      <c r="AE17" s="149">
        <f t="shared" ref="AE17:AE19" si="65">AG17-AF17</f>
        <v>0.01</v>
      </c>
      <c r="AF17" s="2172">
        <v>0</v>
      </c>
      <c r="AG17" s="2688">
        <f t="shared" ref="AG17:AG33" si="66">J17*AI17/1000000</f>
        <v>0.01</v>
      </c>
      <c r="AH17" s="196">
        <f t="shared" si="37"/>
        <v>0</v>
      </c>
      <c r="AI17" s="2659">
        <f>'Table 6c'!P15</f>
        <v>154</v>
      </c>
      <c r="AJ17" s="149">
        <f t="shared" si="51"/>
        <v>0.01</v>
      </c>
      <c r="AK17" s="2172">
        <v>0</v>
      </c>
      <c r="AL17" s="160">
        <f t="shared" si="52"/>
        <v>0.01</v>
      </c>
      <c r="AN17" s="2215">
        <f t="shared" si="9"/>
        <v>0</v>
      </c>
      <c r="AO17" s="1625" t="e">
        <f>#REF!-O17</f>
        <v>#REF!</v>
      </c>
    </row>
    <row r="18" spans="1:41" s="22" customFormat="1" ht="15" customHeight="1">
      <c r="A18" s="3301"/>
      <c r="B18" s="2679" t="s">
        <v>395</v>
      </c>
      <c r="C18" s="2346">
        <v>216937</v>
      </c>
      <c r="D18" s="305">
        <f>'Table 6c'!L16</f>
        <v>48</v>
      </c>
      <c r="E18" s="864">
        <v>48</v>
      </c>
      <c r="F18" s="872">
        <v>48</v>
      </c>
      <c r="G18" s="872">
        <v>48</v>
      </c>
      <c r="H18" s="872">
        <v>48</v>
      </c>
      <c r="I18" s="872">
        <v>48</v>
      </c>
      <c r="J18" s="995">
        <v>48</v>
      </c>
      <c r="K18" s="995">
        <v>48</v>
      </c>
      <c r="L18" s="1861">
        <f t="shared" si="19"/>
        <v>0</v>
      </c>
      <c r="M18" s="870">
        <f t="shared" si="45"/>
        <v>0.01</v>
      </c>
      <c r="N18" s="1956">
        <v>0</v>
      </c>
      <c r="O18" s="367">
        <f>'Table 6c'!G16</f>
        <v>0.01</v>
      </c>
      <c r="P18" s="823">
        <f t="shared" si="55"/>
        <v>0.01</v>
      </c>
      <c r="Q18" s="1956">
        <v>0</v>
      </c>
      <c r="R18" s="367">
        <f t="shared" si="56"/>
        <v>0.01</v>
      </c>
      <c r="S18" s="823">
        <f t="shared" si="57"/>
        <v>0.01</v>
      </c>
      <c r="T18" s="1956">
        <v>0</v>
      </c>
      <c r="U18" s="367">
        <f t="shared" si="58"/>
        <v>0.01</v>
      </c>
      <c r="V18" s="823">
        <f t="shared" si="59"/>
        <v>0.01</v>
      </c>
      <c r="W18" s="1956">
        <v>0</v>
      </c>
      <c r="X18" s="367">
        <f t="shared" si="60"/>
        <v>0.01</v>
      </c>
      <c r="Y18" s="823">
        <f t="shared" si="61"/>
        <v>0.01</v>
      </c>
      <c r="Z18" s="1956">
        <v>0</v>
      </c>
      <c r="AA18" s="367">
        <f t="shared" si="62"/>
        <v>0.01</v>
      </c>
      <c r="AB18" s="823">
        <f t="shared" si="63"/>
        <v>0.01</v>
      </c>
      <c r="AC18" s="1956">
        <v>0</v>
      </c>
      <c r="AD18" s="367">
        <f t="shared" si="64"/>
        <v>0.01</v>
      </c>
      <c r="AE18" s="823">
        <f t="shared" si="65"/>
        <v>0.01</v>
      </c>
      <c r="AF18" s="1956">
        <v>0</v>
      </c>
      <c r="AG18" s="2689">
        <f t="shared" si="66"/>
        <v>0.01</v>
      </c>
      <c r="AH18" s="1861">
        <f t="shared" si="37"/>
        <v>0</v>
      </c>
      <c r="AI18" s="2566">
        <f>'Table 6c'!P16</f>
        <v>146</v>
      </c>
      <c r="AJ18" s="823">
        <f t="shared" si="51"/>
        <v>0.01</v>
      </c>
      <c r="AK18" s="1956">
        <v>0</v>
      </c>
      <c r="AL18" s="367">
        <f t="shared" si="52"/>
        <v>0.01</v>
      </c>
      <c r="AN18" s="305">
        <f t="shared" si="9"/>
        <v>0</v>
      </c>
      <c r="AO18" s="1627" t="e">
        <f>#REF!-O18</f>
        <v>#REF!</v>
      </c>
    </row>
    <row r="19" spans="1:41" s="22" customFormat="1" ht="15" customHeight="1">
      <c r="A19" s="3301"/>
      <c r="B19" s="2679" t="s">
        <v>396</v>
      </c>
      <c r="C19" s="2346">
        <v>217171</v>
      </c>
      <c r="D19" s="305">
        <f>'Table 6c'!L17</f>
        <v>136</v>
      </c>
      <c r="E19" s="864">
        <v>136</v>
      </c>
      <c r="F19" s="872">
        <v>136</v>
      </c>
      <c r="G19" s="872">
        <v>136</v>
      </c>
      <c r="H19" s="872">
        <v>136</v>
      </c>
      <c r="I19" s="872">
        <v>136</v>
      </c>
      <c r="J19" s="995">
        <v>136</v>
      </c>
      <c r="K19" s="995">
        <v>136</v>
      </c>
      <c r="L19" s="1861">
        <f t="shared" si="19"/>
        <v>0</v>
      </c>
      <c r="M19" s="870">
        <f t="shared" si="45"/>
        <v>0.02</v>
      </c>
      <c r="N19" s="1956">
        <v>0</v>
      </c>
      <c r="O19" s="367">
        <f>'Table 6c'!G17</f>
        <v>0.02</v>
      </c>
      <c r="P19" s="823">
        <f t="shared" si="55"/>
        <v>0.02</v>
      </c>
      <c r="Q19" s="1956">
        <v>0</v>
      </c>
      <c r="R19" s="367">
        <f t="shared" si="56"/>
        <v>0.02</v>
      </c>
      <c r="S19" s="823">
        <f t="shared" si="57"/>
        <v>0.02</v>
      </c>
      <c r="T19" s="1956">
        <v>0</v>
      </c>
      <c r="U19" s="367">
        <f t="shared" si="58"/>
        <v>0.02</v>
      </c>
      <c r="V19" s="823">
        <f t="shared" si="59"/>
        <v>0.02</v>
      </c>
      <c r="W19" s="1956">
        <v>0</v>
      </c>
      <c r="X19" s="367">
        <f t="shared" si="60"/>
        <v>0.02</v>
      </c>
      <c r="Y19" s="823">
        <f t="shared" si="61"/>
        <v>0.02</v>
      </c>
      <c r="Z19" s="1956">
        <v>0</v>
      </c>
      <c r="AA19" s="367">
        <f t="shared" si="62"/>
        <v>0.02</v>
      </c>
      <c r="AB19" s="823">
        <f t="shared" si="63"/>
        <v>0.02</v>
      </c>
      <c r="AC19" s="1956">
        <v>0</v>
      </c>
      <c r="AD19" s="367">
        <f t="shared" si="64"/>
        <v>0.02</v>
      </c>
      <c r="AE19" s="823">
        <f t="shared" si="65"/>
        <v>0.02</v>
      </c>
      <c r="AF19" s="1956">
        <v>0</v>
      </c>
      <c r="AG19" s="2689">
        <f t="shared" si="66"/>
        <v>0.02</v>
      </c>
      <c r="AH19" s="1861">
        <f t="shared" si="37"/>
        <v>0</v>
      </c>
      <c r="AI19" s="2566">
        <f>'Table 6c'!P17</f>
        <v>147</v>
      </c>
      <c r="AJ19" s="823">
        <f t="shared" si="51"/>
        <v>0.02</v>
      </c>
      <c r="AK19" s="1956">
        <v>0</v>
      </c>
      <c r="AL19" s="367">
        <f t="shared" si="52"/>
        <v>0.02</v>
      </c>
      <c r="AN19" s="305">
        <f t="shared" si="9"/>
        <v>0</v>
      </c>
      <c r="AO19" s="1627" t="e">
        <f>#REF!-O19</f>
        <v>#REF!</v>
      </c>
    </row>
    <row r="20" spans="1:41" s="22" customFormat="1" ht="15" customHeight="1">
      <c r="A20" s="3301"/>
      <c r="B20" s="2621" t="s">
        <v>397</v>
      </c>
      <c r="C20" s="2690">
        <v>218347</v>
      </c>
      <c r="D20" s="305">
        <f>'Table 6c'!L18</f>
        <v>490</v>
      </c>
      <c r="E20" s="864">
        <v>506</v>
      </c>
      <c r="F20" s="872">
        <v>506</v>
      </c>
      <c r="G20" s="872">
        <v>506</v>
      </c>
      <c r="H20" s="872">
        <v>506</v>
      </c>
      <c r="I20" s="872">
        <v>555</v>
      </c>
      <c r="J20" s="995">
        <v>674</v>
      </c>
      <c r="K20" s="995">
        <v>1484</v>
      </c>
      <c r="L20" s="300">
        <f t="shared" si="19"/>
        <v>0.38</v>
      </c>
      <c r="M20" s="870">
        <f>O20-N20</f>
        <v>0.1</v>
      </c>
      <c r="N20" s="1956">
        <v>0</v>
      </c>
      <c r="O20" s="367">
        <f>'Table 6c'!G18</f>
        <v>0.1</v>
      </c>
      <c r="P20" s="823">
        <f t="shared" si="46"/>
        <v>0.08</v>
      </c>
      <c r="Q20" s="1956">
        <v>0</v>
      </c>
      <c r="R20" s="367">
        <f t="shared" si="56"/>
        <v>0.08</v>
      </c>
      <c r="S20" s="823">
        <f t="shared" si="47"/>
        <v>0.08</v>
      </c>
      <c r="T20" s="1956">
        <v>0</v>
      </c>
      <c r="U20" s="367">
        <f t="shared" si="58"/>
        <v>0.08</v>
      </c>
      <c r="V20" s="823">
        <f t="shared" si="48"/>
        <v>0.08</v>
      </c>
      <c r="W20" s="1956">
        <v>0</v>
      </c>
      <c r="X20" s="367">
        <f t="shared" si="60"/>
        <v>0.08</v>
      </c>
      <c r="Y20" s="823">
        <f t="shared" si="49"/>
        <v>0.08</v>
      </c>
      <c r="Z20" s="1956">
        <v>0</v>
      </c>
      <c r="AA20" s="367">
        <f t="shared" si="62"/>
        <v>0.08</v>
      </c>
      <c r="AB20" s="823">
        <f t="shared" si="50"/>
        <v>0.09</v>
      </c>
      <c r="AC20" s="299">
        <v>0</v>
      </c>
      <c r="AD20" s="367">
        <f t="shared" si="64"/>
        <v>0.09</v>
      </c>
      <c r="AE20" s="823">
        <f t="shared" si="16"/>
        <v>0.11</v>
      </c>
      <c r="AF20" s="299">
        <v>0</v>
      </c>
      <c r="AG20" s="2689">
        <f t="shared" si="66"/>
        <v>0.11</v>
      </c>
      <c r="AH20" s="1861">
        <f t="shared" si="37"/>
        <v>0.1</v>
      </c>
      <c r="AI20" s="2566">
        <f>'Table 6c'!P18</f>
        <v>161</v>
      </c>
      <c r="AJ20" s="823">
        <f>AL20-AK20</f>
        <v>0.12</v>
      </c>
      <c r="AK20" s="1956">
        <v>0</v>
      </c>
      <c r="AL20" s="367">
        <f t="shared" si="52"/>
        <v>0.12</v>
      </c>
      <c r="AN20" s="305">
        <f t="shared" si="9"/>
        <v>184</v>
      </c>
      <c r="AO20" s="1627" t="e">
        <f>#REF!-O20</f>
        <v>#REF!</v>
      </c>
    </row>
    <row r="21" spans="1:41" s="22" customFormat="1" ht="15" customHeight="1">
      <c r="A21" s="3301"/>
      <c r="B21" s="2679" t="s">
        <v>398</v>
      </c>
      <c r="C21" s="2346">
        <v>218667</v>
      </c>
      <c r="D21" s="305">
        <f>'Table 6c'!L19</f>
        <v>12</v>
      </c>
      <c r="E21" s="864">
        <v>12</v>
      </c>
      <c r="F21" s="872">
        <v>12</v>
      </c>
      <c r="G21" s="872">
        <v>12</v>
      </c>
      <c r="H21" s="872">
        <v>12</v>
      </c>
      <c r="I21" s="872">
        <v>12</v>
      </c>
      <c r="J21" s="995">
        <v>12</v>
      </c>
      <c r="K21" s="995">
        <v>12</v>
      </c>
      <c r="L21" s="300">
        <f t="shared" si="19"/>
        <v>0</v>
      </c>
      <c r="M21" s="870">
        <f t="shared" ref="M21:M33" si="67">O21-N21</f>
        <v>0</v>
      </c>
      <c r="N21" s="1956">
        <v>0</v>
      </c>
      <c r="O21" s="367">
        <f>'Table 6c'!G19</f>
        <v>0</v>
      </c>
      <c r="P21" s="823">
        <f t="shared" ref="P21:P33" si="68">R21-Q21</f>
        <v>0</v>
      </c>
      <c r="Q21" s="1956">
        <v>0</v>
      </c>
      <c r="R21" s="367">
        <f t="shared" si="56"/>
        <v>0</v>
      </c>
      <c r="S21" s="823">
        <f t="shared" ref="S21:S33" si="69">U21-T21</f>
        <v>0</v>
      </c>
      <c r="T21" s="1956">
        <v>0</v>
      </c>
      <c r="U21" s="367">
        <f t="shared" si="58"/>
        <v>0</v>
      </c>
      <c r="V21" s="823">
        <f t="shared" ref="V21:V33" si="70">X21-W21</f>
        <v>0</v>
      </c>
      <c r="W21" s="1956">
        <v>0</v>
      </c>
      <c r="X21" s="367">
        <f t="shared" si="60"/>
        <v>0</v>
      </c>
      <c r="Y21" s="823">
        <f t="shared" ref="Y21:Y33" si="71">AA21-Z21</f>
        <v>0</v>
      </c>
      <c r="Z21" s="1956">
        <v>0</v>
      </c>
      <c r="AA21" s="367">
        <f t="shared" si="62"/>
        <v>0</v>
      </c>
      <c r="AB21" s="823">
        <f t="shared" ref="AB21:AB33" si="72">AD21-AC21</f>
        <v>0</v>
      </c>
      <c r="AC21" s="1956">
        <v>0</v>
      </c>
      <c r="AD21" s="367">
        <f t="shared" si="64"/>
        <v>0</v>
      </c>
      <c r="AE21" s="823">
        <f t="shared" ref="AE21:AE33" si="73">AG21-AF21</f>
        <v>0</v>
      </c>
      <c r="AF21" s="1956">
        <v>0</v>
      </c>
      <c r="AG21" s="2689">
        <f t="shared" si="66"/>
        <v>0</v>
      </c>
      <c r="AH21" s="300" t="s">
        <v>16</v>
      </c>
      <c r="AI21" s="2566">
        <f>'Table 6c'!P19</f>
        <v>167</v>
      </c>
      <c r="AJ21" s="823">
        <f t="shared" ref="AJ21:AJ33" si="74">AL21-AK21</f>
        <v>0</v>
      </c>
      <c r="AK21" s="1956">
        <v>0</v>
      </c>
      <c r="AL21" s="367">
        <f t="shared" si="52"/>
        <v>0</v>
      </c>
      <c r="AN21" s="305">
        <f t="shared" si="9"/>
        <v>0</v>
      </c>
      <c r="AO21" s="1627" t="e">
        <f>#REF!-O21</f>
        <v>#REF!</v>
      </c>
    </row>
    <row r="22" spans="1:41" s="22" customFormat="1" ht="15" customHeight="1">
      <c r="A22" s="3301"/>
      <c r="B22" s="2679" t="s">
        <v>399</v>
      </c>
      <c r="C22" s="2346">
        <v>219114</v>
      </c>
      <c r="D22" s="305">
        <f>'Table 6c'!L20</f>
        <v>250</v>
      </c>
      <c r="E22" s="2986">
        <v>250</v>
      </c>
      <c r="F22" s="1100">
        <v>250</v>
      </c>
      <c r="G22" s="1100">
        <v>250</v>
      </c>
      <c r="H22" s="1100">
        <v>250</v>
      </c>
      <c r="I22" s="1100">
        <v>250</v>
      </c>
      <c r="J22" s="1100">
        <v>250</v>
      </c>
      <c r="K22" s="305">
        <v>250</v>
      </c>
      <c r="L22" s="300">
        <f t="shared" si="19"/>
        <v>0</v>
      </c>
      <c r="M22" s="870">
        <f t="shared" ref="M22" si="75">O22-N22</f>
        <v>0.01</v>
      </c>
      <c r="N22" s="1956">
        <v>0</v>
      </c>
      <c r="O22" s="367">
        <f>'Table 6c'!G20</f>
        <v>0.01</v>
      </c>
      <c r="P22" s="823">
        <f t="shared" si="68"/>
        <v>0.01</v>
      </c>
      <c r="Q22" s="1956">
        <v>0</v>
      </c>
      <c r="R22" s="367">
        <f t="shared" si="56"/>
        <v>0.01</v>
      </c>
      <c r="S22" s="823">
        <f t="shared" ref="S22" si="76">U22-T22</f>
        <v>0.01</v>
      </c>
      <c r="T22" s="1956">
        <v>0</v>
      </c>
      <c r="U22" s="367">
        <f t="shared" ref="U22" si="77">F22*AI22/1000000</f>
        <v>0.01</v>
      </c>
      <c r="V22" s="823">
        <f t="shared" ref="V22" si="78">X22-W22</f>
        <v>0.01</v>
      </c>
      <c r="W22" s="1956">
        <v>0</v>
      </c>
      <c r="X22" s="367">
        <f t="shared" ref="X22" si="79">G22*AI22/1000000</f>
        <v>0.01</v>
      </c>
      <c r="Y22" s="823">
        <f t="shared" ref="Y22" si="80">AA22-Z22</f>
        <v>0.01</v>
      </c>
      <c r="Z22" s="1956">
        <v>0</v>
      </c>
      <c r="AA22" s="367">
        <f t="shared" ref="AA22" si="81">H22*AI22/1000000</f>
        <v>0.01</v>
      </c>
      <c r="AB22" s="823">
        <f t="shared" ref="AB22" si="82">AD22-AC22</f>
        <v>0.01</v>
      </c>
      <c r="AC22" s="1956">
        <v>0</v>
      </c>
      <c r="AD22" s="367">
        <f t="shared" ref="AD22" si="83">I22*AI22/1000000</f>
        <v>0.01</v>
      </c>
      <c r="AE22" s="823">
        <f t="shared" ref="AE22" si="84">AG22-AF22</f>
        <v>0.01</v>
      </c>
      <c r="AF22" s="1956">
        <v>0</v>
      </c>
      <c r="AG22" s="2689">
        <f t="shared" ref="AG22" si="85">J22*AI22/1000000</f>
        <v>0.01</v>
      </c>
      <c r="AH22" s="300">
        <f>(AG22-O22)/O22</f>
        <v>0</v>
      </c>
      <c r="AI22" s="2566">
        <f>'Table 6c'!P20</f>
        <v>59</v>
      </c>
      <c r="AJ22" s="823">
        <f t="shared" ref="AJ22" si="86">AL22-AK22</f>
        <v>0.01</v>
      </c>
      <c r="AK22" s="1956">
        <v>0</v>
      </c>
      <c r="AL22" s="367">
        <f t="shared" si="52"/>
        <v>0.01</v>
      </c>
      <c r="AN22" s="305"/>
      <c r="AO22" s="1627"/>
    </row>
    <row r="23" spans="1:41" s="22" customFormat="1" ht="15" customHeight="1">
      <c r="A23" s="3301"/>
      <c r="B23" s="2679" t="s">
        <v>400</v>
      </c>
      <c r="C23" s="2346">
        <v>219122</v>
      </c>
      <c r="D23" s="305">
        <f>'Table 6c'!L21</f>
        <v>300</v>
      </c>
      <c r="E23" s="2986">
        <v>300</v>
      </c>
      <c r="F23" s="1100">
        <v>300</v>
      </c>
      <c r="G23" s="1100">
        <v>300</v>
      </c>
      <c r="H23" s="1100">
        <v>300</v>
      </c>
      <c r="I23" s="1100">
        <v>300</v>
      </c>
      <c r="J23" s="873">
        <v>300</v>
      </c>
      <c r="K23" s="995">
        <v>300</v>
      </c>
      <c r="L23" s="300">
        <f t="shared" si="19"/>
        <v>0</v>
      </c>
      <c r="M23" s="870">
        <f t="shared" ref="M23" si="87">O23-N23</f>
        <v>0.01</v>
      </c>
      <c r="N23" s="1956">
        <v>0</v>
      </c>
      <c r="O23" s="367">
        <f>'Table 6c'!G21</f>
        <v>0.01</v>
      </c>
      <c r="P23" s="823">
        <f t="shared" ref="P23" si="88">R23-Q23</f>
        <v>0.01</v>
      </c>
      <c r="Q23" s="1956">
        <v>0</v>
      </c>
      <c r="R23" s="367">
        <f t="shared" ref="R23" si="89">E23*AI23/1000000</f>
        <v>0.01</v>
      </c>
      <c r="S23" s="823">
        <f t="shared" ref="S23" si="90">U23-T23</f>
        <v>0.01</v>
      </c>
      <c r="T23" s="1956">
        <v>0</v>
      </c>
      <c r="U23" s="367">
        <f t="shared" ref="U23" si="91">F23*AI23/1000000</f>
        <v>0.01</v>
      </c>
      <c r="V23" s="823">
        <f t="shared" ref="V23" si="92">X23-W23</f>
        <v>0.01</v>
      </c>
      <c r="W23" s="1956">
        <v>0</v>
      </c>
      <c r="X23" s="367">
        <f t="shared" ref="X23" si="93">G23*AI23/1000000</f>
        <v>0.01</v>
      </c>
      <c r="Y23" s="823">
        <f t="shared" ref="Y23" si="94">AA23-Z23</f>
        <v>0.01</v>
      </c>
      <c r="Z23" s="1956">
        <v>0</v>
      </c>
      <c r="AA23" s="367">
        <f t="shared" ref="AA23" si="95">H23*AI23/1000000</f>
        <v>0.01</v>
      </c>
      <c r="AB23" s="823">
        <f t="shared" ref="AB23" si="96">AD23-AC23</f>
        <v>0.01</v>
      </c>
      <c r="AC23" s="1956">
        <v>0</v>
      </c>
      <c r="AD23" s="367">
        <f t="shared" ref="AD23" si="97">I23*AI23/1000000</f>
        <v>0.01</v>
      </c>
      <c r="AE23" s="823">
        <f t="shared" ref="AE23" si="98">AG23-AF23</f>
        <v>0.01</v>
      </c>
      <c r="AF23" s="1956">
        <v>0</v>
      </c>
      <c r="AG23" s="2689">
        <f t="shared" ref="AG23" si="99">J23*AI23/1000000</f>
        <v>0.01</v>
      </c>
      <c r="AH23" s="300">
        <f>(AG23-O23)/O23</f>
        <v>0</v>
      </c>
      <c r="AI23" s="2566">
        <f>'Table 6c'!P21</f>
        <v>40</v>
      </c>
      <c r="AJ23" s="823">
        <f t="shared" ref="AJ23" si="100">AL23-AK23</f>
        <v>0.01</v>
      </c>
      <c r="AK23" s="1956">
        <v>0</v>
      </c>
      <c r="AL23" s="367">
        <f t="shared" ref="AL23" si="101">AG23*1.06</f>
        <v>0.01</v>
      </c>
      <c r="AN23" s="305"/>
      <c r="AO23" s="1627"/>
    </row>
    <row r="24" spans="1:41" s="22" customFormat="1" ht="15" customHeight="1">
      <c r="A24" s="3301"/>
      <c r="B24" s="2679" t="s">
        <v>401</v>
      </c>
      <c r="C24" s="2346">
        <v>219126</v>
      </c>
      <c r="D24" s="305">
        <f>'Table 6c'!L22</f>
        <v>96</v>
      </c>
      <c r="E24" s="864">
        <v>96</v>
      </c>
      <c r="F24" s="872">
        <v>96</v>
      </c>
      <c r="G24" s="872">
        <v>96</v>
      </c>
      <c r="H24" s="872">
        <v>96</v>
      </c>
      <c r="I24" s="872">
        <v>96</v>
      </c>
      <c r="J24" s="995">
        <v>96</v>
      </c>
      <c r="K24" s="995">
        <v>96</v>
      </c>
      <c r="L24" s="300">
        <f t="shared" si="19"/>
        <v>0</v>
      </c>
      <c r="M24" s="870">
        <f t="shared" si="67"/>
        <v>0.01</v>
      </c>
      <c r="N24" s="1956">
        <v>0</v>
      </c>
      <c r="O24" s="367">
        <f>'Table 6c'!G22</f>
        <v>0.01</v>
      </c>
      <c r="P24" s="823">
        <f t="shared" si="68"/>
        <v>0.01</v>
      </c>
      <c r="Q24" s="1956">
        <v>0</v>
      </c>
      <c r="R24" s="367">
        <f t="shared" si="56"/>
        <v>0.01</v>
      </c>
      <c r="S24" s="823">
        <f t="shared" si="69"/>
        <v>0.01</v>
      </c>
      <c r="T24" s="1956">
        <v>0</v>
      </c>
      <c r="U24" s="367">
        <f t="shared" si="58"/>
        <v>0.01</v>
      </c>
      <c r="V24" s="823">
        <f t="shared" si="70"/>
        <v>0.01</v>
      </c>
      <c r="W24" s="1956">
        <v>0</v>
      </c>
      <c r="X24" s="367">
        <f t="shared" si="60"/>
        <v>0.01</v>
      </c>
      <c r="Y24" s="823">
        <f t="shared" si="71"/>
        <v>0.01</v>
      </c>
      <c r="Z24" s="1956">
        <v>0</v>
      </c>
      <c r="AA24" s="367">
        <f t="shared" si="62"/>
        <v>0.01</v>
      </c>
      <c r="AB24" s="823">
        <f t="shared" si="72"/>
        <v>0.01</v>
      </c>
      <c r="AC24" s="1956">
        <v>0</v>
      </c>
      <c r="AD24" s="367">
        <f t="shared" si="64"/>
        <v>0.01</v>
      </c>
      <c r="AE24" s="823">
        <f t="shared" si="73"/>
        <v>0.01</v>
      </c>
      <c r="AF24" s="1956">
        <v>0</v>
      </c>
      <c r="AG24" s="2689">
        <f t="shared" si="66"/>
        <v>0.01</v>
      </c>
      <c r="AH24" s="300">
        <f>(AG24-O24)/O24</f>
        <v>0</v>
      </c>
      <c r="AI24" s="2566">
        <f>'Table 6c'!P22</f>
        <v>146</v>
      </c>
      <c r="AJ24" s="823">
        <f t="shared" si="74"/>
        <v>0.01</v>
      </c>
      <c r="AK24" s="1956">
        <v>0</v>
      </c>
      <c r="AL24" s="367">
        <f t="shared" si="52"/>
        <v>0.01</v>
      </c>
      <c r="AN24" s="305">
        <f t="shared" si="9"/>
        <v>0</v>
      </c>
      <c r="AO24" s="1627" t="e">
        <f>#REF!-O24</f>
        <v>#REF!</v>
      </c>
    </row>
    <row r="25" spans="1:41" s="22" customFormat="1" ht="15" customHeight="1">
      <c r="A25" s="3301"/>
      <c r="B25" s="2679" t="s">
        <v>402</v>
      </c>
      <c r="C25" s="2346">
        <v>219141</v>
      </c>
      <c r="D25" s="305">
        <f>'Table 6c'!L23</f>
        <v>22</v>
      </c>
      <c r="E25" s="864">
        <v>22</v>
      </c>
      <c r="F25" s="872">
        <v>22</v>
      </c>
      <c r="G25" s="872">
        <v>22</v>
      </c>
      <c r="H25" s="872">
        <v>22</v>
      </c>
      <c r="I25" s="872">
        <v>22</v>
      </c>
      <c r="J25" s="995">
        <v>22</v>
      </c>
      <c r="K25" s="995">
        <v>22</v>
      </c>
      <c r="L25" s="300">
        <f t="shared" si="19"/>
        <v>0</v>
      </c>
      <c r="M25" s="870">
        <f t="shared" si="67"/>
        <v>0</v>
      </c>
      <c r="N25" s="1956">
        <v>0</v>
      </c>
      <c r="O25" s="367">
        <f>'Table 6c'!G23</f>
        <v>0</v>
      </c>
      <c r="P25" s="823">
        <f t="shared" si="68"/>
        <v>0</v>
      </c>
      <c r="Q25" s="1956">
        <v>0</v>
      </c>
      <c r="R25" s="367">
        <f t="shared" si="56"/>
        <v>0</v>
      </c>
      <c r="S25" s="823">
        <f t="shared" si="69"/>
        <v>0</v>
      </c>
      <c r="T25" s="1956">
        <v>0</v>
      </c>
      <c r="U25" s="367">
        <f t="shared" si="58"/>
        <v>0</v>
      </c>
      <c r="V25" s="823">
        <f t="shared" si="70"/>
        <v>0</v>
      </c>
      <c r="W25" s="1956">
        <v>0</v>
      </c>
      <c r="X25" s="367">
        <f t="shared" si="60"/>
        <v>0</v>
      </c>
      <c r="Y25" s="823">
        <f t="shared" si="71"/>
        <v>0</v>
      </c>
      <c r="Z25" s="1956">
        <v>0</v>
      </c>
      <c r="AA25" s="367">
        <f t="shared" si="62"/>
        <v>0</v>
      </c>
      <c r="AB25" s="823">
        <f t="shared" si="72"/>
        <v>0</v>
      </c>
      <c r="AC25" s="1956">
        <v>0</v>
      </c>
      <c r="AD25" s="367">
        <f t="shared" si="64"/>
        <v>0</v>
      </c>
      <c r="AE25" s="823">
        <f t="shared" si="73"/>
        <v>0</v>
      </c>
      <c r="AF25" s="1956">
        <v>0</v>
      </c>
      <c r="AG25" s="2689">
        <f t="shared" si="66"/>
        <v>0</v>
      </c>
      <c r="AH25" s="300" t="s">
        <v>16</v>
      </c>
      <c r="AI25" s="2566">
        <f>'Table 6c'!P23</f>
        <v>136</v>
      </c>
      <c r="AJ25" s="823">
        <f t="shared" si="74"/>
        <v>0</v>
      </c>
      <c r="AK25" s="1956">
        <v>0</v>
      </c>
      <c r="AL25" s="367">
        <f t="shared" si="52"/>
        <v>0</v>
      </c>
      <c r="AM25" s="22" t="s">
        <v>36</v>
      </c>
      <c r="AN25" s="305">
        <f t="shared" si="9"/>
        <v>0</v>
      </c>
      <c r="AO25" s="1627" t="e">
        <f>#REF!-O25</f>
        <v>#REF!</v>
      </c>
    </row>
    <row r="26" spans="1:41" s="22" customFormat="1" ht="25.5" customHeight="1">
      <c r="A26" s="3301"/>
      <c r="B26" s="2691" t="s">
        <v>403</v>
      </c>
      <c r="C26" s="2346">
        <v>219146</v>
      </c>
      <c r="D26" s="305">
        <f>'Table 6c'!L24</f>
        <v>40</v>
      </c>
      <c r="E26" s="864">
        <v>40</v>
      </c>
      <c r="F26" s="872">
        <v>40</v>
      </c>
      <c r="G26" s="872">
        <v>40</v>
      </c>
      <c r="H26" s="872">
        <v>40</v>
      </c>
      <c r="I26" s="872">
        <v>40</v>
      </c>
      <c r="J26" s="995">
        <v>40</v>
      </c>
      <c r="K26" s="995">
        <v>40</v>
      </c>
      <c r="L26" s="300">
        <f t="shared" si="19"/>
        <v>0</v>
      </c>
      <c r="M26" s="870">
        <f t="shared" si="67"/>
        <v>0.01</v>
      </c>
      <c r="N26" s="1956">
        <v>0</v>
      </c>
      <c r="O26" s="367">
        <f>'Table 6c'!G24</f>
        <v>0.01</v>
      </c>
      <c r="P26" s="823">
        <f t="shared" si="68"/>
        <v>0.01</v>
      </c>
      <c r="Q26" s="1956">
        <v>0</v>
      </c>
      <c r="R26" s="367">
        <f t="shared" si="56"/>
        <v>0.01</v>
      </c>
      <c r="S26" s="823">
        <f t="shared" si="69"/>
        <v>0.01</v>
      </c>
      <c r="T26" s="1956">
        <v>0</v>
      </c>
      <c r="U26" s="367">
        <f t="shared" si="58"/>
        <v>0.01</v>
      </c>
      <c r="V26" s="823">
        <f t="shared" si="70"/>
        <v>0.01</v>
      </c>
      <c r="W26" s="1956">
        <v>0</v>
      </c>
      <c r="X26" s="367">
        <f t="shared" si="60"/>
        <v>0.01</v>
      </c>
      <c r="Y26" s="823">
        <f t="shared" si="71"/>
        <v>0.01</v>
      </c>
      <c r="Z26" s="1956">
        <v>0</v>
      </c>
      <c r="AA26" s="367">
        <f t="shared" si="62"/>
        <v>0.01</v>
      </c>
      <c r="AB26" s="823">
        <f t="shared" si="72"/>
        <v>0.01</v>
      </c>
      <c r="AC26" s="1956">
        <v>0</v>
      </c>
      <c r="AD26" s="367">
        <f t="shared" si="64"/>
        <v>0.01</v>
      </c>
      <c r="AE26" s="823">
        <f t="shared" si="73"/>
        <v>0.01</v>
      </c>
      <c r="AF26" s="1956">
        <v>0</v>
      </c>
      <c r="AG26" s="2689">
        <f t="shared" si="66"/>
        <v>0.01</v>
      </c>
      <c r="AH26" s="300">
        <f>(AG26-O26)/O26</f>
        <v>0</v>
      </c>
      <c r="AI26" s="2566">
        <f>'Table 6c'!P24</f>
        <v>150</v>
      </c>
      <c r="AJ26" s="823">
        <f t="shared" si="74"/>
        <v>0.01</v>
      </c>
      <c r="AK26" s="1956">
        <v>0</v>
      </c>
      <c r="AL26" s="367">
        <f t="shared" si="52"/>
        <v>0.01</v>
      </c>
      <c r="AN26" s="305">
        <f t="shared" si="9"/>
        <v>0</v>
      </c>
      <c r="AO26" s="1627" t="e">
        <f>#REF!-O26</f>
        <v>#REF!</v>
      </c>
    </row>
    <row r="27" spans="1:41" s="22" customFormat="1" ht="15" customHeight="1">
      <c r="A27" s="3301"/>
      <c r="B27" s="2679" t="s">
        <v>404</v>
      </c>
      <c r="C27" s="2346">
        <v>219152</v>
      </c>
      <c r="D27" s="305">
        <f>'Table 6c'!L25</f>
        <v>66</v>
      </c>
      <c r="E27" s="864">
        <v>66</v>
      </c>
      <c r="F27" s="872">
        <v>66</v>
      </c>
      <c r="G27" s="872">
        <v>66</v>
      </c>
      <c r="H27" s="872">
        <v>66</v>
      </c>
      <c r="I27" s="872">
        <v>66</v>
      </c>
      <c r="J27" s="995">
        <v>66</v>
      </c>
      <c r="K27" s="995">
        <v>66</v>
      </c>
      <c r="L27" s="300">
        <f t="shared" si="19"/>
        <v>0</v>
      </c>
      <c r="M27" s="870">
        <f t="shared" si="67"/>
        <v>0.01</v>
      </c>
      <c r="N27" s="1956">
        <v>0</v>
      </c>
      <c r="O27" s="367">
        <f>'Table 6c'!G25</f>
        <v>0.01</v>
      </c>
      <c r="P27" s="823">
        <f t="shared" si="68"/>
        <v>0.01</v>
      </c>
      <c r="Q27" s="1956">
        <v>0</v>
      </c>
      <c r="R27" s="367">
        <f t="shared" si="56"/>
        <v>0.01</v>
      </c>
      <c r="S27" s="823">
        <f t="shared" si="69"/>
        <v>0.01</v>
      </c>
      <c r="T27" s="1956">
        <v>0</v>
      </c>
      <c r="U27" s="367">
        <f t="shared" si="58"/>
        <v>0.01</v>
      </c>
      <c r="V27" s="823">
        <f t="shared" si="70"/>
        <v>0.01</v>
      </c>
      <c r="W27" s="1956">
        <v>0</v>
      </c>
      <c r="X27" s="367">
        <f t="shared" si="60"/>
        <v>0.01</v>
      </c>
      <c r="Y27" s="823">
        <f t="shared" si="71"/>
        <v>0.01</v>
      </c>
      <c r="Z27" s="1956">
        <v>0</v>
      </c>
      <c r="AA27" s="367">
        <f t="shared" si="62"/>
        <v>0.01</v>
      </c>
      <c r="AB27" s="823">
        <f t="shared" si="72"/>
        <v>0.01</v>
      </c>
      <c r="AC27" s="1956">
        <v>0</v>
      </c>
      <c r="AD27" s="367">
        <f t="shared" si="64"/>
        <v>0.01</v>
      </c>
      <c r="AE27" s="823">
        <f t="shared" si="73"/>
        <v>0.01</v>
      </c>
      <c r="AF27" s="1956">
        <v>0</v>
      </c>
      <c r="AG27" s="2689">
        <f t="shared" si="66"/>
        <v>0.01</v>
      </c>
      <c r="AH27" s="300">
        <f>(AG27-O27)/O27</f>
        <v>0</v>
      </c>
      <c r="AI27" s="2566">
        <f>'Table 6c'!P25</f>
        <v>152</v>
      </c>
      <c r="AJ27" s="823">
        <f t="shared" si="74"/>
        <v>0.01</v>
      </c>
      <c r="AK27" s="1956">
        <v>0</v>
      </c>
      <c r="AL27" s="367">
        <f t="shared" si="52"/>
        <v>0.01</v>
      </c>
      <c r="AN27" s="305">
        <f t="shared" si="9"/>
        <v>0</v>
      </c>
      <c r="AO27" s="1627" t="e">
        <f>#REF!-O27</f>
        <v>#REF!</v>
      </c>
    </row>
    <row r="28" spans="1:41" s="22" customFormat="1" ht="15" customHeight="1">
      <c r="A28" s="3301"/>
      <c r="B28" s="2679" t="s">
        <v>405</v>
      </c>
      <c r="C28" s="2346">
        <v>219195</v>
      </c>
      <c r="D28" s="305">
        <f>'Table 6c'!L26</f>
        <v>310</v>
      </c>
      <c r="E28" s="864">
        <v>310</v>
      </c>
      <c r="F28" s="872">
        <v>310</v>
      </c>
      <c r="G28" s="872">
        <v>310</v>
      </c>
      <c r="H28" s="872">
        <v>310</v>
      </c>
      <c r="I28" s="872">
        <v>310</v>
      </c>
      <c r="J28" s="873">
        <v>310</v>
      </c>
      <c r="K28" s="995">
        <v>310</v>
      </c>
      <c r="L28" s="300">
        <f t="shared" si="19"/>
        <v>0</v>
      </c>
      <c r="M28" s="870">
        <f t="shared" ref="M28" si="102">O28-N28</f>
        <v>0</v>
      </c>
      <c r="N28" s="1956">
        <v>0</v>
      </c>
      <c r="O28" s="367">
        <f>'Table 6c'!G26</f>
        <v>0</v>
      </c>
      <c r="P28" s="823">
        <f t="shared" ref="P28" si="103">R28-Q28</f>
        <v>0</v>
      </c>
      <c r="Q28" s="1956">
        <v>0</v>
      </c>
      <c r="R28" s="367">
        <f t="shared" ref="R28" si="104">E28*AI28/1000000</f>
        <v>0</v>
      </c>
      <c r="S28" s="823">
        <f t="shared" ref="S28" si="105">U28-T28</f>
        <v>0</v>
      </c>
      <c r="T28" s="1956">
        <v>0</v>
      </c>
      <c r="U28" s="367">
        <f t="shared" ref="U28" si="106">F28*AI28/1000000</f>
        <v>0</v>
      </c>
      <c r="V28" s="823">
        <f t="shared" ref="V28" si="107">X28-W28</f>
        <v>0</v>
      </c>
      <c r="W28" s="1956">
        <v>0</v>
      </c>
      <c r="X28" s="367">
        <f t="shared" ref="X28" si="108">G28*AI28/1000000</f>
        <v>0</v>
      </c>
      <c r="Y28" s="823">
        <f t="shared" ref="Y28" si="109">AA28-Z28</f>
        <v>0</v>
      </c>
      <c r="Z28" s="1956">
        <v>0</v>
      </c>
      <c r="AA28" s="367">
        <f t="shared" ref="AA28" si="110">H28*AI28/1000000</f>
        <v>0</v>
      </c>
      <c r="AB28" s="823">
        <f t="shared" ref="AB28" si="111">AD28-AC28</f>
        <v>0</v>
      </c>
      <c r="AC28" s="1956">
        <v>0</v>
      </c>
      <c r="AD28" s="367">
        <f t="shared" ref="AD28" si="112">I28*AI28/1000000</f>
        <v>0</v>
      </c>
      <c r="AE28" s="823">
        <f t="shared" ref="AE28" si="113">AG28-AF28</f>
        <v>0</v>
      </c>
      <c r="AF28" s="1956">
        <v>0</v>
      </c>
      <c r="AG28" s="2689">
        <f t="shared" ref="AG28" si="114">J28*AI28/1000000</f>
        <v>0</v>
      </c>
      <c r="AH28" s="300" t="s">
        <v>16</v>
      </c>
      <c r="AI28" s="2566">
        <f>'Table 6c'!P26</f>
        <v>13</v>
      </c>
      <c r="AJ28" s="823">
        <f t="shared" ref="AJ28" si="115">AL28-AK28</f>
        <v>0</v>
      </c>
      <c r="AK28" s="1956">
        <v>0</v>
      </c>
      <c r="AL28" s="367">
        <f t="shared" ref="AL28" si="116">AG28*1.06</f>
        <v>0</v>
      </c>
      <c r="AN28" s="305"/>
      <c r="AO28" s="1627"/>
    </row>
    <row r="29" spans="1:41" s="22" customFormat="1" ht="15" customHeight="1">
      <c r="A29" s="3301"/>
      <c r="B29" s="2679" t="s">
        <v>406</v>
      </c>
      <c r="C29" s="2346">
        <v>219755</v>
      </c>
      <c r="D29" s="305">
        <f>'Table 6c'!L27</f>
        <v>20</v>
      </c>
      <c r="E29" s="864">
        <v>20</v>
      </c>
      <c r="F29" s="872">
        <v>20</v>
      </c>
      <c r="G29" s="872">
        <v>20</v>
      </c>
      <c r="H29" s="872">
        <v>20</v>
      </c>
      <c r="I29" s="872">
        <v>20</v>
      </c>
      <c r="J29" s="995">
        <v>20</v>
      </c>
      <c r="K29" s="995">
        <v>20</v>
      </c>
      <c r="L29" s="300">
        <f t="shared" si="19"/>
        <v>0</v>
      </c>
      <c r="M29" s="870">
        <f t="shared" si="67"/>
        <v>0.01</v>
      </c>
      <c r="N29" s="1956">
        <v>0</v>
      </c>
      <c r="O29" s="367">
        <f>'Table 6c'!G27</f>
        <v>0.01</v>
      </c>
      <c r="P29" s="823">
        <f t="shared" si="68"/>
        <v>0.01</v>
      </c>
      <c r="Q29" s="1956">
        <v>0</v>
      </c>
      <c r="R29" s="367">
        <f t="shared" si="56"/>
        <v>0.01</v>
      </c>
      <c r="S29" s="823">
        <f t="shared" si="69"/>
        <v>0.01</v>
      </c>
      <c r="T29" s="1956">
        <v>0</v>
      </c>
      <c r="U29" s="367">
        <f t="shared" si="58"/>
        <v>0.01</v>
      </c>
      <c r="V29" s="823">
        <f t="shared" si="70"/>
        <v>0.01</v>
      </c>
      <c r="W29" s="1956">
        <v>0</v>
      </c>
      <c r="X29" s="367">
        <f t="shared" si="60"/>
        <v>0.01</v>
      </c>
      <c r="Y29" s="823">
        <f t="shared" si="71"/>
        <v>0.01</v>
      </c>
      <c r="Z29" s="1956">
        <v>0</v>
      </c>
      <c r="AA29" s="367">
        <f t="shared" si="62"/>
        <v>0.01</v>
      </c>
      <c r="AB29" s="823">
        <f t="shared" si="72"/>
        <v>0.01</v>
      </c>
      <c r="AC29" s="1956">
        <v>0</v>
      </c>
      <c r="AD29" s="367">
        <f t="shared" si="64"/>
        <v>0.01</v>
      </c>
      <c r="AE29" s="823">
        <f t="shared" si="73"/>
        <v>0.01</v>
      </c>
      <c r="AF29" s="1956">
        <v>0</v>
      </c>
      <c r="AG29" s="2689">
        <f t="shared" si="66"/>
        <v>0.01</v>
      </c>
      <c r="AH29" s="300">
        <f>(AG29-O29)/O29</f>
        <v>0</v>
      </c>
      <c r="AI29" s="2566">
        <f>'Table 6c'!P27</f>
        <v>300</v>
      </c>
      <c r="AJ29" s="823">
        <f t="shared" si="74"/>
        <v>0.01</v>
      </c>
      <c r="AK29" s="1956">
        <v>0</v>
      </c>
      <c r="AL29" s="367">
        <f t="shared" si="52"/>
        <v>0.01</v>
      </c>
      <c r="AN29" s="305">
        <f t="shared" si="9"/>
        <v>0</v>
      </c>
      <c r="AO29" s="1627" t="e">
        <f>#REF!-O29</f>
        <v>#REF!</v>
      </c>
    </row>
    <row r="30" spans="1:41" s="22" customFormat="1" ht="15" customHeight="1">
      <c r="A30" s="3301"/>
      <c r="B30" s="2679" t="s">
        <v>407</v>
      </c>
      <c r="C30" s="2346">
        <v>219757</v>
      </c>
      <c r="D30" s="305">
        <f>'Table 6c'!L28</f>
        <v>30</v>
      </c>
      <c r="E30" s="864">
        <v>30</v>
      </c>
      <c r="F30" s="872">
        <v>30</v>
      </c>
      <c r="G30" s="872">
        <v>30</v>
      </c>
      <c r="H30" s="872">
        <v>30</v>
      </c>
      <c r="I30" s="872">
        <v>30</v>
      </c>
      <c r="J30" s="995">
        <v>30</v>
      </c>
      <c r="K30" s="995">
        <v>30</v>
      </c>
      <c r="L30" s="300">
        <f t="shared" si="19"/>
        <v>0</v>
      </c>
      <c r="M30" s="870">
        <f t="shared" si="67"/>
        <v>0</v>
      </c>
      <c r="N30" s="1956">
        <v>0</v>
      </c>
      <c r="O30" s="367">
        <f>'Table 6c'!G28</f>
        <v>0</v>
      </c>
      <c r="P30" s="823">
        <f t="shared" si="68"/>
        <v>0</v>
      </c>
      <c r="Q30" s="1956">
        <v>0</v>
      </c>
      <c r="R30" s="367">
        <f t="shared" si="56"/>
        <v>0</v>
      </c>
      <c r="S30" s="823">
        <f t="shared" si="69"/>
        <v>0</v>
      </c>
      <c r="T30" s="1956">
        <v>0</v>
      </c>
      <c r="U30" s="367">
        <f t="shared" si="58"/>
        <v>0</v>
      </c>
      <c r="V30" s="823">
        <f t="shared" si="70"/>
        <v>0</v>
      </c>
      <c r="W30" s="1956">
        <v>0</v>
      </c>
      <c r="X30" s="367">
        <f t="shared" si="60"/>
        <v>0</v>
      </c>
      <c r="Y30" s="823">
        <f t="shared" si="71"/>
        <v>0</v>
      </c>
      <c r="Z30" s="1956">
        <v>0</v>
      </c>
      <c r="AA30" s="367">
        <f t="shared" si="62"/>
        <v>0</v>
      </c>
      <c r="AB30" s="823">
        <f t="shared" si="72"/>
        <v>0</v>
      </c>
      <c r="AC30" s="1956">
        <v>0</v>
      </c>
      <c r="AD30" s="367">
        <f t="shared" si="64"/>
        <v>0</v>
      </c>
      <c r="AE30" s="823">
        <f t="shared" si="73"/>
        <v>0</v>
      </c>
      <c r="AF30" s="1956">
        <v>0</v>
      </c>
      <c r="AG30" s="2689">
        <f t="shared" si="66"/>
        <v>0</v>
      </c>
      <c r="AH30" s="300" t="s">
        <v>16</v>
      </c>
      <c r="AI30" s="2566">
        <f>'Table 6c'!P28</f>
        <v>133</v>
      </c>
      <c r="AJ30" s="823">
        <f t="shared" si="74"/>
        <v>0</v>
      </c>
      <c r="AK30" s="1956">
        <v>0</v>
      </c>
      <c r="AL30" s="367">
        <f t="shared" si="52"/>
        <v>0</v>
      </c>
      <c r="AM30" s="22" t="s">
        <v>36</v>
      </c>
      <c r="AN30" s="305">
        <f t="shared" si="9"/>
        <v>0</v>
      </c>
      <c r="AO30" s="1627" t="e">
        <f>#REF!-O30</f>
        <v>#REF!</v>
      </c>
    </row>
    <row r="31" spans="1:41" s="22" customFormat="1" ht="15" customHeight="1">
      <c r="A31" s="3301"/>
      <c r="B31" s="2679" t="s">
        <v>408</v>
      </c>
      <c r="C31" s="2346">
        <v>219905</v>
      </c>
      <c r="D31" s="305">
        <f>'Table 6c'!L29</f>
        <v>16</v>
      </c>
      <c r="E31" s="864">
        <v>16</v>
      </c>
      <c r="F31" s="872">
        <v>16</v>
      </c>
      <c r="G31" s="872">
        <v>16</v>
      </c>
      <c r="H31" s="872">
        <v>16</v>
      </c>
      <c r="I31" s="872">
        <v>16</v>
      </c>
      <c r="J31" s="995">
        <v>16</v>
      </c>
      <c r="K31" s="995">
        <v>16</v>
      </c>
      <c r="L31" s="300">
        <f t="shared" si="19"/>
        <v>0</v>
      </c>
      <c r="M31" s="870">
        <f t="shared" si="67"/>
        <v>0</v>
      </c>
      <c r="N31" s="1956">
        <v>0</v>
      </c>
      <c r="O31" s="367">
        <f>'Table 6c'!G29</f>
        <v>0</v>
      </c>
      <c r="P31" s="823">
        <f t="shared" si="68"/>
        <v>0</v>
      </c>
      <c r="Q31" s="1956">
        <v>0</v>
      </c>
      <c r="R31" s="367">
        <f t="shared" si="56"/>
        <v>0</v>
      </c>
      <c r="S31" s="823">
        <f t="shared" si="69"/>
        <v>0</v>
      </c>
      <c r="T31" s="1956">
        <v>0</v>
      </c>
      <c r="U31" s="367">
        <f t="shared" si="58"/>
        <v>0</v>
      </c>
      <c r="V31" s="823">
        <f t="shared" si="70"/>
        <v>0</v>
      </c>
      <c r="W31" s="1956">
        <v>0</v>
      </c>
      <c r="X31" s="367">
        <f t="shared" si="60"/>
        <v>0</v>
      </c>
      <c r="Y31" s="823">
        <f t="shared" si="71"/>
        <v>0</v>
      </c>
      <c r="Z31" s="1956">
        <v>0</v>
      </c>
      <c r="AA31" s="367">
        <f t="shared" si="62"/>
        <v>0</v>
      </c>
      <c r="AB31" s="823">
        <f t="shared" si="72"/>
        <v>0</v>
      </c>
      <c r="AC31" s="1956">
        <v>0</v>
      </c>
      <c r="AD31" s="367">
        <f t="shared" si="64"/>
        <v>0</v>
      </c>
      <c r="AE31" s="823">
        <f t="shared" si="73"/>
        <v>0</v>
      </c>
      <c r="AF31" s="1956">
        <v>0</v>
      </c>
      <c r="AG31" s="2689">
        <f t="shared" si="66"/>
        <v>0</v>
      </c>
      <c r="AH31" s="300" t="s">
        <v>16</v>
      </c>
      <c r="AI31" s="2566">
        <f>'Table 6c'!P29</f>
        <v>125</v>
      </c>
      <c r="AJ31" s="823">
        <f t="shared" si="74"/>
        <v>0</v>
      </c>
      <c r="AK31" s="1956">
        <v>0</v>
      </c>
      <c r="AL31" s="367">
        <f t="shared" si="52"/>
        <v>0</v>
      </c>
      <c r="AN31" s="305">
        <f t="shared" si="9"/>
        <v>0</v>
      </c>
      <c r="AO31" s="1627" t="e">
        <f>#REF!-O31</f>
        <v>#REF!</v>
      </c>
    </row>
    <row r="32" spans="1:41" s="22" customFormat="1" ht="15.75" customHeight="1" thickBot="1">
      <c r="A32" s="3301"/>
      <c r="B32" s="2679" t="s">
        <v>409</v>
      </c>
      <c r="C32" s="2346">
        <v>220164</v>
      </c>
      <c r="D32" s="305">
        <f>'Table 6c'!L30</f>
        <v>16</v>
      </c>
      <c r="E32" s="864">
        <v>16</v>
      </c>
      <c r="F32" s="872">
        <v>16</v>
      </c>
      <c r="G32" s="872">
        <v>16</v>
      </c>
      <c r="H32" s="872">
        <v>16</v>
      </c>
      <c r="I32" s="872">
        <v>16</v>
      </c>
      <c r="J32" s="995">
        <v>16</v>
      </c>
      <c r="K32" s="995">
        <v>16</v>
      </c>
      <c r="L32" s="300">
        <f t="shared" si="19"/>
        <v>0</v>
      </c>
      <c r="M32" s="870">
        <f t="shared" si="67"/>
        <v>0</v>
      </c>
      <c r="N32" s="1956">
        <v>0</v>
      </c>
      <c r="O32" s="367">
        <f>'Table 6c'!G30</f>
        <v>0</v>
      </c>
      <c r="P32" s="823">
        <f t="shared" si="68"/>
        <v>0</v>
      </c>
      <c r="Q32" s="1956">
        <v>0</v>
      </c>
      <c r="R32" s="367">
        <f t="shared" si="56"/>
        <v>0</v>
      </c>
      <c r="S32" s="823">
        <f t="shared" si="69"/>
        <v>0</v>
      </c>
      <c r="T32" s="1956">
        <v>0</v>
      </c>
      <c r="U32" s="367">
        <f t="shared" si="58"/>
        <v>0</v>
      </c>
      <c r="V32" s="823">
        <f t="shared" si="70"/>
        <v>0</v>
      </c>
      <c r="W32" s="1956">
        <v>0</v>
      </c>
      <c r="X32" s="367">
        <f t="shared" si="60"/>
        <v>0</v>
      </c>
      <c r="Y32" s="823">
        <f t="shared" si="71"/>
        <v>0</v>
      </c>
      <c r="Z32" s="1956">
        <v>0</v>
      </c>
      <c r="AA32" s="367">
        <f t="shared" si="62"/>
        <v>0</v>
      </c>
      <c r="AB32" s="823">
        <f t="shared" si="72"/>
        <v>0</v>
      </c>
      <c r="AC32" s="1956">
        <v>0</v>
      </c>
      <c r="AD32" s="367">
        <f t="shared" si="64"/>
        <v>0</v>
      </c>
      <c r="AE32" s="823">
        <f t="shared" si="73"/>
        <v>0</v>
      </c>
      <c r="AF32" s="1956">
        <v>0</v>
      </c>
      <c r="AG32" s="179">
        <f t="shared" si="66"/>
        <v>0</v>
      </c>
      <c r="AH32" s="996" t="s">
        <v>16</v>
      </c>
      <c r="AI32" s="2566">
        <f>'Table 6c'!P30</f>
        <v>125</v>
      </c>
      <c r="AJ32" s="823">
        <f t="shared" si="74"/>
        <v>0</v>
      </c>
      <c r="AK32" s="1956">
        <v>0</v>
      </c>
      <c r="AL32" s="367">
        <f t="shared" si="52"/>
        <v>0</v>
      </c>
      <c r="AN32" s="2036">
        <f t="shared" si="9"/>
        <v>0</v>
      </c>
      <c r="AO32" s="1623" t="e">
        <f>#REF!-O32</f>
        <v>#REF!</v>
      </c>
    </row>
    <row r="33" spans="1:41" s="22" customFormat="1" ht="15.75" customHeight="1" thickTop="1">
      <c r="A33" s="3301"/>
      <c r="B33" s="2679" t="s">
        <v>410</v>
      </c>
      <c r="C33" s="3059">
        <v>220582</v>
      </c>
      <c r="D33" s="305">
        <f>'Table 6c'!L31</f>
        <v>348</v>
      </c>
      <c r="E33" s="3007">
        <v>348</v>
      </c>
      <c r="F33" s="3008">
        <v>348</v>
      </c>
      <c r="G33" s="3008">
        <v>348</v>
      </c>
      <c r="H33" s="3008">
        <v>348</v>
      </c>
      <c r="I33" s="3008">
        <v>348</v>
      </c>
      <c r="J33" s="3054">
        <v>348</v>
      </c>
      <c r="K33" s="305">
        <v>348</v>
      </c>
      <c r="L33" s="996">
        <f t="shared" si="19"/>
        <v>0</v>
      </c>
      <c r="M33" s="870">
        <f t="shared" si="67"/>
        <v>0.04</v>
      </c>
      <c r="N33" s="2022">
        <v>0</v>
      </c>
      <c r="O33" s="367">
        <f>'Table 6c'!G31</f>
        <v>0.04</v>
      </c>
      <c r="P33" s="823">
        <f t="shared" si="68"/>
        <v>0.05</v>
      </c>
      <c r="Q33" s="2022">
        <v>0</v>
      </c>
      <c r="R33" s="367">
        <f t="shared" si="56"/>
        <v>0.05</v>
      </c>
      <c r="S33" s="820">
        <f t="shared" si="69"/>
        <v>0.05</v>
      </c>
      <c r="T33" s="2022">
        <v>0</v>
      </c>
      <c r="U33" s="367">
        <f t="shared" si="58"/>
        <v>0.05</v>
      </c>
      <c r="V33" s="823">
        <f t="shared" si="70"/>
        <v>0.05</v>
      </c>
      <c r="W33" s="2022">
        <v>0</v>
      </c>
      <c r="X33" s="367">
        <f t="shared" si="60"/>
        <v>0.05</v>
      </c>
      <c r="Y33" s="823">
        <f t="shared" si="71"/>
        <v>0.05</v>
      </c>
      <c r="Z33" s="2022">
        <v>0</v>
      </c>
      <c r="AA33" s="367">
        <f t="shared" si="62"/>
        <v>0.05</v>
      </c>
      <c r="AB33" s="823">
        <f t="shared" si="72"/>
        <v>0.05</v>
      </c>
      <c r="AC33" s="2022">
        <v>0</v>
      </c>
      <c r="AD33" s="367">
        <f t="shared" si="64"/>
        <v>0.05</v>
      </c>
      <c r="AE33" s="823">
        <f t="shared" si="73"/>
        <v>0.05</v>
      </c>
      <c r="AF33" s="2022">
        <v>0</v>
      </c>
      <c r="AG33" s="179">
        <f t="shared" si="66"/>
        <v>0.05</v>
      </c>
      <c r="AH33" s="300">
        <f>(AG33-O33)/O33</f>
        <v>0.25</v>
      </c>
      <c r="AI33" s="2566">
        <f>'Table 6c'!P31</f>
        <v>139</v>
      </c>
      <c r="AJ33" s="823">
        <f t="shared" si="74"/>
        <v>0.05</v>
      </c>
      <c r="AK33" s="2022">
        <v>0</v>
      </c>
      <c r="AL33" s="367">
        <f t="shared" si="52"/>
        <v>0.05</v>
      </c>
      <c r="AN33" s="2987">
        <f t="shared" si="9"/>
        <v>0</v>
      </c>
      <c r="AO33" s="2607"/>
    </row>
    <row r="34" spans="1:41" s="22" customFormat="1" ht="15.75" customHeight="1" thickBot="1">
      <c r="A34" s="3399"/>
      <c r="B34" s="2776" t="s">
        <v>411</v>
      </c>
      <c r="C34" s="2990">
        <v>220689</v>
      </c>
      <c r="D34" s="2036">
        <f>'Table 6c'!L32</f>
        <v>60</v>
      </c>
      <c r="E34" s="861">
        <v>60</v>
      </c>
      <c r="F34" s="368">
        <v>60</v>
      </c>
      <c r="G34" s="368">
        <v>60</v>
      </c>
      <c r="H34" s="368">
        <v>60</v>
      </c>
      <c r="I34" s="368">
        <v>60</v>
      </c>
      <c r="J34" s="711">
        <v>60</v>
      </c>
      <c r="K34" s="2036">
        <v>60</v>
      </c>
      <c r="L34" s="216">
        <f t="shared" si="19"/>
        <v>0</v>
      </c>
      <c r="M34" s="48">
        <f t="shared" ref="M34" si="117">O34-N34</f>
        <v>0</v>
      </c>
      <c r="N34" s="2038">
        <v>0</v>
      </c>
      <c r="O34" s="49">
        <f>'Table 6c'!G32</f>
        <v>0</v>
      </c>
      <c r="P34" s="48">
        <f t="shared" ref="P34" si="118">R34-Q34</f>
        <v>0</v>
      </c>
      <c r="Q34" s="2038">
        <v>0</v>
      </c>
      <c r="R34" s="49">
        <f t="shared" ref="R34" si="119">E34*AI34/1000000</f>
        <v>0</v>
      </c>
      <c r="S34" s="48">
        <f t="shared" ref="S34" si="120">U34-T34</f>
        <v>0</v>
      </c>
      <c r="T34" s="2038">
        <v>0</v>
      </c>
      <c r="U34" s="49">
        <f t="shared" ref="U34" si="121">F34*AI34/1000000</f>
        <v>0</v>
      </c>
      <c r="V34" s="48">
        <f t="shared" ref="V34" si="122">X34-W34</f>
        <v>0</v>
      </c>
      <c r="W34" s="2038">
        <v>0</v>
      </c>
      <c r="X34" s="49">
        <f t="shared" ref="X34" si="123">G34*AI34/1000000</f>
        <v>0</v>
      </c>
      <c r="Y34" s="48">
        <f t="shared" ref="Y34" si="124">AA34-Z34</f>
        <v>0</v>
      </c>
      <c r="Z34" s="2038">
        <v>0</v>
      </c>
      <c r="AA34" s="49">
        <f t="shared" ref="AA34" si="125">H34*AI34/1000000</f>
        <v>0</v>
      </c>
      <c r="AB34" s="48">
        <f t="shared" ref="AB34" si="126">AD34-AC34</f>
        <v>0</v>
      </c>
      <c r="AC34" s="2038">
        <v>0</v>
      </c>
      <c r="AD34" s="49">
        <f t="shared" ref="AD34" si="127">I34*AI34/1000000</f>
        <v>0</v>
      </c>
      <c r="AE34" s="48">
        <f t="shared" ref="AE34" si="128">AG34-AF34</f>
        <v>0</v>
      </c>
      <c r="AF34" s="2038">
        <v>0</v>
      </c>
      <c r="AG34" s="49">
        <f t="shared" ref="AG34" si="129">J34*AI34/1000000</f>
        <v>0</v>
      </c>
      <c r="AH34" s="1871" t="s">
        <v>16</v>
      </c>
      <c r="AI34" s="2568">
        <f>'Table 6c'!P32</f>
        <v>80</v>
      </c>
      <c r="AJ34" s="48">
        <f t="shared" ref="AJ34" si="130">AL34-AK34</f>
        <v>0</v>
      </c>
      <c r="AK34" s="2038">
        <v>0</v>
      </c>
      <c r="AL34" s="49">
        <f t="shared" ref="AL34" si="131">AG34*1.06</f>
        <v>0</v>
      </c>
      <c r="AN34" s="2987"/>
      <c r="AO34" s="2607"/>
    </row>
    <row r="35" spans="1:41" s="22" customFormat="1" ht="15.75" customHeight="1" thickTop="1" thickBot="1">
      <c r="A35" s="2995"/>
      <c r="B35" s="3359" t="s">
        <v>135</v>
      </c>
      <c r="C35" s="3396"/>
      <c r="D35" s="2996">
        <f t="shared" ref="D35:K35" si="132">SUM(D17:D34)</f>
        <v>2312</v>
      </c>
      <c r="E35" s="2993">
        <f t="shared" si="132"/>
        <v>2328</v>
      </c>
      <c r="F35" s="96">
        <f t="shared" si="132"/>
        <v>2328</v>
      </c>
      <c r="G35" s="96">
        <f t="shared" si="132"/>
        <v>2328</v>
      </c>
      <c r="H35" s="96">
        <f t="shared" si="132"/>
        <v>2328</v>
      </c>
      <c r="I35" s="96">
        <f t="shared" si="132"/>
        <v>2377</v>
      </c>
      <c r="J35" s="2732">
        <f t="shared" si="132"/>
        <v>2496</v>
      </c>
      <c r="K35" s="2996">
        <f t="shared" si="132"/>
        <v>3306</v>
      </c>
      <c r="L35" s="2991">
        <f t="shared" si="19"/>
        <v>0.08</v>
      </c>
      <c r="M35" s="2992">
        <f t="shared" ref="M35:AD35" si="133">SUM(M$17:M$34)</f>
        <v>0.24</v>
      </c>
      <c r="N35" s="323">
        <f t="shared" si="133"/>
        <v>0</v>
      </c>
      <c r="O35" s="2992">
        <f t="shared" si="133"/>
        <v>0.24</v>
      </c>
      <c r="P35" s="184">
        <f t="shared" si="133"/>
        <v>0.23</v>
      </c>
      <c r="Q35" s="323">
        <f t="shared" si="133"/>
        <v>0</v>
      </c>
      <c r="R35" s="2239">
        <f t="shared" si="133"/>
        <v>0.23</v>
      </c>
      <c r="S35" s="184">
        <f t="shared" si="133"/>
        <v>0.23</v>
      </c>
      <c r="T35" s="323">
        <f t="shared" si="133"/>
        <v>0</v>
      </c>
      <c r="U35" s="2242">
        <f t="shared" si="133"/>
        <v>0.23</v>
      </c>
      <c r="V35" s="2992">
        <f t="shared" si="133"/>
        <v>0.23</v>
      </c>
      <c r="W35" s="323">
        <f t="shared" si="133"/>
        <v>0</v>
      </c>
      <c r="X35" s="2242">
        <f t="shared" si="133"/>
        <v>0.23</v>
      </c>
      <c r="Y35" s="2992">
        <f t="shared" si="133"/>
        <v>0.23</v>
      </c>
      <c r="Z35" s="323">
        <f t="shared" si="133"/>
        <v>0</v>
      </c>
      <c r="AA35" s="2242">
        <f t="shared" si="133"/>
        <v>0.23</v>
      </c>
      <c r="AB35" s="2992">
        <f t="shared" si="133"/>
        <v>0.24</v>
      </c>
      <c r="AC35" s="323">
        <f t="shared" si="133"/>
        <v>0</v>
      </c>
      <c r="AD35" s="2242">
        <f t="shared" si="133"/>
        <v>0.24</v>
      </c>
      <c r="AE35" s="184">
        <f>SUM(AE17:AE34)</f>
        <v>0.26</v>
      </c>
      <c r="AF35" s="2241">
        <f>SUM(AF17:AF34)</f>
        <v>0</v>
      </c>
      <c r="AG35" s="2242">
        <f>SUM(AG17:AG34)</f>
        <v>0.26</v>
      </c>
      <c r="AH35" s="2997">
        <f t="shared" ref="AH35:AH62" si="134">(AG35-O35)/O35</f>
        <v>0.08</v>
      </c>
      <c r="AI35" s="3044" t="s">
        <v>16</v>
      </c>
      <c r="AJ35" s="184">
        <f>SUM(AJ17:AJ32)</f>
        <v>0.22</v>
      </c>
      <c r="AK35" s="2241">
        <f>SUM(AK17:AK32)</f>
        <v>0</v>
      </c>
      <c r="AL35" s="2242">
        <f>SUM(AL17:AL32)</f>
        <v>0.22</v>
      </c>
      <c r="AN35" s="2181">
        <f t="shared" si="9"/>
        <v>184</v>
      </c>
      <c r="AO35" s="1629" t="e">
        <f>#REF!-O35</f>
        <v>#REF!</v>
      </c>
    </row>
    <row r="36" spans="1:41" ht="13.5" thickBot="1">
      <c r="A36" s="3265" t="s">
        <v>153</v>
      </c>
      <c r="B36" s="2692" t="s">
        <v>412</v>
      </c>
      <c r="C36" s="326">
        <v>1979</v>
      </c>
      <c r="D36" s="1990">
        <f>'Table 6c'!L34</f>
        <v>380</v>
      </c>
      <c r="E36" s="2693">
        <v>380</v>
      </c>
      <c r="F36" s="2694">
        <v>380</v>
      </c>
      <c r="G36" s="2694">
        <v>380</v>
      </c>
      <c r="H36" s="2694">
        <v>380</v>
      </c>
      <c r="I36" s="2694">
        <v>399</v>
      </c>
      <c r="J36" s="2695">
        <v>807</v>
      </c>
      <c r="K36" s="2695">
        <v>807</v>
      </c>
      <c r="L36" s="236">
        <f t="shared" si="19"/>
        <v>1.1200000000000001</v>
      </c>
      <c r="M36" s="157">
        <f t="shared" si="45"/>
        <v>0.01</v>
      </c>
      <c r="N36" s="2003">
        <v>0</v>
      </c>
      <c r="O36" s="148">
        <f>'Table 6c'!G34</f>
        <v>0.01</v>
      </c>
      <c r="P36" s="137">
        <f t="shared" si="46"/>
        <v>0.01</v>
      </c>
      <c r="Q36" s="1999">
        <v>0</v>
      </c>
      <c r="R36" s="148">
        <f>E36*AI36/1000000</f>
        <v>0.01</v>
      </c>
      <c r="S36" s="137">
        <f t="shared" si="47"/>
        <v>0.01</v>
      </c>
      <c r="T36" s="1999">
        <v>0</v>
      </c>
      <c r="U36" s="148">
        <f>F36*AI36/1000000</f>
        <v>0.01</v>
      </c>
      <c r="V36" s="137">
        <f t="shared" si="48"/>
        <v>0.01</v>
      </c>
      <c r="W36" s="1999">
        <v>0</v>
      </c>
      <c r="X36" s="148">
        <f>G36*AI36/1000000</f>
        <v>0.01</v>
      </c>
      <c r="Y36" s="137">
        <f t="shared" si="49"/>
        <v>0.01</v>
      </c>
      <c r="Z36" s="1999">
        <v>0</v>
      </c>
      <c r="AA36" s="148">
        <f>H36*AI36/1000000</f>
        <v>0.01</v>
      </c>
      <c r="AB36" s="137">
        <f t="shared" si="50"/>
        <v>0.01</v>
      </c>
      <c r="AC36" s="1999">
        <v>0</v>
      </c>
      <c r="AD36" s="148">
        <f>I36*AI36/1000000</f>
        <v>0.01</v>
      </c>
      <c r="AE36" s="137">
        <f t="shared" si="16"/>
        <v>0.02</v>
      </c>
      <c r="AF36" s="1999">
        <v>0</v>
      </c>
      <c r="AG36" s="148">
        <f>J36*AI36/1000000</f>
        <v>0.02</v>
      </c>
      <c r="AH36" s="2696">
        <f t="shared" si="134"/>
        <v>1</v>
      </c>
      <c r="AI36" s="2697">
        <f>'Table 6c'!P34</f>
        <v>27</v>
      </c>
      <c r="AJ36" s="137">
        <f t="shared" si="51"/>
        <v>0.02</v>
      </c>
      <c r="AK36" s="1999">
        <v>0</v>
      </c>
      <c r="AL36" s="148">
        <f>AG36*1.06</f>
        <v>0.02</v>
      </c>
      <c r="AN36" s="1990">
        <f t="shared" si="9"/>
        <v>427</v>
      </c>
      <c r="AO36" s="1631" t="e">
        <f>#REF!-O36</f>
        <v>#REF!</v>
      </c>
    </row>
    <row r="37" spans="1:41" s="22" customFormat="1">
      <c r="A37" s="3380"/>
      <c r="B37" s="3359" t="s">
        <v>169</v>
      </c>
      <c r="C37" s="3360"/>
      <c r="D37" s="1983">
        <f t="shared" ref="D37:I37" si="135">D36</f>
        <v>380</v>
      </c>
      <c r="E37" s="857">
        <f t="shared" si="135"/>
        <v>380</v>
      </c>
      <c r="F37" s="251">
        <f t="shared" si="135"/>
        <v>380</v>
      </c>
      <c r="G37" s="251">
        <f t="shared" si="135"/>
        <v>380</v>
      </c>
      <c r="H37" s="251">
        <f t="shared" si="135"/>
        <v>380</v>
      </c>
      <c r="I37" s="251">
        <f t="shared" si="135"/>
        <v>399</v>
      </c>
      <c r="J37" s="97">
        <f>J36</f>
        <v>807</v>
      </c>
      <c r="K37" s="97">
        <f>SUM(K36)</f>
        <v>807</v>
      </c>
      <c r="L37" s="202">
        <f t="shared" si="19"/>
        <v>1.1200000000000001</v>
      </c>
      <c r="M37" s="35">
        <f t="shared" si="45"/>
        <v>0.01</v>
      </c>
      <c r="N37" s="1984">
        <v>0</v>
      </c>
      <c r="O37" s="105">
        <f>SUM(O36)</f>
        <v>0.01</v>
      </c>
      <c r="P37" s="34">
        <f t="shared" si="46"/>
        <v>0.01</v>
      </c>
      <c r="Q37" s="1984">
        <v>0</v>
      </c>
      <c r="R37" s="105">
        <f>SUM(R36)</f>
        <v>0.01</v>
      </c>
      <c r="S37" s="34">
        <f t="shared" si="47"/>
        <v>0.01</v>
      </c>
      <c r="T37" s="1984">
        <v>0</v>
      </c>
      <c r="U37" s="105">
        <f>SUM(U36)</f>
        <v>0.01</v>
      </c>
      <c r="V37" s="34">
        <f t="shared" si="48"/>
        <v>0.01</v>
      </c>
      <c r="W37" s="1984">
        <v>0</v>
      </c>
      <c r="X37" s="105">
        <f>SUM(X36)</f>
        <v>0.01</v>
      </c>
      <c r="Y37" s="34">
        <f t="shared" si="49"/>
        <v>0.01</v>
      </c>
      <c r="Z37" s="1984">
        <v>0</v>
      </c>
      <c r="AA37" s="105">
        <f>SUM(AA36)</f>
        <v>0.01</v>
      </c>
      <c r="AB37" s="34">
        <f t="shared" si="50"/>
        <v>0.01</v>
      </c>
      <c r="AC37" s="1984">
        <v>0</v>
      </c>
      <c r="AD37" s="105">
        <f>SUM(AD36)</f>
        <v>0.01</v>
      </c>
      <c r="AE37" s="34">
        <f t="shared" si="16"/>
        <v>0.02</v>
      </c>
      <c r="AF37" s="1984">
        <f t="shared" ref="AF37:AG37" si="136">SUM(AF36)</f>
        <v>0</v>
      </c>
      <c r="AG37" s="105">
        <f t="shared" si="136"/>
        <v>0.02</v>
      </c>
      <c r="AH37" s="2555">
        <f t="shared" si="134"/>
        <v>1</v>
      </c>
      <c r="AI37" s="3041" t="s">
        <v>16</v>
      </c>
      <c r="AJ37" s="34">
        <f t="shared" si="51"/>
        <v>0.02</v>
      </c>
      <c r="AK37" s="1984">
        <v>0</v>
      </c>
      <c r="AL37" s="105">
        <f>AG37*1.06</f>
        <v>0.02</v>
      </c>
      <c r="AN37" s="1983">
        <f t="shared" si="9"/>
        <v>427</v>
      </c>
      <c r="AO37" s="1624" t="e">
        <f>#REF!-O37</f>
        <v>#REF!</v>
      </c>
    </row>
    <row r="38" spans="1:41" s="22" customFormat="1">
      <c r="A38" s="3300" t="s">
        <v>174</v>
      </c>
      <c r="B38" s="2698" t="s">
        <v>413</v>
      </c>
      <c r="C38" s="2699">
        <v>215891</v>
      </c>
      <c r="D38" s="2215">
        <f>'Table 6c'!L36</f>
        <v>60</v>
      </c>
      <c r="E38" s="2685">
        <v>60</v>
      </c>
      <c r="F38" s="2686">
        <v>60</v>
      </c>
      <c r="G38" s="2686">
        <v>60</v>
      </c>
      <c r="H38" s="2686">
        <v>60</v>
      </c>
      <c r="I38" s="2686">
        <v>60</v>
      </c>
      <c r="J38" s="2687">
        <v>60</v>
      </c>
      <c r="K38" s="2687">
        <v>60</v>
      </c>
      <c r="L38" s="2700">
        <f t="shared" si="19"/>
        <v>0</v>
      </c>
      <c r="M38" s="2701">
        <f t="shared" si="45"/>
        <v>0.01</v>
      </c>
      <c r="N38" s="2217">
        <v>0</v>
      </c>
      <c r="O38" s="2221">
        <f>'Table 6c'!G36</f>
        <v>0.01</v>
      </c>
      <c r="P38" s="2702">
        <f t="shared" ref="P38:P40" si="137">R38-Q38</f>
        <v>0.01</v>
      </c>
      <c r="Q38" s="2217">
        <v>0</v>
      </c>
      <c r="R38" s="2221">
        <f>E38*AI38/1000000</f>
        <v>0.01</v>
      </c>
      <c r="S38" s="2702">
        <f t="shared" ref="S38:S40" si="138">U38-T38</f>
        <v>0.01</v>
      </c>
      <c r="T38" s="2217">
        <v>0</v>
      </c>
      <c r="U38" s="2221">
        <f>F38*AI38/1000000</f>
        <v>0.01</v>
      </c>
      <c r="V38" s="2702">
        <f t="shared" ref="V38:V40" si="139">X38-W38</f>
        <v>0.01</v>
      </c>
      <c r="W38" s="2217">
        <v>0</v>
      </c>
      <c r="X38" s="2221">
        <f>G38*AI38/1000000</f>
        <v>0.01</v>
      </c>
      <c r="Y38" s="2702">
        <f t="shared" ref="Y38:Y40" si="140">AA38-Z38</f>
        <v>0.01</v>
      </c>
      <c r="Z38" s="2217">
        <v>0</v>
      </c>
      <c r="AA38" s="2221">
        <f>H38*AI38/1000000</f>
        <v>0.01</v>
      </c>
      <c r="AB38" s="2702">
        <f t="shared" ref="AB38:AB40" si="141">AD38-AC38</f>
        <v>0.01</v>
      </c>
      <c r="AC38" s="2217">
        <v>0</v>
      </c>
      <c r="AD38" s="2221">
        <f>I38*AI38/1000000</f>
        <v>0.01</v>
      </c>
      <c r="AE38" s="2702">
        <f t="shared" ref="AE38:AE40" si="142">AG38-AF38</f>
        <v>0.01</v>
      </c>
      <c r="AF38" s="2217">
        <v>0</v>
      </c>
      <c r="AG38" s="2703">
        <f>J38*AI38/1000000</f>
        <v>0.01</v>
      </c>
      <c r="AH38" s="2704">
        <f>(AG38-O38)/O38</f>
        <v>0</v>
      </c>
      <c r="AI38" s="2705">
        <f>'Table 6c'!P36</f>
        <v>133</v>
      </c>
      <c r="AJ38" s="2702">
        <f t="shared" ref="AJ38:AJ40" si="143">AL38-AK38</f>
        <v>0.01</v>
      </c>
      <c r="AK38" s="2217">
        <v>0</v>
      </c>
      <c r="AL38" s="2221">
        <f>AG38*1.06</f>
        <v>0.01</v>
      </c>
      <c r="AN38" s="2215">
        <f t="shared" si="9"/>
        <v>0</v>
      </c>
      <c r="AO38" s="2706" t="e">
        <f>#REF!-O38</f>
        <v>#REF!</v>
      </c>
    </row>
    <row r="39" spans="1:41" s="22" customFormat="1">
      <c r="A39" s="3301"/>
      <c r="B39" s="2707" t="s">
        <v>414</v>
      </c>
      <c r="C39" s="2708">
        <v>219148</v>
      </c>
      <c r="D39" s="305">
        <f>'Table 6c'!L37</f>
        <v>21</v>
      </c>
      <c r="E39" s="864">
        <v>21</v>
      </c>
      <c r="F39" s="872">
        <v>21</v>
      </c>
      <c r="G39" s="872">
        <v>21</v>
      </c>
      <c r="H39" s="872">
        <v>21</v>
      </c>
      <c r="I39" s="872">
        <v>21</v>
      </c>
      <c r="J39" s="995">
        <v>21</v>
      </c>
      <c r="K39" s="995">
        <v>21</v>
      </c>
      <c r="L39" s="1861">
        <f t="shared" si="19"/>
        <v>0</v>
      </c>
      <c r="M39" s="870">
        <f t="shared" si="45"/>
        <v>0</v>
      </c>
      <c r="N39" s="1956">
        <v>0</v>
      </c>
      <c r="O39" s="367">
        <f>'Table 6c'!G37</f>
        <v>0</v>
      </c>
      <c r="P39" s="823">
        <f t="shared" si="137"/>
        <v>0</v>
      </c>
      <c r="Q39" s="1956">
        <v>0</v>
      </c>
      <c r="R39" s="367">
        <f>E39*AI39/1000000</f>
        <v>0</v>
      </c>
      <c r="S39" s="823">
        <f t="shared" si="138"/>
        <v>0</v>
      </c>
      <c r="T39" s="1956">
        <v>0</v>
      </c>
      <c r="U39" s="367">
        <f>F39*AI39/1000000</f>
        <v>0</v>
      </c>
      <c r="V39" s="823">
        <f t="shared" si="139"/>
        <v>0</v>
      </c>
      <c r="W39" s="1956">
        <v>0</v>
      </c>
      <c r="X39" s="367">
        <f>G39*AI39/1000000</f>
        <v>0</v>
      </c>
      <c r="Y39" s="823">
        <f t="shared" si="140"/>
        <v>0</v>
      </c>
      <c r="Z39" s="1956">
        <v>0</v>
      </c>
      <c r="AA39" s="367">
        <f>H39*AI39/1000000</f>
        <v>0</v>
      </c>
      <c r="AB39" s="823">
        <f t="shared" si="141"/>
        <v>0</v>
      </c>
      <c r="AC39" s="1956">
        <v>0</v>
      </c>
      <c r="AD39" s="367">
        <f>I39*AI39/1000000</f>
        <v>0</v>
      </c>
      <c r="AE39" s="823">
        <f t="shared" si="142"/>
        <v>0</v>
      </c>
      <c r="AF39" s="1956">
        <v>0</v>
      </c>
      <c r="AG39" s="2709">
        <f>J39*AI39/1000000</f>
        <v>0</v>
      </c>
      <c r="AH39" s="2710" t="s">
        <v>16</v>
      </c>
      <c r="AI39" s="2681">
        <f>'Table 6c'!P37</f>
        <v>143</v>
      </c>
      <c r="AJ39" s="823">
        <f t="shared" si="143"/>
        <v>0</v>
      </c>
      <c r="AK39" s="1956">
        <v>0</v>
      </c>
      <c r="AL39" s="367">
        <f>AG39*1.06</f>
        <v>0</v>
      </c>
      <c r="AN39" s="305">
        <f t="shared" si="9"/>
        <v>0</v>
      </c>
      <c r="AO39" s="1627" t="e">
        <f>#REF!-O39</f>
        <v>#REF!</v>
      </c>
    </row>
    <row r="40" spans="1:41" s="22" customFormat="1" ht="13.5" thickBot="1">
      <c r="A40" s="3301"/>
      <c r="B40" s="2711" t="s">
        <v>415</v>
      </c>
      <c r="C40" s="2712">
        <v>221284</v>
      </c>
      <c r="D40" s="1968">
        <f>'Table 6c'!L38</f>
        <v>350</v>
      </c>
      <c r="E40" s="2713">
        <v>350</v>
      </c>
      <c r="F40" s="2714">
        <v>350</v>
      </c>
      <c r="G40" s="2714">
        <v>350</v>
      </c>
      <c r="H40" s="2714">
        <v>350</v>
      </c>
      <c r="I40" s="2714">
        <v>350</v>
      </c>
      <c r="J40" s="2715">
        <v>350</v>
      </c>
      <c r="K40" s="2715">
        <v>350</v>
      </c>
      <c r="L40" s="2716">
        <f t="shared" si="19"/>
        <v>0</v>
      </c>
      <c r="M40" s="2717">
        <f t="shared" si="45"/>
        <v>7.0000000000000007E-2</v>
      </c>
      <c r="N40" s="2718">
        <v>0</v>
      </c>
      <c r="O40" s="327">
        <f>'Table 6c'!G38</f>
        <v>7.0000000000000007E-2</v>
      </c>
      <c r="P40" s="136">
        <f t="shared" si="137"/>
        <v>0.06</v>
      </c>
      <c r="Q40" s="1970">
        <v>0</v>
      </c>
      <c r="R40" s="327">
        <f>E40*AI40/1000000</f>
        <v>0.06</v>
      </c>
      <c r="S40" s="136">
        <f t="shared" si="138"/>
        <v>0.06</v>
      </c>
      <c r="T40" s="1970">
        <v>0</v>
      </c>
      <c r="U40" s="327">
        <f>F40*AI40/1000000</f>
        <v>0.06</v>
      </c>
      <c r="V40" s="136">
        <f t="shared" si="139"/>
        <v>0.06</v>
      </c>
      <c r="W40" s="1970">
        <v>0</v>
      </c>
      <c r="X40" s="327">
        <f>G40*AI40/1000000</f>
        <v>0.06</v>
      </c>
      <c r="Y40" s="136">
        <f t="shared" si="140"/>
        <v>0.06</v>
      </c>
      <c r="Z40" s="1970">
        <v>0</v>
      </c>
      <c r="AA40" s="327">
        <f>H40*AI40/1000000</f>
        <v>0.06</v>
      </c>
      <c r="AB40" s="136">
        <f t="shared" si="141"/>
        <v>0.06</v>
      </c>
      <c r="AC40" s="1970">
        <v>0</v>
      </c>
      <c r="AD40" s="327">
        <f>I40*AI40/1000000</f>
        <v>0.06</v>
      </c>
      <c r="AE40" s="136">
        <f t="shared" si="142"/>
        <v>0.06</v>
      </c>
      <c r="AF40" s="1970">
        <v>0</v>
      </c>
      <c r="AG40" s="2719">
        <f>J40*AI40/1000000</f>
        <v>0.06</v>
      </c>
      <c r="AH40" s="2720">
        <f t="shared" si="134"/>
        <v>-0.14000000000000001</v>
      </c>
      <c r="AI40" s="2721">
        <f>'Table 6c'!P38</f>
        <v>171</v>
      </c>
      <c r="AJ40" s="136">
        <f t="shared" si="143"/>
        <v>0.06</v>
      </c>
      <c r="AK40" s="1970">
        <v>0</v>
      </c>
      <c r="AL40" s="327">
        <f>AG40*1.06</f>
        <v>0.06</v>
      </c>
      <c r="AN40" s="1968">
        <f t="shared" si="9"/>
        <v>0</v>
      </c>
      <c r="AO40" s="2722" t="e">
        <f>#REF!-O40</f>
        <v>#REF!</v>
      </c>
    </row>
    <row r="41" spans="1:41" s="22" customFormat="1" ht="14.25" thickTop="1" thickBot="1">
      <c r="A41" s="3302"/>
      <c r="B41" s="3395" t="s">
        <v>183</v>
      </c>
      <c r="C41" s="3360"/>
      <c r="D41" s="1983">
        <f>SUM(D38:D40)</f>
        <v>431</v>
      </c>
      <c r="E41" s="857">
        <f t="shared" ref="E41:K41" si="144">SUM(E38:E40)</f>
        <v>431</v>
      </c>
      <c r="F41" s="251">
        <f t="shared" si="144"/>
        <v>431</v>
      </c>
      <c r="G41" s="251">
        <f t="shared" si="144"/>
        <v>431</v>
      </c>
      <c r="H41" s="251">
        <f t="shared" si="144"/>
        <v>431</v>
      </c>
      <c r="I41" s="251">
        <f t="shared" si="144"/>
        <v>431</v>
      </c>
      <c r="J41" s="97">
        <f t="shared" si="144"/>
        <v>431</v>
      </c>
      <c r="K41" s="97">
        <f t="shared" si="144"/>
        <v>431</v>
      </c>
      <c r="L41" s="202">
        <f t="shared" si="19"/>
        <v>0</v>
      </c>
      <c r="M41" s="35">
        <f t="shared" ref="M41" si="145">SUM(M38:M40)</f>
        <v>0.08</v>
      </c>
      <c r="N41" s="1984">
        <f t="shared" ref="N41" si="146">SUM(N38:N40)</f>
        <v>0</v>
      </c>
      <c r="O41" s="105">
        <f t="shared" ref="O41" si="147">SUM(O38:O40)</f>
        <v>0.08</v>
      </c>
      <c r="P41" s="34">
        <f t="shared" ref="P41" si="148">SUM(P38:P40)</f>
        <v>7.0000000000000007E-2</v>
      </c>
      <c r="Q41" s="1984">
        <f t="shared" ref="Q41" si="149">SUM(Q38:Q40)</f>
        <v>0</v>
      </c>
      <c r="R41" s="105">
        <f t="shared" ref="R41" si="150">SUM(R38:R40)</f>
        <v>7.0000000000000007E-2</v>
      </c>
      <c r="S41" s="34">
        <f t="shared" ref="S41" si="151">SUM(S38:S40)</f>
        <v>7.0000000000000007E-2</v>
      </c>
      <c r="T41" s="1984">
        <f t="shared" ref="T41" si="152">SUM(T38:T40)</f>
        <v>0</v>
      </c>
      <c r="U41" s="105">
        <f t="shared" ref="U41" si="153">SUM(U38:U40)</f>
        <v>7.0000000000000007E-2</v>
      </c>
      <c r="V41" s="34">
        <f t="shared" ref="V41" si="154">SUM(V38:V40)</f>
        <v>7.0000000000000007E-2</v>
      </c>
      <c r="W41" s="1984">
        <f t="shared" ref="W41" si="155">SUM(W38:W40)</f>
        <v>0</v>
      </c>
      <c r="X41" s="105">
        <f t="shared" ref="X41" si="156">SUM(X38:X40)</f>
        <v>7.0000000000000007E-2</v>
      </c>
      <c r="Y41" s="34">
        <f t="shared" ref="Y41" si="157">SUM(Y38:Y40)</f>
        <v>7.0000000000000007E-2</v>
      </c>
      <c r="Z41" s="1984">
        <f t="shared" ref="Z41" si="158">SUM(Z38:Z40)</f>
        <v>0</v>
      </c>
      <c r="AA41" s="105">
        <f t="shared" ref="AA41" si="159">SUM(AA38:AA40)</f>
        <v>7.0000000000000007E-2</v>
      </c>
      <c r="AB41" s="34">
        <f t="shared" ref="AB41" si="160">SUM(AB38:AB40)</f>
        <v>7.0000000000000007E-2</v>
      </c>
      <c r="AC41" s="1984">
        <f t="shared" ref="AC41" si="161">SUM(AC38:AC40)</f>
        <v>0</v>
      </c>
      <c r="AD41" s="105">
        <f t="shared" ref="AD41" si="162">SUM(AD38:AD40)</f>
        <v>7.0000000000000007E-2</v>
      </c>
      <c r="AE41" s="34">
        <f t="shared" ref="AE41" si="163">SUM(AE38:AE40)</f>
        <v>7.0000000000000007E-2</v>
      </c>
      <c r="AF41" s="1984">
        <f t="shared" ref="AF41" si="164">SUM(AF38:AF40)</f>
        <v>0</v>
      </c>
      <c r="AG41" s="105">
        <f t="shared" ref="AG41" si="165">SUM(AG38:AG40)</f>
        <v>7.0000000000000007E-2</v>
      </c>
      <c r="AH41" s="2555">
        <f t="shared" si="134"/>
        <v>-0.13</v>
      </c>
      <c r="AI41" s="3041" t="s">
        <v>16</v>
      </c>
      <c r="AJ41" s="34">
        <f t="shared" ref="AJ41" si="166">SUM(AJ38:AJ40)</f>
        <v>7.0000000000000007E-2</v>
      </c>
      <c r="AK41" s="1984">
        <f t="shared" ref="AK41" si="167">SUM(AK38:AK40)</f>
        <v>0</v>
      </c>
      <c r="AL41" s="105">
        <f t="shared" ref="AL41" si="168">SUM(AL38:AL40)</f>
        <v>7.0000000000000007E-2</v>
      </c>
      <c r="AN41" s="1983">
        <f t="shared" si="9"/>
        <v>0</v>
      </c>
      <c r="AO41" s="1624" t="e">
        <f>#REF!-O41</f>
        <v>#REF!</v>
      </c>
    </row>
    <row r="42" spans="1:41" ht="12.75" customHeight="1" thickBot="1">
      <c r="A42" s="3238" t="s">
        <v>184</v>
      </c>
      <c r="B42" s="2373" t="s">
        <v>416</v>
      </c>
      <c r="C42" s="3060">
        <v>925</v>
      </c>
      <c r="D42" s="2215">
        <f>'Table 6c'!L40</f>
        <v>114</v>
      </c>
      <c r="E42" s="170">
        <v>157</v>
      </c>
      <c r="F42" s="169">
        <v>246</v>
      </c>
      <c r="G42" s="169">
        <v>246</v>
      </c>
      <c r="H42" s="169">
        <v>246</v>
      </c>
      <c r="I42" s="169">
        <v>246</v>
      </c>
      <c r="J42" s="270">
        <v>246</v>
      </c>
      <c r="K42" s="270">
        <v>246</v>
      </c>
      <c r="L42" s="196">
        <f t="shared" si="19"/>
        <v>1.1599999999999999</v>
      </c>
      <c r="M42" s="186">
        <f t="shared" ref="M42:M48" si="169">O42-N42</f>
        <v>0.01</v>
      </c>
      <c r="N42" s="2172">
        <v>0</v>
      </c>
      <c r="O42" s="2221">
        <f>'Table 6c'!G40</f>
        <v>0.01</v>
      </c>
      <c r="P42" s="2702">
        <f t="shared" ref="P42:P48" si="170">R42-Q42</f>
        <v>0.01</v>
      </c>
      <c r="Q42" s="2172">
        <v>0</v>
      </c>
      <c r="R42" s="160">
        <f>E42*AI42/1000000</f>
        <v>0.01</v>
      </c>
      <c r="S42" s="2702">
        <f t="shared" ref="S42:S48" si="171">U42-T42</f>
        <v>0.02</v>
      </c>
      <c r="T42" s="2172">
        <v>0</v>
      </c>
      <c r="U42" s="160">
        <f>F42*AI42/1000000</f>
        <v>0.02</v>
      </c>
      <c r="V42" s="149">
        <f t="shared" ref="V42:V48" si="172">X42-W42</f>
        <v>0.02</v>
      </c>
      <c r="W42" s="2172">
        <v>0</v>
      </c>
      <c r="X42" s="160">
        <f>G42*AI42/1000000</f>
        <v>0.02</v>
      </c>
      <c r="Y42" s="2702">
        <f t="shared" ref="Y42:Y48" si="173">AA42-Z42</f>
        <v>0.02</v>
      </c>
      <c r="Z42" s="2172">
        <v>0</v>
      </c>
      <c r="AA42" s="160">
        <f>H42*AI42/1000000</f>
        <v>0.02</v>
      </c>
      <c r="AB42" s="149">
        <f t="shared" ref="AB42:AB48" si="174">AD42-AC42</f>
        <v>0.02</v>
      </c>
      <c r="AC42" s="2172">
        <v>0</v>
      </c>
      <c r="AD42" s="160">
        <f>I42*AI42/1000000</f>
        <v>0.02</v>
      </c>
      <c r="AE42" s="149">
        <f t="shared" si="16"/>
        <v>0.02</v>
      </c>
      <c r="AF42" s="2172">
        <v>0</v>
      </c>
      <c r="AG42" s="160">
        <f>J42*AI42/1000000</f>
        <v>0.02</v>
      </c>
      <c r="AH42" s="196">
        <f t="shared" si="134"/>
        <v>1</v>
      </c>
      <c r="AI42" s="2551">
        <f>'Table 6c'!P40</f>
        <v>79</v>
      </c>
      <c r="AJ42" s="149">
        <f t="shared" ref="AJ42:AJ48" si="175">AL42-AK42</f>
        <v>0.02</v>
      </c>
      <c r="AK42" s="117">
        <v>0</v>
      </c>
      <c r="AL42" s="160">
        <f t="shared" ref="AL42:AL60" si="176">AG42*1.06</f>
        <v>0.02</v>
      </c>
      <c r="AN42" s="1990">
        <f t="shared" si="9"/>
        <v>132</v>
      </c>
      <c r="AO42" s="1631" t="e">
        <f>#REF!-O42</f>
        <v>#REF!</v>
      </c>
    </row>
    <row r="43" spans="1:41" ht="12.75" customHeight="1" thickTop="1" thickBot="1">
      <c r="A43" s="3239"/>
      <c r="B43" s="2378" t="s">
        <v>417</v>
      </c>
      <c r="C43" s="3066">
        <v>945</v>
      </c>
      <c r="D43" s="2036">
        <f>'Table 6c'!L41</f>
        <v>0</v>
      </c>
      <c r="E43" s="2713">
        <v>0</v>
      </c>
      <c r="F43" s="2714">
        <v>450</v>
      </c>
      <c r="G43" s="2714">
        <v>450</v>
      </c>
      <c r="H43" s="2714">
        <v>450</v>
      </c>
      <c r="I43" s="2714">
        <v>450</v>
      </c>
      <c r="J43" s="2715">
        <v>450</v>
      </c>
      <c r="K43" s="2715">
        <v>450</v>
      </c>
      <c r="L43" s="3067" t="s">
        <v>16</v>
      </c>
      <c r="M43" s="2639">
        <f t="shared" si="169"/>
        <v>0</v>
      </c>
      <c r="N43" s="1973">
        <v>0</v>
      </c>
      <c r="O43" s="49">
        <f>'Table 6c'!G41</f>
        <v>0</v>
      </c>
      <c r="P43" s="48">
        <f t="shared" si="170"/>
        <v>0.05</v>
      </c>
      <c r="Q43" s="1970">
        <v>0</v>
      </c>
      <c r="R43" s="327">
        <v>0.05</v>
      </c>
      <c r="S43" s="48">
        <f t="shared" si="171"/>
        <v>0.06</v>
      </c>
      <c r="T43" s="1970">
        <v>0</v>
      </c>
      <c r="U43" s="327">
        <v>0.06</v>
      </c>
      <c r="V43" s="136">
        <f t="shared" si="172"/>
        <v>0.06</v>
      </c>
      <c r="W43" s="1970">
        <v>0</v>
      </c>
      <c r="X43" s="327">
        <v>0.06</v>
      </c>
      <c r="Y43" s="48">
        <f t="shared" si="173"/>
        <v>7.0000000000000007E-2</v>
      </c>
      <c r="Z43" s="1970">
        <v>0</v>
      </c>
      <c r="AA43" s="327">
        <v>7.0000000000000007E-2</v>
      </c>
      <c r="AB43" s="136">
        <f t="shared" si="174"/>
        <v>7.0000000000000007E-2</v>
      </c>
      <c r="AC43" s="1970">
        <v>0</v>
      </c>
      <c r="AD43" s="327">
        <v>7.0000000000000007E-2</v>
      </c>
      <c r="AE43" s="136">
        <f t="shared" si="16"/>
        <v>7.0000000000000007E-2</v>
      </c>
      <c r="AF43" s="1970">
        <v>0</v>
      </c>
      <c r="AG43" s="327">
        <v>7.0000000000000007E-2</v>
      </c>
      <c r="AH43" s="2720" t="s">
        <v>16</v>
      </c>
      <c r="AI43" s="2721" t="str">
        <f>'Table 6c'!P41</f>
        <v>N/A</v>
      </c>
      <c r="AJ43" s="136">
        <f t="shared" ref="AJ43" si="177">AL43-AK43</f>
        <v>7.0000000000000007E-2</v>
      </c>
      <c r="AK43" s="1970">
        <v>0</v>
      </c>
      <c r="AL43" s="327">
        <f t="shared" ref="AL43" si="178">AG43*1.06</f>
        <v>7.0000000000000007E-2</v>
      </c>
      <c r="AN43" s="2987">
        <f t="shared" si="9"/>
        <v>450</v>
      </c>
      <c r="AO43" s="2607"/>
    </row>
    <row r="44" spans="1:41" s="22" customFormat="1" ht="13.5" customHeight="1" thickTop="1" thickBot="1">
      <c r="A44" s="3240"/>
      <c r="B44" s="3359" t="s">
        <v>194</v>
      </c>
      <c r="C44" s="3360"/>
      <c r="D44" s="1983">
        <f t="shared" ref="D44:K44" si="179">SUM(D42:D43)</f>
        <v>114</v>
      </c>
      <c r="E44" s="857">
        <f t="shared" si="179"/>
        <v>157</v>
      </c>
      <c r="F44" s="251">
        <f t="shared" si="179"/>
        <v>696</v>
      </c>
      <c r="G44" s="251">
        <f t="shared" si="179"/>
        <v>696</v>
      </c>
      <c r="H44" s="251">
        <f t="shared" si="179"/>
        <v>696</v>
      </c>
      <c r="I44" s="251">
        <f t="shared" si="179"/>
        <v>696</v>
      </c>
      <c r="J44" s="97">
        <f t="shared" si="179"/>
        <v>696</v>
      </c>
      <c r="K44" s="97">
        <f t="shared" si="179"/>
        <v>696</v>
      </c>
      <c r="L44" s="202">
        <f t="shared" si="19"/>
        <v>5.1100000000000003</v>
      </c>
      <c r="M44" s="35">
        <f t="shared" si="169"/>
        <v>0.01</v>
      </c>
      <c r="N44" s="1984">
        <v>0</v>
      </c>
      <c r="O44" s="2242">
        <f>SUM(O42:O43)</f>
        <v>0.01</v>
      </c>
      <c r="P44" s="34">
        <f t="shared" si="170"/>
        <v>0.06</v>
      </c>
      <c r="Q44" s="1984">
        <v>0</v>
      </c>
      <c r="R44" s="105">
        <f>SUM(R42:R43)</f>
        <v>0.06</v>
      </c>
      <c r="S44" s="34">
        <f t="shared" si="171"/>
        <v>0.08</v>
      </c>
      <c r="T44" s="1984">
        <v>0</v>
      </c>
      <c r="U44" s="105">
        <f>SUM(U42:U43)</f>
        <v>0.08</v>
      </c>
      <c r="V44" s="34">
        <f t="shared" si="172"/>
        <v>0.08</v>
      </c>
      <c r="W44" s="1984">
        <v>0</v>
      </c>
      <c r="X44" s="105">
        <f>SUM(X42:X43)</f>
        <v>0.08</v>
      </c>
      <c r="Y44" s="34">
        <f t="shared" si="173"/>
        <v>0.09</v>
      </c>
      <c r="Z44" s="1984">
        <v>0</v>
      </c>
      <c r="AA44" s="105">
        <f>SUM(AA42:AA43)</f>
        <v>0.09</v>
      </c>
      <c r="AB44" s="34">
        <f t="shared" si="174"/>
        <v>0.09</v>
      </c>
      <c r="AC44" s="1984">
        <v>0</v>
      </c>
      <c r="AD44" s="105">
        <f>SUM(AD42:AD43)</f>
        <v>0.09</v>
      </c>
      <c r="AE44" s="34">
        <f t="shared" si="16"/>
        <v>0.09</v>
      </c>
      <c r="AF44" s="1984">
        <f t="shared" ref="AF44" si="180">SUM(AF42)</f>
        <v>0</v>
      </c>
      <c r="AG44" s="105">
        <f>SUM(AG42:AG43)</f>
        <v>0.09</v>
      </c>
      <c r="AH44" s="2555">
        <f t="shared" si="134"/>
        <v>8</v>
      </c>
      <c r="AI44" s="2723" t="s">
        <v>418</v>
      </c>
      <c r="AJ44" s="34">
        <f t="shared" si="175"/>
        <v>0.1</v>
      </c>
      <c r="AK44" s="1984">
        <v>0</v>
      </c>
      <c r="AL44" s="105">
        <f t="shared" si="176"/>
        <v>0.1</v>
      </c>
      <c r="AN44" s="1983">
        <f t="shared" si="9"/>
        <v>582</v>
      </c>
      <c r="AO44" s="1624" t="e">
        <f>#REF!-O44</f>
        <v>#REF!</v>
      </c>
    </row>
    <row r="45" spans="1:41">
      <c r="A45" s="3239" t="s">
        <v>195</v>
      </c>
      <c r="B45" s="2724" t="s">
        <v>419</v>
      </c>
      <c r="C45" s="2725">
        <v>7982</v>
      </c>
      <c r="D45" s="2257">
        <f>'Table 6c'!L43</f>
        <v>219</v>
      </c>
      <c r="E45" s="170">
        <v>219</v>
      </c>
      <c r="F45" s="249">
        <v>219</v>
      </c>
      <c r="G45" s="249">
        <v>219</v>
      </c>
      <c r="H45" s="249">
        <v>219</v>
      </c>
      <c r="I45" s="249">
        <v>219</v>
      </c>
      <c r="J45" s="291">
        <v>219</v>
      </c>
      <c r="K45" s="291">
        <v>219</v>
      </c>
      <c r="L45" s="2726">
        <f t="shared" si="19"/>
        <v>0</v>
      </c>
      <c r="M45" s="246">
        <f t="shared" si="169"/>
        <v>0.01</v>
      </c>
      <c r="N45" s="2300">
        <v>0</v>
      </c>
      <c r="O45" s="141">
        <f>'Table 6c'!G43</f>
        <v>0.01</v>
      </c>
      <c r="P45" s="47">
        <f t="shared" si="170"/>
        <v>0.01</v>
      </c>
      <c r="Q45" s="2300">
        <v>0</v>
      </c>
      <c r="R45" s="141">
        <f t="shared" ref="R45:R55" si="181">E45*AI45/1000000</f>
        <v>0.01</v>
      </c>
      <c r="S45" s="47">
        <f t="shared" si="171"/>
        <v>0.01</v>
      </c>
      <c r="T45" s="2300">
        <v>0</v>
      </c>
      <c r="U45" s="141">
        <f t="shared" ref="U45:U55" si="182">F45*AI45/1000000</f>
        <v>0.01</v>
      </c>
      <c r="V45" s="47">
        <f t="shared" si="172"/>
        <v>0.01</v>
      </c>
      <c r="W45" s="2300">
        <v>0</v>
      </c>
      <c r="X45" s="141">
        <f t="shared" ref="X45:X55" si="183">G45*AI45/1000000</f>
        <v>0.01</v>
      </c>
      <c r="Y45" s="47">
        <f t="shared" si="173"/>
        <v>0.01</v>
      </c>
      <c r="Z45" s="2300">
        <v>0</v>
      </c>
      <c r="AA45" s="141">
        <f t="shared" ref="AA45:AA55" si="184">H45*AI45/1000000</f>
        <v>0.01</v>
      </c>
      <c r="AB45" s="47">
        <f t="shared" si="174"/>
        <v>0.01</v>
      </c>
      <c r="AC45" s="2300">
        <v>0</v>
      </c>
      <c r="AD45" s="141">
        <f t="shared" ref="AD45:AD55" si="185">I45*AI45/1000000</f>
        <v>0.01</v>
      </c>
      <c r="AE45" s="47">
        <f t="shared" si="16"/>
        <v>0.01</v>
      </c>
      <c r="AF45" s="2300">
        <v>0</v>
      </c>
      <c r="AG45" s="141">
        <f t="shared" ref="AG45:AG55" si="186">J45*AI45/1000000</f>
        <v>0.01</v>
      </c>
      <c r="AH45" s="1685">
        <f t="shared" si="134"/>
        <v>0</v>
      </c>
      <c r="AI45" s="2678">
        <f>'Table 6c'!P43</f>
        <v>46</v>
      </c>
      <c r="AJ45" s="47">
        <f t="shared" si="175"/>
        <v>0.01</v>
      </c>
      <c r="AK45" s="2300">
        <v>0</v>
      </c>
      <c r="AL45" s="141">
        <f t="shared" si="176"/>
        <v>0.01</v>
      </c>
      <c r="AN45" s="2257">
        <f t="shared" si="9"/>
        <v>0</v>
      </c>
      <c r="AO45" s="1626" t="e">
        <f>#REF!-O45</f>
        <v>#REF!</v>
      </c>
    </row>
    <row r="46" spans="1:41">
      <c r="A46" s="3239"/>
      <c r="B46" s="2203" t="s">
        <v>419</v>
      </c>
      <c r="C46" s="2727">
        <v>7986</v>
      </c>
      <c r="D46" s="305">
        <f>'Table 6c'!L44</f>
        <v>622</v>
      </c>
      <c r="E46" s="72">
        <v>622</v>
      </c>
      <c r="F46" s="872">
        <v>622</v>
      </c>
      <c r="G46" s="872">
        <v>622</v>
      </c>
      <c r="H46" s="872">
        <v>622</v>
      </c>
      <c r="I46" s="872">
        <v>622</v>
      </c>
      <c r="J46" s="995">
        <v>622</v>
      </c>
      <c r="K46" s="995">
        <v>803</v>
      </c>
      <c r="L46" s="1861">
        <f t="shared" si="19"/>
        <v>0</v>
      </c>
      <c r="M46" s="870">
        <f t="shared" si="169"/>
        <v>0.03</v>
      </c>
      <c r="N46" s="1956">
        <v>0</v>
      </c>
      <c r="O46" s="367">
        <f>'Table 6c'!G44</f>
        <v>0.03</v>
      </c>
      <c r="P46" s="823">
        <f t="shared" si="170"/>
        <v>0.03</v>
      </c>
      <c r="Q46" s="1956">
        <v>0</v>
      </c>
      <c r="R46" s="367">
        <f t="shared" si="181"/>
        <v>0.03</v>
      </c>
      <c r="S46" s="823">
        <f t="shared" si="171"/>
        <v>0.03</v>
      </c>
      <c r="T46" s="1956">
        <v>0</v>
      </c>
      <c r="U46" s="367">
        <f t="shared" si="182"/>
        <v>0.03</v>
      </c>
      <c r="V46" s="823">
        <f t="shared" si="172"/>
        <v>0.03</v>
      </c>
      <c r="W46" s="1956">
        <v>0</v>
      </c>
      <c r="X46" s="367">
        <f t="shared" si="183"/>
        <v>0.03</v>
      </c>
      <c r="Y46" s="823">
        <f t="shared" si="173"/>
        <v>0.03</v>
      </c>
      <c r="Z46" s="1956">
        <v>0</v>
      </c>
      <c r="AA46" s="367">
        <f t="shared" si="184"/>
        <v>0.03</v>
      </c>
      <c r="AB46" s="823">
        <f t="shared" si="174"/>
        <v>0.03</v>
      </c>
      <c r="AC46" s="1956">
        <v>0</v>
      </c>
      <c r="AD46" s="367">
        <f t="shared" si="185"/>
        <v>0.03</v>
      </c>
      <c r="AE46" s="823">
        <f t="shared" si="16"/>
        <v>0.03</v>
      </c>
      <c r="AF46" s="1956">
        <v>0</v>
      </c>
      <c r="AG46" s="141">
        <f t="shared" si="186"/>
        <v>0.03</v>
      </c>
      <c r="AH46" s="2558">
        <f t="shared" si="134"/>
        <v>0</v>
      </c>
      <c r="AI46" s="2681">
        <f>'Table 6c'!P44</f>
        <v>50</v>
      </c>
      <c r="AJ46" s="823">
        <f t="shared" si="175"/>
        <v>0.03</v>
      </c>
      <c r="AK46" s="1956">
        <v>0</v>
      </c>
      <c r="AL46" s="367">
        <f t="shared" si="176"/>
        <v>0.03</v>
      </c>
      <c r="AN46" s="305">
        <f t="shared" si="9"/>
        <v>0</v>
      </c>
      <c r="AO46" s="1627" t="e">
        <f>#REF!-O46</f>
        <v>#REF!</v>
      </c>
    </row>
    <row r="47" spans="1:41">
      <c r="A47" s="3239"/>
      <c r="B47" s="2203" t="s">
        <v>420</v>
      </c>
      <c r="C47" s="2727">
        <v>8071</v>
      </c>
      <c r="D47" s="305">
        <f>'Table 6c'!L45</f>
        <v>45</v>
      </c>
      <c r="E47" s="72">
        <v>45</v>
      </c>
      <c r="F47" s="872">
        <v>45</v>
      </c>
      <c r="G47" s="872">
        <v>45</v>
      </c>
      <c r="H47" s="872">
        <v>45</v>
      </c>
      <c r="I47" s="872">
        <v>45</v>
      </c>
      <c r="J47" s="995">
        <v>45</v>
      </c>
      <c r="K47" s="995">
        <v>160</v>
      </c>
      <c r="L47" s="1861">
        <f t="shared" si="19"/>
        <v>0</v>
      </c>
      <c r="M47" s="870">
        <f t="shared" si="169"/>
        <v>0.01</v>
      </c>
      <c r="N47" s="1956">
        <v>0</v>
      </c>
      <c r="O47" s="367">
        <f>'Table 6c'!G45</f>
        <v>0.01</v>
      </c>
      <c r="P47" s="823">
        <f t="shared" si="170"/>
        <v>0.01</v>
      </c>
      <c r="Q47" s="1956">
        <v>0</v>
      </c>
      <c r="R47" s="367">
        <f t="shared" si="181"/>
        <v>0.01</v>
      </c>
      <c r="S47" s="823">
        <f t="shared" si="171"/>
        <v>0.01</v>
      </c>
      <c r="T47" s="1956">
        <v>0</v>
      </c>
      <c r="U47" s="367">
        <f t="shared" si="182"/>
        <v>0.01</v>
      </c>
      <c r="V47" s="823">
        <f t="shared" si="172"/>
        <v>0.01</v>
      </c>
      <c r="W47" s="1956">
        <v>0</v>
      </c>
      <c r="X47" s="367">
        <f t="shared" si="183"/>
        <v>0.01</v>
      </c>
      <c r="Y47" s="823">
        <f t="shared" si="173"/>
        <v>0.01</v>
      </c>
      <c r="Z47" s="1956">
        <v>0</v>
      </c>
      <c r="AA47" s="367">
        <f t="shared" si="184"/>
        <v>0.01</v>
      </c>
      <c r="AB47" s="823">
        <f t="shared" si="174"/>
        <v>0.01</v>
      </c>
      <c r="AC47" s="1956">
        <v>0</v>
      </c>
      <c r="AD47" s="367">
        <f t="shared" si="185"/>
        <v>0.01</v>
      </c>
      <c r="AE47" s="823">
        <f t="shared" si="16"/>
        <v>0.01</v>
      </c>
      <c r="AF47" s="1956">
        <v>0</v>
      </c>
      <c r="AG47" s="141">
        <f t="shared" si="186"/>
        <v>0.01</v>
      </c>
      <c r="AH47" s="2558">
        <f t="shared" si="134"/>
        <v>0</v>
      </c>
      <c r="AI47" s="2681">
        <f>'Table 6c'!P45</f>
        <v>244</v>
      </c>
      <c r="AJ47" s="823">
        <f t="shared" si="175"/>
        <v>0.01</v>
      </c>
      <c r="AK47" s="1956">
        <v>0</v>
      </c>
      <c r="AL47" s="367">
        <f t="shared" si="176"/>
        <v>0.01</v>
      </c>
      <c r="AN47" s="305">
        <f t="shared" si="9"/>
        <v>0</v>
      </c>
      <c r="AO47" s="1627" t="e">
        <f>#REF!-O47</f>
        <v>#REF!</v>
      </c>
    </row>
    <row r="48" spans="1:41">
      <c r="A48" s="3239"/>
      <c r="B48" s="2321" t="s">
        <v>421</v>
      </c>
      <c r="C48" s="2727">
        <v>8072</v>
      </c>
      <c r="D48" s="305">
        <f>'Table 6c'!L46</f>
        <v>450</v>
      </c>
      <c r="E48" s="72">
        <v>453</v>
      </c>
      <c r="F48" s="872">
        <v>453</v>
      </c>
      <c r="G48" s="872">
        <v>453</v>
      </c>
      <c r="H48" s="872">
        <v>453</v>
      </c>
      <c r="I48" s="872">
        <v>453</v>
      </c>
      <c r="J48" s="995">
        <v>453</v>
      </c>
      <c r="K48" s="995">
        <v>722</v>
      </c>
      <c r="L48" s="1861">
        <f t="shared" si="19"/>
        <v>0.01</v>
      </c>
      <c r="M48" s="870">
        <f t="shared" si="169"/>
        <v>0.03</v>
      </c>
      <c r="N48" s="1956">
        <v>0</v>
      </c>
      <c r="O48" s="367">
        <f>'Table 6c'!G46</f>
        <v>0.03</v>
      </c>
      <c r="P48" s="823">
        <f t="shared" si="170"/>
        <v>0.03</v>
      </c>
      <c r="Q48" s="1956">
        <v>0</v>
      </c>
      <c r="R48" s="367">
        <f t="shared" si="181"/>
        <v>0.03</v>
      </c>
      <c r="S48" s="823">
        <f t="shared" si="171"/>
        <v>0.03</v>
      </c>
      <c r="T48" s="1956">
        <v>0</v>
      </c>
      <c r="U48" s="367">
        <f t="shared" si="182"/>
        <v>0.03</v>
      </c>
      <c r="V48" s="823">
        <f t="shared" si="172"/>
        <v>0.03</v>
      </c>
      <c r="W48" s="1956">
        <v>0</v>
      </c>
      <c r="X48" s="367">
        <f t="shared" si="183"/>
        <v>0.03</v>
      </c>
      <c r="Y48" s="823">
        <f t="shared" si="173"/>
        <v>0.03</v>
      </c>
      <c r="Z48" s="1956">
        <v>0</v>
      </c>
      <c r="AA48" s="367">
        <f t="shared" si="184"/>
        <v>0.03</v>
      </c>
      <c r="AB48" s="823">
        <f t="shared" si="174"/>
        <v>0.03</v>
      </c>
      <c r="AC48" s="1956">
        <v>0</v>
      </c>
      <c r="AD48" s="367">
        <f t="shared" si="185"/>
        <v>0.03</v>
      </c>
      <c r="AE48" s="823">
        <f t="shared" si="16"/>
        <v>0.03</v>
      </c>
      <c r="AF48" s="1956">
        <v>0</v>
      </c>
      <c r="AG48" s="141">
        <f t="shared" si="186"/>
        <v>0.03</v>
      </c>
      <c r="AH48" s="2558">
        <f t="shared" si="134"/>
        <v>0</v>
      </c>
      <c r="AI48" s="2681">
        <f>'Table 6c'!P46</f>
        <v>64</v>
      </c>
      <c r="AJ48" s="823">
        <f t="shared" si="175"/>
        <v>0.03</v>
      </c>
      <c r="AK48" s="1956">
        <v>0</v>
      </c>
      <c r="AL48" s="367">
        <f t="shared" si="176"/>
        <v>0.03</v>
      </c>
      <c r="AN48" s="305">
        <f t="shared" si="9"/>
        <v>3</v>
      </c>
      <c r="AO48" s="1627" t="e">
        <f>#REF!-O48</f>
        <v>#REF!</v>
      </c>
    </row>
    <row r="49" spans="1:41">
      <c r="A49" s="3239"/>
      <c r="B49" s="2321" t="s">
        <v>422</v>
      </c>
      <c r="C49" s="2727">
        <v>8124</v>
      </c>
      <c r="D49" s="305">
        <f>'Table 6c'!L47</f>
        <v>138</v>
      </c>
      <c r="E49" s="72">
        <v>139</v>
      </c>
      <c r="F49" s="872">
        <v>140</v>
      </c>
      <c r="G49" s="872">
        <v>140</v>
      </c>
      <c r="H49" s="872">
        <v>141</v>
      </c>
      <c r="I49" s="872">
        <v>143</v>
      </c>
      <c r="J49" s="995">
        <v>145</v>
      </c>
      <c r="K49" s="995">
        <v>156</v>
      </c>
      <c r="L49" s="1861">
        <f t="shared" si="19"/>
        <v>0.05</v>
      </c>
      <c r="M49" s="870">
        <f t="shared" ref="M49:M70" si="187">O49-N49</f>
        <v>0.01</v>
      </c>
      <c r="N49" s="1956">
        <v>0</v>
      </c>
      <c r="O49" s="367">
        <f>'Table 6c'!G47</f>
        <v>0.01</v>
      </c>
      <c r="P49" s="823">
        <f t="shared" ref="P49:P60" si="188">R49-Q49</f>
        <v>0.01</v>
      </c>
      <c r="Q49" s="1956">
        <v>0</v>
      </c>
      <c r="R49" s="367">
        <f t="shared" si="181"/>
        <v>0.01</v>
      </c>
      <c r="S49" s="823">
        <f t="shared" ref="S49:S60" si="189">U49-T49</f>
        <v>0.01</v>
      </c>
      <c r="T49" s="1956">
        <v>0</v>
      </c>
      <c r="U49" s="367">
        <f t="shared" si="182"/>
        <v>0.01</v>
      </c>
      <c r="V49" s="823">
        <f t="shared" ref="V49:V60" si="190">X49-W49</f>
        <v>0.01</v>
      </c>
      <c r="W49" s="1956">
        <v>0</v>
      </c>
      <c r="X49" s="367">
        <f t="shared" si="183"/>
        <v>0.01</v>
      </c>
      <c r="Y49" s="823">
        <f t="shared" ref="Y49:Y60" si="191">AA49-Z49</f>
        <v>0.01</v>
      </c>
      <c r="Z49" s="1956">
        <v>0</v>
      </c>
      <c r="AA49" s="367">
        <f t="shared" si="184"/>
        <v>0.01</v>
      </c>
      <c r="AB49" s="823">
        <f t="shared" ref="AB49:AB60" si="192">AD49-AC49</f>
        <v>0.01</v>
      </c>
      <c r="AC49" s="1956">
        <v>0</v>
      </c>
      <c r="AD49" s="367">
        <f t="shared" si="185"/>
        <v>0.01</v>
      </c>
      <c r="AE49" s="823">
        <f t="shared" si="16"/>
        <v>0.01</v>
      </c>
      <c r="AF49" s="1956">
        <v>0</v>
      </c>
      <c r="AG49" s="141">
        <f t="shared" si="186"/>
        <v>0.01</v>
      </c>
      <c r="AH49" s="2558">
        <f t="shared" si="134"/>
        <v>0</v>
      </c>
      <c r="AI49" s="2681">
        <f>'Table 6c'!P47</f>
        <v>72</v>
      </c>
      <c r="AJ49" s="823">
        <f t="shared" ref="AJ49:AJ60" si="193">AL49-AK49</f>
        <v>0.01</v>
      </c>
      <c r="AK49" s="1956">
        <v>0</v>
      </c>
      <c r="AL49" s="367">
        <f t="shared" si="176"/>
        <v>0.01</v>
      </c>
      <c r="AN49" s="305">
        <f t="shared" si="9"/>
        <v>7</v>
      </c>
      <c r="AO49" s="1627" t="e">
        <f>#REF!-O49</f>
        <v>#REF!</v>
      </c>
    </row>
    <row r="50" spans="1:41">
      <c r="A50" s="3239"/>
      <c r="B50" s="2203" t="s">
        <v>419</v>
      </c>
      <c r="C50" s="2725">
        <v>8127</v>
      </c>
      <c r="D50" s="305">
        <f>'Table 6c'!L48</f>
        <v>218</v>
      </c>
      <c r="E50" s="864">
        <v>218</v>
      </c>
      <c r="F50" s="872">
        <v>218</v>
      </c>
      <c r="G50" s="872">
        <v>218</v>
      </c>
      <c r="H50" s="872">
        <v>218</v>
      </c>
      <c r="I50" s="872">
        <v>218</v>
      </c>
      <c r="J50" s="995">
        <v>218</v>
      </c>
      <c r="K50" s="995">
        <v>240</v>
      </c>
      <c r="L50" s="1861">
        <f t="shared" si="19"/>
        <v>0</v>
      </c>
      <c r="M50" s="870">
        <f t="shared" si="187"/>
        <v>0.01</v>
      </c>
      <c r="N50" s="1956">
        <v>0</v>
      </c>
      <c r="O50" s="367">
        <f>'Table 6c'!G48</f>
        <v>0.01</v>
      </c>
      <c r="P50" s="823">
        <f t="shared" ref="P50" si="194">R50-Q50</f>
        <v>0.01</v>
      </c>
      <c r="Q50" s="1956">
        <v>0</v>
      </c>
      <c r="R50" s="367">
        <f t="shared" si="181"/>
        <v>0.01</v>
      </c>
      <c r="S50" s="823">
        <f t="shared" ref="S50" si="195">U50-T50</f>
        <v>0.01</v>
      </c>
      <c r="T50" s="1956">
        <v>0</v>
      </c>
      <c r="U50" s="367">
        <f t="shared" si="182"/>
        <v>0.01</v>
      </c>
      <c r="V50" s="823">
        <f t="shared" ref="V50" si="196">X50-W50</f>
        <v>0.01</v>
      </c>
      <c r="W50" s="1956">
        <v>0</v>
      </c>
      <c r="X50" s="367">
        <f t="shared" si="183"/>
        <v>0.01</v>
      </c>
      <c r="Y50" s="823">
        <f t="shared" ref="Y50" si="197">AA50-Z50</f>
        <v>0.01</v>
      </c>
      <c r="Z50" s="1956">
        <v>0</v>
      </c>
      <c r="AA50" s="367">
        <f t="shared" si="184"/>
        <v>0.01</v>
      </c>
      <c r="AB50" s="823">
        <f t="shared" ref="AB50" si="198">AD50-AC50</f>
        <v>0.01</v>
      </c>
      <c r="AC50" s="1956">
        <v>0</v>
      </c>
      <c r="AD50" s="367">
        <f t="shared" si="185"/>
        <v>0.01</v>
      </c>
      <c r="AE50" s="823">
        <f t="shared" si="16"/>
        <v>0.01</v>
      </c>
      <c r="AF50" s="1956">
        <v>0</v>
      </c>
      <c r="AG50" s="141">
        <f t="shared" si="186"/>
        <v>0.01</v>
      </c>
      <c r="AH50" s="2558">
        <f t="shared" si="134"/>
        <v>0</v>
      </c>
      <c r="AI50" s="2681">
        <f>'Table 6c'!P48</f>
        <v>49</v>
      </c>
      <c r="AJ50" s="823">
        <f t="shared" ref="AJ50" si="199">AL50-AK50</f>
        <v>0.01</v>
      </c>
      <c r="AK50" s="1956">
        <v>0</v>
      </c>
      <c r="AL50" s="367">
        <f t="shared" si="176"/>
        <v>0.01</v>
      </c>
      <c r="AN50" s="305">
        <f t="shared" si="9"/>
        <v>0</v>
      </c>
      <c r="AO50" s="1627" t="e">
        <f>#REF!-O50</f>
        <v>#REF!</v>
      </c>
    </row>
    <row r="51" spans="1:41">
      <c r="A51" s="3239"/>
      <c r="B51" s="2203" t="s">
        <v>423</v>
      </c>
      <c r="C51" s="2727">
        <v>90227</v>
      </c>
      <c r="D51" s="305">
        <f>'Table 6c'!L49</f>
        <v>365</v>
      </c>
      <c r="E51" s="72">
        <v>369</v>
      </c>
      <c r="F51" s="872">
        <v>369</v>
      </c>
      <c r="G51" s="872">
        <v>369</v>
      </c>
      <c r="H51" s="872">
        <v>369</v>
      </c>
      <c r="I51" s="872">
        <v>369</v>
      </c>
      <c r="J51" s="995">
        <v>369</v>
      </c>
      <c r="K51" s="995">
        <v>944</v>
      </c>
      <c r="L51" s="1861">
        <f t="shared" si="19"/>
        <v>0.01</v>
      </c>
      <c r="M51" s="870">
        <f t="shared" si="187"/>
        <v>0.01</v>
      </c>
      <c r="N51" s="1956">
        <v>0</v>
      </c>
      <c r="O51" s="367">
        <f>'Table 6c'!G48</f>
        <v>0.01</v>
      </c>
      <c r="P51" s="823">
        <f t="shared" si="188"/>
        <v>0.02</v>
      </c>
      <c r="Q51" s="1956">
        <v>0</v>
      </c>
      <c r="R51" s="367">
        <f t="shared" si="181"/>
        <v>0.02</v>
      </c>
      <c r="S51" s="823">
        <f t="shared" si="189"/>
        <v>0.02</v>
      </c>
      <c r="T51" s="1956">
        <v>0</v>
      </c>
      <c r="U51" s="367">
        <f t="shared" si="182"/>
        <v>0.02</v>
      </c>
      <c r="V51" s="823">
        <f t="shared" si="190"/>
        <v>0.02</v>
      </c>
      <c r="W51" s="1956">
        <v>0</v>
      </c>
      <c r="X51" s="367">
        <f t="shared" si="183"/>
        <v>0.02</v>
      </c>
      <c r="Y51" s="823">
        <f t="shared" si="191"/>
        <v>0.02</v>
      </c>
      <c r="Z51" s="1956">
        <v>0</v>
      </c>
      <c r="AA51" s="367">
        <f t="shared" si="184"/>
        <v>0.02</v>
      </c>
      <c r="AB51" s="823">
        <f t="shared" si="192"/>
        <v>0.02</v>
      </c>
      <c r="AC51" s="1956">
        <v>0</v>
      </c>
      <c r="AD51" s="367">
        <f t="shared" si="185"/>
        <v>0.02</v>
      </c>
      <c r="AE51" s="823">
        <f t="shared" si="16"/>
        <v>0.02</v>
      </c>
      <c r="AF51" s="1956">
        <v>0</v>
      </c>
      <c r="AG51" s="141">
        <f t="shared" si="186"/>
        <v>0.02</v>
      </c>
      <c r="AH51" s="2558">
        <f t="shared" si="134"/>
        <v>1</v>
      </c>
      <c r="AI51" s="2681">
        <f>'Table 6c'!P49</f>
        <v>63</v>
      </c>
      <c r="AJ51" s="823">
        <f t="shared" si="193"/>
        <v>0.02</v>
      </c>
      <c r="AK51" s="1956">
        <v>0</v>
      </c>
      <c r="AL51" s="367">
        <f t="shared" si="176"/>
        <v>0.02</v>
      </c>
      <c r="AN51" s="305">
        <f t="shared" si="9"/>
        <v>4</v>
      </c>
      <c r="AO51" s="1627" t="e">
        <f>#REF!-O51</f>
        <v>#REF!</v>
      </c>
    </row>
    <row r="52" spans="1:41">
      <c r="A52" s="3239"/>
      <c r="B52" s="2203" t="s">
        <v>424</v>
      </c>
      <c r="C52" s="2728" t="s">
        <v>16</v>
      </c>
      <c r="D52" s="305">
        <f>'Table 6c'!L50</f>
        <v>203</v>
      </c>
      <c r="E52" s="72">
        <v>205</v>
      </c>
      <c r="F52" s="872">
        <v>206</v>
      </c>
      <c r="G52" s="872">
        <v>207</v>
      </c>
      <c r="H52" s="872">
        <v>208</v>
      </c>
      <c r="I52" s="872">
        <v>209</v>
      </c>
      <c r="J52" s="995">
        <v>210</v>
      </c>
      <c r="K52" s="995">
        <v>1079</v>
      </c>
      <c r="L52" s="1861">
        <f t="shared" si="19"/>
        <v>0.03</v>
      </c>
      <c r="M52" s="870">
        <f t="shared" si="187"/>
        <v>0.02</v>
      </c>
      <c r="N52" s="1956">
        <v>0</v>
      </c>
      <c r="O52" s="367">
        <f>'Table 6c'!G50</f>
        <v>0.02</v>
      </c>
      <c r="P52" s="823">
        <f t="shared" si="188"/>
        <v>0.02</v>
      </c>
      <c r="Q52" s="1956">
        <v>0</v>
      </c>
      <c r="R52" s="367">
        <f t="shared" si="181"/>
        <v>0.02</v>
      </c>
      <c r="S52" s="823">
        <f t="shared" si="189"/>
        <v>0.02</v>
      </c>
      <c r="T52" s="1956">
        <v>0</v>
      </c>
      <c r="U52" s="367">
        <f t="shared" si="182"/>
        <v>0.02</v>
      </c>
      <c r="V52" s="823">
        <f t="shared" si="190"/>
        <v>0.02</v>
      </c>
      <c r="W52" s="1956">
        <v>0</v>
      </c>
      <c r="X52" s="367">
        <f t="shared" si="183"/>
        <v>0.02</v>
      </c>
      <c r="Y52" s="823">
        <f t="shared" si="191"/>
        <v>0.02</v>
      </c>
      <c r="Z52" s="1956">
        <v>0</v>
      </c>
      <c r="AA52" s="367">
        <f t="shared" si="184"/>
        <v>0.02</v>
      </c>
      <c r="AB52" s="823">
        <f t="shared" si="192"/>
        <v>0.02</v>
      </c>
      <c r="AC52" s="1956">
        <v>0</v>
      </c>
      <c r="AD52" s="367">
        <f t="shared" si="185"/>
        <v>0.02</v>
      </c>
      <c r="AE52" s="823">
        <f t="shared" si="16"/>
        <v>0.02</v>
      </c>
      <c r="AF52" s="1956">
        <v>0</v>
      </c>
      <c r="AG52" s="141">
        <f t="shared" si="186"/>
        <v>0.02</v>
      </c>
      <c r="AH52" s="2710">
        <f t="shared" si="134"/>
        <v>0</v>
      </c>
      <c r="AI52" s="2681">
        <f>'Table 6c'!P50</f>
        <v>79</v>
      </c>
      <c r="AJ52" s="823">
        <f t="shared" si="193"/>
        <v>0.02</v>
      </c>
      <c r="AK52" s="1956">
        <v>0</v>
      </c>
      <c r="AL52" s="367">
        <f t="shared" si="176"/>
        <v>0.02</v>
      </c>
      <c r="AN52" s="305">
        <f t="shared" si="9"/>
        <v>7</v>
      </c>
      <c r="AO52" s="1627" t="e">
        <f>#REF!-O52</f>
        <v>#REF!</v>
      </c>
    </row>
    <row r="53" spans="1:41">
      <c r="A53" s="3239"/>
      <c r="B53" s="2203" t="s">
        <v>425</v>
      </c>
      <c r="C53" s="2729" t="s">
        <v>16</v>
      </c>
      <c r="D53" s="2257">
        <f>'Table 6c'!L51</f>
        <v>465</v>
      </c>
      <c r="E53" s="72">
        <v>468</v>
      </c>
      <c r="F53" s="872">
        <v>470</v>
      </c>
      <c r="G53" s="872">
        <v>472</v>
      </c>
      <c r="H53" s="872">
        <v>475</v>
      </c>
      <c r="I53" s="872">
        <v>478</v>
      </c>
      <c r="J53" s="291">
        <v>481</v>
      </c>
      <c r="K53" s="291">
        <v>1237</v>
      </c>
      <c r="L53" s="2726">
        <f t="shared" si="19"/>
        <v>0.03</v>
      </c>
      <c r="M53" s="246">
        <f t="shared" si="187"/>
        <v>0.02</v>
      </c>
      <c r="N53" s="2300">
        <v>0</v>
      </c>
      <c r="O53" s="141">
        <f>'Table 6c'!G51</f>
        <v>0.02</v>
      </c>
      <c r="P53" s="47">
        <f t="shared" si="188"/>
        <v>0.02</v>
      </c>
      <c r="Q53" s="2300">
        <v>0</v>
      </c>
      <c r="R53" s="141">
        <f t="shared" si="181"/>
        <v>0.02</v>
      </c>
      <c r="S53" s="47">
        <f t="shared" si="189"/>
        <v>0.02</v>
      </c>
      <c r="T53" s="2300">
        <v>0</v>
      </c>
      <c r="U53" s="141">
        <f t="shared" si="182"/>
        <v>0.02</v>
      </c>
      <c r="V53" s="47">
        <f t="shared" si="190"/>
        <v>0.02</v>
      </c>
      <c r="W53" s="2300">
        <v>0</v>
      </c>
      <c r="X53" s="141">
        <f t="shared" si="183"/>
        <v>0.02</v>
      </c>
      <c r="Y53" s="47">
        <f t="shared" si="191"/>
        <v>0.02</v>
      </c>
      <c r="Z53" s="2300">
        <v>0</v>
      </c>
      <c r="AA53" s="141">
        <f t="shared" si="184"/>
        <v>0.02</v>
      </c>
      <c r="AB53" s="47">
        <f t="shared" si="192"/>
        <v>0.02</v>
      </c>
      <c r="AC53" s="2300">
        <v>0</v>
      </c>
      <c r="AD53" s="141">
        <f t="shared" si="185"/>
        <v>0.02</v>
      </c>
      <c r="AE53" s="47">
        <f t="shared" si="16"/>
        <v>0.02</v>
      </c>
      <c r="AF53" s="2300">
        <v>0</v>
      </c>
      <c r="AG53" s="141">
        <f t="shared" si="186"/>
        <v>0.02</v>
      </c>
      <c r="AH53" s="2677">
        <f t="shared" si="134"/>
        <v>0</v>
      </c>
      <c r="AI53" s="2678">
        <f>'Table 6c'!P51</f>
        <v>49</v>
      </c>
      <c r="AJ53" s="47">
        <f t="shared" si="193"/>
        <v>0.02</v>
      </c>
      <c r="AK53" s="2300">
        <v>0</v>
      </c>
      <c r="AL53" s="141">
        <f t="shared" si="176"/>
        <v>0.02</v>
      </c>
      <c r="AN53" s="305">
        <f t="shared" si="9"/>
        <v>16</v>
      </c>
      <c r="AO53" s="1626" t="e">
        <f>#REF!-O53</f>
        <v>#REF!</v>
      </c>
    </row>
    <row r="54" spans="1:41">
      <c r="A54" s="3239"/>
      <c r="B54" s="2203" t="s">
        <v>426</v>
      </c>
      <c r="C54" s="2728" t="s">
        <v>16</v>
      </c>
      <c r="D54" s="305">
        <f>'Table 6c'!L52</f>
        <v>211</v>
      </c>
      <c r="E54" s="72">
        <v>212</v>
      </c>
      <c r="F54" s="872">
        <v>213</v>
      </c>
      <c r="G54" s="872">
        <v>214</v>
      </c>
      <c r="H54" s="872">
        <v>215</v>
      </c>
      <c r="I54" s="872">
        <v>216</v>
      </c>
      <c r="J54" s="995">
        <v>217</v>
      </c>
      <c r="K54" s="995">
        <v>1828</v>
      </c>
      <c r="L54" s="1861">
        <f t="shared" si="19"/>
        <v>0.03</v>
      </c>
      <c r="M54" s="870">
        <f t="shared" si="187"/>
        <v>0.04</v>
      </c>
      <c r="N54" s="1956">
        <v>0</v>
      </c>
      <c r="O54" s="367">
        <f>'Table 6c'!G52</f>
        <v>0.04</v>
      </c>
      <c r="P54" s="823">
        <f t="shared" si="188"/>
        <v>0.04</v>
      </c>
      <c r="Q54" s="1956">
        <v>0</v>
      </c>
      <c r="R54" s="367">
        <f t="shared" si="181"/>
        <v>0.04</v>
      </c>
      <c r="S54" s="823">
        <f t="shared" si="189"/>
        <v>0.04</v>
      </c>
      <c r="T54" s="1956">
        <v>0</v>
      </c>
      <c r="U54" s="367">
        <f t="shared" si="182"/>
        <v>0.04</v>
      </c>
      <c r="V54" s="823">
        <f t="shared" si="190"/>
        <v>0.04</v>
      </c>
      <c r="W54" s="1956">
        <v>0</v>
      </c>
      <c r="X54" s="367">
        <f t="shared" si="183"/>
        <v>0.04</v>
      </c>
      <c r="Y54" s="823">
        <f t="shared" si="191"/>
        <v>0.04</v>
      </c>
      <c r="Z54" s="1956">
        <v>0</v>
      </c>
      <c r="AA54" s="367">
        <f t="shared" si="184"/>
        <v>0.04</v>
      </c>
      <c r="AB54" s="823">
        <f t="shared" si="192"/>
        <v>0.04</v>
      </c>
      <c r="AC54" s="1956">
        <v>0</v>
      </c>
      <c r="AD54" s="367">
        <f t="shared" si="185"/>
        <v>0.04</v>
      </c>
      <c r="AE54" s="823">
        <f t="shared" si="16"/>
        <v>0.04</v>
      </c>
      <c r="AF54" s="1956">
        <v>0</v>
      </c>
      <c r="AG54" s="141">
        <f t="shared" si="186"/>
        <v>0.04</v>
      </c>
      <c r="AH54" s="2710">
        <f t="shared" si="134"/>
        <v>0</v>
      </c>
      <c r="AI54" s="2681">
        <f>'Table 6c'!P52</f>
        <v>190</v>
      </c>
      <c r="AJ54" s="823">
        <f t="shared" si="193"/>
        <v>0.04</v>
      </c>
      <c r="AK54" s="1956">
        <v>0</v>
      </c>
      <c r="AL54" s="367">
        <f t="shared" si="176"/>
        <v>0.04</v>
      </c>
      <c r="AN54" s="305">
        <f t="shared" si="9"/>
        <v>6</v>
      </c>
      <c r="AO54" s="1627" t="e">
        <f>#REF!-O54</f>
        <v>#REF!</v>
      </c>
    </row>
    <row r="55" spans="1:41">
      <c r="A55" s="3239"/>
      <c r="B55" s="2283" t="s">
        <v>427</v>
      </c>
      <c r="C55" s="2730" t="s">
        <v>16</v>
      </c>
      <c r="D55" s="2036">
        <f>'Table 6c'!L53</f>
        <v>60</v>
      </c>
      <c r="E55" s="861">
        <v>60</v>
      </c>
      <c r="F55" s="368">
        <v>60</v>
      </c>
      <c r="G55" s="368">
        <v>60</v>
      </c>
      <c r="H55" s="368">
        <v>60</v>
      </c>
      <c r="I55" s="368">
        <v>60</v>
      </c>
      <c r="J55" s="1011">
        <v>60</v>
      </c>
      <c r="K55" s="1011">
        <v>60</v>
      </c>
      <c r="L55" s="197">
        <f t="shared" si="19"/>
        <v>0</v>
      </c>
      <c r="M55" s="1006">
        <f t="shared" si="187"/>
        <v>0.01</v>
      </c>
      <c r="N55" s="2038">
        <v>0</v>
      </c>
      <c r="O55" s="49">
        <f>'Table 6c'!G53</f>
        <v>0.01</v>
      </c>
      <c r="P55" s="48">
        <f t="shared" si="188"/>
        <v>0</v>
      </c>
      <c r="Q55" s="2038">
        <v>0</v>
      </c>
      <c r="R55" s="49">
        <f t="shared" si="181"/>
        <v>0</v>
      </c>
      <c r="S55" s="48">
        <f t="shared" si="189"/>
        <v>0</v>
      </c>
      <c r="T55" s="2038">
        <v>0</v>
      </c>
      <c r="U55" s="49">
        <f t="shared" si="182"/>
        <v>0</v>
      </c>
      <c r="V55" s="48">
        <f t="shared" si="190"/>
        <v>0</v>
      </c>
      <c r="W55" s="2038">
        <v>0</v>
      </c>
      <c r="X55" s="49">
        <f t="shared" si="183"/>
        <v>0</v>
      </c>
      <c r="Y55" s="48">
        <f t="shared" si="191"/>
        <v>0</v>
      </c>
      <c r="Z55" s="2038">
        <v>0</v>
      </c>
      <c r="AA55" s="49">
        <f t="shared" si="184"/>
        <v>0</v>
      </c>
      <c r="AB55" s="48">
        <f t="shared" si="192"/>
        <v>0</v>
      </c>
      <c r="AC55" s="2038">
        <v>0</v>
      </c>
      <c r="AD55" s="49">
        <f t="shared" si="185"/>
        <v>0</v>
      </c>
      <c r="AE55" s="48">
        <f t="shared" si="16"/>
        <v>0</v>
      </c>
      <c r="AF55" s="2038">
        <v>0</v>
      </c>
      <c r="AG55" s="2719">
        <f t="shared" si="186"/>
        <v>0</v>
      </c>
      <c r="AH55" s="2731">
        <f t="shared" si="134"/>
        <v>-1</v>
      </c>
      <c r="AI55" s="2683">
        <f>'Table 6c'!P53</f>
        <v>83</v>
      </c>
      <c r="AJ55" s="48">
        <f t="shared" si="193"/>
        <v>0</v>
      </c>
      <c r="AK55" s="2038">
        <v>0</v>
      </c>
      <c r="AL55" s="49">
        <f t="shared" si="176"/>
        <v>0</v>
      </c>
      <c r="AN55" s="2036">
        <f t="shared" si="9"/>
        <v>0</v>
      </c>
      <c r="AO55" s="1623" t="e">
        <f>#REF!-O55</f>
        <v>#REF!</v>
      </c>
    </row>
    <row r="56" spans="1:41" s="22" customFormat="1">
      <c r="A56" s="3240"/>
      <c r="B56" s="3359" t="s">
        <v>204</v>
      </c>
      <c r="C56" s="3360"/>
      <c r="D56" s="1983">
        <f t="shared" ref="D56:K56" si="200">SUM(D45:D55)</f>
        <v>2996</v>
      </c>
      <c r="E56" s="857">
        <f t="shared" si="200"/>
        <v>3010</v>
      </c>
      <c r="F56" s="251">
        <f t="shared" si="200"/>
        <v>3015</v>
      </c>
      <c r="G56" s="251">
        <f t="shared" si="200"/>
        <v>3019</v>
      </c>
      <c r="H56" s="251">
        <f t="shared" si="200"/>
        <v>3025</v>
      </c>
      <c r="I56" s="251">
        <f t="shared" si="200"/>
        <v>3032</v>
      </c>
      <c r="J56" s="97">
        <f t="shared" si="200"/>
        <v>3039</v>
      </c>
      <c r="K56" s="2732">
        <f t="shared" si="200"/>
        <v>7448</v>
      </c>
      <c r="L56" s="241">
        <f t="shared" si="19"/>
        <v>0.01</v>
      </c>
      <c r="M56" s="140">
        <f t="shared" si="187"/>
        <v>0.2</v>
      </c>
      <c r="N56" s="2183">
        <v>0</v>
      </c>
      <c r="O56" s="56">
        <f>SUM(O45:O55)</f>
        <v>0.2</v>
      </c>
      <c r="P56" s="139">
        <f t="shared" si="188"/>
        <v>0.2</v>
      </c>
      <c r="Q56" s="2183">
        <v>0</v>
      </c>
      <c r="R56" s="56">
        <f>SUM(R45:R55)</f>
        <v>0.2</v>
      </c>
      <c r="S56" s="139">
        <f t="shared" si="189"/>
        <v>0.2</v>
      </c>
      <c r="T56" s="2183">
        <v>0</v>
      </c>
      <c r="U56" s="56">
        <f>SUM(U45:U55)</f>
        <v>0.2</v>
      </c>
      <c r="V56" s="139">
        <f t="shared" si="190"/>
        <v>0.2</v>
      </c>
      <c r="W56" s="2183">
        <v>0</v>
      </c>
      <c r="X56" s="56">
        <f>SUM(X45:X55)</f>
        <v>0.2</v>
      </c>
      <c r="Y56" s="139">
        <f t="shared" si="191"/>
        <v>0.2</v>
      </c>
      <c r="Z56" s="2183">
        <v>0</v>
      </c>
      <c r="AA56" s="56">
        <f>SUM(AA45:AA55)</f>
        <v>0.2</v>
      </c>
      <c r="AB56" s="139">
        <f t="shared" si="192"/>
        <v>0.2</v>
      </c>
      <c r="AC56" s="2183">
        <v>0</v>
      </c>
      <c r="AD56" s="56">
        <f>SUM(AD45:AD55)</f>
        <v>0.2</v>
      </c>
      <c r="AE56" s="139">
        <f t="shared" si="16"/>
        <v>0.2</v>
      </c>
      <c r="AF56" s="2183">
        <f>SUM(AF45:AF55)</f>
        <v>0</v>
      </c>
      <c r="AG56" s="56">
        <f>SUM(AG45:AG55)</f>
        <v>0.2</v>
      </c>
      <c r="AH56" s="2733">
        <f t="shared" si="134"/>
        <v>0</v>
      </c>
      <c r="AI56" s="2734" t="s">
        <v>418</v>
      </c>
      <c r="AJ56" s="139">
        <f t="shared" si="193"/>
        <v>0.21</v>
      </c>
      <c r="AK56" s="2183">
        <v>0</v>
      </c>
      <c r="AL56" s="56">
        <f t="shared" si="176"/>
        <v>0.21</v>
      </c>
      <c r="AN56" s="1983">
        <f t="shared" si="9"/>
        <v>43</v>
      </c>
      <c r="AO56" s="1629" t="e">
        <f>#REF!-O56</f>
        <v>#REF!</v>
      </c>
    </row>
    <row r="57" spans="1:41">
      <c r="A57" s="3238" t="s">
        <v>205</v>
      </c>
      <c r="B57" s="2373" t="s">
        <v>428</v>
      </c>
      <c r="C57" s="163">
        <v>1190</v>
      </c>
      <c r="D57" s="2170">
        <f>'Table 6c'!L55</f>
        <v>345</v>
      </c>
      <c r="E57" s="170">
        <v>345</v>
      </c>
      <c r="F57" s="169">
        <v>345</v>
      </c>
      <c r="G57" s="169">
        <v>345</v>
      </c>
      <c r="H57" s="169">
        <v>345</v>
      </c>
      <c r="I57" s="169">
        <v>345</v>
      </c>
      <c r="J57" s="270">
        <v>345</v>
      </c>
      <c r="K57" s="270">
        <v>345</v>
      </c>
      <c r="L57" s="196">
        <f t="shared" si="19"/>
        <v>0</v>
      </c>
      <c r="M57" s="186">
        <f t="shared" si="187"/>
        <v>0.01</v>
      </c>
      <c r="N57" s="2172">
        <v>0</v>
      </c>
      <c r="O57" s="160">
        <f>'Table 6c'!G55</f>
        <v>0.01</v>
      </c>
      <c r="P57" s="149">
        <f t="shared" si="188"/>
        <v>0.01</v>
      </c>
      <c r="Q57" s="2172">
        <v>0</v>
      </c>
      <c r="R57" s="160">
        <f>E57*AI57/1000000</f>
        <v>0.01</v>
      </c>
      <c r="S57" s="149">
        <f t="shared" si="189"/>
        <v>0.01</v>
      </c>
      <c r="T57" s="2172">
        <v>0</v>
      </c>
      <c r="U57" s="160">
        <f>F57*AI57/1000000</f>
        <v>0.01</v>
      </c>
      <c r="V57" s="149">
        <f t="shared" si="190"/>
        <v>0.01</v>
      </c>
      <c r="W57" s="2172">
        <v>0</v>
      </c>
      <c r="X57" s="160">
        <f>G57*AI57/1000000</f>
        <v>0.01</v>
      </c>
      <c r="Y57" s="149">
        <f t="shared" si="191"/>
        <v>0.01</v>
      </c>
      <c r="Z57" s="2172">
        <v>0</v>
      </c>
      <c r="AA57" s="160">
        <f>H57*AI57/1000000</f>
        <v>0.01</v>
      </c>
      <c r="AB57" s="149">
        <f t="shared" si="192"/>
        <v>0.01</v>
      </c>
      <c r="AC57" s="2172">
        <v>0</v>
      </c>
      <c r="AD57" s="160">
        <f>I57*AI57/1000000</f>
        <v>0.01</v>
      </c>
      <c r="AE57" s="149">
        <f t="shared" si="16"/>
        <v>0.01</v>
      </c>
      <c r="AF57" s="2172">
        <v>0</v>
      </c>
      <c r="AG57" s="2703">
        <f>J57*AI57/1000000</f>
        <v>0.01</v>
      </c>
      <c r="AH57" s="2735">
        <f t="shared" si="134"/>
        <v>0</v>
      </c>
      <c r="AI57" s="2736">
        <f>'Table 6c'!P55</f>
        <v>29</v>
      </c>
      <c r="AJ57" s="149">
        <f t="shared" si="193"/>
        <v>0.01</v>
      </c>
      <c r="AK57" s="2172">
        <v>0</v>
      </c>
      <c r="AL57" s="160">
        <f t="shared" si="176"/>
        <v>0.01</v>
      </c>
      <c r="AN57" s="2170">
        <f t="shared" si="9"/>
        <v>0</v>
      </c>
      <c r="AO57" s="1625" t="e">
        <f>#REF!-O57</f>
        <v>#REF!</v>
      </c>
    </row>
    <row r="58" spans="1:41">
      <c r="A58" s="3239"/>
      <c r="B58" s="2203" t="s">
        <v>429</v>
      </c>
      <c r="C58" s="1138">
        <v>1381</v>
      </c>
      <c r="D58" s="305">
        <f>'Table 6c'!L56</f>
        <v>378</v>
      </c>
      <c r="E58" s="864">
        <v>465</v>
      </c>
      <c r="F58" s="872">
        <v>465</v>
      </c>
      <c r="G58" s="872">
        <v>465</v>
      </c>
      <c r="H58" s="872">
        <v>465</v>
      </c>
      <c r="I58" s="872">
        <v>465</v>
      </c>
      <c r="J58" s="995">
        <v>465</v>
      </c>
      <c r="K58" s="995">
        <v>465</v>
      </c>
      <c r="L58" s="1861">
        <f t="shared" si="19"/>
        <v>0.23</v>
      </c>
      <c r="M58" s="870">
        <f t="shared" si="187"/>
        <v>0.02</v>
      </c>
      <c r="N58" s="1956">
        <v>0</v>
      </c>
      <c r="O58" s="367">
        <f>'Table 6c'!G56</f>
        <v>0.02</v>
      </c>
      <c r="P58" s="823">
        <f t="shared" si="188"/>
        <v>0.03</v>
      </c>
      <c r="Q58" s="1956">
        <v>0</v>
      </c>
      <c r="R58" s="367">
        <f>E58*AI58/1000000</f>
        <v>0.03</v>
      </c>
      <c r="S58" s="823">
        <f t="shared" si="189"/>
        <v>0.03</v>
      </c>
      <c r="T58" s="1956">
        <v>0</v>
      </c>
      <c r="U58" s="367">
        <f>F58*AI58/1000000</f>
        <v>0.03</v>
      </c>
      <c r="V58" s="823">
        <f t="shared" si="190"/>
        <v>0.03</v>
      </c>
      <c r="W58" s="1956">
        <v>0</v>
      </c>
      <c r="X58" s="367">
        <f>G58*AI58/1000000</f>
        <v>0.03</v>
      </c>
      <c r="Y58" s="823">
        <f t="shared" si="191"/>
        <v>0.03</v>
      </c>
      <c r="Z58" s="1956">
        <v>0</v>
      </c>
      <c r="AA58" s="367">
        <f>H58*AI58/1000000</f>
        <v>0.03</v>
      </c>
      <c r="AB58" s="823">
        <f t="shared" si="192"/>
        <v>0.03</v>
      </c>
      <c r="AC58" s="1956">
        <v>0</v>
      </c>
      <c r="AD58" s="367">
        <f>I58*AI58/1000000</f>
        <v>0.03</v>
      </c>
      <c r="AE58" s="823">
        <f t="shared" si="16"/>
        <v>0.03</v>
      </c>
      <c r="AF58" s="1956">
        <v>0</v>
      </c>
      <c r="AG58" s="2709">
        <f>J58*AI58/1000000</f>
        <v>0.03</v>
      </c>
      <c r="AH58" s="2710">
        <f t="shared" si="134"/>
        <v>0.5</v>
      </c>
      <c r="AI58" s="2681">
        <f>'Table 6c'!P56</f>
        <v>58</v>
      </c>
      <c r="AJ58" s="823">
        <f t="shared" si="193"/>
        <v>0.03</v>
      </c>
      <c r="AK58" s="1956">
        <v>0</v>
      </c>
      <c r="AL58" s="367">
        <f t="shared" si="176"/>
        <v>0.03</v>
      </c>
      <c r="AN58" s="305">
        <f t="shared" si="9"/>
        <v>87</v>
      </c>
      <c r="AO58" s="1627" t="e">
        <f>#REF!-O58</f>
        <v>#REF!</v>
      </c>
    </row>
    <row r="59" spans="1:41">
      <c r="A59" s="3239"/>
      <c r="B59" s="2203" t="s">
        <v>430</v>
      </c>
      <c r="C59" s="1138">
        <v>1386</v>
      </c>
      <c r="D59" s="305">
        <f>'Table 6c'!L57</f>
        <v>237</v>
      </c>
      <c r="E59" s="72">
        <v>250</v>
      </c>
      <c r="F59" s="872">
        <v>295</v>
      </c>
      <c r="G59" s="872">
        <v>295</v>
      </c>
      <c r="H59" s="872">
        <v>295</v>
      </c>
      <c r="I59" s="872">
        <v>295</v>
      </c>
      <c r="J59" s="995">
        <v>295</v>
      </c>
      <c r="K59" s="995">
        <v>295</v>
      </c>
      <c r="L59" s="1861">
        <f t="shared" si="19"/>
        <v>0.24</v>
      </c>
      <c r="M59" s="870">
        <f t="shared" si="187"/>
        <v>0.04</v>
      </c>
      <c r="N59" s="1956">
        <v>0</v>
      </c>
      <c r="O59" s="367">
        <f>'Table 6c'!G57</f>
        <v>0.04</v>
      </c>
      <c r="P59" s="823">
        <f t="shared" si="188"/>
        <v>0.04</v>
      </c>
      <c r="Q59" s="1956">
        <v>0</v>
      </c>
      <c r="R59" s="367">
        <f>E59*AI59/1000000</f>
        <v>0.04</v>
      </c>
      <c r="S59" s="823">
        <f t="shared" si="189"/>
        <v>0.05</v>
      </c>
      <c r="T59" s="1956">
        <v>0</v>
      </c>
      <c r="U59" s="367">
        <f>F59*AI59/1000000</f>
        <v>0.05</v>
      </c>
      <c r="V59" s="823">
        <f t="shared" si="190"/>
        <v>0.05</v>
      </c>
      <c r="W59" s="1956">
        <v>0</v>
      </c>
      <c r="X59" s="367">
        <f>G59*AI59/1000000</f>
        <v>0.05</v>
      </c>
      <c r="Y59" s="823">
        <f t="shared" si="191"/>
        <v>0.05</v>
      </c>
      <c r="Z59" s="1956">
        <v>0</v>
      </c>
      <c r="AA59" s="367">
        <f>H59*AI59/1000000</f>
        <v>0.05</v>
      </c>
      <c r="AB59" s="823">
        <f t="shared" si="192"/>
        <v>0.05</v>
      </c>
      <c r="AC59" s="1956">
        <v>0</v>
      </c>
      <c r="AD59" s="367">
        <f>I59*AI59/1000000</f>
        <v>0.05</v>
      </c>
      <c r="AE59" s="823">
        <f t="shared" si="16"/>
        <v>0.05</v>
      </c>
      <c r="AF59" s="1956">
        <v>0</v>
      </c>
      <c r="AG59" s="2709">
        <f>J59*AI59/1000000</f>
        <v>0.05</v>
      </c>
      <c r="AH59" s="2710">
        <f t="shared" si="134"/>
        <v>0.25</v>
      </c>
      <c r="AI59" s="2681">
        <f>'Table 6c'!P57</f>
        <v>176</v>
      </c>
      <c r="AJ59" s="823">
        <f t="shared" si="193"/>
        <v>0.05</v>
      </c>
      <c r="AK59" s="1956">
        <v>0</v>
      </c>
      <c r="AL59" s="367">
        <f t="shared" si="176"/>
        <v>0.05</v>
      </c>
      <c r="AN59" s="305">
        <f t="shared" si="9"/>
        <v>58</v>
      </c>
      <c r="AO59" s="1627" t="e">
        <f>#REF!-O59</f>
        <v>#REF!</v>
      </c>
    </row>
    <row r="60" spans="1:41">
      <c r="A60" s="3239"/>
      <c r="B60" s="2283" t="s">
        <v>431</v>
      </c>
      <c r="C60" s="1262">
        <v>1423</v>
      </c>
      <c r="D60" s="2036">
        <f>'Table 6c'!L58</f>
        <v>369</v>
      </c>
      <c r="E60" s="861">
        <v>375</v>
      </c>
      <c r="F60" s="368">
        <v>375</v>
      </c>
      <c r="G60" s="368">
        <v>375</v>
      </c>
      <c r="H60" s="368">
        <v>375</v>
      </c>
      <c r="I60" s="368">
        <v>375</v>
      </c>
      <c r="J60" s="1011">
        <v>375</v>
      </c>
      <c r="K60" s="1011">
        <v>375</v>
      </c>
      <c r="L60" s="197">
        <f t="shared" si="19"/>
        <v>0.02</v>
      </c>
      <c r="M60" s="1006">
        <f t="shared" si="187"/>
        <v>0.04</v>
      </c>
      <c r="N60" s="2038">
        <v>0</v>
      </c>
      <c r="O60" s="49">
        <f>'Table 6c'!G58</f>
        <v>0.04</v>
      </c>
      <c r="P60" s="48">
        <f t="shared" si="188"/>
        <v>0.04</v>
      </c>
      <c r="Q60" s="2038">
        <v>0</v>
      </c>
      <c r="R60" s="49">
        <f>E60*AI60/1000000</f>
        <v>0.04</v>
      </c>
      <c r="S60" s="48">
        <f t="shared" si="189"/>
        <v>0.04</v>
      </c>
      <c r="T60" s="2038">
        <v>0</v>
      </c>
      <c r="U60" s="49">
        <f>F60*AI60/1000000</f>
        <v>0.04</v>
      </c>
      <c r="V60" s="48">
        <f t="shared" si="190"/>
        <v>0.04</v>
      </c>
      <c r="W60" s="2038">
        <v>0</v>
      </c>
      <c r="X60" s="49">
        <f>G60*AI60/1000000</f>
        <v>0.04</v>
      </c>
      <c r="Y60" s="48">
        <f t="shared" si="191"/>
        <v>0.04</v>
      </c>
      <c r="Z60" s="2038">
        <v>0</v>
      </c>
      <c r="AA60" s="49">
        <f>H60*AI60/1000000</f>
        <v>0.04</v>
      </c>
      <c r="AB60" s="48">
        <f t="shared" si="192"/>
        <v>0.04</v>
      </c>
      <c r="AC60" s="2038">
        <v>0</v>
      </c>
      <c r="AD60" s="49">
        <f>I60*AI60/1000000</f>
        <v>0.04</v>
      </c>
      <c r="AE60" s="48">
        <f t="shared" si="16"/>
        <v>0.04</v>
      </c>
      <c r="AF60" s="2038">
        <v>0</v>
      </c>
      <c r="AG60" s="2719">
        <f>J60*AI60/1000000</f>
        <v>0.04</v>
      </c>
      <c r="AH60" s="2731">
        <f t="shared" si="134"/>
        <v>0</v>
      </c>
      <c r="AI60" s="2683">
        <f>'Table 6c'!P58</f>
        <v>117</v>
      </c>
      <c r="AJ60" s="48">
        <f t="shared" si="193"/>
        <v>0.04</v>
      </c>
      <c r="AK60" s="2038">
        <v>0</v>
      </c>
      <c r="AL60" s="49">
        <f t="shared" si="176"/>
        <v>0.04</v>
      </c>
      <c r="AN60" s="2036">
        <f t="shared" si="9"/>
        <v>6</v>
      </c>
      <c r="AO60" s="1623" t="e">
        <f>#REF!-O60</f>
        <v>#REF!</v>
      </c>
    </row>
    <row r="61" spans="1:41" s="22" customFormat="1">
      <c r="A61" s="3240"/>
      <c r="B61" s="3359" t="s">
        <v>212</v>
      </c>
      <c r="C61" s="3360"/>
      <c r="D61" s="1983">
        <f t="shared" ref="D61:I61" si="201">SUM(D57:D60)</f>
        <v>1329</v>
      </c>
      <c r="E61" s="857">
        <f t="shared" si="201"/>
        <v>1435</v>
      </c>
      <c r="F61" s="251">
        <f t="shared" si="201"/>
        <v>1480</v>
      </c>
      <c r="G61" s="251">
        <f t="shared" si="201"/>
        <v>1480</v>
      </c>
      <c r="H61" s="251">
        <f t="shared" si="201"/>
        <v>1480</v>
      </c>
      <c r="I61" s="251">
        <f t="shared" si="201"/>
        <v>1480</v>
      </c>
      <c r="J61" s="97">
        <f t="shared" ref="J61" si="202">SUM(J57:J60)</f>
        <v>1480</v>
      </c>
      <c r="K61" s="97">
        <f>SUM(K57:K60)</f>
        <v>1480</v>
      </c>
      <c r="L61" s="202">
        <f t="shared" si="19"/>
        <v>0.11</v>
      </c>
      <c r="M61" s="35">
        <f t="shared" ref="M61:AD61" si="203">SUM(M57:M60)</f>
        <v>0.11</v>
      </c>
      <c r="N61" s="1984">
        <f t="shared" si="203"/>
        <v>0</v>
      </c>
      <c r="O61" s="105">
        <f t="shared" si="203"/>
        <v>0.11</v>
      </c>
      <c r="P61" s="34">
        <f t="shared" si="203"/>
        <v>0.12</v>
      </c>
      <c r="Q61" s="1984">
        <f t="shared" si="203"/>
        <v>0</v>
      </c>
      <c r="R61" s="105">
        <f t="shared" si="203"/>
        <v>0.12</v>
      </c>
      <c r="S61" s="34">
        <f t="shared" si="203"/>
        <v>0.13</v>
      </c>
      <c r="T61" s="1984">
        <f t="shared" si="203"/>
        <v>0</v>
      </c>
      <c r="U61" s="105">
        <f t="shared" si="203"/>
        <v>0.13</v>
      </c>
      <c r="V61" s="34">
        <f t="shared" si="203"/>
        <v>0.13</v>
      </c>
      <c r="W61" s="1984">
        <f t="shared" si="203"/>
        <v>0</v>
      </c>
      <c r="X61" s="105">
        <f t="shared" si="203"/>
        <v>0.13</v>
      </c>
      <c r="Y61" s="34">
        <f t="shared" si="203"/>
        <v>0.13</v>
      </c>
      <c r="Z61" s="1984">
        <f t="shared" si="203"/>
        <v>0</v>
      </c>
      <c r="AA61" s="105">
        <f t="shared" si="203"/>
        <v>0.13</v>
      </c>
      <c r="AB61" s="34">
        <f t="shared" si="203"/>
        <v>0.13</v>
      </c>
      <c r="AC61" s="1984">
        <f t="shared" si="203"/>
        <v>0</v>
      </c>
      <c r="AD61" s="105">
        <f t="shared" si="203"/>
        <v>0.13</v>
      </c>
      <c r="AE61" s="34">
        <f t="shared" ref="AE61" si="204">SUM(AE57:AE60)</f>
        <v>0.13</v>
      </c>
      <c r="AF61" s="1984">
        <f t="shared" ref="AF61:AG61" si="205">SUM(AF57:AF60)</f>
        <v>0</v>
      </c>
      <c r="AG61" s="105">
        <f t="shared" si="205"/>
        <v>0.13</v>
      </c>
      <c r="AH61" s="2590">
        <f t="shared" si="134"/>
        <v>0.18</v>
      </c>
      <c r="AI61" s="2723" t="s">
        <v>16</v>
      </c>
      <c r="AJ61" s="34">
        <f t="shared" ref="AJ61:AL61" si="206">SUM(AJ57:AJ60)</f>
        <v>0.13</v>
      </c>
      <c r="AK61" s="1984">
        <f t="shared" si="206"/>
        <v>0</v>
      </c>
      <c r="AL61" s="105">
        <f t="shared" si="206"/>
        <v>0.13</v>
      </c>
      <c r="AN61" s="1983">
        <f t="shared" si="9"/>
        <v>151</v>
      </c>
      <c r="AO61" s="1624" t="e">
        <f>#REF!-O61</f>
        <v>#REF!</v>
      </c>
    </row>
    <row r="62" spans="1:41" s="22" customFormat="1" ht="12.75" customHeight="1">
      <c r="A62" s="3238" t="s">
        <v>213</v>
      </c>
      <c r="B62" s="131" t="s">
        <v>432</v>
      </c>
      <c r="C62" s="2698">
        <v>217345</v>
      </c>
      <c r="D62" s="2170">
        <f>'Table 6c'!L62</f>
        <v>320</v>
      </c>
      <c r="E62" s="170">
        <v>320</v>
      </c>
      <c r="F62" s="169">
        <v>320</v>
      </c>
      <c r="G62" s="169">
        <v>320</v>
      </c>
      <c r="H62" s="169">
        <v>320</v>
      </c>
      <c r="I62" s="169">
        <v>320</v>
      </c>
      <c r="J62" s="270">
        <v>320</v>
      </c>
      <c r="K62" s="270">
        <v>320</v>
      </c>
      <c r="L62" s="196">
        <f t="shared" si="19"/>
        <v>0</v>
      </c>
      <c r="M62" s="186">
        <f t="shared" si="187"/>
        <v>0.02</v>
      </c>
      <c r="N62" s="2172">
        <v>0</v>
      </c>
      <c r="O62" s="160">
        <f>'Table 6c'!G62</f>
        <v>0.02</v>
      </c>
      <c r="P62" s="149">
        <f t="shared" ref="P62:P65" si="207">R62-Q62</f>
        <v>0.02</v>
      </c>
      <c r="Q62" s="2172">
        <v>0</v>
      </c>
      <c r="R62" s="160">
        <f>E62*AI62/1000000</f>
        <v>0.02</v>
      </c>
      <c r="S62" s="149">
        <f t="shared" ref="S62:S65" si="208">U62-T62</f>
        <v>0.02</v>
      </c>
      <c r="T62" s="2172">
        <v>0</v>
      </c>
      <c r="U62" s="160">
        <f>F62*AI62/1000000</f>
        <v>0.02</v>
      </c>
      <c r="V62" s="149">
        <f t="shared" ref="V62:V65" si="209">X62-W62</f>
        <v>0.02</v>
      </c>
      <c r="W62" s="2172">
        <v>0</v>
      </c>
      <c r="X62" s="160">
        <f>G62*AI62/1000000</f>
        <v>0.02</v>
      </c>
      <c r="Y62" s="149">
        <f t="shared" ref="Y62:Y65" si="210">AA62-Z62</f>
        <v>0.02</v>
      </c>
      <c r="Z62" s="2172">
        <v>0</v>
      </c>
      <c r="AA62" s="160">
        <f>H62*AI62/1000000</f>
        <v>0.02</v>
      </c>
      <c r="AB62" s="149">
        <f t="shared" ref="AB62:AB65" si="211">AD62-AC62</f>
        <v>0.02</v>
      </c>
      <c r="AC62" s="2172">
        <v>0</v>
      </c>
      <c r="AD62" s="160">
        <f>I62*AI62/1000000</f>
        <v>0.02</v>
      </c>
      <c r="AE62" s="149">
        <f t="shared" ref="AE62:AE65" si="212">AG62-AF62</f>
        <v>0.02</v>
      </c>
      <c r="AF62" s="2172">
        <v>0</v>
      </c>
      <c r="AG62" s="2703">
        <f>J62*AI62/1000000</f>
        <v>0.02</v>
      </c>
      <c r="AH62" s="2735">
        <f t="shared" si="134"/>
        <v>0</v>
      </c>
      <c r="AI62" s="2736">
        <f>'Table 6c'!P62</f>
        <v>69</v>
      </c>
      <c r="AJ62" s="149">
        <f t="shared" ref="AJ62:AJ65" si="213">AL62-AK62</f>
        <v>0.02</v>
      </c>
      <c r="AK62" s="2172">
        <v>0</v>
      </c>
      <c r="AL62" s="160">
        <f>AG62*1.06</f>
        <v>0.02</v>
      </c>
      <c r="AN62" s="2170">
        <f t="shared" si="9"/>
        <v>0</v>
      </c>
      <c r="AO62" s="1625" t="e">
        <f>#REF!-O62</f>
        <v>#REF!</v>
      </c>
    </row>
    <row r="63" spans="1:41" s="22" customFormat="1" ht="12.75" customHeight="1">
      <c r="A63" s="3239"/>
      <c r="B63" s="2679" t="s">
        <v>433</v>
      </c>
      <c r="C63" s="2708">
        <v>216536</v>
      </c>
      <c r="D63" s="305">
        <f>'Table 6c'!L63</f>
        <v>21</v>
      </c>
      <c r="E63" s="864">
        <v>21</v>
      </c>
      <c r="F63" s="872">
        <v>21</v>
      </c>
      <c r="G63" s="872">
        <v>21</v>
      </c>
      <c r="H63" s="872">
        <v>21</v>
      </c>
      <c r="I63" s="872">
        <v>21</v>
      </c>
      <c r="J63" s="995">
        <v>21</v>
      </c>
      <c r="K63" s="995">
        <v>21</v>
      </c>
      <c r="L63" s="1861">
        <f t="shared" si="19"/>
        <v>0</v>
      </c>
      <c r="M63" s="870">
        <f t="shared" si="187"/>
        <v>0</v>
      </c>
      <c r="N63" s="1956">
        <v>0</v>
      </c>
      <c r="O63" s="367">
        <f>'Table 6c'!G63</f>
        <v>0</v>
      </c>
      <c r="P63" s="823">
        <f t="shared" si="207"/>
        <v>0</v>
      </c>
      <c r="Q63" s="1956">
        <v>0</v>
      </c>
      <c r="R63" s="367">
        <f>E63*AI63/1000000</f>
        <v>0</v>
      </c>
      <c r="S63" s="823">
        <f t="shared" si="208"/>
        <v>0</v>
      </c>
      <c r="T63" s="1956">
        <v>0</v>
      </c>
      <c r="U63" s="367">
        <f>F63*AI63/1000000</f>
        <v>0</v>
      </c>
      <c r="V63" s="823">
        <f t="shared" si="209"/>
        <v>0</v>
      </c>
      <c r="W63" s="1956">
        <v>0</v>
      </c>
      <c r="X63" s="367">
        <f>G63*AI63/1000000</f>
        <v>0</v>
      </c>
      <c r="Y63" s="823">
        <f t="shared" si="210"/>
        <v>0</v>
      </c>
      <c r="Z63" s="1956">
        <v>0</v>
      </c>
      <c r="AA63" s="367">
        <f>H63*AI63/1000000</f>
        <v>0</v>
      </c>
      <c r="AB63" s="823">
        <f t="shared" si="211"/>
        <v>0</v>
      </c>
      <c r="AC63" s="1956">
        <v>0</v>
      </c>
      <c r="AD63" s="367">
        <f>I63*AI63/1000000</f>
        <v>0</v>
      </c>
      <c r="AE63" s="823">
        <f t="shared" si="212"/>
        <v>0</v>
      </c>
      <c r="AF63" s="1956">
        <v>0</v>
      </c>
      <c r="AG63" s="2709">
        <f>J63*AI63/1000000</f>
        <v>0</v>
      </c>
      <c r="AH63" s="2710" t="s">
        <v>16</v>
      </c>
      <c r="AI63" s="2681">
        <f>'Table 6c'!P63</f>
        <v>143</v>
      </c>
      <c r="AJ63" s="823">
        <f t="shared" si="213"/>
        <v>0</v>
      </c>
      <c r="AK63" s="1956">
        <v>0</v>
      </c>
      <c r="AL63" s="367">
        <f>AG63*1.06</f>
        <v>0</v>
      </c>
      <c r="AN63" s="305">
        <f t="shared" si="9"/>
        <v>0</v>
      </c>
      <c r="AO63" s="1627" t="e">
        <f>#REF!-O63</f>
        <v>#REF!</v>
      </c>
    </row>
    <row r="64" spans="1:41" s="22" customFormat="1" ht="12.75" customHeight="1">
      <c r="A64" s="3239"/>
      <c r="B64" s="2679" t="s">
        <v>434</v>
      </c>
      <c r="C64" s="2708">
        <v>219144</v>
      </c>
      <c r="D64" s="305">
        <f>'Table 6c'!L64</f>
        <v>39</v>
      </c>
      <c r="E64" s="72">
        <v>39</v>
      </c>
      <c r="F64" s="872">
        <v>39</v>
      </c>
      <c r="G64" s="872">
        <v>39</v>
      </c>
      <c r="H64" s="872">
        <v>39</v>
      </c>
      <c r="I64" s="872">
        <v>39</v>
      </c>
      <c r="J64" s="995">
        <v>39</v>
      </c>
      <c r="K64" s="995">
        <v>39</v>
      </c>
      <c r="L64" s="1861">
        <f t="shared" si="19"/>
        <v>0</v>
      </c>
      <c r="M64" s="870">
        <f t="shared" si="187"/>
        <v>0.01</v>
      </c>
      <c r="N64" s="1956">
        <v>0</v>
      </c>
      <c r="O64" s="367">
        <f>'Table 6c'!G64</f>
        <v>0.01</v>
      </c>
      <c r="P64" s="823">
        <f t="shared" si="207"/>
        <v>0.01</v>
      </c>
      <c r="Q64" s="1956">
        <v>0</v>
      </c>
      <c r="R64" s="367">
        <f>E64*AI64/1000000</f>
        <v>0.01</v>
      </c>
      <c r="S64" s="823">
        <f t="shared" si="208"/>
        <v>0.01</v>
      </c>
      <c r="T64" s="1956">
        <v>0</v>
      </c>
      <c r="U64" s="367">
        <f>F64*AI64/1000000</f>
        <v>0.01</v>
      </c>
      <c r="V64" s="823">
        <f t="shared" si="209"/>
        <v>0.01</v>
      </c>
      <c r="W64" s="1956">
        <v>0</v>
      </c>
      <c r="X64" s="367">
        <f>G64*AI64/1000000</f>
        <v>0.01</v>
      </c>
      <c r="Y64" s="823">
        <f t="shared" si="210"/>
        <v>0.01</v>
      </c>
      <c r="Z64" s="1956">
        <v>0</v>
      </c>
      <c r="AA64" s="367">
        <f>H64*AI64/1000000</f>
        <v>0.01</v>
      </c>
      <c r="AB64" s="823">
        <f t="shared" si="211"/>
        <v>0.01</v>
      </c>
      <c r="AC64" s="1956">
        <v>0</v>
      </c>
      <c r="AD64" s="367">
        <f>I64*AI64/1000000</f>
        <v>0.01</v>
      </c>
      <c r="AE64" s="823">
        <f t="shared" si="212"/>
        <v>0.01</v>
      </c>
      <c r="AF64" s="1956">
        <v>0</v>
      </c>
      <c r="AG64" s="2709">
        <f>J64*AI64/1000000</f>
        <v>0.01</v>
      </c>
      <c r="AH64" s="2710">
        <f>(AG64-O64)/O64</f>
        <v>0</v>
      </c>
      <c r="AI64" s="2681">
        <f>'Table 6c'!P64</f>
        <v>154</v>
      </c>
      <c r="AJ64" s="823">
        <f t="shared" si="213"/>
        <v>0.01</v>
      </c>
      <c r="AK64" s="1956">
        <v>0</v>
      </c>
      <c r="AL64" s="367">
        <f>AG64*1.06</f>
        <v>0.01</v>
      </c>
      <c r="AN64" s="305">
        <f t="shared" si="9"/>
        <v>0</v>
      </c>
      <c r="AO64" s="1627" t="e">
        <f>#REF!-O64</f>
        <v>#REF!</v>
      </c>
    </row>
    <row r="65" spans="1:41" s="22" customFormat="1" ht="12.75" customHeight="1">
      <c r="A65" s="3239"/>
      <c r="B65" s="2682" t="s">
        <v>435</v>
      </c>
      <c r="C65" s="2711">
        <v>219174</v>
      </c>
      <c r="D65" s="2036">
        <f>'Table 6c'!L65</f>
        <v>57</v>
      </c>
      <c r="E65" s="861">
        <v>57</v>
      </c>
      <c r="F65" s="368">
        <v>57</v>
      </c>
      <c r="G65" s="368">
        <v>57</v>
      </c>
      <c r="H65" s="368">
        <v>57</v>
      </c>
      <c r="I65" s="368">
        <v>57</v>
      </c>
      <c r="J65" s="1011">
        <v>57</v>
      </c>
      <c r="K65" s="1011">
        <v>57</v>
      </c>
      <c r="L65" s="197">
        <f t="shared" si="19"/>
        <v>0</v>
      </c>
      <c r="M65" s="1006">
        <f t="shared" si="187"/>
        <v>0.01</v>
      </c>
      <c r="N65" s="2038">
        <v>0</v>
      </c>
      <c r="O65" s="49">
        <f>'Table 6c'!G65</f>
        <v>0.01</v>
      </c>
      <c r="P65" s="48">
        <f t="shared" si="207"/>
        <v>0.01</v>
      </c>
      <c r="Q65" s="2038">
        <v>0</v>
      </c>
      <c r="R65" s="49">
        <f>E65*AI65/1000000</f>
        <v>0.01</v>
      </c>
      <c r="S65" s="48">
        <f t="shared" si="208"/>
        <v>0.01</v>
      </c>
      <c r="T65" s="2038">
        <v>0</v>
      </c>
      <c r="U65" s="49">
        <f>F65*AI65/1000000</f>
        <v>0.01</v>
      </c>
      <c r="V65" s="48">
        <f t="shared" si="209"/>
        <v>0.01</v>
      </c>
      <c r="W65" s="2038">
        <v>0</v>
      </c>
      <c r="X65" s="49">
        <f>G65*AI65/1000000</f>
        <v>0.01</v>
      </c>
      <c r="Y65" s="48">
        <f t="shared" si="210"/>
        <v>0.01</v>
      </c>
      <c r="Z65" s="2038">
        <v>0</v>
      </c>
      <c r="AA65" s="49">
        <f>H65*AI65/1000000</f>
        <v>0.01</v>
      </c>
      <c r="AB65" s="48">
        <f t="shared" si="211"/>
        <v>0.01</v>
      </c>
      <c r="AC65" s="2038">
        <v>0</v>
      </c>
      <c r="AD65" s="49">
        <f>I65*AI65/1000000</f>
        <v>0.01</v>
      </c>
      <c r="AE65" s="48">
        <f t="shared" si="212"/>
        <v>0.01</v>
      </c>
      <c r="AF65" s="2038">
        <v>0</v>
      </c>
      <c r="AG65" s="2719">
        <f>J65*AI65/1000000</f>
        <v>0.01</v>
      </c>
      <c r="AH65" s="2731">
        <f>(AG65-O65)/O65</f>
        <v>0</v>
      </c>
      <c r="AI65" s="2683">
        <f>'Table 6c'!P65</f>
        <v>158</v>
      </c>
      <c r="AJ65" s="48">
        <f t="shared" si="213"/>
        <v>0.01</v>
      </c>
      <c r="AK65" s="2038">
        <v>0</v>
      </c>
      <c r="AL65" s="49">
        <f>AG65*1.06</f>
        <v>0.01</v>
      </c>
      <c r="AN65" s="2036">
        <f t="shared" si="9"/>
        <v>0</v>
      </c>
      <c r="AO65" s="1623" t="e">
        <f>#REF!-O65</f>
        <v>#REF!</v>
      </c>
    </row>
    <row r="66" spans="1:41" s="22" customFormat="1">
      <c r="A66" s="3240"/>
      <c r="B66" s="3359" t="s">
        <v>218</v>
      </c>
      <c r="C66" s="3360"/>
      <c r="D66" s="1983">
        <f>SUM(D62:D65)</f>
        <v>437</v>
      </c>
      <c r="E66" s="857">
        <f t="shared" ref="E66:K66" si="214">SUM(E62:E65)</f>
        <v>437</v>
      </c>
      <c r="F66" s="251">
        <f t="shared" si="214"/>
        <v>437</v>
      </c>
      <c r="G66" s="251">
        <f t="shared" si="214"/>
        <v>437</v>
      </c>
      <c r="H66" s="251">
        <f t="shared" si="214"/>
        <v>437</v>
      </c>
      <c r="I66" s="251">
        <f t="shared" si="214"/>
        <v>437</v>
      </c>
      <c r="J66" s="97">
        <f t="shared" si="214"/>
        <v>437</v>
      </c>
      <c r="K66" s="97">
        <f t="shared" si="214"/>
        <v>437</v>
      </c>
      <c r="L66" s="202">
        <f t="shared" si="19"/>
        <v>0</v>
      </c>
      <c r="M66" s="35">
        <f>SUM(M62:M65)</f>
        <v>0.04</v>
      </c>
      <c r="N66" s="1984">
        <f t="shared" ref="N66:AG66" si="215">SUM(N62:N65)</f>
        <v>0</v>
      </c>
      <c r="O66" s="105">
        <f t="shared" si="215"/>
        <v>0.04</v>
      </c>
      <c r="P66" s="34">
        <f t="shared" si="215"/>
        <v>0.04</v>
      </c>
      <c r="Q66" s="1984">
        <f t="shared" si="215"/>
        <v>0</v>
      </c>
      <c r="R66" s="105">
        <f t="shared" si="215"/>
        <v>0.04</v>
      </c>
      <c r="S66" s="34">
        <f t="shared" si="215"/>
        <v>0.04</v>
      </c>
      <c r="T66" s="1984">
        <f t="shared" si="215"/>
        <v>0</v>
      </c>
      <c r="U66" s="105">
        <f t="shared" si="215"/>
        <v>0.04</v>
      </c>
      <c r="V66" s="34">
        <f t="shared" si="215"/>
        <v>0.04</v>
      </c>
      <c r="W66" s="1984">
        <f t="shared" si="215"/>
        <v>0</v>
      </c>
      <c r="X66" s="105">
        <f t="shared" si="215"/>
        <v>0.04</v>
      </c>
      <c r="Y66" s="34">
        <f t="shared" si="215"/>
        <v>0.04</v>
      </c>
      <c r="Z66" s="1984">
        <f t="shared" si="215"/>
        <v>0</v>
      </c>
      <c r="AA66" s="105">
        <f t="shared" si="215"/>
        <v>0.04</v>
      </c>
      <c r="AB66" s="34">
        <f t="shared" si="215"/>
        <v>0.04</v>
      </c>
      <c r="AC66" s="1984">
        <f t="shared" si="215"/>
        <v>0</v>
      </c>
      <c r="AD66" s="105">
        <f t="shared" si="215"/>
        <v>0.04</v>
      </c>
      <c r="AE66" s="34">
        <f t="shared" si="215"/>
        <v>0.04</v>
      </c>
      <c r="AF66" s="1984">
        <f t="shared" si="215"/>
        <v>0</v>
      </c>
      <c r="AG66" s="105">
        <f t="shared" si="215"/>
        <v>0.04</v>
      </c>
      <c r="AH66" s="2590">
        <f>(AG66-O66)/O66</f>
        <v>0</v>
      </c>
      <c r="AI66" s="2723" t="s">
        <v>16</v>
      </c>
      <c r="AJ66" s="34">
        <f t="shared" ref="AJ66" si="216">SUM(AJ62:AJ65)</f>
        <v>0.04</v>
      </c>
      <c r="AK66" s="1984">
        <f t="shared" ref="AK66" si="217">SUM(AK62:AK65)</f>
        <v>0</v>
      </c>
      <c r="AL66" s="105">
        <f t="shared" ref="AL66" si="218">SUM(AL62:AL65)</f>
        <v>0.04</v>
      </c>
      <c r="AN66" s="1983">
        <f t="shared" si="9"/>
        <v>0</v>
      </c>
      <c r="AO66" s="1624" t="e">
        <f>#REF!-O66</f>
        <v>#REF!</v>
      </c>
    </row>
    <row r="67" spans="1:41" s="22" customFormat="1">
      <c r="A67" s="3238" t="s">
        <v>219</v>
      </c>
      <c r="B67" s="131" t="s">
        <v>436</v>
      </c>
      <c r="C67" s="2698">
        <v>215835</v>
      </c>
      <c r="D67" s="2170">
        <f>'Table 6c'!L67</f>
        <v>12</v>
      </c>
      <c r="E67" s="170">
        <v>12</v>
      </c>
      <c r="F67" s="169">
        <v>12</v>
      </c>
      <c r="G67" s="169">
        <v>12</v>
      </c>
      <c r="H67" s="169">
        <v>12</v>
      </c>
      <c r="I67" s="169">
        <v>12</v>
      </c>
      <c r="J67" s="270">
        <v>12</v>
      </c>
      <c r="K67" s="270">
        <v>12</v>
      </c>
      <c r="L67" s="196">
        <f t="shared" si="19"/>
        <v>0</v>
      </c>
      <c r="M67" s="186">
        <f t="shared" si="187"/>
        <v>0</v>
      </c>
      <c r="N67" s="2172">
        <v>0</v>
      </c>
      <c r="O67" s="160">
        <f>'Table 6c'!G67</f>
        <v>0</v>
      </c>
      <c r="P67" s="149">
        <f t="shared" ref="P67:P70" si="219">R67-Q67</f>
        <v>0</v>
      </c>
      <c r="Q67" s="2172">
        <v>0</v>
      </c>
      <c r="R67" s="160">
        <f>E67*AI67/1000000</f>
        <v>0</v>
      </c>
      <c r="S67" s="149">
        <f t="shared" ref="S67:S70" si="220">U67-T67</f>
        <v>0</v>
      </c>
      <c r="T67" s="2172">
        <v>0</v>
      </c>
      <c r="U67" s="160">
        <f>F67*AI67/1000000</f>
        <v>0</v>
      </c>
      <c r="V67" s="149">
        <f t="shared" ref="V67:V70" si="221">X67-W67</f>
        <v>0</v>
      </c>
      <c r="W67" s="2172">
        <v>0</v>
      </c>
      <c r="X67" s="160">
        <f>G67*AI67/1000000</f>
        <v>0</v>
      </c>
      <c r="Y67" s="149">
        <f t="shared" ref="Y67:Y70" si="222">AA67-Z67</f>
        <v>0</v>
      </c>
      <c r="Z67" s="2172">
        <v>0</v>
      </c>
      <c r="AA67" s="160">
        <f>H67*AI67/1000000</f>
        <v>0</v>
      </c>
      <c r="AB67" s="149">
        <f t="shared" ref="AB67:AB70" si="223">AD67-AC67</f>
        <v>0</v>
      </c>
      <c r="AC67" s="2172">
        <v>0</v>
      </c>
      <c r="AD67" s="160">
        <f>I67*AI67/1000000</f>
        <v>0</v>
      </c>
      <c r="AE67" s="149">
        <f t="shared" ref="AE67:AE70" si="224">AG67-AF67</f>
        <v>0</v>
      </c>
      <c r="AF67" s="2172">
        <v>0</v>
      </c>
      <c r="AG67" s="160">
        <f>J67*AI67/1000000</f>
        <v>0</v>
      </c>
      <c r="AH67" s="2735" t="s">
        <v>16</v>
      </c>
      <c r="AI67" s="2736">
        <f>'Table 6c'!P67</f>
        <v>167</v>
      </c>
      <c r="AJ67" s="149">
        <f t="shared" ref="AJ67:AJ70" si="225">AL67-AK67</f>
        <v>0</v>
      </c>
      <c r="AK67" s="2172">
        <v>0</v>
      </c>
      <c r="AL67" s="160">
        <f>AG67*1.06</f>
        <v>0</v>
      </c>
      <c r="AN67" s="2170">
        <f t="shared" si="9"/>
        <v>0</v>
      </c>
      <c r="AO67" s="1625" t="e">
        <f>#REF!-O67</f>
        <v>#REF!</v>
      </c>
    </row>
    <row r="68" spans="1:41" s="22" customFormat="1">
      <c r="A68" s="3239"/>
      <c r="B68" s="2679" t="s">
        <v>437</v>
      </c>
      <c r="C68" s="2708">
        <v>218586</v>
      </c>
      <c r="D68" s="305">
        <f>'Table 6c'!L68</f>
        <v>42</v>
      </c>
      <c r="E68" s="864">
        <v>42</v>
      </c>
      <c r="F68" s="872">
        <v>42</v>
      </c>
      <c r="G68" s="872">
        <v>42</v>
      </c>
      <c r="H68" s="872">
        <v>42</v>
      </c>
      <c r="I68" s="872">
        <v>42</v>
      </c>
      <c r="J68" s="995">
        <v>42</v>
      </c>
      <c r="K68" s="995">
        <v>42</v>
      </c>
      <c r="L68" s="1861">
        <f t="shared" si="19"/>
        <v>0</v>
      </c>
      <c r="M68" s="870">
        <f t="shared" si="187"/>
        <v>0.01</v>
      </c>
      <c r="N68" s="1956">
        <v>0</v>
      </c>
      <c r="O68" s="367">
        <f>'Table 6c'!G68</f>
        <v>0.01</v>
      </c>
      <c r="P68" s="823">
        <f t="shared" si="219"/>
        <v>0.01</v>
      </c>
      <c r="Q68" s="1956">
        <v>0</v>
      </c>
      <c r="R68" s="367">
        <f>E68*AI68/1000000</f>
        <v>0.01</v>
      </c>
      <c r="S68" s="823">
        <f t="shared" si="220"/>
        <v>0.01</v>
      </c>
      <c r="T68" s="1956">
        <v>0</v>
      </c>
      <c r="U68" s="367">
        <f>F68*AI68/1000000</f>
        <v>0.01</v>
      </c>
      <c r="V68" s="823">
        <f t="shared" si="221"/>
        <v>0.01</v>
      </c>
      <c r="W68" s="1956">
        <v>0</v>
      </c>
      <c r="X68" s="367">
        <f>G68*AI68/1000000</f>
        <v>0.01</v>
      </c>
      <c r="Y68" s="823">
        <f t="shared" si="222"/>
        <v>0.01</v>
      </c>
      <c r="Z68" s="1956">
        <v>0</v>
      </c>
      <c r="AA68" s="367">
        <f>H68*AI68/1000000</f>
        <v>0.01</v>
      </c>
      <c r="AB68" s="823">
        <f t="shared" si="223"/>
        <v>0.01</v>
      </c>
      <c r="AC68" s="1956">
        <v>0</v>
      </c>
      <c r="AD68" s="367">
        <f>I68*AI68/1000000</f>
        <v>0.01</v>
      </c>
      <c r="AE68" s="823">
        <f t="shared" si="224"/>
        <v>0.01</v>
      </c>
      <c r="AF68" s="1956">
        <v>0</v>
      </c>
      <c r="AG68" s="367">
        <f>J68*AI68/1000000</f>
        <v>0.01</v>
      </c>
      <c r="AH68" s="2710">
        <f>(AG68-O68)/O68</f>
        <v>0</v>
      </c>
      <c r="AI68" s="2681">
        <f>'Table 6c'!P68</f>
        <v>190</v>
      </c>
      <c r="AJ68" s="823">
        <f t="shared" si="225"/>
        <v>0.01</v>
      </c>
      <c r="AK68" s="1956">
        <v>0</v>
      </c>
      <c r="AL68" s="367">
        <f>AG68*1.06</f>
        <v>0.01</v>
      </c>
      <c r="AN68" s="305">
        <f t="shared" si="9"/>
        <v>0</v>
      </c>
      <c r="AO68" s="1627" t="e">
        <f>#REF!-O68</f>
        <v>#REF!</v>
      </c>
    </row>
    <row r="69" spans="1:41" s="22" customFormat="1">
      <c r="A69" s="3239"/>
      <c r="B69" s="2679" t="s">
        <v>438</v>
      </c>
      <c r="C69" s="868">
        <v>221370</v>
      </c>
      <c r="D69" s="305">
        <f>'Table 6c'!L69</f>
        <v>18</v>
      </c>
      <c r="E69" s="72">
        <v>18</v>
      </c>
      <c r="F69" s="872">
        <v>18</v>
      </c>
      <c r="G69" s="872">
        <v>18</v>
      </c>
      <c r="H69" s="872">
        <v>18</v>
      </c>
      <c r="I69" s="872">
        <v>18</v>
      </c>
      <c r="J69" s="995">
        <v>18</v>
      </c>
      <c r="K69" s="995">
        <v>18</v>
      </c>
      <c r="L69" s="1861">
        <f t="shared" si="19"/>
        <v>0</v>
      </c>
      <c r="M69" s="870">
        <f t="shared" si="187"/>
        <v>0</v>
      </c>
      <c r="N69" s="1956">
        <v>0</v>
      </c>
      <c r="O69" s="367">
        <f>'Table 6c'!G69</f>
        <v>0</v>
      </c>
      <c r="P69" s="823">
        <f t="shared" si="219"/>
        <v>0</v>
      </c>
      <c r="Q69" s="1956">
        <v>0</v>
      </c>
      <c r="R69" s="367">
        <f>E69*AI69/1000000</f>
        <v>0</v>
      </c>
      <c r="S69" s="823">
        <f t="shared" si="220"/>
        <v>0</v>
      </c>
      <c r="T69" s="1956">
        <v>0</v>
      </c>
      <c r="U69" s="367">
        <f>F69*AI69/1000000</f>
        <v>0</v>
      </c>
      <c r="V69" s="823">
        <f t="shared" si="221"/>
        <v>0</v>
      </c>
      <c r="W69" s="1956">
        <v>0</v>
      </c>
      <c r="X69" s="367">
        <f>G69*AI69/1000000</f>
        <v>0</v>
      </c>
      <c r="Y69" s="823">
        <f t="shared" si="222"/>
        <v>0</v>
      </c>
      <c r="Z69" s="1956">
        <v>0</v>
      </c>
      <c r="AA69" s="367">
        <f>H69*AI69/1000000</f>
        <v>0</v>
      </c>
      <c r="AB69" s="823">
        <f t="shared" si="223"/>
        <v>0</v>
      </c>
      <c r="AC69" s="1956">
        <v>0</v>
      </c>
      <c r="AD69" s="367">
        <f>I69*AI69/1000000</f>
        <v>0</v>
      </c>
      <c r="AE69" s="823">
        <f t="shared" si="224"/>
        <v>0</v>
      </c>
      <c r="AF69" s="1956">
        <v>0</v>
      </c>
      <c r="AG69" s="367">
        <f>J69*AI69/1000000</f>
        <v>0</v>
      </c>
      <c r="AH69" s="2710" t="s">
        <v>16</v>
      </c>
      <c r="AI69" s="2681">
        <f>'Table 6c'!P69</f>
        <v>167</v>
      </c>
      <c r="AJ69" s="823">
        <f t="shared" si="225"/>
        <v>0</v>
      </c>
      <c r="AK69" s="1956">
        <v>0</v>
      </c>
      <c r="AL69" s="367">
        <f>AG69*1.06</f>
        <v>0</v>
      </c>
      <c r="AN69" s="305">
        <f t="shared" si="9"/>
        <v>0</v>
      </c>
      <c r="AO69" s="1627" t="e">
        <f>#REF!-O69</f>
        <v>#REF!</v>
      </c>
    </row>
    <row r="70" spans="1:41" s="22" customFormat="1">
      <c r="A70" s="3239"/>
      <c r="B70" s="2682" t="s">
        <v>439</v>
      </c>
      <c r="C70" s="1016">
        <v>221567</v>
      </c>
      <c r="D70" s="2036">
        <f>'Table 6c'!L70</f>
        <v>21</v>
      </c>
      <c r="E70" s="861">
        <v>21</v>
      </c>
      <c r="F70" s="368">
        <v>21</v>
      </c>
      <c r="G70" s="368">
        <v>21</v>
      </c>
      <c r="H70" s="368">
        <v>21</v>
      </c>
      <c r="I70" s="368">
        <v>21</v>
      </c>
      <c r="J70" s="1011">
        <v>21</v>
      </c>
      <c r="K70" s="1011">
        <v>21</v>
      </c>
      <c r="L70" s="197">
        <f t="shared" si="19"/>
        <v>0</v>
      </c>
      <c r="M70" s="1006">
        <f t="shared" si="187"/>
        <v>0</v>
      </c>
      <c r="N70" s="2038">
        <v>0</v>
      </c>
      <c r="O70" s="49">
        <f>'Table 6c'!G70</f>
        <v>0</v>
      </c>
      <c r="P70" s="48">
        <f t="shared" si="219"/>
        <v>0</v>
      </c>
      <c r="Q70" s="2038">
        <v>0</v>
      </c>
      <c r="R70" s="49">
        <f>E70*AI70/1000000</f>
        <v>0</v>
      </c>
      <c r="S70" s="48">
        <f t="shared" si="220"/>
        <v>0</v>
      </c>
      <c r="T70" s="2038">
        <v>0</v>
      </c>
      <c r="U70" s="49">
        <f>F70*AI70/1000000</f>
        <v>0</v>
      </c>
      <c r="V70" s="48">
        <f t="shared" si="221"/>
        <v>0</v>
      </c>
      <c r="W70" s="2038">
        <v>0</v>
      </c>
      <c r="X70" s="49">
        <f>G70*AI70/1000000</f>
        <v>0</v>
      </c>
      <c r="Y70" s="48">
        <f t="shared" si="222"/>
        <v>0</v>
      </c>
      <c r="Z70" s="2038">
        <v>0</v>
      </c>
      <c r="AA70" s="49">
        <f>H70*AI70/1000000</f>
        <v>0</v>
      </c>
      <c r="AB70" s="48">
        <f t="shared" si="223"/>
        <v>0</v>
      </c>
      <c r="AC70" s="2038">
        <v>0</v>
      </c>
      <c r="AD70" s="49">
        <f>I70*AI70/1000000</f>
        <v>0</v>
      </c>
      <c r="AE70" s="48">
        <f t="shared" si="224"/>
        <v>0</v>
      </c>
      <c r="AF70" s="2038">
        <v>0</v>
      </c>
      <c r="AG70" s="49">
        <f>J70*AI70/1000000</f>
        <v>0</v>
      </c>
      <c r="AH70" s="2731" t="s">
        <v>16</v>
      </c>
      <c r="AI70" s="2683">
        <f>'Table 6c'!P70</f>
        <v>143</v>
      </c>
      <c r="AJ70" s="48">
        <f t="shared" si="225"/>
        <v>0</v>
      </c>
      <c r="AK70" s="2038">
        <v>0</v>
      </c>
      <c r="AL70" s="49">
        <f>AG70*1.06</f>
        <v>0</v>
      </c>
      <c r="AN70" s="2036">
        <f t="shared" si="9"/>
        <v>0</v>
      </c>
      <c r="AO70" s="1623" t="e">
        <f>#REF!-O70</f>
        <v>#REF!</v>
      </c>
    </row>
    <row r="71" spans="1:41" s="22" customFormat="1">
      <c r="A71" s="3240"/>
      <c r="B71" s="3359" t="s">
        <v>221</v>
      </c>
      <c r="C71" s="3360"/>
      <c r="D71" s="1983">
        <f>SUM(D67:D70)</f>
        <v>93</v>
      </c>
      <c r="E71" s="857">
        <f t="shared" ref="E71:K71" si="226">SUM(E67:E70)</f>
        <v>93</v>
      </c>
      <c r="F71" s="251">
        <f t="shared" si="226"/>
        <v>93</v>
      </c>
      <c r="G71" s="251">
        <f t="shared" si="226"/>
        <v>93</v>
      </c>
      <c r="H71" s="251">
        <f t="shared" si="226"/>
        <v>93</v>
      </c>
      <c r="I71" s="251">
        <f t="shared" si="226"/>
        <v>93</v>
      </c>
      <c r="J71" s="97">
        <f t="shared" si="226"/>
        <v>93</v>
      </c>
      <c r="K71" s="97">
        <f t="shared" si="226"/>
        <v>93</v>
      </c>
      <c r="L71" s="202">
        <f t="shared" si="19"/>
        <v>0</v>
      </c>
      <c r="M71" s="35">
        <f>SUM(M67:M70)</f>
        <v>0.01</v>
      </c>
      <c r="N71" s="1984">
        <f t="shared" ref="N71:AG71" si="227">SUM(N67:N70)</f>
        <v>0</v>
      </c>
      <c r="O71" s="105">
        <f t="shared" si="227"/>
        <v>0.01</v>
      </c>
      <c r="P71" s="34">
        <f t="shared" si="227"/>
        <v>0.01</v>
      </c>
      <c r="Q71" s="1984">
        <f t="shared" si="227"/>
        <v>0</v>
      </c>
      <c r="R71" s="105">
        <f t="shared" si="227"/>
        <v>0.01</v>
      </c>
      <c r="S71" s="34">
        <f t="shared" si="227"/>
        <v>0.01</v>
      </c>
      <c r="T71" s="1984">
        <f t="shared" si="227"/>
        <v>0</v>
      </c>
      <c r="U71" s="105">
        <f t="shared" si="227"/>
        <v>0.01</v>
      </c>
      <c r="V71" s="34">
        <f t="shared" si="227"/>
        <v>0.01</v>
      </c>
      <c r="W71" s="1984">
        <f t="shared" si="227"/>
        <v>0</v>
      </c>
      <c r="X71" s="105">
        <f t="shared" si="227"/>
        <v>0.01</v>
      </c>
      <c r="Y71" s="34">
        <f t="shared" si="227"/>
        <v>0.01</v>
      </c>
      <c r="Z71" s="1984">
        <f t="shared" si="227"/>
        <v>0</v>
      </c>
      <c r="AA71" s="105">
        <f t="shared" si="227"/>
        <v>0.01</v>
      </c>
      <c r="AB71" s="34">
        <f t="shared" si="227"/>
        <v>0.01</v>
      </c>
      <c r="AC71" s="1984">
        <f t="shared" si="227"/>
        <v>0</v>
      </c>
      <c r="AD71" s="105">
        <f t="shared" si="227"/>
        <v>0.01</v>
      </c>
      <c r="AE71" s="34">
        <f t="shared" si="227"/>
        <v>0.01</v>
      </c>
      <c r="AF71" s="1984">
        <f t="shared" si="227"/>
        <v>0</v>
      </c>
      <c r="AG71" s="105">
        <f t="shared" si="227"/>
        <v>0.01</v>
      </c>
      <c r="AH71" s="2590">
        <f>(AG71-O71)/O71</f>
        <v>0</v>
      </c>
      <c r="AI71" s="2723" t="s">
        <v>16</v>
      </c>
      <c r="AJ71" s="34">
        <f t="shared" ref="AJ71" si="228">SUM(AJ67:AJ70)</f>
        <v>0.01</v>
      </c>
      <c r="AK71" s="1984">
        <f t="shared" ref="AK71" si="229">SUM(AK67:AK70)</f>
        <v>0</v>
      </c>
      <c r="AL71" s="105">
        <f t="shared" ref="AL71" si="230">SUM(AL67:AL70)</f>
        <v>0.01</v>
      </c>
      <c r="AN71" s="1983">
        <f t="shared" si="9"/>
        <v>0</v>
      </c>
      <c r="AO71" s="1624" t="e">
        <f>#REF!-O71</f>
        <v>#REF!</v>
      </c>
    </row>
    <row r="72" spans="1:41" s="22" customFormat="1">
      <c r="A72" s="3320" t="s">
        <v>32</v>
      </c>
      <c r="B72" s="3393"/>
      <c r="C72" s="3394"/>
      <c r="D72" s="2181">
        <f t="shared" ref="D72:K72" si="231">D61+D56+D44+D37+D16</f>
        <v>6516</v>
      </c>
      <c r="E72" s="856">
        <f t="shared" si="231"/>
        <v>6681</v>
      </c>
      <c r="F72" s="172">
        <f t="shared" si="231"/>
        <v>7386</v>
      </c>
      <c r="G72" s="172">
        <f t="shared" si="231"/>
        <v>7451</v>
      </c>
      <c r="H72" s="172">
        <f t="shared" si="231"/>
        <v>7589</v>
      </c>
      <c r="I72" s="172">
        <f t="shared" si="231"/>
        <v>7615</v>
      </c>
      <c r="J72" s="290">
        <f t="shared" si="231"/>
        <v>8030</v>
      </c>
      <c r="K72" s="290">
        <f t="shared" si="231"/>
        <v>18879</v>
      </c>
      <c r="L72" s="2737">
        <f t="shared" si="19"/>
        <v>0.23</v>
      </c>
      <c r="M72" s="140">
        <f t="shared" ref="M72:AG72" si="232">M61+M56+M44+M37+M16</f>
        <v>0.48</v>
      </c>
      <c r="N72" s="2183">
        <f t="shared" si="232"/>
        <v>0</v>
      </c>
      <c r="O72" s="111">
        <f t="shared" si="232"/>
        <v>0.48</v>
      </c>
      <c r="P72" s="2738">
        <f t="shared" si="232"/>
        <v>0.55000000000000004</v>
      </c>
      <c r="Q72" s="2739">
        <f t="shared" si="232"/>
        <v>0</v>
      </c>
      <c r="R72" s="2221">
        <f t="shared" si="232"/>
        <v>0.55000000000000004</v>
      </c>
      <c r="S72" s="2740">
        <f t="shared" si="232"/>
        <v>0.59</v>
      </c>
      <c r="T72" s="2741">
        <f t="shared" si="232"/>
        <v>0</v>
      </c>
      <c r="U72" s="103">
        <f t="shared" si="232"/>
        <v>0.59</v>
      </c>
      <c r="V72" s="2738">
        <f t="shared" si="232"/>
        <v>0.59</v>
      </c>
      <c r="W72" s="2739">
        <f t="shared" si="232"/>
        <v>0</v>
      </c>
      <c r="X72" s="2221">
        <f t="shared" si="232"/>
        <v>0.59</v>
      </c>
      <c r="Y72" s="140">
        <f t="shared" si="232"/>
        <v>0.61</v>
      </c>
      <c r="Z72" s="2183">
        <f t="shared" si="232"/>
        <v>0</v>
      </c>
      <c r="AA72" s="56">
        <f t="shared" si="232"/>
        <v>0.61</v>
      </c>
      <c r="AB72" s="139">
        <f t="shared" si="232"/>
        <v>0.61</v>
      </c>
      <c r="AC72" s="2183">
        <f t="shared" si="232"/>
        <v>0</v>
      </c>
      <c r="AD72" s="56">
        <f t="shared" si="232"/>
        <v>0.61</v>
      </c>
      <c r="AE72" s="139">
        <f t="shared" si="232"/>
        <v>0.62</v>
      </c>
      <c r="AF72" s="2183">
        <f t="shared" si="232"/>
        <v>0</v>
      </c>
      <c r="AG72" s="56">
        <f t="shared" si="232"/>
        <v>0.62</v>
      </c>
      <c r="AH72" s="242">
        <f>(AG72-O72)/O72</f>
        <v>0.28999999999999998</v>
      </c>
      <c r="AI72" s="2734" t="s">
        <v>16</v>
      </c>
      <c r="AJ72" s="139">
        <f>AJ61+AJ56+AJ44+AJ37+AJ16</f>
        <v>0.65</v>
      </c>
      <c r="AK72" s="2183">
        <f>AK61+AK56+AK44+AK37+AK16</f>
        <v>0</v>
      </c>
      <c r="AL72" s="56">
        <f>AL61+AL56+AL44+AL37+AL16</f>
        <v>0.65</v>
      </c>
      <c r="AN72" s="2181">
        <f t="shared" si="9"/>
        <v>1514</v>
      </c>
      <c r="AO72" s="1629" t="e">
        <f>#REF!-O72</f>
        <v>#REF!</v>
      </c>
    </row>
    <row r="73" spans="1:41" s="22" customFormat="1">
      <c r="A73" s="3221" t="s">
        <v>33</v>
      </c>
      <c r="B73" s="3222"/>
      <c r="C73" s="3222"/>
      <c r="D73" s="2588">
        <f t="shared" ref="D73:K73" si="233">D8+D12+D35+D41+D66+D71</f>
        <v>4325</v>
      </c>
      <c r="E73" s="189">
        <f t="shared" si="233"/>
        <v>4372</v>
      </c>
      <c r="F73" s="190">
        <f t="shared" si="233"/>
        <v>4372</v>
      </c>
      <c r="G73" s="190">
        <f t="shared" si="233"/>
        <v>4372</v>
      </c>
      <c r="H73" s="190">
        <f t="shared" si="233"/>
        <v>4372</v>
      </c>
      <c r="I73" s="190">
        <f t="shared" si="233"/>
        <v>4421</v>
      </c>
      <c r="J73" s="709">
        <f t="shared" si="233"/>
        <v>4545</v>
      </c>
      <c r="K73" s="997">
        <f t="shared" si="233"/>
        <v>6521</v>
      </c>
      <c r="L73" s="2742">
        <f t="shared" si="19"/>
        <v>0.05</v>
      </c>
      <c r="M73" s="192">
        <f t="shared" ref="M73:AG73" si="234">M8+M12+M35+M41+M66+M71</f>
        <v>0.48</v>
      </c>
      <c r="N73" s="187">
        <f t="shared" si="234"/>
        <v>0</v>
      </c>
      <c r="O73" s="2743">
        <f t="shared" si="234"/>
        <v>0.48</v>
      </c>
      <c r="P73" s="192">
        <f t="shared" si="234"/>
        <v>0.46</v>
      </c>
      <c r="Q73" s="2744">
        <f t="shared" si="234"/>
        <v>0</v>
      </c>
      <c r="R73" s="2745">
        <f t="shared" si="234"/>
        <v>0.46</v>
      </c>
      <c r="S73" s="2587">
        <f t="shared" si="234"/>
        <v>0.46</v>
      </c>
      <c r="T73" s="187">
        <f t="shared" si="234"/>
        <v>0</v>
      </c>
      <c r="U73" s="2743">
        <f t="shared" si="234"/>
        <v>0.46</v>
      </c>
      <c r="V73" s="192">
        <f t="shared" si="234"/>
        <v>0.46</v>
      </c>
      <c r="W73" s="2744">
        <f t="shared" si="234"/>
        <v>0</v>
      </c>
      <c r="X73" s="2745">
        <f t="shared" si="234"/>
        <v>0.46</v>
      </c>
      <c r="Y73" s="192">
        <f t="shared" si="234"/>
        <v>0.46</v>
      </c>
      <c r="Z73" s="187">
        <f t="shared" si="234"/>
        <v>0</v>
      </c>
      <c r="AA73" s="2743">
        <f t="shared" si="234"/>
        <v>0.46</v>
      </c>
      <c r="AB73" s="192">
        <f t="shared" si="234"/>
        <v>0.47</v>
      </c>
      <c r="AC73" s="2744">
        <f t="shared" si="234"/>
        <v>0</v>
      </c>
      <c r="AD73" s="2745">
        <f t="shared" si="234"/>
        <v>0.47</v>
      </c>
      <c r="AE73" s="192">
        <f t="shared" si="234"/>
        <v>0.49</v>
      </c>
      <c r="AF73" s="2744">
        <f t="shared" si="234"/>
        <v>0</v>
      </c>
      <c r="AG73" s="2745">
        <f t="shared" si="234"/>
        <v>0.49</v>
      </c>
      <c r="AH73" s="2746">
        <f>(AG73-O73)/O73</f>
        <v>0.02</v>
      </c>
      <c r="AI73" s="2747" t="s">
        <v>16</v>
      </c>
      <c r="AJ73" s="2587">
        <f>AJ8+AJ12+AJ35+AJ41+AJ66+AJ71</f>
        <v>0.41</v>
      </c>
      <c r="AK73" s="187">
        <f>AK8+AK12+AK35+AK41+AK66+AK71</f>
        <v>0</v>
      </c>
      <c r="AL73" s="191">
        <f>AL8+AL12+AL35+AL41+AL66+AL71</f>
        <v>0.41</v>
      </c>
      <c r="AM73" s="22" t="s">
        <v>36</v>
      </c>
      <c r="AN73" s="2588">
        <f t="shared" si="9"/>
        <v>220</v>
      </c>
      <c r="AO73" s="1630" t="e">
        <f>#REF!-O73</f>
        <v>#REF!</v>
      </c>
    </row>
    <row r="74" spans="1:41" s="22" customFormat="1">
      <c r="A74" s="3221" t="s">
        <v>34</v>
      </c>
      <c r="B74" s="3222"/>
      <c r="C74" s="3222"/>
      <c r="D74" s="1983">
        <f>D72+D73</f>
        <v>10841</v>
      </c>
      <c r="E74" s="857">
        <f t="shared" ref="E74:K74" si="235">E72+E73</f>
        <v>11053</v>
      </c>
      <c r="F74" s="251">
        <f t="shared" si="235"/>
        <v>11758</v>
      </c>
      <c r="G74" s="251">
        <f t="shared" si="235"/>
        <v>11823</v>
      </c>
      <c r="H74" s="251">
        <f t="shared" si="235"/>
        <v>11961</v>
      </c>
      <c r="I74" s="251">
        <f t="shared" si="235"/>
        <v>12036</v>
      </c>
      <c r="J74" s="97">
        <f t="shared" ref="J74" si="236">J72+J73</f>
        <v>12575</v>
      </c>
      <c r="K74" s="254">
        <f t="shared" si="235"/>
        <v>25400</v>
      </c>
      <c r="L74" s="202">
        <f t="shared" si="19"/>
        <v>0.16</v>
      </c>
      <c r="M74" s="774">
        <f t="shared" ref="M74:AD74" si="237">M72+M73</f>
        <v>0.96</v>
      </c>
      <c r="N74" s="108">
        <f t="shared" si="237"/>
        <v>0</v>
      </c>
      <c r="O74" s="303">
        <f t="shared" si="237"/>
        <v>0.96</v>
      </c>
      <c r="P74" s="34">
        <f t="shared" si="237"/>
        <v>1.01</v>
      </c>
      <c r="Q74" s="1984">
        <f t="shared" si="237"/>
        <v>0</v>
      </c>
      <c r="R74" s="105">
        <f t="shared" si="237"/>
        <v>1.01</v>
      </c>
      <c r="S74" s="35">
        <f t="shared" si="237"/>
        <v>1.05</v>
      </c>
      <c r="T74" s="108">
        <f t="shared" si="237"/>
        <v>0</v>
      </c>
      <c r="U74" s="303">
        <f t="shared" si="237"/>
        <v>1.05</v>
      </c>
      <c r="V74" s="34">
        <f t="shared" si="237"/>
        <v>1.05</v>
      </c>
      <c r="W74" s="1984">
        <f t="shared" si="237"/>
        <v>0</v>
      </c>
      <c r="X74" s="105">
        <f t="shared" si="237"/>
        <v>1.05</v>
      </c>
      <c r="Y74" s="35">
        <f t="shared" si="237"/>
        <v>1.07</v>
      </c>
      <c r="Z74" s="108">
        <f t="shared" si="237"/>
        <v>0</v>
      </c>
      <c r="AA74" s="303">
        <f t="shared" si="237"/>
        <v>1.07</v>
      </c>
      <c r="AB74" s="34">
        <f t="shared" si="237"/>
        <v>1.08</v>
      </c>
      <c r="AC74" s="1984">
        <f t="shared" si="237"/>
        <v>0</v>
      </c>
      <c r="AD74" s="105">
        <f t="shared" si="237"/>
        <v>1.08</v>
      </c>
      <c r="AE74" s="34">
        <f t="shared" ref="AE74" si="238">AE72+AE73</f>
        <v>1.1100000000000001</v>
      </c>
      <c r="AF74" s="1984">
        <f t="shared" ref="AF74:AG74" si="239">AF72+AF73</f>
        <v>0</v>
      </c>
      <c r="AG74" s="105">
        <f t="shared" si="239"/>
        <v>1.1100000000000001</v>
      </c>
      <c r="AH74" s="2596">
        <f>(AG74-O74)/O74</f>
        <v>0.16</v>
      </c>
      <c r="AI74" s="2557" t="s">
        <v>16</v>
      </c>
      <c r="AJ74" s="35">
        <f t="shared" ref="AJ74:AL74" si="240">AJ72+AJ73</f>
        <v>1.06</v>
      </c>
      <c r="AK74" s="108">
        <f t="shared" si="240"/>
        <v>0</v>
      </c>
      <c r="AL74" s="21">
        <f t="shared" si="240"/>
        <v>1.06</v>
      </c>
      <c r="AN74" s="1983">
        <f t="shared" si="9"/>
        <v>1734</v>
      </c>
      <c r="AO74" s="1624" t="e">
        <f>#REF!-O74</f>
        <v>#REF!</v>
      </c>
    </row>
    <row r="75" spans="1:41">
      <c r="A75" s="89" t="s">
        <v>35</v>
      </c>
      <c r="B75" s="54"/>
      <c r="C75" s="54"/>
      <c r="M75" s="1"/>
      <c r="P75" s="1"/>
      <c r="S75" s="1"/>
      <c r="V75" s="1"/>
      <c r="Y75" s="1"/>
      <c r="AB75" s="1"/>
      <c r="AC75" s="1"/>
      <c r="AD75" s="1"/>
      <c r="AE75" s="1"/>
      <c r="AF75" s="1"/>
      <c r="AG75" s="1"/>
      <c r="AJ75" s="1"/>
    </row>
    <row r="76" spans="1:41">
      <c r="A76" s="1" t="s">
        <v>68</v>
      </c>
      <c r="B76" s="54"/>
      <c r="C76" s="54"/>
      <c r="M76" s="1"/>
      <c r="P76" s="1"/>
      <c r="S76" s="1"/>
      <c r="V76" s="1"/>
      <c r="Y76" s="1"/>
      <c r="AB76" s="1"/>
      <c r="AC76" s="1"/>
      <c r="AD76" s="1"/>
      <c r="AE76" s="1"/>
      <c r="AF76" s="1"/>
      <c r="AG76" s="1"/>
      <c r="AJ76" s="1"/>
    </row>
    <row r="77" spans="1:41">
      <c r="A77" s="1" t="s">
        <v>69</v>
      </c>
      <c r="B77" s="54"/>
      <c r="C77" s="54"/>
      <c r="H77" s="1" t="s">
        <v>36</v>
      </c>
      <c r="K77" s="1" t="s">
        <v>36</v>
      </c>
      <c r="M77" s="1"/>
      <c r="P77" s="1"/>
      <c r="S77" s="1"/>
      <c r="V77" s="1"/>
      <c r="Y77" s="1"/>
      <c r="AB77" s="1"/>
      <c r="AC77" s="1"/>
      <c r="AD77" s="1"/>
      <c r="AE77" s="1"/>
      <c r="AF77" s="1"/>
      <c r="AG77" s="1"/>
      <c r="AJ77" s="1"/>
    </row>
    <row r="78" spans="1:41">
      <c r="A78" s="1" t="s">
        <v>378</v>
      </c>
      <c r="M78" s="1"/>
      <c r="P78" s="1"/>
      <c r="S78" s="1"/>
      <c r="V78" s="1"/>
      <c r="Y78" s="1"/>
      <c r="AB78" s="1"/>
      <c r="AC78" s="1"/>
      <c r="AD78" s="1"/>
      <c r="AE78" s="1"/>
      <c r="AF78" s="1"/>
      <c r="AG78" s="1"/>
      <c r="AJ78" s="3025"/>
    </row>
    <row r="79" spans="1:41">
      <c r="A79" s="1" t="s">
        <v>40</v>
      </c>
      <c r="M79" s="1"/>
      <c r="P79" s="1"/>
      <c r="S79" s="1"/>
      <c r="V79" s="1"/>
      <c r="Y79" s="1"/>
      <c r="AB79" s="1"/>
      <c r="AC79" s="1"/>
      <c r="AD79" s="1"/>
      <c r="AE79" s="1"/>
      <c r="AF79" s="1" t="s">
        <v>36</v>
      </c>
      <c r="AG79" s="1"/>
      <c r="AJ79" s="1"/>
    </row>
    <row r="80" spans="1:41">
      <c r="A80" s="1" t="s">
        <v>267</v>
      </c>
      <c r="M80" s="1"/>
      <c r="P80" s="1"/>
      <c r="S80" s="1"/>
      <c r="V80" s="1"/>
      <c r="Y80" s="1"/>
      <c r="AB80" s="1"/>
      <c r="AC80" s="1"/>
      <c r="AD80" s="1"/>
      <c r="AE80" s="1"/>
      <c r="AF80" s="1"/>
      <c r="AG80" s="1"/>
      <c r="AJ80" s="1"/>
    </row>
    <row r="81" spans="1:41">
      <c r="A81" s="1" t="s">
        <v>268</v>
      </c>
      <c r="M81" s="1"/>
      <c r="P81" s="1"/>
      <c r="S81" s="1"/>
      <c r="V81" s="1"/>
      <c r="Y81" s="1"/>
      <c r="AB81" s="1"/>
      <c r="AC81" s="1"/>
      <c r="AD81" s="1"/>
      <c r="AE81" s="1"/>
      <c r="AF81" s="1"/>
      <c r="AG81" s="1"/>
      <c r="AJ81" s="1"/>
    </row>
    <row r="82" spans="1:41">
      <c r="M82" s="1"/>
      <c r="O82" s="22"/>
      <c r="P82" s="1"/>
      <c r="R82" s="22"/>
      <c r="S82" s="1"/>
      <c r="U82" s="22"/>
      <c r="V82" s="1"/>
      <c r="X82" s="22"/>
      <c r="Y82" s="1"/>
      <c r="AA82" s="22"/>
      <c r="AB82" s="1"/>
      <c r="AC82" s="1"/>
      <c r="AD82" s="22"/>
      <c r="AE82" s="22"/>
      <c r="AF82" s="22"/>
      <c r="AG82" s="22"/>
      <c r="AH82" s="22"/>
      <c r="AI82" s="2748"/>
      <c r="AJ82" s="1"/>
      <c r="AL82" s="22"/>
      <c r="AM82" s="22"/>
    </row>
    <row r="83" spans="1:41">
      <c r="A83" s="2608" t="s">
        <v>440</v>
      </c>
    </row>
    <row r="84" spans="1:41">
      <c r="A84" s="3297" t="s">
        <v>85</v>
      </c>
      <c r="B84" s="3366" t="s">
        <v>86</v>
      </c>
      <c r="C84" s="3390" t="s">
        <v>87</v>
      </c>
      <c r="D84" s="3300" t="s">
        <v>76</v>
      </c>
      <c r="E84" s="3365" t="s">
        <v>88</v>
      </c>
      <c r="F84" s="3366"/>
      <c r="G84" s="3366"/>
      <c r="H84" s="3366"/>
      <c r="I84" s="3366"/>
      <c r="J84" s="3318"/>
      <c r="K84" s="3267" t="s">
        <v>89</v>
      </c>
      <c r="L84" s="3300" t="s">
        <v>57</v>
      </c>
      <c r="M84" s="3286" t="s">
        <v>55</v>
      </c>
      <c r="N84" s="3287"/>
      <c r="O84" s="3288"/>
      <c r="P84" s="3286" t="s">
        <v>56</v>
      </c>
      <c r="Q84" s="3287"/>
      <c r="R84" s="3287"/>
      <c r="S84" s="3287"/>
      <c r="T84" s="3287"/>
      <c r="U84" s="3287"/>
      <c r="V84" s="3287"/>
      <c r="W84" s="3287"/>
      <c r="X84" s="3287"/>
      <c r="Y84" s="3287"/>
      <c r="Z84" s="3287"/>
      <c r="AA84" s="3287"/>
      <c r="AB84" s="3287"/>
      <c r="AC84" s="3287"/>
      <c r="AD84" s="3287"/>
      <c r="AE84" s="3287"/>
      <c r="AF84" s="3287"/>
      <c r="AG84" s="3287"/>
      <c r="AH84" s="3300" t="s">
        <v>57</v>
      </c>
      <c r="AI84" s="3300" t="s">
        <v>376</v>
      </c>
      <c r="AJ84" s="3262" t="s">
        <v>58</v>
      </c>
      <c r="AK84" s="3262"/>
      <c r="AL84" s="3263"/>
      <c r="AN84" s="3300" t="s">
        <v>78</v>
      </c>
      <c r="AO84" s="3300" t="s">
        <v>80</v>
      </c>
    </row>
    <row r="85" spans="1:41" ht="13.5" customHeight="1">
      <c r="A85" s="3298"/>
      <c r="B85" s="3389"/>
      <c r="C85" s="3391"/>
      <c r="D85" s="3302"/>
      <c r="E85" s="3367"/>
      <c r="F85" s="3368"/>
      <c r="G85" s="3368"/>
      <c r="H85" s="3368"/>
      <c r="I85" s="3368"/>
      <c r="J85" s="3374"/>
      <c r="K85" s="3378"/>
      <c r="L85" s="3301"/>
      <c r="M85" s="3281">
        <v>2015</v>
      </c>
      <c r="N85" s="3281"/>
      <c r="O85" s="3282"/>
      <c r="P85" s="3305">
        <v>2020</v>
      </c>
      <c r="Q85" s="3281"/>
      <c r="R85" s="3282"/>
      <c r="S85" s="3305">
        <v>2025</v>
      </c>
      <c r="T85" s="3281"/>
      <c r="U85" s="3282"/>
      <c r="V85" s="3305">
        <v>2030</v>
      </c>
      <c r="W85" s="3281"/>
      <c r="X85" s="3282"/>
      <c r="Y85" s="3305">
        <v>2035</v>
      </c>
      <c r="Z85" s="3281"/>
      <c r="AA85" s="3282"/>
      <c r="AB85" s="3305">
        <v>2040</v>
      </c>
      <c r="AC85" s="3281"/>
      <c r="AD85" s="3282"/>
      <c r="AE85" s="3305">
        <v>2045</v>
      </c>
      <c r="AF85" s="3281"/>
      <c r="AG85" s="3282"/>
      <c r="AH85" s="3301"/>
      <c r="AI85" s="3301"/>
      <c r="AJ85" s="3305">
        <v>2045</v>
      </c>
      <c r="AK85" s="3281"/>
      <c r="AL85" s="3282"/>
      <c r="AN85" s="3301"/>
      <c r="AO85" s="3301"/>
    </row>
    <row r="86" spans="1:41" ht="13.5" thickBot="1">
      <c r="A86" s="3299"/>
      <c r="B86" s="3368"/>
      <c r="C86" s="3392"/>
      <c r="D86" s="235">
        <v>2015</v>
      </c>
      <c r="E86" s="1945">
        <v>2020</v>
      </c>
      <c r="F86" s="1682">
        <v>2025</v>
      </c>
      <c r="G86" s="1682">
        <v>2030</v>
      </c>
      <c r="H86" s="1682">
        <v>2035</v>
      </c>
      <c r="I86" s="994">
        <v>2040</v>
      </c>
      <c r="J86" s="3043">
        <v>2045</v>
      </c>
      <c r="K86" s="3377"/>
      <c r="L86" s="3302"/>
      <c r="M86" s="1127" t="s">
        <v>92</v>
      </c>
      <c r="N86" s="1128" t="s">
        <v>93</v>
      </c>
      <c r="O86" s="1681" t="s">
        <v>18</v>
      </c>
      <c r="P86" s="1130" t="s">
        <v>92</v>
      </c>
      <c r="Q86" s="1128" t="s">
        <v>93</v>
      </c>
      <c r="R86" s="1681" t="s">
        <v>18</v>
      </c>
      <c r="S86" s="1130" t="s">
        <v>92</v>
      </c>
      <c r="T86" s="1128" t="s">
        <v>93</v>
      </c>
      <c r="U86" s="1681" t="s">
        <v>18</v>
      </c>
      <c r="V86" s="1130" t="s">
        <v>92</v>
      </c>
      <c r="W86" s="1128" t="s">
        <v>93</v>
      </c>
      <c r="X86" s="1681" t="s">
        <v>18</v>
      </c>
      <c r="Y86" s="1130" t="s">
        <v>92</v>
      </c>
      <c r="Z86" s="1128" t="s">
        <v>93</v>
      </c>
      <c r="AA86" s="1681" t="s">
        <v>18</v>
      </c>
      <c r="AB86" s="1130" t="s">
        <v>92</v>
      </c>
      <c r="AC86" s="1128" t="s">
        <v>93</v>
      </c>
      <c r="AD86" s="1681" t="s">
        <v>18</v>
      </c>
      <c r="AE86" s="1130" t="s">
        <v>92</v>
      </c>
      <c r="AF86" s="1128" t="s">
        <v>93</v>
      </c>
      <c r="AG86" s="1681" t="s">
        <v>18</v>
      </c>
      <c r="AH86" s="3302"/>
      <c r="AI86" s="3302"/>
      <c r="AJ86" s="1130" t="s">
        <v>92</v>
      </c>
      <c r="AK86" s="1128" t="s">
        <v>93</v>
      </c>
      <c r="AL86" s="1681" t="s">
        <v>18</v>
      </c>
      <c r="AN86" s="3302"/>
      <c r="AO86" s="3302"/>
    </row>
    <row r="87" spans="1:41" s="22" customFormat="1" ht="12.75" customHeight="1">
      <c r="A87" s="3300" t="s">
        <v>230</v>
      </c>
      <c r="B87" s="2749" t="s">
        <v>441</v>
      </c>
      <c r="C87" s="753">
        <v>218620</v>
      </c>
      <c r="D87" s="2257">
        <f>'Table 6c'!L83</f>
        <v>42</v>
      </c>
      <c r="E87" s="168">
        <v>42</v>
      </c>
      <c r="F87" s="249">
        <v>42</v>
      </c>
      <c r="G87" s="249">
        <v>42</v>
      </c>
      <c r="H87" s="249">
        <v>42</v>
      </c>
      <c r="I87" s="249">
        <v>42</v>
      </c>
      <c r="J87" s="291">
        <v>42</v>
      </c>
      <c r="K87" s="291">
        <v>42</v>
      </c>
      <c r="L87" s="229">
        <f t="shared" ref="L87:L107" si="241">(J87-D87)/D87</f>
        <v>0</v>
      </c>
      <c r="M87" s="246">
        <f t="shared" ref="M87:M90" si="242">O87-N87</f>
        <v>0.01</v>
      </c>
      <c r="N87" s="2300">
        <v>0</v>
      </c>
      <c r="O87" s="2750">
        <f>'Table 6c'!G83</f>
        <v>0.01</v>
      </c>
      <c r="P87" s="47">
        <f t="shared" ref="P87:P90" si="243">R87-Q87</f>
        <v>0.01</v>
      </c>
      <c r="Q87" s="2300">
        <v>0</v>
      </c>
      <c r="R87" s="141">
        <f>E87*AI87/1000000</f>
        <v>0.01</v>
      </c>
      <c r="S87" s="47">
        <f t="shared" ref="S87:S90" si="244">U87-T87</f>
        <v>0.01</v>
      </c>
      <c r="T87" s="2300">
        <v>0</v>
      </c>
      <c r="U87" s="141">
        <f>F87*AI87/1000000</f>
        <v>0.01</v>
      </c>
      <c r="V87" s="47">
        <f t="shared" ref="V87:V90" si="245">X87-W87</f>
        <v>0.01</v>
      </c>
      <c r="W87" s="2300">
        <v>0</v>
      </c>
      <c r="X87" s="141">
        <f>G87*AI87/1000000</f>
        <v>0.01</v>
      </c>
      <c r="Y87" s="47">
        <f t="shared" ref="Y87:Y90" si="246">AA87-Z87</f>
        <v>0.01</v>
      </c>
      <c r="Z87" s="2300">
        <v>0</v>
      </c>
      <c r="AA87" s="141">
        <f>H87*AI87/1000000</f>
        <v>0.01</v>
      </c>
      <c r="AB87" s="47">
        <f t="shared" ref="AB87:AB90" si="247">AD87-AC87</f>
        <v>0.01</v>
      </c>
      <c r="AC87" s="2300">
        <v>0</v>
      </c>
      <c r="AD87" s="141">
        <f>I87*AI87/1000000</f>
        <v>0.01</v>
      </c>
      <c r="AE87" s="47">
        <f t="shared" ref="AE87:AE90" si="248">AG87-AF87</f>
        <v>0.01</v>
      </c>
      <c r="AF87" s="2300">
        <v>0</v>
      </c>
      <c r="AG87" s="141">
        <f>J87*AI87/1000000</f>
        <v>0.01</v>
      </c>
      <c r="AH87" s="229">
        <f t="shared" ref="AH87:AH101" si="249">(AG87-O87)/O87</f>
        <v>0</v>
      </c>
      <c r="AI87" s="2565">
        <f>'Table 6c'!P83</f>
        <v>190</v>
      </c>
      <c r="AJ87" s="47">
        <f t="shared" ref="AJ87:AJ90" si="250">AL87-AK87</f>
        <v>0.01</v>
      </c>
      <c r="AK87" s="2300">
        <v>0</v>
      </c>
      <c r="AL87" s="141">
        <f>AG87*1.06</f>
        <v>0.01</v>
      </c>
      <c r="AN87" s="2257">
        <f t="shared" ref="AN87:AN107" si="251">J87-D87</f>
        <v>0</v>
      </c>
      <c r="AO87" s="1626" t="e">
        <f>#REF!-O87</f>
        <v>#REF!</v>
      </c>
    </row>
    <row r="88" spans="1:41" s="22" customFormat="1" ht="15" customHeight="1">
      <c r="A88" s="3301"/>
      <c r="B88" s="2679" t="s">
        <v>442</v>
      </c>
      <c r="C88" s="868">
        <v>218836</v>
      </c>
      <c r="D88" s="305">
        <f>'Table 6c'!L84</f>
        <v>5</v>
      </c>
      <c r="E88" s="864">
        <v>5</v>
      </c>
      <c r="F88" s="872">
        <v>5</v>
      </c>
      <c r="G88" s="872">
        <v>5</v>
      </c>
      <c r="H88" s="872">
        <v>5</v>
      </c>
      <c r="I88" s="872">
        <v>5</v>
      </c>
      <c r="J88" s="995">
        <v>5</v>
      </c>
      <c r="K88" s="995">
        <v>5</v>
      </c>
      <c r="L88" s="300">
        <f t="shared" si="241"/>
        <v>0</v>
      </c>
      <c r="M88" s="870">
        <f t="shared" si="242"/>
        <v>0.01</v>
      </c>
      <c r="N88" s="1956">
        <v>0</v>
      </c>
      <c r="O88" s="2751">
        <f>'Table 6c'!G84</f>
        <v>0.01</v>
      </c>
      <c r="P88" s="823">
        <f t="shared" si="243"/>
        <v>0.01</v>
      </c>
      <c r="Q88" s="1956">
        <v>0</v>
      </c>
      <c r="R88" s="367">
        <f>E88*AI88/1000000</f>
        <v>0.01</v>
      </c>
      <c r="S88" s="823">
        <f t="shared" si="244"/>
        <v>0.01</v>
      </c>
      <c r="T88" s="1956">
        <v>0</v>
      </c>
      <c r="U88" s="367">
        <f>F88*AI88/1000000</f>
        <v>0.01</v>
      </c>
      <c r="V88" s="823">
        <f t="shared" si="245"/>
        <v>0.01</v>
      </c>
      <c r="W88" s="1956">
        <v>0</v>
      </c>
      <c r="X88" s="367">
        <f>G88*AI88/1000000</f>
        <v>0.01</v>
      </c>
      <c r="Y88" s="823">
        <f t="shared" si="246"/>
        <v>0.01</v>
      </c>
      <c r="Z88" s="1956">
        <v>0</v>
      </c>
      <c r="AA88" s="367">
        <f>H88*AI88/1000000</f>
        <v>0.01</v>
      </c>
      <c r="AB88" s="823">
        <f t="shared" si="247"/>
        <v>0.01</v>
      </c>
      <c r="AC88" s="1956">
        <v>0</v>
      </c>
      <c r="AD88" s="367">
        <f>I88*AI88/1000000</f>
        <v>0.01</v>
      </c>
      <c r="AE88" s="823">
        <f t="shared" si="248"/>
        <v>0.01</v>
      </c>
      <c r="AF88" s="1956">
        <v>0</v>
      </c>
      <c r="AG88" s="367">
        <f>J88*AI88/1000000</f>
        <v>0.01</v>
      </c>
      <c r="AH88" s="300">
        <f t="shared" si="249"/>
        <v>0</v>
      </c>
      <c r="AI88" s="2566">
        <f>'Table 6c'!P84</f>
        <v>2000</v>
      </c>
      <c r="AJ88" s="823">
        <f t="shared" si="250"/>
        <v>0.01</v>
      </c>
      <c r="AK88" s="1956">
        <v>0</v>
      </c>
      <c r="AL88" s="367">
        <f>AG88*1.06</f>
        <v>0.01</v>
      </c>
      <c r="AN88" s="305">
        <f t="shared" si="251"/>
        <v>0</v>
      </c>
      <c r="AO88" s="1627" t="e">
        <f>#REF!-O88</f>
        <v>#REF!</v>
      </c>
    </row>
    <row r="89" spans="1:41" s="22" customFormat="1" ht="15" customHeight="1">
      <c r="A89" s="3301"/>
      <c r="B89" s="3006" t="s">
        <v>443</v>
      </c>
      <c r="C89" s="1450">
        <v>218866</v>
      </c>
      <c r="D89" s="305">
        <f>'Table 6c'!L85</f>
        <v>56</v>
      </c>
      <c r="E89" s="3007">
        <v>56</v>
      </c>
      <c r="F89" s="3008">
        <v>56</v>
      </c>
      <c r="G89" s="3008">
        <v>56</v>
      </c>
      <c r="H89" s="3008">
        <v>56</v>
      </c>
      <c r="I89" s="3008">
        <v>56</v>
      </c>
      <c r="J89" s="2665">
        <v>56</v>
      </c>
      <c r="K89" s="2665">
        <v>56</v>
      </c>
      <c r="L89" s="300">
        <f t="shared" si="241"/>
        <v>0</v>
      </c>
      <c r="M89" s="870">
        <f t="shared" si="242"/>
        <v>0.01</v>
      </c>
      <c r="N89" s="2022">
        <v>0</v>
      </c>
      <c r="O89" s="2751">
        <f>'Table 6c'!G85</f>
        <v>0.01</v>
      </c>
      <c r="P89" s="823">
        <f t="shared" si="243"/>
        <v>0.01</v>
      </c>
      <c r="Q89" s="2022">
        <v>0</v>
      </c>
      <c r="R89" s="367">
        <f>E89*AI89/1000000</f>
        <v>0.01</v>
      </c>
      <c r="S89" s="823">
        <f t="shared" si="244"/>
        <v>0.01</v>
      </c>
      <c r="T89" s="2022">
        <v>0</v>
      </c>
      <c r="U89" s="367">
        <f>F89*AI89/1000000</f>
        <v>0.01</v>
      </c>
      <c r="V89" s="823">
        <f t="shared" si="245"/>
        <v>0.01</v>
      </c>
      <c r="W89" s="2022">
        <v>0</v>
      </c>
      <c r="X89" s="367">
        <f>G89*AI89/1000000</f>
        <v>0.01</v>
      </c>
      <c r="Y89" s="823">
        <f t="shared" si="246"/>
        <v>0.01</v>
      </c>
      <c r="Z89" s="2022">
        <v>0</v>
      </c>
      <c r="AA89" s="367">
        <f>H89*AI89/1000000</f>
        <v>0.01</v>
      </c>
      <c r="AB89" s="823">
        <f t="shared" si="247"/>
        <v>0.01</v>
      </c>
      <c r="AC89" s="2022">
        <v>0</v>
      </c>
      <c r="AD89" s="367">
        <f>I89*AI89/1000000</f>
        <v>0.01</v>
      </c>
      <c r="AE89" s="823">
        <f t="shared" si="248"/>
        <v>0.01</v>
      </c>
      <c r="AF89" s="2022">
        <v>0</v>
      </c>
      <c r="AG89" s="367">
        <f>J89*AI89/1000000</f>
        <v>0.01</v>
      </c>
      <c r="AH89" s="300">
        <f t="shared" si="249"/>
        <v>0</v>
      </c>
      <c r="AI89" s="2566">
        <f>'Table 6c'!P85</f>
        <v>143</v>
      </c>
      <c r="AJ89" s="823">
        <f t="shared" si="250"/>
        <v>0.01</v>
      </c>
      <c r="AK89" s="2022">
        <v>0</v>
      </c>
      <c r="AL89" s="367">
        <f>AG89*1.06</f>
        <v>0.01</v>
      </c>
      <c r="AN89" s="2020"/>
      <c r="AO89" s="1628"/>
    </row>
    <row r="90" spans="1:41" s="22" customFormat="1" ht="15.75" customHeight="1" thickBot="1">
      <c r="A90" s="3301"/>
      <c r="B90" s="2682" t="s">
        <v>444</v>
      </c>
      <c r="C90" s="1016">
        <v>218929</v>
      </c>
      <c r="D90" s="2036">
        <f>'Table 6c'!L86</f>
        <v>30</v>
      </c>
      <c r="E90" s="861">
        <v>30</v>
      </c>
      <c r="F90" s="368">
        <v>30</v>
      </c>
      <c r="G90" s="368">
        <v>30</v>
      </c>
      <c r="H90" s="368">
        <v>30</v>
      </c>
      <c r="I90" s="368">
        <v>30</v>
      </c>
      <c r="J90" s="1011">
        <v>30</v>
      </c>
      <c r="K90" s="1011">
        <v>50</v>
      </c>
      <c r="L90" s="216">
        <f t="shared" si="241"/>
        <v>0</v>
      </c>
      <c r="M90" s="1006">
        <f t="shared" si="242"/>
        <v>0.01</v>
      </c>
      <c r="N90" s="2038">
        <v>0</v>
      </c>
      <c r="O90" s="2752">
        <f>'Table 6c'!G86</f>
        <v>0.01</v>
      </c>
      <c r="P90" s="48">
        <f t="shared" si="243"/>
        <v>0.01</v>
      </c>
      <c r="Q90" s="2038">
        <v>0</v>
      </c>
      <c r="R90" s="49">
        <f>E90*AI90/1000000</f>
        <v>0.01</v>
      </c>
      <c r="S90" s="48">
        <f t="shared" si="244"/>
        <v>0.01</v>
      </c>
      <c r="T90" s="2038">
        <v>0</v>
      </c>
      <c r="U90" s="49">
        <f>F90*AI90/1000000</f>
        <v>0.01</v>
      </c>
      <c r="V90" s="48">
        <f t="shared" si="245"/>
        <v>0.01</v>
      </c>
      <c r="W90" s="2038">
        <v>0</v>
      </c>
      <c r="X90" s="49">
        <f>G90*AI90/1000000</f>
        <v>0.01</v>
      </c>
      <c r="Y90" s="48">
        <f t="shared" si="246"/>
        <v>0.01</v>
      </c>
      <c r="Z90" s="2038">
        <v>0</v>
      </c>
      <c r="AA90" s="49">
        <f>H90*AI90/1000000</f>
        <v>0.01</v>
      </c>
      <c r="AB90" s="48">
        <f t="shared" si="247"/>
        <v>0.01</v>
      </c>
      <c r="AC90" s="2038">
        <v>0</v>
      </c>
      <c r="AD90" s="49">
        <f>I90*AI90/1000000</f>
        <v>0.01</v>
      </c>
      <c r="AE90" s="48">
        <f t="shared" si="248"/>
        <v>0.01</v>
      </c>
      <c r="AF90" s="2038">
        <v>0</v>
      </c>
      <c r="AG90" s="49">
        <f>J90*AI90/1000000</f>
        <v>0.01</v>
      </c>
      <c r="AH90" s="216">
        <f t="shared" si="249"/>
        <v>0</v>
      </c>
      <c r="AI90" s="2568">
        <f>'Table 6c'!P86</f>
        <v>233</v>
      </c>
      <c r="AJ90" s="48">
        <f t="shared" si="250"/>
        <v>0.01</v>
      </c>
      <c r="AK90" s="2038">
        <v>0</v>
      </c>
      <c r="AL90" s="49">
        <f>AG90*1.06</f>
        <v>0.01</v>
      </c>
      <c r="AM90" s="22" t="s">
        <v>36</v>
      </c>
      <c r="AN90" s="2036">
        <f t="shared" si="251"/>
        <v>0</v>
      </c>
      <c r="AO90" s="1623" t="e">
        <f>#REF!-O90</f>
        <v>#REF!</v>
      </c>
    </row>
    <row r="91" spans="1:41" s="22" customFormat="1" ht="16.5" customHeight="1" thickTop="1" thickBot="1">
      <c r="A91" s="3302"/>
      <c r="B91" s="3359" t="s">
        <v>235</v>
      </c>
      <c r="C91" s="3360"/>
      <c r="D91" s="1983">
        <f>SUM(D87:D90)</f>
        <v>133</v>
      </c>
      <c r="E91" s="857">
        <f t="shared" ref="E91:K91" si="252">SUM(E87:E90)</f>
        <v>133</v>
      </c>
      <c r="F91" s="251">
        <f t="shared" si="252"/>
        <v>133</v>
      </c>
      <c r="G91" s="251">
        <f t="shared" si="252"/>
        <v>133</v>
      </c>
      <c r="H91" s="251">
        <f t="shared" si="252"/>
        <v>133</v>
      </c>
      <c r="I91" s="251">
        <f t="shared" si="252"/>
        <v>133</v>
      </c>
      <c r="J91" s="97">
        <f t="shared" si="252"/>
        <v>133</v>
      </c>
      <c r="K91" s="97">
        <f t="shared" si="252"/>
        <v>153</v>
      </c>
      <c r="L91" s="202">
        <f t="shared" si="241"/>
        <v>0</v>
      </c>
      <c r="M91" s="35">
        <f>SUM(M87:M90)</f>
        <v>0.04</v>
      </c>
      <c r="N91" s="1984">
        <f t="shared" ref="N91:AG91" si="253">SUM(N87:N90)</f>
        <v>0</v>
      </c>
      <c r="O91" s="105">
        <f t="shared" si="253"/>
        <v>0.04</v>
      </c>
      <c r="P91" s="34">
        <f t="shared" si="253"/>
        <v>0.04</v>
      </c>
      <c r="Q91" s="1984">
        <f t="shared" si="253"/>
        <v>0</v>
      </c>
      <c r="R91" s="105">
        <f t="shared" si="253"/>
        <v>0.04</v>
      </c>
      <c r="S91" s="34">
        <f t="shared" si="253"/>
        <v>0.04</v>
      </c>
      <c r="T91" s="1984">
        <f t="shared" si="253"/>
        <v>0</v>
      </c>
      <c r="U91" s="105">
        <f t="shared" si="253"/>
        <v>0.04</v>
      </c>
      <c r="V91" s="34">
        <f t="shared" si="253"/>
        <v>0.04</v>
      </c>
      <c r="W91" s="1984">
        <f t="shared" si="253"/>
        <v>0</v>
      </c>
      <c r="X91" s="105">
        <f t="shared" si="253"/>
        <v>0.04</v>
      </c>
      <c r="Y91" s="34">
        <f t="shared" si="253"/>
        <v>0.04</v>
      </c>
      <c r="Z91" s="1984">
        <f t="shared" si="253"/>
        <v>0</v>
      </c>
      <c r="AA91" s="105">
        <f t="shared" si="253"/>
        <v>0.04</v>
      </c>
      <c r="AB91" s="34">
        <f t="shared" si="253"/>
        <v>0.04</v>
      </c>
      <c r="AC91" s="1984">
        <f t="shared" si="253"/>
        <v>0</v>
      </c>
      <c r="AD91" s="105">
        <f t="shared" si="253"/>
        <v>0.04</v>
      </c>
      <c r="AE91" s="34">
        <f t="shared" si="253"/>
        <v>0.04</v>
      </c>
      <c r="AF91" s="1984">
        <f t="shared" si="253"/>
        <v>0</v>
      </c>
      <c r="AG91" s="105">
        <f t="shared" si="253"/>
        <v>0.04</v>
      </c>
      <c r="AH91" s="2555">
        <f t="shared" si="249"/>
        <v>0</v>
      </c>
      <c r="AI91" s="3041" t="s">
        <v>16</v>
      </c>
      <c r="AJ91" s="34">
        <f>SUM(AJ87:AJ90)</f>
        <v>0.04</v>
      </c>
      <c r="AK91" s="1984">
        <f t="shared" ref="AK91:AL91" si="254">SUM(AK87:AK90)</f>
        <v>0</v>
      </c>
      <c r="AL91" s="105">
        <f t="shared" si="254"/>
        <v>0.04</v>
      </c>
      <c r="AN91" s="1983">
        <f t="shared" si="251"/>
        <v>0</v>
      </c>
      <c r="AO91" s="1624" t="e">
        <f>#REF!-O91</f>
        <v>#REF!</v>
      </c>
    </row>
    <row r="92" spans="1:41" ht="26.25" thickBot="1">
      <c r="A92" s="3265" t="s">
        <v>236</v>
      </c>
      <c r="B92" s="2753" t="s">
        <v>445</v>
      </c>
      <c r="C92" s="326">
        <v>218662</v>
      </c>
      <c r="D92" s="1990">
        <f>'Table 6c'!L88</f>
        <v>179</v>
      </c>
      <c r="E92" s="2693">
        <v>179</v>
      </c>
      <c r="F92" s="2694">
        <v>182</v>
      </c>
      <c r="G92" s="2694">
        <v>184</v>
      </c>
      <c r="H92" s="2694">
        <v>187</v>
      </c>
      <c r="I92" s="2694">
        <v>189</v>
      </c>
      <c r="J92" s="2695">
        <v>189</v>
      </c>
      <c r="K92" s="2695" t="s">
        <v>16</v>
      </c>
      <c r="L92" s="236">
        <f t="shared" si="241"/>
        <v>0.06</v>
      </c>
      <c r="M92" s="157">
        <f t="shared" ref="M92:M93" si="255">O92-N92</f>
        <v>0.02</v>
      </c>
      <c r="N92" s="2003">
        <v>0</v>
      </c>
      <c r="O92" s="148">
        <f>'Table 6c'!G88</f>
        <v>0.02</v>
      </c>
      <c r="P92" s="137">
        <f t="shared" ref="P92:P93" si="256">R92-Q92</f>
        <v>0.03</v>
      </c>
      <c r="Q92" s="1999">
        <v>0</v>
      </c>
      <c r="R92" s="148">
        <f>E92*AI92/1000000</f>
        <v>0.03</v>
      </c>
      <c r="S92" s="137">
        <f t="shared" ref="S92:S93" si="257">U92-T92</f>
        <v>0.03</v>
      </c>
      <c r="T92" s="1999">
        <v>0</v>
      </c>
      <c r="U92" s="148">
        <f>F92*AI92/1000000</f>
        <v>0.03</v>
      </c>
      <c r="V92" s="137">
        <f t="shared" ref="V92:V93" si="258">X92-W92</f>
        <v>0.03</v>
      </c>
      <c r="W92" s="1999">
        <v>0</v>
      </c>
      <c r="X92" s="148">
        <f>G92*AI92/1000000</f>
        <v>0.03</v>
      </c>
      <c r="Y92" s="137">
        <f t="shared" ref="Y92:Y93" si="259">AA92-Z92</f>
        <v>0.03</v>
      </c>
      <c r="Z92" s="1999">
        <v>0</v>
      </c>
      <c r="AA92" s="148">
        <f>H92*AI92/1000000</f>
        <v>0.03</v>
      </c>
      <c r="AB92" s="137">
        <f t="shared" ref="AB92:AB93" si="260">AD92-AC92</f>
        <v>0.03</v>
      </c>
      <c r="AC92" s="1999">
        <v>0</v>
      </c>
      <c r="AD92" s="148">
        <f>I92*AI92/1000000</f>
        <v>0.03</v>
      </c>
      <c r="AE92" s="137">
        <f t="shared" ref="AE92:AE93" si="261">AG92-AF92</f>
        <v>0.03</v>
      </c>
      <c r="AF92" s="1999">
        <v>0</v>
      </c>
      <c r="AG92" s="148">
        <f>J92*AI92/1000000</f>
        <v>0.03</v>
      </c>
      <c r="AH92" s="2696">
        <f t="shared" si="249"/>
        <v>0.5</v>
      </c>
      <c r="AI92" s="2697">
        <f>'Table 6c'!P88</f>
        <v>150</v>
      </c>
      <c r="AJ92" s="137">
        <f t="shared" ref="AJ92:AJ93" si="262">AL92-AK92</f>
        <v>0.03</v>
      </c>
      <c r="AK92" s="1999">
        <v>0</v>
      </c>
      <c r="AL92" s="148">
        <f>AG92*1.06</f>
        <v>0.03</v>
      </c>
      <c r="AN92" s="1990">
        <f t="shared" si="251"/>
        <v>10</v>
      </c>
      <c r="AO92" s="1631" t="e">
        <f>#REF!-O92</f>
        <v>#REF!</v>
      </c>
    </row>
    <row r="93" spans="1:41" s="22" customFormat="1" ht="14.25" thickTop="1" thickBot="1">
      <c r="A93" s="3380"/>
      <c r="B93" s="3359" t="s">
        <v>238</v>
      </c>
      <c r="C93" s="3360"/>
      <c r="D93" s="1983">
        <f t="shared" ref="D93:I93" si="263">D92</f>
        <v>179</v>
      </c>
      <c r="E93" s="857">
        <f t="shared" si="263"/>
        <v>179</v>
      </c>
      <c r="F93" s="251">
        <f t="shared" si="263"/>
        <v>182</v>
      </c>
      <c r="G93" s="251">
        <f t="shared" si="263"/>
        <v>184</v>
      </c>
      <c r="H93" s="251">
        <f t="shared" si="263"/>
        <v>187</v>
      </c>
      <c r="I93" s="251">
        <f t="shared" si="263"/>
        <v>189</v>
      </c>
      <c r="J93" s="97">
        <f>J92</f>
        <v>189</v>
      </c>
      <c r="K93" s="97">
        <f>SUM(K92)</f>
        <v>0</v>
      </c>
      <c r="L93" s="202">
        <f t="shared" si="241"/>
        <v>0.06</v>
      </c>
      <c r="M93" s="35">
        <f t="shared" si="255"/>
        <v>0.02</v>
      </c>
      <c r="N93" s="1984">
        <v>0</v>
      </c>
      <c r="O93" s="105">
        <f>SUM(O92)</f>
        <v>0.02</v>
      </c>
      <c r="P93" s="34">
        <f t="shared" si="256"/>
        <v>0.03</v>
      </c>
      <c r="Q93" s="1984">
        <v>0</v>
      </c>
      <c r="R93" s="105">
        <f>SUM(R92)</f>
        <v>0.03</v>
      </c>
      <c r="S93" s="34">
        <f t="shared" si="257"/>
        <v>0.03</v>
      </c>
      <c r="T93" s="1984">
        <v>0</v>
      </c>
      <c r="U93" s="105">
        <f>SUM(U92)</f>
        <v>0.03</v>
      </c>
      <c r="V93" s="34">
        <f t="shared" si="258"/>
        <v>0.03</v>
      </c>
      <c r="W93" s="1984">
        <v>0</v>
      </c>
      <c r="X93" s="105">
        <f>SUM(X92)</f>
        <v>0.03</v>
      </c>
      <c r="Y93" s="34">
        <f t="shared" si="259"/>
        <v>0.03</v>
      </c>
      <c r="Z93" s="1984">
        <v>0</v>
      </c>
      <c r="AA93" s="105">
        <f>SUM(AA92)</f>
        <v>0.03</v>
      </c>
      <c r="AB93" s="34">
        <f t="shared" si="260"/>
        <v>0.03</v>
      </c>
      <c r="AC93" s="1984">
        <v>0</v>
      </c>
      <c r="AD93" s="105">
        <f>SUM(AD92)</f>
        <v>0.03</v>
      </c>
      <c r="AE93" s="34">
        <f t="shared" si="261"/>
        <v>0.03</v>
      </c>
      <c r="AF93" s="1984">
        <f t="shared" ref="AF93:AG93" si="264">SUM(AF92)</f>
        <v>0</v>
      </c>
      <c r="AG93" s="105">
        <f t="shared" si="264"/>
        <v>0.03</v>
      </c>
      <c r="AH93" s="2555">
        <f t="shared" si="249"/>
        <v>0.5</v>
      </c>
      <c r="AI93" s="3041" t="s">
        <v>16</v>
      </c>
      <c r="AJ93" s="34">
        <f t="shared" si="262"/>
        <v>0.03</v>
      </c>
      <c r="AK93" s="1984">
        <v>0</v>
      </c>
      <c r="AL93" s="105">
        <f>AG93*1.06</f>
        <v>0.03</v>
      </c>
      <c r="AN93" s="1983">
        <f t="shared" si="251"/>
        <v>10</v>
      </c>
      <c r="AO93" s="1624" t="e">
        <f>#REF!-O93</f>
        <v>#REF!</v>
      </c>
    </row>
    <row r="94" spans="1:41" s="22" customFormat="1" ht="13.5" thickBot="1">
      <c r="A94" s="3300" t="s">
        <v>242</v>
      </c>
      <c r="B94" s="2754" t="s">
        <v>446</v>
      </c>
      <c r="C94" s="2755">
        <v>215920</v>
      </c>
      <c r="D94" s="2170">
        <f>'Table 6c'!L90</f>
        <v>42</v>
      </c>
      <c r="E94" s="324">
        <v>42</v>
      </c>
      <c r="F94" s="169">
        <v>42</v>
      </c>
      <c r="G94" s="169">
        <v>42</v>
      </c>
      <c r="H94" s="169">
        <v>42</v>
      </c>
      <c r="I94" s="169">
        <v>42</v>
      </c>
      <c r="J94" s="270">
        <v>42</v>
      </c>
      <c r="K94" s="270">
        <v>42</v>
      </c>
      <c r="L94" s="196">
        <f t="shared" si="241"/>
        <v>0</v>
      </c>
      <c r="M94" s="186">
        <f>O94-N94</f>
        <v>0.01</v>
      </c>
      <c r="N94" s="2172">
        <v>0</v>
      </c>
      <c r="O94" s="160">
        <f>'Table 6c'!G90</f>
        <v>0.01</v>
      </c>
      <c r="P94" s="149">
        <f>R94-Q94</f>
        <v>0.01</v>
      </c>
      <c r="Q94" s="2172">
        <v>0</v>
      </c>
      <c r="R94" s="160">
        <f t="shared" ref="R94:R99" si="265">E94*AI94/1000000</f>
        <v>0.01</v>
      </c>
      <c r="S94" s="149">
        <f>U94-T94</f>
        <v>0.01</v>
      </c>
      <c r="T94" s="2172">
        <v>0</v>
      </c>
      <c r="U94" s="160">
        <f t="shared" ref="U94:U99" si="266">F94*AI94/1000000</f>
        <v>0.01</v>
      </c>
      <c r="V94" s="149">
        <f>X94-W94</f>
        <v>0.01</v>
      </c>
      <c r="W94" s="2172">
        <v>0</v>
      </c>
      <c r="X94" s="160">
        <f t="shared" ref="X94:X99" si="267">G94*AI94/1000000</f>
        <v>0.01</v>
      </c>
      <c r="Y94" s="149">
        <f>AA94-Z94</f>
        <v>0.01</v>
      </c>
      <c r="Z94" s="2172">
        <v>0</v>
      </c>
      <c r="AA94" s="160">
        <f t="shared" ref="AA94:AA99" si="268">H94*AI94/1000000</f>
        <v>0.01</v>
      </c>
      <c r="AB94" s="149">
        <f>AD94-AC94</f>
        <v>0.01</v>
      </c>
      <c r="AC94" s="2172">
        <v>0</v>
      </c>
      <c r="AD94" s="160">
        <f t="shared" ref="AD94:AD99" si="269">I94*AI94/1000000</f>
        <v>0.01</v>
      </c>
      <c r="AE94" s="149">
        <f>AG94-AF94</f>
        <v>0.01</v>
      </c>
      <c r="AF94" s="2172">
        <v>0</v>
      </c>
      <c r="AG94" s="160">
        <f t="shared" ref="AG94:AG99" si="270">J94*AI94/1000000</f>
        <v>0.01</v>
      </c>
      <c r="AH94" s="2549">
        <f t="shared" si="249"/>
        <v>0</v>
      </c>
      <c r="AI94" s="2659">
        <f>'Table 6c'!P90</f>
        <v>143</v>
      </c>
      <c r="AJ94" s="149">
        <f>AL94-AK94</f>
        <v>0.01</v>
      </c>
      <c r="AK94" s="2172">
        <v>0</v>
      </c>
      <c r="AL94" s="160">
        <f t="shared" ref="AL94:AL99" si="271">AG94*1.06</f>
        <v>0.01</v>
      </c>
      <c r="AN94" s="2181"/>
      <c r="AO94" s="1629"/>
    </row>
    <row r="95" spans="1:41" s="22" customFormat="1">
      <c r="A95" s="3301"/>
      <c r="B95" s="2663" t="s">
        <v>447</v>
      </c>
      <c r="C95" s="2615">
        <v>216642</v>
      </c>
      <c r="D95" s="2058">
        <f>'Table 6c'!L91</f>
        <v>361</v>
      </c>
      <c r="E95" s="2756">
        <v>374</v>
      </c>
      <c r="F95" s="2613">
        <v>398</v>
      </c>
      <c r="G95" s="2613">
        <v>410</v>
      </c>
      <c r="H95" s="2613">
        <v>509</v>
      </c>
      <c r="I95" s="2613">
        <v>510</v>
      </c>
      <c r="J95" s="2614">
        <v>516</v>
      </c>
      <c r="K95" s="2757">
        <v>601</v>
      </c>
      <c r="L95" s="215">
        <f t="shared" si="241"/>
        <v>0.43</v>
      </c>
      <c r="M95" s="245">
        <f>O95-N95</f>
        <v>0.01</v>
      </c>
      <c r="N95" s="2616">
        <v>0</v>
      </c>
      <c r="O95" s="2065">
        <f>'Table 6c'!G91</f>
        <v>0.01</v>
      </c>
      <c r="P95" s="138">
        <f>R95-Q95</f>
        <v>0.01</v>
      </c>
      <c r="Q95" s="2616">
        <v>0</v>
      </c>
      <c r="R95" s="56">
        <f t="shared" si="265"/>
        <v>0.01</v>
      </c>
      <c r="S95" s="138">
        <f>U95-T95</f>
        <v>0.01</v>
      </c>
      <c r="T95" s="2616">
        <v>0</v>
      </c>
      <c r="U95" s="56">
        <f t="shared" si="266"/>
        <v>0.01</v>
      </c>
      <c r="V95" s="138">
        <f>X95-W95</f>
        <v>0.01</v>
      </c>
      <c r="W95" s="2616">
        <v>0</v>
      </c>
      <c r="X95" s="56">
        <f t="shared" si="267"/>
        <v>0.01</v>
      </c>
      <c r="Y95" s="138">
        <f>AA95-Z95</f>
        <v>0.02</v>
      </c>
      <c r="Z95" s="2572">
        <v>0</v>
      </c>
      <c r="AA95" s="56">
        <f t="shared" si="268"/>
        <v>0.02</v>
      </c>
      <c r="AB95" s="138">
        <f>AD95-AC95</f>
        <v>0.02</v>
      </c>
      <c r="AC95" s="2616">
        <v>0</v>
      </c>
      <c r="AD95" s="56">
        <f t="shared" si="269"/>
        <v>0.02</v>
      </c>
      <c r="AE95" s="138">
        <f>AG95-AF95</f>
        <v>0.02</v>
      </c>
      <c r="AF95" s="2616">
        <v>0</v>
      </c>
      <c r="AG95" s="56">
        <f t="shared" si="270"/>
        <v>0.02</v>
      </c>
      <c r="AH95" s="2758">
        <f t="shared" si="249"/>
        <v>1</v>
      </c>
      <c r="AI95" s="2600">
        <f>'Table 6c'!P91</f>
        <v>32</v>
      </c>
      <c r="AJ95" s="2617">
        <f>AL95-AK95</f>
        <v>0.02</v>
      </c>
      <c r="AK95" s="2616">
        <v>0</v>
      </c>
      <c r="AL95" s="2065">
        <f t="shared" si="271"/>
        <v>0.02</v>
      </c>
      <c r="AN95" s="2759">
        <f t="shared" si="251"/>
        <v>155</v>
      </c>
      <c r="AO95" s="1625" t="e">
        <f>#REF!-O95</f>
        <v>#REF!</v>
      </c>
    </row>
    <row r="96" spans="1:41" s="22" customFormat="1">
      <c r="A96" s="3301"/>
      <c r="B96" s="2760" t="s">
        <v>448</v>
      </c>
      <c r="C96" s="2627">
        <v>220497</v>
      </c>
      <c r="D96" s="2070">
        <f>'Table 6c'!L92</f>
        <v>289</v>
      </c>
      <c r="E96" s="2761">
        <v>293</v>
      </c>
      <c r="F96" s="2625">
        <v>293</v>
      </c>
      <c r="G96" s="2625">
        <v>293</v>
      </c>
      <c r="H96" s="2625">
        <v>293</v>
      </c>
      <c r="I96" s="2625">
        <v>293</v>
      </c>
      <c r="J96" s="2626">
        <v>293</v>
      </c>
      <c r="K96" s="2762">
        <v>293</v>
      </c>
      <c r="L96" s="300">
        <f t="shared" si="241"/>
        <v>0.01</v>
      </c>
      <c r="M96" s="870">
        <f t="shared" ref="M96:M97" si="272">O96-N96</f>
        <v>0.13</v>
      </c>
      <c r="N96" s="2201">
        <v>0</v>
      </c>
      <c r="O96" s="2009">
        <f>'Table 6c'!G92</f>
        <v>0.13</v>
      </c>
      <c r="P96" s="823">
        <f t="shared" ref="P96:P97" si="273">R96-Q96</f>
        <v>0.08</v>
      </c>
      <c r="Q96" s="2201">
        <v>0</v>
      </c>
      <c r="R96" s="367">
        <f t="shared" si="265"/>
        <v>0.08</v>
      </c>
      <c r="S96" s="823">
        <f t="shared" ref="S96:S97" si="274">U96-T96</f>
        <v>0.08</v>
      </c>
      <c r="T96" s="2201">
        <v>0</v>
      </c>
      <c r="U96" s="367">
        <f t="shared" si="266"/>
        <v>0.08</v>
      </c>
      <c r="V96" s="823">
        <f t="shared" ref="V96:V97" si="275">X96-W96</f>
        <v>0.08</v>
      </c>
      <c r="W96" s="2201">
        <v>0</v>
      </c>
      <c r="X96" s="367">
        <f t="shared" si="267"/>
        <v>0.08</v>
      </c>
      <c r="Y96" s="823">
        <f t="shared" ref="Y96:Y97" si="276">AA96-Z96</f>
        <v>0.08</v>
      </c>
      <c r="Z96" s="2763">
        <v>0</v>
      </c>
      <c r="AA96" s="367">
        <f t="shared" si="268"/>
        <v>0.08</v>
      </c>
      <c r="AB96" s="823">
        <f t="shared" ref="AB96:AB97" si="277">AD96-AC96</f>
        <v>0.08</v>
      </c>
      <c r="AC96" s="2201">
        <v>0</v>
      </c>
      <c r="AD96" s="367">
        <f t="shared" si="269"/>
        <v>0.08</v>
      </c>
      <c r="AE96" s="823">
        <f t="shared" ref="AE96:AE97" si="278">AG96-AF96</f>
        <v>0.08</v>
      </c>
      <c r="AF96" s="2201">
        <v>0</v>
      </c>
      <c r="AG96" s="367">
        <f t="shared" si="270"/>
        <v>0.08</v>
      </c>
      <c r="AH96" s="1861">
        <f t="shared" si="249"/>
        <v>-0.38</v>
      </c>
      <c r="AI96" s="2566">
        <f>'Table 6c'!P92</f>
        <v>277</v>
      </c>
      <c r="AJ96" s="2628">
        <f t="shared" ref="AJ96:AJ97" si="279">AL96-AK96</f>
        <v>0.08</v>
      </c>
      <c r="AK96" s="2201">
        <v>0</v>
      </c>
      <c r="AL96" s="2009">
        <f t="shared" si="271"/>
        <v>0.08</v>
      </c>
      <c r="AN96" s="2619"/>
      <c r="AO96" s="2607"/>
    </row>
    <row r="97" spans="1:41" s="22" customFormat="1">
      <c r="A97" s="3301"/>
      <c r="B97" s="2760" t="s">
        <v>449</v>
      </c>
      <c r="C97" s="2627">
        <v>217177</v>
      </c>
      <c r="D97" s="2070">
        <f>'Table 6c'!L93</f>
        <v>156</v>
      </c>
      <c r="E97" s="2761">
        <v>158</v>
      </c>
      <c r="F97" s="2625">
        <v>162</v>
      </c>
      <c r="G97" s="2625">
        <v>168</v>
      </c>
      <c r="H97" s="2625">
        <v>170</v>
      </c>
      <c r="I97" s="2625">
        <v>174</v>
      </c>
      <c r="J97" s="2626">
        <v>179</v>
      </c>
      <c r="K97" s="2762">
        <v>230</v>
      </c>
      <c r="L97" s="300">
        <f t="shared" si="241"/>
        <v>0.15</v>
      </c>
      <c r="M97" s="870">
        <f t="shared" si="272"/>
        <v>0.02</v>
      </c>
      <c r="N97" s="2201">
        <v>0</v>
      </c>
      <c r="O97" s="2009">
        <f>'Table 6c'!G93</f>
        <v>0.02</v>
      </c>
      <c r="P97" s="823">
        <f t="shared" si="273"/>
        <v>0.02</v>
      </c>
      <c r="Q97" s="2201">
        <v>0</v>
      </c>
      <c r="R97" s="367">
        <f t="shared" si="265"/>
        <v>0.02</v>
      </c>
      <c r="S97" s="823">
        <f t="shared" si="274"/>
        <v>0.02</v>
      </c>
      <c r="T97" s="2201">
        <v>0</v>
      </c>
      <c r="U97" s="367">
        <f t="shared" si="266"/>
        <v>0.02</v>
      </c>
      <c r="V97" s="823">
        <f t="shared" si="275"/>
        <v>0.02</v>
      </c>
      <c r="W97" s="2201">
        <v>0</v>
      </c>
      <c r="X97" s="367">
        <f t="shared" si="267"/>
        <v>0.02</v>
      </c>
      <c r="Y97" s="823">
        <f t="shared" si="276"/>
        <v>0.02</v>
      </c>
      <c r="Z97" s="2763">
        <v>0</v>
      </c>
      <c r="AA97" s="367">
        <f t="shared" si="268"/>
        <v>0.02</v>
      </c>
      <c r="AB97" s="823">
        <f t="shared" si="277"/>
        <v>0.03</v>
      </c>
      <c r="AC97" s="2201">
        <v>0</v>
      </c>
      <c r="AD97" s="367">
        <f t="shared" si="269"/>
        <v>0.03</v>
      </c>
      <c r="AE97" s="823">
        <f t="shared" si="278"/>
        <v>0.03</v>
      </c>
      <c r="AF97" s="2201">
        <v>0</v>
      </c>
      <c r="AG97" s="367">
        <f t="shared" si="270"/>
        <v>0.03</v>
      </c>
      <c r="AH97" s="1861">
        <f t="shared" si="249"/>
        <v>0.5</v>
      </c>
      <c r="AI97" s="2566">
        <f>'Table 6c'!P93</f>
        <v>147</v>
      </c>
      <c r="AJ97" s="2628">
        <f t="shared" si="279"/>
        <v>0.03</v>
      </c>
      <c r="AK97" s="2201">
        <v>0</v>
      </c>
      <c r="AL97" s="2009">
        <f t="shared" si="271"/>
        <v>0.03</v>
      </c>
      <c r="AN97" s="2619"/>
      <c r="AO97" s="2607"/>
    </row>
    <row r="98" spans="1:41" s="22" customFormat="1" ht="13.5" thickBot="1">
      <c r="A98" s="3301"/>
      <c r="B98" s="2663" t="s">
        <v>450</v>
      </c>
      <c r="C98" s="2615">
        <v>216656</v>
      </c>
      <c r="D98" s="2058">
        <f>'Table 6c'!L94</f>
        <v>179</v>
      </c>
      <c r="E98" s="2756">
        <v>173</v>
      </c>
      <c r="F98" s="2613">
        <v>173</v>
      </c>
      <c r="G98" s="2613">
        <v>173</v>
      </c>
      <c r="H98" s="2613">
        <v>173</v>
      </c>
      <c r="I98" s="2613">
        <v>173</v>
      </c>
      <c r="J98" s="2614">
        <v>173</v>
      </c>
      <c r="K98" s="2757">
        <v>1156</v>
      </c>
      <c r="L98" s="215">
        <f t="shared" si="241"/>
        <v>-0.03</v>
      </c>
      <c r="M98" s="245">
        <f>O98-N98</f>
        <v>0.01</v>
      </c>
      <c r="N98" s="2616">
        <v>0</v>
      </c>
      <c r="O98" s="2065">
        <f>'Table 6c'!G94</f>
        <v>0.01</v>
      </c>
      <c r="P98" s="138">
        <f>R98-Q98</f>
        <v>0.01</v>
      </c>
      <c r="Q98" s="2616">
        <v>0</v>
      </c>
      <c r="R98" s="56">
        <f t="shared" si="265"/>
        <v>0.01</v>
      </c>
      <c r="S98" s="138">
        <f>U98-T98</f>
        <v>0.01</v>
      </c>
      <c r="T98" s="2616">
        <v>0</v>
      </c>
      <c r="U98" s="56">
        <f t="shared" si="266"/>
        <v>0.01</v>
      </c>
      <c r="V98" s="138">
        <f>X98-W98</f>
        <v>0.01</v>
      </c>
      <c r="W98" s="2616">
        <v>0</v>
      </c>
      <c r="X98" s="56">
        <f t="shared" si="267"/>
        <v>0.01</v>
      </c>
      <c r="Y98" s="138">
        <f>AA98-Z98</f>
        <v>0.01</v>
      </c>
      <c r="Z98" s="2572">
        <v>0</v>
      </c>
      <c r="AA98" s="56">
        <f t="shared" si="268"/>
        <v>0.01</v>
      </c>
      <c r="AB98" s="138">
        <f>AD98-AC98</f>
        <v>0.01</v>
      </c>
      <c r="AC98" s="2616">
        <v>0</v>
      </c>
      <c r="AD98" s="56">
        <f t="shared" si="269"/>
        <v>0.01</v>
      </c>
      <c r="AE98" s="138">
        <f>AG98-AF98</f>
        <v>0.01</v>
      </c>
      <c r="AF98" s="2616">
        <v>0</v>
      </c>
      <c r="AG98" s="56">
        <f t="shared" si="270"/>
        <v>0.01</v>
      </c>
      <c r="AH98" s="2758">
        <f t="shared" si="249"/>
        <v>0</v>
      </c>
      <c r="AI98" s="2600">
        <f>'Table 6c'!P94</f>
        <v>56</v>
      </c>
      <c r="AJ98" s="2617">
        <f>AL98-AK98</f>
        <v>0.01</v>
      </c>
      <c r="AK98" s="2616">
        <v>0</v>
      </c>
      <c r="AL98" s="2065">
        <f t="shared" si="271"/>
        <v>0.01</v>
      </c>
      <c r="AN98" s="2674">
        <f t="shared" si="251"/>
        <v>-6</v>
      </c>
      <c r="AO98" s="2722" t="e">
        <f>#REF!-O98</f>
        <v>#REF!</v>
      </c>
    </row>
    <row r="99" spans="1:41" s="22" customFormat="1" ht="14.25" thickTop="1" thickBot="1">
      <c r="A99" s="3301"/>
      <c r="B99" s="2666" t="s">
        <v>451</v>
      </c>
      <c r="C99" s="2667">
        <v>220881</v>
      </c>
      <c r="D99" s="2082">
        <f>'Table 6c'!L95</f>
        <v>300</v>
      </c>
      <c r="E99" s="2764">
        <v>300</v>
      </c>
      <c r="F99" s="2670">
        <v>300</v>
      </c>
      <c r="G99" s="2670">
        <v>300</v>
      </c>
      <c r="H99" s="2670">
        <v>300</v>
      </c>
      <c r="I99" s="2670">
        <v>300</v>
      </c>
      <c r="J99" s="2671">
        <v>300</v>
      </c>
      <c r="K99" s="2765">
        <v>300</v>
      </c>
      <c r="L99" s="216">
        <f t="shared" si="241"/>
        <v>0</v>
      </c>
      <c r="M99" s="1006">
        <f>O99-N99</f>
        <v>0.05</v>
      </c>
      <c r="N99" s="2672">
        <v>0</v>
      </c>
      <c r="O99" s="2041">
        <f>'Table 6c'!G95</f>
        <v>0.05</v>
      </c>
      <c r="P99" s="48">
        <f>R99-Q99</f>
        <v>0.05</v>
      </c>
      <c r="Q99" s="2672">
        <v>0</v>
      </c>
      <c r="R99" s="49">
        <f t="shared" si="265"/>
        <v>0.05</v>
      </c>
      <c r="S99" s="48">
        <f>U99-T99</f>
        <v>0.05</v>
      </c>
      <c r="T99" s="2672">
        <v>0</v>
      </c>
      <c r="U99" s="49">
        <f t="shared" si="266"/>
        <v>0.05</v>
      </c>
      <c r="V99" s="48">
        <f>X99-W99</f>
        <v>0.05</v>
      </c>
      <c r="W99" s="2672">
        <v>0</v>
      </c>
      <c r="X99" s="49">
        <f t="shared" si="267"/>
        <v>0.05</v>
      </c>
      <c r="Y99" s="48">
        <f>AA99-Z99</f>
        <v>0.05</v>
      </c>
      <c r="Z99" s="2766">
        <v>0</v>
      </c>
      <c r="AA99" s="49">
        <f t="shared" si="268"/>
        <v>0.05</v>
      </c>
      <c r="AB99" s="48">
        <f>AD99-AC99</f>
        <v>0.05</v>
      </c>
      <c r="AC99" s="2672">
        <v>0</v>
      </c>
      <c r="AD99" s="49">
        <f t="shared" si="269"/>
        <v>0.05</v>
      </c>
      <c r="AE99" s="48">
        <f>AG99-AF99</f>
        <v>0.05</v>
      </c>
      <c r="AF99" s="2672">
        <v>0</v>
      </c>
      <c r="AG99" s="49">
        <f t="shared" si="270"/>
        <v>0.05</v>
      </c>
      <c r="AH99" s="197">
        <f t="shared" si="249"/>
        <v>0</v>
      </c>
      <c r="AI99" s="2568">
        <f>'Table 6c'!P95</f>
        <v>150</v>
      </c>
      <c r="AJ99" s="2673">
        <f>AL99-AK99</f>
        <v>0.05</v>
      </c>
      <c r="AK99" s="2672">
        <v>0</v>
      </c>
      <c r="AL99" s="2041">
        <f t="shared" si="271"/>
        <v>0.05</v>
      </c>
      <c r="AN99" s="2619"/>
      <c r="AO99" s="2607"/>
    </row>
    <row r="100" spans="1:41" s="22" customFormat="1" ht="15.75" customHeight="1">
      <c r="A100" s="3302"/>
      <c r="B100" s="3359" t="s">
        <v>251</v>
      </c>
      <c r="C100" s="3360"/>
      <c r="D100" s="2092">
        <f>SUM(D94:D99)</f>
        <v>1327</v>
      </c>
      <c r="E100" s="2767">
        <f>SUM(E94:E99)</f>
        <v>1340</v>
      </c>
      <c r="F100" s="2768">
        <f>SUM(F94:F99)</f>
        <v>1368</v>
      </c>
      <c r="G100" s="2768">
        <f t="shared" ref="G100:K100" si="280">SUM(G94:G99)</f>
        <v>1386</v>
      </c>
      <c r="H100" s="2768">
        <f t="shared" si="280"/>
        <v>1487</v>
      </c>
      <c r="I100" s="2768">
        <f t="shared" si="280"/>
        <v>1492</v>
      </c>
      <c r="J100" s="2769">
        <f t="shared" si="280"/>
        <v>1503</v>
      </c>
      <c r="K100" s="2769">
        <f t="shared" si="280"/>
        <v>2622</v>
      </c>
      <c r="L100" s="217">
        <f t="shared" si="241"/>
        <v>0.13</v>
      </c>
      <c r="M100" s="35">
        <f>O100-N100</f>
        <v>0.23</v>
      </c>
      <c r="N100" s="2594">
        <v>0</v>
      </c>
      <c r="O100" s="2099">
        <f>SUM(O94:O99)</f>
        <v>0.23</v>
      </c>
      <c r="P100" s="34">
        <f>R100-Q100</f>
        <v>0.18</v>
      </c>
      <c r="Q100" s="2594">
        <v>0</v>
      </c>
      <c r="R100" s="2099">
        <f>SUM(R94:R99)</f>
        <v>0.18</v>
      </c>
      <c r="S100" s="34">
        <f>U100-T100</f>
        <v>0.18</v>
      </c>
      <c r="T100" s="2594">
        <v>0</v>
      </c>
      <c r="U100" s="2099">
        <f>SUM(U94:U99)</f>
        <v>0.18</v>
      </c>
      <c r="V100" s="34">
        <f>X100-W100</f>
        <v>0.18</v>
      </c>
      <c r="W100" s="2594">
        <v>0</v>
      </c>
      <c r="X100" s="2099">
        <f>SUM(X94:X99)</f>
        <v>0.18</v>
      </c>
      <c r="Y100" s="34">
        <f>AA100-Z100</f>
        <v>0.19</v>
      </c>
      <c r="Z100" s="2594">
        <v>0</v>
      </c>
      <c r="AA100" s="2099">
        <f>SUM(AA94:AA99)</f>
        <v>0.19</v>
      </c>
      <c r="AB100" s="34">
        <f>AD100-AC100</f>
        <v>0.2</v>
      </c>
      <c r="AC100" s="2594">
        <v>0</v>
      </c>
      <c r="AD100" s="2099">
        <f>SUM(AD94:AD99)</f>
        <v>0.2</v>
      </c>
      <c r="AE100" s="34">
        <f>AG100-AF100</f>
        <v>0.2</v>
      </c>
      <c r="AF100" s="2594">
        <v>0</v>
      </c>
      <c r="AG100" s="2099">
        <f>SUM(AG94:AG99)</f>
        <v>0.2</v>
      </c>
      <c r="AH100" s="202">
        <f t="shared" si="249"/>
        <v>-0.13</v>
      </c>
      <c r="AI100" s="3041" t="s">
        <v>16</v>
      </c>
      <c r="AJ100" s="2591">
        <f>AL100-AK100</f>
        <v>0.2</v>
      </c>
      <c r="AK100" s="2594">
        <v>0</v>
      </c>
      <c r="AL100" s="2099">
        <f>SUM(AL94:AL99)</f>
        <v>0.2</v>
      </c>
      <c r="AN100" s="2646">
        <f t="shared" si="251"/>
        <v>176</v>
      </c>
      <c r="AO100" s="1624" t="e">
        <f>#REF!-O100</f>
        <v>#REF!</v>
      </c>
    </row>
    <row r="101" spans="1:41" s="22" customFormat="1">
      <c r="A101" s="3300" t="s">
        <v>252</v>
      </c>
      <c r="B101" s="131" t="s">
        <v>452</v>
      </c>
      <c r="C101" s="2770">
        <v>215614</v>
      </c>
      <c r="D101" s="2124">
        <f>'Table 6c'!L97</f>
        <v>30</v>
      </c>
      <c r="E101" s="2771">
        <v>30</v>
      </c>
      <c r="F101" s="2772">
        <v>30</v>
      </c>
      <c r="G101" s="2772">
        <v>30</v>
      </c>
      <c r="H101" s="2772">
        <v>30</v>
      </c>
      <c r="I101" s="2772">
        <v>30</v>
      </c>
      <c r="J101" s="2773">
        <v>30</v>
      </c>
      <c r="K101" s="2774">
        <v>30</v>
      </c>
      <c r="L101" s="2775">
        <f t="shared" si="241"/>
        <v>0</v>
      </c>
      <c r="M101" s="186">
        <f t="shared" ref="M101:M105" si="281">O101-N101</f>
        <v>0.01</v>
      </c>
      <c r="N101" s="2658">
        <v>0</v>
      </c>
      <c r="O101" s="2131">
        <f>'Table 6c'!G97</f>
        <v>0.01</v>
      </c>
      <c r="P101" s="149">
        <f t="shared" ref="P101:P102" si="282">R101-Q101</f>
        <v>0</v>
      </c>
      <c r="Q101" s="2658">
        <v>0</v>
      </c>
      <c r="R101" s="2131">
        <f>E101*AI101/1000000</f>
        <v>0</v>
      </c>
      <c r="S101" s="149">
        <f t="shared" ref="S101:S102" si="283">U101-T101</f>
        <v>0</v>
      </c>
      <c r="T101" s="2658">
        <v>0</v>
      </c>
      <c r="U101" s="2131">
        <f>F101*AI101/1000000</f>
        <v>0</v>
      </c>
      <c r="V101" s="149">
        <f t="shared" ref="V101:V102" si="284">X101-W101</f>
        <v>0</v>
      </c>
      <c r="W101" s="2658">
        <v>0</v>
      </c>
      <c r="X101" s="2131">
        <f>G101*AI101/1000000</f>
        <v>0</v>
      </c>
      <c r="Y101" s="149">
        <f t="shared" ref="Y101:Y102" si="285">AA101-Z101</f>
        <v>0</v>
      </c>
      <c r="Z101" s="2658">
        <v>0</v>
      </c>
      <c r="AA101" s="2131">
        <f>H101*AI101/1000000</f>
        <v>0</v>
      </c>
      <c r="AB101" s="149">
        <f t="shared" ref="AB101:AB102" si="286">AD101-AC101</f>
        <v>0</v>
      </c>
      <c r="AC101" s="2658">
        <v>0</v>
      </c>
      <c r="AD101" s="2131">
        <f>I101*AI101/1000000</f>
        <v>0</v>
      </c>
      <c r="AE101" s="149">
        <f t="shared" ref="AE101:AE102" si="287">AG101-AF101</f>
        <v>0</v>
      </c>
      <c r="AF101" s="2658">
        <v>0</v>
      </c>
      <c r="AG101" s="2131">
        <f>J101*AI101/1000000</f>
        <v>0</v>
      </c>
      <c r="AH101" s="196">
        <f t="shared" si="249"/>
        <v>-1</v>
      </c>
      <c r="AI101" s="2659">
        <f>'Table 6c'!P96</f>
        <v>132</v>
      </c>
      <c r="AJ101" s="2660">
        <f t="shared" ref="AJ101:AJ102" si="288">AL101-AK101</f>
        <v>0</v>
      </c>
      <c r="AK101" s="2658">
        <v>0</v>
      </c>
      <c r="AL101" s="2131">
        <f>AG101*1.06</f>
        <v>0</v>
      </c>
      <c r="AN101" s="2654">
        <f t="shared" si="251"/>
        <v>0</v>
      </c>
      <c r="AO101" s="1625" t="e">
        <f>#REF!-O101</f>
        <v>#REF!</v>
      </c>
    </row>
    <row r="102" spans="1:41" s="22" customFormat="1">
      <c r="A102" s="3301"/>
      <c r="B102" s="2776" t="s">
        <v>453</v>
      </c>
      <c r="C102" s="2777">
        <v>217482</v>
      </c>
      <c r="D102" s="2778">
        <f>'Table 6c'!K98</f>
        <v>18</v>
      </c>
      <c r="E102" s="2779">
        <v>18</v>
      </c>
      <c r="F102" s="2780">
        <v>18</v>
      </c>
      <c r="G102" s="2780">
        <v>18</v>
      </c>
      <c r="H102" s="2780">
        <v>18</v>
      </c>
      <c r="I102" s="2780">
        <v>18</v>
      </c>
      <c r="J102" s="2781">
        <v>18</v>
      </c>
      <c r="K102" s="2782">
        <v>18</v>
      </c>
      <c r="L102" s="217">
        <f t="shared" si="241"/>
        <v>0</v>
      </c>
      <c r="M102" s="2783">
        <f t="shared" si="281"/>
        <v>0</v>
      </c>
      <c r="N102" s="2784">
        <v>0</v>
      </c>
      <c r="O102" s="2099">
        <f>'Table 6c'!G98</f>
        <v>0</v>
      </c>
      <c r="P102" s="2785">
        <f t="shared" si="282"/>
        <v>0</v>
      </c>
      <c r="Q102" s="2784">
        <v>0</v>
      </c>
      <c r="R102" s="2099">
        <f>E102*AI102/1000000</f>
        <v>0</v>
      </c>
      <c r="S102" s="2785">
        <f t="shared" si="283"/>
        <v>0</v>
      </c>
      <c r="T102" s="2784">
        <v>0</v>
      </c>
      <c r="U102" s="2099">
        <f>F102*AI102/1000000</f>
        <v>0</v>
      </c>
      <c r="V102" s="2785">
        <f t="shared" si="284"/>
        <v>0</v>
      </c>
      <c r="W102" s="2784">
        <v>0</v>
      </c>
      <c r="X102" s="2099">
        <f>G102*AI102/1000000</f>
        <v>0</v>
      </c>
      <c r="Y102" s="2785">
        <f t="shared" si="285"/>
        <v>0</v>
      </c>
      <c r="Z102" s="2784">
        <v>0</v>
      </c>
      <c r="AA102" s="2099">
        <f>H102*AI102/1000000</f>
        <v>0</v>
      </c>
      <c r="AB102" s="2785">
        <f t="shared" si="286"/>
        <v>0</v>
      </c>
      <c r="AC102" s="2784">
        <v>0</v>
      </c>
      <c r="AD102" s="2099">
        <f>I102*AI102/1000000</f>
        <v>0</v>
      </c>
      <c r="AE102" s="2785">
        <f t="shared" si="287"/>
        <v>0</v>
      </c>
      <c r="AF102" s="2784">
        <v>0</v>
      </c>
      <c r="AG102" s="2099">
        <f>J102*AI102/1000000</f>
        <v>0</v>
      </c>
      <c r="AH102" s="2786" t="s">
        <v>16</v>
      </c>
      <c r="AI102" s="2787">
        <f>'Table 6c'!P97</f>
        <v>200</v>
      </c>
      <c r="AJ102" s="2788">
        <f t="shared" si="288"/>
        <v>0</v>
      </c>
      <c r="AK102" s="2784">
        <v>0</v>
      </c>
      <c r="AL102" s="2099">
        <f>AG102*1.06</f>
        <v>0</v>
      </c>
      <c r="AN102" s="2789">
        <f t="shared" si="251"/>
        <v>0</v>
      </c>
      <c r="AO102" s="2790" t="e">
        <f>#REF!-O102</f>
        <v>#REF!</v>
      </c>
    </row>
    <row r="103" spans="1:41" s="22" customFormat="1">
      <c r="A103" s="3302"/>
      <c r="B103" s="3359" t="s">
        <v>261</v>
      </c>
      <c r="C103" s="3360"/>
      <c r="D103" s="2092">
        <f>D101+D102</f>
        <v>48</v>
      </c>
      <c r="E103" s="2791">
        <f t="shared" ref="E103:K103" si="289">E101+E102</f>
        <v>48</v>
      </c>
      <c r="F103" s="2648">
        <f t="shared" si="289"/>
        <v>48</v>
      </c>
      <c r="G103" s="2648">
        <f t="shared" si="289"/>
        <v>48</v>
      </c>
      <c r="H103" s="2648">
        <f t="shared" si="289"/>
        <v>48</v>
      </c>
      <c r="I103" s="2648">
        <f t="shared" si="289"/>
        <v>48</v>
      </c>
      <c r="J103" s="2792">
        <f t="shared" si="289"/>
        <v>48</v>
      </c>
      <c r="K103" s="2769">
        <f t="shared" si="289"/>
        <v>48</v>
      </c>
      <c r="L103" s="217">
        <f t="shared" si="241"/>
        <v>0</v>
      </c>
      <c r="M103" s="35">
        <f>M101+M102</f>
        <v>0.01</v>
      </c>
      <c r="N103" s="2594">
        <f t="shared" ref="N103:AG103" si="290">N101+N102</f>
        <v>0</v>
      </c>
      <c r="O103" s="2099">
        <f t="shared" si="290"/>
        <v>0.01</v>
      </c>
      <c r="P103" s="34">
        <f t="shared" si="290"/>
        <v>0</v>
      </c>
      <c r="Q103" s="2594">
        <f t="shared" si="290"/>
        <v>0</v>
      </c>
      <c r="R103" s="2099">
        <f t="shared" si="290"/>
        <v>0</v>
      </c>
      <c r="S103" s="34">
        <f t="shared" si="290"/>
        <v>0</v>
      </c>
      <c r="T103" s="2594">
        <f t="shared" si="290"/>
        <v>0</v>
      </c>
      <c r="U103" s="2099">
        <f t="shared" si="290"/>
        <v>0</v>
      </c>
      <c r="V103" s="34">
        <f t="shared" si="290"/>
        <v>0</v>
      </c>
      <c r="W103" s="2594">
        <f t="shared" si="290"/>
        <v>0</v>
      </c>
      <c r="X103" s="2099">
        <f t="shared" si="290"/>
        <v>0</v>
      </c>
      <c r="Y103" s="34">
        <f t="shared" si="290"/>
        <v>0</v>
      </c>
      <c r="Z103" s="2594">
        <f t="shared" si="290"/>
        <v>0</v>
      </c>
      <c r="AA103" s="2099">
        <f t="shared" si="290"/>
        <v>0</v>
      </c>
      <c r="AB103" s="34">
        <f t="shared" si="290"/>
        <v>0</v>
      </c>
      <c r="AC103" s="2594">
        <f t="shared" si="290"/>
        <v>0</v>
      </c>
      <c r="AD103" s="2099">
        <f t="shared" si="290"/>
        <v>0</v>
      </c>
      <c r="AE103" s="34">
        <f t="shared" si="290"/>
        <v>0</v>
      </c>
      <c r="AF103" s="2594">
        <f t="shared" si="290"/>
        <v>0</v>
      </c>
      <c r="AG103" s="2099">
        <f t="shared" si="290"/>
        <v>0</v>
      </c>
      <c r="AH103" s="202">
        <f>(AG103-O103)/O103</f>
        <v>-1</v>
      </c>
      <c r="AI103" s="3041" t="s">
        <v>16</v>
      </c>
      <c r="AJ103" s="2591">
        <f t="shared" ref="AJ103" si="291">AJ101+AJ102</f>
        <v>0</v>
      </c>
      <c r="AK103" s="2594">
        <f t="shared" ref="AK103" si="292">AK101+AK102</f>
        <v>0</v>
      </c>
      <c r="AL103" s="2099">
        <f t="shared" ref="AL103" si="293">AL101+AL102</f>
        <v>0</v>
      </c>
      <c r="AN103" s="2646">
        <f t="shared" si="251"/>
        <v>0</v>
      </c>
      <c r="AO103" s="1624" t="e">
        <f>#REF!-O103</f>
        <v>#REF!</v>
      </c>
    </row>
    <row r="104" spans="1:41" s="22" customFormat="1" ht="13.5" customHeight="1">
      <c r="A104" s="3300" t="s">
        <v>262</v>
      </c>
      <c r="B104" s="131" t="s">
        <v>454</v>
      </c>
      <c r="C104" s="2770">
        <v>221616</v>
      </c>
      <c r="D104" s="2124">
        <f>'Table 6c'!L100</f>
        <v>41</v>
      </c>
      <c r="E104" s="2771">
        <v>48</v>
      </c>
      <c r="F104" s="2772">
        <v>48</v>
      </c>
      <c r="G104" s="2772">
        <v>48</v>
      </c>
      <c r="H104" s="2772">
        <v>48</v>
      </c>
      <c r="I104" s="2772">
        <v>48</v>
      </c>
      <c r="J104" s="2773">
        <v>48</v>
      </c>
      <c r="K104" s="2774">
        <v>49</v>
      </c>
      <c r="L104" s="2775">
        <f t="shared" si="241"/>
        <v>0.17</v>
      </c>
      <c r="M104" s="186">
        <f t="shared" si="281"/>
        <v>0</v>
      </c>
      <c r="N104" s="2658">
        <v>0</v>
      </c>
      <c r="O104" s="2131">
        <f>'Table 6c'!G100</f>
        <v>0</v>
      </c>
      <c r="P104" s="149">
        <f t="shared" ref="P104:P105" si="294">R104-Q104</f>
        <v>0</v>
      </c>
      <c r="Q104" s="2658">
        <v>0</v>
      </c>
      <c r="R104" s="2131">
        <f>E104*AI104/1000000</f>
        <v>0</v>
      </c>
      <c r="S104" s="149">
        <f t="shared" ref="S104:S105" si="295">U104-T104</f>
        <v>0</v>
      </c>
      <c r="T104" s="2658">
        <v>0</v>
      </c>
      <c r="U104" s="2131">
        <f>F104*AI104/1000000</f>
        <v>0</v>
      </c>
      <c r="V104" s="149">
        <f t="shared" ref="V104:V105" si="296">X104-W104</f>
        <v>0</v>
      </c>
      <c r="W104" s="2658">
        <v>0</v>
      </c>
      <c r="X104" s="2131">
        <f>G104*AI104/1000000</f>
        <v>0</v>
      </c>
      <c r="Y104" s="149">
        <f t="shared" ref="Y104:Y105" si="297">AA104-Z104</f>
        <v>0</v>
      </c>
      <c r="Z104" s="2658">
        <v>0</v>
      </c>
      <c r="AA104" s="2131">
        <f>H104*AI104/1000000</f>
        <v>0</v>
      </c>
      <c r="AB104" s="149">
        <f t="shared" ref="AB104:AB105" si="298">AD104-AC104</f>
        <v>0</v>
      </c>
      <c r="AC104" s="2658">
        <v>0</v>
      </c>
      <c r="AD104" s="2131">
        <f>I104*AI104/1000000</f>
        <v>0</v>
      </c>
      <c r="AE104" s="149">
        <f t="shared" ref="AE104:AE105" si="299">AG104-AF104</f>
        <v>0</v>
      </c>
      <c r="AF104" s="2658">
        <v>0</v>
      </c>
      <c r="AG104" s="2131">
        <f>J104*AI104/1000000</f>
        <v>0</v>
      </c>
      <c r="AH104" s="218" t="s">
        <v>16</v>
      </c>
      <c r="AI104" s="2659">
        <f>'Table 6c'!P100</f>
        <v>67</v>
      </c>
      <c r="AJ104" s="2660">
        <f t="shared" ref="AJ104:AJ105" si="300">AL104-AK104</f>
        <v>0</v>
      </c>
      <c r="AK104" s="2658">
        <v>0</v>
      </c>
      <c r="AL104" s="2131">
        <f>AG104*1.06</f>
        <v>0</v>
      </c>
      <c r="AN104" s="2654">
        <f t="shared" si="251"/>
        <v>7</v>
      </c>
      <c r="AO104" s="1625" t="e">
        <f>#REF!-O104</f>
        <v>#REF!</v>
      </c>
    </row>
    <row r="105" spans="1:41" s="22" customFormat="1">
      <c r="A105" s="3301"/>
      <c r="B105" s="2776" t="s">
        <v>455</v>
      </c>
      <c r="C105" s="2777">
        <v>215763</v>
      </c>
      <c r="D105" s="2793">
        <f>'Table 6c'!L101</f>
        <v>48</v>
      </c>
      <c r="E105" s="2794">
        <v>48</v>
      </c>
      <c r="F105" s="2795">
        <v>48</v>
      </c>
      <c r="G105" s="2795">
        <v>48</v>
      </c>
      <c r="H105" s="2795">
        <v>48</v>
      </c>
      <c r="I105" s="2795">
        <v>48</v>
      </c>
      <c r="J105" s="2796">
        <v>48</v>
      </c>
      <c r="K105" s="2797">
        <v>48</v>
      </c>
      <c r="L105" s="2798">
        <f t="shared" si="241"/>
        <v>0</v>
      </c>
      <c r="M105" s="2639">
        <f t="shared" si="281"/>
        <v>0.01</v>
      </c>
      <c r="N105" s="2640">
        <v>0</v>
      </c>
      <c r="O105" s="2641">
        <f>'Table 6c'!G101</f>
        <v>0.01</v>
      </c>
      <c r="P105" s="136">
        <f t="shared" si="294"/>
        <v>0.01</v>
      </c>
      <c r="Q105" s="2640">
        <v>0</v>
      </c>
      <c r="R105" s="2641">
        <f>E105*AI105/1000000</f>
        <v>0.01</v>
      </c>
      <c r="S105" s="136">
        <f t="shared" si="295"/>
        <v>0.01</v>
      </c>
      <c r="T105" s="2640">
        <v>0</v>
      </c>
      <c r="U105" s="2641">
        <f>F105*AI105/1000000</f>
        <v>0.01</v>
      </c>
      <c r="V105" s="136">
        <f t="shared" si="296"/>
        <v>0.01</v>
      </c>
      <c r="W105" s="2640">
        <v>0</v>
      </c>
      <c r="X105" s="2641">
        <f>G105*AI105/1000000</f>
        <v>0.01</v>
      </c>
      <c r="Y105" s="136">
        <f t="shared" si="297"/>
        <v>0.01</v>
      </c>
      <c r="Z105" s="2640">
        <v>0</v>
      </c>
      <c r="AA105" s="2641">
        <f>H105*AI105/1000000</f>
        <v>0.01</v>
      </c>
      <c r="AB105" s="136">
        <f t="shared" si="298"/>
        <v>0.01</v>
      </c>
      <c r="AC105" s="2640">
        <v>0</v>
      </c>
      <c r="AD105" s="2641">
        <f>I105*AI105/1000000</f>
        <v>0.01</v>
      </c>
      <c r="AE105" s="136">
        <f t="shared" si="299"/>
        <v>0.01</v>
      </c>
      <c r="AF105" s="2640">
        <v>0</v>
      </c>
      <c r="AG105" s="2641">
        <f>J105*AI105/1000000</f>
        <v>0.01</v>
      </c>
      <c r="AH105" s="230">
        <f>(AG105-O105)/O105</f>
        <v>0</v>
      </c>
      <c r="AI105" s="2799">
        <f>'Table 6c'!P101</f>
        <v>146</v>
      </c>
      <c r="AJ105" s="2642">
        <f t="shared" si="300"/>
        <v>0.01</v>
      </c>
      <c r="AK105" s="2640">
        <v>0</v>
      </c>
      <c r="AL105" s="2641">
        <f>AG105*1.06</f>
        <v>0.01</v>
      </c>
      <c r="AN105" s="2634">
        <f t="shared" si="251"/>
        <v>0</v>
      </c>
      <c r="AO105" s="2722" t="e">
        <f>#REF!-O105</f>
        <v>#REF!</v>
      </c>
    </row>
    <row r="106" spans="1:41" s="22" customFormat="1">
      <c r="A106" s="3302"/>
      <c r="B106" s="3359" t="s">
        <v>266</v>
      </c>
      <c r="C106" s="3360"/>
      <c r="D106" s="2092">
        <f>SUM(D104:D105)</f>
        <v>89</v>
      </c>
      <c r="E106" s="2791">
        <f t="shared" ref="E106:K106" si="301">SUM(E104:E105)</f>
        <v>96</v>
      </c>
      <c r="F106" s="2648">
        <f t="shared" si="301"/>
        <v>96</v>
      </c>
      <c r="G106" s="2648">
        <f t="shared" si="301"/>
        <v>96</v>
      </c>
      <c r="H106" s="2648">
        <f t="shared" si="301"/>
        <v>96</v>
      </c>
      <c r="I106" s="2648">
        <f t="shared" si="301"/>
        <v>96</v>
      </c>
      <c r="J106" s="2792">
        <f t="shared" si="301"/>
        <v>96</v>
      </c>
      <c r="K106" s="2769">
        <f t="shared" si="301"/>
        <v>97</v>
      </c>
      <c r="L106" s="217">
        <f t="shared" si="241"/>
        <v>0.08</v>
      </c>
      <c r="M106" s="35">
        <f t="shared" ref="M106" si="302">SUM(M104:M105)</f>
        <v>0.01</v>
      </c>
      <c r="N106" s="2594">
        <f t="shared" ref="N106" si="303">SUM(N104:N105)</f>
        <v>0</v>
      </c>
      <c r="O106" s="2099">
        <f t="shared" ref="O106" si="304">SUM(O104:O105)</f>
        <v>0.01</v>
      </c>
      <c r="P106" s="34">
        <f t="shared" ref="P106" si="305">SUM(P104:P105)</f>
        <v>0.01</v>
      </c>
      <c r="Q106" s="2594">
        <f t="shared" ref="Q106" si="306">SUM(Q104:Q105)</f>
        <v>0</v>
      </c>
      <c r="R106" s="2099">
        <f t="shared" ref="R106" si="307">SUM(R104:R105)</f>
        <v>0.01</v>
      </c>
      <c r="S106" s="34">
        <f t="shared" ref="S106" si="308">SUM(S104:S105)</f>
        <v>0.01</v>
      </c>
      <c r="T106" s="2594">
        <f t="shared" ref="T106" si="309">SUM(T104:T105)</f>
        <v>0</v>
      </c>
      <c r="U106" s="2099">
        <f t="shared" ref="U106" si="310">SUM(U104:U105)</f>
        <v>0.01</v>
      </c>
      <c r="V106" s="34">
        <f t="shared" ref="V106" si="311">SUM(V104:V105)</f>
        <v>0.01</v>
      </c>
      <c r="W106" s="2594">
        <f t="shared" ref="W106" si="312">SUM(W104:W105)</f>
        <v>0</v>
      </c>
      <c r="X106" s="2099">
        <f t="shared" ref="X106" si="313">SUM(X104:X105)</f>
        <v>0.01</v>
      </c>
      <c r="Y106" s="34">
        <f t="shared" ref="Y106" si="314">SUM(Y104:Y105)</f>
        <v>0.01</v>
      </c>
      <c r="Z106" s="2594">
        <f t="shared" ref="Z106" si="315">SUM(Z104:Z105)</f>
        <v>0</v>
      </c>
      <c r="AA106" s="2099">
        <f t="shared" ref="AA106" si="316">SUM(AA104:AA105)</f>
        <v>0.01</v>
      </c>
      <c r="AB106" s="34">
        <f t="shared" ref="AB106" si="317">SUM(AB104:AB105)</f>
        <v>0.01</v>
      </c>
      <c r="AC106" s="2594">
        <f t="shared" ref="AC106" si="318">SUM(AC104:AC105)</f>
        <v>0</v>
      </c>
      <c r="AD106" s="2099">
        <f t="shared" ref="AD106" si="319">SUM(AD104:AD105)</f>
        <v>0.01</v>
      </c>
      <c r="AE106" s="34">
        <f t="shared" ref="AE106" si="320">SUM(AE104:AE105)</f>
        <v>0.01</v>
      </c>
      <c r="AF106" s="2594">
        <f t="shared" ref="AF106" si="321">SUM(AF104:AF105)</f>
        <v>0</v>
      </c>
      <c r="AG106" s="2099">
        <f t="shared" ref="AG106" si="322">SUM(AG104:AG105)</f>
        <v>0.01</v>
      </c>
      <c r="AH106" s="202">
        <f>(AG106-O106)/O106</f>
        <v>0</v>
      </c>
      <c r="AI106" s="3041">
        <f t="shared" ref="AI106" si="323">SUM(AI104:AI105)</f>
        <v>213</v>
      </c>
      <c r="AJ106" s="2591">
        <f t="shared" ref="AJ106" si="324">SUM(AJ104:AJ105)</f>
        <v>0.01</v>
      </c>
      <c r="AK106" s="2594">
        <f t="shared" ref="AK106" si="325">SUM(AK104:AK105)</f>
        <v>0</v>
      </c>
      <c r="AL106" s="2099">
        <f t="shared" ref="AL106" si="326">SUM(AL104:AL105)</f>
        <v>0.01</v>
      </c>
      <c r="AN106" s="2646">
        <f t="shared" si="251"/>
        <v>7</v>
      </c>
      <c r="AO106" s="1624" t="e">
        <f>#REF!-O106</f>
        <v>#REF!</v>
      </c>
    </row>
    <row r="107" spans="1:41">
      <c r="A107" s="3221" t="s">
        <v>52</v>
      </c>
      <c r="B107" s="3222"/>
      <c r="C107" s="3222"/>
      <c r="D107" s="2092">
        <f>D100+D91+D93+D103+D106</f>
        <v>1776</v>
      </c>
      <c r="E107" s="2092">
        <f t="shared" ref="E107:K107" si="327">E100+E91+E93+E103+E106</f>
        <v>1796</v>
      </c>
      <c r="F107" s="2092">
        <f t="shared" si="327"/>
        <v>1827</v>
      </c>
      <c r="G107" s="2092">
        <f t="shared" si="327"/>
        <v>1847</v>
      </c>
      <c r="H107" s="2092">
        <f t="shared" si="327"/>
        <v>1951</v>
      </c>
      <c r="I107" s="2092">
        <f t="shared" si="327"/>
        <v>1958</v>
      </c>
      <c r="J107" s="2092">
        <f t="shared" si="327"/>
        <v>1969</v>
      </c>
      <c r="K107" s="2092">
        <f t="shared" si="327"/>
        <v>2920</v>
      </c>
      <c r="L107" s="217">
        <f t="shared" si="241"/>
        <v>0.11</v>
      </c>
      <c r="M107" s="35">
        <f>M100+M91+M93+M103+M106</f>
        <v>0.31</v>
      </c>
      <c r="N107" s="35">
        <f t="shared" ref="N107:AG107" si="328">N100+N91+N93+N103+N106</f>
        <v>0</v>
      </c>
      <c r="O107" s="35">
        <f t="shared" si="328"/>
        <v>0.31</v>
      </c>
      <c r="P107" s="35">
        <f t="shared" si="328"/>
        <v>0.26</v>
      </c>
      <c r="Q107" s="35">
        <f t="shared" si="328"/>
        <v>0</v>
      </c>
      <c r="R107" s="35">
        <f t="shared" si="328"/>
        <v>0.26</v>
      </c>
      <c r="S107" s="35">
        <f t="shared" si="328"/>
        <v>0.26</v>
      </c>
      <c r="T107" s="35">
        <f t="shared" si="328"/>
        <v>0</v>
      </c>
      <c r="U107" s="35">
        <f t="shared" si="328"/>
        <v>0.26</v>
      </c>
      <c r="V107" s="35">
        <f t="shared" si="328"/>
        <v>0.26</v>
      </c>
      <c r="W107" s="35">
        <f t="shared" si="328"/>
        <v>0</v>
      </c>
      <c r="X107" s="35">
        <f t="shared" si="328"/>
        <v>0.26</v>
      </c>
      <c r="Y107" s="35">
        <f t="shared" si="328"/>
        <v>0.27</v>
      </c>
      <c r="Z107" s="35">
        <f t="shared" si="328"/>
        <v>0</v>
      </c>
      <c r="AA107" s="35">
        <f t="shared" si="328"/>
        <v>0.27</v>
      </c>
      <c r="AB107" s="35">
        <f t="shared" si="328"/>
        <v>0.28000000000000003</v>
      </c>
      <c r="AC107" s="35">
        <f t="shared" si="328"/>
        <v>0</v>
      </c>
      <c r="AD107" s="35">
        <f t="shared" si="328"/>
        <v>0.28000000000000003</v>
      </c>
      <c r="AE107" s="35">
        <f t="shared" si="328"/>
        <v>0.28000000000000003</v>
      </c>
      <c r="AF107" s="35">
        <f t="shared" si="328"/>
        <v>0</v>
      </c>
      <c r="AG107" s="35">
        <f t="shared" si="328"/>
        <v>0.28000000000000003</v>
      </c>
      <c r="AH107" s="202">
        <f>(AG107-O107)/O107</f>
        <v>-0.1</v>
      </c>
      <c r="AI107" s="3041" t="s">
        <v>16</v>
      </c>
      <c r="AJ107" s="2591">
        <f>AJ100+AJ91+AJ93+AJ103+AJ106</f>
        <v>0.28000000000000003</v>
      </c>
      <c r="AK107" s="2591">
        <f t="shared" ref="AK107:AL107" si="329">AK100+AK91+AK93+AK103+AK106</f>
        <v>0</v>
      </c>
      <c r="AL107" s="2591">
        <f t="shared" si="329"/>
        <v>0.28000000000000003</v>
      </c>
      <c r="AN107" s="2646">
        <f t="shared" si="251"/>
        <v>193</v>
      </c>
      <c r="AO107" s="1624" t="e">
        <f>#REF!-O107</f>
        <v>#REF!</v>
      </c>
    </row>
    <row r="108" spans="1:41">
      <c r="A108" s="89" t="s">
        <v>35</v>
      </c>
    </row>
    <row r="109" spans="1:41">
      <c r="A109" s="1" t="s">
        <v>68</v>
      </c>
      <c r="E109" s="1" t="s">
        <v>36</v>
      </c>
      <c r="N109" s="1" t="s">
        <v>36</v>
      </c>
    </row>
    <row r="110" spans="1:41">
      <c r="A110" s="1" t="s">
        <v>69</v>
      </c>
      <c r="D110" s="1" t="s">
        <v>36</v>
      </c>
    </row>
    <row r="111" spans="1:41">
      <c r="A111" s="1" t="s">
        <v>378</v>
      </c>
    </row>
    <row r="112" spans="1:41">
      <c r="A112" s="1" t="s">
        <v>40</v>
      </c>
      <c r="AF112" s="2748" t="s">
        <v>36</v>
      </c>
      <c r="AJ112" s="22" t="s">
        <v>36</v>
      </c>
    </row>
    <row r="113" spans="1:10">
      <c r="A113" s="1" t="s">
        <v>267</v>
      </c>
    </row>
    <row r="114" spans="1:10">
      <c r="A114" s="1" t="s">
        <v>268</v>
      </c>
    </row>
    <row r="116" spans="1:10">
      <c r="J116" s="1" t="s">
        <v>36</v>
      </c>
    </row>
  </sheetData>
  <mergeCells count="80">
    <mergeCell ref="B37:C37"/>
    <mergeCell ref="A36:A37"/>
    <mergeCell ref="AB3:AD3"/>
    <mergeCell ref="AI2:AI4"/>
    <mergeCell ref="AH2:AH4"/>
    <mergeCell ref="A5:A8"/>
    <mergeCell ref="A9:A12"/>
    <mergeCell ref="D2:D3"/>
    <mergeCell ref="A2:A4"/>
    <mergeCell ref="AE3:AG3"/>
    <mergeCell ref="P2:AG2"/>
    <mergeCell ref="E2:J3"/>
    <mergeCell ref="M2:O2"/>
    <mergeCell ref="L2:L4"/>
    <mergeCell ref="B8:C8"/>
    <mergeCell ref="B12:C12"/>
    <mergeCell ref="B35:C35"/>
    <mergeCell ref="A13:A16"/>
    <mergeCell ref="B16:C16"/>
    <mergeCell ref="C2:C4"/>
    <mergeCell ref="A17:A34"/>
    <mergeCell ref="K2:K4"/>
    <mergeCell ref="B2:B4"/>
    <mergeCell ref="M3:O3"/>
    <mergeCell ref="P3:R3"/>
    <mergeCell ref="Y3:AA3"/>
    <mergeCell ref="S3:U3"/>
    <mergeCell ref="V3:X3"/>
    <mergeCell ref="A73:C73"/>
    <mergeCell ref="A74:C74"/>
    <mergeCell ref="A45:A56"/>
    <mergeCell ref="A72:C72"/>
    <mergeCell ref="B41:C41"/>
    <mergeCell ref="A38:A41"/>
    <mergeCell ref="B56:C56"/>
    <mergeCell ref="A57:A61"/>
    <mergeCell ref="B61:C61"/>
    <mergeCell ref="A62:A66"/>
    <mergeCell ref="B66:C66"/>
    <mergeCell ref="A67:A71"/>
    <mergeCell ref="B71:C71"/>
    <mergeCell ref="B44:C44"/>
    <mergeCell ref="A42:A44"/>
    <mergeCell ref="A107:C107"/>
    <mergeCell ref="A84:A86"/>
    <mergeCell ref="B84:B86"/>
    <mergeCell ref="C84:C86"/>
    <mergeCell ref="A104:A106"/>
    <mergeCell ref="B106:C106"/>
    <mergeCell ref="A92:A93"/>
    <mergeCell ref="B93:C93"/>
    <mergeCell ref="A87:A91"/>
    <mergeCell ref="D84:D85"/>
    <mergeCell ref="B100:C100"/>
    <mergeCell ref="B91:C91"/>
    <mergeCell ref="B103:C103"/>
    <mergeCell ref="A101:A103"/>
    <mergeCell ref="A94:A100"/>
    <mergeCell ref="AB85:AD85"/>
    <mergeCell ref="AE85:AG85"/>
    <mergeCell ref="AJ85:AL85"/>
    <mergeCell ref="E84:J85"/>
    <mergeCell ref="K84:K86"/>
    <mergeCell ref="L84:L86"/>
    <mergeCell ref="M84:O84"/>
    <mergeCell ref="P84:AG84"/>
    <mergeCell ref="M85:O85"/>
    <mergeCell ref="P85:R85"/>
    <mergeCell ref="S85:U85"/>
    <mergeCell ref="V85:X85"/>
    <mergeCell ref="Y85:AA85"/>
    <mergeCell ref="AN2:AN4"/>
    <mergeCell ref="AO2:AO4"/>
    <mergeCell ref="AN84:AN86"/>
    <mergeCell ref="AO84:AO86"/>
    <mergeCell ref="AH84:AH86"/>
    <mergeCell ref="AI84:AI86"/>
    <mergeCell ref="AJ84:AL84"/>
    <mergeCell ref="AJ2:AL2"/>
    <mergeCell ref="AJ3:AL3"/>
  </mergeCells>
  <pageMargins left="0.7" right="0.7" top="0.75" bottom="0.75" header="0.3" footer="0.3"/>
  <pageSetup paperSize="3" scale="48" pageOrder="overThenDown"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D4E5696D99DC4E9AFA5918DF7462FE" ma:contentTypeVersion="13" ma:contentTypeDescription="Create a new document." ma:contentTypeScope="" ma:versionID="fd23a89e1d58028c62fe26222d4b8d53">
  <xsd:schema xmlns:xsd="http://www.w3.org/2001/XMLSchema" xmlns:xs="http://www.w3.org/2001/XMLSchema" xmlns:p="http://schemas.microsoft.com/office/2006/metadata/properties" xmlns:ns2="17f6a3d9-f8ee-4e56-91c8-a9a8b8cf4352" xmlns:ns3="1aaa356f-be21-4b9b-aa5f-a6e34ce08549" targetNamespace="http://schemas.microsoft.com/office/2006/metadata/properties" ma:root="true" ma:fieldsID="c89493ecd2d0cd0d083825c622cd5698" ns2:_="" ns3:_="">
    <xsd:import namespace="17f6a3d9-f8ee-4e56-91c8-a9a8b8cf4352"/>
    <xsd:import namespace="1aaa356f-be21-4b9b-aa5f-a6e34ce0854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f6a3d9-f8ee-4e56-91c8-a9a8b8cf435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aa356f-be21-4b9b-aa5f-a6e34ce0854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9FCA94-33C2-47DD-A120-456276CD388E}"/>
</file>

<file path=customXml/itemProps2.xml><?xml version="1.0" encoding="utf-8"?>
<ds:datastoreItem xmlns:ds="http://schemas.openxmlformats.org/officeDocument/2006/customXml" ds:itemID="{A3B43E09-D8E6-4D46-B7E7-EEC0BC060E67}"/>
</file>

<file path=customXml/itemProps3.xml><?xml version="1.0" encoding="utf-8"?>
<ds:datastoreItem xmlns:ds="http://schemas.openxmlformats.org/officeDocument/2006/customXml" ds:itemID="{C3823C05-2B92-4C5F-A88E-2AB3D064C1FE}"/>
</file>

<file path=docProps/app.xml><?xml version="1.0" encoding="utf-8"?>
<Properties xmlns="http://schemas.openxmlformats.org/officeDocument/2006/extended-properties" xmlns:vt="http://schemas.openxmlformats.org/officeDocument/2006/docPropsVTypes">
  <Application>Microsoft Excel Online</Application>
  <Manager/>
  <Company>SJRWMD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tbader</dc:creator>
  <cp:keywords/>
  <dc:description/>
  <cp:lastModifiedBy>Rebecca May</cp:lastModifiedBy>
  <cp:revision/>
  <dcterms:created xsi:type="dcterms:W3CDTF">2010-01-15T15:19:41Z</dcterms:created>
  <dcterms:modified xsi:type="dcterms:W3CDTF">2021-11-03T14:53:34Z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0x010100FCD4E5696D99DC4E9AFA5918DF7462FE</vt:lpwstr>
  </property>
</Properties>
</file>